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3739" documentId="8_{2E490716-347D-498A-9CF5-C71878630943}" xr6:coauthVersionLast="47" xr6:coauthVersionMax="47" xr10:uidLastSave="{500BCF59-72D4-4996-8693-4AEC6B0F615B}"/>
  <bookViews>
    <workbookView xWindow="-19530" yWindow="-21720" windowWidth="38640" windowHeight="2112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Gen-Filters_2" sheetId="19" r:id="rId8"/>
    <sheet name="AddOmits_2" sheetId="20" r:id="rId9"/>
    <sheet name="WF_AO_LM_2" sheetId="21" r:id="rId10"/>
    <sheet name="WF_AO_HM_2" sheetId="22" r:id="rId11"/>
    <sheet name="WF_SUB_2" sheetId="23" r:id="rId12"/>
    <sheet name="Harmonization_2" sheetId="24" r:id="rId13"/>
    <sheet name="Gen-Error-Rates" sheetId="14" r:id="rId14"/>
    <sheet name="Corrections" sheetId="18" r:id="rId15"/>
    <sheet name="Contamination Check" sheetId="25" r:id="rId16"/>
    <sheet name="Data Regularization" sheetId="2" r:id="rId17"/>
  </sheets>
  <definedNames>
    <definedName name="_xlnm._FilterDatabase" localSheetId="2" hidden="1">AddOmits!$A$1:$AB$936</definedName>
    <definedName name="_xlnm._FilterDatabase" localSheetId="8" hidden="1">AddOmits_2!$A$1:$AD$416</definedName>
    <definedName name="_xlnm._FilterDatabase" localSheetId="1" hidden="1">'Gen-filters'!$A$1:$AD$1</definedName>
    <definedName name="_xlnm._FilterDatabase" localSheetId="7" hidden="1">'Gen-Filters_2'!$A$1:$AD$848</definedName>
    <definedName name="_xlnm._FilterDatabase" localSheetId="6" hidden="1">Harmonization!$A$1:$AF$66</definedName>
    <definedName name="_xlnm._FilterDatabase" localSheetId="0" hidden="1">'Unfiltered Data'!$A$1:$AG$5197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61" i="25" l="1"/>
  <c r="AJ61" i="25"/>
  <c r="AI61" i="25"/>
  <c r="AH61" i="25"/>
  <c r="AG61" i="25"/>
  <c r="AF61" i="25"/>
  <c r="AE61" i="25"/>
  <c r="AD61" i="25"/>
  <c r="AK60" i="25"/>
  <c r="AJ60" i="25"/>
  <c r="AI60" i="25"/>
  <c r="AH60" i="25"/>
  <c r="AG60" i="25"/>
  <c r="AF60" i="25"/>
  <c r="AE60" i="25"/>
  <c r="AD60" i="25"/>
  <c r="AK59" i="25"/>
  <c r="AJ59" i="25"/>
  <c r="AI59" i="25"/>
  <c r="AH59" i="25"/>
  <c r="AG59" i="25"/>
  <c r="AF59" i="25"/>
  <c r="AE59" i="25"/>
  <c r="AD59" i="25"/>
  <c r="Q40" i="25"/>
  <c r="Q38" i="25"/>
  <c r="Q37" i="25"/>
  <c r="Q36" i="25"/>
  <c r="Q34" i="25"/>
  <c r="Q27" i="25"/>
  <c r="AD1883" i="7"/>
  <c r="AD1882" i="7"/>
  <c r="AD1881" i="7"/>
  <c r="E5204" i="1"/>
  <c r="F1876" i="7"/>
  <c r="E72" i="22"/>
  <c r="J40" i="24"/>
  <c r="I40" i="24"/>
  <c r="I41" i="24" s="1"/>
  <c r="H40" i="24"/>
  <c r="H41" i="24" s="1"/>
  <c r="G40" i="24"/>
  <c r="G41" i="24" s="1"/>
  <c r="F40" i="24"/>
  <c r="F41" i="24" s="1"/>
  <c r="E40" i="24"/>
  <c r="E41" i="24" s="1"/>
  <c r="J39" i="24"/>
  <c r="J41" i="24" s="1"/>
  <c r="I39" i="24"/>
  <c r="H39" i="24"/>
  <c r="G39" i="24"/>
  <c r="F39" i="24"/>
  <c r="E39" i="24"/>
  <c r="E33" i="24"/>
  <c r="E32" i="24"/>
  <c r="E34" i="24" s="1"/>
  <c r="D153" i="23"/>
  <c r="D152" i="23"/>
  <c r="E150" i="23"/>
  <c r="E149" i="23"/>
  <c r="E146" i="23"/>
  <c r="E145" i="23"/>
  <c r="E142" i="23"/>
  <c r="E141" i="23"/>
  <c r="E138" i="23"/>
  <c r="E137" i="23"/>
  <c r="E139" i="23" s="1"/>
  <c r="T131" i="23"/>
  <c r="U131" i="23"/>
  <c r="U130" i="23"/>
  <c r="V130" i="23" s="1"/>
  <c r="T130" i="23"/>
  <c r="U129" i="23"/>
  <c r="V129" i="23" s="1"/>
  <c r="T129" i="23"/>
  <c r="U128" i="23"/>
  <c r="V128" i="23" s="1"/>
  <c r="T128" i="23"/>
  <c r="U127" i="23"/>
  <c r="V127" i="23" s="1"/>
  <c r="T127" i="23"/>
  <c r="U126" i="23"/>
  <c r="V126" i="23" s="1"/>
  <c r="T126" i="23"/>
  <c r="U125" i="23"/>
  <c r="V125" i="23" s="1"/>
  <c r="T125" i="23"/>
  <c r="U124" i="23"/>
  <c r="V124" i="23" s="1"/>
  <c r="T124" i="23"/>
  <c r="U123" i="23"/>
  <c r="V123" i="23" s="1"/>
  <c r="T123" i="23"/>
  <c r="U122" i="23"/>
  <c r="V122" i="23" s="1"/>
  <c r="T122" i="23"/>
  <c r="U121" i="23"/>
  <c r="V121" i="23" s="1"/>
  <c r="T121" i="23"/>
  <c r="U120" i="23"/>
  <c r="T120" i="23"/>
  <c r="V120" i="23" s="1"/>
  <c r="U119" i="23"/>
  <c r="V119" i="23" s="1"/>
  <c r="T119" i="23"/>
  <c r="U118" i="23"/>
  <c r="V118" i="23" s="1"/>
  <c r="T118" i="23"/>
  <c r="U117" i="23"/>
  <c r="V117" i="23" s="1"/>
  <c r="T117" i="23"/>
  <c r="U116" i="23"/>
  <c r="V116" i="23" s="1"/>
  <c r="T116" i="23"/>
  <c r="U115" i="23"/>
  <c r="V115" i="23" s="1"/>
  <c r="T115" i="23"/>
  <c r="U114" i="23"/>
  <c r="V114" i="23" s="1"/>
  <c r="T114" i="23"/>
  <c r="U113" i="23"/>
  <c r="V113" i="23" s="1"/>
  <c r="T113" i="23"/>
  <c r="U112" i="23"/>
  <c r="V112" i="23" s="1"/>
  <c r="T112" i="23"/>
  <c r="U111" i="23"/>
  <c r="V111" i="23" s="1"/>
  <c r="T111" i="23"/>
  <c r="V110" i="23"/>
  <c r="U110" i="23"/>
  <c r="T110" i="23"/>
  <c r="U109" i="23"/>
  <c r="V109" i="23" s="1"/>
  <c r="T109" i="23"/>
  <c r="U108" i="23"/>
  <c r="V108" i="23" s="1"/>
  <c r="T108" i="23"/>
  <c r="U107" i="23"/>
  <c r="V107" i="23" s="1"/>
  <c r="T107" i="23"/>
  <c r="U106" i="23"/>
  <c r="V106" i="23" s="1"/>
  <c r="T106" i="23"/>
  <c r="U105" i="23"/>
  <c r="V105" i="23" s="1"/>
  <c r="T105" i="23"/>
  <c r="U104" i="23"/>
  <c r="V104" i="23" s="1"/>
  <c r="T104" i="23"/>
  <c r="U103" i="23"/>
  <c r="V103" i="23" s="1"/>
  <c r="T103" i="23"/>
  <c r="U102" i="23"/>
  <c r="V102" i="23" s="1"/>
  <c r="T102" i="23"/>
  <c r="U101" i="23"/>
  <c r="V101" i="23" s="1"/>
  <c r="T101" i="23"/>
  <c r="U100" i="23"/>
  <c r="V100" i="23" s="1"/>
  <c r="T100" i="23"/>
  <c r="U99" i="23"/>
  <c r="V99" i="23" s="1"/>
  <c r="T99" i="23"/>
  <c r="U98" i="23"/>
  <c r="V98" i="23" s="1"/>
  <c r="T98" i="23"/>
  <c r="U97" i="23"/>
  <c r="V97" i="23" s="1"/>
  <c r="T97" i="23"/>
  <c r="U96" i="23"/>
  <c r="V96" i="23" s="1"/>
  <c r="T96" i="23"/>
  <c r="U95" i="23"/>
  <c r="V95" i="23" s="1"/>
  <c r="T95" i="23"/>
  <c r="U94" i="23"/>
  <c r="V94" i="23" s="1"/>
  <c r="T94" i="23"/>
  <c r="U93" i="23"/>
  <c r="V93" i="23" s="1"/>
  <c r="T93" i="23"/>
  <c r="U92" i="23"/>
  <c r="V92" i="23" s="1"/>
  <c r="T92" i="23"/>
  <c r="U91" i="23"/>
  <c r="V91" i="23" s="1"/>
  <c r="T91" i="23"/>
  <c r="U90" i="23"/>
  <c r="V90" i="23" s="1"/>
  <c r="T90" i="23"/>
  <c r="U89" i="23"/>
  <c r="V89" i="23" s="1"/>
  <c r="T89" i="23"/>
  <c r="U88" i="23"/>
  <c r="T88" i="23"/>
  <c r="V88" i="23" s="1"/>
  <c r="U87" i="23"/>
  <c r="V87" i="23" s="1"/>
  <c r="T87" i="23"/>
  <c r="U86" i="23"/>
  <c r="V86" i="23" s="1"/>
  <c r="T86" i="23"/>
  <c r="U85" i="23"/>
  <c r="V85" i="23" s="1"/>
  <c r="T85" i="23"/>
  <c r="U84" i="23"/>
  <c r="V84" i="23" s="1"/>
  <c r="T84" i="23"/>
  <c r="U83" i="23"/>
  <c r="V83" i="23" s="1"/>
  <c r="T83" i="23"/>
  <c r="U82" i="23"/>
  <c r="V82" i="23" s="1"/>
  <c r="T82" i="23"/>
  <c r="U81" i="23"/>
  <c r="V81" i="23" s="1"/>
  <c r="T81" i="23"/>
  <c r="U80" i="23"/>
  <c r="V80" i="23" s="1"/>
  <c r="T80" i="23"/>
  <c r="U79" i="23"/>
  <c r="V79" i="23" s="1"/>
  <c r="T79" i="23"/>
  <c r="V78" i="23"/>
  <c r="U78" i="23"/>
  <c r="T78" i="23"/>
  <c r="U77" i="23"/>
  <c r="V77" i="23" s="1"/>
  <c r="T77" i="23"/>
  <c r="U76" i="23"/>
  <c r="V76" i="23" s="1"/>
  <c r="T76" i="23"/>
  <c r="U75" i="23"/>
  <c r="V75" i="23" s="1"/>
  <c r="T75" i="23"/>
  <c r="U74" i="23"/>
  <c r="V74" i="23" s="1"/>
  <c r="T74" i="23"/>
  <c r="U73" i="23"/>
  <c r="V73" i="23" s="1"/>
  <c r="T73" i="23"/>
  <c r="U72" i="23"/>
  <c r="V72" i="23" s="1"/>
  <c r="T72" i="23"/>
  <c r="U71" i="23"/>
  <c r="V71" i="23" s="1"/>
  <c r="T71" i="23"/>
  <c r="U70" i="23"/>
  <c r="V70" i="23" s="1"/>
  <c r="T70" i="23"/>
  <c r="U69" i="23"/>
  <c r="V69" i="23" s="1"/>
  <c r="T69" i="23"/>
  <c r="U68" i="23"/>
  <c r="V68" i="23" s="1"/>
  <c r="T68" i="23"/>
  <c r="U67" i="23"/>
  <c r="V67" i="23" s="1"/>
  <c r="T67" i="23"/>
  <c r="U66" i="23"/>
  <c r="V66" i="23" s="1"/>
  <c r="T66" i="23"/>
  <c r="U65" i="23"/>
  <c r="V65" i="23" s="1"/>
  <c r="T65" i="23"/>
  <c r="U64" i="23"/>
  <c r="V64" i="23" s="1"/>
  <c r="T64" i="23"/>
  <c r="U63" i="23"/>
  <c r="V63" i="23" s="1"/>
  <c r="T63" i="23"/>
  <c r="U62" i="23"/>
  <c r="V62" i="23" s="1"/>
  <c r="T62" i="23"/>
  <c r="U61" i="23"/>
  <c r="V61" i="23" s="1"/>
  <c r="T61" i="23"/>
  <c r="U60" i="23"/>
  <c r="V60" i="23" s="1"/>
  <c r="T60" i="23"/>
  <c r="U59" i="23"/>
  <c r="V59" i="23" s="1"/>
  <c r="T59" i="23"/>
  <c r="U58" i="23"/>
  <c r="V58" i="23" s="1"/>
  <c r="T58" i="23"/>
  <c r="U57" i="23"/>
  <c r="V57" i="23" s="1"/>
  <c r="T57" i="23"/>
  <c r="U56" i="23"/>
  <c r="T56" i="23"/>
  <c r="V56" i="23" s="1"/>
  <c r="U55" i="23"/>
  <c r="V55" i="23" s="1"/>
  <c r="T55" i="23"/>
  <c r="U54" i="23"/>
  <c r="V54" i="23" s="1"/>
  <c r="T54" i="23"/>
  <c r="U53" i="23"/>
  <c r="V53" i="23" s="1"/>
  <c r="T53" i="23"/>
  <c r="U52" i="23"/>
  <c r="V52" i="23" s="1"/>
  <c r="T52" i="23"/>
  <c r="U51" i="23"/>
  <c r="V51" i="23" s="1"/>
  <c r="T51" i="23"/>
  <c r="U50" i="23"/>
  <c r="V50" i="23" s="1"/>
  <c r="T50" i="23"/>
  <c r="U49" i="23"/>
  <c r="V49" i="23" s="1"/>
  <c r="T49" i="23"/>
  <c r="U48" i="23"/>
  <c r="V48" i="23" s="1"/>
  <c r="T48" i="23"/>
  <c r="U47" i="23"/>
  <c r="V47" i="23" s="1"/>
  <c r="T47" i="23"/>
  <c r="V46" i="23"/>
  <c r="U46" i="23"/>
  <c r="T46" i="23"/>
  <c r="U45" i="23"/>
  <c r="V45" i="23" s="1"/>
  <c r="T45" i="23"/>
  <c r="U44" i="23"/>
  <c r="V44" i="23" s="1"/>
  <c r="T44" i="23"/>
  <c r="U43" i="23"/>
  <c r="V43" i="23" s="1"/>
  <c r="T43" i="23"/>
  <c r="U42" i="23"/>
  <c r="V42" i="23" s="1"/>
  <c r="T42" i="23"/>
  <c r="U41" i="23"/>
  <c r="V41" i="23" s="1"/>
  <c r="T41" i="23"/>
  <c r="U40" i="23"/>
  <c r="V40" i="23" s="1"/>
  <c r="T40" i="23"/>
  <c r="U39" i="23"/>
  <c r="V39" i="23" s="1"/>
  <c r="T39" i="23"/>
  <c r="U38" i="23"/>
  <c r="V38" i="23" s="1"/>
  <c r="T38" i="23"/>
  <c r="U37" i="23"/>
  <c r="V37" i="23" s="1"/>
  <c r="T37" i="23"/>
  <c r="U36" i="23"/>
  <c r="V36" i="23" s="1"/>
  <c r="T36" i="23"/>
  <c r="U35" i="23"/>
  <c r="V35" i="23" s="1"/>
  <c r="T35" i="23"/>
  <c r="U34" i="23"/>
  <c r="V34" i="23" s="1"/>
  <c r="T34" i="23"/>
  <c r="U33" i="23"/>
  <c r="V33" i="23" s="1"/>
  <c r="T33" i="23"/>
  <c r="U32" i="23"/>
  <c r="V32" i="23" s="1"/>
  <c r="T32" i="23"/>
  <c r="U31" i="23"/>
  <c r="V31" i="23" s="1"/>
  <c r="T31" i="23"/>
  <c r="U30" i="23"/>
  <c r="V30" i="23" s="1"/>
  <c r="T30" i="23"/>
  <c r="U29" i="23"/>
  <c r="V29" i="23" s="1"/>
  <c r="T29" i="23"/>
  <c r="U28" i="23"/>
  <c r="V28" i="23" s="1"/>
  <c r="T28" i="23"/>
  <c r="U27" i="23"/>
  <c r="V27" i="23" s="1"/>
  <c r="T27" i="23"/>
  <c r="U26" i="23"/>
  <c r="V26" i="23" s="1"/>
  <c r="T26" i="23"/>
  <c r="U25" i="23"/>
  <c r="V25" i="23" s="1"/>
  <c r="T25" i="23"/>
  <c r="U24" i="23"/>
  <c r="T24" i="23"/>
  <c r="V24" i="23" s="1"/>
  <c r="U23" i="23"/>
  <c r="V23" i="23" s="1"/>
  <c r="T23" i="23"/>
  <c r="U22" i="23"/>
  <c r="V22" i="23" s="1"/>
  <c r="T22" i="23"/>
  <c r="U21" i="23"/>
  <c r="V21" i="23" s="1"/>
  <c r="T21" i="23"/>
  <c r="U20" i="23"/>
  <c r="V20" i="23" s="1"/>
  <c r="T20" i="23"/>
  <c r="U19" i="23"/>
  <c r="V19" i="23" s="1"/>
  <c r="T19" i="23"/>
  <c r="U18" i="23"/>
  <c r="V18" i="23" s="1"/>
  <c r="T18" i="23"/>
  <c r="U17" i="23"/>
  <c r="V17" i="23" s="1"/>
  <c r="T17" i="23"/>
  <c r="U16" i="23"/>
  <c r="V16" i="23" s="1"/>
  <c r="T16" i="23"/>
  <c r="U15" i="23"/>
  <c r="V15" i="23" s="1"/>
  <c r="T15" i="23"/>
  <c r="V14" i="23"/>
  <c r="U14" i="23"/>
  <c r="T14" i="23"/>
  <c r="U13" i="23"/>
  <c r="V13" i="23" s="1"/>
  <c r="T13" i="23"/>
  <c r="U12" i="23"/>
  <c r="V12" i="23" s="1"/>
  <c r="T12" i="23"/>
  <c r="U11" i="23"/>
  <c r="V11" i="23" s="1"/>
  <c r="T11" i="23"/>
  <c r="U10" i="23"/>
  <c r="V10" i="23" s="1"/>
  <c r="T10" i="23"/>
  <c r="U9" i="23"/>
  <c r="V9" i="23" s="1"/>
  <c r="T9" i="23"/>
  <c r="U8" i="23"/>
  <c r="V8" i="23" s="1"/>
  <c r="T8" i="23"/>
  <c r="U7" i="23"/>
  <c r="V7" i="23" s="1"/>
  <c r="T7" i="23"/>
  <c r="U6" i="23"/>
  <c r="V6" i="23" s="1"/>
  <c r="T6" i="23"/>
  <c r="U5" i="23"/>
  <c r="V5" i="23" s="1"/>
  <c r="T5" i="23"/>
  <c r="U4" i="23"/>
  <c r="V4" i="23" s="1"/>
  <c r="T4" i="23"/>
  <c r="U3" i="23"/>
  <c r="V3" i="23" s="1"/>
  <c r="T3" i="23"/>
  <c r="U2" i="23"/>
  <c r="T2" i="23"/>
  <c r="E70" i="22"/>
  <c r="E69" i="22"/>
  <c r="E71" i="22" s="1"/>
  <c r="E67" i="22"/>
  <c r="E66" i="22"/>
  <c r="E68" i="22" s="1"/>
  <c r="E63" i="22"/>
  <c r="E287" i="21"/>
  <c r="E286" i="21"/>
  <c r="E288" i="21" s="1"/>
  <c r="E284" i="21"/>
  <c r="E283" i="21"/>
  <c r="E285" i="21" s="1"/>
  <c r="E280" i="21"/>
  <c r="E293" i="21"/>
  <c r="E292" i="21"/>
  <c r="E291" i="21"/>
  <c r="E465" i="20"/>
  <c r="D465" i="20"/>
  <c r="F465" i="20" s="1"/>
  <c r="E464" i="20"/>
  <c r="D464" i="20"/>
  <c r="F464" i="20" s="1"/>
  <c r="E463" i="20"/>
  <c r="D463" i="20"/>
  <c r="F463" i="20" s="1"/>
  <c r="E462" i="20"/>
  <c r="D462" i="20"/>
  <c r="F462" i="20" s="1"/>
  <c r="E461" i="20"/>
  <c r="D461" i="20"/>
  <c r="F461" i="20" s="1"/>
  <c r="E457" i="20"/>
  <c r="D457" i="20"/>
  <c r="F457" i="20" s="1"/>
  <c r="E456" i="20"/>
  <c r="D456" i="20"/>
  <c r="F456" i="20" s="1"/>
  <c r="E455" i="20"/>
  <c r="D455" i="20"/>
  <c r="F455" i="20" s="1"/>
  <c r="E450" i="20"/>
  <c r="D450" i="20"/>
  <c r="F450" i="20" s="1"/>
  <c r="E449" i="20"/>
  <c r="D449" i="20"/>
  <c r="F449" i="20" s="1"/>
  <c r="E444" i="20"/>
  <c r="D444" i="20"/>
  <c r="F444" i="20" s="1"/>
  <c r="E443" i="20"/>
  <c r="D443" i="20"/>
  <c r="F443" i="20" s="1"/>
  <c r="E438" i="20"/>
  <c r="D438" i="20"/>
  <c r="F438" i="20" s="1"/>
  <c r="E437" i="20"/>
  <c r="E439" i="20" s="1"/>
  <c r="D437" i="20"/>
  <c r="F437" i="20" s="1"/>
  <c r="F430" i="20"/>
  <c r="F429" i="20"/>
  <c r="F431" i="20" s="1"/>
  <c r="F425" i="20"/>
  <c r="F424" i="20"/>
  <c r="F426" i="20" s="1"/>
  <c r="F420" i="20"/>
  <c r="F419" i="20"/>
  <c r="F421" i="20" s="1"/>
  <c r="V131" i="23" l="1"/>
  <c r="V2" i="23"/>
  <c r="F432" i="20"/>
  <c r="F445" i="20"/>
  <c r="F451" i="20"/>
  <c r="D439" i="20"/>
  <c r="F439" i="20" s="1"/>
  <c r="T1580" i="1"/>
  <c r="T262" i="1"/>
  <c r="G77" i="13"/>
  <c r="G76" i="13"/>
  <c r="G78" i="13" s="1"/>
  <c r="E77" i="13"/>
  <c r="E76" i="13"/>
  <c r="E78" i="13" s="1"/>
  <c r="J77" i="13"/>
  <c r="I77" i="13"/>
  <c r="H77" i="13"/>
  <c r="F77" i="13"/>
  <c r="J76" i="13"/>
  <c r="I76" i="13"/>
  <c r="I78" i="13" s="1"/>
  <c r="H76" i="13"/>
  <c r="F76" i="13"/>
  <c r="F78" i="13" s="1"/>
  <c r="V681" i="1"/>
  <c r="U681" i="1"/>
  <c r="B11" i="18"/>
  <c r="B10" i="18"/>
  <c r="B9" i="18"/>
  <c r="B3" i="18"/>
  <c r="B2" i="18"/>
  <c r="U262" i="1"/>
  <c r="V1580" i="1"/>
  <c r="V262" i="1"/>
  <c r="H78" i="13" l="1"/>
  <c r="J78" i="13"/>
  <c r="D11" i="18"/>
  <c r="D9" i="18"/>
  <c r="D10" i="18"/>
  <c r="B4" i="18"/>
  <c r="U350" i="12"/>
  <c r="T350" i="12"/>
  <c r="U349" i="12"/>
  <c r="T349" i="12"/>
  <c r="U348" i="12"/>
  <c r="T348" i="12"/>
  <c r="U347" i="12"/>
  <c r="T347" i="12"/>
  <c r="U346" i="12"/>
  <c r="T346" i="12"/>
  <c r="U345" i="12"/>
  <c r="T345" i="12"/>
  <c r="U344" i="12"/>
  <c r="T344" i="12"/>
  <c r="U343" i="12"/>
  <c r="T343" i="12"/>
  <c r="U342" i="12"/>
  <c r="T342" i="12"/>
  <c r="U341" i="12"/>
  <c r="T341" i="12"/>
  <c r="U340" i="12"/>
  <c r="T340" i="12"/>
  <c r="U339" i="12"/>
  <c r="T339" i="12"/>
  <c r="U338" i="12"/>
  <c r="T338" i="12"/>
  <c r="U337" i="12"/>
  <c r="T337" i="12"/>
  <c r="U336" i="12"/>
  <c r="T336" i="12"/>
  <c r="U335" i="12"/>
  <c r="T335" i="12"/>
  <c r="U334" i="12"/>
  <c r="T334" i="12"/>
  <c r="U333" i="12"/>
  <c r="T333" i="12"/>
  <c r="U332" i="12"/>
  <c r="T332" i="12"/>
  <c r="U331" i="12"/>
  <c r="T331" i="12"/>
  <c r="U330" i="12"/>
  <c r="T330" i="12"/>
  <c r="U329" i="12"/>
  <c r="T329" i="12"/>
  <c r="U328" i="12"/>
  <c r="T328" i="12"/>
  <c r="U327" i="12"/>
  <c r="T327" i="12"/>
  <c r="U326" i="12"/>
  <c r="T326" i="12"/>
  <c r="U325" i="12"/>
  <c r="T325" i="12"/>
  <c r="V325" i="12" s="1"/>
  <c r="U324" i="12"/>
  <c r="T324" i="12"/>
  <c r="U323" i="12"/>
  <c r="T323" i="12"/>
  <c r="U322" i="12"/>
  <c r="T322" i="12"/>
  <c r="U321" i="12"/>
  <c r="T321" i="12"/>
  <c r="U320" i="12"/>
  <c r="T320" i="12"/>
  <c r="U319" i="12"/>
  <c r="T319" i="12"/>
  <c r="U318" i="12"/>
  <c r="T318" i="12"/>
  <c r="U317" i="12"/>
  <c r="T317" i="12"/>
  <c r="U316" i="12"/>
  <c r="T316" i="12"/>
  <c r="U315" i="12"/>
  <c r="T315" i="12"/>
  <c r="U314" i="12"/>
  <c r="T314" i="12"/>
  <c r="U313" i="12"/>
  <c r="T313" i="12"/>
  <c r="U312" i="12"/>
  <c r="T312" i="12"/>
  <c r="U311" i="12"/>
  <c r="T311" i="12"/>
  <c r="U310" i="12"/>
  <c r="T310" i="12"/>
  <c r="U309" i="12"/>
  <c r="T309" i="12"/>
  <c r="U308" i="12"/>
  <c r="T308" i="12"/>
  <c r="U307" i="12"/>
  <c r="T307" i="12"/>
  <c r="U306" i="12"/>
  <c r="T306" i="12"/>
  <c r="U305" i="12"/>
  <c r="T305" i="12"/>
  <c r="U304" i="12"/>
  <c r="V304" i="12" s="1"/>
  <c r="T304" i="12"/>
  <c r="U303" i="12"/>
  <c r="T303" i="12"/>
  <c r="U302" i="12"/>
  <c r="T302" i="12"/>
  <c r="U301" i="12"/>
  <c r="T301" i="12"/>
  <c r="U300" i="12"/>
  <c r="T300" i="12"/>
  <c r="U299" i="12"/>
  <c r="T299" i="12"/>
  <c r="U298" i="12"/>
  <c r="T298" i="12"/>
  <c r="U297" i="12"/>
  <c r="T297" i="12"/>
  <c r="U296" i="12"/>
  <c r="T296" i="12"/>
  <c r="U295" i="12"/>
  <c r="T295" i="12"/>
  <c r="U294" i="12"/>
  <c r="T294" i="12"/>
  <c r="U293" i="12"/>
  <c r="T293" i="12"/>
  <c r="U292" i="12"/>
  <c r="T292" i="12"/>
  <c r="U291" i="12"/>
  <c r="T291" i="12"/>
  <c r="U290" i="12"/>
  <c r="T290" i="12"/>
  <c r="U289" i="12"/>
  <c r="T289" i="12"/>
  <c r="U288" i="12"/>
  <c r="T288" i="12"/>
  <c r="U287" i="12"/>
  <c r="T287" i="12"/>
  <c r="U286" i="12"/>
  <c r="T286" i="12"/>
  <c r="U285" i="12"/>
  <c r="T285" i="12"/>
  <c r="U284" i="12"/>
  <c r="T284" i="12"/>
  <c r="U283" i="12"/>
  <c r="T283" i="12"/>
  <c r="U282" i="12"/>
  <c r="T282" i="12"/>
  <c r="U281" i="12"/>
  <c r="T281" i="12"/>
  <c r="U280" i="12"/>
  <c r="T280" i="12"/>
  <c r="U279" i="12"/>
  <c r="T279" i="12"/>
  <c r="U278" i="12"/>
  <c r="T278" i="12"/>
  <c r="U277" i="12"/>
  <c r="T277" i="12"/>
  <c r="U276" i="12"/>
  <c r="T276" i="12"/>
  <c r="U275" i="12"/>
  <c r="T275" i="12"/>
  <c r="U274" i="12"/>
  <c r="T274" i="12"/>
  <c r="U273" i="12"/>
  <c r="T273" i="12"/>
  <c r="U272" i="12"/>
  <c r="T272" i="12"/>
  <c r="U271" i="12"/>
  <c r="T271" i="12"/>
  <c r="U270" i="12"/>
  <c r="T270" i="12"/>
  <c r="U269" i="12"/>
  <c r="T269" i="12"/>
  <c r="U268" i="12"/>
  <c r="T268" i="12"/>
  <c r="U267" i="12"/>
  <c r="T267" i="12"/>
  <c r="U266" i="12"/>
  <c r="T266" i="12"/>
  <c r="U265" i="12"/>
  <c r="T265" i="12"/>
  <c r="U264" i="12"/>
  <c r="T264" i="12"/>
  <c r="U263" i="12"/>
  <c r="T263" i="12"/>
  <c r="U262" i="12"/>
  <c r="T262" i="12"/>
  <c r="U261" i="12"/>
  <c r="T261" i="12"/>
  <c r="U260" i="12"/>
  <c r="T260" i="12"/>
  <c r="U259" i="12"/>
  <c r="T259" i="12"/>
  <c r="U258" i="12"/>
  <c r="T258" i="12"/>
  <c r="U257" i="12"/>
  <c r="V257" i="12" s="1"/>
  <c r="T257" i="12"/>
  <c r="U256" i="12"/>
  <c r="T256" i="12"/>
  <c r="U255" i="12"/>
  <c r="T255" i="12"/>
  <c r="U254" i="12"/>
  <c r="T254" i="12"/>
  <c r="U253" i="12"/>
  <c r="T253" i="12"/>
  <c r="U252" i="12"/>
  <c r="T252" i="12"/>
  <c r="U251" i="12"/>
  <c r="T251" i="12"/>
  <c r="U250" i="12"/>
  <c r="T250" i="12"/>
  <c r="U249" i="12"/>
  <c r="T249" i="12"/>
  <c r="U248" i="12"/>
  <c r="T248" i="12"/>
  <c r="U247" i="12"/>
  <c r="T247" i="12"/>
  <c r="U246" i="12"/>
  <c r="T246" i="12"/>
  <c r="U245" i="12"/>
  <c r="T245" i="12"/>
  <c r="U244" i="12"/>
  <c r="T244" i="12"/>
  <c r="U243" i="12"/>
  <c r="T243" i="12"/>
  <c r="U242" i="12"/>
  <c r="T242" i="12"/>
  <c r="U241" i="12"/>
  <c r="T241" i="12"/>
  <c r="U240" i="12"/>
  <c r="T240" i="12"/>
  <c r="U239" i="12"/>
  <c r="T239" i="12"/>
  <c r="U238" i="12"/>
  <c r="T238" i="12"/>
  <c r="U237" i="12"/>
  <c r="T237" i="12"/>
  <c r="U236" i="12"/>
  <c r="T236" i="12"/>
  <c r="U235" i="12"/>
  <c r="T235" i="12"/>
  <c r="U234" i="12"/>
  <c r="T234" i="12"/>
  <c r="U233" i="12"/>
  <c r="T233" i="12"/>
  <c r="U232" i="12"/>
  <c r="T232" i="12"/>
  <c r="U231" i="12"/>
  <c r="T231" i="12"/>
  <c r="U230" i="12"/>
  <c r="T230" i="12"/>
  <c r="U229" i="12"/>
  <c r="T229" i="12"/>
  <c r="U228" i="12"/>
  <c r="T228" i="12"/>
  <c r="U227" i="12"/>
  <c r="T227" i="12"/>
  <c r="U226" i="12"/>
  <c r="T226" i="12"/>
  <c r="U225" i="12"/>
  <c r="V225" i="12" s="1"/>
  <c r="T225" i="12"/>
  <c r="U224" i="12"/>
  <c r="T224" i="12"/>
  <c r="U223" i="12"/>
  <c r="T223" i="12"/>
  <c r="U222" i="12"/>
  <c r="T222" i="12"/>
  <c r="U221" i="12"/>
  <c r="T221" i="12"/>
  <c r="U220" i="12"/>
  <c r="T220" i="12"/>
  <c r="U219" i="12"/>
  <c r="T219" i="12"/>
  <c r="U218" i="12"/>
  <c r="T218" i="12"/>
  <c r="U217" i="12"/>
  <c r="T217" i="12"/>
  <c r="U216" i="12"/>
  <c r="T216" i="12"/>
  <c r="U215" i="12"/>
  <c r="T215" i="12"/>
  <c r="U214" i="12"/>
  <c r="T214" i="12"/>
  <c r="U213" i="12"/>
  <c r="T213" i="12"/>
  <c r="U212" i="12"/>
  <c r="T212" i="12"/>
  <c r="U211" i="12"/>
  <c r="T211" i="12"/>
  <c r="U210" i="12"/>
  <c r="T210" i="12"/>
  <c r="U209" i="12"/>
  <c r="T209" i="12"/>
  <c r="U208" i="12"/>
  <c r="T208" i="12"/>
  <c r="U207" i="12"/>
  <c r="T207" i="12"/>
  <c r="U206" i="12"/>
  <c r="T206" i="12"/>
  <c r="U205" i="12"/>
  <c r="T205" i="12"/>
  <c r="U204" i="12"/>
  <c r="T204" i="12"/>
  <c r="U203" i="12"/>
  <c r="T203" i="12"/>
  <c r="U202" i="12"/>
  <c r="T202" i="12"/>
  <c r="U201" i="12"/>
  <c r="T201" i="12"/>
  <c r="U200" i="12"/>
  <c r="T200" i="12"/>
  <c r="U199" i="12"/>
  <c r="T199" i="12"/>
  <c r="U198" i="12"/>
  <c r="T198" i="12"/>
  <c r="U197" i="12"/>
  <c r="T197" i="12"/>
  <c r="U196" i="12"/>
  <c r="T196" i="12"/>
  <c r="U195" i="12"/>
  <c r="T195" i="12"/>
  <c r="U194" i="12"/>
  <c r="T194" i="12"/>
  <c r="U193" i="12"/>
  <c r="T193" i="12"/>
  <c r="U192" i="12"/>
  <c r="T192" i="12"/>
  <c r="U191" i="12"/>
  <c r="T191" i="12"/>
  <c r="U190" i="12"/>
  <c r="T190" i="12"/>
  <c r="U189" i="12"/>
  <c r="T189" i="12"/>
  <c r="U188" i="12"/>
  <c r="T188" i="12"/>
  <c r="U187" i="12"/>
  <c r="T187" i="12"/>
  <c r="U186" i="12"/>
  <c r="T186" i="12"/>
  <c r="U185" i="12"/>
  <c r="T185" i="12"/>
  <c r="U184" i="12"/>
  <c r="T184" i="12"/>
  <c r="U183" i="12"/>
  <c r="T183" i="12"/>
  <c r="U182" i="12"/>
  <c r="T182" i="12"/>
  <c r="U181" i="12"/>
  <c r="T181" i="12"/>
  <c r="U180" i="12"/>
  <c r="T180" i="12"/>
  <c r="U179" i="12"/>
  <c r="T179" i="12"/>
  <c r="U178" i="12"/>
  <c r="T178" i="12"/>
  <c r="U177" i="12"/>
  <c r="T177" i="12"/>
  <c r="U176" i="12"/>
  <c r="T176" i="12"/>
  <c r="U175" i="12"/>
  <c r="T175" i="12"/>
  <c r="U174" i="12"/>
  <c r="T174" i="12"/>
  <c r="U173" i="12"/>
  <c r="T173" i="12"/>
  <c r="U172" i="12"/>
  <c r="T172" i="12"/>
  <c r="U171" i="12"/>
  <c r="T171" i="12"/>
  <c r="U170" i="12"/>
  <c r="T170" i="12"/>
  <c r="U169" i="12"/>
  <c r="T169" i="12"/>
  <c r="U168" i="12"/>
  <c r="T168" i="12"/>
  <c r="U167" i="12"/>
  <c r="T167" i="12"/>
  <c r="U166" i="12"/>
  <c r="T166" i="12"/>
  <c r="U165" i="12"/>
  <c r="T165" i="12"/>
  <c r="U164" i="12"/>
  <c r="T164" i="12"/>
  <c r="U163" i="12"/>
  <c r="T163" i="12"/>
  <c r="U162" i="12"/>
  <c r="T162" i="12"/>
  <c r="U161" i="12"/>
  <c r="T161" i="12"/>
  <c r="U160" i="12"/>
  <c r="T160" i="12"/>
  <c r="U159" i="12"/>
  <c r="T159" i="12"/>
  <c r="U158" i="12"/>
  <c r="T158" i="12"/>
  <c r="U157" i="12"/>
  <c r="T157" i="12"/>
  <c r="U156" i="12"/>
  <c r="T156" i="12"/>
  <c r="U155" i="12"/>
  <c r="T155" i="12"/>
  <c r="U154" i="12"/>
  <c r="T154" i="12"/>
  <c r="U153" i="12"/>
  <c r="T153" i="12"/>
  <c r="U152" i="12"/>
  <c r="T152" i="12"/>
  <c r="U151" i="12"/>
  <c r="T151" i="12"/>
  <c r="U150" i="12"/>
  <c r="T150" i="12"/>
  <c r="U149" i="12"/>
  <c r="T149" i="12"/>
  <c r="U148" i="12"/>
  <c r="T148" i="12"/>
  <c r="U147" i="12"/>
  <c r="T147" i="12"/>
  <c r="U146" i="12"/>
  <c r="T146" i="12"/>
  <c r="U145" i="12"/>
  <c r="T145" i="12"/>
  <c r="U144" i="12"/>
  <c r="T144" i="12"/>
  <c r="U143" i="12"/>
  <c r="T143" i="12"/>
  <c r="U142" i="12"/>
  <c r="T142" i="12"/>
  <c r="U141" i="12"/>
  <c r="T141" i="12"/>
  <c r="U140" i="12"/>
  <c r="T140" i="12"/>
  <c r="U139" i="12"/>
  <c r="T139" i="12"/>
  <c r="U138" i="12"/>
  <c r="T138" i="12"/>
  <c r="U137" i="12"/>
  <c r="T137" i="12"/>
  <c r="U136" i="12"/>
  <c r="T136" i="12"/>
  <c r="U135" i="12"/>
  <c r="T135" i="12"/>
  <c r="U134" i="12"/>
  <c r="T134" i="12"/>
  <c r="U133" i="12"/>
  <c r="T133" i="12"/>
  <c r="U132" i="12"/>
  <c r="T132" i="12"/>
  <c r="U131" i="12"/>
  <c r="T131" i="12"/>
  <c r="U130" i="12"/>
  <c r="T130" i="12"/>
  <c r="U129" i="12"/>
  <c r="T129" i="12"/>
  <c r="U128" i="12"/>
  <c r="T128" i="12"/>
  <c r="U127" i="12"/>
  <c r="T127" i="12"/>
  <c r="U126" i="12"/>
  <c r="T126" i="12"/>
  <c r="U125" i="12"/>
  <c r="T125" i="12"/>
  <c r="U124" i="12"/>
  <c r="T124" i="12"/>
  <c r="U123" i="12"/>
  <c r="T123" i="12"/>
  <c r="U122" i="12"/>
  <c r="T122" i="12"/>
  <c r="U121" i="12"/>
  <c r="T121" i="12"/>
  <c r="U120" i="12"/>
  <c r="T120" i="12"/>
  <c r="U119" i="12"/>
  <c r="T119" i="12"/>
  <c r="U118" i="12"/>
  <c r="T118" i="12"/>
  <c r="U117" i="12"/>
  <c r="T117" i="12"/>
  <c r="U116" i="12"/>
  <c r="T116" i="12"/>
  <c r="U115" i="12"/>
  <c r="T115" i="12"/>
  <c r="U114" i="12"/>
  <c r="T114" i="12"/>
  <c r="U113" i="12"/>
  <c r="T113" i="12"/>
  <c r="U112" i="12"/>
  <c r="T112" i="12"/>
  <c r="U111" i="12"/>
  <c r="T111" i="12"/>
  <c r="U110" i="12"/>
  <c r="T110" i="12"/>
  <c r="U109" i="12"/>
  <c r="T109" i="12"/>
  <c r="U108" i="12"/>
  <c r="T108" i="12"/>
  <c r="U107" i="12"/>
  <c r="T107" i="12"/>
  <c r="U106" i="12"/>
  <c r="T106" i="12"/>
  <c r="U105" i="12"/>
  <c r="T105" i="12"/>
  <c r="U104" i="12"/>
  <c r="T104" i="12"/>
  <c r="U103" i="12"/>
  <c r="T103" i="12"/>
  <c r="U102" i="12"/>
  <c r="T102" i="12"/>
  <c r="U101" i="12"/>
  <c r="T101" i="12"/>
  <c r="U100" i="12"/>
  <c r="T100" i="12"/>
  <c r="U99" i="12"/>
  <c r="T99" i="12"/>
  <c r="U98" i="12"/>
  <c r="T98" i="12"/>
  <c r="U97" i="12"/>
  <c r="T97" i="12"/>
  <c r="U96" i="12"/>
  <c r="T96" i="12"/>
  <c r="U95" i="12"/>
  <c r="T95" i="12"/>
  <c r="U94" i="12"/>
  <c r="T94" i="12"/>
  <c r="U93" i="12"/>
  <c r="T93" i="12"/>
  <c r="U92" i="12"/>
  <c r="T92" i="12"/>
  <c r="U91" i="12"/>
  <c r="T91" i="12"/>
  <c r="U90" i="12"/>
  <c r="T90" i="12"/>
  <c r="U89" i="12"/>
  <c r="T89" i="12"/>
  <c r="U88" i="12"/>
  <c r="T88" i="12"/>
  <c r="U87" i="12"/>
  <c r="T87" i="12"/>
  <c r="U86" i="12"/>
  <c r="T86" i="12"/>
  <c r="U85" i="12"/>
  <c r="T85" i="12"/>
  <c r="U84" i="12"/>
  <c r="T84" i="12"/>
  <c r="U83" i="12"/>
  <c r="T83" i="12"/>
  <c r="U82" i="12"/>
  <c r="T82" i="12"/>
  <c r="U81" i="12"/>
  <c r="V81" i="12" s="1"/>
  <c r="T81" i="12"/>
  <c r="U80" i="12"/>
  <c r="T80" i="12"/>
  <c r="U79" i="12"/>
  <c r="T79" i="12"/>
  <c r="U78" i="12"/>
  <c r="T78" i="12"/>
  <c r="U77" i="12"/>
  <c r="T77" i="12"/>
  <c r="U76" i="12"/>
  <c r="T76" i="12"/>
  <c r="U75" i="12"/>
  <c r="T75" i="12"/>
  <c r="U74" i="12"/>
  <c r="T74" i="12"/>
  <c r="U73" i="12"/>
  <c r="T73" i="12"/>
  <c r="U72" i="12"/>
  <c r="T72" i="12"/>
  <c r="U71" i="12"/>
  <c r="T71" i="12"/>
  <c r="U70" i="12"/>
  <c r="T70" i="12"/>
  <c r="U69" i="12"/>
  <c r="T69" i="12"/>
  <c r="U68" i="12"/>
  <c r="T68" i="12"/>
  <c r="U67" i="12"/>
  <c r="T67" i="12"/>
  <c r="U66" i="12"/>
  <c r="T66" i="12"/>
  <c r="U65" i="12"/>
  <c r="T65" i="12"/>
  <c r="U64" i="12"/>
  <c r="T64" i="12"/>
  <c r="U63" i="12"/>
  <c r="T63" i="12"/>
  <c r="U62" i="12"/>
  <c r="T62" i="12"/>
  <c r="U61" i="12"/>
  <c r="T61" i="12"/>
  <c r="U60" i="12"/>
  <c r="T60" i="12"/>
  <c r="U59" i="12"/>
  <c r="T59" i="12"/>
  <c r="U58" i="12"/>
  <c r="T58" i="12"/>
  <c r="U57" i="12"/>
  <c r="T57" i="12"/>
  <c r="U56" i="12"/>
  <c r="T56" i="12"/>
  <c r="U55" i="12"/>
  <c r="T55" i="12"/>
  <c r="U54" i="12"/>
  <c r="T54" i="12"/>
  <c r="U53" i="12"/>
  <c r="T53" i="12"/>
  <c r="U52" i="12"/>
  <c r="T52" i="12"/>
  <c r="U51" i="12"/>
  <c r="T51" i="12"/>
  <c r="U50" i="12"/>
  <c r="T50" i="12"/>
  <c r="U49" i="12"/>
  <c r="T49" i="12"/>
  <c r="U48" i="12"/>
  <c r="T48" i="12"/>
  <c r="U47" i="12"/>
  <c r="T47" i="12"/>
  <c r="U46" i="12"/>
  <c r="T46" i="12"/>
  <c r="U45" i="12"/>
  <c r="T45" i="12"/>
  <c r="U44" i="12"/>
  <c r="T44" i="12"/>
  <c r="U43" i="12"/>
  <c r="T43" i="12"/>
  <c r="U42" i="12"/>
  <c r="T42" i="12"/>
  <c r="U41" i="12"/>
  <c r="T41" i="12"/>
  <c r="U40" i="12"/>
  <c r="T40" i="12"/>
  <c r="U39" i="12"/>
  <c r="T39" i="12"/>
  <c r="U38" i="12"/>
  <c r="T38" i="12"/>
  <c r="U37" i="12"/>
  <c r="T37" i="12"/>
  <c r="U36" i="12"/>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T18" i="12"/>
  <c r="U17" i="12"/>
  <c r="T17" i="12"/>
  <c r="U16" i="12"/>
  <c r="T16" i="12"/>
  <c r="U15" i="12"/>
  <c r="T15" i="12"/>
  <c r="U14" i="12"/>
  <c r="T14" i="12"/>
  <c r="U13" i="12"/>
  <c r="T13" i="12"/>
  <c r="U12" i="12"/>
  <c r="T12" i="12"/>
  <c r="U11" i="12"/>
  <c r="T11" i="12"/>
  <c r="U10" i="12"/>
  <c r="T10" i="12"/>
  <c r="U9" i="12"/>
  <c r="T9" i="12"/>
  <c r="U8" i="12"/>
  <c r="T8" i="12"/>
  <c r="U7" i="12"/>
  <c r="T7" i="12"/>
  <c r="U6" i="12"/>
  <c r="T6" i="12"/>
  <c r="U5" i="12"/>
  <c r="T5" i="12"/>
  <c r="U4" i="12"/>
  <c r="T4" i="12"/>
  <c r="U3" i="12"/>
  <c r="T3" i="12"/>
  <c r="U2" i="12"/>
  <c r="T2" i="12"/>
  <c r="Q936" i="8"/>
  <c r="Q935" i="8"/>
  <c r="Q934" i="8"/>
  <c r="Q933" i="8"/>
  <c r="Q932" i="8"/>
  <c r="Q931" i="8"/>
  <c r="Q930" i="8"/>
  <c r="Q929" i="8"/>
  <c r="Q928" i="8"/>
  <c r="Q927" i="8"/>
  <c r="Q926" i="8"/>
  <c r="Q925" i="8"/>
  <c r="Q924" i="8"/>
  <c r="Q923" i="8"/>
  <c r="Q922" i="8"/>
  <c r="Q921" i="8"/>
  <c r="Q920" i="8"/>
  <c r="Q919" i="8"/>
  <c r="Q918" i="8"/>
  <c r="Q917" i="8"/>
  <c r="Q916" i="8"/>
  <c r="Q915" i="8"/>
  <c r="Q914" i="8"/>
  <c r="Q913" i="8"/>
  <c r="Q912" i="8"/>
  <c r="Q911" i="8"/>
  <c r="Q910" i="8"/>
  <c r="Q909" i="8"/>
  <c r="Q908" i="8"/>
  <c r="Q907" i="8"/>
  <c r="Q906" i="8"/>
  <c r="Q905" i="8"/>
  <c r="Q904" i="8"/>
  <c r="Q903" i="8"/>
  <c r="Q902" i="8"/>
  <c r="Q901" i="8"/>
  <c r="Q900" i="8"/>
  <c r="Q899" i="8"/>
  <c r="Q898" i="8"/>
  <c r="Q897" i="8"/>
  <c r="Q896" i="8"/>
  <c r="Q895" i="8"/>
  <c r="Q894" i="8"/>
  <c r="Q893" i="8"/>
  <c r="Q892" i="8"/>
  <c r="Q891" i="8"/>
  <c r="Q890" i="8"/>
  <c r="Q889" i="8"/>
  <c r="Q888" i="8"/>
  <c r="Q887" i="8"/>
  <c r="Q886" i="8"/>
  <c r="Q885" i="8"/>
  <c r="Q884" i="8"/>
  <c r="Q883" i="8"/>
  <c r="Q882" i="8"/>
  <c r="Q881" i="8"/>
  <c r="Q880" i="8"/>
  <c r="Q879" i="8"/>
  <c r="Q878" i="8"/>
  <c r="Q877" i="8"/>
  <c r="Q876" i="8"/>
  <c r="Q875" i="8"/>
  <c r="Q874" i="8"/>
  <c r="Q873" i="8"/>
  <c r="Q872" i="8"/>
  <c r="Q871" i="8"/>
  <c r="Q870" i="8"/>
  <c r="Q869" i="8"/>
  <c r="Q868" i="8"/>
  <c r="Q867" i="8"/>
  <c r="Q866" i="8"/>
  <c r="Q865" i="8"/>
  <c r="Q864" i="8"/>
  <c r="Q863" i="8"/>
  <c r="Q862" i="8"/>
  <c r="Q861" i="8"/>
  <c r="Q860" i="8"/>
  <c r="Q859" i="8"/>
  <c r="Q858" i="8"/>
  <c r="Q857" i="8"/>
  <c r="Q856" i="8"/>
  <c r="Q855" i="8"/>
  <c r="Q854" i="8"/>
  <c r="Q853" i="8"/>
  <c r="Q852" i="8"/>
  <c r="Q851" i="8"/>
  <c r="Q850" i="8"/>
  <c r="Q849" i="8"/>
  <c r="Q848" i="8"/>
  <c r="Q847" i="8"/>
  <c r="Q846" i="8"/>
  <c r="Q845" i="8"/>
  <c r="Q844" i="8"/>
  <c r="Q843" i="8"/>
  <c r="Q842" i="8"/>
  <c r="Q841" i="8"/>
  <c r="Q840" i="8"/>
  <c r="Q839" i="8"/>
  <c r="Q838" i="8"/>
  <c r="Q837" i="8"/>
  <c r="Q836" i="8"/>
  <c r="Q835" i="8"/>
  <c r="Q834" i="8"/>
  <c r="Q833" i="8"/>
  <c r="Q832" i="8"/>
  <c r="Q831" i="8"/>
  <c r="Q830" i="8"/>
  <c r="Q829" i="8"/>
  <c r="Q828" i="8"/>
  <c r="Q827" i="8"/>
  <c r="Q826" i="8"/>
  <c r="Q825" i="8"/>
  <c r="Q824" i="8"/>
  <c r="Q823" i="8"/>
  <c r="Q822" i="8"/>
  <c r="Q821" i="8"/>
  <c r="Q820" i="8"/>
  <c r="Q819" i="8"/>
  <c r="Q818" i="8"/>
  <c r="Q817" i="8"/>
  <c r="Q816" i="8"/>
  <c r="Q815" i="8"/>
  <c r="Q814" i="8"/>
  <c r="Q813" i="8"/>
  <c r="Q812" i="8"/>
  <c r="Q811" i="8"/>
  <c r="Q810" i="8"/>
  <c r="Q809" i="8"/>
  <c r="Q808" i="8"/>
  <c r="Q807" i="8"/>
  <c r="Q806" i="8"/>
  <c r="Q805" i="8"/>
  <c r="Q804" i="8"/>
  <c r="Q803" i="8"/>
  <c r="Q802" i="8"/>
  <c r="Q801" i="8"/>
  <c r="Q800" i="8"/>
  <c r="Q799" i="8"/>
  <c r="Q798" i="8"/>
  <c r="Q797" i="8"/>
  <c r="Q796" i="8"/>
  <c r="Q795" i="8"/>
  <c r="Q794" i="8"/>
  <c r="Q793" i="8"/>
  <c r="Q792" i="8"/>
  <c r="Q791" i="8"/>
  <c r="Q790" i="8"/>
  <c r="Q789" i="8"/>
  <c r="Q788" i="8"/>
  <c r="Q787" i="8"/>
  <c r="Q786" i="8"/>
  <c r="Q785" i="8"/>
  <c r="Q784" i="8"/>
  <c r="Q783" i="8"/>
  <c r="Q782" i="8"/>
  <c r="Q781" i="8"/>
  <c r="Q780" i="8"/>
  <c r="Q779" i="8"/>
  <c r="Q778" i="8"/>
  <c r="Q777" i="8"/>
  <c r="Q776" i="8"/>
  <c r="Q775" i="8"/>
  <c r="Q774" i="8"/>
  <c r="Q773" i="8"/>
  <c r="Q772" i="8"/>
  <c r="Q771" i="8"/>
  <c r="Q770" i="8"/>
  <c r="Q769" i="8"/>
  <c r="Q768" i="8"/>
  <c r="Q767" i="8"/>
  <c r="Q766" i="8"/>
  <c r="Q765" i="8"/>
  <c r="Q764" i="8"/>
  <c r="Q763" i="8"/>
  <c r="Q762" i="8"/>
  <c r="Q761" i="8"/>
  <c r="Q760" i="8"/>
  <c r="Q759" i="8"/>
  <c r="Q758" i="8"/>
  <c r="Q757" i="8"/>
  <c r="Q756" i="8"/>
  <c r="Q755" i="8"/>
  <c r="Q754" i="8"/>
  <c r="Q753" i="8"/>
  <c r="Q752" i="8"/>
  <c r="Q751" i="8"/>
  <c r="Q750" i="8"/>
  <c r="Q749" i="8"/>
  <c r="Q748" i="8"/>
  <c r="Q747" i="8"/>
  <c r="Q746" i="8"/>
  <c r="Q745" i="8"/>
  <c r="Q744" i="8"/>
  <c r="Q743" i="8"/>
  <c r="Q742" i="8"/>
  <c r="Q741" i="8"/>
  <c r="Q740" i="8"/>
  <c r="Q739" i="8"/>
  <c r="Q738" i="8"/>
  <c r="Q737" i="8"/>
  <c r="Q736" i="8"/>
  <c r="Q735" i="8"/>
  <c r="Q734" i="8"/>
  <c r="Q733" i="8"/>
  <c r="Q732" i="8"/>
  <c r="Q731" i="8"/>
  <c r="Q730" i="8"/>
  <c r="Q729" i="8"/>
  <c r="Q728" i="8"/>
  <c r="Q727" i="8"/>
  <c r="Q726" i="8"/>
  <c r="Q725" i="8"/>
  <c r="Q724" i="8"/>
  <c r="Q723" i="8"/>
  <c r="Q722" i="8"/>
  <c r="Q721" i="8"/>
  <c r="Q720" i="8"/>
  <c r="Q719" i="8"/>
  <c r="Q718" i="8"/>
  <c r="Q717" i="8"/>
  <c r="Q716" i="8"/>
  <c r="Q715" i="8"/>
  <c r="Q714" i="8"/>
  <c r="Q713" i="8"/>
  <c r="Q712" i="8"/>
  <c r="Q711" i="8"/>
  <c r="Q710" i="8"/>
  <c r="Q709" i="8"/>
  <c r="Q708" i="8"/>
  <c r="Q707" i="8"/>
  <c r="Q706" i="8"/>
  <c r="Q705" i="8"/>
  <c r="Q704" i="8"/>
  <c r="Q703" i="8"/>
  <c r="Q702" i="8"/>
  <c r="Q701" i="8"/>
  <c r="Q700" i="8"/>
  <c r="Q699" i="8"/>
  <c r="Q698" i="8"/>
  <c r="Q697" i="8"/>
  <c r="Q696" i="8"/>
  <c r="Q695" i="8"/>
  <c r="Q694" i="8"/>
  <c r="Q693" i="8"/>
  <c r="Q692" i="8"/>
  <c r="Q691" i="8"/>
  <c r="Q690" i="8"/>
  <c r="Q689" i="8"/>
  <c r="Q688" i="8"/>
  <c r="Q687" i="8"/>
  <c r="Q686" i="8"/>
  <c r="Q685" i="8"/>
  <c r="Q684" i="8"/>
  <c r="Q683" i="8"/>
  <c r="Q682" i="8"/>
  <c r="Q681" i="8"/>
  <c r="Q680" i="8"/>
  <c r="Q679" i="8"/>
  <c r="Q678" i="8"/>
  <c r="Q677" i="8"/>
  <c r="Q676" i="8"/>
  <c r="Q675" i="8"/>
  <c r="Q674" i="8"/>
  <c r="Q673" i="8"/>
  <c r="Q672" i="8"/>
  <c r="Q671" i="8"/>
  <c r="Q670" i="8"/>
  <c r="Q669" i="8"/>
  <c r="Q668" i="8"/>
  <c r="Q667" i="8"/>
  <c r="Q666" i="8"/>
  <c r="Q665" i="8"/>
  <c r="Q664" i="8"/>
  <c r="Q663" i="8"/>
  <c r="Q662" i="8"/>
  <c r="Q661" i="8"/>
  <c r="Q660" i="8"/>
  <c r="Q659" i="8"/>
  <c r="Q658" i="8"/>
  <c r="Q657" i="8"/>
  <c r="Q656" i="8"/>
  <c r="Q655" i="8"/>
  <c r="Q654" i="8"/>
  <c r="Q653" i="8"/>
  <c r="Q652" i="8"/>
  <c r="Q651" i="8"/>
  <c r="Q650" i="8"/>
  <c r="Q649" i="8"/>
  <c r="Q648" i="8"/>
  <c r="Q647" i="8"/>
  <c r="Q646" i="8"/>
  <c r="Q645" i="8"/>
  <c r="Q644" i="8"/>
  <c r="Q643" i="8"/>
  <c r="Q642" i="8"/>
  <c r="Q641" i="8"/>
  <c r="Q640" i="8"/>
  <c r="Q639" i="8"/>
  <c r="Q638" i="8"/>
  <c r="Q637" i="8"/>
  <c r="Q636" i="8"/>
  <c r="Q635" i="8"/>
  <c r="Q634" i="8"/>
  <c r="Q633" i="8"/>
  <c r="Q632" i="8"/>
  <c r="Q631" i="8"/>
  <c r="Q630" i="8"/>
  <c r="Q629" i="8"/>
  <c r="Q628" i="8"/>
  <c r="Q627" i="8"/>
  <c r="Q626" i="8"/>
  <c r="Q625" i="8"/>
  <c r="Q624" i="8"/>
  <c r="Q623" i="8"/>
  <c r="Q622" i="8"/>
  <c r="Q621" i="8"/>
  <c r="Q620" i="8"/>
  <c r="Q619" i="8"/>
  <c r="Q618" i="8"/>
  <c r="Q617" i="8"/>
  <c r="Q616" i="8"/>
  <c r="Q615" i="8"/>
  <c r="Q614" i="8"/>
  <c r="Q613" i="8"/>
  <c r="Q612" i="8"/>
  <c r="Q611" i="8"/>
  <c r="Q610" i="8"/>
  <c r="Q609" i="8"/>
  <c r="Q608" i="8"/>
  <c r="Q607" i="8"/>
  <c r="Q606" i="8"/>
  <c r="Q605" i="8"/>
  <c r="Q604" i="8"/>
  <c r="Q603" i="8"/>
  <c r="Q602" i="8"/>
  <c r="Q601" i="8"/>
  <c r="Q600" i="8"/>
  <c r="Q599" i="8"/>
  <c r="Q598" i="8"/>
  <c r="Q597" i="8"/>
  <c r="Q596" i="8"/>
  <c r="Q595" i="8"/>
  <c r="Q594" i="8"/>
  <c r="Q593" i="8"/>
  <c r="Q592" i="8"/>
  <c r="Q591" i="8"/>
  <c r="Q590" i="8"/>
  <c r="Q589" i="8"/>
  <c r="Q588" i="8"/>
  <c r="Q587" i="8"/>
  <c r="Q586" i="8"/>
  <c r="Q585" i="8"/>
  <c r="Q584" i="8"/>
  <c r="Q583" i="8"/>
  <c r="Q582" i="8"/>
  <c r="Q581" i="8"/>
  <c r="Q580" i="8"/>
  <c r="Q579" i="8"/>
  <c r="Q578" i="8"/>
  <c r="Q577" i="8"/>
  <c r="Q576" i="8"/>
  <c r="Q575" i="8"/>
  <c r="Q574" i="8"/>
  <c r="Q573" i="8"/>
  <c r="Q572" i="8"/>
  <c r="Q571" i="8"/>
  <c r="Q570" i="8"/>
  <c r="Q569" i="8"/>
  <c r="Q568" i="8"/>
  <c r="Q567" i="8"/>
  <c r="Q566" i="8"/>
  <c r="Q565" i="8"/>
  <c r="Q564" i="8"/>
  <c r="Q563" i="8"/>
  <c r="Q562" i="8"/>
  <c r="Q561" i="8"/>
  <c r="Q560" i="8"/>
  <c r="Q559" i="8"/>
  <c r="Q558" i="8"/>
  <c r="Q557" i="8"/>
  <c r="Q556" i="8"/>
  <c r="Q555" i="8"/>
  <c r="Q554" i="8"/>
  <c r="Q553" i="8"/>
  <c r="Q552" i="8"/>
  <c r="Q551" i="8"/>
  <c r="Q550" i="8"/>
  <c r="Q549" i="8"/>
  <c r="Q548" i="8"/>
  <c r="Q547" i="8"/>
  <c r="Q546" i="8"/>
  <c r="Q545" i="8"/>
  <c r="Q544" i="8"/>
  <c r="Q543" i="8"/>
  <c r="Q542" i="8"/>
  <c r="Q541" i="8"/>
  <c r="Q540" i="8"/>
  <c r="Q539" i="8"/>
  <c r="Q538" i="8"/>
  <c r="Q537" i="8"/>
  <c r="Q536" i="8"/>
  <c r="Q535" i="8"/>
  <c r="Q534" i="8"/>
  <c r="Q533" i="8"/>
  <c r="Q532" i="8"/>
  <c r="Q531" i="8"/>
  <c r="Q530" i="8"/>
  <c r="Q529" i="8"/>
  <c r="Q528" i="8"/>
  <c r="Q527" i="8"/>
  <c r="Q526" i="8"/>
  <c r="Q525" i="8"/>
  <c r="Q524" i="8"/>
  <c r="Q523" i="8"/>
  <c r="Q522" i="8"/>
  <c r="Q521" i="8"/>
  <c r="Q520" i="8"/>
  <c r="Q519" i="8"/>
  <c r="Q518" i="8"/>
  <c r="Q517" i="8"/>
  <c r="Q516" i="8"/>
  <c r="Q515" i="8"/>
  <c r="Q514" i="8"/>
  <c r="Q513" i="8"/>
  <c r="Q512" i="8"/>
  <c r="Q511" i="8"/>
  <c r="Q510" i="8"/>
  <c r="Q509" i="8"/>
  <c r="Q508" i="8"/>
  <c r="Q507" i="8"/>
  <c r="Q506" i="8"/>
  <c r="Q505" i="8"/>
  <c r="Q504" i="8"/>
  <c r="Q503" i="8"/>
  <c r="Q502" i="8"/>
  <c r="Q501" i="8"/>
  <c r="Q500" i="8"/>
  <c r="Q499" i="8"/>
  <c r="Q498" i="8"/>
  <c r="Q497" i="8"/>
  <c r="Q496" i="8"/>
  <c r="Q495" i="8"/>
  <c r="Q494" i="8"/>
  <c r="Q493" i="8"/>
  <c r="Q492" i="8"/>
  <c r="Q491" i="8"/>
  <c r="Q490" i="8"/>
  <c r="Q489" i="8"/>
  <c r="Q488" i="8"/>
  <c r="Q487" i="8"/>
  <c r="Q486" i="8"/>
  <c r="Q485" i="8"/>
  <c r="Q484" i="8"/>
  <c r="Q483" i="8"/>
  <c r="Q482" i="8"/>
  <c r="Q481" i="8"/>
  <c r="Q480" i="8"/>
  <c r="Q479" i="8"/>
  <c r="Q478" i="8"/>
  <c r="Q477" i="8"/>
  <c r="Q476" i="8"/>
  <c r="Q475" i="8"/>
  <c r="Q474" i="8"/>
  <c r="Q473" i="8"/>
  <c r="Q472" i="8"/>
  <c r="Q471" i="8"/>
  <c r="Q470" i="8"/>
  <c r="Q469" i="8"/>
  <c r="Q468" i="8"/>
  <c r="Q467" i="8"/>
  <c r="Q466" i="8"/>
  <c r="Q465" i="8"/>
  <c r="Q464" i="8"/>
  <c r="Q463" i="8"/>
  <c r="Q462" i="8"/>
  <c r="Q461" i="8"/>
  <c r="Q460" i="8"/>
  <c r="Q459" i="8"/>
  <c r="Q458" i="8"/>
  <c r="Q457" i="8"/>
  <c r="Q456" i="8"/>
  <c r="Q455" i="8"/>
  <c r="Q454" i="8"/>
  <c r="Q453" i="8"/>
  <c r="Q452" i="8"/>
  <c r="Q451" i="8"/>
  <c r="Q450" i="8"/>
  <c r="Q449" i="8"/>
  <c r="Q448" i="8"/>
  <c r="Q447" i="8"/>
  <c r="Q446" i="8"/>
  <c r="Q445" i="8"/>
  <c r="Q444" i="8"/>
  <c r="Q443" i="8"/>
  <c r="Q442" i="8"/>
  <c r="Q441" i="8"/>
  <c r="Q440" i="8"/>
  <c r="Q439" i="8"/>
  <c r="Q438" i="8"/>
  <c r="Q437" i="8"/>
  <c r="Q436" i="8"/>
  <c r="Q435" i="8"/>
  <c r="Q434" i="8"/>
  <c r="Q433" i="8"/>
  <c r="Q432" i="8"/>
  <c r="Q431" i="8"/>
  <c r="Q430" i="8"/>
  <c r="Q429" i="8"/>
  <c r="Q428" i="8"/>
  <c r="Q427" i="8"/>
  <c r="Q426" i="8"/>
  <c r="Q425" i="8"/>
  <c r="Q424" i="8"/>
  <c r="Q423" i="8"/>
  <c r="Q422" i="8"/>
  <c r="Q421" i="8"/>
  <c r="Q420" i="8"/>
  <c r="Q419" i="8"/>
  <c r="Q418" i="8"/>
  <c r="Q417" i="8"/>
  <c r="Q416" i="8"/>
  <c r="Q415" i="8"/>
  <c r="Q414" i="8"/>
  <c r="Q413" i="8"/>
  <c r="Q412" i="8"/>
  <c r="Q411" i="8"/>
  <c r="Q410" i="8"/>
  <c r="Q409" i="8"/>
  <c r="Q408" i="8"/>
  <c r="Q407" i="8"/>
  <c r="Q406" i="8"/>
  <c r="Q405" i="8"/>
  <c r="Q404" i="8"/>
  <c r="Q403" i="8"/>
  <c r="Q402" i="8"/>
  <c r="Q401" i="8"/>
  <c r="Q400" i="8"/>
  <c r="Q399" i="8"/>
  <c r="Q398" i="8"/>
  <c r="Q397" i="8"/>
  <c r="Q396" i="8"/>
  <c r="Q395" i="8"/>
  <c r="Q394" i="8"/>
  <c r="Q393" i="8"/>
  <c r="Q392" i="8"/>
  <c r="Q391" i="8"/>
  <c r="Q390" i="8"/>
  <c r="Q389" i="8"/>
  <c r="Q388" i="8"/>
  <c r="Q387" i="8"/>
  <c r="Q386" i="8"/>
  <c r="Q385" i="8"/>
  <c r="Q384" i="8"/>
  <c r="Q383" i="8"/>
  <c r="Q382" i="8"/>
  <c r="Q381" i="8"/>
  <c r="Q380" i="8"/>
  <c r="Q379" i="8"/>
  <c r="Q378" i="8"/>
  <c r="Q377" i="8"/>
  <c r="Q376" i="8"/>
  <c r="Q375" i="8"/>
  <c r="Q374" i="8"/>
  <c r="Q373" i="8"/>
  <c r="Q372" i="8"/>
  <c r="Q371" i="8"/>
  <c r="Q370" i="8"/>
  <c r="Q369" i="8"/>
  <c r="Q368" i="8"/>
  <c r="Q367" i="8"/>
  <c r="Q366" i="8"/>
  <c r="Q365" i="8"/>
  <c r="Q364" i="8"/>
  <c r="Q363" i="8"/>
  <c r="Q362" i="8"/>
  <c r="Q361" i="8"/>
  <c r="Q360" i="8"/>
  <c r="Q359" i="8"/>
  <c r="Q358" i="8"/>
  <c r="Q357" i="8"/>
  <c r="Q356" i="8"/>
  <c r="Q355" i="8"/>
  <c r="Q354" i="8"/>
  <c r="Q353" i="8"/>
  <c r="Q352" i="8"/>
  <c r="Q351" i="8"/>
  <c r="Q350" i="8"/>
  <c r="Q349" i="8"/>
  <c r="Q348" i="8"/>
  <c r="Q347" i="8"/>
  <c r="Q346" i="8"/>
  <c r="Q345" i="8"/>
  <c r="Q344" i="8"/>
  <c r="Q343" i="8"/>
  <c r="Q342" i="8"/>
  <c r="Q341" i="8"/>
  <c r="Q340" i="8"/>
  <c r="Q339" i="8"/>
  <c r="Q338" i="8"/>
  <c r="Q337" i="8"/>
  <c r="Q336" i="8"/>
  <c r="Q335" i="8"/>
  <c r="Q334" i="8"/>
  <c r="Q333" i="8"/>
  <c r="Q332" i="8"/>
  <c r="Q331" i="8"/>
  <c r="Q330" i="8"/>
  <c r="Q329" i="8"/>
  <c r="Q328" i="8"/>
  <c r="Q327" i="8"/>
  <c r="Q326" i="8"/>
  <c r="Q325" i="8"/>
  <c r="Q324" i="8"/>
  <c r="Q323" i="8"/>
  <c r="Q322" i="8"/>
  <c r="Q321" i="8"/>
  <c r="Q320" i="8"/>
  <c r="Q319" i="8"/>
  <c r="Q318" i="8"/>
  <c r="Q317" i="8"/>
  <c r="Q316" i="8"/>
  <c r="Q315" i="8"/>
  <c r="Q314" i="8"/>
  <c r="Q313" i="8"/>
  <c r="Q312" i="8"/>
  <c r="Q311" i="8"/>
  <c r="Q310" i="8"/>
  <c r="Q309" i="8"/>
  <c r="Q308" i="8"/>
  <c r="Q307" i="8"/>
  <c r="Q306" i="8"/>
  <c r="Q305" i="8"/>
  <c r="Q304" i="8"/>
  <c r="Q303" i="8"/>
  <c r="Q302" i="8"/>
  <c r="Q301" i="8"/>
  <c r="Q300" i="8"/>
  <c r="Q299" i="8"/>
  <c r="Q298" i="8"/>
  <c r="Q297" i="8"/>
  <c r="Q296" i="8"/>
  <c r="Q295" i="8"/>
  <c r="Q294" i="8"/>
  <c r="Q293" i="8"/>
  <c r="Q292" i="8"/>
  <c r="Q291" i="8"/>
  <c r="Q290" i="8"/>
  <c r="Q289" i="8"/>
  <c r="Q288" i="8"/>
  <c r="Q287" i="8"/>
  <c r="Q286" i="8"/>
  <c r="Q285" i="8"/>
  <c r="Q284" i="8"/>
  <c r="Q283" i="8"/>
  <c r="Q282" i="8"/>
  <c r="Q281" i="8"/>
  <c r="Q280" i="8"/>
  <c r="Q279" i="8"/>
  <c r="Q278" i="8"/>
  <c r="Q277" i="8"/>
  <c r="Q276" i="8"/>
  <c r="Q275" i="8"/>
  <c r="Q274" i="8"/>
  <c r="Q273" i="8"/>
  <c r="Q272" i="8"/>
  <c r="Q271" i="8"/>
  <c r="Q270" i="8"/>
  <c r="Q269" i="8"/>
  <c r="Q268" i="8"/>
  <c r="Q267" i="8"/>
  <c r="Q266" i="8"/>
  <c r="Q265" i="8"/>
  <c r="Q264" i="8"/>
  <c r="Q263" i="8"/>
  <c r="Q262" i="8"/>
  <c r="Q261" i="8"/>
  <c r="Q260" i="8"/>
  <c r="Q259" i="8"/>
  <c r="Q258" i="8"/>
  <c r="Q257" i="8"/>
  <c r="Q256" i="8"/>
  <c r="Q255" i="8"/>
  <c r="Q254" i="8"/>
  <c r="Q253" i="8"/>
  <c r="Q252" i="8"/>
  <c r="Q251" i="8"/>
  <c r="Q250" i="8"/>
  <c r="Q249" i="8"/>
  <c r="Q248" i="8"/>
  <c r="Q247" i="8"/>
  <c r="Q246" i="8"/>
  <c r="Q245" i="8"/>
  <c r="Q244" i="8"/>
  <c r="Q243" i="8"/>
  <c r="Q242" i="8"/>
  <c r="Q241" i="8"/>
  <c r="Q240" i="8"/>
  <c r="Q239" i="8"/>
  <c r="Q238" i="8"/>
  <c r="Q237" i="8"/>
  <c r="Q236" i="8"/>
  <c r="Q235" i="8"/>
  <c r="Q234" i="8"/>
  <c r="Q233" i="8"/>
  <c r="Q232" i="8"/>
  <c r="Q231" i="8"/>
  <c r="Q230" i="8"/>
  <c r="Q229" i="8"/>
  <c r="Q228" i="8"/>
  <c r="Q227" i="8"/>
  <c r="Q226" i="8"/>
  <c r="Q225" i="8"/>
  <c r="Q224" i="8"/>
  <c r="Q223" i="8"/>
  <c r="Q222" i="8"/>
  <c r="Q221" i="8"/>
  <c r="Q220" i="8"/>
  <c r="Q219" i="8"/>
  <c r="Q218" i="8"/>
  <c r="Q217" i="8"/>
  <c r="Q216" i="8"/>
  <c r="Q215" i="8"/>
  <c r="Q214" i="8"/>
  <c r="Q213" i="8"/>
  <c r="Q212" i="8"/>
  <c r="Q211" i="8"/>
  <c r="Q210" i="8"/>
  <c r="Q209" i="8"/>
  <c r="Q208" i="8"/>
  <c r="Q207" i="8"/>
  <c r="Q206" i="8"/>
  <c r="Q205" i="8"/>
  <c r="Q204" i="8"/>
  <c r="Q203" i="8"/>
  <c r="Q202" i="8"/>
  <c r="Q201" i="8"/>
  <c r="Q200" i="8"/>
  <c r="Q199" i="8"/>
  <c r="Q198" i="8"/>
  <c r="Q197" i="8"/>
  <c r="Q196" i="8"/>
  <c r="Q195" i="8"/>
  <c r="Q194" i="8"/>
  <c r="Q193" i="8"/>
  <c r="Q192" i="8"/>
  <c r="Q191" i="8"/>
  <c r="Q190" i="8"/>
  <c r="Q189" i="8"/>
  <c r="Q188" i="8"/>
  <c r="Q187" i="8"/>
  <c r="Q186" i="8"/>
  <c r="Q185" i="8"/>
  <c r="Q184" i="8"/>
  <c r="Q183" i="8"/>
  <c r="Q182" i="8"/>
  <c r="Q181" i="8"/>
  <c r="Q180" i="8"/>
  <c r="Q179" i="8"/>
  <c r="Q178" i="8"/>
  <c r="Q177" i="8"/>
  <c r="Q176" i="8"/>
  <c r="Q175" i="8"/>
  <c r="Q174" i="8"/>
  <c r="Q173" i="8"/>
  <c r="Q172" i="8"/>
  <c r="Q171" i="8"/>
  <c r="Q170" i="8"/>
  <c r="Q169" i="8"/>
  <c r="Q168" i="8"/>
  <c r="Q167" i="8"/>
  <c r="Q166" i="8"/>
  <c r="Q165" i="8"/>
  <c r="Q164" i="8"/>
  <c r="Q163" i="8"/>
  <c r="Q162" i="8"/>
  <c r="Q161" i="8"/>
  <c r="Q160" i="8"/>
  <c r="Q159" i="8"/>
  <c r="Q158" i="8"/>
  <c r="Q157" i="8"/>
  <c r="Q156" i="8"/>
  <c r="Q155" i="8"/>
  <c r="Q154" i="8"/>
  <c r="Q153" i="8"/>
  <c r="Q152" i="8"/>
  <c r="Q151" i="8"/>
  <c r="Q150" i="8"/>
  <c r="Q149" i="8"/>
  <c r="Q148" i="8"/>
  <c r="Q147" i="8"/>
  <c r="Q146" i="8"/>
  <c r="Q145" i="8"/>
  <c r="Q144" i="8"/>
  <c r="Q143" i="8"/>
  <c r="Q142" i="8"/>
  <c r="Q141" i="8"/>
  <c r="Q140" i="8"/>
  <c r="Q139" i="8"/>
  <c r="Q138" i="8"/>
  <c r="Q137" i="8"/>
  <c r="Q136" i="8"/>
  <c r="Q135" i="8"/>
  <c r="Q134" i="8"/>
  <c r="Q133" i="8"/>
  <c r="Q132" i="8"/>
  <c r="Q131" i="8"/>
  <c r="Q130" i="8"/>
  <c r="Q129" i="8"/>
  <c r="Q128" i="8"/>
  <c r="Q127" i="8"/>
  <c r="Q126" i="8"/>
  <c r="Q125" i="8"/>
  <c r="Q124" i="8"/>
  <c r="Q123" i="8"/>
  <c r="Q122" i="8"/>
  <c r="Q121" i="8"/>
  <c r="Q120" i="8"/>
  <c r="Q119" i="8"/>
  <c r="Q118" i="8"/>
  <c r="Q117" i="8"/>
  <c r="Q116" i="8"/>
  <c r="Q115" i="8"/>
  <c r="Q114" i="8"/>
  <c r="Q113" i="8"/>
  <c r="Q112" i="8"/>
  <c r="Q111" i="8"/>
  <c r="Q110" i="8"/>
  <c r="Q109" i="8"/>
  <c r="Q108" i="8"/>
  <c r="Q107" i="8"/>
  <c r="Q106" i="8"/>
  <c r="Q105" i="8"/>
  <c r="Q104" i="8"/>
  <c r="Q103" i="8"/>
  <c r="Q102" i="8"/>
  <c r="Q101" i="8"/>
  <c r="Q100" i="8"/>
  <c r="Q99" i="8"/>
  <c r="Q98" i="8"/>
  <c r="Q97" i="8"/>
  <c r="Q96" i="8"/>
  <c r="Q95" i="8"/>
  <c r="Q94" i="8"/>
  <c r="Q93" i="8"/>
  <c r="Q92" i="8"/>
  <c r="Q91" i="8"/>
  <c r="Q90" i="8"/>
  <c r="Q89" i="8"/>
  <c r="Q88" i="8"/>
  <c r="Q87" i="8"/>
  <c r="Q86" i="8"/>
  <c r="Q85" i="8"/>
  <c r="Q84" i="8"/>
  <c r="Q83" i="8"/>
  <c r="Q82" i="8"/>
  <c r="Q81" i="8"/>
  <c r="Q80" i="8"/>
  <c r="Q79" i="8"/>
  <c r="Q78" i="8"/>
  <c r="Q77" i="8"/>
  <c r="Q76" i="8"/>
  <c r="Q75" i="8"/>
  <c r="Q74" i="8"/>
  <c r="Q73" i="8"/>
  <c r="Q72" i="8"/>
  <c r="Q71" i="8"/>
  <c r="Q70" i="8"/>
  <c r="Q69" i="8"/>
  <c r="Q68" i="8"/>
  <c r="Q67" i="8"/>
  <c r="Q66" i="8"/>
  <c r="Q65" i="8"/>
  <c r="Q64" i="8"/>
  <c r="Q63" i="8"/>
  <c r="Q62" i="8"/>
  <c r="Q61" i="8"/>
  <c r="Q60" i="8"/>
  <c r="Q59" i="8"/>
  <c r="Q58" i="8"/>
  <c r="Q57" i="8"/>
  <c r="Q56" i="8"/>
  <c r="Q55" i="8"/>
  <c r="Q54" i="8"/>
  <c r="Q53" i="8"/>
  <c r="Q52" i="8"/>
  <c r="Q51" i="8"/>
  <c r="Q50" i="8"/>
  <c r="Q49" i="8"/>
  <c r="Q48" i="8"/>
  <c r="Q47" i="8"/>
  <c r="Q46" i="8"/>
  <c r="Q45" i="8"/>
  <c r="Q44" i="8"/>
  <c r="Q43" i="8"/>
  <c r="Q42" i="8"/>
  <c r="Q41" i="8"/>
  <c r="Q40" i="8"/>
  <c r="Q39" i="8"/>
  <c r="Q38" i="8"/>
  <c r="Q37" i="8"/>
  <c r="Q36" i="8"/>
  <c r="Q35" i="8"/>
  <c r="Q34" i="8"/>
  <c r="Q33" i="8"/>
  <c r="Q32" i="8"/>
  <c r="Q31" i="8"/>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U1580" i="1"/>
  <c r="V3" i="12" l="1"/>
  <c r="V41" i="12"/>
  <c r="V26" i="12"/>
  <c r="V219" i="12"/>
  <c r="V18" i="12"/>
  <c r="V207" i="12"/>
  <c r="V33" i="12"/>
  <c r="V132" i="12"/>
  <c r="V181" i="12"/>
  <c r="V329" i="12"/>
  <c r="V106" i="12"/>
  <c r="V73" i="12"/>
  <c r="V14" i="12"/>
  <c r="V105" i="12"/>
  <c r="V32" i="12"/>
  <c r="V82" i="12"/>
  <c r="V98" i="12"/>
  <c r="V272" i="12"/>
  <c r="V86" i="12"/>
  <c r="V340" i="12"/>
  <c r="V150" i="12"/>
  <c r="V167" i="12"/>
  <c r="V102" i="12"/>
  <c r="V197" i="12"/>
  <c r="V129" i="12"/>
  <c r="V192" i="12"/>
  <c r="V256" i="12"/>
  <c r="V242" i="12"/>
  <c r="V227" i="12"/>
  <c r="V11" i="12"/>
  <c r="V232" i="12"/>
  <c r="V264" i="12"/>
  <c r="V58" i="12"/>
  <c r="V137" i="12"/>
  <c r="V169" i="12"/>
  <c r="V344" i="12"/>
  <c r="V201" i="12"/>
  <c r="V233" i="12"/>
  <c r="V249" i="12"/>
  <c r="V265" i="12"/>
  <c r="V281" i="12"/>
  <c r="V297" i="12"/>
  <c r="V91" i="12"/>
  <c r="V138" i="12"/>
  <c r="V123" i="12"/>
  <c r="V186" i="12"/>
  <c r="V250" i="12"/>
  <c r="V298" i="12"/>
  <c r="V320" i="12"/>
  <c r="V162" i="12"/>
  <c r="V68" i="12"/>
  <c r="V69" i="12"/>
  <c r="V212" i="12"/>
  <c r="V61" i="12"/>
  <c r="V31" i="12"/>
  <c r="V46" i="12"/>
  <c r="V78" i="12"/>
  <c r="V110" i="12"/>
  <c r="V142" i="12"/>
  <c r="V158" i="12"/>
  <c r="V174" i="12"/>
  <c r="V349" i="12"/>
  <c r="V2" i="12"/>
  <c r="V17" i="12"/>
  <c r="V206" i="12"/>
  <c r="V238" i="12"/>
  <c r="V270" i="12"/>
  <c r="V302" i="12"/>
  <c r="V175" i="12"/>
  <c r="V334" i="12"/>
  <c r="V244" i="12"/>
  <c r="V260" i="12"/>
  <c r="V229" i="12"/>
  <c r="V245" i="12"/>
  <c r="V230" i="12"/>
  <c r="V335" i="12"/>
  <c r="V336" i="12"/>
  <c r="V321" i="12"/>
  <c r="V274" i="12"/>
  <c r="V290" i="12"/>
  <c r="V306" i="12"/>
  <c r="V259" i="12"/>
  <c r="V275" i="12"/>
  <c r="V199" i="12"/>
  <c r="V153" i="12"/>
  <c r="V184" i="12"/>
  <c r="V200" i="12"/>
  <c r="V154" i="12"/>
  <c r="V93" i="12"/>
  <c r="V109" i="12"/>
  <c r="V125" i="12"/>
  <c r="V94" i="12"/>
  <c r="V63" i="12"/>
  <c r="V48" i="12"/>
  <c r="V64" i="12"/>
  <c r="V4" i="12"/>
  <c r="V202" i="12"/>
  <c r="V339" i="12"/>
  <c r="V37" i="12"/>
  <c r="V52" i="12"/>
  <c r="V112" i="12"/>
  <c r="V128" i="12"/>
  <c r="V173" i="12"/>
  <c r="V203" i="12"/>
  <c r="V294" i="12"/>
  <c r="V309" i="12"/>
  <c r="V155" i="12"/>
  <c r="V292" i="12"/>
  <c r="V83" i="12"/>
  <c r="V99" i="12"/>
  <c r="V189" i="12"/>
  <c r="V280" i="12"/>
  <c r="V341" i="12"/>
  <c r="V24" i="12"/>
  <c r="V54" i="12"/>
  <c r="V114" i="12"/>
  <c r="V130" i="12"/>
  <c r="V144" i="12"/>
  <c r="V205" i="12"/>
  <c r="V235" i="12"/>
  <c r="V296" i="12"/>
  <c r="V84" i="12"/>
  <c r="V100" i="12"/>
  <c r="V160" i="12"/>
  <c r="V190" i="12"/>
  <c r="V327" i="12"/>
  <c r="V342" i="12"/>
  <c r="V25" i="12"/>
  <c r="V40" i="12"/>
  <c r="V70" i="12"/>
  <c r="V115" i="12"/>
  <c r="V131" i="12"/>
  <c r="V145" i="12"/>
  <c r="V221" i="12"/>
  <c r="V266" i="12"/>
  <c r="V312" i="12"/>
  <c r="V85" i="12"/>
  <c r="V101" i="12"/>
  <c r="V161" i="12"/>
  <c r="V191" i="12"/>
  <c r="V328" i="12"/>
  <c r="V56" i="12"/>
  <c r="V116" i="12"/>
  <c r="V146" i="12"/>
  <c r="V222" i="12"/>
  <c r="V237" i="12"/>
  <c r="V267" i="12"/>
  <c r="V282" i="12"/>
  <c r="V313" i="12"/>
  <c r="V261" i="12"/>
  <c r="V308" i="12"/>
  <c r="V324" i="12"/>
  <c r="V323" i="12"/>
  <c r="V248" i="12"/>
  <c r="V231" i="12"/>
  <c r="V141" i="12"/>
  <c r="V253" i="12"/>
  <c r="V315" i="12"/>
  <c r="V5" i="12"/>
  <c r="V19" i="12"/>
  <c r="V34" i="12"/>
  <c r="V49" i="12"/>
  <c r="V79" i="12"/>
  <c r="V170" i="12"/>
  <c r="V291" i="12"/>
  <c r="V322" i="12"/>
  <c r="V65" i="12"/>
  <c r="V95" i="12"/>
  <c r="V185" i="12"/>
  <c r="V216" i="12"/>
  <c r="V6" i="12"/>
  <c r="V20" i="12"/>
  <c r="V35" i="12"/>
  <c r="V50" i="12"/>
  <c r="V80" i="12"/>
  <c r="V126" i="12"/>
  <c r="V307" i="12"/>
  <c r="V66" i="12"/>
  <c r="V156" i="12"/>
  <c r="V217" i="12"/>
  <c r="V262" i="12"/>
  <c r="V338" i="12"/>
  <c r="V7" i="12"/>
  <c r="V36" i="12"/>
  <c r="V51" i="12"/>
  <c r="V293" i="12"/>
  <c r="V67" i="12"/>
  <c r="V97" i="12"/>
  <c r="V157" i="12"/>
  <c r="V187" i="12"/>
  <c r="V278" i="12"/>
  <c r="V9" i="12"/>
  <c r="V53" i="12"/>
  <c r="V143" i="12"/>
  <c r="V234" i="12"/>
  <c r="V57" i="12"/>
  <c r="V72" i="12"/>
  <c r="V117" i="12"/>
  <c r="V147" i="12"/>
  <c r="V42" i="12"/>
  <c r="V163" i="12"/>
  <c r="V193" i="12"/>
  <c r="V299" i="12"/>
  <c r="V345" i="12"/>
  <c r="V118" i="12"/>
  <c r="V148" i="12"/>
  <c r="V178" i="12"/>
  <c r="V224" i="12"/>
  <c r="V254" i="12"/>
  <c r="V269" i="12"/>
  <c r="V13" i="12"/>
  <c r="V43" i="12"/>
  <c r="V88" i="12"/>
  <c r="V104" i="12"/>
  <c r="V134" i="12"/>
  <c r="V194" i="12"/>
  <c r="V300" i="12"/>
  <c r="V179" i="12"/>
  <c r="V285" i="12"/>
  <c r="V331" i="12"/>
  <c r="V120" i="12"/>
  <c r="V30" i="12"/>
  <c r="V45" i="12"/>
  <c r="V75" i="12"/>
  <c r="V90" i="12"/>
  <c r="V136" i="12"/>
  <c r="V166" i="12"/>
  <c r="V211" i="12"/>
  <c r="V226" i="12"/>
  <c r="V15" i="12"/>
  <c r="V121" i="12"/>
  <c r="V287" i="12"/>
  <c r="V318" i="12"/>
  <c r="V333" i="12"/>
  <c r="V276" i="12"/>
  <c r="V263" i="12"/>
  <c r="V295" i="12"/>
  <c r="V223" i="12"/>
  <c r="V133" i="12"/>
  <c r="V21" i="12"/>
  <c r="V218" i="12"/>
  <c r="V38" i="12"/>
  <c r="V310" i="12"/>
  <c r="V330" i="12"/>
  <c r="V277" i="12"/>
  <c r="V111" i="12"/>
  <c r="V149" i="12"/>
  <c r="V255" i="12"/>
  <c r="V29" i="12"/>
  <c r="V74" i="12"/>
  <c r="V89" i="12"/>
  <c r="V135" i="12"/>
  <c r="V165" i="12"/>
  <c r="V195" i="12"/>
  <c r="V210" i="12"/>
  <c r="V240" i="12"/>
  <c r="V301" i="12"/>
  <c r="V347" i="12"/>
  <c r="V180" i="12"/>
  <c r="V286" i="12"/>
  <c r="V317" i="12"/>
  <c r="V16" i="12"/>
  <c r="V122" i="12"/>
  <c r="V288" i="12"/>
  <c r="V303" i="12"/>
  <c r="V319" i="12"/>
  <c r="V62" i="12"/>
  <c r="V77" i="12"/>
  <c r="V107" i="12"/>
  <c r="V152" i="12"/>
  <c r="V168" i="12"/>
  <c r="V182" i="12"/>
  <c r="V198" i="12"/>
  <c r="V213" i="12"/>
  <c r="V228" i="12"/>
  <c r="V243" i="12"/>
  <c r="V258" i="12"/>
  <c r="V350" i="12"/>
  <c r="V139" i="12"/>
  <c r="V271" i="12"/>
  <c r="V10" i="12"/>
  <c r="V59" i="12"/>
  <c r="V220" i="12"/>
  <c r="V176" i="12"/>
  <c r="V119" i="12"/>
  <c r="V251" i="12"/>
  <c r="V164" i="12"/>
  <c r="V47" i="12"/>
  <c r="V76" i="12"/>
  <c r="V208" i="12"/>
  <c r="V239" i="12"/>
  <c r="V326" i="12"/>
  <c r="V151" i="12"/>
  <c r="V196" i="12"/>
  <c r="V283" i="12"/>
  <c r="V108" i="12"/>
  <c r="V22" i="12"/>
  <c r="V314" i="12"/>
  <c r="V96" i="12"/>
  <c r="V214" i="12"/>
  <c r="V39" i="12"/>
  <c r="V171" i="12"/>
  <c r="V346" i="12"/>
  <c r="V113" i="12"/>
  <c r="V289" i="12"/>
  <c r="V27" i="12"/>
  <c r="V159" i="12"/>
  <c r="V188" i="12"/>
  <c r="V183" i="12"/>
  <c r="V127" i="12"/>
  <c r="V332" i="12"/>
  <c r="V246" i="12"/>
  <c r="V71" i="12"/>
  <c r="V28" i="12"/>
  <c r="V177" i="12"/>
  <c r="V252" i="12"/>
  <c r="V140" i="12"/>
  <c r="V215" i="12"/>
  <c r="V103" i="12"/>
  <c r="V241" i="12"/>
  <c r="V316" i="12"/>
  <c r="V204" i="12"/>
  <c r="V279" i="12"/>
  <c r="V55" i="12"/>
  <c r="V92" i="12"/>
  <c r="V305" i="12"/>
  <c r="V8" i="12"/>
  <c r="V44" i="12"/>
  <c r="V268" i="12"/>
  <c r="V343" i="12"/>
  <c r="V60" i="12"/>
  <c r="V273" i="12"/>
  <c r="V124" i="12"/>
  <c r="V87" i="12"/>
  <c r="V209" i="12"/>
  <c r="V284" i="12"/>
  <c r="V23" i="12"/>
  <c r="V172" i="12"/>
  <c r="V247" i="12"/>
  <c r="V12" i="12"/>
  <c r="V348" i="12"/>
  <c r="V236" i="12"/>
  <c r="V311" i="12"/>
  <c r="V337" i="12"/>
  <c r="V5046" i="1"/>
  <c r="U5046" i="1"/>
  <c r="T5020" i="1"/>
  <c r="T4998" i="1"/>
  <c r="V4815" i="1"/>
  <c r="U4815" i="1"/>
  <c r="V4374" i="1"/>
  <c r="U4374" i="1"/>
  <c r="T4309" i="1"/>
  <c r="T4288" i="1"/>
  <c r="V4252" i="1"/>
  <c r="U4252" i="1"/>
  <c r="V4224" i="1"/>
  <c r="U4224" i="1"/>
  <c r="V3294" i="1"/>
  <c r="U3294" i="1"/>
  <c r="V1520" i="1"/>
  <c r="U1520" i="1"/>
  <c r="V4882" i="1"/>
  <c r="U4882" i="1"/>
  <c r="T4846" i="1"/>
  <c r="V4521" i="1"/>
  <c r="U4521" i="1"/>
  <c r="T3898" i="1"/>
  <c r="T2792" i="1"/>
  <c r="V2769" i="1"/>
  <c r="U2769" i="1"/>
  <c r="V2669" i="1"/>
  <c r="U2669" i="1"/>
  <c r="V2407" i="1"/>
  <c r="U2407" i="1"/>
  <c r="V1783" i="1"/>
  <c r="U1783" i="1"/>
  <c r="V1404" i="1"/>
  <c r="U1404" i="1"/>
  <c r="V991" i="1"/>
  <c r="U991" i="1"/>
  <c r="V936" i="1"/>
  <c r="U936" i="1"/>
  <c r="V937" i="1"/>
  <c r="U937" i="1"/>
  <c r="V938" i="1"/>
  <c r="U938" i="1"/>
  <c r="T764" i="1"/>
  <c r="V548" i="1"/>
  <c r="U548" i="1"/>
  <c r="V198" i="1"/>
  <c r="U198" i="1"/>
  <c r="V5152" i="1"/>
  <c r="U5152" i="1"/>
  <c r="V5083" i="1"/>
  <c r="U5083" i="1"/>
  <c r="V5054" i="1"/>
  <c r="U5054" i="1"/>
  <c r="V4740" i="1"/>
  <c r="U4740" i="1"/>
  <c r="V3872" i="1"/>
  <c r="U3872" i="1"/>
  <c r="T2530" i="1"/>
  <c r="V5020" i="1"/>
  <c r="V4288" i="1"/>
  <c r="V764" i="1"/>
  <c r="U2530" i="1"/>
  <c r="V4998" i="1"/>
  <c r="V4309" i="1"/>
  <c r="V2530" i="1"/>
  <c r="U764" i="1"/>
  <c r="V1842" i="1" l="1"/>
  <c r="U1842" i="1"/>
  <c r="U1463" i="1"/>
  <c r="V1463" i="1"/>
  <c r="V1176" i="1"/>
  <c r="U1176" i="1"/>
  <c r="U4288" i="1"/>
  <c r="U4998" i="1"/>
  <c r="U4309" i="1"/>
  <c r="U5020" i="1"/>
  <c r="E70" i="13" l="1"/>
  <c r="E69" i="13"/>
  <c r="E361" i="12"/>
  <c r="E360" i="12"/>
  <c r="E357" i="12"/>
  <c r="E356" i="12"/>
  <c r="E685" i="11"/>
  <c r="E684" i="11"/>
  <c r="E683" i="11"/>
  <c r="E985" i="8"/>
  <c r="D985" i="8"/>
  <c r="E984" i="8"/>
  <c r="D984" i="8"/>
  <c r="E983" i="8"/>
  <c r="D983" i="8"/>
  <c r="E982" i="8"/>
  <c r="D982" i="8"/>
  <c r="E981" i="8"/>
  <c r="D981" i="8"/>
  <c r="E977" i="8"/>
  <c r="D977" i="8"/>
  <c r="E976" i="8"/>
  <c r="D976" i="8"/>
  <c r="E975" i="8"/>
  <c r="D975" i="8"/>
  <c r="E970" i="8"/>
  <c r="D970" i="8"/>
  <c r="E969" i="8"/>
  <c r="D969" i="8"/>
  <c r="E964" i="8"/>
  <c r="D964" i="8"/>
  <c r="E963" i="8"/>
  <c r="D963" i="8"/>
  <c r="E958" i="8"/>
  <c r="D958" i="8"/>
  <c r="E957" i="8"/>
  <c r="D957" i="8"/>
  <c r="F950" i="8"/>
  <c r="F949" i="8"/>
  <c r="F945" i="8"/>
  <c r="F944" i="8"/>
  <c r="F940" i="8"/>
  <c r="F939" i="8"/>
  <c r="B3" i="14"/>
  <c r="B6" i="14" s="1"/>
  <c r="B2" i="14"/>
  <c r="E5201" i="1"/>
  <c r="E5200" i="1"/>
  <c r="V5197" i="1"/>
  <c r="U5197" i="1"/>
  <c r="V5196" i="1"/>
  <c r="U5196" i="1"/>
  <c r="V5195" i="1"/>
  <c r="U5195" i="1"/>
  <c r="V5194" i="1"/>
  <c r="U5194" i="1"/>
  <c r="T5193" i="1"/>
  <c r="V5192" i="1"/>
  <c r="U5192" i="1"/>
  <c r="V5191" i="1"/>
  <c r="U5191" i="1"/>
  <c r="T5190" i="1"/>
  <c r="V5189" i="1"/>
  <c r="U5189" i="1"/>
  <c r="V5188" i="1"/>
  <c r="U5188" i="1"/>
  <c r="T5187" i="1"/>
  <c r="V5186" i="1"/>
  <c r="U5186" i="1"/>
  <c r="V5185" i="1"/>
  <c r="U5185" i="1"/>
  <c r="V5184" i="1"/>
  <c r="U5184" i="1"/>
  <c r="V5183" i="1"/>
  <c r="U5183" i="1"/>
  <c r="V5182" i="1"/>
  <c r="U5182" i="1"/>
  <c r="V5181" i="1"/>
  <c r="U5181" i="1"/>
  <c r="V5180" i="1"/>
  <c r="U5180" i="1"/>
  <c r="V5179" i="1"/>
  <c r="U5179" i="1"/>
  <c r="V5178" i="1"/>
  <c r="U5178" i="1"/>
  <c r="V5177" i="1"/>
  <c r="U5177" i="1"/>
  <c r="V5176" i="1"/>
  <c r="U5176" i="1"/>
  <c r="V5175" i="1"/>
  <c r="U5175" i="1"/>
  <c r="V5174" i="1"/>
  <c r="U5174" i="1"/>
  <c r="V5173" i="1"/>
  <c r="U5173" i="1"/>
  <c r="V5172" i="1"/>
  <c r="U5172" i="1"/>
  <c r="V5171" i="1"/>
  <c r="U5171" i="1"/>
  <c r="V5170" i="1"/>
  <c r="U5170" i="1"/>
  <c r="V5169" i="1"/>
  <c r="U5169" i="1"/>
  <c r="V5168" i="1"/>
  <c r="U5168" i="1"/>
  <c r="V5167" i="1"/>
  <c r="U5167" i="1"/>
  <c r="V5166" i="1"/>
  <c r="U5166" i="1"/>
  <c r="V5165" i="1"/>
  <c r="U5165" i="1"/>
  <c r="V5164" i="1"/>
  <c r="U5164" i="1"/>
  <c r="V5163" i="1"/>
  <c r="U5163" i="1"/>
  <c r="V5162" i="1"/>
  <c r="U5162" i="1"/>
  <c r="V5161" i="1"/>
  <c r="U5161" i="1"/>
  <c r="V5160" i="1"/>
  <c r="U5160" i="1"/>
  <c r="V5159" i="1"/>
  <c r="U5159" i="1"/>
  <c r="V5158" i="1"/>
  <c r="U5158" i="1"/>
  <c r="V5157" i="1"/>
  <c r="U5157" i="1"/>
  <c r="V5156" i="1"/>
  <c r="U5156" i="1"/>
  <c r="V5155" i="1"/>
  <c r="U5155" i="1"/>
  <c r="V5154" i="1"/>
  <c r="U5154" i="1"/>
  <c r="V5153" i="1"/>
  <c r="U5153" i="1"/>
  <c r="V5151" i="1"/>
  <c r="U5151" i="1"/>
  <c r="V5150" i="1"/>
  <c r="U5150" i="1"/>
  <c r="V5149" i="1"/>
  <c r="U5149" i="1"/>
  <c r="V5148" i="1"/>
  <c r="U5148" i="1"/>
  <c r="V5147" i="1"/>
  <c r="U5147" i="1"/>
  <c r="T5146" i="1"/>
  <c r="V5145" i="1"/>
  <c r="U5145" i="1"/>
  <c r="V5144" i="1"/>
  <c r="U5144" i="1"/>
  <c r="V5143" i="1"/>
  <c r="U5143" i="1"/>
  <c r="V5142" i="1"/>
  <c r="U5142" i="1"/>
  <c r="V5141" i="1"/>
  <c r="U5141" i="1"/>
  <c r="V5140" i="1"/>
  <c r="U5140" i="1"/>
  <c r="V5139" i="1"/>
  <c r="U5139" i="1"/>
  <c r="V5138" i="1"/>
  <c r="U5138" i="1"/>
  <c r="V5137" i="1"/>
  <c r="U5137" i="1"/>
  <c r="V5136" i="1"/>
  <c r="U5136" i="1"/>
  <c r="V5135" i="1"/>
  <c r="U5135" i="1"/>
  <c r="V5134" i="1"/>
  <c r="U5134" i="1"/>
  <c r="T5133" i="1"/>
  <c r="V5132" i="1"/>
  <c r="U5132" i="1"/>
  <c r="V5131" i="1"/>
  <c r="U5131" i="1"/>
  <c r="V5130" i="1"/>
  <c r="U5130" i="1"/>
  <c r="V5129" i="1"/>
  <c r="U5129" i="1"/>
  <c r="V5128" i="1"/>
  <c r="U5128" i="1"/>
  <c r="V5127" i="1"/>
  <c r="U5127" i="1"/>
  <c r="T5126" i="1"/>
  <c r="V5125" i="1"/>
  <c r="U5125" i="1"/>
  <c r="T5124" i="1"/>
  <c r="T5123" i="1"/>
  <c r="T5122" i="1"/>
  <c r="V5121" i="1"/>
  <c r="U5121" i="1"/>
  <c r="T5120" i="1"/>
  <c r="V5119" i="1"/>
  <c r="U5119" i="1"/>
  <c r="V5118" i="1"/>
  <c r="U5118" i="1"/>
  <c r="T5117" i="1"/>
  <c r="V5116" i="1"/>
  <c r="U5116" i="1"/>
  <c r="T5115" i="1"/>
  <c r="V5114" i="1"/>
  <c r="U5114" i="1"/>
  <c r="T5113" i="1"/>
  <c r="V5112" i="1"/>
  <c r="U5112" i="1"/>
  <c r="V5111" i="1"/>
  <c r="U5111" i="1"/>
  <c r="V5110" i="1"/>
  <c r="U5110" i="1"/>
  <c r="V5109" i="1"/>
  <c r="U5109" i="1"/>
  <c r="T5108" i="1"/>
  <c r="V5107" i="1"/>
  <c r="U5107" i="1"/>
  <c r="T5106" i="1"/>
  <c r="V5105" i="1"/>
  <c r="U5105" i="1"/>
  <c r="V5104" i="1"/>
  <c r="U5104" i="1"/>
  <c r="T5103" i="1"/>
  <c r="V5102" i="1"/>
  <c r="U5102" i="1"/>
  <c r="V5101" i="1"/>
  <c r="U5101" i="1"/>
  <c r="T5100" i="1"/>
  <c r="V5099" i="1"/>
  <c r="U5099" i="1"/>
  <c r="T5098" i="1"/>
  <c r="V5097" i="1"/>
  <c r="U5097" i="1"/>
  <c r="V5096" i="1"/>
  <c r="U5096" i="1"/>
  <c r="V5095" i="1"/>
  <c r="U5095" i="1"/>
  <c r="V5094" i="1"/>
  <c r="U5094" i="1"/>
  <c r="V5093" i="1"/>
  <c r="U5093" i="1"/>
  <c r="V5092" i="1"/>
  <c r="U5092" i="1"/>
  <c r="T5091" i="1"/>
  <c r="V5090" i="1"/>
  <c r="U5090" i="1"/>
  <c r="V5089" i="1"/>
  <c r="U5089" i="1"/>
  <c r="T5088" i="1"/>
  <c r="V5087" i="1"/>
  <c r="U5087" i="1"/>
  <c r="T5086" i="1"/>
  <c r="V5085" i="1"/>
  <c r="U5085" i="1"/>
  <c r="V5084" i="1"/>
  <c r="U5084" i="1"/>
  <c r="V5082" i="1"/>
  <c r="U5082" i="1"/>
  <c r="V5081" i="1"/>
  <c r="U5081" i="1"/>
  <c r="V5080" i="1"/>
  <c r="U5080" i="1"/>
  <c r="T5079" i="1"/>
  <c r="V5078" i="1"/>
  <c r="U5078" i="1"/>
  <c r="T5077" i="1"/>
  <c r="V5076" i="1"/>
  <c r="U5076" i="1"/>
  <c r="V5075" i="1"/>
  <c r="U5075" i="1"/>
  <c r="V5074" i="1"/>
  <c r="U5074" i="1"/>
  <c r="V5073" i="1"/>
  <c r="U5073" i="1"/>
  <c r="T5072" i="1"/>
  <c r="T5071" i="1"/>
  <c r="V5070" i="1"/>
  <c r="U5070" i="1"/>
  <c r="V5069" i="1"/>
  <c r="U5069" i="1"/>
  <c r="V5068" i="1"/>
  <c r="U5068" i="1"/>
  <c r="V5067" i="1"/>
  <c r="U5067" i="1"/>
  <c r="V5066" i="1"/>
  <c r="U5066" i="1"/>
  <c r="V5065" i="1"/>
  <c r="U5065" i="1"/>
  <c r="V5064" i="1"/>
  <c r="U5064" i="1"/>
  <c r="V5063" i="1"/>
  <c r="U5063" i="1"/>
  <c r="V5062" i="1"/>
  <c r="U5062" i="1"/>
  <c r="V5061" i="1"/>
  <c r="U5061" i="1"/>
  <c r="T5060" i="1"/>
  <c r="V5059" i="1"/>
  <c r="U5059" i="1"/>
  <c r="V5058" i="1"/>
  <c r="U5058" i="1"/>
  <c r="V5057" i="1"/>
  <c r="U5057" i="1"/>
  <c r="V5056" i="1"/>
  <c r="U5056" i="1"/>
  <c r="V5055" i="1"/>
  <c r="U5055" i="1"/>
  <c r="T5053" i="1"/>
  <c r="V5052" i="1"/>
  <c r="U5052" i="1"/>
  <c r="V5051" i="1"/>
  <c r="U5051" i="1"/>
  <c r="V5050" i="1"/>
  <c r="U5050" i="1"/>
  <c r="V5049" i="1"/>
  <c r="U5049" i="1"/>
  <c r="V5048" i="1"/>
  <c r="U5048" i="1"/>
  <c r="V5047" i="1"/>
  <c r="U5047" i="1"/>
  <c r="V5045" i="1"/>
  <c r="U5045" i="1"/>
  <c r="V5044" i="1"/>
  <c r="U5044" i="1"/>
  <c r="V5043" i="1"/>
  <c r="U5043" i="1"/>
  <c r="V5042" i="1"/>
  <c r="U5042" i="1"/>
  <c r="V5041" i="1"/>
  <c r="U5041" i="1"/>
  <c r="T5040" i="1"/>
  <c r="V5039" i="1"/>
  <c r="U5039" i="1"/>
  <c r="V5038" i="1"/>
  <c r="U5038" i="1"/>
  <c r="V5037" i="1"/>
  <c r="U5037" i="1"/>
  <c r="V5036" i="1"/>
  <c r="U5036" i="1"/>
  <c r="V5035" i="1"/>
  <c r="U5035" i="1"/>
  <c r="V5034" i="1"/>
  <c r="U5034" i="1"/>
  <c r="V5033" i="1"/>
  <c r="U5033" i="1"/>
  <c r="T5032" i="1"/>
  <c r="V5031" i="1"/>
  <c r="U5031" i="1"/>
  <c r="V5030" i="1"/>
  <c r="U5030" i="1"/>
  <c r="V5029" i="1"/>
  <c r="U5029" i="1"/>
  <c r="T5028" i="1"/>
  <c r="T5027" i="1"/>
  <c r="V5026" i="1"/>
  <c r="U5026" i="1"/>
  <c r="V5025" i="1"/>
  <c r="U5025" i="1"/>
  <c r="V5024" i="1"/>
  <c r="U5024" i="1"/>
  <c r="V5023" i="1"/>
  <c r="U5023" i="1"/>
  <c r="V5022" i="1"/>
  <c r="U5022" i="1"/>
  <c r="T5021" i="1"/>
  <c r="T5019" i="1"/>
  <c r="V5018" i="1"/>
  <c r="U5018" i="1"/>
  <c r="V5017" i="1"/>
  <c r="U5017" i="1"/>
  <c r="V5016" i="1"/>
  <c r="U5016" i="1"/>
  <c r="V5015" i="1"/>
  <c r="U5015" i="1"/>
  <c r="V5014" i="1"/>
  <c r="U5014" i="1"/>
  <c r="V5013" i="1"/>
  <c r="U5013" i="1"/>
  <c r="V5012" i="1"/>
  <c r="U5012" i="1"/>
  <c r="V5011" i="1"/>
  <c r="U5011" i="1"/>
  <c r="V5010" i="1"/>
  <c r="U5010" i="1"/>
  <c r="T5009" i="1"/>
  <c r="V5008" i="1"/>
  <c r="U5008" i="1"/>
  <c r="V5007" i="1"/>
  <c r="U5007" i="1"/>
  <c r="V5006" i="1"/>
  <c r="U5006" i="1"/>
  <c r="V5005" i="1"/>
  <c r="U5005" i="1"/>
  <c r="V5004" i="1"/>
  <c r="U5004" i="1"/>
  <c r="T5003" i="1"/>
  <c r="V5002" i="1"/>
  <c r="U5002" i="1"/>
  <c r="T5001" i="1"/>
  <c r="V5000" i="1"/>
  <c r="U5000" i="1"/>
  <c r="T4999" i="1"/>
  <c r="V4997" i="1"/>
  <c r="U4997" i="1"/>
  <c r="T4996" i="1"/>
  <c r="V4995" i="1"/>
  <c r="U4995" i="1"/>
  <c r="T4994" i="1"/>
  <c r="V4993" i="1"/>
  <c r="U4993" i="1"/>
  <c r="V4992" i="1"/>
  <c r="U4992" i="1"/>
  <c r="V4991" i="1"/>
  <c r="U4991" i="1"/>
  <c r="T4990" i="1"/>
  <c r="V4989" i="1"/>
  <c r="U4989" i="1"/>
  <c r="T4988" i="1"/>
  <c r="T4987" i="1"/>
  <c r="V4986" i="1"/>
  <c r="U4986" i="1"/>
  <c r="V4985" i="1"/>
  <c r="U4985" i="1"/>
  <c r="T4984" i="1"/>
  <c r="V4983" i="1"/>
  <c r="U4983" i="1"/>
  <c r="V4982" i="1"/>
  <c r="U4982" i="1"/>
  <c r="V4981" i="1"/>
  <c r="U4981" i="1"/>
  <c r="T4980" i="1"/>
  <c r="T4979" i="1"/>
  <c r="V4978" i="1"/>
  <c r="U4978" i="1"/>
  <c r="T4977" i="1"/>
  <c r="V4976" i="1"/>
  <c r="U4976" i="1"/>
  <c r="V4975" i="1"/>
  <c r="U4975" i="1"/>
  <c r="T4974" i="1"/>
  <c r="V4973" i="1"/>
  <c r="U4973" i="1"/>
  <c r="V4972" i="1"/>
  <c r="U4972" i="1"/>
  <c r="V4971" i="1"/>
  <c r="U4971" i="1"/>
  <c r="V4970" i="1"/>
  <c r="U4970" i="1"/>
  <c r="V4969" i="1"/>
  <c r="U4969" i="1"/>
  <c r="V4968" i="1"/>
  <c r="U4968" i="1"/>
  <c r="V4967" i="1"/>
  <c r="U4967" i="1"/>
  <c r="T4966" i="1"/>
  <c r="V4965" i="1"/>
  <c r="U4965" i="1"/>
  <c r="V4964" i="1"/>
  <c r="U4964" i="1"/>
  <c r="V4963" i="1"/>
  <c r="U4963" i="1"/>
  <c r="T4962" i="1"/>
  <c r="V4961" i="1"/>
  <c r="U4961" i="1"/>
  <c r="V4960" i="1"/>
  <c r="U4960" i="1"/>
  <c r="V4959" i="1"/>
  <c r="U4959" i="1"/>
  <c r="V4958" i="1"/>
  <c r="U4958" i="1"/>
  <c r="V4957" i="1"/>
  <c r="U4957" i="1"/>
  <c r="V4956" i="1"/>
  <c r="U4956" i="1"/>
  <c r="T4955" i="1"/>
  <c r="V4954" i="1"/>
  <c r="U4954" i="1"/>
  <c r="T4953" i="1"/>
  <c r="V4952" i="1"/>
  <c r="U4952" i="1"/>
  <c r="V4951" i="1"/>
  <c r="U4951" i="1"/>
  <c r="V4950" i="1"/>
  <c r="U4950" i="1"/>
  <c r="V4949" i="1"/>
  <c r="U4949" i="1"/>
  <c r="T4948" i="1"/>
  <c r="V4947" i="1"/>
  <c r="U4947" i="1"/>
  <c r="V4946" i="1"/>
  <c r="U4946" i="1"/>
  <c r="V4945" i="1"/>
  <c r="U4945" i="1"/>
  <c r="V4944" i="1"/>
  <c r="U4944" i="1"/>
  <c r="V4943" i="1"/>
  <c r="U4943" i="1"/>
  <c r="V4942" i="1"/>
  <c r="U4942" i="1"/>
  <c r="T4941" i="1"/>
  <c r="V4940" i="1"/>
  <c r="U4940" i="1"/>
  <c r="V4939" i="1"/>
  <c r="U4939" i="1"/>
  <c r="V4938" i="1"/>
  <c r="U4938" i="1"/>
  <c r="V4937" i="1"/>
  <c r="U4937" i="1"/>
  <c r="V4936" i="1"/>
  <c r="U4936" i="1"/>
  <c r="V4935" i="1"/>
  <c r="U4935" i="1"/>
  <c r="V4934" i="1"/>
  <c r="U4934" i="1"/>
  <c r="V4933" i="1"/>
  <c r="U4933" i="1"/>
  <c r="V4932" i="1"/>
  <c r="U4932" i="1"/>
  <c r="V4931" i="1"/>
  <c r="U4931" i="1"/>
  <c r="V4930" i="1"/>
  <c r="U4930" i="1"/>
  <c r="V4929" i="1"/>
  <c r="U4929" i="1"/>
  <c r="V4928" i="1"/>
  <c r="U4928" i="1"/>
  <c r="V4927" i="1"/>
  <c r="U4927" i="1"/>
  <c r="V4926" i="1"/>
  <c r="U4926" i="1"/>
  <c r="V4925" i="1"/>
  <c r="U4925" i="1"/>
  <c r="V4924" i="1"/>
  <c r="U4924" i="1"/>
  <c r="V4923" i="1"/>
  <c r="U4923" i="1"/>
  <c r="V4922" i="1"/>
  <c r="U4922" i="1"/>
  <c r="T4921" i="1"/>
  <c r="V4920" i="1"/>
  <c r="U4920" i="1"/>
  <c r="V4919" i="1"/>
  <c r="U4919" i="1"/>
  <c r="V4918" i="1"/>
  <c r="U4918" i="1"/>
  <c r="V4917" i="1"/>
  <c r="U4917" i="1"/>
  <c r="V4916" i="1"/>
  <c r="U4916" i="1"/>
  <c r="V4915" i="1"/>
  <c r="U4915" i="1"/>
  <c r="V4914" i="1"/>
  <c r="U4914" i="1"/>
  <c r="V4913" i="1"/>
  <c r="U4913" i="1"/>
  <c r="V4912" i="1"/>
  <c r="U4912" i="1"/>
  <c r="V4911" i="1"/>
  <c r="U4911" i="1"/>
  <c r="V4910" i="1"/>
  <c r="U4910" i="1"/>
  <c r="V4909" i="1"/>
  <c r="U4909" i="1"/>
  <c r="V4908" i="1"/>
  <c r="U4908" i="1"/>
  <c r="V4907" i="1"/>
  <c r="U4907" i="1"/>
  <c r="V4906" i="1"/>
  <c r="U4906" i="1"/>
  <c r="V4905" i="1"/>
  <c r="U4905" i="1"/>
  <c r="V4904" i="1"/>
  <c r="U4904" i="1"/>
  <c r="V4903" i="1"/>
  <c r="U4903" i="1"/>
  <c r="V4902" i="1"/>
  <c r="U4902" i="1"/>
  <c r="V4901" i="1"/>
  <c r="U4901" i="1"/>
  <c r="V4900" i="1"/>
  <c r="U4900" i="1"/>
  <c r="V4899" i="1"/>
  <c r="U4899" i="1"/>
  <c r="V4898" i="1"/>
  <c r="U4898" i="1"/>
  <c r="V4897" i="1"/>
  <c r="U4897" i="1"/>
  <c r="T4896" i="1"/>
  <c r="V4895" i="1"/>
  <c r="U4895" i="1"/>
  <c r="V4894" i="1"/>
  <c r="U4894" i="1"/>
  <c r="V4893" i="1"/>
  <c r="U4893" i="1"/>
  <c r="V4892" i="1"/>
  <c r="U4892" i="1"/>
  <c r="T4891" i="1"/>
  <c r="V4890" i="1"/>
  <c r="U4890" i="1"/>
  <c r="V4889" i="1"/>
  <c r="U4889" i="1"/>
  <c r="V4888" i="1"/>
  <c r="U4888" i="1"/>
  <c r="V4887" i="1"/>
  <c r="U4887" i="1"/>
  <c r="V4886" i="1"/>
  <c r="U4886" i="1"/>
  <c r="V4885" i="1"/>
  <c r="U4885" i="1"/>
  <c r="T4884" i="1"/>
  <c r="V4883" i="1"/>
  <c r="U4883" i="1"/>
  <c r="V4881" i="1"/>
  <c r="U4881" i="1"/>
  <c r="V4880" i="1"/>
  <c r="U4880" i="1"/>
  <c r="V4879" i="1"/>
  <c r="U4879" i="1"/>
  <c r="T4878" i="1"/>
  <c r="V4877" i="1"/>
  <c r="U4877" i="1"/>
  <c r="V4876" i="1"/>
  <c r="U4876" i="1"/>
  <c r="V4875" i="1"/>
  <c r="U4875" i="1"/>
  <c r="V4874" i="1"/>
  <c r="U4874" i="1"/>
  <c r="V4873" i="1"/>
  <c r="U4873" i="1"/>
  <c r="V4872" i="1"/>
  <c r="U4872" i="1"/>
  <c r="V4871" i="1"/>
  <c r="U4871" i="1"/>
  <c r="V4870" i="1"/>
  <c r="U4870" i="1"/>
  <c r="V4869" i="1"/>
  <c r="U4869" i="1"/>
  <c r="V4868" i="1"/>
  <c r="U4868" i="1"/>
  <c r="V4867" i="1"/>
  <c r="U4867" i="1"/>
  <c r="T4866" i="1"/>
  <c r="V4865" i="1"/>
  <c r="U4865" i="1"/>
  <c r="V4864" i="1"/>
  <c r="U4864" i="1"/>
  <c r="V4863" i="1"/>
  <c r="U4863" i="1"/>
  <c r="V4862" i="1"/>
  <c r="U4862" i="1"/>
  <c r="V4861" i="1"/>
  <c r="U4861" i="1"/>
  <c r="V4860" i="1"/>
  <c r="U4860" i="1"/>
  <c r="V4859" i="1"/>
  <c r="U4859" i="1"/>
  <c r="V4858" i="1"/>
  <c r="U4858" i="1"/>
  <c r="V4857" i="1"/>
  <c r="U4857" i="1"/>
  <c r="T4856" i="1"/>
  <c r="V4855" i="1"/>
  <c r="U4855" i="1"/>
  <c r="V4854" i="1"/>
  <c r="U4854" i="1"/>
  <c r="V4853" i="1"/>
  <c r="U4853" i="1"/>
  <c r="V4852" i="1"/>
  <c r="U4852" i="1"/>
  <c r="V4851" i="1"/>
  <c r="U4851" i="1"/>
  <c r="V4850" i="1"/>
  <c r="U4850" i="1"/>
  <c r="V4849" i="1"/>
  <c r="U4849" i="1"/>
  <c r="V4848" i="1"/>
  <c r="U4848" i="1"/>
  <c r="V4847" i="1"/>
  <c r="U4847" i="1"/>
  <c r="T4845" i="1"/>
  <c r="V4844" i="1"/>
  <c r="U4844" i="1"/>
  <c r="V4843" i="1"/>
  <c r="U4843" i="1"/>
  <c r="T4842" i="1"/>
  <c r="V4841" i="1"/>
  <c r="U4841" i="1"/>
  <c r="V4840" i="1"/>
  <c r="U4840" i="1"/>
  <c r="T4839" i="1"/>
  <c r="V4838" i="1"/>
  <c r="U4838" i="1"/>
  <c r="V4837" i="1"/>
  <c r="U4837" i="1"/>
  <c r="V4836" i="1"/>
  <c r="U4836" i="1"/>
  <c r="V4835" i="1"/>
  <c r="U4835" i="1"/>
  <c r="V4834" i="1"/>
  <c r="U4834" i="1"/>
  <c r="V4833" i="1"/>
  <c r="U4833" i="1"/>
  <c r="T4832" i="1"/>
  <c r="V4831" i="1"/>
  <c r="U4831" i="1"/>
  <c r="V4830" i="1"/>
  <c r="U4830" i="1"/>
  <c r="V4829" i="1"/>
  <c r="U4829" i="1"/>
  <c r="T4828" i="1"/>
  <c r="V4827" i="1"/>
  <c r="U4827" i="1"/>
  <c r="V4826" i="1"/>
  <c r="U4826" i="1"/>
  <c r="V4825" i="1"/>
  <c r="U4825" i="1"/>
  <c r="V4824" i="1"/>
  <c r="U4824" i="1"/>
  <c r="V4823" i="1"/>
  <c r="U4823" i="1"/>
  <c r="V4822" i="1"/>
  <c r="U4822" i="1"/>
  <c r="V4821" i="1"/>
  <c r="U4821" i="1"/>
  <c r="V4820" i="1"/>
  <c r="U4820" i="1"/>
  <c r="V4819" i="1"/>
  <c r="U4819" i="1"/>
  <c r="T4818" i="1"/>
  <c r="V4817" i="1"/>
  <c r="U4817" i="1"/>
  <c r="V4816" i="1"/>
  <c r="U4816" i="1"/>
  <c r="V4814" i="1"/>
  <c r="U4814" i="1"/>
  <c r="V4813" i="1"/>
  <c r="U4813" i="1"/>
  <c r="V4812" i="1"/>
  <c r="U4812" i="1"/>
  <c r="T4811" i="1"/>
  <c r="V4810" i="1"/>
  <c r="U4810" i="1"/>
  <c r="V4809" i="1"/>
  <c r="U4809" i="1"/>
  <c r="V4808" i="1"/>
  <c r="U4808" i="1"/>
  <c r="T4807" i="1"/>
  <c r="V4806" i="1"/>
  <c r="U4806" i="1"/>
  <c r="V4805" i="1"/>
  <c r="U4805" i="1"/>
  <c r="V4804" i="1"/>
  <c r="U4804" i="1"/>
  <c r="V4803" i="1"/>
  <c r="U4803" i="1"/>
  <c r="V4802" i="1"/>
  <c r="U4802" i="1"/>
  <c r="V4801" i="1"/>
  <c r="U4801" i="1"/>
  <c r="V4800" i="1"/>
  <c r="U4800" i="1"/>
  <c r="V4799" i="1"/>
  <c r="U4799" i="1"/>
  <c r="V4798" i="1"/>
  <c r="U4798" i="1"/>
  <c r="V4797" i="1"/>
  <c r="U4797" i="1"/>
  <c r="V4796" i="1"/>
  <c r="U4796" i="1"/>
  <c r="V4795" i="1"/>
  <c r="U4795" i="1"/>
  <c r="T4794" i="1"/>
  <c r="V4793" i="1"/>
  <c r="U4793" i="1"/>
  <c r="V4792" i="1"/>
  <c r="U4792" i="1"/>
  <c r="T4791" i="1"/>
  <c r="V4790" i="1"/>
  <c r="U4790" i="1"/>
  <c r="V4789" i="1"/>
  <c r="U4789" i="1"/>
  <c r="T4788" i="1"/>
  <c r="V4787" i="1"/>
  <c r="U4787" i="1"/>
  <c r="T4786" i="1"/>
  <c r="V4785" i="1"/>
  <c r="U4785" i="1"/>
  <c r="T4784" i="1"/>
  <c r="V4783" i="1"/>
  <c r="U4783" i="1"/>
  <c r="V4782" i="1"/>
  <c r="U4782" i="1"/>
  <c r="V4781" i="1"/>
  <c r="U4781" i="1"/>
  <c r="T4780" i="1"/>
  <c r="V4779" i="1"/>
  <c r="U4779" i="1"/>
  <c r="V4778" i="1"/>
  <c r="U4778" i="1"/>
  <c r="V4777" i="1"/>
  <c r="U4777" i="1"/>
  <c r="T4776" i="1"/>
  <c r="V4775" i="1"/>
  <c r="U4775" i="1"/>
  <c r="V4774" i="1"/>
  <c r="U4774" i="1"/>
  <c r="V4773" i="1"/>
  <c r="U4773" i="1"/>
  <c r="T4772" i="1"/>
  <c r="V4771" i="1"/>
  <c r="U4771" i="1"/>
  <c r="V4770" i="1"/>
  <c r="U4770" i="1"/>
  <c r="T4769" i="1"/>
  <c r="V4768" i="1"/>
  <c r="U4768" i="1"/>
  <c r="V4767" i="1"/>
  <c r="U4767" i="1"/>
  <c r="V4766" i="1"/>
  <c r="U4766" i="1"/>
  <c r="V4765" i="1"/>
  <c r="U4765" i="1"/>
  <c r="V4764" i="1"/>
  <c r="U4764" i="1"/>
  <c r="V4763" i="1"/>
  <c r="U4763" i="1"/>
  <c r="V4762" i="1"/>
  <c r="U4762" i="1"/>
  <c r="V4761" i="1"/>
  <c r="U4761" i="1"/>
  <c r="T4760" i="1"/>
  <c r="V4759" i="1"/>
  <c r="U4759" i="1"/>
  <c r="T4758" i="1"/>
  <c r="V4757" i="1"/>
  <c r="U4757" i="1"/>
  <c r="V4756" i="1"/>
  <c r="U4756" i="1"/>
  <c r="V4755" i="1"/>
  <c r="U4755" i="1"/>
  <c r="V4754" i="1"/>
  <c r="U4754" i="1"/>
  <c r="V4753" i="1"/>
  <c r="U4753" i="1"/>
  <c r="V4752" i="1"/>
  <c r="U4752" i="1"/>
  <c r="S4752" i="1"/>
  <c r="T4751" i="1"/>
  <c r="V4750" i="1"/>
  <c r="U4750" i="1"/>
  <c r="V4749" i="1"/>
  <c r="U4749" i="1"/>
  <c r="V4748" i="1"/>
  <c r="U4748" i="1"/>
  <c r="T4747" i="1"/>
  <c r="V4746" i="1"/>
  <c r="U4746" i="1"/>
  <c r="V4745" i="1"/>
  <c r="U4745" i="1"/>
  <c r="V4744" i="1"/>
  <c r="U4744" i="1"/>
  <c r="V4743" i="1"/>
  <c r="U4743" i="1"/>
  <c r="V4742" i="1"/>
  <c r="U4742" i="1"/>
  <c r="V4741" i="1"/>
  <c r="U4741" i="1"/>
  <c r="V4739" i="1"/>
  <c r="U4739" i="1"/>
  <c r="V4738" i="1"/>
  <c r="U4738" i="1"/>
  <c r="V4737" i="1"/>
  <c r="U4737" i="1"/>
  <c r="V4736" i="1"/>
  <c r="U4736" i="1"/>
  <c r="V4735" i="1"/>
  <c r="U4735" i="1"/>
  <c r="T4734" i="1"/>
  <c r="V4732" i="1"/>
  <c r="U4732" i="1"/>
  <c r="V4731" i="1"/>
  <c r="U4731" i="1"/>
  <c r="V4730" i="1"/>
  <c r="U4730" i="1"/>
  <c r="T4729" i="1"/>
  <c r="V4728" i="1"/>
  <c r="U4728" i="1"/>
  <c r="V4727" i="1"/>
  <c r="U4727" i="1"/>
  <c r="V4726" i="1"/>
  <c r="U4726" i="1"/>
  <c r="V4725" i="1"/>
  <c r="U4725" i="1"/>
  <c r="V4724" i="1"/>
  <c r="U4724" i="1"/>
  <c r="V4723" i="1"/>
  <c r="U4723" i="1"/>
  <c r="V4722" i="1"/>
  <c r="U4722" i="1"/>
  <c r="V4721" i="1"/>
  <c r="U4721" i="1"/>
  <c r="V4720" i="1"/>
  <c r="U4720" i="1"/>
  <c r="V4719" i="1"/>
  <c r="U4719" i="1"/>
  <c r="V4718" i="1"/>
  <c r="U4718" i="1"/>
  <c r="V4717" i="1"/>
  <c r="U4717" i="1"/>
  <c r="V4716" i="1"/>
  <c r="U4716" i="1"/>
  <c r="V4715" i="1"/>
  <c r="U4715" i="1"/>
  <c r="V4714" i="1"/>
  <c r="U4714" i="1"/>
  <c r="V4713" i="1"/>
  <c r="U4713" i="1"/>
  <c r="V4712" i="1"/>
  <c r="U4712" i="1"/>
  <c r="V4711" i="1"/>
  <c r="U4711" i="1"/>
  <c r="V4710" i="1"/>
  <c r="U4710" i="1"/>
  <c r="V4709" i="1"/>
  <c r="U4709" i="1"/>
  <c r="T4708" i="1"/>
  <c r="T4707" i="1"/>
  <c r="V4706" i="1"/>
  <c r="U4706" i="1"/>
  <c r="T4705" i="1"/>
  <c r="V4704" i="1"/>
  <c r="U4704" i="1"/>
  <c r="T4703" i="1"/>
  <c r="V4702" i="1"/>
  <c r="U4702" i="1"/>
  <c r="V4701" i="1"/>
  <c r="U4701" i="1"/>
  <c r="T4700" i="1"/>
  <c r="V4699" i="1"/>
  <c r="U4699" i="1"/>
  <c r="V4698" i="1"/>
  <c r="U4698" i="1"/>
  <c r="V4697" i="1"/>
  <c r="U4697" i="1"/>
  <c r="V4696" i="1"/>
  <c r="U4696" i="1"/>
  <c r="V4695" i="1"/>
  <c r="U4695" i="1"/>
  <c r="V4694" i="1"/>
  <c r="U4694" i="1"/>
  <c r="V4693" i="1"/>
  <c r="U4693" i="1"/>
  <c r="T4692" i="1"/>
  <c r="T4691" i="1"/>
  <c r="T4690" i="1"/>
  <c r="V4689" i="1"/>
  <c r="U4689" i="1"/>
  <c r="V4688" i="1"/>
  <c r="U4688" i="1"/>
  <c r="V4687" i="1"/>
  <c r="U4687" i="1"/>
  <c r="V4686" i="1"/>
  <c r="U4686" i="1"/>
  <c r="V4685" i="1"/>
  <c r="U4685" i="1"/>
  <c r="T4684" i="1"/>
  <c r="T4683" i="1"/>
  <c r="V4682" i="1"/>
  <c r="U4682" i="1"/>
  <c r="V4681" i="1"/>
  <c r="U4681" i="1"/>
  <c r="V4680" i="1"/>
  <c r="U4680" i="1"/>
  <c r="V4679" i="1"/>
  <c r="U4679" i="1"/>
  <c r="V4678" i="1"/>
  <c r="U4678" i="1"/>
  <c r="V4677" i="1"/>
  <c r="U4677" i="1"/>
  <c r="V4676" i="1"/>
  <c r="U4676" i="1"/>
  <c r="V4675" i="1"/>
  <c r="U4675" i="1"/>
  <c r="V4674" i="1"/>
  <c r="U4674" i="1"/>
  <c r="V4673" i="1"/>
  <c r="U4673" i="1"/>
  <c r="V4672" i="1"/>
  <c r="U4672" i="1"/>
  <c r="V4671" i="1"/>
  <c r="U4671" i="1"/>
  <c r="V4670" i="1"/>
  <c r="U4670" i="1"/>
  <c r="V4669" i="1"/>
  <c r="U4669" i="1"/>
  <c r="V4668" i="1"/>
  <c r="U4668" i="1"/>
  <c r="V4667" i="1"/>
  <c r="U4667" i="1"/>
  <c r="V4666" i="1"/>
  <c r="U4666" i="1"/>
  <c r="V4665" i="1"/>
  <c r="U4665" i="1"/>
  <c r="V4664" i="1"/>
  <c r="U4664" i="1"/>
  <c r="V4663" i="1"/>
  <c r="U4663" i="1"/>
  <c r="V4662" i="1"/>
  <c r="U4662" i="1"/>
  <c r="V4661" i="1"/>
  <c r="U4661" i="1"/>
  <c r="V4660" i="1"/>
  <c r="U4660" i="1"/>
  <c r="T4659" i="1"/>
  <c r="V4658" i="1"/>
  <c r="U4658" i="1"/>
  <c r="V4657" i="1"/>
  <c r="U4657" i="1"/>
  <c r="T4656" i="1"/>
  <c r="V4655" i="1"/>
  <c r="U4655" i="1"/>
  <c r="V4654" i="1"/>
  <c r="U4654" i="1"/>
  <c r="V4653" i="1"/>
  <c r="U4653" i="1"/>
  <c r="V4652" i="1"/>
  <c r="U4652" i="1"/>
  <c r="V4651" i="1"/>
  <c r="U4651" i="1"/>
  <c r="V4650" i="1"/>
  <c r="U4650" i="1"/>
  <c r="V4649" i="1"/>
  <c r="U4649" i="1"/>
  <c r="T4648" i="1"/>
  <c r="V4647" i="1"/>
  <c r="U4647" i="1"/>
  <c r="V4646" i="1"/>
  <c r="U4646" i="1"/>
  <c r="T4645" i="1"/>
  <c r="V4644" i="1"/>
  <c r="U4644" i="1"/>
  <c r="V4643" i="1"/>
  <c r="U4643" i="1"/>
  <c r="V4642" i="1"/>
  <c r="U4642" i="1"/>
  <c r="V4641" i="1"/>
  <c r="U4641" i="1"/>
  <c r="V4640" i="1"/>
  <c r="U4640" i="1"/>
  <c r="V4639" i="1"/>
  <c r="U4639" i="1"/>
  <c r="V4638" i="1"/>
  <c r="U4638" i="1"/>
  <c r="V4637" i="1"/>
  <c r="U4637" i="1"/>
  <c r="V4636" i="1"/>
  <c r="U4636" i="1"/>
  <c r="V4635" i="1"/>
  <c r="U4635" i="1"/>
  <c r="T4634" i="1"/>
  <c r="V4633" i="1"/>
  <c r="U4633" i="1"/>
  <c r="V4632" i="1"/>
  <c r="U4632" i="1"/>
  <c r="V4631" i="1"/>
  <c r="U4631" i="1"/>
  <c r="V4630" i="1"/>
  <c r="U4630" i="1"/>
  <c r="V4629" i="1"/>
  <c r="U4629" i="1"/>
  <c r="V4628" i="1"/>
  <c r="U4628" i="1"/>
  <c r="V4627" i="1"/>
  <c r="U4627" i="1"/>
  <c r="V4626" i="1"/>
  <c r="U4626" i="1"/>
  <c r="V4625" i="1"/>
  <c r="U4625" i="1"/>
  <c r="V4624" i="1"/>
  <c r="U4624" i="1"/>
  <c r="V4623" i="1"/>
  <c r="U4623" i="1"/>
  <c r="T4622" i="1"/>
  <c r="V4621" i="1"/>
  <c r="U4621" i="1"/>
  <c r="T4620" i="1"/>
  <c r="V4619" i="1"/>
  <c r="U4619" i="1"/>
  <c r="V4618" i="1"/>
  <c r="U4618" i="1"/>
  <c r="V4617" i="1"/>
  <c r="U4617" i="1"/>
  <c r="V4616" i="1"/>
  <c r="U4616" i="1"/>
  <c r="V4615" i="1"/>
  <c r="U4615" i="1"/>
  <c r="V4614" i="1"/>
  <c r="U4614" i="1"/>
  <c r="V4613" i="1"/>
  <c r="U4613" i="1"/>
  <c r="V4612" i="1"/>
  <c r="U4612" i="1"/>
  <c r="T4611" i="1"/>
  <c r="T4610" i="1"/>
  <c r="V4609" i="1"/>
  <c r="U4609" i="1"/>
  <c r="V4608" i="1"/>
  <c r="U4608" i="1"/>
  <c r="V4607" i="1"/>
  <c r="U4607" i="1"/>
  <c r="V4606" i="1"/>
  <c r="U4606" i="1"/>
  <c r="V4605" i="1"/>
  <c r="U4605" i="1"/>
  <c r="V4604" i="1"/>
  <c r="U4604" i="1"/>
  <c r="V4603" i="1"/>
  <c r="U4603" i="1"/>
  <c r="V4602" i="1"/>
  <c r="U4602" i="1"/>
  <c r="V4601" i="1"/>
  <c r="U4601" i="1"/>
  <c r="V4600" i="1"/>
  <c r="U4600" i="1"/>
  <c r="V4599" i="1"/>
  <c r="U4599" i="1"/>
  <c r="V4598" i="1"/>
  <c r="U4598" i="1"/>
  <c r="V4597" i="1"/>
  <c r="U4597" i="1"/>
  <c r="V4596" i="1"/>
  <c r="U4596" i="1"/>
  <c r="V4595" i="1"/>
  <c r="U4595" i="1"/>
  <c r="V4594" i="1"/>
  <c r="U4594" i="1"/>
  <c r="V4593" i="1"/>
  <c r="U4593" i="1"/>
  <c r="V4592" i="1"/>
  <c r="U4592" i="1"/>
  <c r="V4591" i="1"/>
  <c r="U4591" i="1"/>
  <c r="V4590" i="1"/>
  <c r="U4590" i="1"/>
  <c r="V4589" i="1"/>
  <c r="U4589" i="1"/>
  <c r="V4588" i="1"/>
  <c r="U4588" i="1"/>
  <c r="V4587" i="1"/>
  <c r="U4587" i="1"/>
  <c r="T4586" i="1"/>
  <c r="V4585" i="1"/>
  <c r="U4585" i="1"/>
  <c r="V4584" i="1"/>
  <c r="U4584" i="1"/>
  <c r="V4583" i="1"/>
  <c r="U4583" i="1"/>
  <c r="V4582" i="1"/>
  <c r="U4582" i="1"/>
  <c r="V4581" i="1"/>
  <c r="U4581" i="1"/>
  <c r="V4580" i="1"/>
  <c r="U4580" i="1"/>
  <c r="V4579" i="1"/>
  <c r="U4579" i="1"/>
  <c r="V4578" i="1"/>
  <c r="U4578" i="1"/>
  <c r="T4577" i="1"/>
  <c r="V4576" i="1"/>
  <c r="U4576" i="1"/>
  <c r="T4575" i="1"/>
  <c r="V4574" i="1"/>
  <c r="U4574" i="1"/>
  <c r="V4573" i="1"/>
  <c r="U4573" i="1"/>
  <c r="V4572" i="1"/>
  <c r="U4572" i="1"/>
  <c r="V4571" i="1"/>
  <c r="U4571" i="1"/>
  <c r="V4570" i="1"/>
  <c r="U4570" i="1"/>
  <c r="V4569" i="1"/>
  <c r="U4569" i="1"/>
  <c r="V4568" i="1"/>
  <c r="U4568" i="1"/>
  <c r="V4567" i="1"/>
  <c r="U4567" i="1"/>
  <c r="V4566" i="1"/>
  <c r="U4566" i="1"/>
  <c r="T4565" i="1"/>
  <c r="V4564" i="1"/>
  <c r="U4564" i="1"/>
  <c r="T4563" i="1"/>
  <c r="V4562" i="1"/>
  <c r="U4562" i="1"/>
  <c r="V4561" i="1"/>
  <c r="U4561" i="1"/>
  <c r="V4560" i="1"/>
  <c r="U4560" i="1"/>
  <c r="T4559" i="1"/>
  <c r="V4558" i="1"/>
  <c r="U4558" i="1"/>
  <c r="T4557" i="1"/>
  <c r="V4556" i="1"/>
  <c r="U4556" i="1"/>
  <c r="T4555" i="1"/>
  <c r="V4554" i="1"/>
  <c r="U4554" i="1"/>
  <c r="V4553" i="1"/>
  <c r="U4553" i="1"/>
  <c r="V4552" i="1"/>
  <c r="U4552" i="1"/>
  <c r="V4551" i="1"/>
  <c r="U4551" i="1"/>
  <c r="V4550" i="1"/>
  <c r="U4550" i="1"/>
  <c r="V4549" i="1"/>
  <c r="U4549" i="1"/>
  <c r="V4548" i="1"/>
  <c r="U4548" i="1"/>
  <c r="V4547" i="1"/>
  <c r="U4547" i="1"/>
  <c r="V4546" i="1"/>
  <c r="U4546" i="1"/>
  <c r="V4545" i="1"/>
  <c r="U4545" i="1"/>
  <c r="V4544" i="1"/>
  <c r="U4544" i="1"/>
  <c r="V4543" i="1"/>
  <c r="U4543" i="1"/>
  <c r="V4542" i="1"/>
  <c r="U4542" i="1"/>
  <c r="V4541" i="1"/>
  <c r="U4541" i="1"/>
  <c r="V4540" i="1"/>
  <c r="U4540" i="1"/>
  <c r="V4539" i="1"/>
  <c r="U4539" i="1"/>
  <c r="V4538" i="1"/>
  <c r="U4538" i="1"/>
  <c r="V4537" i="1"/>
  <c r="U4537" i="1"/>
  <c r="V4536" i="1"/>
  <c r="U4536" i="1"/>
  <c r="V4535" i="1"/>
  <c r="U4535" i="1"/>
  <c r="V4534" i="1"/>
  <c r="U4534" i="1"/>
  <c r="V4533" i="1"/>
  <c r="U4533" i="1"/>
  <c r="T4532" i="1"/>
  <c r="V4531" i="1"/>
  <c r="U4531" i="1"/>
  <c r="V4530" i="1"/>
  <c r="U4530" i="1"/>
  <c r="V4529" i="1"/>
  <c r="U4529" i="1"/>
  <c r="V4528" i="1"/>
  <c r="U4528" i="1"/>
  <c r="V4527" i="1"/>
  <c r="U4527" i="1"/>
  <c r="V4526" i="1"/>
  <c r="U4526" i="1"/>
  <c r="V4525" i="1"/>
  <c r="U4525" i="1"/>
  <c r="V4524" i="1"/>
  <c r="U4524" i="1"/>
  <c r="V4523" i="1"/>
  <c r="U4523" i="1"/>
  <c r="V4522" i="1"/>
  <c r="U4522" i="1"/>
  <c r="V4520" i="1"/>
  <c r="U4520" i="1"/>
  <c r="V4519" i="1"/>
  <c r="U4519" i="1"/>
  <c r="V4518" i="1"/>
  <c r="U4518" i="1"/>
  <c r="V4517" i="1"/>
  <c r="U4517" i="1"/>
  <c r="V4516" i="1"/>
  <c r="U4516" i="1"/>
  <c r="V4515" i="1"/>
  <c r="U4515" i="1"/>
  <c r="V4514" i="1"/>
  <c r="U4514" i="1"/>
  <c r="V4513" i="1"/>
  <c r="U4513" i="1"/>
  <c r="V4512" i="1"/>
  <c r="U4512" i="1"/>
  <c r="V4511" i="1"/>
  <c r="U4511" i="1"/>
  <c r="V4510" i="1"/>
  <c r="U4510" i="1"/>
  <c r="V4509" i="1"/>
  <c r="U4509" i="1"/>
  <c r="V4508" i="1"/>
  <c r="U4508" i="1"/>
  <c r="V4507" i="1"/>
  <c r="U4507" i="1"/>
  <c r="V4506" i="1"/>
  <c r="U4506" i="1"/>
  <c r="T4505" i="1"/>
  <c r="V4504" i="1"/>
  <c r="U4504" i="1"/>
  <c r="V4503" i="1"/>
  <c r="U4503" i="1"/>
  <c r="V4502" i="1"/>
  <c r="U4502" i="1"/>
  <c r="V4501" i="1"/>
  <c r="U4501" i="1"/>
  <c r="T4500" i="1"/>
  <c r="V4499" i="1"/>
  <c r="U4499" i="1"/>
  <c r="V4498" i="1"/>
  <c r="U4498" i="1"/>
  <c r="V4497" i="1"/>
  <c r="U4497" i="1"/>
  <c r="V4496" i="1"/>
  <c r="U4496" i="1"/>
  <c r="V4495" i="1"/>
  <c r="U4495" i="1"/>
  <c r="V4494" i="1"/>
  <c r="U4494" i="1"/>
  <c r="V4493" i="1"/>
  <c r="U4493" i="1"/>
  <c r="V4492" i="1"/>
  <c r="U4492" i="1"/>
  <c r="V4491" i="1"/>
  <c r="U4491" i="1"/>
  <c r="V4490" i="1"/>
  <c r="U4490" i="1"/>
  <c r="V4489" i="1"/>
  <c r="U4489" i="1"/>
  <c r="V4488" i="1"/>
  <c r="U4488" i="1"/>
  <c r="V4487" i="1"/>
  <c r="U4487" i="1"/>
  <c r="V4486" i="1"/>
  <c r="U4486" i="1"/>
  <c r="V4485" i="1"/>
  <c r="U4485" i="1"/>
  <c r="V4484" i="1"/>
  <c r="U4484" i="1"/>
  <c r="V4483" i="1"/>
  <c r="U4483" i="1"/>
  <c r="V4482" i="1"/>
  <c r="U4482" i="1"/>
  <c r="V4481" i="1"/>
  <c r="U4481" i="1"/>
  <c r="T4480" i="1"/>
  <c r="V4479" i="1"/>
  <c r="U4479" i="1"/>
  <c r="T4478" i="1"/>
  <c r="V4477" i="1"/>
  <c r="U4477" i="1"/>
  <c r="V4476" i="1"/>
  <c r="U4476" i="1"/>
  <c r="V4475" i="1"/>
  <c r="U4475" i="1"/>
  <c r="V4474" i="1"/>
  <c r="U4474" i="1"/>
  <c r="T4473" i="1"/>
  <c r="V4472" i="1"/>
  <c r="U4472" i="1"/>
  <c r="V4471" i="1"/>
  <c r="U4471" i="1"/>
  <c r="V4470" i="1"/>
  <c r="U4470" i="1"/>
  <c r="V4469" i="1"/>
  <c r="U4469" i="1"/>
  <c r="V4468" i="1"/>
  <c r="U4468" i="1"/>
  <c r="V4467" i="1"/>
  <c r="U4467" i="1"/>
  <c r="T4466" i="1"/>
  <c r="V4465" i="1"/>
  <c r="U4465" i="1"/>
  <c r="V4464" i="1"/>
  <c r="U4464" i="1"/>
  <c r="V4463" i="1"/>
  <c r="U4463" i="1"/>
  <c r="V4462" i="1"/>
  <c r="U4462" i="1"/>
  <c r="T4461" i="1"/>
  <c r="V4460" i="1"/>
  <c r="U4460" i="1"/>
  <c r="V4459" i="1"/>
  <c r="U4459" i="1"/>
  <c r="V4458" i="1"/>
  <c r="U4458" i="1"/>
  <c r="V4457" i="1"/>
  <c r="U4457" i="1"/>
  <c r="V4456" i="1"/>
  <c r="U4456" i="1"/>
  <c r="V4455" i="1"/>
  <c r="U4455" i="1"/>
  <c r="V4454" i="1"/>
  <c r="U4454" i="1"/>
  <c r="V4453" i="1"/>
  <c r="U4453" i="1"/>
  <c r="V4452" i="1"/>
  <c r="U4452" i="1"/>
  <c r="V4451" i="1"/>
  <c r="U4451" i="1"/>
  <c r="V4450" i="1"/>
  <c r="U4450" i="1"/>
  <c r="V4449" i="1"/>
  <c r="U4449" i="1"/>
  <c r="V4448" i="1"/>
  <c r="U4448" i="1"/>
  <c r="V4447" i="1"/>
  <c r="U4447" i="1"/>
  <c r="T4446" i="1"/>
  <c r="V4445" i="1"/>
  <c r="U4445" i="1"/>
  <c r="V4444" i="1"/>
  <c r="U4444" i="1"/>
  <c r="V4443" i="1"/>
  <c r="U4443" i="1"/>
  <c r="T4442" i="1"/>
  <c r="V4441" i="1"/>
  <c r="U4441" i="1"/>
  <c r="V4440" i="1"/>
  <c r="U4440" i="1"/>
  <c r="V4439" i="1"/>
  <c r="U4439" i="1"/>
  <c r="V4438" i="1"/>
  <c r="U4438" i="1"/>
  <c r="V4437" i="1"/>
  <c r="U4437" i="1"/>
  <c r="V4436" i="1"/>
  <c r="U4436" i="1"/>
  <c r="V4435" i="1"/>
  <c r="U4435" i="1"/>
  <c r="V4434" i="1"/>
  <c r="U4434" i="1"/>
  <c r="T4433" i="1"/>
  <c r="V4432" i="1"/>
  <c r="U4432" i="1"/>
  <c r="V4431" i="1"/>
  <c r="U4431" i="1"/>
  <c r="V4430" i="1"/>
  <c r="U4430" i="1"/>
  <c r="T4429" i="1"/>
  <c r="V4428" i="1"/>
  <c r="U4428" i="1"/>
  <c r="T4427" i="1"/>
  <c r="T4426" i="1"/>
  <c r="V4425" i="1"/>
  <c r="U4425" i="1"/>
  <c r="V4424" i="1"/>
  <c r="U4424" i="1"/>
  <c r="V4423" i="1"/>
  <c r="U4423" i="1"/>
  <c r="V4422" i="1"/>
  <c r="U4422" i="1"/>
  <c r="V4421" i="1"/>
  <c r="U4421" i="1"/>
  <c r="V4420" i="1"/>
  <c r="U4420" i="1"/>
  <c r="V4419" i="1"/>
  <c r="U4419" i="1"/>
  <c r="T4418" i="1"/>
  <c r="V4417" i="1"/>
  <c r="U4417" i="1"/>
  <c r="T4416" i="1"/>
  <c r="V4415" i="1"/>
  <c r="U4415" i="1"/>
  <c r="T4414" i="1"/>
  <c r="V4413" i="1"/>
  <c r="U4413" i="1"/>
  <c r="V4412" i="1"/>
  <c r="U4412" i="1"/>
  <c r="V4411" i="1"/>
  <c r="U4411" i="1"/>
  <c r="V4410" i="1"/>
  <c r="U4410" i="1"/>
  <c r="V4409" i="1"/>
  <c r="U4409" i="1"/>
  <c r="T4408" i="1"/>
  <c r="V4407" i="1"/>
  <c r="U4407" i="1"/>
  <c r="V4406" i="1"/>
  <c r="U4406" i="1"/>
  <c r="V4405" i="1"/>
  <c r="U4405" i="1"/>
  <c r="V4404" i="1"/>
  <c r="U4404" i="1"/>
  <c r="V4403" i="1"/>
  <c r="U4403" i="1"/>
  <c r="V4402" i="1"/>
  <c r="U4402" i="1"/>
  <c r="V4401" i="1"/>
  <c r="U4401" i="1"/>
  <c r="T4400" i="1"/>
  <c r="V4399" i="1"/>
  <c r="U4399" i="1"/>
  <c r="T4398" i="1"/>
  <c r="V4397" i="1"/>
  <c r="U4397" i="1"/>
  <c r="V4396" i="1"/>
  <c r="U4396" i="1"/>
  <c r="T4395" i="1"/>
  <c r="V4394" i="1"/>
  <c r="U4394" i="1"/>
  <c r="V4393" i="1"/>
  <c r="U4393" i="1"/>
  <c r="T4392" i="1"/>
  <c r="V4391" i="1"/>
  <c r="U4391" i="1"/>
  <c r="V4390" i="1"/>
  <c r="U4390" i="1"/>
  <c r="V4389" i="1"/>
  <c r="U4389" i="1"/>
  <c r="T4388" i="1"/>
  <c r="V4387" i="1"/>
  <c r="U4387" i="1"/>
  <c r="V4386" i="1"/>
  <c r="U4386" i="1"/>
  <c r="V4385" i="1"/>
  <c r="U4385" i="1"/>
  <c r="T4384" i="1"/>
  <c r="V4383" i="1"/>
  <c r="U4383" i="1"/>
  <c r="V4382" i="1"/>
  <c r="U4382" i="1"/>
  <c r="V4381" i="1"/>
  <c r="U4381" i="1"/>
  <c r="V4380" i="1"/>
  <c r="U4380" i="1"/>
  <c r="V4379" i="1"/>
  <c r="U4379" i="1"/>
  <c r="V4378" i="1"/>
  <c r="U4378" i="1"/>
  <c r="V4377" i="1"/>
  <c r="U4377" i="1"/>
  <c r="V4376" i="1"/>
  <c r="U4376" i="1"/>
  <c r="V4375" i="1"/>
  <c r="U4375" i="1"/>
  <c r="V4373" i="1"/>
  <c r="U4373" i="1"/>
  <c r="V4372" i="1"/>
  <c r="U4372" i="1"/>
  <c r="V4371" i="1"/>
  <c r="U4371" i="1"/>
  <c r="T4370" i="1"/>
  <c r="V4369" i="1"/>
  <c r="U4369" i="1"/>
  <c r="V4368" i="1"/>
  <c r="U4368" i="1"/>
  <c r="T4367" i="1"/>
  <c r="V4366" i="1"/>
  <c r="U4366" i="1"/>
  <c r="V4365" i="1"/>
  <c r="U4365" i="1"/>
  <c r="V4364" i="1"/>
  <c r="U4364" i="1"/>
  <c r="V4363" i="1"/>
  <c r="U4363" i="1"/>
  <c r="T4362" i="1"/>
  <c r="V4361" i="1"/>
  <c r="U4361" i="1"/>
  <c r="V4360" i="1"/>
  <c r="U4360" i="1"/>
  <c r="V4359" i="1"/>
  <c r="U4359" i="1"/>
  <c r="V4358" i="1"/>
  <c r="U4358" i="1"/>
  <c r="V4357" i="1"/>
  <c r="U4357" i="1"/>
  <c r="V4356" i="1"/>
  <c r="U4356" i="1"/>
  <c r="V4355" i="1"/>
  <c r="U4355" i="1"/>
  <c r="T4354" i="1"/>
  <c r="V4353" i="1"/>
  <c r="U4353" i="1"/>
  <c r="V4352" i="1"/>
  <c r="U4352" i="1"/>
  <c r="V4351" i="1"/>
  <c r="U4351" i="1"/>
  <c r="V4350" i="1"/>
  <c r="U4350" i="1"/>
  <c r="V4349" i="1"/>
  <c r="U4349" i="1"/>
  <c r="V4348" i="1"/>
  <c r="U4348" i="1"/>
  <c r="V4347" i="1"/>
  <c r="U4347" i="1"/>
  <c r="V4346" i="1"/>
  <c r="U4346" i="1"/>
  <c r="V4345" i="1"/>
  <c r="U4345" i="1"/>
  <c r="V4344" i="1"/>
  <c r="U4344" i="1"/>
  <c r="V4343" i="1"/>
  <c r="U4343" i="1"/>
  <c r="V4342" i="1"/>
  <c r="U4342" i="1"/>
  <c r="V4341" i="1"/>
  <c r="U4341" i="1"/>
  <c r="V4340" i="1"/>
  <c r="U4340" i="1"/>
  <c r="V4339" i="1"/>
  <c r="U4339" i="1"/>
  <c r="V4338" i="1"/>
  <c r="U4338" i="1"/>
  <c r="V4337" i="1"/>
  <c r="U4337" i="1"/>
  <c r="V4336" i="1"/>
  <c r="U4336" i="1"/>
  <c r="V4335" i="1"/>
  <c r="U4335" i="1"/>
  <c r="V4334" i="1"/>
  <c r="U4334" i="1"/>
  <c r="T4333" i="1"/>
  <c r="V4332" i="1"/>
  <c r="U4332" i="1"/>
  <c r="T4331" i="1"/>
  <c r="V4330" i="1"/>
  <c r="U4330" i="1"/>
  <c r="V4329" i="1"/>
  <c r="U4329" i="1"/>
  <c r="V4328" i="1"/>
  <c r="U4328" i="1"/>
  <c r="V4327" i="1"/>
  <c r="U4327" i="1"/>
  <c r="V4326" i="1"/>
  <c r="U4326" i="1"/>
  <c r="V4325" i="1"/>
  <c r="U4325" i="1"/>
  <c r="V4324" i="1"/>
  <c r="U4324" i="1"/>
  <c r="V4323" i="1"/>
  <c r="U4323" i="1"/>
  <c r="V4322" i="1"/>
  <c r="U4322" i="1"/>
  <c r="V4321" i="1"/>
  <c r="U4321" i="1"/>
  <c r="V4320" i="1"/>
  <c r="U4320" i="1"/>
  <c r="V4319" i="1"/>
  <c r="U4319" i="1"/>
  <c r="V4318" i="1"/>
  <c r="U4318" i="1"/>
  <c r="V4317" i="1"/>
  <c r="U4317" i="1"/>
  <c r="V4316" i="1"/>
  <c r="U4316" i="1"/>
  <c r="V4315" i="1"/>
  <c r="U4315" i="1"/>
  <c r="T4314" i="1"/>
  <c r="V4313" i="1"/>
  <c r="U4313" i="1"/>
  <c r="V4312" i="1"/>
  <c r="U4312" i="1"/>
  <c r="V4311" i="1"/>
  <c r="U4311" i="1"/>
  <c r="T4310" i="1"/>
  <c r="T4308" i="1"/>
  <c r="V4307" i="1"/>
  <c r="U4307" i="1"/>
  <c r="V4306" i="1"/>
  <c r="U4306" i="1"/>
  <c r="T4305" i="1"/>
  <c r="V4304" i="1"/>
  <c r="U4304" i="1"/>
  <c r="V4303" i="1"/>
  <c r="U4303" i="1"/>
  <c r="V4302" i="1"/>
  <c r="U4302" i="1"/>
  <c r="V4301" i="1"/>
  <c r="U4301" i="1"/>
  <c r="T4300" i="1"/>
  <c r="V4299" i="1"/>
  <c r="U4299" i="1"/>
  <c r="V4298" i="1"/>
  <c r="U4298" i="1"/>
  <c r="V4297" i="1"/>
  <c r="U4297" i="1"/>
  <c r="V4296" i="1"/>
  <c r="U4296" i="1"/>
  <c r="V4295" i="1"/>
  <c r="U4295" i="1"/>
  <c r="V4294" i="1"/>
  <c r="U4294" i="1"/>
  <c r="V4293" i="1"/>
  <c r="U4293" i="1"/>
  <c r="V4292" i="1"/>
  <c r="U4292" i="1"/>
  <c r="V4291" i="1"/>
  <c r="U4291" i="1"/>
  <c r="V4290" i="1"/>
  <c r="U4290" i="1"/>
  <c r="T4289" i="1"/>
  <c r="V4287" i="1"/>
  <c r="U4287" i="1"/>
  <c r="T4286" i="1"/>
  <c r="V4285" i="1"/>
  <c r="U4285" i="1"/>
  <c r="V4284" i="1"/>
  <c r="U4284" i="1"/>
  <c r="V4283" i="1"/>
  <c r="U4283" i="1"/>
  <c r="V4282" i="1"/>
  <c r="U4282" i="1"/>
  <c r="V4281" i="1"/>
  <c r="U4281" i="1"/>
  <c r="V4280" i="1"/>
  <c r="U4280" i="1"/>
  <c r="V4279" i="1"/>
  <c r="U4279" i="1"/>
  <c r="V4278" i="1"/>
  <c r="U4278" i="1"/>
  <c r="V4277" i="1"/>
  <c r="U4277" i="1"/>
  <c r="V4276" i="1"/>
  <c r="U4276" i="1"/>
  <c r="V4275" i="1"/>
  <c r="U4275" i="1"/>
  <c r="V4274" i="1"/>
  <c r="U4274" i="1"/>
  <c r="V4273" i="1"/>
  <c r="U4273" i="1"/>
  <c r="V4272" i="1"/>
  <c r="U4272" i="1"/>
  <c r="V4271" i="1"/>
  <c r="U4271" i="1"/>
  <c r="V4270" i="1"/>
  <c r="U4270" i="1"/>
  <c r="V4269" i="1"/>
  <c r="U4269" i="1"/>
  <c r="V4268" i="1"/>
  <c r="U4268" i="1"/>
  <c r="V4267" i="1"/>
  <c r="U4267" i="1"/>
  <c r="T4266" i="1"/>
  <c r="V4265" i="1"/>
  <c r="U4265" i="1"/>
  <c r="V4264" i="1"/>
  <c r="U4264" i="1"/>
  <c r="V4263" i="1"/>
  <c r="U4263" i="1"/>
  <c r="T4262" i="1"/>
  <c r="T4261" i="1"/>
  <c r="V4260" i="1"/>
  <c r="U4260" i="1"/>
  <c r="V4259" i="1"/>
  <c r="U4259" i="1"/>
  <c r="T4258" i="1"/>
  <c r="V4257" i="1"/>
  <c r="U4257" i="1"/>
  <c r="V4256" i="1"/>
  <c r="U4256" i="1"/>
  <c r="V4255" i="1"/>
  <c r="U4255" i="1"/>
  <c r="V4254" i="1"/>
  <c r="U4254" i="1"/>
  <c r="V4253" i="1"/>
  <c r="U4253" i="1"/>
  <c r="V4251" i="1"/>
  <c r="U4251" i="1"/>
  <c r="V4250" i="1"/>
  <c r="U4250" i="1"/>
  <c r="V4249" i="1"/>
  <c r="U4249" i="1"/>
  <c r="V4248" i="1"/>
  <c r="U4248" i="1"/>
  <c r="V4247" i="1"/>
  <c r="U4247" i="1"/>
  <c r="V4246" i="1"/>
  <c r="U4246" i="1"/>
  <c r="V4245" i="1"/>
  <c r="U4245" i="1"/>
  <c r="V4244" i="1"/>
  <c r="U4244" i="1"/>
  <c r="V4243" i="1"/>
  <c r="U4243" i="1"/>
  <c r="V4242" i="1"/>
  <c r="U4242" i="1"/>
  <c r="V4241" i="1"/>
  <c r="U4241" i="1"/>
  <c r="V4240" i="1"/>
  <c r="U4240" i="1"/>
  <c r="V4239" i="1"/>
  <c r="U4239" i="1"/>
  <c r="V4238" i="1"/>
  <c r="U4238" i="1"/>
  <c r="V4237" i="1"/>
  <c r="U4237" i="1"/>
  <c r="V4236" i="1"/>
  <c r="U4236" i="1"/>
  <c r="V4235" i="1"/>
  <c r="U4235" i="1"/>
  <c r="V4234" i="1"/>
  <c r="U4234" i="1"/>
  <c r="V4233" i="1"/>
  <c r="U4233" i="1"/>
  <c r="V4232" i="1"/>
  <c r="U4232" i="1"/>
  <c r="V4231" i="1"/>
  <c r="U4231" i="1"/>
  <c r="V4230" i="1"/>
  <c r="U4230" i="1"/>
  <c r="V4229" i="1"/>
  <c r="U4229" i="1"/>
  <c r="V4228" i="1"/>
  <c r="U4228" i="1"/>
  <c r="V4227" i="1"/>
  <c r="U4227" i="1"/>
  <c r="V4226" i="1"/>
  <c r="U4226" i="1"/>
  <c r="V4225" i="1"/>
  <c r="U4225" i="1"/>
  <c r="V4223" i="1"/>
  <c r="U4223" i="1"/>
  <c r="V4222" i="1"/>
  <c r="U4222" i="1"/>
  <c r="V4221" i="1"/>
  <c r="U4221" i="1"/>
  <c r="V4220" i="1"/>
  <c r="U4220" i="1"/>
  <c r="V4219" i="1"/>
  <c r="U4219" i="1"/>
  <c r="V4218" i="1"/>
  <c r="U4218" i="1"/>
  <c r="V4217" i="1"/>
  <c r="U4217" i="1"/>
  <c r="T4216" i="1"/>
  <c r="V4215" i="1"/>
  <c r="U4215" i="1"/>
  <c r="V4214" i="1"/>
  <c r="U4214" i="1"/>
  <c r="T4213" i="1"/>
  <c r="V4212" i="1"/>
  <c r="U4212" i="1"/>
  <c r="V4211" i="1"/>
  <c r="U4211" i="1"/>
  <c r="V4210" i="1"/>
  <c r="U4210" i="1"/>
  <c r="V4209" i="1"/>
  <c r="U4209" i="1"/>
  <c r="V4208" i="1"/>
  <c r="U4208" i="1"/>
  <c r="V4207" i="1"/>
  <c r="U4207" i="1"/>
  <c r="V4206" i="1"/>
  <c r="U4206" i="1"/>
  <c r="V4205" i="1"/>
  <c r="U4205" i="1"/>
  <c r="V4204" i="1"/>
  <c r="U4204" i="1"/>
  <c r="V4203" i="1"/>
  <c r="U4203" i="1"/>
  <c r="V4202" i="1"/>
  <c r="U4202" i="1"/>
  <c r="V4201" i="1"/>
  <c r="U4201" i="1"/>
  <c r="V4200" i="1"/>
  <c r="U4200" i="1"/>
  <c r="V4199" i="1"/>
  <c r="U4199" i="1"/>
  <c r="V4198" i="1"/>
  <c r="U4198" i="1"/>
  <c r="T4197" i="1"/>
  <c r="V4196" i="1"/>
  <c r="U4196" i="1"/>
  <c r="V4195" i="1"/>
  <c r="U4195" i="1"/>
  <c r="V4194" i="1"/>
  <c r="U4194" i="1"/>
  <c r="V4193" i="1"/>
  <c r="U4193" i="1"/>
  <c r="T4192" i="1"/>
  <c r="V4191" i="1"/>
  <c r="U4191" i="1"/>
  <c r="V4190" i="1"/>
  <c r="U4190" i="1"/>
  <c r="V4189" i="1"/>
  <c r="U4189" i="1"/>
  <c r="V4188" i="1"/>
  <c r="U4188" i="1"/>
  <c r="V4187" i="1"/>
  <c r="U4187" i="1"/>
  <c r="V4186" i="1"/>
  <c r="U4186" i="1"/>
  <c r="V4185" i="1"/>
  <c r="U4185" i="1"/>
  <c r="V4184" i="1"/>
  <c r="U4184" i="1"/>
  <c r="V4183" i="1"/>
  <c r="U4183" i="1"/>
  <c r="V4182" i="1"/>
  <c r="U4182" i="1"/>
  <c r="V4181" i="1"/>
  <c r="U4181" i="1"/>
  <c r="T4180" i="1"/>
  <c r="V4179" i="1"/>
  <c r="U4179" i="1"/>
  <c r="T4178" i="1"/>
  <c r="V4177" i="1"/>
  <c r="U4177" i="1"/>
  <c r="V4176" i="1"/>
  <c r="U4176" i="1"/>
  <c r="V4175" i="1"/>
  <c r="U4175" i="1"/>
  <c r="V4174" i="1"/>
  <c r="U4174" i="1"/>
  <c r="V4173" i="1"/>
  <c r="U4173" i="1"/>
  <c r="V4172" i="1"/>
  <c r="U4172" i="1"/>
  <c r="V4171" i="1"/>
  <c r="U4171" i="1"/>
  <c r="T4170" i="1"/>
  <c r="V4169" i="1"/>
  <c r="U4169" i="1"/>
  <c r="V4168" i="1"/>
  <c r="U4168" i="1"/>
  <c r="V4167" i="1"/>
  <c r="U4167" i="1"/>
  <c r="V4166" i="1"/>
  <c r="U4166" i="1"/>
  <c r="V4165" i="1"/>
  <c r="U4165" i="1"/>
  <c r="V4164" i="1"/>
  <c r="U4164" i="1"/>
  <c r="V4163" i="1"/>
  <c r="U4163" i="1"/>
  <c r="V4162" i="1"/>
  <c r="U4162" i="1"/>
  <c r="V4161" i="1"/>
  <c r="U4161" i="1"/>
  <c r="V4160" i="1"/>
  <c r="U4160" i="1"/>
  <c r="V4159" i="1"/>
  <c r="U4159" i="1"/>
  <c r="V4158" i="1"/>
  <c r="U4158" i="1"/>
  <c r="V4157" i="1"/>
  <c r="U4157" i="1"/>
  <c r="V4156" i="1"/>
  <c r="U4156" i="1"/>
  <c r="V4155" i="1"/>
  <c r="U4155" i="1"/>
  <c r="V4154" i="1"/>
  <c r="U4154" i="1"/>
  <c r="V4153" i="1"/>
  <c r="U4153" i="1"/>
  <c r="V4152" i="1"/>
  <c r="U4152" i="1"/>
  <c r="V4151" i="1"/>
  <c r="U4151" i="1"/>
  <c r="V4150" i="1"/>
  <c r="U4150" i="1"/>
  <c r="V4149" i="1"/>
  <c r="U4149" i="1"/>
  <c r="V4148" i="1"/>
  <c r="U4148" i="1"/>
  <c r="V4147" i="1"/>
  <c r="U4147" i="1"/>
  <c r="V4146" i="1"/>
  <c r="U4146" i="1"/>
  <c r="V4145" i="1"/>
  <c r="U4145" i="1"/>
  <c r="T4144" i="1"/>
  <c r="V4143" i="1"/>
  <c r="U4143" i="1"/>
  <c r="V4142" i="1"/>
  <c r="U4142" i="1"/>
  <c r="V4141" i="1"/>
  <c r="U4141" i="1"/>
  <c r="V4140" i="1"/>
  <c r="U4140" i="1"/>
  <c r="V4139" i="1"/>
  <c r="U4139" i="1"/>
  <c r="V4138" i="1"/>
  <c r="U4138" i="1"/>
  <c r="V4137" i="1"/>
  <c r="U4137" i="1"/>
  <c r="V4136" i="1"/>
  <c r="U4136" i="1"/>
  <c r="V4135" i="1"/>
  <c r="U4135" i="1"/>
  <c r="V4134" i="1"/>
  <c r="U4134" i="1"/>
  <c r="V4133" i="1"/>
  <c r="U4133" i="1"/>
  <c r="V4132" i="1"/>
  <c r="U4132" i="1"/>
  <c r="V4131" i="1"/>
  <c r="U4131" i="1"/>
  <c r="V4130" i="1"/>
  <c r="U4130" i="1"/>
  <c r="V4129" i="1"/>
  <c r="U4129" i="1"/>
  <c r="T4128" i="1"/>
  <c r="V4127" i="1"/>
  <c r="U4127" i="1"/>
  <c r="V4126" i="1"/>
  <c r="U4126" i="1"/>
  <c r="T4125" i="1"/>
  <c r="V4124" i="1"/>
  <c r="U4124" i="1"/>
  <c r="V4123" i="1"/>
  <c r="U4123" i="1"/>
  <c r="V4122" i="1"/>
  <c r="U4122" i="1"/>
  <c r="T4121" i="1"/>
  <c r="V4120" i="1"/>
  <c r="U4120" i="1"/>
  <c r="V4119" i="1"/>
  <c r="U4119" i="1"/>
  <c r="V4118" i="1"/>
  <c r="U4118" i="1"/>
  <c r="V4117" i="1"/>
  <c r="U4117" i="1"/>
  <c r="V4116" i="1"/>
  <c r="U4116" i="1"/>
  <c r="V4115" i="1"/>
  <c r="U4115" i="1"/>
  <c r="T4114" i="1"/>
  <c r="V4113" i="1"/>
  <c r="U4113" i="1"/>
  <c r="V4112" i="1"/>
  <c r="U4112" i="1"/>
  <c r="V4111" i="1"/>
  <c r="U4111" i="1"/>
  <c r="V4110" i="1"/>
  <c r="U4110" i="1"/>
  <c r="V4109" i="1"/>
  <c r="U4109" i="1"/>
  <c r="V4108" i="1"/>
  <c r="U4108" i="1"/>
  <c r="V4107" i="1"/>
  <c r="U4107" i="1"/>
  <c r="V4106" i="1"/>
  <c r="U4106" i="1"/>
  <c r="V4105" i="1"/>
  <c r="U4105" i="1"/>
  <c r="T4104" i="1"/>
  <c r="V4103" i="1"/>
  <c r="U4103" i="1"/>
  <c r="V4102" i="1"/>
  <c r="U4102" i="1"/>
  <c r="V4101" i="1"/>
  <c r="U4101" i="1"/>
  <c r="V4100" i="1"/>
  <c r="U4100" i="1"/>
  <c r="V4099" i="1"/>
  <c r="U4099" i="1"/>
  <c r="V4098" i="1"/>
  <c r="U4098" i="1"/>
  <c r="T4097" i="1"/>
  <c r="V4096" i="1"/>
  <c r="U4096" i="1"/>
  <c r="T4095" i="1"/>
  <c r="V4094" i="1"/>
  <c r="U4094" i="1"/>
  <c r="V4093" i="1"/>
  <c r="U4093" i="1"/>
  <c r="V4092" i="1"/>
  <c r="U4092" i="1"/>
  <c r="V4091" i="1"/>
  <c r="U4091" i="1"/>
  <c r="V4090" i="1"/>
  <c r="U4090" i="1"/>
  <c r="V4089" i="1"/>
  <c r="U4089" i="1"/>
  <c r="T4088" i="1"/>
  <c r="V4087" i="1"/>
  <c r="U4087" i="1"/>
  <c r="V4086" i="1"/>
  <c r="U4086" i="1"/>
  <c r="V4085" i="1"/>
  <c r="U4085" i="1"/>
  <c r="V4084" i="1"/>
  <c r="U4084" i="1"/>
  <c r="V4083" i="1"/>
  <c r="U4083" i="1"/>
  <c r="V4082" i="1"/>
  <c r="U4082" i="1"/>
  <c r="T4081" i="1"/>
  <c r="V4080" i="1"/>
  <c r="U4080" i="1"/>
  <c r="T4079" i="1"/>
  <c r="V4078" i="1"/>
  <c r="U4078" i="1"/>
  <c r="V4077" i="1"/>
  <c r="U4077" i="1"/>
  <c r="V4076" i="1"/>
  <c r="U4076" i="1"/>
  <c r="V4075" i="1"/>
  <c r="U4075" i="1"/>
  <c r="V4074" i="1"/>
  <c r="U4074" i="1"/>
  <c r="V4073" i="1"/>
  <c r="U4073" i="1"/>
  <c r="T4072" i="1"/>
  <c r="T4071" i="1"/>
  <c r="V4070" i="1"/>
  <c r="U4070" i="1"/>
  <c r="V4069" i="1"/>
  <c r="U4069" i="1"/>
  <c r="V4068" i="1"/>
  <c r="U4068" i="1"/>
  <c r="V4067" i="1"/>
  <c r="U4067" i="1"/>
  <c r="V4066" i="1"/>
  <c r="U4066" i="1"/>
  <c r="V4065" i="1"/>
  <c r="U4065" i="1"/>
  <c r="V4064" i="1"/>
  <c r="U4064" i="1"/>
  <c r="T4063" i="1"/>
  <c r="V4062" i="1"/>
  <c r="U4062" i="1"/>
  <c r="V4061" i="1"/>
  <c r="U4061" i="1"/>
  <c r="V4060" i="1"/>
  <c r="U4060" i="1"/>
  <c r="V4059" i="1"/>
  <c r="U4059" i="1"/>
  <c r="V4058" i="1"/>
  <c r="U4058" i="1"/>
  <c r="T4057" i="1"/>
  <c r="V4056" i="1"/>
  <c r="U4056" i="1"/>
  <c r="V4055" i="1"/>
  <c r="U4055" i="1"/>
  <c r="V4054" i="1"/>
  <c r="U4054" i="1"/>
  <c r="V4053" i="1"/>
  <c r="U4053" i="1"/>
  <c r="V4052" i="1"/>
  <c r="U4052" i="1"/>
  <c r="V4051" i="1"/>
  <c r="U4051" i="1"/>
  <c r="V4050" i="1"/>
  <c r="U4050" i="1"/>
  <c r="T4049" i="1"/>
  <c r="T4048" i="1"/>
  <c r="V4047" i="1"/>
  <c r="U4047" i="1"/>
  <c r="V4046" i="1"/>
  <c r="U4046" i="1"/>
  <c r="V4045" i="1"/>
  <c r="U4045" i="1"/>
  <c r="V4044" i="1"/>
  <c r="U4044" i="1"/>
  <c r="V4043" i="1"/>
  <c r="U4043" i="1"/>
  <c r="V4042" i="1"/>
  <c r="U4042" i="1"/>
  <c r="V4041" i="1"/>
  <c r="U4041" i="1"/>
  <c r="V4040" i="1"/>
  <c r="U4040" i="1"/>
  <c r="V4039" i="1"/>
  <c r="U4039" i="1"/>
  <c r="T4038" i="1"/>
  <c r="V4037" i="1"/>
  <c r="U4037" i="1"/>
  <c r="V4036" i="1"/>
  <c r="U4036" i="1"/>
  <c r="T4035" i="1"/>
  <c r="T4034" i="1"/>
  <c r="T4033" i="1"/>
  <c r="V4032" i="1"/>
  <c r="U4032" i="1"/>
  <c r="V4031" i="1"/>
  <c r="U4031" i="1"/>
  <c r="V4030" i="1"/>
  <c r="U4030" i="1"/>
  <c r="V4029" i="1"/>
  <c r="U4029" i="1"/>
  <c r="V4028" i="1"/>
  <c r="U4028" i="1"/>
  <c r="V4027" i="1"/>
  <c r="U4027" i="1"/>
  <c r="V4026" i="1"/>
  <c r="U4026" i="1"/>
  <c r="V4025" i="1"/>
  <c r="U4025" i="1"/>
  <c r="V4024" i="1"/>
  <c r="U4024" i="1"/>
  <c r="V4023" i="1"/>
  <c r="U4023" i="1"/>
  <c r="V4022" i="1"/>
  <c r="U4022" i="1"/>
  <c r="T4021" i="1"/>
  <c r="V4020" i="1"/>
  <c r="U4020" i="1"/>
  <c r="T4019" i="1"/>
  <c r="V4018" i="1"/>
  <c r="U4018" i="1"/>
  <c r="V4017" i="1"/>
  <c r="U4017" i="1"/>
  <c r="V4016" i="1"/>
  <c r="U4016" i="1"/>
  <c r="T4015" i="1"/>
  <c r="V4014" i="1"/>
  <c r="U4014" i="1"/>
  <c r="V4013" i="1"/>
  <c r="U4013" i="1"/>
  <c r="V4012" i="1"/>
  <c r="U4012" i="1"/>
  <c r="V4011" i="1"/>
  <c r="U4011" i="1"/>
  <c r="V4010" i="1"/>
  <c r="U4010" i="1"/>
  <c r="V4009" i="1"/>
  <c r="U4009" i="1"/>
  <c r="V4008" i="1"/>
  <c r="U4008" i="1"/>
  <c r="V4007" i="1"/>
  <c r="U4007" i="1"/>
  <c r="V4006" i="1"/>
  <c r="U4006" i="1"/>
  <c r="V4005" i="1"/>
  <c r="U4005" i="1"/>
  <c r="T4004" i="1"/>
  <c r="V4003" i="1"/>
  <c r="U4003" i="1"/>
  <c r="V4002" i="1"/>
  <c r="U4002" i="1"/>
  <c r="V4001" i="1"/>
  <c r="U4001" i="1"/>
  <c r="V4000" i="1"/>
  <c r="U4000" i="1"/>
  <c r="V3999" i="1"/>
  <c r="U3999" i="1"/>
  <c r="V3998" i="1"/>
  <c r="U3998" i="1"/>
  <c r="T3997" i="1"/>
  <c r="V3996" i="1"/>
  <c r="U3996" i="1"/>
  <c r="T3995" i="1"/>
  <c r="T3994" i="1"/>
  <c r="V3993" i="1"/>
  <c r="U3993" i="1"/>
  <c r="V3992" i="1"/>
  <c r="U3992" i="1"/>
  <c r="V3991" i="1"/>
  <c r="U3991" i="1"/>
  <c r="V3990" i="1"/>
  <c r="U3990" i="1"/>
  <c r="V3989" i="1"/>
  <c r="U3989" i="1"/>
  <c r="V3988" i="1"/>
  <c r="U3988" i="1"/>
  <c r="V3987" i="1"/>
  <c r="U3987" i="1"/>
  <c r="V3986" i="1"/>
  <c r="U3986" i="1"/>
  <c r="V3985" i="1"/>
  <c r="U3985" i="1"/>
  <c r="V3984" i="1"/>
  <c r="U3984" i="1"/>
  <c r="V3983" i="1"/>
  <c r="U3983" i="1"/>
  <c r="V3982" i="1"/>
  <c r="U3982" i="1"/>
  <c r="V3981" i="1"/>
  <c r="U3981" i="1"/>
  <c r="T3980" i="1"/>
  <c r="V3979" i="1"/>
  <c r="U3979" i="1"/>
  <c r="V3978" i="1"/>
  <c r="U3978" i="1"/>
  <c r="V3977" i="1"/>
  <c r="U3977" i="1"/>
  <c r="V3976" i="1"/>
  <c r="U3976" i="1"/>
  <c r="V3975" i="1"/>
  <c r="U3975" i="1"/>
  <c r="V3974" i="1"/>
  <c r="U3974" i="1"/>
  <c r="V3973" i="1"/>
  <c r="U3973" i="1"/>
  <c r="V3972" i="1"/>
  <c r="U3972" i="1"/>
  <c r="V3971" i="1"/>
  <c r="U3971" i="1"/>
  <c r="V3970" i="1"/>
  <c r="U3970" i="1"/>
  <c r="V3969" i="1"/>
  <c r="U3969" i="1"/>
  <c r="V3968" i="1"/>
  <c r="U3968" i="1"/>
  <c r="V3967" i="1"/>
  <c r="U3967" i="1"/>
  <c r="V3966" i="1"/>
  <c r="U3966" i="1"/>
  <c r="V3965" i="1"/>
  <c r="U3965" i="1"/>
  <c r="V3964" i="1"/>
  <c r="U3964" i="1"/>
  <c r="V3963" i="1"/>
  <c r="U3963" i="1"/>
  <c r="V3962" i="1"/>
  <c r="U3962" i="1"/>
  <c r="V3961" i="1"/>
  <c r="U3961" i="1"/>
  <c r="V3960" i="1"/>
  <c r="U3960" i="1"/>
  <c r="V3959" i="1"/>
  <c r="U3959" i="1"/>
  <c r="V3958" i="1"/>
  <c r="U3958" i="1"/>
  <c r="V3957" i="1"/>
  <c r="U3957" i="1"/>
  <c r="V3956" i="1"/>
  <c r="U3956" i="1"/>
  <c r="V3955" i="1"/>
  <c r="U3955" i="1"/>
  <c r="V3954" i="1"/>
  <c r="U3954" i="1"/>
  <c r="V3953" i="1"/>
  <c r="U3953" i="1"/>
  <c r="V3952" i="1"/>
  <c r="U3952" i="1"/>
  <c r="V3951" i="1"/>
  <c r="U3951" i="1"/>
  <c r="V3950" i="1"/>
  <c r="U3950" i="1"/>
  <c r="T3949" i="1"/>
  <c r="T3948" i="1"/>
  <c r="V3947" i="1"/>
  <c r="U3947" i="1"/>
  <c r="V3946" i="1"/>
  <c r="U3946" i="1"/>
  <c r="T3945" i="1"/>
  <c r="V3944" i="1"/>
  <c r="U3944" i="1"/>
  <c r="V3943" i="1"/>
  <c r="U3943" i="1"/>
  <c r="V3942" i="1"/>
  <c r="U3942" i="1"/>
  <c r="V3941" i="1"/>
  <c r="U3941" i="1"/>
  <c r="V3940" i="1"/>
  <c r="U3940" i="1"/>
  <c r="V3939" i="1"/>
  <c r="U3939" i="1"/>
  <c r="T3938" i="1"/>
  <c r="V3937" i="1"/>
  <c r="U3937" i="1"/>
  <c r="V3936" i="1"/>
  <c r="U3936" i="1"/>
  <c r="V3935" i="1"/>
  <c r="U3935" i="1"/>
  <c r="V3934" i="1"/>
  <c r="U3934" i="1"/>
  <c r="V3933" i="1"/>
  <c r="U3933" i="1"/>
  <c r="V3932" i="1"/>
  <c r="U3932" i="1"/>
  <c r="V3931" i="1"/>
  <c r="U3931" i="1"/>
  <c r="V3930" i="1"/>
  <c r="U3930" i="1"/>
  <c r="V3929" i="1"/>
  <c r="U3929" i="1"/>
  <c r="T3928" i="1"/>
  <c r="V3927" i="1"/>
  <c r="U3927" i="1"/>
  <c r="T3926" i="1"/>
  <c r="V3925" i="1"/>
  <c r="U3925" i="1"/>
  <c r="V3924" i="1"/>
  <c r="U3924" i="1"/>
  <c r="V3923" i="1"/>
  <c r="U3923" i="1"/>
  <c r="V3922" i="1"/>
  <c r="U3922" i="1"/>
  <c r="V3921" i="1"/>
  <c r="U3921" i="1"/>
  <c r="V3920" i="1"/>
  <c r="U3920" i="1"/>
  <c r="V3919" i="1"/>
  <c r="U3919" i="1"/>
  <c r="V3918" i="1"/>
  <c r="U3918" i="1"/>
  <c r="V3917" i="1"/>
  <c r="U3917" i="1"/>
  <c r="V3916" i="1"/>
  <c r="U3916" i="1"/>
  <c r="V3915" i="1"/>
  <c r="U3915" i="1"/>
  <c r="V3914" i="1"/>
  <c r="U3914" i="1"/>
  <c r="V3913" i="1"/>
  <c r="U3913" i="1"/>
  <c r="V3912" i="1"/>
  <c r="U3912" i="1"/>
  <c r="V3911" i="1"/>
  <c r="U3911" i="1"/>
  <c r="T3910" i="1"/>
  <c r="T3909" i="1"/>
  <c r="V3908" i="1"/>
  <c r="U3908" i="1"/>
  <c r="V3907" i="1"/>
  <c r="U3907" i="1"/>
  <c r="V3906" i="1"/>
  <c r="U3906" i="1"/>
  <c r="V3905" i="1"/>
  <c r="U3905" i="1"/>
  <c r="T3904" i="1"/>
  <c r="V3903" i="1"/>
  <c r="U3903" i="1"/>
  <c r="V3902" i="1"/>
  <c r="U3902" i="1"/>
  <c r="V3901" i="1"/>
  <c r="U3901" i="1"/>
  <c r="V3900" i="1"/>
  <c r="U3900" i="1"/>
  <c r="T3899" i="1"/>
  <c r="V3897" i="1"/>
  <c r="U3897" i="1"/>
  <c r="T3896" i="1"/>
  <c r="V3895" i="1"/>
  <c r="U3895" i="1"/>
  <c r="T3894" i="1"/>
  <c r="V3893" i="1"/>
  <c r="U3893" i="1"/>
  <c r="V3892" i="1"/>
  <c r="U3892" i="1"/>
  <c r="V3891" i="1"/>
  <c r="U3891" i="1"/>
  <c r="V3890" i="1"/>
  <c r="U3890" i="1"/>
  <c r="V3889" i="1"/>
  <c r="U3889" i="1"/>
  <c r="T3888" i="1"/>
  <c r="V3887" i="1"/>
  <c r="U3887" i="1"/>
  <c r="V3886" i="1"/>
  <c r="U3886" i="1"/>
  <c r="V3885" i="1"/>
  <c r="U3885" i="1"/>
  <c r="V3884" i="1"/>
  <c r="U3884" i="1"/>
  <c r="V3883" i="1"/>
  <c r="U3883" i="1"/>
  <c r="V3882" i="1"/>
  <c r="U3882" i="1"/>
  <c r="V3881" i="1"/>
  <c r="U3881" i="1"/>
  <c r="V3880" i="1"/>
  <c r="U3880" i="1"/>
  <c r="V3879" i="1"/>
  <c r="U3879" i="1"/>
  <c r="T3878" i="1"/>
  <c r="V3877" i="1"/>
  <c r="U3877" i="1"/>
  <c r="V3876" i="1"/>
  <c r="U3876" i="1"/>
  <c r="V3875" i="1"/>
  <c r="U3875" i="1"/>
  <c r="V3874" i="1"/>
  <c r="U3874" i="1"/>
  <c r="T3873" i="1"/>
  <c r="V3871" i="1"/>
  <c r="U3871" i="1"/>
  <c r="V3870" i="1"/>
  <c r="U3870" i="1"/>
  <c r="V3869" i="1"/>
  <c r="U3869" i="1"/>
  <c r="V3868" i="1"/>
  <c r="U3868" i="1"/>
  <c r="V3867" i="1"/>
  <c r="U3867" i="1"/>
  <c r="V3866" i="1"/>
  <c r="U3866" i="1"/>
  <c r="V3865" i="1"/>
  <c r="U3865" i="1"/>
  <c r="V3864" i="1"/>
  <c r="U3864" i="1"/>
  <c r="V3863" i="1"/>
  <c r="U3863" i="1"/>
  <c r="T3862" i="1"/>
  <c r="V3861" i="1"/>
  <c r="U3861" i="1"/>
  <c r="V3860" i="1"/>
  <c r="U3860" i="1"/>
  <c r="V3859" i="1"/>
  <c r="U3859" i="1"/>
  <c r="V3858" i="1"/>
  <c r="U3858" i="1"/>
  <c r="V3857" i="1"/>
  <c r="U3857" i="1"/>
  <c r="V3856" i="1"/>
  <c r="U3856" i="1"/>
  <c r="T3855" i="1"/>
  <c r="V3854" i="1"/>
  <c r="U3854" i="1"/>
  <c r="V3853" i="1"/>
  <c r="U3853" i="1"/>
  <c r="V3852" i="1"/>
  <c r="U3852" i="1"/>
  <c r="T3851" i="1"/>
  <c r="V3850" i="1"/>
  <c r="U3850" i="1"/>
  <c r="V3849" i="1"/>
  <c r="U3849" i="1"/>
  <c r="V3848" i="1"/>
  <c r="U3848" i="1"/>
  <c r="V3847" i="1"/>
  <c r="U3847" i="1"/>
  <c r="T3846" i="1"/>
  <c r="V3845" i="1"/>
  <c r="U3845" i="1"/>
  <c r="V3844" i="1"/>
  <c r="U3844" i="1"/>
  <c r="V3843" i="1"/>
  <c r="U3843" i="1"/>
  <c r="V3842" i="1"/>
  <c r="U3842" i="1"/>
  <c r="V3841" i="1"/>
  <c r="U3841" i="1"/>
  <c r="V3840" i="1"/>
  <c r="U3840" i="1"/>
  <c r="V3839" i="1"/>
  <c r="U3839" i="1"/>
  <c r="V3838" i="1"/>
  <c r="U3838" i="1"/>
  <c r="V3837" i="1"/>
  <c r="U3837" i="1"/>
  <c r="T3836" i="1"/>
  <c r="V3835" i="1"/>
  <c r="U3835" i="1"/>
  <c r="V3834" i="1"/>
  <c r="U3834" i="1"/>
  <c r="V3833" i="1"/>
  <c r="U3833" i="1"/>
  <c r="V3832" i="1"/>
  <c r="U3832" i="1"/>
  <c r="V3831" i="1"/>
  <c r="U3831" i="1"/>
  <c r="V3830" i="1"/>
  <c r="U3830" i="1"/>
  <c r="V3829" i="1"/>
  <c r="U3829" i="1"/>
  <c r="V3828" i="1"/>
  <c r="U3828" i="1"/>
  <c r="T3827" i="1"/>
  <c r="V3826" i="1"/>
  <c r="U3826" i="1"/>
  <c r="V3825" i="1"/>
  <c r="U3825" i="1"/>
  <c r="V3824" i="1"/>
  <c r="U3824" i="1"/>
  <c r="V3823" i="1"/>
  <c r="U3823" i="1"/>
  <c r="V3822" i="1"/>
  <c r="U3822" i="1"/>
  <c r="V3821" i="1"/>
  <c r="U3821" i="1"/>
  <c r="V3820" i="1"/>
  <c r="U3820" i="1"/>
  <c r="V3819" i="1"/>
  <c r="U3819" i="1"/>
  <c r="V3818" i="1"/>
  <c r="U3818" i="1"/>
  <c r="V3817" i="1"/>
  <c r="U3817" i="1"/>
  <c r="V3816" i="1"/>
  <c r="U3816" i="1"/>
  <c r="T3815" i="1"/>
  <c r="V3814" i="1"/>
  <c r="U3814" i="1"/>
  <c r="V3813" i="1"/>
  <c r="U3813" i="1"/>
  <c r="V3812" i="1"/>
  <c r="U3812" i="1"/>
  <c r="V3811" i="1"/>
  <c r="U3811" i="1"/>
  <c r="T3810" i="1"/>
  <c r="T3809" i="1"/>
  <c r="V3808" i="1"/>
  <c r="U3808" i="1"/>
  <c r="V3807" i="1"/>
  <c r="U3807" i="1"/>
  <c r="V3806" i="1"/>
  <c r="U3806" i="1"/>
  <c r="V3805" i="1"/>
  <c r="U3805" i="1"/>
  <c r="T3804" i="1"/>
  <c r="V3803" i="1"/>
  <c r="U3803" i="1"/>
  <c r="T3802" i="1"/>
  <c r="T3801" i="1"/>
  <c r="V3800" i="1"/>
  <c r="U3800" i="1"/>
  <c r="T3799" i="1"/>
  <c r="V3798" i="1"/>
  <c r="U3798" i="1"/>
  <c r="V3797" i="1"/>
  <c r="U3797" i="1"/>
  <c r="V3796" i="1"/>
  <c r="U3796" i="1"/>
  <c r="V3795" i="1"/>
  <c r="U3795" i="1"/>
  <c r="V3794" i="1"/>
  <c r="U3794" i="1"/>
  <c r="T3793" i="1"/>
  <c r="V3792" i="1"/>
  <c r="U3792" i="1"/>
  <c r="V3791" i="1"/>
  <c r="U3791" i="1"/>
  <c r="V3790" i="1"/>
  <c r="U3790" i="1"/>
  <c r="T3789" i="1"/>
  <c r="T3788" i="1"/>
  <c r="V3787" i="1"/>
  <c r="U3787" i="1"/>
  <c r="V3786" i="1"/>
  <c r="U3786" i="1"/>
  <c r="V3785" i="1"/>
  <c r="U3785" i="1"/>
  <c r="V3784" i="1"/>
  <c r="U3784" i="1"/>
  <c r="V3783" i="1"/>
  <c r="U3783" i="1"/>
  <c r="V3782" i="1"/>
  <c r="U3782" i="1"/>
  <c r="V3781" i="1"/>
  <c r="U3781" i="1"/>
  <c r="V3780" i="1"/>
  <c r="U3780" i="1"/>
  <c r="T3779" i="1"/>
  <c r="V3778" i="1"/>
  <c r="U3778" i="1"/>
  <c r="V3777" i="1"/>
  <c r="U3777" i="1"/>
  <c r="V3776" i="1"/>
  <c r="U3776" i="1"/>
  <c r="V3775" i="1"/>
  <c r="U3775" i="1"/>
  <c r="V3774" i="1"/>
  <c r="U3774" i="1"/>
  <c r="V3773" i="1"/>
  <c r="U3773" i="1"/>
  <c r="T3772" i="1"/>
  <c r="V3771" i="1"/>
  <c r="U3771" i="1"/>
  <c r="V3770" i="1"/>
  <c r="U3770" i="1"/>
  <c r="V3769" i="1"/>
  <c r="U3769" i="1"/>
  <c r="V3768" i="1"/>
  <c r="U3768" i="1"/>
  <c r="V3767" i="1"/>
  <c r="U3767" i="1"/>
  <c r="T3766" i="1"/>
  <c r="V3765" i="1"/>
  <c r="U3765" i="1"/>
  <c r="V3764" i="1"/>
  <c r="U3764" i="1"/>
  <c r="V3763" i="1"/>
  <c r="U3763" i="1"/>
  <c r="T3762" i="1"/>
  <c r="V3761" i="1"/>
  <c r="U3761" i="1"/>
  <c r="V3760" i="1"/>
  <c r="U3760" i="1"/>
  <c r="V3759" i="1"/>
  <c r="U3759" i="1"/>
  <c r="V3758" i="1"/>
  <c r="U3758" i="1"/>
  <c r="V3757" i="1"/>
  <c r="U3757" i="1"/>
  <c r="V3756" i="1"/>
  <c r="U3756" i="1"/>
  <c r="V3755" i="1"/>
  <c r="U3755" i="1"/>
  <c r="V3754" i="1"/>
  <c r="U3754" i="1"/>
  <c r="V3753" i="1"/>
  <c r="U3753" i="1"/>
  <c r="V3752" i="1"/>
  <c r="U3752" i="1"/>
  <c r="V3751" i="1"/>
  <c r="U3751" i="1"/>
  <c r="V3750" i="1"/>
  <c r="U3750" i="1"/>
  <c r="V3749" i="1"/>
  <c r="U3749" i="1"/>
  <c r="V3748" i="1"/>
  <c r="U3748" i="1"/>
  <c r="V3747" i="1"/>
  <c r="U3747" i="1"/>
  <c r="V3746" i="1"/>
  <c r="U3746" i="1"/>
  <c r="V3745" i="1"/>
  <c r="U3745" i="1"/>
  <c r="T3744" i="1"/>
  <c r="V3743" i="1"/>
  <c r="U3743" i="1"/>
  <c r="V3742" i="1"/>
  <c r="U3742" i="1"/>
  <c r="V3741" i="1"/>
  <c r="U3741" i="1"/>
  <c r="V3740" i="1"/>
  <c r="U3740" i="1"/>
  <c r="V3739" i="1"/>
  <c r="U3739" i="1"/>
  <c r="V3738" i="1"/>
  <c r="U3738" i="1"/>
  <c r="V3737" i="1"/>
  <c r="U3737" i="1"/>
  <c r="V3736" i="1"/>
  <c r="U3736" i="1"/>
  <c r="V3735" i="1"/>
  <c r="U3735" i="1"/>
  <c r="V3734" i="1"/>
  <c r="U3734" i="1"/>
  <c r="V3733" i="1"/>
  <c r="U3733" i="1"/>
  <c r="T3732" i="1"/>
  <c r="V3731" i="1"/>
  <c r="U3731" i="1"/>
  <c r="V3730" i="1"/>
  <c r="U3730" i="1"/>
  <c r="V3729" i="1"/>
  <c r="U3729" i="1"/>
  <c r="T3728" i="1"/>
  <c r="V3727" i="1"/>
  <c r="U3727" i="1"/>
  <c r="V3726" i="1"/>
  <c r="U3726" i="1"/>
  <c r="V3725" i="1"/>
  <c r="U3725" i="1"/>
  <c r="V3724" i="1"/>
  <c r="U3724" i="1"/>
  <c r="V3723" i="1"/>
  <c r="U3723" i="1"/>
  <c r="V3722" i="1"/>
  <c r="U3722" i="1"/>
  <c r="V3721" i="1"/>
  <c r="U3721" i="1"/>
  <c r="V3720" i="1"/>
  <c r="U3720" i="1"/>
  <c r="T3719" i="1"/>
  <c r="V3718" i="1"/>
  <c r="U3718" i="1"/>
  <c r="V3717" i="1"/>
  <c r="U3717" i="1"/>
  <c r="T3716" i="1"/>
  <c r="V3715" i="1"/>
  <c r="U3715" i="1"/>
  <c r="V3714" i="1"/>
  <c r="U3714" i="1"/>
  <c r="T3713" i="1"/>
  <c r="V3712" i="1"/>
  <c r="U3712" i="1"/>
  <c r="V3711" i="1"/>
  <c r="U3711" i="1"/>
  <c r="V3710" i="1"/>
  <c r="U3710" i="1"/>
  <c r="V3709" i="1"/>
  <c r="U3709" i="1"/>
  <c r="V3708" i="1"/>
  <c r="U3708" i="1"/>
  <c r="V3707" i="1"/>
  <c r="U3707" i="1"/>
  <c r="V3706" i="1"/>
  <c r="U3706" i="1"/>
  <c r="V3705" i="1"/>
  <c r="U3705" i="1"/>
  <c r="T3704" i="1"/>
  <c r="V3703" i="1"/>
  <c r="U3703" i="1"/>
  <c r="V3702" i="1"/>
  <c r="U3702" i="1"/>
  <c r="V3701" i="1"/>
  <c r="U3701" i="1"/>
  <c r="V3700" i="1"/>
  <c r="U3700" i="1"/>
  <c r="V3699" i="1"/>
  <c r="U3699" i="1"/>
  <c r="V3698" i="1"/>
  <c r="U3698" i="1"/>
  <c r="T3697" i="1"/>
  <c r="T3696" i="1"/>
  <c r="V3695" i="1"/>
  <c r="U3695" i="1"/>
  <c r="V3694" i="1"/>
  <c r="U3694" i="1"/>
  <c r="V3693" i="1"/>
  <c r="U3693" i="1"/>
  <c r="V3692" i="1"/>
  <c r="U3692" i="1"/>
  <c r="T3691" i="1"/>
  <c r="V3690" i="1"/>
  <c r="U3690" i="1"/>
  <c r="V3689" i="1"/>
  <c r="U3689" i="1"/>
  <c r="V3688" i="1"/>
  <c r="U3688" i="1"/>
  <c r="V3687" i="1"/>
  <c r="U3687" i="1"/>
  <c r="V3686" i="1"/>
  <c r="U3686" i="1"/>
  <c r="V3685" i="1"/>
  <c r="U3685" i="1"/>
  <c r="V3684" i="1"/>
  <c r="U3684" i="1"/>
  <c r="V3683" i="1"/>
  <c r="U3683" i="1"/>
  <c r="V3682" i="1"/>
  <c r="U3682" i="1"/>
  <c r="V3681" i="1"/>
  <c r="U3681" i="1"/>
  <c r="V3680" i="1"/>
  <c r="U3680" i="1"/>
  <c r="V3679" i="1"/>
  <c r="U3679" i="1"/>
  <c r="V3678" i="1"/>
  <c r="U3678" i="1"/>
  <c r="V3677" i="1"/>
  <c r="U3677" i="1"/>
  <c r="V3676" i="1"/>
  <c r="U3676" i="1"/>
  <c r="V3675" i="1"/>
  <c r="U3675" i="1"/>
  <c r="V3674" i="1"/>
  <c r="U3674" i="1"/>
  <c r="V3673" i="1"/>
  <c r="U3673" i="1"/>
  <c r="T3672" i="1"/>
  <c r="V3671" i="1"/>
  <c r="U3671" i="1"/>
  <c r="V3670" i="1"/>
  <c r="U3670" i="1"/>
  <c r="V3669" i="1"/>
  <c r="U3669" i="1"/>
  <c r="V3668" i="1"/>
  <c r="U3668" i="1"/>
  <c r="V3667" i="1"/>
  <c r="U3667" i="1"/>
  <c r="V3666" i="1"/>
  <c r="U3666" i="1"/>
  <c r="V3665" i="1"/>
  <c r="U3665" i="1"/>
  <c r="V3664" i="1"/>
  <c r="U3664" i="1"/>
  <c r="V3663" i="1"/>
  <c r="U3663" i="1"/>
  <c r="V3662" i="1"/>
  <c r="U3662" i="1"/>
  <c r="V3661" i="1"/>
  <c r="U3661" i="1"/>
  <c r="V3660" i="1"/>
  <c r="U3660" i="1"/>
  <c r="V3659" i="1"/>
  <c r="U3659" i="1"/>
  <c r="V3658" i="1"/>
  <c r="U3658" i="1"/>
  <c r="T3657" i="1"/>
  <c r="V3656" i="1"/>
  <c r="U3656" i="1"/>
  <c r="V3655" i="1"/>
  <c r="U3655" i="1"/>
  <c r="V3654" i="1"/>
  <c r="U3654" i="1"/>
  <c r="V3653" i="1"/>
  <c r="U3653" i="1"/>
  <c r="V3652" i="1"/>
  <c r="U3652" i="1"/>
  <c r="V3651" i="1"/>
  <c r="U3651" i="1"/>
  <c r="V3650" i="1"/>
  <c r="U3650" i="1"/>
  <c r="T3649" i="1"/>
  <c r="V3648" i="1"/>
  <c r="U3648" i="1"/>
  <c r="V3647" i="1"/>
  <c r="U3647" i="1"/>
  <c r="V3646" i="1"/>
  <c r="U3646" i="1"/>
  <c r="V3645" i="1"/>
  <c r="U3645" i="1"/>
  <c r="V3644" i="1"/>
  <c r="U3644" i="1"/>
  <c r="T3643" i="1"/>
  <c r="V3642" i="1"/>
  <c r="U3642" i="1"/>
  <c r="V3641" i="1"/>
  <c r="U3641" i="1"/>
  <c r="V3640" i="1"/>
  <c r="U3640" i="1"/>
  <c r="V3639" i="1"/>
  <c r="U3639" i="1"/>
  <c r="V3638" i="1"/>
  <c r="U3638" i="1"/>
  <c r="V3637" i="1"/>
  <c r="U3637" i="1"/>
  <c r="V3636" i="1"/>
  <c r="U3636" i="1"/>
  <c r="V3635" i="1"/>
  <c r="U3635" i="1"/>
  <c r="T3634" i="1"/>
  <c r="V3633" i="1"/>
  <c r="U3633" i="1"/>
  <c r="V3632" i="1"/>
  <c r="U3632" i="1"/>
  <c r="V3631" i="1"/>
  <c r="U3631" i="1"/>
  <c r="V3630" i="1"/>
  <c r="U3630" i="1"/>
  <c r="V3629" i="1"/>
  <c r="U3629" i="1"/>
  <c r="V3628" i="1"/>
  <c r="U3628" i="1"/>
  <c r="V3627" i="1"/>
  <c r="U3627" i="1"/>
  <c r="V3626" i="1"/>
  <c r="U3626" i="1"/>
  <c r="V3625" i="1"/>
  <c r="U3625" i="1"/>
  <c r="T3624" i="1"/>
  <c r="V3623" i="1"/>
  <c r="U3623" i="1"/>
  <c r="V3622" i="1"/>
  <c r="U3622" i="1"/>
  <c r="V3621" i="1"/>
  <c r="U3621" i="1"/>
  <c r="V3620" i="1"/>
  <c r="U3620" i="1"/>
  <c r="V3619" i="1"/>
  <c r="U3619" i="1"/>
  <c r="V3618" i="1"/>
  <c r="U3618" i="1"/>
  <c r="V3617" i="1"/>
  <c r="U3617" i="1"/>
  <c r="V3616" i="1"/>
  <c r="U3616" i="1"/>
  <c r="V3615" i="1"/>
  <c r="U3615" i="1"/>
  <c r="V3614" i="1"/>
  <c r="U3614" i="1"/>
  <c r="V3613" i="1"/>
  <c r="U3613" i="1"/>
  <c r="V3612" i="1"/>
  <c r="U3612" i="1"/>
  <c r="T3611" i="1"/>
  <c r="V3610" i="1"/>
  <c r="U3610" i="1"/>
  <c r="V3609" i="1"/>
  <c r="U3609" i="1"/>
  <c r="V3608" i="1"/>
  <c r="U3608" i="1"/>
  <c r="V3607" i="1"/>
  <c r="U3607" i="1"/>
  <c r="T3606" i="1"/>
  <c r="V3605" i="1"/>
  <c r="U3605" i="1"/>
  <c r="V3604" i="1"/>
  <c r="U3604" i="1"/>
  <c r="T3603" i="1"/>
  <c r="V3602" i="1"/>
  <c r="U3602" i="1"/>
  <c r="V3601" i="1"/>
  <c r="U3601" i="1"/>
  <c r="V3600" i="1"/>
  <c r="U3600" i="1"/>
  <c r="V3599" i="1"/>
  <c r="U3599" i="1"/>
  <c r="T3598" i="1"/>
  <c r="V3597" i="1"/>
  <c r="U3597" i="1"/>
  <c r="V3596" i="1"/>
  <c r="U3596" i="1"/>
  <c r="V3595" i="1"/>
  <c r="U3595" i="1"/>
  <c r="V3594" i="1"/>
  <c r="U3594" i="1"/>
  <c r="V3593" i="1"/>
  <c r="U3593" i="1"/>
  <c r="V3592" i="1"/>
  <c r="U3592" i="1"/>
  <c r="V3591" i="1"/>
  <c r="U3591" i="1"/>
  <c r="V3590" i="1"/>
  <c r="U3590" i="1"/>
  <c r="V3589" i="1"/>
  <c r="U3589" i="1"/>
  <c r="V3588" i="1"/>
  <c r="U3588" i="1"/>
  <c r="V3587" i="1"/>
  <c r="U3587" i="1"/>
  <c r="V3586" i="1"/>
  <c r="U3586" i="1"/>
  <c r="T3585" i="1"/>
  <c r="V3584" i="1"/>
  <c r="U3584" i="1"/>
  <c r="V3583" i="1"/>
  <c r="U3583" i="1"/>
  <c r="V3582" i="1"/>
  <c r="U3582" i="1"/>
  <c r="V3581" i="1"/>
  <c r="U3581" i="1"/>
  <c r="V3580" i="1"/>
  <c r="U3580" i="1"/>
  <c r="V3579" i="1"/>
  <c r="U3579" i="1"/>
  <c r="V3578" i="1"/>
  <c r="U3578" i="1"/>
  <c r="V3577" i="1"/>
  <c r="U3577" i="1"/>
  <c r="V3576" i="1"/>
  <c r="U3576" i="1"/>
  <c r="V3575" i="1"/>
  <c r="U3575" i="1"/>
  <c r="V3574" i="1"/>
  <c r="U3574" i="1"/>
  <c r="V3573" i="1"/>
  <c r="U3573" i="1"/>
  <c r="V3572" i="1"/>
  <c r="U3572" i="1"/>
  <c r="V3571" i="1"/>
  <c r="U3571" i="1"/>
  <c r="T3570" i="1"/>
  <c r="T3569" i="1"/>
  <c r="V3568" i="1"/>
  <c r="U3568" i="1"/>
  <c r="V3567" i="1"/>
  <c r="U3567" i="1"/>
  <c r="V3566" i="1"/>
  <c r="U3566" i="1"/>
  <c r="T3565" i="1"/>
  <c r="V3564" i="1"/>
  <c r="U3564" i="1"/>
  <c r="V3563" i="1"/>
  <c r="U3563" i="1"/>
  <c r="V3562" i="1"/>
  <c r="U3562" i="1"/>
  <c r="V3561" i="1"/>
  <c r="U3561" i="1"/>
  <c r="V3560" i="1"/>
  <c r="U3560" i="1"/>
  <c r="V3559" i="1"/>
  <c r="U3559" i="1"/>
  <c r="V3558" i="1"/>
  <c r="U3558" i="1"/>
  <c r="V3557" i="1"/>
  <c r="U3557" i="1"/>
  <c r="V3556" i="1"/>
  <c r="U3556" i="1"/>
  <c r="V3555" i="1"/>
  <c r="U3555" i="1"/>
  <c r="V3554" i="1"/>
  <c r="U3554" i="1"/>
  <c r="V3553" i="1"/>
  <c r="U3553" i="1"/>
  <c r="V3552" i="1"/>
  <c r="U3552" i="1"/>
  <c r="V3551" i="1"/>
  <c r="U3551" i="1"/>
  <c r="V3550" i="1"/>
  <c r="U3550" i="1"/>
  <c r="V3549" i="1"/>
  <c r="U3549" i="1"/>
  <c r="V3548" i="1"/>
  <c r="U3548" i="1"/>
  <c r="V3547" i="1"/>
  <c r="U3547" i="1"/>
  <c r="V3546" i="1"/>
  <c r="U3546" i="1"/>
  <c r="V3545" i="1"/>
  <c r="U3545" i="1"/>
  <c r="V3544" i="1"/>
  <c r="U3544" i="1"/>
  <c r="V3543" i="1"/>
  <c r="U3543" i="1"/>
  <c r="V3542" i="1"/>
  <c r="U3542" i="1"/>
  <c r="V3541" i="1"/>
  <c r="U3541" i="1"/>
  <c r="V3540" i="1"/>
  <c r="U3540" i="1"/>
  <c r="V3539" i="1"/>
  <c r="U3539" i="1"/>
  <c r="V3538" i="1"/>
  <c r="U3538" i="1"/>
  <c r="V3537" i="1"/>
  <c r="U3537" i="1"/>
  <c r="V3536" i="1"/>
  <c r="U3536" i="1"/>
  <c r="V3535" i="1"/>
  <c r="U3535" i="1"/>
  <c r="T3534" i="1"/>
  <c r="V3533" i="1"/>
  <c r="U3533" i="1"/>
  <c r="V3532" i="1"/>
  <c r="U3532" i="1"/>
  <c r="V3531" i="1"/>
  <c r="U3531" i="1"/>
  <c r="V3530" i="1"/>
  <c r="U3530" i="1"/>
  <c r="V3529" i="1"/>
  <c r="U3529" i="1"/>
  <c r="V3528" i="1"/>
  <c r="U3528" i="1"/>
  <c r="V3527" i="1"/>
  <c r="U3527" i="1"/>
  <c r="V3526" i="1"/>
  <c r="U3526" i="1"/>
  <c r="V3525" i="1"/>
  <c r="U3525" i="1"/>
  <c r="V3524" i="1"/>
  <c r="U3524" i="1"/>
  <c r="T3523" i="1"/>
  <c r="V3522" i="1"/>
  <c r="U3522" i="1"/>
  <c r="V3521" i="1"/>
  <c r="U3521" i="1"/>
  <c r="V3520" i="1"/>
  <c r="U3520" i="1"/>
  <c r="T3519" i="1"/>
  <c r="V3518" i="1"/>
  <c r="U3518" i="1"/>
  <c r="T3517" i="1"/>
  <c r="V3516" i="1"/>
  <c r="U3516" i="1"/>
  <c r="V3515" i="1"/>
  <c r="U3515" i="1"/>
  <c r="V3514" i="1"/>
  <c r="U3514" i="1"/>
  <c r="V3513" i="1"/>
  <c r="U3513" i="1"/>
  <c r="V3512" i="1"/>
  <c r="U3512" i="1"/>
  <c r="V3511" i="1"/>
  <c r="U3511" i="1"/>
  <c r="V3510" i="1"/>
  <c r="U3510" i="1"/>
  <c r="V3509" i="1"/>
  <c r="U3509" i="1"/>
  <c r="V3508" i="1"/>
  <c r="U3508" i="1"/>
  <c r="V3507" i="1"/>
  <c r="U3507" i="1"/>
  <c r="V3506" i="1"/>
  <c r="U3506" i="1"/>
  <c r="T3505" i="1"/>
  <c r="V3504" i="1"/>
  <c r="U3504" i="1"/>
  <c r="V3503" i="1"/>
  <c r="U3503" i="1"/>
  <c r="V3502" i="1"/>
  <c r="U3502" i="1"/>
  <c r="V3501" i="1"/>
  <c r="U3501" i="1"/>
  <c r="V3500" i="1"/>
  <c r="U3500" i="1"/>
  <c r="V3499" i="1"/>
  <c r="U3499" i="1"/>
  <c r="V3498" i="1"/>
  <c r="U3498" i="1"/>
  <c r="V3497" i="1"/>
  <c r="U3497" i="1"/>
  <c r="V3496" i="1"/>
  <c r="U3496" i="1"/>
  <c r="V3495" i="1"/>
  <c r="U3495" i="1"/>
  <c r="V3494" i="1"/>
  <c r="U3494" i="1"/>
  <c r="V3493" i="1"/>
  <c r="U3493" i="1"/>
  <c r="V3492" i="1"/>
  <c r="U3492" i="1"/>
  <c r="V3491" i="1"/>
  <c r="U3491" i="1"/>
  <c r="V3490" i="1"/>
  <c r="U3490" i="1"/>
  <c r="V3489" i="1"/>
  <c r="U3489" i="1"/>
  <c r="V3488" i="1"/>
  <c r="U3488" i="1"/>
  <c r="V3487" i="1"/>
  <c r="U3487" i="1"/>
  <c r="V3486" i="1"/>
  <c r="U3486" i="1"/>
  <c r="V3485" i="1"/>
  <c r="U3485" i="1"/>
  <c r="V3484" i="1"/>
  <c r="U3484" i="1"/>
  <c r="V3483" i="1"/>
  <c r="U3483" i="1"/>
  <c r="T3482" i="1"/>
  <c r="V3481" i="1"/>
  <c r="U3481" i="1"/>
  <c r="V3480" i="1"/>
  <c r="U3480" i="1"/>
  <c r="V3479" i="1"/>
  <c r="U3479" i="1"/>
  <c r="V3478" i="1"/>
  <c r="U3478" i="1"/>
  <c r="V3477" i="1"/>
  <c r="U3477" i="1"/>
  <c r="V3476" i="1"/>
  <c r="U3476" i="1"/>
  <c r="V3475" i="1"/>
  <c r="U3475" i="1"/>
  <c r="V3474" i="1"/>
  <c r="U3474" i="1"/>
  <c r="V3473" i="1"/>
  <c r="U3473" i="1"/>
  <c r="V3472" i="1"/>
  <c r="U3472" i="1"/>
  <c r="V3471" i="1"/>
  <c r="U3471" i="1"/>
  <c r="V3470" i="1"/>
  <c r="U3470" i="1"/>
  <c r="V3469" i="1"/>
  <c r="U3469" i="1"/>
  <c r="V3468" i="1"/>
  <c r="U3468" i="1"/>
  <c r="V3467" i="1"/>
  <c r="U3467" i="1"/>
  <c r="V3466" i="1"/>
  <c r="U3466" i="1"/>
  <c r="V3465" i="1"/>
  <c r="U3465" i="1"/>
  <c r="V3464" i="1"/>
  <c r="U3464" i="1"/>
  <c r="V3463" i="1"/>
  <c r="U3463" i="1"/>
  <c r="V3462" i="1"/>
  <c r="U3462" i="1"/>
  <c r="V3461" i="1"/>
  <c r="U3461" i="1"/>
  <c r="V3460" i="1"/>
  <c r="U3460" i="1"/>
  <c r="V3459" i="1"/>
  <c r="U3459" i="1"/>
  <c r="V3458" i="1"/>
  <c r="U3458" i="1"/>
  <c r="V3457" i="1"/>
  <c r="U3457" i="1"/>
  <c r="V3456" i="1"/>
  <c r="U3456" i="1"/>
  <c r="V3455" i="1"/>
  <c r="U3455" i="1"/>
  <c r="V3454" i="1"/>
  <c r="U3454" i="1"/>
  <c r="V3453" i="1"/>
  <c r="U3453" i="1"/>
  <c r="V3452" i="1"/>
  <c r="U3452" i="1"/>
  <c r="V3451" i="1"/>
  <c r="U3451" i="1"/>
  <c r="V3450" i="1"/>
  <c r="U3450" i="1"/>
  <c r="V3449" i="1"/>
  <c r="U3449" i="1"/>
  <c r="V3448" i="1"/>
  <c r="U3448" i="1"/>
  <c r="V3447" i="1"/>
  <c r="U3447" i="1"/>
  <c r="V3446" i="1"/>
  <c r="U3446" i="1"/>
  <c r="V3445" i="1"/>
  <c r="U3445" i="1"/>
  <c r="V3444" i="1"/>
  <c r="U3444" i="1"/>
  <c r="T3443" i="1"/>
  <c r="V3442" i="1"/>
  <c r="U3442" i="1"/>
  <c r="V3441" i="1"/>
  <c r="U3441" i="1"/>
  <c r="V3440" i="1"/>
  <c r="U3440" i="1"/>
  <c r="V3439" i="1"/>
  <c r="U3439" i="1"/>
  <c r="V3438" i="1"/>
  <c r="U3438" i="1"/>
  <c r="V3437" i="1"/>
  <c r="U3437" i="1"/>
  <c r="V3436" i="1"/>
  <c r="U3436" i="1"/>
  <c r="V3435" i="1"/>
  <c r="U3435" i="1"/>
  <c r="V3434" i="1"/>
  <c r="U3434" i="1"/>
  <c r="V3433" i="1"/>
  <c r="U3433" i="1"/>
  <c r="V3432" i="1"/>
  <c r="U3432" i="1"/>
  <c r="T3431" i="1"/>
  <c r="V3430" i="1"/>
  <c r="U3430" i="1"/>
  <c r="V3429" i="1"/>
  <c r="U3429" i="1"/>
  <c r="T3428" i="1"/>
  <c r="V3427" i="1"/>
  <c r="U3427" i="1"/>
  <c r="V3426" i="1"/>
  <c r="U3426" i="1"/>
  <c r="V3425" i="1"/>
  <c r="U3425" i="1"/>
  <c r="V3424" i="1"/>
  <c r="U3424" i="1"/>
  <c r="T3423" i="1"/>
  <c r="V3422" i="1"/>
  <c r="U3422" i="1"/>
  <c r="V3421" i="1"/>
  <c r="U3421" i="1"/>
  <c r="V3420" i="1"/>
  <c r="U3420" i="1"/>
  <c r="V3419" i="1"/>
  <c r="U3419" i="1"/>
  <c r="V3418" i="1"/>
  <c r="U3418" i="1"/>
  <c r="V3417" i="1"/>
  <c r="U3417" i="1"/>
  <c r="V3416" i="1"/>
  <c r="U3416" i="1"/>
  <c r="V3415" i="1"/>
  <c r="U3415" i="1"/>
  <c r="V3414" i="1"/>
  <c r="U3414" i="1"/>
  <c r="V3413" i="1"/>
  <c r="U3413" i="1"/>
  <c r="V3412" i="1"/>
  <c r="U3412" i="1"/>
  <c r="V3411" i="1"/>
  <c r="U3411" i="1"/>
  <c r="V3410" i="1"/>
  <c r="U3410" i="1"/>
  <c r="V3409" i="1"/>
  <c r="U3409" i="1"/>
  <c r="V3408" i="1"/>
  <c r="U3408" i="1"/>
  <c r="V3407" i="1"/>
  <c r="U3407" i="1"/>
  <c r="V3406" i="1"/>
  <c r="U3406" i="1"/>
  <c r="V3405" i="1"/>
  <c r="U3405" i="1"/>
  <c r="V3404" i="1"/>
  <c r="U3404" i="1"/>
  <c r="V3403" i="1"/>
  <c r="U3403" i="1"/>
  <c r="V3402" i="1"/>
  <c r="U3402" i="1"/>
  <c r="V3401" i="1"/>
  <c r="U3401" i="1"/>
  <c r="V3400" i="1"/>
  <c r="U3400" i="1"/>
  <c r="T3399" i="1"/>
  <c r="V3398" i="1"/>
  <c r="U3398" i="1"/>
  <c r="V3397" i="1"/>
  <c r="U3397" i="1"/>
  <c r="V3396" i="1"/>
  <c r="U3396" i="1"/>
  <c r="V3395" i="1"/>
  <c r="U3395" i="1"/>
  <c r="V3394" i="1"/>
  <c r="U3394" i="1"/>
  <c r="V3393" i="1"/>
  <c r="U3393" i="1"/>
  <c r="V3392" i="1"/>
  <c r="U3392" i="1"/>
  <c r="V3391" i="1"/>
  <c r="U3391" i="1"/>
  <c r="V3390" i="1"/>
  <c r="U3390" i="1"/>
  <c r="T3389" i="1"/>
  <c r="V3388" i="1"/>
  <c r="U3388" i="1"/>
  <c r="T3387" i="1"/>
  <c r="V3386" i="1"/>
  <c r="U3386" i="1"/>
  <c r="V3385" i="1"/>
  <c r="U3385" i="1"/>
  <c r="T3384" i="1"/>
  <c r="T3383" i="1"/>
  <c r="V3382" i="1"/>
  <c r="U3382" i="1"/>
  <c r="V3381" i="1"/>
  <c r="U3381" i="1"/>
  <c r="V3380" i="1"/>
  <c r="U3380" i="1"/>
  <c r="T3379" i="1"/>
  <c r="V3378" i="1"/>
  <c r="U3378" i="1"/>
  <c r="V3377" i="1"/>
  <c r="U3377" i="1"/>
  <c r="V3376" i="1"/>
  <c r="U3376" i="1"/>
  <c r="V3375" i="1"/>
  <c r="U3375" i="1"/>
  <c r="V3374" i="1"/>
  <c r="U3374" i="1"/>
  <c r="V3373" i="1"/>
  <c r="U3373" i="1"/>
  <c r="V3372" i="1"/>
  <c r="U3372" i="1"/>
  <c r="V3371" i="1"/>
  <c r="U3371" i="1"/>
  <c r="V3370" i="1"/>
  <c r="U3370" i="1"/>
  <c r="V3369" i="1"/>
  <c r="U3369" i="1"/>
  <c r="V3368" i="1"/>
  <c r="U3368" i="1"/>
  <c r="V3367" i="1"/>
  <c r="U3367" i="1"/>
  <c r="T3366" i="1"/>
  <c r="V3365" i="1"/>
  <c r="U3365" i="1"/>
  <c r="V3364" i="1"/>
  <c r="U3364" i="1"/>
  <c r="T3363" i="1"/>
  <c r="V3362" i="1"/>
  <c r="U3362" i="1"/>
  <c r="V3361" i="1"/>
  <c r="U3361" i="1"/>
  <c r="V3360" i="1"/>
  <c r="U3360" i="1"/>
  <c r="V3359" i="1"/>
  <c r="U3359" i="1"/>
  <c r="V3358" i="1"/>
  <c r="U3358" i="1"/>
  <c r="V3357" i="1"/>
  <c r="U3357" i="1"/>
  <c r="V3356" i="1"/>
  <c r="U3356" i="1"/>
  <c r="V3355" i="1"/>
  <c r="U3355" i="1"/>
  <c r="V3354" i="1"/>
  <c r="U3354" i="1"/>
  <c r="V3353" i="1"/>
  <c r="U3353" i="1"/>
  <c r="V3352" i="1"/>
  <c r="U3352" i="1"/>
  <c r="V3351" i="1"/>
  <c r="U3351" i="1"/>
  <c r="V3350" i="1"/>
  <c r="U3350" i="1"/>
  <c r="T3349" i="1"/>
  <c r="V3348" i="1"/>
  <c r="U3348" i="1"/>
  <c r="V3347" i="1"/>
  <c r="U3347" i="1"/>
  <c r="V3346" i="1"/>
  <c r="U3346" i="1"/>
  <c r="V3345" i="1"/>
  <c r="U3345" i="1"/>
  <c r="T3344" i="1"/>
  <c r="V3343" i="1"/>
  <c r="U3343" i="1"/>
  <c r="V3342" i="1"/>
  <c r="U3342" i="1"/>
  <c r="V3341" i="1"/>
  <c r="U3341" i="1"/>
  <c r="V3340" i="1"/>
  <c r="U3340" i="1"/>
  <c r="V3339" i="1"/>
  <c r="U3339" i="1"/>
  <c r="V3338" i="1"/>
  <c r="U3338" i="1"/>
  <c r="V3337" i="1"/>
  <c r="U3337" i="1"/>
  <c r="V3336" i="1"/>
  <c r="U3336" i="1"/>
  <c r="V3335" i="1"/>
  <c r="U3335" i="1"/>
  <c r="V3334" i="1"/>
  <c r="U3334" i="1"/>
  <c r="T3333" i="1"/>
  <c r="V3332" i="1"/>
  <c r="U3332" i="1"/>
  <c r="V3331" i="1"/>
  <c r="U3331" i="1"/>
  <c r="V3330" i="1"/>
  <c r="U3330" i="1"/>
  <c r="T3329" i="1"/>
  <c r="V3328" i="1"/>
  <c r="U3328" i="1"/>
  <c r="V3327" i="1"/>
  <c r="U3327" i="1"/>
  <c r="V3326" i="1"/>
  <c r="U3326" i="1"/>
  <c r="V3325" i="1"/>
  <c r="U3325" i="1"/>
  <c r="V3324" i="1"/>
  <c r="U3324" i="1"/>
  <c r="V3323" i="1"/>
  <c r="U3323" i="1"/>
  <c r="V3322" i="1"/>
  <c r="U3322" i="1"/>
  <c r="V3321" i="1"/>
  <c r="U3321" i="1"/>
  <c r="V3320" i="1"/>
  <c r="U3320" i="1"/>
  <c r="V3319" i="1"/>
  <c r="U3319" i="1"/>
  <c r="V3318" i="1"/>
  <c r="U3318" i="1"/>
  <c r="V3317" i="1"/>
  <c r="U3317" i="1"/>
  <c r="V3316" i="1"/>
  <c r="U3316" i="1"/>
  <c r="V3315" i="1"/>
  <c r="U3315" i="1"/>
  <c r="V3314" i="1"/>
  <c r="U3314" i="1"/>
  <c r="V3313" i="1"/>
  <c r="U3313" i="1"/>
  <c r="V3312" i="1"/>
  <c r="U3312" i="1"/>
  <c r="V3311" i="1"/>
  <c r="U3311" i="1"/>
  <c r="V3310" i="1"/>
  <c r="U3310" i="1"/>
  <c r="V3309" i="1"/>
  <c r="U3309" i="1"/>
  <c r="V3308" i="1"/>
  <c r="U3308" i="1"/>
  <c r="V3307" i="1"/>
  <c r="U3307" i="1"/>
  <c r="V3306" i="1"/>
  <c r="U3306" i="1"/>
  <c r="V3305" i="1"/>
  <c r="U3305" i="1"/>
  <c r="T3304" i="1"/>
  <c r="V3303" i="1"/>
  <c r="U3303" i="1"/>
  <c r="T3302" i="1"/>
  <c r="V3301" i="1"/>
  <c r="U3301" i="1"/>
  <c r="V3300" i="1"/>
  <c r="U3300" i="1"/>
  <c r="T3299" i="1"/>
  <c r="V3298" i="1"/>
  <c r="U3298" i="1"/>
  <c r="V3297" i="1"/>
  <c r="U3297" i="1"/>
  <c r="T3296" i="1"/>
  <c r="V3295" i="1"/>
  <c r="U3295" i="1"/>
  <c r="V3293" i="1"/>
  <c r="U3293" i="1"/>
  <c r="T3292" i="1"/>
  <c r="V3291" i="1"/>
  <c r="U3291" i="1"/>
  <c r="V3290" i="1"/>
  <c r="U3290" i="1"/>
  <c r="V3289" i="1"/>
  <c r="U3289" i="1"/>
  <c r="V3288" i="1"/>
  <c r="U3288" i="1"/>
  <c r="V3287" i="1"/>
  <c r="U3287" i="1"/>
  <c r="V3286" i="1"/>
  <c r="U3286" i="1"/>
  <c r="V3285" i="1"/>
  <c r="U3285" i="1"/>
  <c r="V3284" i="1"/>
  <c r="U3284" i="1"/>
  <c r="V3283" i="1"/>
  <c r="U3283" i="1"/>
  <c r="V3282" i="1"/>
  <c r="U3282" i="1"/>
  <c r="V3281" i="1"/>
  <c r="U3281" i="1"/>
  <c r="V3280" i="1"/>
  <c r="U3280" i="1"/>
  <c r="V3279" i="1"/>
  <c r="U3279" i="1"/>
  <c r="V3278" i="1"/>
  <c r="U3278" i="1"/>
  <c r="V3277" i="1"/>
  <c r="U3277" i="1"/>
  <c r="V3276" i="1"/>
  <c r="U3276" i="1"/>
  <c r="V3275" i="1"/>
  <c r="U3275" i="1"/>
  <c r="V3274" i="1"/>
  <c r="U3274" i="1"/>
  <c r="V3273" i="1"/>
  <c r="U3273" i="1"/>
  <c r="V3272" i="1"/>
  <c r="U3272" i="1"/>
  <c r="V3271" i="1"/>
  <c r="U3271" i="1"/>
  <c r="T3270" i="1"/>
  <c r="T3269" i="1"/>
  <c r="V3268" i="1"/>
  <c r="U3268" i="1"/>
  <c r="V3267" i="1"/>
  <c r="U3267" i="1"/>
  <c r="V3266" i="1"/>
  <c r="U3266" i="1"/>
  <c r="V3265" i="1"/>
  <c r="U3265" i="1"/>
  <c r="V3264" i="1"/>
  <c r="U3264" i="1"/>
  <c r="V3263" i="1"/>
  <c r="U3263" i="1"/>
  <c r="V3262" i="1"/>
  <c r="U3262" i="1"/>
  <c r="V3261" i="1"/>
  <c r="U3261" i="1"/>
  <c r="T3260" i="1"/>
  <c r="V3259" i="1"/>
  <c r="U3259" i="1"/>
  <c r="V3258" i="1"/>
  <c r="U3258" i="1"/>
  <c r="V3257" i="1"/>
  <c r="U3257" i="1"/>
  <c r="V3256" i="1"/>
  <c r="U3256" i="1"/>
  <c r="V3255" i="1"/>
  <c r="U3255" i="1"/>
  <c r="V3254" i="1"/>
  <c r="U3254" i="1"/>
  <c r="V3253" i="1"/>
  <c r="U3253" i="1"/>
  <c r="V3252" i="1"/>
  <c r="U3252" i="1"/>
  <c r="V3251" i="1"/>
  <c r="U3251" i="1"/>
  <c r="T3250" i="1"/>
  <c r="V3249" i="1"/>
  <c r="U3249" i="1"/>
  <c r="V3248" i="1"/>
  <c r="U3248" i="1"/>
  <c r="V3247" i="1"/>
  <c r="U3247" i="1"/>
  <c r="V3246" i="1"/>
  <c r="U3246" i="1"/>
  <c r="V3245" i="1"/>
  <c r="U3245" i="1"/>
  <c r="V3244" i="1"/>
  <c r="U3244" i="1"/>
  <c r="T3243" i="1"/>
  <c r="T3242" i="1"/>
  <c r="V3241" i="1"/>
  <c r="U3241" i="1"/>
  <c r="V3240" i="1"/>
  <c r="U3240" i="1"/>
  <c r="V3239" i="1"/>
  <c r="U3239" i="1"/>
  <c r="V3238" i="1"/>
  <c r="U3238" i="1"/>
  <c r="V3237" i="1"/>
  <c r="U3237" i="1"/>
  <c r="V3236" i="1"/>
  <c r="U3236" i="1"/>
  <c r="T3235" i="1"/>
  <c r="V3234" i="1"/>
  <c r="U3234" i="1"/>
  <c r="V3233" i="1"/>
  <c r="U3233" i="1"/>
  <c r="V3232" i="1"/>
  <c r="U3232" i="1"/>
  <c r="V3231" i="1"/>
  <c r="U3231" i="1"/>
  <c r="V3230" i="1"/>
  <c r="U3230" i="1"/>
  <c r="V3229" i="1"/>
  <c r="U3229" i="1"/>
  <c r="V3228" i="1"/>
  <c r="U3228" i="1"/>
  <c r="V3227" i="1"/>
  <c r="U3227" i="1"/>
  <c r="V3226" i="1"/>
  <c r="U3226" i="1"/>
  <c r="V3225" i="1"/>
  <c r="U3225" i="1"/>
  <c r="V3224" i="1"/>
  <c r="U3224" i="1"/>
  <c r="V3223" i="1"/>
  <c r="U3223" i="1"/>
  <c r="V3222" i="1"/>
  <c r="U3222" i="1"/>
  <c r="V3221" i="1"/>
  <c r="U3221" i="1"/>
  <c r="V3220" i="1"/>
  <c r="U3220" i="1"/>
  <c r="V3219" i="1"/>
  <c r="U3219" i="1"/>
  <c r="V3218" i="1"/>
  <c r="U3218" i="1"/>
  <c r="V3217" i="1"/>
  <c r="U3217" i="1"/>
  <c r="T3216" i="1"/>
  <c r="V3215" i="1"/>
  <c r="U3215" i="1"/>
  <c r="V3214" i="1"/>
  <c r="U3214" i="1"/>
  <c r="V3213" i="1"/>
  <c r="U3213" i="1"/>
  <c r="V3212" i="1"/>
  <c r="U3212" i="1"/>
  <c r="V3211" i="1"/>
  <c r="U3211" i="1"/>
  <c r="V3210" i="1"/>
  <c r="U3210" i="1"/>
  <c r="V3209" i="1"/>
  <c r="U3209" i="1"/>
  <c r="V3208" i="1"/>
  <c r="U3208" i="1"/>
  <c r="V3207" i="1"/>
  <c r="U3207" i="1"/>
  <c r="V3206" i="1"/>
  <c r="U3206" i="1"/>
  <c r="V3205" i="1"/>
  <c r="U3205" i="1"/>
  <c r="V3204" i="1"/>
  <c r="U3204" i="1"/>
  <c r="V3203" i="1"/>
  <c r="U3203" i="1"/>
  <c r="V3202" i="1"/>
  <c r="U3202" i="1"/>
  <c r="V3201" i="1"/>
  <c r="U3201" i="1"/>
  <c r="V3200" i="1"/>
  <c r="U3200" i="1"/>
  <c r="V3199" i="1"/>
  <c r="U3199" i="1"/>
  <c r="V3198" i="1"/>
  <c r="U3198" i="1"/>
  <c r="V3197" i="1"/>
  <c r="U3197" i="1"/>
  <c r="V3196" i="1"/>
  <c r="U3196" i="1"/>
  <c r="V3195" i="1"/>
  <c r="U3195" i="1"/>
  <c r="V3194" i="1"/>
  <c r="U3194" i="1"/>
  <c r="V3193" i="1"/>
  <c r="U3193" i="1"/>
  <c r="V3192" i="1"/>
  <c r="U3192" i="1"/>
  <c r="V3191" i="1"/>
  <c r="U3191" i="1"/>
  <c r="T3190" i="1"/>
  <c r="V3189" i="1"/>
  <c r="U3189" i="1"/>
  <c r="V3188" i="1"/>
  <c r="U3188" i="1"/>
  <c r="V3187" i="1"/>
  <c r="U3187" i="1"/>
  <c r="V3186" i="1"/>
  <c r="U3186" i="1"/>
  <c r="T3185" i="1"/>
  <c r="V3184" i="1"/>
  <c r="U3184" i="1"/>
  <c r="V3183" i="1"/>
  <c r="U3183" i="1"/>
  <c r="V3182" i="1"/>
  <c r="U3182" i="1"/>
  <c r="V3181" i="1"/>
  <c r="U3181" i="1"/>
  <c r="V3180" i="1"/>
  <c r="U3180" i="1"/>
  <c r="V3179" i="1"/>
  <c r="U3179" i="1"/>
  <c r="V3178" i="1"/>
  <c r="U3178" i="1"/>
  <c r="V3177" i="1"/>
  <c r="U3177" i="1"/>
  <c r="V3176" i="1"/>
  <c r="U3176" i="1"/>
  <c r="V3175" i="1"/>
  <c r="U3175" i="1"/>
  <c r="V3174" i="1"/>
  <c r="U3174" i="1"/>
  <c r="V3173" i="1"/>
  <c r="U3173" i="1"/>
  <c r="V3172" i="1"/>
  <c r="U3172" i="1"/>
  <c r="V3171" i="1"/>
  <c r="U3171" i="1"/>
  <c r="V3170" i="1"/>
  <c r="U3170" i="1"/>
  <c r="V3169" i="1"/>
  <c r="U3169" i="1"/>
  <c r="V3168" i="1"/>
  <c r="U3168" i="1"/>
  <c r="V3167" i="1"/>
  <c r="U3167" i="1"/>
  <c r="V3166" i="1"/>
  <c r="U3166" i="1"/>
  <c r="T3165" i="1"/>
  <c r="V3164" i="1"/>
  <c r="U3164" i="1"/>
  <c r="T3163" i="1"/>
  <c r="V3162" i="1"/>
  <c r="U3162" i="1"/>
  <c r="T3161" i="1"/>
  <c r="V3160" i="1"/>
  <c r="U3160" i="1"/>
  <c r="V3159" i="1"/>
  <c r="U3159" i="1"/>
  <c r="V3158" i="1"/>
  <c r="U3158" i="1"/>
  <c r="V3157" i="1"/>
  <c r="U3157" i="1"/>
  <c r="T3156" i="1"/>
  <c r="V3155" i="1"/>
  <c r="U3155" i="1"/>
  <c r="T3154" i="1"/>
  <c r="V3153" i="1"/>
  <c r="U3153" i="1"/>
  <c r="V3152" i="1"/>
  <c r="U3152" i="1"/>
  <c r="T3151" i="1"/>
  <c r="V3150" i="1"/>
  <c r="U3150" i="1"/>
  <c r="V3149" i="1"/>
  <c r="U3149" i="1"/>
  <c r="V3148" i="1"/>
  <c r="U3148" i="1"/>
  <c r="V3147" i="1"/>
  <c r="U3147" i="1"/>
  <c r="V3146" i="1"/>
  <c r="U3146" i="1"/>
  <c r="T3145" i="1"/>
  <c r="T3144" i="1"/>
  <c r="V3143" i="1"/>
  <c r="U3143" i="1"/>
  <c r="V3142" i="1"/>
  <c r="U3142" i="1"/>
  <c r="T3141" i="1"/>
  <c r="V3140" i="1"/>
  <c r="U3140" i="1"/>
  <c r="V3139" i="1"/>
  <c r="U3139" i="1"/>
  <c r="V3138" i="1"/>
  <c r="U3138" i="1"/>
  <c r="V3137" i="1"/>
  <c r="U3137" i="1"/>
  <c r="V3136" i="1"/>
  <c r="U3136" i="1"/>
  <c r="V3135" i="1"/>
  <c r="U3135" i="1"/>
  <c r="T3134" i="1"/>
  <c r="V3133" i="1"/>
  <c r="U3133" i="1"/>
  <c r="V3132" i="1"/>
  <c r="U3132" i="1"/>
  <c r="V3131" i="1"/>
  <c r="U3131" i="1"/>
  <c r="V3130" i="1"/>
  <c r="U3130" i="1"/>
  <c r="V3129" i="1"/>
  <c r="U3129" i="1"/>
  <c r="V3128" i="1"/>
  <c r="U3128" i="1"/>
  <c r="V3127" i="1"/>
  <c r="U3127" i="1"/>
  <c r="V3126" i="1"/>
  <c r="U3126" i="1"/>
  <c r="V3125" i="1"/>
  <c r="U3125" i="1"/>
  <c r="V3124" i="1"/>
  <c r="U3124" i="1"/>
  <c r="V3123" i="1"/>
  <c r="U3123" i="1"/>
  <c r="V3122" i="1"/>
  <c r="U3122" i="1"/>
  <c r="V3121" i="1"/>
  <c r="U3121" i="1"/>
  <c r="V3120" i="1"/>
  <c r="U3120" i="1"/>
  <c r="V3119" i="1"/>
  <c r="U3119" i="1"/>
  <c r="V3118" i="1"/>
  <c r="U3118" i="1"/>
  <c r="T3117" i="1"/>
  <c r="V3116" i="1"/>
  <c r="U3116" i="1"/>
  <c r="V3115" i="1"/>
  <c r="U3115" i="1"/>
  <c r="V3114" i="1"/>
  <c r="U3114" i="1"/>
  <c r="V3113" i="1"/>
  <c r="U3113" i="1"/>
  <c r="T3112" i="1"/>
  <c r="V3111" i="1"/>
  <c r="U3111" i="1"/>
  <c r="V3110" i="1"/>
  <c r="U3110" i="1"/>
  <c r="V3109" i="1"/>
  <c r="U3109" i="1"/>
  <c r="V3108" i="1"/>
  <c r="U3108" i="1"/>
  <c r="V3107" i="1"/>
  <c r="U3107" i="1"/>
  <c r="V3106" i="1"/>
  <c r="U3106" i="1"/>
  <c r="V3105" i="1"/>
  <c r="U3105" i="1"/>
  <c r="V3104" i="1"/>
  <c r="U3104" i="1"/>
  <c r="V3103" i="1"/>
  <c r="U3103" i="1"/>
  <c r="V3102" i="1"/>
  <c r="U3102" i="1"/>
  <c r="V3101" i="1"/>
  <c r="U3101" i="1"/>
  <c r="V3100" i="1"/>
  <c r="U3100" i="1"/>
  <c r="V3099" i="1"/>
  <c r="U3099" i="1"/>
  <c r="V3098" i="1"/>
  <c r="U3098" i="1"/>
  <c r="V3097" i="1"/>
  <c r="U3097" i="1"/>
  <c r="V3096" i="1"/>
  <c r="U3096" i="1"/>
  <c r="V3095" i="1"/>
  <c r="U3095" i="1"/>
  <c r="V3094" i="1"/>
  <c r="U3094" i="1"/>
  <c r="V3093" i="1"/>
  <c r="U3093" i="1"/>
  <c r="V3092" i="1"/>
  <c r="U3092" i="1"/>
  <c r="V3091" i="1"/>
  <c r="U3091" i="1"/>
  <c r="T3090" i="1"/>
  <c r="V3089" i="1"/>
  <c r="U3089" i="1"/>
  <c r="V3088" i="1"/>
  <c r="U3088" i="1"/>
  <c r="V3087" i="1"/>
  <c r="U3087" i="1"/>
  <c r="V3086" i="1"/>
  <c r="U3086" i="1"/>
  <c r="T3085" i="1"/>
  <c r="V3084" i="1"/>
  <c r="U3084" i="1"/>
  <c r="V3083" i="1"/>
  <c r="U3083" i="1"/>
  <c r="V3082" i="1"/>
  <c r="U3082" i="1"/>
  <c r="V3081" i="1"/>
  <c r="U3081" i="1"/>
  <c r="V3080" i="1"/>
  <c r="U3080" i="1"/>
  <c r="V3079" i="1"/>
  <c r="U3079" i="1"/>
  <c r="V3078" i="1"/>
  <c r="U3078" i="1"/>
  <c r="V3077" i="1"/>
  <c r="U3077" i="1"/>
  <c r="V3076" i="1"/>
  <c r="U3076" i="1"/>
  <c r="T3075" i="1"/>
  <c r="V3074" i="1"/>
  <c r="U3074" i="1"/>
  <c r="V3073" i="1"/>
  <c r="U3073" i="1"/>
  <c r="V3072" i="1"/>
  <c r="U3072" i="1"/>
  <c r="V3071" i="1"/>
  <c r="U3071" i="1"/>
  <c r="V3070" i="1"/>
  <c r="U3070" i="1"/>
  <c r="V3069" i="1"/>
  <c r="U3069" i="1"/>
  <c r="V3068" i="1"/>
  <c r="U3068" i="1"/>
  <c r="V3067" i="1"/>
  <c r="U3067" i="1"/>
  <c r="T3066" i="1"/>
  <c r="V3065" i="1"/>
  <c r="U3065" i="1"/>
  <c r="V3064" i="1"/>
  <c r="U3064" i="1"/>
  <c r="V3063" i="1"/>
  <c r="U3063" i="1"/>
  <c r="T3062" i="1"/>
  <c r="V3061" i="1"/>
  <c r="U3061" i="1"/>
  <c r="V3060" i="1"/>
  <c r="U3060" i="1"/>
  <c r="V3059" i="1"/>
  <c r="U3059" i="1"/>
  <c r="V3058" i="1"/>
  <c r="U3058" i="1"/>
  <c r="V3057" i="1"/>
  <c r="U3057" i="1"/>
  <c r="V3056" i="1"/>
  <c r="U3056" i="1"/>
  <c r="V3055" i="1"/>
  <c r="U3055" i="1"/>
  <c r="V3054" i="1"/>
  <c r="U3054" i="1"/>
  <c r="V3053" i="1"/>
  <c r="U3053" i="1"/>
  <c r="V3052" i="1"/>
  <c r="U3052" i="1"/>
  <c r="V3051" i="1"/>
  <c r="U3051" i="1"/>
  <c r="V3050" i="1"/>
  <c r="U3050" i="1"/>
  <c r="V3049" i="1"/>
  <c r="U3049" i="1"/>
  <c r="V3048" i="1"/>
  <c r="U3048" i="1"/>
  <c r="V3047" i="1"/>
  <c r="U3047" i="1"/>
  <c r="V3046" i="1"/>
  <c r="U3046" i="1"/>
  <c r="V3045" i="1"/>
  <c r="U3045" i="1"/>
  <c r="V3044" i="1"/>
  <c r="U3044" i="1"/>
  <c r="V3043" i="1"/>
  <c r="U3043" i="1"/>
  <c r="V3042" i="1"/>
  <c r="U3042" i="1"/>
  <c r="V3041" i="1"/>
  <c r="U3041" i="1"/>
  <c r="V3040" i="1"/>
  <c r="U3040" i="1"/>
  <c r="T3039" i="1"/>
  <c r="V3038" i="1"/>
  <c r="U3038" i="1"/>
  <c r="T3037" i="1"/>
  <c r="V3036" i="1"/>
  <c r="U3036" i="1"/>
  <c r="V3035" i="1"/>
  <c r="U3035" i="1"/>
  <c r="T3034" i="1"/>
  <c r="V3033" i="1"/>
  <c r="U3033" i="1"/>
  <c r="V3032" i="1"/>
  <c r="U3032" i="1"/>
  <c r="V3031" i="1"/>
  <c r="U3031" i="1"/>
  <c r="V3030" i="1"/>
  <c r="U3030" i="1"/>
  <c r="V3029" i="1"/>
  <c r="U3029" i="1"/>
  <c r="V3028" i="1"/>
  <c r="U3028" i="1"/>
  <c r="V3027" i="1"/>
  <c r="U3027" i="1"/>
  <c r="V3026" i="1"/>
  <c r="U3026" i="1"/>
  <c r="V3025" i="1"/>
  <c r="U3025" i="1"/>
  <c r="V3024" i="1"/>
  <c r="U3024" i="1"/>
  <c r="V3023" i="1"/>
  <c r="U3023" i="1"/>
  <c r="V3022" i="1"/>
  <c r="U3022" i="1"/>
  <c r="V3021" i="1"/>
  <c r="U3021" i="1"/>
  <c r="V3020" i="1"/>
  <c r="U3020" i="1"/>
  <c r="V3019" i="1"/>
  <c r="U3019" i="1"/>
  <c r="V3018" i="1"/>
  <c r="U3018" i="1"/>
  <c r="V3017" i="1"/>
  <c r="U3017" i="1"/>
  <c r="V3016" i="1"/>
  <c r="U3016" i="1"/>
  <c r="V3015" i="1"/>
  <c r="U3015" i="1"/>
  <c r="V3014" i="1"/>
  <c r="U3014" i="1"/>
  <c r="T3013" i="1"/>
  <c r="V3012" i="1"/>
  <c r="U3012" i="1"/>
  <c r="V3011" i="1"/>
  <c r="U3011" i="1"/>
  <c r="T3010" i="1"/>
  <c r="V3009" i="1"/>
  <c r="U3009" i="1"/>
  <c r="V3008" i="1"/>
  <c r="U3008" i="1"/>
  <c r="V3007" i="1"/>
  <c r="U3007" i="1"/>
  <c r="V3006" i="1"/>
  <c r="U3006" i="1"/>
  <c r="T3005" i="1"/>
  <c r="T3004" i="1"/>
  <c r="T3003" i="1"/>
  <c r="V3002" i="1"/>
  <c r="U3002" i="1"/>
  <c r="V3001" i="1"/>
  <c r="U3001" i="1"/>
  <c r="V3000" i="1"/>
  <c r="U3000" i="1"/>
  <c r="T2999" i="1"/>
  <c r="V2998" i="1"/>
  <c r="U2998" i="1"/>
  <c r="V2997" i="1"/>
  <c r="U2997" i="1"/>
  <c r="V2996" i="1"/>
  <c r="U2996" i="1"/>
  <c r="V2995" i="1"/>
  <c r="U2995" i="1"/>
  <c r="V2994" i="1"/>
  <c r="U2994" i="1"/>
  <c r="V2993" i="1"/>
  <c r="U2993" i="1"/>
  <c r="V2992" i="1"/>
  <c r="U2992" i="1"/>
  <c r="V2991" i="1"/>
  <c r="U2991" i="1"/>
  <c r="V2990" i="1"/>
  <c r="U2990" i="1"/>
  <c r="V2989" i="1"/>
  <c r="U2989" i="1"/>
  <c r="V2987" i="1"/>
  <c r="U2987" i="1"/>
  <c r="V2986" i="1"/>
  <c r="U2986" i="1"/>
  <c r="V2985" i="1"/>
  <c r="U2985" i="1"/>
  <c r="T2984" i="1"/>
  <c r="V2983" i="1"/>
  <c r="U2983" i="1"/>
  <c r="T2982" i="1"/>
  <c r="V2981" i="1"/>
  <c r="U2981" i="1"/>
  <c r="T2980" i="1"/>
  <c r="V2979" i="1"/>
  <c r="U2979" i="1"/>
  <c r="V2978" i="1"/>
  <c r="U2978" i="1"/>
  <c r="T2977" i="1"/>
  <c r="V2976" i="1"/>
  <c r="U2976" i="1"/>
  <c r="V2975" i="1"/>
  <c r="U2975" i="1"/>
  <c r="V2974" i="1"/>
  <c r="U2974" i="1"/>
  <c r="V2973" i="1"/>
  <c r="U2973" i="1"/>
  <c r="V2972" i="1"/>
  <c r="U2972" i="1"/>
  <c r="T2971" i="1"/>
  <c r="V2970" i="1"/>
  <c r="U2970" i="1"/>
  <c r="V2969" i="1"/>
  <c r="U2969" i="1"/>
  <c r="T2968" i="1"/>
  <c r="V2967" i="1"/>
  <c r="U2967" i="1"/>
  <c r="T2966" i="1"/>
  <c r="V2965" i="1"/>
  <c r="U2965" i="1"/>
  <c r="V2964" i="1"/>
  <c r="U2964" i="1"/>
  <c r="V2963" i="1"/>
  <c r="U2963" i="1"/>
  <c r="V2962" i="1"/>
  <c r="U2962" i="1"/>
  <c r="V2961" i="1"/>
  <c r="U2961" i="1"/>
  <c r="V2960" i="1"/>
  <c r="U2960" i="1"/>
  <c r="V2959" i="1"/>
  <c r="U2959" i="1"/>
  <c r="V2958" i="1"/>
  <c r="U2958" i="1"/>
  <c r="V2957" i="1"/>
  <c r="U2957" i="1"/>
  <c r="T2956" i="1"/>
  <c r="V2955" i="1"/>
  <c r="U2955" i="1"/>
  <c r="V2954" i="1"/>
  <c r="U2954" i="1"/>
  <c r="V2953" i="1"/>
  <c r="U2953" i="1"/>
  <c r="V2952" i="1"/>
  <c r="U2952" i="1"/>
  <c r="V2951" i="1"/>
  <c r="U2951" i="1"/>
  <c r="V2950" i="1"/>
  <c r="U2950" i="1"/>
  <c r="V2949" i="1"/>
  <c r="U2949" i="1"/>
  <c r="V2948" i="1"/>
  <c r="U2948" i="1"/>
  <c r="V2947" i="1"/>
  <c r="U2947" i="1"/>
  <c r="T2946" i="1"/>
  <c r="V2945" i="1"/>
  <c r="U2945" i="1"/>
  <c r="V2944" i="1"/>
  <c r="U2944" i="1"/>
  <c r="T2943" i="1"/>
  <c r="V2942" i="1"/>
  <c r="U2942" i="1"/>
  <c r="T2941" i="1"/>
  <c r="V2940" i="1"/>
  <c r="U2940" i="1"/>
  <c r="V2939" i="1"/>
  <c r="U2939" i="1"/>
  <c r="V2938" i="1"/>
  <c r="U2938" i="1"/>
  <c r="V2937" i="1"/>
  <c r="U2937" i="1"/>
  <c r="V2936" i="1"/>
  <c r="U2936" i="1"/>
  <c r="V2935" i="1"/>
  <c r="U2935" i="1"/>
  <c r="V2934" i="1"/>
  <c r="U2934" i="1"/>
  <c r="V2933" i="1"/>
  <c r="U2933" i="1"/>
  <c r="V2932" i="1"/>
  <c r="U2932" i="1"/>
  <c r="V2931" i="1"/>
  <c r="U2931" i="1"/>
  <c r="V2930" i="1"/>
  <c r="U2930" i="1"/>
  <c r="V2929" i="1"/>
  <c r="U2929" i="1"/>
  <c r="V2928" i="1"/>
  <c r="U2928" i="1"/>
  <c r="V2927" i="1"/>
  <c r="U2927" i="1"/>
  <c r="V2926" i="1"/>
  <c r="U2926" i="1"/>
  <c r="V2925" i="1"/>
  <c r="U2925" i="1"/>
  <c r="V2924" i="1"/>
  <c r="U2924" i="1"/>
  <c r="V2923" i="1"/>
  <c r="U2923" i="1"/>
  <c r="V2922" i="1"/>
  <c r="U2922" i="1"/>
  <c r="V2921" i="1"/>
  <c r="U2921" i="1"/>
  <c r="V2920" i="1"/>
  <c r="U2920" i="1"/>
  <c r="V2919" i="1"/>
  <c r="U2919" i="1"/>
  <c r="V2918" i="1"/>
  <c r="U2918" i="1"/>
  <c r="V2917" i="1"/>
  <c r="U2917" i="1"/>
  <c r="T2916" i="1"/>
  <c r="V2915" i="1"/>
  <c r="U2915" i="1"/>
  <c r="V2914" i="1"/>
  <c r="U2914" i="1"/>
  <c r="V2913" i="1"/>
  <c r="U2913" i="1"/>
  <c r="T2912" i="1"/>
  <c r="V2911" i="1"/>
  <c r="U2911" i="1"/>
  <c r="V2910" i="1"/>
  <c r="U2910" i="1"/>
  <c r="V2909" i="1"/>
  <c r="U2909" i="1"/>
  <c r="V2908" i="1"/>
  <c r="U2908" i="1"/>
  <c r="T2907" i="1"/>
  <c r="T2906" i="1"/>
  <c r="V2905" i="1"/>
  <c r="U2905" i="1"/>
  <c r="V2904" i="1"/>
  <c r="U2904" i="1"/>
  <c r="V2903" i="1"/>
  <c r="U2903" i="1"/>
  <c r="V2902" i="1"/>
  <c r="U2902" i="1"/>
  <c r="T2901" i="1"/>
  <c r="V2900" i="1"/>
  <c r="U2900" i="1"/>
  <c r="V2899" i="1"/>
  <c r="U2899" i="1"/>
  <c r="V2898" i="1"/>
  <c r="U2898" i="1"/>
  <c r="V2897" i="1"/>
  <c r="U2897" i="1"/>
  <c r="T2896" i="1"/>
  <c r="V2895" i="1"/>
  <c r="U2895" i="1"/>
  <c r="T2894" i="1"/>
  <c r="V2893" i="1"/>
  <c r="U2893" i="1"/>
  <c r="V2892" i="1"/>
  <c r="U2892" i="1"/>
  <c r="V2891" i="1"/>
  <c r="U2891" i="1"/>
  <c r="V2890" i="1"/>
  <c r="U2890" i="1"/>
  <c r="V2889" i="1"/>
  <c r="U2889" i="1"/>
  <c r="V2888" i="1"/>
  <c r="U2888" i="1"/>
  <c r="V2887" i="1"/>
  <c r="U2887" i="1"/>
  <c r="V2886" i="1"/>
  <c r="U2886" i="1"/>
  <c r="V2885" i="1"/>
  <c r="U2885" i="1"/>
  <c r="V2884" i="1"/>
  <c r="U2884" i="1"/>
  <c r="V2883" i="1"/>
  <c r="U2883" i="1"/>
  <c r="V2882" i="1"/>
  <c r="U2882" i="1"/>
  <c r="V2881" i="1"/>
  <c r="U2881" i="1"/>
  <c r="V2880" i="1"/>
  <c r="U2880" i="1"/>
  <c r="V2879" i="1"/>
  <c r="U2879" i="1"/>
  <c r="V2878" i="1"/>
  <c r="U2878" i="1"/>
  <c r="V2877" i="1"/>
  <c r="U2877" i="1"/>
  <c r="T2876" i="1"/>
  <c r="T2875" i="1"/>
  <c r="T2874" i="1"/>
  <c r="V2873" i="1"/>
  <c r="U2873" i="1"/>
  <c r="V2872" i="1"/>
  <c r="U2872" i="1"/>
  <c r="V2871" i="1"/>
  <c r="U2871" i="1"/>
  <c r="V2870" i="1"/>
  <c r="U2870" i="1"/>
  <c r="V2869" i="1"/>
  <c r="U2869" i="1"/>
  <c r="T2868" i="1"/>
  <c r="V2867" i="1"/>
  <c r="U2867" i="1"/>
  <c r="V2866" i="1"/>
  <c r="U2866" i="1"/>
  <c r="V2865" i="1"/>
  <c r="U2865" i="1"/>
  <c r="V2864" i="1"/>
  <c r="U2864" i="1"/>
  <c r="V2863" i="1"/>
  <c r="U2863" i="1"/>
  <c r="V2862" i="1"/>
  <c r="U2862" i="1"/>
  <c r="V2861" i="1"/>
  <c r="U2861" i="1"/>
  <c r="V2860" i="1"/>
  <c r="U2860" i="1"/>
  <c r="V2859" i="1"/>
  <c r="U2859" i="1"/>
  <c r="V2858" i="1"/>
  <c r="U2858" i="1"/>
  <c r="V2857" i="1"/>
  <c r="U2857" i="1"/>
  <c r="V2856" i="1"/>
  <c r="U2856" i="1"/>
  <c r="V2855" i="1"/>
  <c r="U2855" i="1"/>
  <c r="V2854" i="1"/>
  <c r="U2854" i="1"/>
  <c r="V2853" i="1"/>
  <c r="U2853" i="1"/>
  <c r="V2852" i="1"/>
  <c r="U2852" i="1"/>
  <c r="V2851" i="1"/>
  <c r="U2851" i="1"/>
  <c r="V2850" i="1"/>
  <c r="U2850" i="1"/>
  <c r="V2849" i="1"/>
  <c r="U2849" i="1"/>
  <c r="V2848" i="1"/>
  <c r="U2848" i="1"/>
  <c r="V2847" i="1"/>
  <c r="U2847" i="1"/>
  <c r="V2846" i="1"/>
  <c r="U2846" i="1"/>
  <c r="V2845" i="1"/>
  <c r="U2845" i="1"/>
  <c r="V2844" i="1"/>
  <c r="U2844" i="1"/>
  <c r="V2843" i="1"/>
  <c r="U2843" i="1"/>
  <c r="T2842" i="1"/>
  <c r="V2841" i="1"/>
  <c r="U2841" i="1"/>
  <c r="V2840" i="1"/>
  <c r="U2840" i="1"/>
  <c r="V2839" i="1"/>
  <c r="U2839" i="1"/>
  <c r="V2838" i="1"/>
  <c r="U2838" i="1"/>
  <c r="T2837" i="1"/>
  <c r="V2836" i="1"/>
  <c r="U2836" i="1"/>
  <c r="T2835" i="1"/>
  <c r="V2834" i="1"/>
  <c r="U2834" i="1"/>
  <c r="T2833" i="1"/>
  <c r="V2832" i="1"/>
  <c r="U2832" i="1"/>
  <c r="V2831" i="1"/>
  <c r="U2831" i="1"/>
  <c r="V2830" i="1"/>
  <c r="U2830" i="1"/>
  <c r="V2829" i="1"/>
  <c r="U2829" i="1"/>
  <c r="V2828" i="1"/>
  <c r="U2828" i="1"/>
  <c r="V2827" i="1"/>
  <c r="U2827" i="1"/>
  <c r="V2826" i="1"/>
  <c r="U2826" i="1"/>
  <c r="V2825" i="1"/>
  <c r="U2825" i="1"/>
  <c r="V2824" i="1"/>
  <c r="U2824" i="1"/>
  <c r="V2823" i="1"/>
  <c r="U2823" i="1"/>
  <c r="V2822" i="1"/>
  <c r="U2822" i="1"/>
  <c r="V2821" i="1"/>
  <c r="U2821" i="1"/>
  <c r="T2820" i="1"/>
  <c r="V2819" i="1"/>
  <c r="U2819" i="1"/>
  <c r="V2818" i="1"/>
  <c r="U2818" i="1"/>
  <c r="V2817" i="1"/>
  <c r="U2817" i="1"/>
  <c r="V2816" i="1"/>
  <c r="U2816" i="1"/>
  <c r="V2815" i="1"/>
  <c r="U2815" i="1"/>
  <c r="V2814" i="1"/>
  <c r="U2814" i="1"/>
  <c r="V2813" i="1"/>
  <c r="U2813" i="1"/>
  <c r="V2812" i="1"/>
  <c r="U2812" i="1"/>
  <c r="T2811" i="1"/>
  <c r="V2810" i="1"/>
  <c r="U2810" i="1"/>
  <c r="V2809" i="1"/>
  <c r="U2809" i="1"/>
  <c r="T2808" i="1"/>
  <c r="V2807" i="1"/>
  <c r="U2807" i="1"/>
  <c r="V2806" i="1"/>
  <c r="U2806" i="1"/>
  <c r="V2805" i="1"/>
  <c r="U2805" i="1"/>
  <c r="V2804" i="1"/>
  <c r="U2804" i="1"/>
  <c r="V2803" i="1"/>
  <c r="U2803" i="1"/>
  <c r="V2802" i="1"/>
  <c r="U2802" i="1"/>
  <c r="V2801" i="1"/>
  <c r="U2801" i="1"/>
  <c r="V2800" i="1"/>
  <c r="U2800" i="1"/>
  <c r="V2799" i="1"/>
  <c r="U2799" i="1"/>
  <c r="V2798" i="1"/>
  <c r="U2798" i="1"/>
  <c r="V2797" i="1"/>
  <c r="U2797" i="1"/>
  <c r="V2796" i="1"/>
  <c r="U2796" i="1"/>
  <c r="V2795" i="1"/>
  <c r="U2795" i="1"/>
  <c r="V2794" i="1"/>
  <c r="U2794" i="1"/>
  <c r="V2793" i="1"/>
  <c r="U2793" i="1"/>
  <c r="V2791" i="1"/>
  <c r="U2791" i="1"/>
  <c r="T2790" i="1"/>
  <c r="V2789" i="1"/>
  <c r="U2789" i="1"/>
  <c r="V2788" i="1"/>
  <c r="U2788" i="1"/>
  <c r="V2787" i="1"/>
  <c r="U2787" i="1"/>
  <c r="V2786" i="1"/>
  <c r="U2786" i="1"/>
  <c r="V2785" i="1"/>
  <c r="U2785" i="1"/>
  <c r="V2784" i="1"/>
  <c r="U2784" i="1"/>
  <c r="V2783" i="1"/>
  <c r="U2783" i="1"/>
  <c r="V2782" i="1"/>
  <c r="U2782" i="1"/>
  <c r="V2781" i="1"/>
  <c r="U2781" i="1"/>
  <c r="V2780" i="1"/>
  <c r="U2780" i="1"/>
  <c r="V2779" i="1"/>
  <c r="U2779" i="1"/>
  <c r="V2778" i="1"/>
  <c r="U2778" i="1"/>
  <c r="V2777" i="1"/>
  <c r="U2777" i="1"/>
  <c r="V2776" i="1"/>
  <c r="U2776" i="1"/>
  <c r="V2775" i="1"/>
  <c r="U2775" i="1"/>
  <c r="V2774" i="1"/>
  <c r="U2774" i="1"/>
  <c r="V2773" i="1"/>
  <c r="U2773" i="1"/>
  <c r="V2772" i="1"/>
  <c r="U2772" i="1"/>
  <c r="V2771" i="1"/>
  <c r="U2771" i="1"/>
  <c r="V2770" i="1"/>
  <c r="U2770" i="1"/>
  <c r="V2768" i="1"/>
  <c r="U2768" i="1"/>
  <c r="V2767" i="1"/>
  <c r="U2767" i="1"/>
  <c r="T2766" i="1"/>
  <c r="V2765" i="1"/>
  <c r="U2765" i="1"/>
  <c r="V2764" i="1"/>
  <c r="U2764" i="1"/>
  <c r="V2763" i="1"/>
  <c r="U2763" i="1"/>
  <c r="V2762" i="1"/>
  <c r="U2762" i="1"/>
  <c r="V2761" i="1"/>
  <c r="U2761" i="1"/>
  <c r="V2760" i="1"/>
  <c r="U2760" i="1"/>
  <c r="V2759" i="1"/>
  <c r="U2759" i="1"/>
  <c r="V2758" i="1"/>
  <c r="U2758" i="1"/>
  <c r="V2757" i="1"/>
  <c r="U2757" i="1"/>
  <c r="V2756" i="1"/>
  <c r="U2756" i="1"/>
  <c r="V2755" i="1"/>
  <c r="U2755" i="1"/>
  <c r="V2754" i="1"/>
  <c r="U2754" i="1"/>
  <c r="V2753" i="1"/>
  <c r="U2753" i="1"/>
  <c r="T2752" i="1"/>
  <c r="V2751" i="1"/>
  <c r="U2751" i="1"/>
  <c r="V2750" i="1"/>
  <c r="U2750" i="1"/>
  <c r="V2749" i="1"/>
  <c r="U2749" i="1"/>
  <c r="V2748" i="1"/>
  <c r="U2748" i="1"/>
  <c r="V2747" i="1"/>
  <c r="U2747" i="1"/>
  <c r="V2745" i="1"/>
  <c r="U2745" i="1"/>
  <c r="V2744" i="1"/>
  <c r="U2744" i="1"/>
  <c r="V2743" i="1"/>
  <c r="U2743" i="1"/>
  <c r="V2742" i="1"/>
  <c r="U2742" i="1"/>
  <c r="V2741" i="1"/>
  <c r="U2741" i="1"/>
  <c r="V2740" i="1"/>
  <c r="U2740" i="1"/>
  <c r="V2739" i="1"/>
  <c r="U2739" i="1"/>
  <c r="V2738" i="1"/>
  <c r="U2738" i="1"/>
  <c r="V2737" i="1"/>
  <c r="U2737" i="1"/>
  <c r="V2736" i="1"/>
  <c r="U2736" i="1"/>
  <c r="V2735" i="1"/>
  <c r="U2735" i="1"/>
  <c r="V2734" i="1"/>
  <c r="U2734" i="1"/>
  <c r="V2733" i="1"/>
  <c r="U2733" i="1"/>
  <c r="V2732" i="1"/>
  <c r="U2732" i="1"/>
  <c r="T2731" i="1"/>
  <c r="V2730" i="1"/>
  <c r="U2730" i="1"/>
  <c r="V2729" i="1"/>
  <c r="U2729" i="1"/>
  <c r="T2728" i="1"/>
  <c r="V2727" i="1"/>
  <c r="U2727" i="1"/>
  <c r="V2726" i="1"/>
  <c r="U2726" i="1"/>
  <c r="V2725" i="1"/>
  <c r="U2725" i="1"/>
  <c r="V2724" i="1"/>
  <c r="U2724" i="1"/>
  <c r="V2723" i="1"/>
  <c r="U2723" i="1"/>
  <c r="V2722" i="1"/>
  <c r="U2722" i="1"/>
  <c r="T2721" i="1"/>
  <c r="V2720" i="1"/>
  <c r="U2720" i="1"/>
  <c r="V2719" i="1"/>
  <c r="U2719" i="1"/>
  <c r="V2718" i="1"/>
  <c r="U2718" i="1"/>
  <c r="T2716" i="1"/>
  <c r="V2715" i="1"/>
  <c r="U2715" i="1"/>
  <c r="V2714" i="1"/>
  <c r="U2714" i="1"/>
  <c r="V2713" i="1"/>
  <c r="U2713" i="1"/>
  <c r="V2712" i="1"/>
  <c r="U2712" i="1"/>
  <c r="V2711" i="1"/>
  <c r="U2711" i="1"/>
  <c r="V2710" i="1"/>
  <c r="U2710" i="1"/>
  <c r="T2709" i="1"/>
  <c r="V2708" i="1"/>
  <c r="U2708" i="1"/>
  <c r="V2707" i="1"/>
  <c r="U2707" i="1"/>
  <c r="V2706" i="1"/>
  <c r="U2706" i="1"/>
  <c r="V2705" i="1"/>
  <c r="U2705" i="1"/>
  <c r="V2704" i="1"/>
  <c r="U2704" i="1"/>
  <c r="V2703" i="1"/>
  <c r="U2703" i="1"/>
  <c r="V2702" i="1"/>
  <c r="U2702" i="1"/>
  <c r="V2701" i="1"/>
  <c r="U2701" i="1"/>
  <c r="V2700" i="1"/>
  <c r="U2700" i="1"/>
  <c r="V2699" i="1"/>
  <c r="U2699" i="1"/>
  <c r="V2698" i="1"/>
  <c r="U2698" i="1"/>
  <c r="V2697" i="1"/>
  <c r="U2697" i="1"/>
  <c r="V2696" i="1"/>
  <c r="U2696" i="1"/>
  <c r="V2695" i="1"/>
  <c r="U2695" i="1"/>
  <c r="V2694" i="1"/>
  <c r="U2694" i="1"/>
  <c r="V2693" i="1"/>
  <c r="U2693" i="1"/>
  <c r="V2692" i="1"/>
  <c r="U2692" i="1"/>
  <c r="V2691" i="1"/>
  <c r="U2691" i="1"/>
  <c r="V2690" i="1"/>
  <c r="U2690" i="1"/>
  <c r="V2689" i="1"/>
  <c r="U2689" i="1"/>
  <c r="V2688" i="1"/>
  <c r="U2688" i="1"/>
  <c r="V2687" i="1"/>
  <c r="U2687" i="1"/>
  <c r="V2686" i="1"/>
  <c r="U2686" i="1"/>
  <c r="V2685" i="1"/>
  <c r="U2685" i="1"/>
  <c r="V2684" i="1"/>
  <c r="U2684" i="1"/>
  <c r="V2683" i="1"/>
  <c r="U2683" i="1"/>
  <c r="V2682" i="1"/>
  <c r="U2682" i="1"/>
  <c r="V2681" i="1"/>
  <c r="U2681" i="1"/>
  <c r="V2680" i="1"/>
  <c r="U2680" i="1"/>
  <c r="V2679" i="1"/>
  <c r="U2679" i="1"/>
  <c r="V2678" i="1"/>
  <c r="U2678" i="1"/>
  <c r="V2677" i="1"/>
  <c r="U2677" i="1"/>
  <c r="T2676" i="1"/>
  <c r="V2675" i="1"/>
  <c r="U2675" i="1"/>
  <c r="V2674" i="1"/>
  <c r="U2674" i="1"/>
  <c r="T2673" i="1"/>
  <c r="T2672" i="1"/>
  <c r="T2671" i="1"/>
  <c r="V2670" i="1"/>
  <c r="U2670" i="1"/>
  <c r="V2668" i="1"/>
  <c r="U2668" i="1"/>
  <c r="V2667" i="1"/>
  <c r="U2667" i="1"/>
  <c r="V2666" i="1"/>
  <c r="U2666" i="1"/>
  <c r="V2665" i="1"/>
  <c r="U2665" i="1"/>
  <c r="V2664" i="1"/>
  <c r="U2664" i="1"/>
  <c r="V2663" i="1"/>
  <c r="U2663" i="1"/>
  <c r="V2662" i="1"/>
  <c r="U2662" i="1"/>
  <c r="T2661" i="1"/>
  <c r="V2660" i="1"/>
  <c r="U2660" i="1"/>
  <c r="V2659" i="1"/>
  <c r="U2659" i="1"/>
  <c r="V2658" i="1"/>
  <c r="U2658" i="1"/>
  <c r="V2657" i="1"/>
  <c r="U2657" i="1"/>
  <c r="V2656" i="1"/>
  <c r="U2656" i="1"/>
  <c r="T2655" i="1"/>
  <c r="V2654" i="1"/>
  <c r="U2654" i="1"/>
  <c r="V2653" i="1"/>
  <c r="U2653" i="1"/>
  <c r="V2652" i="1"/>
  <c r="U2652" i="1"/>
  <c r="T2651" i="1"/>
  <c r="V2650" i="1"/>
  <c r="U2650" i="1"/>
  <c r="V2649" i="1"/>
  <c r="U2649" i="1"/>
  <c r="T2648" i="1"/>
  <c r="T2647" i="1"/>
  <c r="V2646" i="1"/>
  <c r="U2646" i="1"/>
  <c r="V2645" i="1"/>
  <c r="U2645" i="1"/>
  <c r="V2644" i="1"/>
  <c r="U2644" i="1"/>
  <c r="V2643" i="1"/>
  <c r="U2643" i="1"/>
  <c r="V2642" i="1"/>
  <c r="U2642" i="1"/>
  <c r="V2641" i="1"/>
  <c r="U2641" i="1"/>
  <c r="V2640" i="1"/>
  <c r="U2640" i="1"/>
  <c r="V2639" i="1"/>
  <c r="U2639" i="1"/>
  <c r="V2638" i="1"/>
  <c r="U2638" i="1"/>
  <c r="V2637" i="1"/>
  <c r="U2637" i="1"/>
  <c r="V2636" i="1"/>
  <c r="U2636" i="1"/>
  <c r="V2635" i="1"/>
  <c r="U2635" i="1"/>
  <c r="V2634" i="1"/>
  <c r="U2634" i="1"/>
  <c r="V2633" i="1"/>
  <c r="U2633" i="1"/>
  <c r="V2632" i="1"/>
  <c r="U2632" i="1"/>
  <c r="V2631" i="1"/>
  <c r="U2631" i="1"/>
  <c r="V2630" i="1"/>
  <c r="U2630" i="1"/>
  <c r="V2629" i="1"/>
  <c r="U2629" i="1"/>
  <c r="V2628" i="1"/>
  <c r="U2628" i="1"/>
  <c r="V2627" i="1"/>
  <c r="U2627" i="1"/>
  <c r="V2626" i="1"/>
  <c r="U2626" i="1"/>
  <c r="V2625" i="1"/>
  <c r="U2625" i="1"/>
  <c r="V2624" i="1"/>
  <c r="U2624" i="1"/>
  <c r="V2623" i="1"/>
  <c r="U2623" i="1"/>
  <c r="V2622" i="1"/>
  <c r="U2622" i="1"/>
  <c r="V2621" i="1"/>
  <c r="U2621" i="1"/>
  <c r="T2620" i="1"/>
  <c r="V2619" i="1"/>
  <c r="U2619" i="1"/>
  <c r="V2618" i="1"/>
  <c r="U2618" i="1"/>
  <c r="V2617" i="1"/>
  <c r="U2617" i="1"/>
  <c r="V2616" i="1"/>
  <c r="U2616" i="1"/>
  <c r="V2615" i="1"/>
  <c r="U2615" i="1"/>
  <c r="V2614" i="1"/>
  <c r="U2614" i="1"/>
  <c r="V2613" i="1"/>
  <c r="U2613" i="1"/>
  <c r="V2612" i="1"/>
  <c r="U2612" i="1"/>
  <c r="T2611" i="1"/>
  <c r="V2610" i="1"/>
  <c r="U2610" i="1"/>
  <c r="V2609" i="1"/>
  <c r="U2609" i="1"/>
  <c r="V2608" i="1"/>
  <c r="U2608" i="1"/>
  <c r="V2607" i="1"/>
  <c r="U2607" i="1"/>
  <c r="V2606" i="1"/>
  <c r="U2606" i="1"/>
  <c r="V2605" i="1"/>
  <c r="U2605" i="1"/>
  <c r="V2604" i="1"/>
  <c r="U2604" i="1"/>
  <c r="V2603" i="1"/>
  <c r="U2603" i="1"/>
  <c r="V2602" i="1"/>
  <c r="U2602" i="1"/>
  <c r="T2601" i="1"/>
  <c r="V2600" i="1"/>
  <c r="U2600" i="1"/>
  <c r="T2599" i="1"/>
  <c r="V2598" i="1"/>
  <c r="U2598" i="1"/>
  <c r="V2597" i="1"/>
  <c r="U2597" i="1"/>
  <c r="V2596" i="1"/>
  <c r="U2596" i="1"/>
  <c r="T2595" i="1"/>
  <c r="V2594" i="1"/>
  <c r="U2594" i="1"/>
  <c r="T2593" i="1"/>
  <c r="V2592" i="1"/>
  <c r="U2592" i="1"/>
  <c r="T2591" i="1"/>
  <c r="V2589" i="1"/>
  <c r="U2589" i="1"/>
  <c r="V2588" i="1"/>
  <c r="U2588" i="1"/>
  <c r="V2587" i="1"/>
  <c r="U2587" i="1"/>
  <c r="T2586" i="1"/>
  <c r="V2585" i="1"/>
  <c r="U2585" i="1"/>
  <c r="V2584" i="1"/>
  <c r="U2584" i="1"/>
  <c r="V2583" i="1"/>
  <c r="U2583" i="1"/>
  <c r="V2582" i="1"/>
  <c r="U2582" i="1"/>
  <c r="V2581" i="1"/>
  <c r="U2581" i="1"/>
  <c r="V2580" i="1"/>
  <c r="U2580" i="1"/>
  <c r="V2579" i="1"/>
  <c r="U2579" i="1"/>
  <c r="V2578" i="1"/>
  <c r="U2578" i="1"/>
  <c r="T2577" i="1"/>
  <c r="V2576" i="1"/>
  <c r="U2576" i="1"/>
  <c r="T2575" i="1"/>
  <c r="V2574" i="1"/>
  <c r="U2574" i="1"/>
  <c r="V2573" i="1"/>
  <c r="U2573" i="1"/>
  <c r="T2572" i="1"/>
  <c r="V2571" i="1"/>
  <c r="U2571" i="1"/>
  <c r="T2570" i="1"/>
  <c r="V2569" i="1"/>
  <c r="U2569" i="1"/>
  <c r="V2568" i="1"/>
  <c r="U2568" i="1"/>
  <c r="V2567" i="1"/>
  <c r="U2567" i="1"/>
  <c r="T2566" i="1"/>
  <c r="V2565" i="1"/>
  <c r="U2565" i="1"/>
  <c r="V2564" i="1"/>
  <c r="U2564" i="1"/>
  <c r="V2563" i="1"/>
  <c r="U2563" i="1"/>
  <c r="T2562" i="1"/>
  <c r="V2561" i="1"/>
  <c r="U2561" i="1"/>
  <c r="V2560" i="1"/>
  <c r="U2560" i="1"/>
  <c r="V2559" i="1"/>
  <c r="U2559" i="1"/>
  <c r="V2558" i="1"/>
  <c r="U2558" i="1"/>
  <c r="V2557" i="1"/>
  <c r="U2557" i="1"/>
  <c r="V2556" i="1"/>
  <c r="U2556" i="1"/>
  <c r="V2555" i="1"/>
  <c r="U2555" i="1"/>
  <c r="V2554" i="1"/>
  <c r="U2554" i="1"/>
  <c r="V2553" i="1"/>
  <c r="U2553" i="1"/>
  <c r="V2552" i="1"/>
  <c r="U2552" i="1"/>
  <c r="V2551" i="1"/>
  <c r="U2551" i="1"/>
  <c r="V2550" i="1"/>
  <c r="U2550" i="1"/>
  <c r="V2549" i="1"/>
  <c r="U2549" i="1"/>
  <c r="V2548" i="1"/>
  <c r="U2548" i="1"/>
  <c r="V2547" i="1"/>
  <c r="U2547" i="1"/>
  <c r="V2546" i="1"/>
  <c r="U2546" i="1"/>
  <c r="V2545" i="1"/>
  <c r="U2545" i="1"/>
  <c r="V2544" i="1"/>
  <c r="U2544" i="1"/>
  <c r="V2543" i="1"/>
  <c r="U2543" i="1"/>
  <c r="V2542" i="1"/>
  <c r="U2542" i="1"/>
  <c r="V2541" i="1"/>
  <c r="U2541" i="1"/>
  <c r="T2540" i="1"/>
  <c r="V2539" i="1"/>
  <c r="U2539" i="1"/>
  <c r="V2538" i="1"/>
  <c r="U2538" i="1"/>
  <c r="V2537" i="1"/>
  <c r="U2537" i="1"/>
  <c r="V2536" i="1"/>
  <c r="U2536" i="1"/>
  <c r="V2535" i="1"/>
  <c r="U2535" i="1"/>
  <c r="V2534" i="1"/>
  <c r="U2534" i="1"/>
  <c r="V2533" i="1"/>
  <c r="U2533" i="1"/>
  <c r="V2532" i="1"/>
  <c r="U2532" i="1"/>
  <c r="V2531" i="1"/>
  <c r="U2531" i="1"/>
  <c r="V2529" i="1"/>
  <c r="U2529" i="1"/>
  <c r="V2528" i="1"/>
  <c r="U2528" i="1"/>
  <c r="V2527" i="1"/>
  <c r="U2527" i="1"/>
  <c r="V2526" i="1"/>
  <c r="U2526" i="1"/>
  <c r="V2525" i="1"/>
  <c r="U2525" i="1"/>
  <c r="V2524" i="1"/>
  <c r="U2524" i="1"/>
  <c r="V2523" i="1"/>
  <c r="U2523" i="1"/>
  <c r="T2522" i="1"/>
  <c r="V2521" i="1"/>
  <c r="U2521" i="1"/>
  <c r="V2520" i="1"/>
  <c r="U2520" i="1"/>
  <c r="T2519" i="1"/>
  <c r="V2518" i="1"/>
  <c r="U2518" i="1"/>
  <c r="V2517" i="1"/>
  <c r="U2517" i="1"/>
  <c r="V2516" i="1"/>
  <c r="U2516" i="1"/>
  <c r="V2515" i="1"/>
  <c r="U2515" i="1"/>
  <c r="T2514" i="1"/>
  <c r="V2513" i="1"/>
  <c r="U2513" i="1"/>
  <c r="T2512" i="1"/>
  <c r="V2511" i="1"/>
  <c r="U2511" i="1"/>
  <c r="V2510" i="1"/>
  <c r="U2510" i="1"/>
  <c r="V2509" i="1"/>
  <c r="U2509" i="1"/>
  <c r="V2508" i="1"/>
  <c r="U2508" i="1"/>
  <c r="V2507" i="1"/>
  <c r="U2507" i="1"/>
  <c r="V2506" i="1"/>
  <c r="U2506" i="1"/>
  <c r="V2505" i="1"/>
  <c r="U2505" i="1"/>
  <c r="V2504" i="1"/>
  <c r="U2504" i="1"/>
  <c r="V2503" i="1"/>
  <c r="U2503" i="1"/>
  <c r="V2502" i="1"/>
  <c r="U2502" i="1"/>
  <c r="V2501" i="1"/>
  <c r="U2501" i="1"/>
  <c r="T2500" i="1"/>
  <c r="V2499" i="1"/>
  <c r="U2499" i="1"/>
  <c r="V2498" i="1"/>
  <c r="U2498" i="1"/>
  <c r="V2497" i="1"/>
  <c r="U2497" i="1"/>
  <c r="T2496" i="1"/>
  <c r="T2495" i="1"/>
  <c r="V2494" i="1"/>
  <c r="U2494" i="1"/>
  <c r="V2493" i="1"/>
  <c r="U2493" i="1"/>
  <c r="V2492" i="1"/>
  <c r="U2492" i="1"/>
  <c r="V2491" i="1"/>
  <c r="U2491" i="1"/>
  <c r="V2490" i="1"/>
  <c r="U2490" i="1"/>
  <c r="V2489" i="1"/>
  <c r="U2489" i="1"/>
  <c r="V2488" i="1"/>
  <c r="U2488" i="1"/>
  <c r="V2487" i="1"/>
  <c r="U2487" i="1"/>
  <c r="V2486" i="1"/>
  <c r="U2486" i="1"/>
  <c r="V2485" i="1"/>
  <c r="U2485" i="1"/>
  <c r="V2484" i="1"/>
  <c r="U2484" i="1"/>
  <c r="V2483" i="1"/>
  <c r="U2483" i="1"/>
  <c r="V2482" i="1"/>
  <c r="U2482" i="1"/>
  <c r="V2481" i="1"/>
  <c r="U2481" i="1"/>
  <c r="V2480" i="1"/>
  <c r="U2480" i="1"/>
  <c r="V2479" i="1"/>
  <c r="U2479" i="1"/>
  <c r="V2478" i="1"/>
  <c r="U2478" i="1"/>
  <c r="T2477" i="1"/>
  <c r="V2476" i="1"/>
  <c r="U2476" i="1"/>
  <c r="V2475" i="1"/>
  <c r="U2475" i="1"/>
  <c r="T2474" i="1"/>
  <c r="V2473" i="1"/>
  <c r="U2473" i="1"/>
  <c r="V2472" i="1"/>
  <c r="U2472" i="1"/>
  <c r="V2471" i="1"/>
  <c r="U2471" i="1"/>
  <c r="V2470" i="1"/>
  <c r="U2470" i="1"/>
  <c r="V2469" i="1"/>
  <c r="U2469" i="1"/>
  <c r="V2468" i="1"/>
  <c r="U2468" i="1"/>
  <c r="V2467" i="1"/>
  <c r="U2467" i="1"/>
  <c r="V2466" i="1"/>
  <c r="U2466" i="1"/>
  <c r="V2465" i="1"/>
  <c r="U2465" i="1"/>
  <c r="T2464" i="1"/>
  <c r="V2463" i="1"/>
  <c r="U2463" i="1"/>
  <c r="V2462" i="1"/>
  <c r="U2462" i="1"/>
  <c r="V2461" i="1"/>
  <c r="U2461" i="1"/>
  <c r="V2460" i="1"/>
  <c r="U2460" i="1"/>
  <c r="V2459" i="1"/>
  <c r="U2459" i="1"/>
  <c r="V2458" i="1"/>
  <c r="U2458" i="1"/>
  <c r="V2457" i="1"/>
  <c r="U2457" i="1"/>
  <c r="V2456" i="1"/>
  <c r="U2456" i="1"/>
  <c r="V2455" i="1"/>
  <c r="U2455" i="1"/>
  <c r="T2454" i="1"/>
  <c r="V2453" i="1"/>
  <c r="U2453" i="1"/>
  <c r="V2452" i="1"/>
  <c r="U2452" i="1"/>
  <c r="V2451" i="1"/>
  <c r="U2451" i="1"/>
  <c r="V2450" i="1"/>
  <c r="U2450" i="1"/>
  <c r="T2449" i="1"/>
  <c r="V2448" i="1"/>
  <c r="U2448" i="1"/>
  <c r="V2447" i="1"/>
  <c r="U2447" i="1"/>
  <c r="V2446" i="1"/>
  <c r="U2446" i="1"/>
  <c r="V2445" i="1"/>
  <c r="U2445" i="1"/>
  <c r="V2444" i="1"/>
  <c r="U2444" i="1"/>
  <c r="T2443" i="1"/>
  <c r="T2442" i="1"/>
  <c r="V2441" i="1"/>
  <c r="U2441" i="1"/>
  <c r="T2440" i="1"/>
  <c r="V2439" i="1"/>
  <c r="U2439" i="1"/>
  <c r="V2438" i="1"/>
  <c r="U2438" i="1"/>
  <c r="V2437" i="1"/>
  <c r="U2437" i="1"/>
  <c r="V2436" i="1"/>
  <c r="U2436" i="1"/>
  <c r="V2435" i="1"/>
  <c r="U2435" i="1"/>
  <c r="V2434" i="1"/>
  <c r="U2434" i="1"/>
  <c r="V2433" i="1"/>
  <c r="U2433" i="1"/>
  <c r="V2432" i="1"/>
  <c r="U2432" i="1"/>
  <c r="V2431" i="1"/>
  <c r="U2431" i="1"/>
  <c r="V2430" i="1"/>
  <c r="U2430" i="1"/>
  <c r="V2429" i="1"/>
  <c r="U2429" i="1"/>
  <c r="T2428" i="1"/>
  <c r="V2427" i="1"/>
  <c r="U2427" i="1"/>
  <c r="T2426" i="1"/>
  <c r="V2425" i="1"/>
  <c r="U2425" i="1"/>
  <c r="T2424" i="1"/>
  <c r="V2423" i="1"/>
  <c r="U2423" i="1"/>
  <c r="V2422" i="1"/>
  <c r="U2422" i="1"/>
  <c r="V2421" i="1"/>
  <c r="U2421" i="1"/>
  <c r="V2420" i="1"/>
  <c r="U2420" i="1"/>
  <c r="V2419" i="1"/>
  <c r="U2419" i="1"/>
  <c r="V2418" i="1"/>
  <c r="U2418" i="1"/>
  <c r="V2417" i="1"/>
  <c r="U2417" i="1"/>
  <c r="V2416" i="1"/>
  <c r="U2416" i="1"/>
  <c r="V2415" i="1"/>
  <c r="U2415" i="1"/>
  <c r="V2414" i="1"/>
  <c r="U2414" i="1"/>
  <c r="T2413" i="1"/>
  <c r="V2412" i="1"/>
  <c r="U2412" i="1"/>
  <c r="T2411" i="1"/>
  <c r="V2410" i="1"/>
  <c r="U2410" i="1"/>
  <c r="V2409" i="1"/>
  <c r="U2409" i="1"/>
  <c r="T2408" i="1"/>
  <c r="V2406" i="1"/>
  <c r="U2406" i="1"/>
  <c r="V2405" i="1"/>
  <c r="U2405" i="1"/>
  <c r="V2404" i="1"/>
  <c r="U2404" i="1"/>
  <c r="T2403" i="1"/>
  <c r="V2402" i="1"/>
  <c r="U2402" i="1"/>
  <c r="V2401" i="1"/>
  <c r="U2401" i="1"/>
  <c r="T2400" i="1"/>
  <c r="V2399" i="1"/>
  <c r="U2399" i="1"/>
  <c r="V2398" i="1"/>
  <c r="U2398" i="1"/>
  <c r="T2397" i="1"/>
  <c r="T2396" i="1"/>
  <c r="V2395" i="1"/>
  <c r="U2395" i="1"/>
  <c r="V2394" i="1"/>
  <c r="U2394" i="1"/>
  <c r="V2393" i="1"/>
  <c r="U2393" i="1"/>
  <c r="T2392" i="1"/>
  <c r="V2391" i="1"/>
  <c r="U2391" i="1"/>
  <c r="V2390" i="1"/>
  <c r="U2390" i="1"/>
  <c r="V2389" i="1"/>
  <c r="U2389" i="1"/>
  <c r="V2388" i="1"/>
  <c r="U2388" i="1"/>
  <c r="V2387" i="1"/>
  <c r="U2387" i="1"/>
  <c r="V2386" i="1"/>
  <c r="U2386" i="1"/>
  <c r="V2385" i="1"/>
  <c r="U2385" i="1"/>
  <c r="V2384" i="1"/>
  <c r="U2384" i="1"/>
  <c r="V2383" i="1"/>
  <c r="U2383" i="1"/>
  <c r="V2382" i="1"/>
  <c r="U2382" i="1"/>
  <c r="V2381" i="1"/>
  <c r="U2381" i="1"/>
  <c r="V2380" i="1"/>
  <c r="U2380" i="1"/>
  <c r="V2379" i="1"/>
  <c r="U2379" i="1"/>
  <c r="V2378" i="1"/>
  <c r="U2378" i="1"/>
  <c r="T2377" i="1"/>
  <c r="V2376" i="1"/>
  <c r="U2376" i="1"/>
  <c r="V2375" i="1"/>
  <c r="U2375" i="1"/>
  <c r="V2374" i="1"/>
  <c r="U2374" i="1"/>
  <c r="V2373" i="1"/>
  <c r="U2373" i="1"/>
  <c r="V2372" i="1"/>
  <c r="U2372" i="1"/>
  <c r="V2371" i="1"/>
  <c r="U2371" i="1"/>
  <c r="T2370" i="1"/>
  <c r="V2369" i="1"/>
  <c r="U2369" i="1"/>
  <c r="V2368" i="1"/>
  <c r="U2368" i="1"/>
  <c r="V2367" i="1"/>
  <c r="U2367" i="1"/>
  <c r="V2366" i="1"/>
  <c r="U2366" i="1"/>
  <c r="V2365" i="1"/>
  <c r="U2365" i="1"/>
  <c r="T2364" i="1"/>
  <c r="V2363" i="1"/>
  <c r="U2363" i="1"/>
  <c r="V2362" i="1"/>
  <c r="U2362" i="1"/>
  <c r="T2361" i="1"/>
  <c r="V2360" i="1"/>
  <c r="U2360" i="1"/>
  <c r="V2359" i="1"/>
  <c r="U2359" i="1"/>
  <c r="V2358" i="1"/>
  <c r="U2358" i="1"/>
  <c r="V2357" i="1"/>
  <c r="U2357" i="1"/>
  <c r="T2356" i="1"/>
  <c r="V2355" i="1"/>
  <c r="U2355" i="1"/>
  <c r="V2354" i="1"/>
  <c r="U2354" i="1"/>
  <c r="V2353" i="1"/>
  <c r="U2353" i="1"/>
  <c r="V2352" i="1"/>
  <c r="U2352" i="1"/>
  <c r="V2351" i="1"/>
  <c r="U2351" i="1"/>
  <c r="V2350" i="1"/>
  <c r="U2350" i="1"/>
  <c r="V2349" i="1"/>
  <c r="U2349" i="1"/>
  <c r="V2348" i="1"/>
  <c r="U2348" i="1"/>
  <c r="V2347" i="1"/>
  <c r="U2347" i="1"/>
  <c r="T2346" i="1"/>
  <c r="V2345" i="1"/>
  <c r="U2345" i="1"/>
  <c r="V2344" i="1"/>
  <c r="U2344" i="1"/>
  <c r="V2343" i="1"/>
  <c r="U2343" i="1"/>
  <c r="V2342" i="1"/>
  <c r="U2342" i="1"/>
  <c r="V2341" i="1"/>
  <c r="U2341" i="1"/>
  <c r="V2340" i="1"/>
  <c r="U2340" i="1"/>
  <c r="V2339" i="1"/>
  <c r="U2339" i="1"/>
  <c r="V2338" i="1"/>
  <c r="U2338" i="1"/>
  <c r="V2337" i="1"/>
  <c r="U2337" i="1"/>
  <c r="V2336" i="1"/>
  <c r="U2336" i="1"/>
  <c r="V2335" i="1"/>
  <c r="U2335" i="1"/>
  <c r="V2334" i="1"/>
  <c r="U2334" i="1"/>
  <c r="T2333" i="1"/>
  <c r="V2332" i="1"/>
  <c r="U2332" i="1"/>
  <c r="V2331" i="1"/>
  <c r="U2331" i="1"/>
  <c r="V2330" i="1"/>
  <c r="U2330" i="1"/>
  <c r="V2329" i="1"/>
  <c r="U2329" i="1"/>
  <c r="V2328" i="1"/>
  <c r="U2328" i="1"/>
  <c r="T2327" i="1"/>
  <c r="V2326" i="1"/>
  <c r="U2326" i="1"/>
  <c r="V2325" i="1"/>
  <c r="U2325" i="1"/>
  <c r="V2324" i="1"/>
  <c r="U2324" i="1"/>
  <c r="V2323" i="1"/>
  <c r="U2323" i="1"/>
  <c r="V2322" i="1"/>
  <c r="U2322" i="1"/>
  <c r="V2321" i="1"/>
  <c r="U2321" i="1"/>
  <c r="V2320" i="1"/>
  <c r="U2320" i="1"/>
  <c r="V2319" i="1"/>
  <c r="U2319" i="1"/>
  <c r="V2318" i="1"/>
  <c r="U2318" i="1"/>
  <c r="V2317" i="1"/>
  <c r="U2317" i="1"/>
  <c r="V2316" i="1"/>
  <c r="U2316" i="1"/>
  <c r="V2315" i="1"/>
  <c r="U2315" i="1"/>
  <c r="V2314" i="1"/>
  <c r="U2314" i="1"/>
  <c r="V2313" i="1"/>
  <c r="U2313" i="1"/>
  <c r="V2312" i="1"/>
  <c r="U2312" i="1"/>
  <c r="V2311" i="1"/>
  <c r="U2311" i="1"/>
  <c r="V2310" i="1"/>
  <c r="U2310" i="1"/>
  <c r="V2309" i="1"/>
  <c r="U2309" i="1"/>
  <c r="V2308" i="1"/>
  <c r="U2308" i="1"/>
  <c r="V2307" i="1"/>
  <c r="U2307" i="1"/>
  <c r="V2306" i="1"/>
  <c r="U2306" i="1"/>
  <c r="V2305" i="1"/>
  <c r="U2305" i="1"/>
  <c r="V2304" i="1"/>
  <c r="U2304" i="1"/>
  <c r="V2303" i="1"/>
  <c r="U2303" i="1"/>
  <c r="V2302" i="1"/>
  <c r="U2302" i="1"/>
  <c r="V2301" i="1"/>
  <c r="U2301" i="1"/>
  <c r="V2300" i="1"/>
  <c r="U2300" i="1"/>
  <c r="V2299" i="1"/>
  <c r="U2299" i="1"/>
  <c r="V2298" i="1"/>
  <c r="U2298" i="1"/>
  <c r="V2297" i="1"/>
  <c r="U2297" i="1"/>
  <c r="V2296" i="1"/>
  <c r="U2296" i="1"/>
  <c r="V2295" i="1"/>
  <c r="U2295" i="1"/>
  <c r="V2294" i="1"/>
  <c r="U2294" i="1"/>
  <c r="V2293" i="1"/>
  <c r="U2293" i="1"/>
  <c r="V2292" i="1"/>
  <c r="U2292" i="1"/>
  <c r="V2291" i="1"/>
  <c r="U2291" i="1"/>
  <c r="V2290" i="1"/>
  <c r="U2290" i="1"/>
  <c r="V2289" i="1"/>
  <c r="U2289" i="1"/>
  <c r="V2288" i="1"/>
  <c r="U2288" i="1"/>
  <c r="T2287" i="1"/>
  <c r="T2284" i="1"/>
  <c r="V2282" i="1"/>
  <c r="U2282" i="1"/>
  <c r="V2281" i="1"/>
  <c r="U2281" i="1"/>
  <c r="T2280" i="1"/>
  <c r="T2279" i="1"/>
  <c r="T2278" i="1"/>
  <c r="V2277" i="1"/>
  <c r="U2277" i="1"/>
  <c r="V2276" i="1"/>
  <c r="U2276" i="1"/>
  <c r="V2275" i="1"/>
  <c r="U2275" i="1"/>
  <c r="V2274" i="1"/>
  <c r="U2274" i="1"/>
  <c r="V2273" i="1"/>
  <c r="U2273" i="1"/>
  <c r="V2272" i="1"/>
  <c r="U2272" i="1"/>
  <c r="T2271" i="1"/>
  <c r="V2270" i="1"/>
  <c r="U2270" i="1"/>
  <c r="V2269" i="1"/>
  <c r="U2269" i="1"/>
  <c r="V2268" i="1"/>
  <c r="U2268" i="1"/>
  <c r="V2267" i="1"/>
  <c r="U2267" i="1"/>
  <c r="V2266" i="1"/>
  <c r="U2266" i="1"/>
  <c r="V2265" i="1"/>
  <c r="U2265" i="1"/>
  <c r="V2264" i="1"/>
  <c r="U2264" i="1"/>
  <c r="V2263" i="1"/>
  <c r="U2263" i="1"/>
  <c r="V2262" i="1"/>
  <c r="U2262" i="1"/>
  <c r="V2261" i="1"/>
  <c r="U2261" i="1"/>
  <c r="V2260" i="1"/>
  <c r="U2260" i="1"/>
  <c r="V2259" i="1"/>
  <c r="U2259" i="1"/>
  <c r="V2258" i="1"/>
  <c r="U2258" i="1"/>
  <c r="V2257" i="1"/>
  <c r="U2257" i="1"/>
  <c r="V2256" i="1"/>
  <c r="U2256" i="1"/>
  <c r="V2255" i="1"/>
  <c r="U2255" i="1"/>
  <c r="V2254" i="1"/>
  <c r="U2254" i="1"/>
  <c r="V2253" i="1"/>
  <c r="U2253" i="1"/>
  <c r="V2252" i="1"/>
  <c r="U2252" i="1"/>
  <c r="T2251" i="1"/>
  <c r="T2250" i="1"/>
  <c r="T2249" i="1"/>
  <c r="V2248" i="1"/>
  <c r="U2248" i="1"/>
  <c r="V2247" i="1"/>
  <c r="U2247" i="1"/>
  <c r="V2246" i="1"/>
  <c r="U2246" i="1"/>
  <c r="T2245" i="1"/>
  <c r="T2244" i="1"/>
  <c r="V2243" i="1"/>
  <c r="U2243" i="1"/>
  <c r="V2242" i="1"/>
  <c r="U2242" i="1"/>
  <c r="V2241" i="1"/>
  <c r="U2241" i="1"/>
  <c r="V2240" i="1"/>
  <c r="U2240" i="1"/>
  <c r="V2239" i="1"/>
  <c r="U2239" i="1"/>
  <c r="V2238" i="1"/>
  <c r="U2238" i="1"/>
  <c r="V2237" i="1"/>
  <c r="U2237" i="1"/>
  <c r="V2236" i="1"/>
  <c r="U2236" i="1"/>
  <c r="V2235" i="1"/>
  <c r="U2235" i="1"/>
  <c r="V2234" i="1"/>
  <c r="U2234" i="1"/>
  <c r="V2233" i="1"/>
  <c r="U2233" i="1"/>
  <c r="V2232" i="1"/>
  <c r="U2232" i="1"/>
  <c r="V2231" i="1"/>
  <c r="U2231" i="1"/>
  <c r="V2230" i="1"/>
  <c r="U2230" i="1"/>
  <c r="V2229" i="1"/>
  <c r="U2229" i="1"/>
  <c r="V2228" i="1"/>
  <c r="U2228" i="1"/>
  <c r="V2227" i="1"/>
  <c r="U2227" i="1"/>
  <c r="V2226" i="1"/>
  <c r="U2226" i="1"/>
  <c r="V2225" i="1"/>
  <c r="U2225" i="1"/>
  <c r="V2224" i="1"/>
  <c r="U2224" i="1"/>
  <c r="V2223" i="1"/>
  <c r="U2223" i="1"/>
  <c r="T2222" i="1"/>
  <c r="V2221" i="1"/>
  <c r="U2221" i="1"/>
  <c r="V2220" i="1"/>
  <c r="U2220" i="1"/>
  <c r="V2219" i="1"/>
  <c r="U2219" i="1"/>
  <c r="V2218" i="1"/>
  <c r="U2218" i="1"/>
  <c r="V2217" i="1"/>
  <c r="U2217" i="1"/>
  <c r="T2216" i="1"/>
  <c r="V2215" i="1"/>
  <c r="U2215" i="1"/>
  <c r="V2214" i="1"/>
  <c r="U2214" i="1"/>
  <c r="T2213" i="1"/>
  <c r="V2212" i="1"/>
  <c r="U2212" i="1"/>
  <c r="T2211" i="1"/>
  <c r="V2210" i="1"/>
  <c r="U2210" i="1"/>
  <c r="V2209" i="1"/>
  <c r="U2209" i="1"/>
  <c r="V2208" i="1"/>
  <c r="U2208" i="1"/>
  <c r="V2207" i="1"/>
  <c r="U2207" i="1"/>
  <c r="V2206" i="1"/>
  <c r="U2206" i="1"/>
  <c r="V2205" i="1"/>
  <c r="U2205" i="1"/>
  <c r="T2204" i="1"/>
  <c r="T2203" i="1"/>
  <c r="V2202" i="1"/>
  <c r="U2202" i="1"/>
  <c r="V2201" i="1"/>
  <c r="U2201" i="1"/>
  <c r="V2200" i="1"/>
  <c r="U2200" i="1"/>
  <c r="V2199" i="1"/>
  <c r="U2199" i="1"/>
  <c r="V2198" i="1"/>
  <c r="U2198" i="1"/>
  <c r="V2197" i="1"/>
  <c r="U2197" i="1"/>
  <c r="V2196" i="1"/>
  <c r="U2196" i="1"/>
  <c r="V2195" i="1"/>
  <c r="U2195" i="1"/>
  <c r="V2194" i="1"/>
  <c r="U2194" i="1"/>
  <c r="V2193" i="1"/>
  <c r="U2193" i="1"/>
  <c r="V2192" i="1"/>
  <c r="U2192" i="1"/>
  <c r="T2191" i="1"/>
  <c r="V2190" i="1"/>
  <c r="U2190" i="1"/>
  <c r="V2189" i="1"/>
  <c r="U2189" i="1"/>
  <c r="V2188" i="1"/>
  <c r="U2188" i="1"/>
  <c r="T2187" i="1"/>
  <c r="V2186" i="1"/>
  <c r="U2186" i="1"/>
  <c r="V2185" i="1"/>
  <c r="U2185" i="1"/>
  <c r="V2184" i="1"/>
  <c r="U2184" i="1"/>
  <c r="V2183" i="1"/>
  <c r="U2183" i="1"/>
  <c r="V2182" i="1"/>
  <c r="U2182" i="1"/>
  <c r="V2181" i="1"/>
  <c r="U2181" i="1"/>
  <c r="V2180" i="1"/>
  <c r="U2180" i="1"/>
  <c r="V2179" i="1"/>
  <c r="U2179" i="1"/>
  <c r="V2178" i="1"/>
  <c r="U2178" i="1"/>
  <c r="T2177" i="1"/>
  <c r="V2176" i="1"/>
  <c r="U2176" i="1"/>
  <c r="V2175" i="1"/>
  <c r="U2175" i="1"/>
  <c r="V2174" i="1"/>
  <c r="U2174" i="1"/>
  <c r="V2173" i="1"/>
  <c r="U2173" i="1"/>
  <c r="V2172" i="1"/>
  <c r="U2172" i="1"/>
  <c r="V2171" i="1"/>
  <c r="U2171" i="1"/>
  <c r="T2170" i="1"/>
  <c r="V2169" i="1"/>
  <c r="U2169" i="1"/>
  <c r="V2168" i="1"/>
  <c r="U2168" i="1"/>
  <c r="V2167" i="1"/>
  <c r="U2167" i="1"/>
  <c r="T2166" i="1"/>
  <c r="V2165" i="1"/>
  <c r="U2165" i="1"/>
  <c r="V2164" i="1"/>
  <c r="U2164" i="1"/>
  <c r="V2163" i="1"/>
  <c r="U2163" i="1"/>
  <c r="V2162" i="1"/>
  <c r="U2162" i="1"/>
  <c r="V2161" i="1"/>
  <c r="U2161" i="1"/>
  <c r="V2160" i="1"/>
  <c r="U2160" i="1"/>
  <c r="V2159" i="1"/>
  <c r="U2159" i="1"/>
  <c r="V2158" i="1"/>
  <c r="U2158" i="1"/>
  <c r="V2157" i="1"/>
  <c r="U2157" i="1"/>
  <c r="V2156" i="1"/>
  <c r="U2156" i="1"/>
  <c r="V2155" i="1"/>
  <c r="U2155" i="1"/>
  <c r="V2154" i="1"/>
  <c r="U2154" i="1"/>
  <c r="V2153" i="1"/>
  <c r="U2153" i="1"/>
  <c r="V2152" i="1"/>
  <c r="U2152" i="1"/>
  <c r="V2151" i="1"/>
  <c r="U2151" i="1"/>
  <c r="V2150" i="1"/>
  <c r="U2150" i="1"/>
  <c r="T2149" i="1"/>
  <c r="V2148" i="1"/>
  <c r="U2148" i="1"/>
  <c r="V2147" i="1"/>
  <c r="U2147" i="1"/>
  <c r="V2146" i="1"/>
  <c r="U2146" i="1"/>
  <c r="V2145" i="1"/>
  <c r="U2145" i="1"/>
  <c r="T2144" i="1"/>
  <c r="V2143" i="1"/>
  <c r="U2143" i="1"/>
  <c r="V2142" i="1"/>
  <c r="U2142" i="1"/>
  <c r="T2141" i="1"/>
  <c r="V2140" i="1"/>
  <c r="U2140" i="1"/>
  <c r="V2139" i="1"/>
  <c r="U2139" i="1"/>
  <c r="V2138" i="1"/>
  <c r="U2138" i="1"/>
  <c r="V2137" i="1"/>
  <c r="U2137" i="1"/>
  <c r="V2136" i="1"/>
  <c r="U2136" i="1"/>
  <c r="V2135" i="1"/>
  <c r="U2135" i="1"/>
  <c r="V2134" i="1"/>
  <c r="U2134" i="1"/>
  <c r="V2133" i="1"/>
  <c r="U2133" i="1"/>
  <c r="V2132" i="1"/>
  <c r="U2132" i="1"/>
  <c r="V2131" i="1"/>
  <c r="U2131" i="1"/>
  <c r="V2130" i="1"/>
  <c r="U2130" i="1"/>
  <c r="V2129" i="1"/>
  <c r="U2129" i="1"/>
  <c r="V2128" i="1"/>
  <c r="U2128" i="1"/>
  <c r="V2127" i="1"/>
  <c r="U2127" i="1"/>
  <c r="V2126" i="1"/>
  <c r="U2126" i="1"/>
  <c r="T2125" i="1"/>
  <c r="V2124" i="1"/>
  <c r="U2124" i="1"/>
  <c r="V2123" i="1"/>
  <c r="U2123" i="1"/>
  <c r="V2122" i="1"/>
  <c r="U2122" i="1"/>
  <c r="V2121" i="1"/>
  <c r="U2121" i="1"/>
  <c r="V2120" i="1"/>
  <c r="U2120" i="1"/>
  <c r="V2119" i="1"/>
  <c r="U2119" i="1"/>
  <c r="V2118" i="1"/>
  <c r="U2118" i="1"/>
  <c r="V2117" i="1"/>
  <c r="U2117" i="1"/>
  <c r="V2116" i="1"/>
  <c r="U2116" i="1"/>
  <c r="V2115" i="1"/>
  <c r="U2115" i="1"/>
  <c r="V2114" i="1"/>
  <c r="U2114" i="1"/>
  <c r="V2113" i="1"/>
  <c r="U2113" i="1"/>
  <c r="T2112" i="1"/>
  <c r="V2111" i="1"/>
  <c r="U2111" i="1"/>
  <c r="V2110" i="1"/>
  <c r="U2110" i="1"/>
  <c r="V2109" i="1"/>
  <c r="U2109" i="1"/>
  <c r="V2108" i="1"/>
  <c r="U2108" i="1"/>
  <c r="V2107" i="1"/>
  <c r="U2107" i="1"/>
  <c r="V2106" i="1"/>
  <c r="U2106" i="1"/>
  <c r="V2105" i="1"/>
  <c r="U2105" i="1"/>
  <c r="V2104" i="1"/>
  <c r="U2104" i="1"/>
  <c r="V2103" i="1"/>
  <c r="U2103" i="1"/>
  <c r="T2102" i="1"/>
  <c r="V2101" i="1"/>
  <c r="U2101" i="1"/>
  <c r="T2100" i="1"/>
  <c r="V2099" i="1"/>
  <c r="U2099" i="1"/>
  <c r="T2098" i="1"/>
  <c r="V2097" i="1"/>
  <c r="U2097" i="1"/>
  <c r="V2096" i="1"/>
  <c r="U2096" i="1"/>
  <c r="V2095" i="1"/>
  <c r="U2095" i="1"/>
  <c r="V2094" i="1"/>
  <c r="U2094" i="1"/>
  <c r="V2093" i="1"/>
  <c r="U2093" i="1"/>
  <c r="V2092" i="1"/>
  <c r="U2092" i="1"/>
  <c r="V2091" i="1"/>
  <c r="U2091" i="1"/>
  <c r="V2090" i="1"/>
  <c r="U2090" i="1"/>
  <c r="V2089" i="1"/>
  <c r="U2089" i="1"/>
  <c r="V2088" i="1"/>
  <c r="U2088" i="1"/>
  <c r="V2087" i="1"/>
  <c r="U2087" i="1"/>
  <c r="V2086" i="1"/>
  <c r="U2086" i="1"/>
  <c r="V2085" i="1"/>
  <c r="U2085" i="1"/>
  <c r="V2084" i="1"/>
  <c r="U2084" i="1"/>
  <c r="V2083" i="1"/>
  <c r="U2083" i="1"/>
  <c r="T2082" i="1"/>
  <c r="T2081" i="1"/>
  <c r="T2080" i="1"/>
  <c r="V2079" i="1"/>
  <c r="U2079" i="1"/>
  <c r="V2078" i="1"/>
  <c r="U2078" i="1"/>
  <c r="V2077" i="1"/>
  <c r="U2077" i="1"/>
  <c r="V2076" i="1"/>
  <c r="U2076" i="1"/>
  <c r="V2075" i="1"/>
  <c r="U2075" i="1"/>
  <c r="V2074" i="1"/>
  <c r="V2073" i="1"/>
  <c r="U2073" i="1"/>
  <c r="V2072" i="1"/>
  <c r="U2072" i="1"/>
  <c r="V2071" i="1"/>
  <c r="U2071" i="1"/>
  <c r="V2070" i="1"/>
  <c r="U2070" i="1"/>
  <c r="V2069" i="1"/>
  <c r="U2069" i="1"/>
  <c r="V2068" i="1"/>
  <c r="U2068" i="1"/>
  <c r="T2067" i="1"/>
  <c r="T2066" i="1"/>
  <c r="T2065" i="1"/>
  <c r="V2064" i="1"/>
  <c r="U2064" i="1"/>
  <c r="V2063" i="1"/>
  <c r="U2063" i="1"/>
  <c r="T2062" i="1"/>
  <c r="V2061" i="1"/>
  <c r="U2061" i="1"/>
  <c r="V2060" i="1"/>
  <c r="U2060" i="1"/>
  <c r="V2059" i="1"/>
  <c r="U2059" i="1"/>
  <c r="V2058" i="1"/>
  <c r="U2058" i="1"/>
  <c r="V2057" i="1"/>
  <c r="U2057" i="1"/>
  <c r="V2056" i="1"/>
  <c r="U2056" i="1"/>
  <c r="T2055" i="1"/>
  <c r="V2054" i="1"/>
  <c r="U2054" i="1"/>
  <c r="V2053" i="1"/>
  <c r="U2053" i="1"/>
  <c r="V2052" i="1"/>
  <c r="U2052" i="1"/>
  <c r="V2051" i="1"/>
  <c r="U2051" i="1"/>
  <c r="T2050" i="1"/>
  <c r="V2049" i="1"/>
  <c r="U2049" i="1"/>
  <c r="V2048" i="1"/>
  <c r="U2048" i="1"/>
  <c r="T2047" i="1"/>
  <c r="T2046" i="1"/>
  <c r="T2045" i="1"/>
  <c r="V2044" i="1"/>
  <c r="U2044" i="1"/>
  <c r="V2043" i="1"/>
  <c r="U2043" i="1"/>
  <c r="V2042" i="1"/>
  <c r="U2042" i="1"/>
  <c r="V2041" i="1"/>
  <c r="U2041" i="1"/>
  <c r="V2040" i="1"/>
  <c r="U2040" i="1"/>
  <c r="V2039" i="1"/>
  <c r="U2039" i="1"/>
  <c r="V2038" i="1"/>
  <c r="U2038" i="1"/>
  <c r="V2037" i="1"/>
  <c r="U2037" i="1"/>
  <c r="V2036" i="1"/>
  <c r="U2036" i="1"/>
  <c r="V2035" i="1"/>
  <c r="U2035" i="1"/>
  <c r="V2034" i="1"/>
  <c r="U2034" i="1"/>
  <c r="V2033" i="1"/>
  <c r="U2033" i="1"/>
  <c r="V2032" i="1"/>
  <c r="U2032" i="1"/>
  <c r="V2031" i="1"/>
  <c r="U2031" i="1"/>
  <c r="V2030" i="1"/>
  <c r="U2030" i="1"/>
  <c r="V2029" i="1"/>
  <c r="U2029" i="1"/>
  <c r="V2028" i="1"/>
  <c r="U2028" i="1"/>
  <c r="V2027" i="1"/>
  <c r="U2027" i="1"/>
  <c r="V2026" i="1"/>
  <c r="U2026" i="1"/>
  <c r="V2025" i="1"/>
  <c r="U2025" i="1"/>
  <c r="V2024" i="1"/>
  <c r="U2024" i="1"/>
  <c r="V2023" i="1"/>
  <c r="U2023" i="1"/>
  <c r="V2022" i="1"/>
  <c r="U2022" i="1"/>
  <c r="T2021" i="1"/>
  <c r="V2020" i="1"/>
  <c r="U2020" i="1"/>
  <c r="V2019" i="1"/>
  <c r="U2019" i="1"/>
  <c r="V2018" i="1"/>
  <c r="U2018" i="1"/>
  <c r="V2017" i="1"/>
  <c r="U2017" i="1"/>
  <c r="V2016" i="1"/>
  <c r="U2016" i="1"/>
  <c r="V2015" i="1"/>
  <c r="U2015" i="1"/>
  <c r="T2014" i="1"/>
  <c r="V2013" i="1"/>
  <c r="U2013" i="1"/>
  <c r="V2012" i="1"/>
  <c r="U2012" i="1"/>
  <c r="V2011" i="1"/>
  <c r="U2011" i="1"/>
  <c r="V2010" i="1"/>
  <c r="U2010" i="1"/>
  <c r="V2009" i="1"/>
  <c r="U2009" i="1"/>
  <c r="T2008" i="1"/>
  <c r="V2007" i="1"/>
  <c r="U2007" i="1"/>
  <c r="T2006" i="1"/>
  <c r="V2005" i="1"/>
  <c r="U2005" i="1"/>
  <c r="V2004" i="1"/>
  <c r="U2004" i="1"/>
  <c r="V2003" i="1"/>
  <c r="U2003" i="1"/>
  <c r="V2002" i="1"/>
  <c r="U2002" i="1"/>
  <c r="V2001" i="1"/>
  <c r="U2001" i="1"/>
  <c r="V2000" i="1"/>
  <c r="U2000" i="1"/>
  <c r="V1999" i="1"/>
  <c r="U1999" i="1"/>
  <c r="V1998" i="1"/>
  <c r="U1998" i="1"/>
  <c r="V1997" i="1"/>
  <c r="U1997" i="1"/>
  <c r="V1996" i="1"/>
  <c r="U1996" i="1"/>
  <c r="V1995" i="1"/>
  <c r="U1995" i="1"/>
  <c r="V1994" i="1"/>
  <c r="U1994" i="1"/>
  <c r="V1993" i="1"/>
  <c r="U1993" i="1"/>
  <c r="V1992" i="1"/>
  <c r="U1992" i="1"/>
  <c r="V1991" i="1"/>
  <c r="U1991" i="1"/>
  <c r="V1990" i="1"/>
  <c r="U1990" i="1"/>
  <c r="V1989" i="1"/>
  <c r="U1989" i="1"/>
  <c r="V1988" i="1"/>
  <c r="U1988" i="1"/>
  <c r="V1987" i="1"/>
  <c r="U1987" i="1"/>
  <c r="V1986" i="1"/>
  <c r="U1986" i="1"/>
  <c r="V1985" i="1"/>
  <c r="U1985" i="1"/>
  <c r="V1984" i="1"/>
  <c r="U1984" i="1"/>
  <c r="T1983" i="1"/>
  <c r="V1982" i="1"/>
  <c r="U1982" i="1"/>
  <c r="V1981" i="1"/>
  <c r="U1981" i="1"/>
  <c r="V1980" i="1"/>
  <c r="U1980" i="1"/>
  <c r="V1979" i="1"/>
  <c r="U1979" i="1"/>
  <c r="V1978" i="1"/>
  <c r="U1978" i="1"/>
  <c r="V1977" i="1"/>
  <c r="U1977" i="1"/>
  <c r="V1976" i="1"/>
  <c r="U1976" i="1"/>
  <c r="V1975" i="1"/>
  <c r="U1975" i="1"/>
  <c r="V1974" i="1"/>
  <c r="U1974" i="1"/>
  <c r="V1973" i="1"/>
  <c r="U1973" i="1"/>
  <c r="T1972" i="1"/>
  <c r="V1971" i="1"/>
  <c r="U1971" i="1"/>
  <c r="V1970" i="1"/>
  <c r="U1970" i="1"/>
  <c r="V1969" i="1"/>
  <c r="U1969" i="1"/>
  <c r="V1968" i="1"/>
  <c r="U1968" i="1"/>
  <c r="T1967" i="1"/>
  <c r="V1966" i="1"/>
  <c r="U1966" i="1"/>
  <c r="V1965" i="1"/>
  <c r="U1965" i="1"/>
  <c r="V1964" i="1"/>
  <c r="U1964" i="1"/>
  <c r="V1963" i="1"/>
  <c r="U1963" i="1"/>
  <c r="V1962" i="1"/>
  <c r="U1962" i="1"/>
  <c r="V1961" i="1"/>
  <c r="U1961" i="1"/>
  <c r="V1960" i="1"/>
  <c r="U1960" i="1"/>
  <c r="V1959" i="1"/>
  <c r="U1959" i="1"/>
  <c r="V1958" i="1"/>
  <c r="U1958" i="1"/>
  <c r="V1957" i="1"/>
  <c r="U1957" i="1"/>
  <c r="V1956" i="1"/>
  <c r="U1956" i="1"/>
  <c r="V1955" i="1"/>
  <c r="U1955" i="1"/>
  <c r="V1954" i="1"/>
  <c r="U1954" i="1"/>
  <c r="V1953" i="1"/>
  <c r="U1953" i="1"/>
  <c r="V1952" i="1"/>
  <c r="U1952" i="1"/>
  <c r="V1951" i="1"/>
  <c r="U1951" i="1"/>
  <c r="T1950" i="1"/>
  <c r="V1949" i="1"/>
  <c r="U1949" i="1"/>
  <c r="V1948" i="1"/>
  <c r="U1948" i="1"/>
  <c r="V1947" i="1"/>
  <c r="U1947" i="1"/>
  <c r="V1946" i="1"/>
  <c r="U1946" i="1"/>
  <c r="V1945" i="1"/>
  <c r="U1945" i="1"/>
  <c r="V1944" i="1"/>
  <c r="U1944" i="1"/>
  <c r="T1943" i="1"/>
  <c r="V1942" i="1"/>
  <c r="U1942" i="1"/>
  <c r="T1941" i="1"/>
  <c r="V1940" i="1"/>
  <c r="U1940" i="1"/>
  <c r="V1939" i="1"/>
  <c r="U1939" i="1"/>
  <c r="V1938" i="1"/>
  <c r="U1938" i="1"/>
  <c r="V1937" i="1"/>
  <c r="U1937" i="1"/>
  <c r="V1936" i="1"/>
  <c r="U1936" i="1"/>
  <c r="V1935" i="1"/>
  <c r="U1935" i="1"/>
  <c r="V1934" i="1"/>
  <c r="U1934" i="1"/>
  <c r="V1933" i="1"/>
  <c r="U1933" i="1"/>
  <c r="V1932" i="1"/>
  <c r="U1932" i="1"/>
  <c r="V1931" i="1"/>
  <c r="U1931" i="1"/>
  <c r="V1930" i="1"/>
  <c r="U1930" i="1"/>
  <c r="V1929" i="1"/>
  <c r="U1929" i="1"/>
  <c r="V1928" i="1"/>
  <c r="U1928" i="1"/>
  <c r="T1927" i="1"/>
  <c r="V1926" i="1"/>
  <c r="U1926" i="1"/>
  <c r="V1925" i="1"/>
  <c r="U1925" i="1"/>
  <c r="V1924" i="1"/>
  <c r="U1924" i="1"/>
  <c r="V1923" i="1"/>
  <c r="U1923" i="1"/>
  <c r="T1922" i="1"/>
  <c r="V1921" i="1"/>
  <c r="U1921" i="1"/>
  <c r="V1920" i="1"/>
  <c r="U1920" i="1"/>
  <c r="V1919" i="1"/>
  <c r="U1919" i="1"/>
  <c r="T1918" i="1"/>
  <c r="V1917" i="1"/>
  <c r="U1917" i="1"/>
  <c r="V1916" i="1"/>
  <c r="U1916" i="1"/>
  <c r="V1915" i="1"/>
  <c r="U1915" i="1"/>
  <c r="V1914" i="1"/>
  <c r="U1914" i="1"/>
  <c r="V1913" i="1"/>
  <c r="U1913" i="1"/>
  <c r="V1912" i="1"/>
  <c r="U1912" i="1"/>
  <c r="V1911" i="1"/>
  <c r="U1911" i="1"/>
  <c r="V1910" i="1"/>
  <c r="U1910" i="1"/>
  <c r="V1909" i="1"/>
  <c r="U1909" i="1"/>
  <c r="V1908" i="1"/>
  <c r="U1908" i="1"/>
  <c r="V1907" i="1"/>
  <c r="U1907" i="1"/>
  <c r="V1906" i="1"/>
  <c r="U1906" i="1"/>
  <c r="V1905" i="1"/>
  <c r="U1905" i="1"/>
  <c r="T1904" i="1"/>
  <c r="V1903" i="1"/>
  <c r="U1903" i="1"/>
  <c r="T1902" i="1"/>
  <c r="V1901" i="1"/>
  <c r="U1901" i="1"/>
  <c r="T1900" i="1"/>
  <c r="V1899" i="1"/>
  <c r="U1899" i="1"/>
  <c r="V1898" i="1"/>
  <c r="U1898" i="1"/>
  <c r="V1897" i="1"/>
  <c r="U1897" i="1"/>
  <c r="V1896" i="1"/>
  <c r="U1896" i="1"/>
  <c r="V1895" i="1"/>
  <c r="U1895" i="1"/>
  <c r="V1894" i="1"/>
  <c r="U1894" i="1"/>
  <c r="V1893" i="1"/>
  <c r="U1893" i="1"/>
  <c r="V1892" i="1"/>
  <c r="U1892" i="1"/>
  <c r="V1891" i="1"/>
  <c r="U1891" i="1"/>
  <c r="V1890" i="1"/>
  <c r="U1890" i="1"/>
  <c r="V1889" i="1"/>
  <c r="U1889" i="1"/>
  <c r="V1888" i="1"/>
  <c r="U1888" i="1"/>
  <c r="V1887" i="1"/>
  <c r="U1887" i="1"/>
  <c r="V1886" i="1"/>
  <c r="U1886" i="1"/>
  <c r="V1885" i="1"/>
  <c r="U1885" i="1"/>
  <c r="V1884" i="1"/>
  <c r="U1884" i="1"/>
  <c r="T1883" i="1"/>
  <c r="T1882" i="1"/>
  <c r="T1881" i="1"/>
  <c r="V1880" i="1"/>
  <c r="U1880" i="1"/>
  <c r="V1879" i="1"/>
  <c r="U1879" i="1"/>
  <c r="V1878" i="1"/>
  <c r="U1878" i="1"/>
  <c r="V1877" i="1"/>
  <c r="U1877" i="1"/>
  <c r="V1876" i="1"/>
  <c r="U1876" i="1"/>
  <c r="V1875" i="1"/>
  <c r="U1875" i="1"/>
  <c r="V1874" i="1"/>
  <c r="U1874" i="1"/>
  <c r="V1873" i="1"/>
  <c r="U1873" i="1"/>
  <c r="V1872" i="1"/>
  <c r="U1872" i="1"/>
  <c r="V1871" i="1"/>
  <c r="U1871" i="1"/>
  <c r="V1870" i="1"/>
  <c r="U1870" i="1"/>
  <c r="V1869" i="1"/>
  <c r="U1869" i="1"/>
  <c r="V1868" i="1"/>
  <c r="U1868" i="1"/>
  <c r="V1867" i="1"/>
  <c r="U1867" i="1"/>
  <c r="V1866" i="1"/>
  <c r="U1866" i="1"/>
  <c r="V1865" i="1"/>
  <c r="U1865" i="1"/>
  <c r="V1864" i="1"/>
  <c r="U1864" i="1"/>
  <c r="V1863" i="1"/>
  <c r="U1863" i="1"/>
  <c r="V1862" i="1"/>
  <c r="U1862" i="1"/>
  <c r="V1861" i="1"/>
  <c r="U1861" i="1"/>
  <c r="V1860" i="1"/>
  <c r="U1860" i="1"/>
  <c r="V1859" i="1"/>
  <c r="U1859" i="1"/>
  <c r="V1858" i="1"/>
  <c r="U1858" i="1"/>
  <c r="V1857" i="1"/>
  <c r="U1857" i="1"/>
  <c r="V1856" i="1"/>
  <c r="U1856" i="1"/>
  <c r="V1855" i="1"/>
  <c r="U1855" i="1"/>
  <c r="V1854" i="1"/>
  <c r="U1854" i="1"/>
  <c r="V1853" i="1"/>
  <c r="U1853" i="1"/>
  <c r="V1852" i="1"/>
  <c r="U1852" i="1"/>
  <c r="V1851" i="1"/>
  <c r="U1851" i="1"/>
  <c r="V1850" i="1"/>
  <c r="U1850" i="1"/>
  <c r="V1849" i="1"/>
  <c r="U1849" i="1"/>
  <c r="V1848" i="1"/>
  <c r="U1848" i="1"/>
  <c r="V1847" i="1"/>
  <c r="U1847" i="1"/>
  <c r="V1846" i="1"/>
  <c r="U1846" i="1"/>
  <c r="V1845" i="1"/>
  <c r="U1845" i="1"/>
  <c r="V1844" i="1"/>
  <c r="U1844" i="1"/>
  <c r="V1843" i="1"/>
  <c r="U1843" i="1"/>
  <c r="V1841" i="1"/>
  <c r="U1841" i="1"/>
  <c r="V1840" i="1"/>
  <c r="U1840" i="1"/>
  <c r="V1839" i="1"/>
  <c r="U1839" i="1"/>
  <c r="V1838" i="1"/>
  <c r="U1838" i="1"/>
  <c r="V1837" i="1"/>
  <c r="U1837" i="1"/>
  <c r="T1836" i="1"/>
  <c r="V1835" i="1"/>
  <c r="U1835" i="1"/>
  <c r="V1834" i="1"/>
  <c r="U1834" i="1"/>
  <c r="V1833" i="1"/>
  <c r="U1833" i="1"/>
  <c r="V1832" i="1"/>
  <c r="U1832" i="1"/>
  <c r="T1831" i="1"/>
  <c r="V1830" i="1"/>
  <c r="U1830" i="1"/>
  <c r="V1829" i="1"/>
  <c r="U1829" i="1"/>
  <c r="V1828" i="1"/>
  <c r="U1828" i="1"/>
  <c r="V1827" i="1"/>
  <c r="U1827" i="1"/>
  <c r="V1826" i="1"/>
  <c r="U1826" i="1"/>
  <c r="V1825" i="1"/>
  <c r="U1825" i="1"/>
  <c r="V1824" i="1"/>
  <c r="U1824" i="1"/>
  <c r="V1823" i="1"/>
  <c r="U1823" i="1"/>
  <c r="V1822" i="1"/>
  <c r="U1822" i="1"/>
  <c r="V1821" i="1"/>
  <c r="U1821" i="1"/>
  <c r="T1820" i="1"/>
  <c r="V1819" i="1"/>
  <c r="U1819" i="1"/>
  <c r="V1818" i="1"/>
  <c r="U1818" i="1"/>
  <c r="T1817" i="1"/>
  <c r="T1816" i="1"/>
  <c r="V1815" i="1"/>
  <c r="U1815" i="1"/>
  <c r="V1814" i="1"/>
  <c r="U1814" i="1"/>
  <c r="V1813" i="1"/>
  <c r="U1813" i="1"/>
  <c r="V1812" i="1"/>
  <c r="U1812" i="1"/>
  <c r="V1811" i="1"/>
  <c r="U1811" i="1"/>
  <c r="T1810" i="1"/>
  <c r="V1809" i="1"/>
  <c r="U1809" i="1"/>
  <c r="V1808" i="1"/>
  <c r="U1808" i="1"/>
  <c r="T1807" i="1"/>
  <c r="V1806" i="1"/>
  <c r="U1806" i="1"/>
  <c r="V1805" i="1"/>
  <c r="U1805" i="1"/>
  <c r="V1804" i="1"/>
  <c r="U1804" i="1"/>
  <c r="V1803" i="1"/>
  <c r="U1803" i="1"/>
  <c r="T1802" i="1"/>
  <c r="T1801" i="1"/>
  <c r="V1800" i="1"/>
  <c r="U1800" i="1"/>
  <c r="V1799" i="1"/>
  <c r="U1799" i="1"/>
  <c r="V1798" i="1"/>
  <c r="U1798" i="1"/>
  <c r="V1797" i="1"/>
  <c r="U1797" i="1"/>
  <c r="V1796" i="1"/>
  <c r="U1796" i="1"/>
  <c r="V1795" i="1"/>
  <c r="U1795" i="1"/>
  <c r="V1794" i="1"/>
  <c r="U1794" i="1"/>
  <c r="T1793" i="1"/>
  <c r="V1792" i="1"/>
  <c r="U1792" i="1"/>
  <c r="V1791" i="1"/>
  <c r="U1791" i="1"/>
  <c r="V1790" i="1"/>
  <c r="U1790" i="1"/>
  <c r="V1789" i="1"/>
  <c r="U1789" i="1"/>
  <c r="T1788" i="1"/>
  <c r="V1787" i="1"/>
  <c r="U1787" i="1"/>
  <c r="V1786" i="1"/>
  <c r="U1786" i="1"/>
  <c r="V1785" i="1"/>
  <c r="U1785" i="1"/>
  <c r="V1784" i="1"/>
  <c r="U1784" i="1"/>
  <c r="V1782" i="1"/>
  <c r="U1782" i="1"/>
  <c r="V1781" i="1"/>
  <c r="U1781" i="1"/>
  <c r="V1780" i="1"/>
  <c r="U1780" i="1"/>
  <c r="V1779" i="1"/>
  <c r="U1779" i="1"/>
  <c r="T1778" i="1"/>
  <c r="V1777" i="1"/>
  <c r="U1777" i="1"/>
  <c r="V1776" i="1"/>
  <c r="U1776" i="1"/>
  <c r="V1775" i="1"/>
  <c r="U1775" i="1"/>
  <c r="V1774" i="1"/>
  <c r="U1774" i="1"/>
  <c r="V1773" i="1"/>
  <c r="U1773" i="1"/>
  <c r="V1772" i="1"/>
  <c r="U1772" i="1"/>
  <c r="V1771" i="1"/>
  <c r="U1771" i="1"/>
  <c r="V1770" i="1"/>
  <c r="U1770" i="1"/>
  <c r="T1769" i="1"/>
  <c r="V1768" i="1"/>
  <c r="U1768" i="1"/>
  <c r="V1767" i="1"/>
  <c r="U1767" i="1"/>
  <c r="V1766" i="1"/>
  <c r="U1766" i="1"/>
  <c r="V1765" i="1"/>
  <c r="U1765" i="1"/>
  <c r="T1764" i="1"/>
  <c r="V1763" i="1"/>
  <c r="U1763" i="1"/>
  <c r="V1762" i="1"/>
  <c r="U1762" i="1"/>
  <c r="V1761" i="1"/>
  <c r="U1761" i="1"/>
  <c r="V1760" i="1"/>
  <c r="U1760" i="1"/>
  <c r="T1759" i="1"/>
  <c r="V1757" i="1"/>
  <c r="U1757" i="1"/>
  <c r="V1756" i="1"/>
  <c r="U1756" i="1"/>
  <c r="V1755" i="1"/>
  <c r="U1755" i="1"/>
  <c r="V1754" i="1"/>
  <c r="U1754" i="1"/>
  <c r="V1753" i="1"/>
  <c r="U1753" i="1"/>
  <c r="V1752" i="1"/>
  <c r="U1752" i="1"/>
  <c r="V1751" i="1"/>
  <c r="U1751" i="1"/>
  <c r="V1750" i="1"/>
  <c r="U1750" i="1"/>
  <c r="V1749" i="1"/>
  <c r="U1749" i="1"/>
  <c r="V1748" i="1"/>
  <c r="U1748" i="1"/>
  <c r="V1747" i="1"/>
  <c r="U1747" i="1"/>
  <c r="V1746" i="1"/>
  <c r="U1746" i="1"/>
  <c r="V1745" i="1"/>
  <c r="U1745" i="1"/>
  <c r="V1744" i="1"/>
  <c r="U1744" i="1"/>
  <c r="T1743" i="1"/>
  <c r="V1742" i="1"/>
  <c r="U1742" i="1"/>
  <c r="V1741" i="1"/>
  <c r="U1741" i="1"/>
  <c r="V1740" i="1"/>
  <c r="U1740" i="1"/>
  <c r="V1739" i="1"/>
  <c r="U1739" i="1"/>
  <c r="V1738" i="1"/>
  <c r="U1738" i="1"/>
  <c r="T1737" i="1"/>
  <c r="V1736" i="1"/>
  <c r="U1736" i="1"/>
  <c r="V1735" i="1"/>
  <c r="U1735" i="1"/>
  <c r="T1734" i="1"/>
  <c r="V1733" i="1"/>
  <c r="U1733" i="1"/>
  <c r="V1732" i="1"/>
  <c r="U1732" i="1"/>
  <c r="V1731" i="1"/>
  <c r="U1731" i="1"/>
  <c r="V1730" i="1"/>
  <c r="U1730" i="1"/>
  <c r="V1729" i="1"/>
  <c r="U1729" i="1"/>
  <c r="T1728" i="1"/>
  <c r="V1727" i="1"/>
  <c r="U1727" i="1"/>
  <c r="V1726" i="1"/>
  <c r="U1726" i="1"/>
  <c r="V1725" i="1"/>
  <c r="U1725" i="1"/>
  <c r="V1724" i="1"/>
  <c r="U1724" i="1"/>
  <c r="V1723" i="1"/>
  <c r="U1723" i="1"/>
  <c r="V1722" i="1"/>
  <c r="U1722" i="1"/>
  <c r="V1721" i="1"/>
  <c r="U1721" i="1"/>
  <c r="V1720" i="1"/>
  <c r="U1720" i="1"/>
  <c r="V1719" i="1"/>
  <c r="U1719" i="1"/>
  <c r="V1718" i="1"/>
  <c r="U1718" i="1"/>
  <c r="V1717" i="1"/>
  <c r="U1717" i="1"/>
  <c r="V1716" i="1"/>
  <c r="U1716" i="1"/>
  <c r="V1715" i="1"/>
  <c r="U1715" i="1"/>
  <c r="V1714" i="1"/>
  <c r="U1714" i="1"/>
  <c r="T1713" i="1"/>
  <c r="V1712" i="1"/>
  <c r="U1712" i="1"/>
  <c r="V1711" i="1"/>
  <c r="U1711" i="1"/>
  <c r="V1710" i="1"/>
  <c r="U1710" i="1"/>
  <c r="V1709" i="1"/>
  <c r="U1709" i="1"/>
  <c r="V1708" i="1"/>
  <c r="U1708" i="1"/>
  <c r="T1707" i="1"/>
  <c r="V1706" i="1"/>
  <c r="U1706" i="1"/>
  <c r="V1705" i="1"/>
  <c r="U1705" i="1"/>
  <c r="V1704" i="1"/>
  <c r="U1704" i="1"/>
  <c r="V1703" i="1"/>
  <c r="U1703" i="1"/>
  <c r="V1702" i="1"/>
  <c r="U1702" i="1"/>
  <c r="V1701" i="1"/>
  <c r="U1701" i="1"/>
  <c r="V1700" i="1"/>
  <c r="U1700" i="1"/>
  <c r="V1699" i="1"/>
  <c r="U1699" i="1"/>
  <c r="V1698" i="1"/>
  <c r="U1698" i="1"/>
  <c r="V1697" i="1"/>
  <c r="U1697" i="1"/>
  <c r="V1696" i="1"/>
  <c r="U1696" i="1"/>
  <c r="V1695" i="1"/>
  <c r="U1695" i="1"/>
  <c r="V1694" i="1"/>
  <c r="U1694" i="1"/>
  <c r="V1693" i="1"/>
  <c r="U1693" i="1"/>
  <c r="V1692" i="1"/>
  <c r="U1692" i="1"/>
  <c r="V1691" i="1"/>
  <c r="U1691" i="1"/>
  <c r="V1690" i="1"/>
  <c r="U1690" i="1"/>
  <c r="V1689" i="1"/>
  <c r="U1689" i="1"/>
  <c r="V1688" i="1"/>
  <c r="U1688" i="1"/>
  <c r="V1687" i="1"/>
  <c r="U1687" i="1"/>
  <c r="V1686" i="1"/>
  <c r="U1686" i="1"/>
  <c r="V1685" i="1"/>
  <c r="U1685" i="1"/>
  <c r="V1684" i="1"/>
  <c r="U1684" i="1"/>
  <c r="V1683" i="1"/>
  <c r="U1683" i="1"/>
  <c r="T1682" i="1"/>
  <c r="V1681" i="1"/>
  <c r="U1681" i="1"/>
  <c r="V1680" i="1"/>
  <c r="U1680" i="1"/>
  <c r="V1679" i="1"/>
  <c r="U1679" i="1"/>
  <c r="V1678" i="1"/>
  <c r="U1678" i="1"/>
  <c r="V1677" i="1"/>
  <c r="U1677" i="1"/>
  <c r="T1676" i="1"/>
  <c r="V1675" i="1"/>
  <c r="U1675" i="1"/>
  <c r="V1674" i="1"/>
  <c r="U1674" i="1"/>
  <c r="V1673" i="1"/>
  <c r="U1673" i="1"/>
  <c r="V1672" i="1"/>
  <c r="U1672" i="1"/>
  <c r="V1671" i="1"/>
  <c r="U1671" i="1"/>
  <c r="T1670" i="1"/>
  <c r="T1669" i="1"/>
  <c r="V1668" i="1"/>
  <c r="U1668" i="1"/>
  <c r="V1667" i="1"/>
  <c r="U1667" i="1"/>
  <c r="V1666" i="1"/>
  <c r="U1666" i="1"/>
  <c r="T1665" i="1"/>
  <c r="T1664" i="1"/>
  <c r="V1663" i="1"/>
  <c r="U1663" i="1"/>
  <c r="V1662" i="1"/>
  <c r="U1662" i="1"/>
  <c r="T1661" i="1"/>
  <c r="V1660" i="1"/>
  <c r="U1660" i="1"/>
  <c r="V1659" i="1"/>
  <c r="U1659" i="1"/>
  <c r="T1658" i="1"/>
  <c r="V1657" i="1"/>
  <c r="U1657" i="1"/>
  <c r="V1656" i="1"/>
  <c r="U1656" i="1"/>
  <c r="V1655" i="1"/>
  <c r="U1655" i="1"/>
  <c r="V1654" i="1"/>
  <c r="U1654" i="1"/>
  <c r="V1653" i="1"/>
  <c r="U1653" i="1"/>
  <c r="T1652" i="1"/>
  <c r="V1651" i="1"/>
  <c r="U1651" i="1"/>
  <c r="V1650" i="1"/>
  <c r="U1650" i="1"/>
  <c r="V1649" i="1"/>
  <c r="U1649" i="1"/>
  <c r="T1648" i="1"/>
  <c r="V1647" i="1"/>
  <c r="U1647" i="1"/>
  <c r="V1646" i="1"/>
  <c r="U1646" i="1"/>
  <c r="V1645" i="1"/>
  <c r="U1645" i="1"/>
  <c r="V1644" i="1"/>
  <c r="U1644" i="1"/>
  <c r="V1643" i="1"/>
  <c r="U1643" i="1"/>
  <c r="V1642" i="1"/>
  <c r="U1642" i="1"/>
  <c r="V1641" i="1"/>
  <c r="U1641" i="1"/>
  <c r="V1640" i="1"/>
  <c r="U1640" i="1"/>
  <c r="V1639" i="1"/>
  <c r="U1639" i="1"/>
  <c r="T1638" i="1"/>
  <c r="V1637" i="1"/>
  <c r="U1637" i="1"/>
  <c r="V1636" i="1"/>
  <c r="U1636" i="1"/>
  <c r="V1635" i="1"/>
  <c r="U1635" i="1"/>
  <c r="V1634" i="1"/>
  <c r="U1634" i="1"/>
  <c r="V1633" i="1"/>
  <c r="U1633" i="1"/>
  <c r="V1632" i="1"/>
  <c r="U1632" i="1"/>
  <c r="T1631" i="1"/>
  <c r="V1630" i="1"/>
  <c r="U1630" i="1"/>
  <c r="V1629" i="1"/>
  <c r="U1629" i="1"/>
  <c r="V1628" i="1"/>
  <c r="U1628" i="1"/>
  <c r="V1627" i="1"/>
  <c r="U1627" i="1"/>
  <c r="V1626" i="1"/>
  <c r="U1626" i="1"/>
  <c r="V1625" i="1"/>
  <c r="U1625" i="1"/>
  <c r="V1624" i="1"/>
  <c r="U1624" i="1"/>
  <c r="T1623" i="1"/>
  <c r="V1622" i="1"/>
  <c r="U1622" i="1"/>
  <c r="V1621" i="1"/>
  <c r="U1621" i="1"/>
  <c r="V1620" i="1"/>
  <c r="U1620" i="1"/>
  <c r="V1619" i="1"/>
  <c r="U1619" i="1"/>
  <c r="T1618" i="1"/>
  <c r="V1617" i="1"/>
  <c r="U1617" i="1"/>
  <c r="V1616" i="1"/>
  <c r="U1616" i="1"/>
  <c r="V1615" i="1"/>
  <c r="U1615" i="1"/>
  <c r="V1614" i="1"/>
  <c r="U1614" i="1"/>
  <c r="V1613" i="1"/>
  <c r="U1613" i="1"/>
  <c r="V1612" i="1"/>
  <c r="U1612" i="1"/>
  <c r="V1611" i="1"/>
  <c r="U1611" i="1"/>
  <c r="V1610" i="1"/>
  <c r="U1610" i="1"/>
  <c r="V1609" i="1"/>
  <c r="U1609" i="1"/>
  <c r="T1608" i="1"/>
  <c r="T1607" i="1"/>
  <c r="V1606" i="1"/>
  <c r="U1606" i="1"/>
  <c r="T1605" i="1"/>
  <c r="V1604" i="1"/>
  <c r="U1604" i="1"/>
  <c r="V1603" i="1"/>
  <c r="U1603" i="1"/>
  <c r="V1602" i="1"/>
  <c r="U1602" i="1"/>
  <c r="V1601" i="1"/>
  <c r="U1601" i="1"/>
  <c r="V1600" i="1"/>
  <c r="U1600" i="1"/>
  <c r="V1599" i="1"/>
  <c r="U1599" i="1"/>
  <c r="V1598" i="1"/>
  <c r="U1598" i="1"/>
  <c r="V1597" i="1"/>
  <c r="U1597" i="1"/>
  <c r="V1596" i="1"/>
  <c r="U1596" i="1"/>
  <c r="T1595" i="1"/>
  <c r="V1594" i="1"/>
  <c r="U1594" i="1"/>
  <c r="V1593" i="1"/>
  <c r="U1593" i="1"/>
  <c r="V1592" i="1"/>
  <c r="U1592" i="1"/>
  <c r="V1591" i="1"/>
  <c r="U1591" i="1"/>
  <c r="T1590" i="1"/>
  <c r="V1589" i="1"/>
  <c r="U1589" i="1"/>
  <c r="V1588" i="1"/>
  <c r="U1588" i="1"/>
  <c r="V1587" i="1"/>
  <c r="U1587" i="1"/>
  <c r="V1586" i="1"/>
  <c r="U1586" i="1"/>
  <c r="V1585" i="1"/>
  <c r="U1585" i="1"/>
  <c r="V1584" i="1"/>
  <c r="U1584" i="1"/>
  <c r="V1583" i="1"/>
  <c r="U1583" i="1"/>
  <c r="V1582" i="1"/>
  <c r="U1582" i="1"/>
  <c r="V1581" i="1"/>
  <c r="U1581" i="1"/>
  <c r="V1579" i="1"/>
  <c r="U1579" i="1"/>
  <c r="V1578" i="1"/>
  <c r="U1578" i="1"/>
  <c r="V1577" i="1"/>
  <c r="U1577" i="1"/>
  <c r="V1576" i="1"/>
  <c r="U1576" i="1"/>
  <c r="V1575" i="1"/>
  <c r="U1575" i="1"/>
  <c r="V1574" i="1"/>
  <c r="U1574" i="1"/>
  <c r="V1573" i="1"/>
  <c r="U1573" i="1"/>
  <c r="V1572" i="1"/>
  <c r="U1572" i="1"/>
  <c r="V1571" i="1"/>
  <c r="U1571" i="1"/>
  <c r="V1570" i="1"/>
  <c r="U1570" i="1"/>
  <c r="V1569" i="1"/>
  <c r="U1569" i="1"/>
  <c r="T1568" i="1"/>
  <c r="V1567" i="1"/>
  <c r="U1567" i="1"/>
  <c r="V1566" i="1"/>
  <c r="U1566" i="1"/>
  <c r="V1565" i="1"/>
  <c r="U1565" i="1"/>
  <c r="T1564" i="1"/>
  <c r="V1563" i="1"/>
  <c r="U1563" i="1"/>
  <c r="V1562" i="1"/>
  <c r="U1562" i="1"/>
  <c r="V1561" i="1"/>
  <c r="U1561" i="1"/>
  <c r="V1560" i="1"/>
  <c r="U1560" i="1"/>
  <c r="V1559" i="1"/>
  <c r="U1559" i="1"/>
  <c r="V1558" i="1"/>
  <c r="U1558" i="1"/>
  <c r="V1557" i="1"/>
  <c r="U1557" i="1"/>
  <c r="V1556" i="1"/>
  <c r="U1556" i="1"/>
  <c r="V1555" i="1"/>
  <c r="U1555" i="1"/>
  <c r="V1554" i="1"/>
  <c r="U1554" i="1"/>
  <c r="V1553" i="1"/>
  <c r="U1553" i="1"/>
  <c r="V1552" i="1"/>
  <c r="U1552" i="1"/>
  <c r="V1551" i="1"/>
  <c r="U1551" i="1"/>
  <c r="V1550" i="1"/>
  <c r="U1550" i="1"/>
  <c r="T1549" i="1"/>
  <c r="T1548" i="1"/>
  <c r="V1547" i="1"/>
  <c r="U1547" i="1"/>
  <c r="V1546" i="1"/>
  <c r="U1546" i="1"/>
  <c r="V1545" i="1"/>
  <c r="U1545" i="1"/>
  <c r="V1544" i="1"/>
  <c r="U1544" i="1"/>
  <c r="V1543" i="1"/>
  <c r="U1543" i="1"/>
  <c r="V1542" i="1"/>
  <c r="U1542" i="1"/>
  <c r="V1541" i="1"/>
  <c r="U1541" i="1"/>
  <c r="V1540" i="1"/>
  <c r="U1540" i="1"/>
  <c r="V1539" i="1"/>
  <c r="U1539" i="1"/>
  <c r="V1538" i="1"/>
  <c r="U1538" i="1"/>
  <c r="T1537" i="1"/>
  <c r="V1536" i="1"/>
  <c r="U1536" i="1"/>
  <c r="V1535" i="1"/>
  <c r="U1535" i="1"/>
  <c r="V1534" i="1"/>
  <c r="U1534" i="1"/>
  <c r="V1533" i="1"/>
  <c r="U1533" i="1"/>
  <c r="T1532" i="1"/>
  <c r="V1531" i="1"/>
  <c r="U1531" i="1"/>
  <c r="V1530" i="1"/>
  <c r="U1530" i="1"/>
  <c r="V1529" i="1"/>
  <c r="U1529" i="1"/>
  <c r="V1528" i="1"/>
  <c r="U1528" i="1"/>
  <c r="V1527" i="1"/>
  <c r="U1527" i="1"/>
  <c r="V1526" i="1"/>
  <c r="U1526" i="1"/>
  <c r="V1525" i="1"/>
  <c r="U1525" i="1"/>
  <c r="V1524" i="1"/>
  <c r="U1524" i="1"/>
  <c r="T1522" i="1"/>
  <c r="V1521" i="1"/>
  <c r="U1521" i="1"/>
  <c r="V1519" i="1"/>
  <c r="U1519" i="1"/>
  <c r="V1518" i="1"/>
  <c r="U1518" i="1"/>
  <c r="T1517" i="1"/>
  <c r="V1516" i="1"/>
  <c r="U1516" i="1"/>
  <c r="V1515" i="1"/>
  <c r="U1515" i="1"/>
  <c r="V1514" i="1"/>
  <c r="U1514" i="1"/>
  <c r="V1513" i="1"/>
  <c r="U1513" i="1"/>
  <c r="V1512" i="1"/>
  <c r="U1512" i="1"/>
  <c r="V1511" i="1"/>
  <c r="U1511" i="1"/>
  <c r="V1510" i="1"/>
  <c r="U1510" i="1"/>
  <c r="V1509" i="1"/>
  <c r="U1509" i="1"/>
  <c r="V1508" i="1"/>
  <c r="U1508" i="1"/>
  <c r="V1507" i="1"/>
  <c r="U1507" i="1"/>
  <c r="V1506" i="1"/>
  <c r="U1506" i="1"/>
  <c r="V1505" i="1"/>
  <c r="U1505" i="1"/>
  <c r="V1504" i="1"/>
  <c r="U1504" i="1"/>
  <c r="V1503" i="1"/>
  <c r="U1503" i="1"/>
  <c r="V1502" i="1"/>
  <c r="U1502" i="1"/>
  <c r="V1501" i="1"/>
  <c r="U1501" i="1"/>
  <c r="V1500" i="1"/>
  <c r="U1500" i="1"/>
  <c r="V1499" i="1"/>
  <c r="U1499" i="1"/>
  <c r="T1498" i="1"/>
  <c r="V1497" i="1"/>
  <c r="U1497" i="1"/>
  <c r="V1496" i="1"/>
  <c r="U1496" i="1"/>
  <c r="V1495" i="1"/>
  <c r="U1495" i="1"/>
  <c r="V1494" i="1"/>
  <c r="U1494" i="1"/>
  <c r="T1493" i="1"/>
  <c r="V1492" i="1"/>
  <c r="U1492" i="1"/>
  <c r="V1491" i="1"/>
  <c r="U1491" i="1"/>
  <c r="V1490" i="1"/>
  <c r="U1490" i="1"/>
  <c r="V1489" i="1"/>
  <c r="U1489" i="1"/>
  <c r="V1488" i="1"/>
  <c r="U1488" i="1"/>
  <c r="V1487" i="1"/>
  <c r="U1487" i="1"/>
  <c r="T1486" i="1"/>
  <c r="V1485" i="1"/>
  <c r="U1485" i="1"/>
  <c r="T1484" i="1"/>
  <c r="V1483" i="1"/>
  <c r="U1483" i="1"/>
  <c r="V1482" i="1"/>
  <c r="U1482" i="1"/>
  <c r="V1481" i="1"/>
  <c r="U1481" i="1"/>
  <c r="V1480" i="1"/>
  <c r="U1480" i="1"/>
  <c r="T1479" i="1"/>
  <c r="V1478" i="1"/>
  <c r="U1478" i="1"/>
  <c r="V1477" i="1"/>
  <c r="U1477" i="1"/>
  <c r="V1476" i="1"/>
  <c r="U1476" i="1"/>
  <c r="T1475" i="1"/>
  <c r="V1474" i="1"/>
  <c r="U1474" i="1"/>
  <c r="V1473" i="1"/>
  <c r="U1473" i="1"/>
  <c r="V1472" i="1"/>
  <c r="U1472" i="1"/>
  <c r="V1471" i="1"/>
  <c r="U1471" i="1"/>
  <c r="V1470" i="1"/>
  <c r="U1470" i="1"/>
  <c r="T1469" i="1"/>
  <c r="V1468" i="1"/>
  <c r="U1468" i="1"/>
  <c r="V1467" i="1"/>
  <c r="U1467" i="1"/>
  <c r="V1466" i="1"/>
  <c r="U1466" i="1"/>
  <c r="V1465" i="1"/>
  <c r="U1465" i="1"/>
  <c r="T1464" i="1"/>
  <c r="T1462" i="1"/>
  <c r="V1461" i="1"/>
  <c r="U1461" i="1"/>
  <c r="V1460" i="1"/>
  <c r="U1460" i="1"/>
  <c r="T1459" i="1"/>
  <c r="V1458" i="1"/>
  <c r="U1458" i="1"/>
  <c r="V1457" i="1"/>
  <c r="U1457" i="1"/>
  <c r="V1456" i="1"/>
  <c r="U1456" i="1"/>
  <c r="V1455" i="1"/>
  <c r="U1455" i="1"/>
  <c r="V1454" i="1"/>
  <c r="U1454" i="1"/>
  <c r="T1453" i="1"/>
  <c r="T1452" i="1"/>
  <c r="V1451" i="1"/>
  <c r="U1451" i="1"/>
  <c r="T1450" i="1"/>
  <c r="T1449" i="1"/>
  <c r="V1448" i="1"/>
  <c r="U1448" i="1"/>
  <c r="V1447" i="1"/>
  <c r="U1447" i="1"/>
  <c r="V1446" i="1"/>
  <c r="U1446" i="1"/>
  <c r="V1445" i="1"/>
  <c r="U1445" i="1"/>
  <c r="V1444" i="1"/>
  <c r="U1444" i="1"/>
  <c r="T1443" i="1"/>
  <c r="V1442" i="1"/>
  <c r="U1442" i="1"/>
  <c r="V1441" i="1"/>
  <c r="U1441" i="1"/>
  <c r="V1440" i="1"/>
  <c r="U1440" i="1"/>
  <c r="V1439" i="1"/>
  <c r="U1439" i="1"/>
  <c r="V1438" i="1"/>
  <c r="U1438" i="1"/>
  <c r="V1437" i="1"/>
  <c r="U1437" i="1"/>
  <c r="V1436" i="1"/>
  <c r="U1436" i="1"/>
  <c r="V1435" i="1"/>
  <c r="U1435" i="1"/>
  <c r="V1434" i="1"/>
  <c r="U1434" i="1"/>
  <c r="V1433" i="1"/>
  <c r="U1433" i="1"/>
  <c r="V1432" i="1"/>
  <c r="U1432" i="1"/>
  <c r="V1431" i="1"/>
  <c r="U1431" i="1"/>
  <c r="V1430" i="1"/>
  <c r="U1430" i="1"/>
  <c r="V1429" i="1"/>
  <c r="U1429" i="1"/>
  <c r="V1428" i="1"/>
  <c r="U1428" i="1"/>
  <c r="V1427" i="1"/>
  <c r="U1427" i="1"/>
  <c r="V1426" i="1"/>
  <c r="U1426" i="1"/>
  <c r="V1425" i="1"/>
  <c r="U1425" i="1"/>
  <c r="V1424" i="1"/>
  <c r="U1424" i="1"/>
  <c r="V1423" i="1"/>
  <c r="U1423" i="1"/>
  <c r="V1422" i="1"/>
  <c r="U1422" i="1"/>
  <c r="V1421" i="1"/>
  <c r="U1421" i="1"/>
  <c r="V1420" i="1"/>
  <c r="U1420" i="1"/>
  <c r="V1419" i="1"/>
  <c r="U1419" i="1"/>
  <c r="V1418" i="1"/>
  <c r="U1418" i="1"/>
  <c r="V1417" i="1"/>
  <c r="U1417" i="1"/>
  <c r="V1416" i="1"/>
  <c r="U1416" i="1"/>
  <c r="V1415" i="1"/>
  <c r="U1415" i="1"/>
  <c r="V1414" i="1"/>
  <c r="U1414" i="1"/>
  <c r="V1413" i="1"/>
  <c r="U1413" i="1"/>
  <c r="V1412" i="1"/>
  <c r="U1412" i="1"/>
  <c r="V1411" i="1"/>
  <c r="U1411" i="1"/>
  <c r="V1410" i="1"/>
  <c r="U1410" i="1"/>
  <c r="V1409" i="1"/>
  <c r="U1409" i="1"/>
  <c r="V1408" i="1"/>
  <c r="U1408" i="1"/>
  <c r="V1407" i="1"/>
  <c r="U1407" i="1"/>
  <c r="V1406" i="1"/>
  <c r="U1406" i="1"/>
  <c r="V1405" i="1"/>
  <c r="U1405" i="1"/>
  <c r="T1403" i="1"/>
  <c r="T1402" i="1"/>
  <c r="V1401" i="1"/>
  <c r="U1401" i="1"/>
  <c r="T1400" i="1"/>
  <c r="V1399" i="1"/>
  <c r="U1399" i="1"/>
  <c r="V1398" i="1"/>
  <c r="U1398" i="1"/>
  <c r="V1397" i="1"/>
  <c r="U1397" i="1"/>
  <c r="V1396" i="1"/>
  <c r="U1396" i="1"/>
  <c r="T1395" i="1"/>
  <c r="V1394" i="1"/>
  <c r="U1394" i="1"/>
  <c r="V1393" i="1"/>
  <c r="U1393" i="1"/>
  <c r="V1392" i="1"/>
  <c r="U1392" i="1"/>
  <c r="T1391" i="1"/>
  <c r="V1390" i="1"/>
  <c r="U1390" i="1"/>
  <c r="T1389" i="1"/>
  <c r="V1388" i="1"/>
  <c r="U1388" i="1"/>
  <c r="V1387" i="1"/>
  <c r="U1387" i="1"/>
  <c r="V1386" i="1"/>
  <c r="U1386" i="1"/>
  <c r="V1385" i="1"/>
  <c r="U1385" i="1"/>
  <c r="V1384" i="1"/>
  <c r="U1384" i="1"/>
  <c r="V1383" i="1"/>
  <c r="U1383" i="1"/>
  <c r="T1382" i="1"/>
  <c r="V1381" i="1"/>
  <c r="U1381" i="1"/>
  <c r="V1380" i="1"/>
  <c r="U1380" i="1"/>
  <c r="V1379" i="1"/>
  <c r="U1379" i="1"/>
  <c r="V1378" i="1"/>
  <c r="U1378" i="1"/>
  <c r="T1377" i="1"/>
  <c r="V1376" i="1"/>
  <c r="U1376" i="1"/>
  <c r="V1375" i="1"/>
  <c r="U1375" i="1"/>
  <c r="V1374" i="1"/>
  <c r="U1374" i="1"/>
  <c r="V1373" i="1"/>
  <c r="U1373" i="1"/>
  <c r="V1372" i="1"/>
  <c r="U1372" i="1"/>
  <c r="V1371" i="1"/>
  <c r="U1371" i="1"/>
  <c r="V1370" i="1"/>
  <c r="U1370" i="1"/>
  <c r="V1369" i="1"/>
  <c r="U1369" i="1"/>
  <c r="V1368" i="1"/>
  <c r="U1368" i="1"/>
  <c r="V1367" i="1"/>
  <c r="U1367" i="1"/>
  <c r="T1366" i="1"/>
  <c r="T1365" i="1"/>
  <c r="V1364" i="1"/>
  <c r="U1364" i="1"/>
  <c r="V1363" i="1"/>
  <c r="U1363" i="1"/>
  <c r="V1362" i="1"/>
  <c r="U1362" i="1"/>
  <c r="V1361" i="1"/>
  <c r="U1361" i="1"/>
  <c r="V1360" i="1"/>
  <c r="U1360" i="1"/>
  <c r="T1359" i="1"/>
  <c r="V1358" i="1"/>
  <c r="U1358" i="1"/>
  <c r="V1357" i="1"/>
  <c r="U1357" i="1"/>
  <c r="V1356" i="1"/>
  <c r="U1356" i="1"/>
  <c r="V1355" i="1"/>
  <c r="U1355" i="1"/>
  <c r="V1354" i="1"/>
  <c r="U1354" i="1"/>
  <c r="V1353" i="1"/>
  <c r="U1353" i="1"/>
  <c r="V1352" i="1"/>
  <c r="U1352" i="1"/>
  <c r="V1351" i="1"/>
  <c r="U1351" i="1"/>
  <c r="V1350" i="1"/>
  <c r="U1350" i="1"/>
  <c r="V1349" i="1"/>
  <c r="U1349" i="1"/>
  <c r="V1348" i="1"/>
  <c r="U1348" i="1"/>
  <c r="T1347" i="1"/>
  <c r="V1346" i="1"/>
  <c r="U1346" i="1"/>
  <c r="V1345" i="1"/>
  <c r="U1345" i="1"/>
  <c r="T1344" i="1"/>
  <c r="T1343" i="1"/>
  <c r="V1342" i="1"/>
  <c r="U1342" i="1"/>
  <c r="V1341" i="1"/>
  <c r="U1341" i="1"/>
  <c r="V1340" i="1"/>
  <c r="U1340" i="1"/>
  <c r="T1339" i="1"/>
  <c r="V1338" i="1"/>
  <c r="U1338" i="1"/>
  <c r="T1337" i="1"/>
  <c r="V1336" i="1"/>
  <c r="U1336" i="1"/>
  <c r="V1335" i="1"/>
  <c r="U1335" i="1"/>
  <c r="T1334" i="1"/>
  <c r="V1333" i="1"/>
  <c r="U1333" i="1"/>
  <c r="V1332" i="1"/>
  <c r="U1332" i="1"/>
  <c r="V1331" i="1"/>
  <c r="U1331" i="1"/>
  <c r="T1330" i="1"/>
  <c r="T1329" i="1"/>
  <c r="T1328" i="1"/>
  <c r="V1327" i="1"/>
  <c r="U1327" i="1"/>
  <c r="V1326" i="1"/>
  <c r="U1326" i="1"/>
  <c r="V1325" i="1"/>
  <c r="U1325" i="1"/>
  <c r="T1324" i="1"/>
  <c r="V1323" i="1"/>
  <c r="U1323" i="1"/>
  <c r="T1322" i="1"/>
  <c r="V1321" i="1"/>
  <c r="U1321" i="1"/>
  <c r="V1320" i="1"/>
  <c r="U1320" i="1"/>
  <c r="T1319" i="1"/>
  <c r="T1318" i="1"/>
  <c r="V1317" i="1"/>
  <c r="U1317" i="1"/>
  <c r="V1316" i="1"/>
  <c r="U1316" i="1"/>
  <c r="V1315" i="1"/>
  <c r="U1315" i="1"/>
  <c r="V1314" i="1"/>
  <c r="U1314" i="1"/>
  <c r="V1313" i="1"/>
  <c r="U1313" i="1"/>
  <c r="V1312" i="1"/>
  <c r="U1312" i="1"/>
  <c r="V1311" i="1"/>
  <c r="U1311" i="1"/>
  <c r="V1310" i="1"/>
  <c r="U1310" i="1"/>
  <c r="V1309" i="1"/>
  <c r="U1309" i="1"/>
  <c r="V1308" i="1"/>
  <c r="U1308" i="1"/>
  <c r="V1307" i="1"/>
  <c r="U1307" i="1"/>
  <c r="T1306" i="1"/>
  <c r="V1305" i="1"/>
  <c r="U1305" i="1"/>
  <c r="V1304" i="1"/>
  <c r="U1304" i="1"/>
  <c r="V1303" i="1"/>
  <c r="U1303" i="1"/>
  <c r="V1302" i="1"/>
  <c r="U1302" i="1"/>
  <c r="T1301" i="1"/>
  <c r="V1300" i="1"/>
  <c r="U1300" i="1"/>
  <c r="V1299" i="1"/>
  <c r="U1299" i="1"/>
  <c r="V1298" i="1"/>
  <c r="U1298" i="1"/>
  <c r="V1297" i="1"/>
  <c r="U1297" i="1"/>
  <c r="V1296" i="1"/>
  <c r="U1296" i="1"/>
  <c r="V1295" i="1"/>
  <c r="U1295" i="1"/>
  <c r="V1294" i="1"/>
  <c r="U1294" i="1"/>
  <c r="V1293" i="1"/>
  <c r="U1293" i="1"/>
  <c r="V1292" i="1"/>
  <c r="U1292" i="1"/>
  <c r="T1291" i="1"/>
  <c r="V1290" i="1"/>
  <c r="U1290" i="1"/>
  <c r="V1289" i="1"/>
  <c r="U1289" i="1"/>
  <c r="V1288" i="1"/>
  <c r="U1288" i="1"/>
  <c r="V1287" i="1"/>
  <c r="U1287" i="1"/>
  <c r="V1286" i="1"/>
  <c r="U1286" i="1"/>
  <c r="V1285" i="1"/>
  <c r="U1285" i="1"/>
  <c r="V1284" i="1"/>
  <c r="U1284" i="1"/>
  <c r="V1283" i="1"/>
  <c r="U1283" i="1"/>
  <c r="V1282" i="1"/>
  <c r="U1282" i="1"/>
  <c r="V1281" i="1"/>
  <c r="U1281" i="1"/>
  <c r="V1280" i="1"/>
  <c r="U1280" i="1"/>
  <c r="V1279" i="1"/>
  <c r="U1279" i="1"/>
  <c r="V1278" i="1"/>
  <c r="U1278" i="1"/>
  <c r="V1277" i="1"/>
  <c r="U1277" i="1"/>
  <c r="V1276" i="1"/>
  <c r="U1276" i="1"/>
  <c r="V1275" i="1"/>
  <c r="U1275" i="1"/>
  <c r="V1274" i="1"/>
  <c r="U1274" i="1"/>
  <c r="V1273" i="1"/>
  <c r="U1273" i="1"/>
  <c r="V1272" i="1"/>
  <c r="U1272" i="1"/>
  <c r="V1271" i="1"/>
  <c r="U1271" i="1"/>
  <c r="V1270" i="1"/>
  <c r="U1270" i="1"/>
  <c r="V1269" i="1"/>
  <c r="U1269" i="1"/>
  <c r="V1268" i="1"/>
  <c r="U1268" i="1"/>
  <c r="V1267" i="1"/>
  <c r="U1267" i="1"/>
  <c r="V1266" i="1"/>
  <c r="U1266" i="1"/>
  <c r="V1265" i="1"/>
  <c r="U1265" i="1"/>
  <c r="V1264" i="1"/>
  <c r="U1264" i="1"/>
  <c r="V1263" i="1"/>
  <c r="U1263" i="1"/>
  <c r="V1262" i="1"/>
  <c r="U1262" i="1"/>
  <c r="V1261" i="1"/>
  <c r="U1261" i="1"/>
  <c r="V1260" i="1"/>
  <c r="U1260" i="1"/>
  <c r="V1259" i="1"/>
  <c r="U1259" i="1"/>
  <c r="V1258" i="1"/>
  <c r="U1258" i="1"/>
  <c r="V1257" i="1"/>
  <c r="U1257" i="1"/>
  <c r="V1256" i="1"/>
  <c r="U1256" i="1"/>
  <c r="V1255" i="1"/>
  <c r="U1255" i="1"/>
  <c r="V1254" i="1"/>
  <c r="U1254" i="1"/>
  <c r="V1253" i="1"/>
  <c r="U1253" i="1"/>
  <c r="V1252" i="1"/>
  <c r="U1252" i="1"/>
  <c r="T1251" i="1"/>
  <c r="T1250" i="1"/>
  <c r="T1249" i="1"/>
  <c r="V1248" i="1"/>
  <c r="U1248" i="1"/>
  <c r="V1247" i="1"/>
  <c r="U1247" i="1"/>
  <c r="T1246" i="1"/>
  <c r="V1245" i="1"/>
  <c r="U1245" i="1"/>
  <c r="V1244" i="1"/>
  <c r="U1244" i="1"/>
  <c r="V1243" i="1"/>
  <c r="U1243" i="1"/>
  <c r="V1242" i="1"/>
  <c r="U1242" i="1"/>
  <c r="V1241" i="1"/>
  <c r="U1241" i="1"/>
  <c r="V1240" i="1"/>
  <c r="U1240" i="1"/>
  <c r="T1239" i="1"/>
  <c r="V1238" i="1"/>
  <c r="U1238" i="1"/>
  <c r="V1237" i="1"/>
  <c r="U1237" i="1"/>
  <c r="V1236" i="1"/>
  <c r="U1236" i="1"/>
  <c r="V1235" i="1"/>
  <c r="U1235" i="1"/>
  <c r="V1234" i="1"/>
  <c r="U1234" i="1"/>
  <c r="V1233" i="1"/>
  <c r="U1233" i="1"/>
  <c r="V1232" i="1"/>
  <c r="U1232" i="1"/>
  <c r="T1231" i="1"/>
  <c r="T1230" i="1"/>
  <c r="V1229" i="1"/>
  <c r="U1229" i="1"/>
  <c r="T1228" i="1"/>
  <c r="V1227" i="1"/>
  <c r="U1227" i="1"/>
  <c r="V1226" i="1"/>
  <c r="U1226" i="1"/>
  <c r="T1225" i="1"/>
  <c r="V1224" i="1"/>
  <c r="U1224" i="1"/>
  <c r="V1223" i="1"/>
  <c r="U1223" i="1"/>
  <c r="V1222" i="1"/>
  <c r="U1222" i="1"/>
  <c r="V1221" i="1"/>
  <c r="U1221" i="1"/>
  <c r="V1220" i="1"/>
  <c r="U1220" i="1"/>
  <c r="T1219" i="1"/>
  <c r="V1218" i="1"/>
  <c r="U1218" i="1"/>
  <c r="V1217" i="1"/>
  <c r="U1217" i="1"/>
  <c r="V1216" i="1"/>
  <c r="U1216" i="1"/>
  <c r="V1215" i="1"/>
  <c r="U1215" i="1"/>
  <c r="T1214" i="1"/>
  <c r="T1213" i="1"/>
  <c r="V1212" i="1"/>
  <c r="U1212" i="1"/>
  <c r="V1211" i="1"/>
  <c r="U1211" i="1"/>
  <c r="V1210" i="1"/>
  <c r="U1210" i="1"/>
  <c r="V1208" i="1"/>
  <c r="U1208" i="1"/>
  <c r="V1207" i="1"/>
  <c r="U1207" i="1"/>
  <c r="V1206" i="1"/>
  <c r="U1206" i="1"/>
  <c r="V1205" i="1"/>
  <c r="U1205" i="1"/>
  <c r="V1204" i="1"/>
  <c r="U1204" i="1"/>
  <c r="V1203" i="1"/>
  <c r="U1203" i="1"/>
  <c r="T1202" i="1"/>
  <c r="V1201" i="1"/>
  <c r="U1201" i="1"/>
  <c r="T1200" i="1"/>
  <c r="V1199" i="1"/>
  <c r="U1199" i="1"/>
  <c r="V1198" i="1"/>
  <c r="U1198" i="1"/>
  <c r="V1197" i="1"/>
  <c r="U1197" i="1"/>
  <c r="V1196" i="1"/>
  <c r="U1196" i="1"/>
  <c r="V1195" i="1"/>
  <c r="U1195" i="1"/>
  <c r="V1194" i="1"/>
  <c r="U1194" i="1"/>
  <c r="V1193" i="1"/>
  <c r="U1193" i="1"/>
  <c r="V1192" i="1"/>
  <c r="U1192" i="1"/>
  <c r="V1191" i="1"/>
  <c r="U1191" i="1"/>
  <c r="V1190" i="1"/>
  <c r="U1190" i="1"/>
  <c r="T1189" i="1"/>
  <c r="V1188" i="1"/>
  <c r="U1188" i="1"/>
  <c r="V1187" i="1"/>
  <c r="U1187" i="1"/>
  <c r="T1186" i="1"/>
  <c r="V1185" i="1"/>
  <c r="U1185" i="1"/>
  <c r="V1184" i="1"/>
  <c r="U1184" i="1"/>
  <c r="V1183" i="1"/>
  <c r="U1183" i="1"/>
  <c r="V1182" i="1"/>
  <c r="U1182" i="1"/>
  <c r="T1181" i="1"/>
  <c r="V1180" i="1"/>
  <c r="U1180" i="1"/>
  <c r="V1179" i="1"/>
  <c r="U1179" i="1"/>
  <c r="V1178" i="1"/>
  <c r="U1178" i="1"/>
  <c r="V1177" i="1"/>
  <c r="U1177" i="1"/>
  <c r="V1175" i="1"/>
  <c r="U1175" i="1"/>
  <c r="V1174" i="1"/>
  <c r="U1174" i="1"/>
  <c r="V1173" i="1"/>
  <c r="U1173" i="1"/>
  <c r="T1172" i="1"/>
  <c r="V1171" i="1"/>
  <c r="U1171" i="1"/>
  <c r="V1170" i="1"/>
  <c r="U1170" i="1"/>
  <c r="T1169" i="1"/>
  <c r="V1168" i="1"/>
  <c r="U1168" i="1"/>
  <c r="V1167" i="1"/>
  <c r="U1167" i="1"/>
  <c r="V1166" i="1"/>
  <c r="U1166" i="1"/>
  <c r="V1165" i="1"/>
  <c r="U1165" i="1"/>
  <c r="V1164" i="1"/>
  <c r="U1164" i="1"/>
  <c r="V1163" i="1"/>
  <c r="U1163" i="1"/>
  <c r="V1162" i="1"/>
  <c r="U1162" i="1"/>
  <c r="V1161" i="1"/>
  <c r="U1161" i="1"/>
  <c r="T1160" i="1"/>
  <c r="T1159" i="1"/>
  <c r="V1158" i="1"/>
  <c r="U1158" i="1"/>
  <c r="V1157" i="1"/>
  <c r="U1157" i="1"/>
  <c r="V1156" i="1"/>
  <c r="U1156" i="1"/>
  <c r="V1155" i="1"/>
  <c r="U1155" i="1"/>
  <c r="V1154" i="1"/>
  <c r="U1154" i="1"/>
  <c r="V1153" i="1"/>
  <c r="U1153" i="1"/>
  <c r="V1152" i="1"/>
  <c r="U1152" i="1"/>
  <c r="V1151" i="1"/>
  <c r="U1151" i="1"/>
  <c r="V1150" i="1"/>
  <c r="U1150" i="1"/>
  <c r="V1149" i="1"/>
  <c r="U1149" i="1"/>
  <c r="V1148" i="1"/>
  <c r="U1148" i="1"/>
  <c r="V1147" i="1"/>
  <c r="U1147" i="1"/>
  <c r="T1146" i="1"/>
  <c r="V1145" i="1"/>
  <c r="U1145" i="1"/>
  <c r="V1144" i="1"/>
  <c r="U1144" i="1"/>
  <c r="V1143" i="1"/>
  <c r="U1143" i="1"/>
  <c r="V1142" i="1"/>
  <c r="U1142" i="1"/>
  <c r="V1141" i="1"/>
  <c r="U1141" i="1"/>
  <c r="V1140" i="1"/>
  <c r="U1140" i="1"/>
  <c r="V1139" i="1"/>
  <c r="U1139" i="1"/>
  <c r="V1138" i="1"/>
  <c r="U1138" i="1"/>
  <c r="V1137" i="1"/>
  <c r="U1137" i="1"/>
  <c r="V1136" i="1"/>
  <c r="U1136" i="1"/>
  <c r="V1135" i="1"/>
  <c r="U1135" i="1"/>
  <c r="V1134" i="1"/>
  <c r="U1134" i="1"/>
  <c r="V1133" i="1"/>
  <c r="U1133" i="1"/>
  <c r="V1132" i="1"/>
  <c r="U1132" i="1"/>
  <c r="T1131" i="1"/>
  <c r="V1130" i="1"/>
  <c r="U1130" i="1"/>
  <c r="V1129" i="1"/>
  <c r="U1129" i="1"/>
  <c r="T1128" i="1"/>
  <c r="V1127" i="1"/>
  <c r="U1127" i="1"/>
  <c r="V1126" i="1"/>
  <c r="U1126" i="1"/>
  <c r="T1125" i="1"/>
  <c r="T1124" i="1"/>
  <c r="V1123" i="1"/>
  <c r="U1123" i="1"/>
  <c r="V1122" i="1"/>
  <c r="U1122" i="1"/>
  <c r="T1121" i="1"/>
  <c r="V1120" i="1"/>
  <c r="U1120" i="1"/>
  <c r="V1119" i="1"/>
  <c r="U1119" i="1"/>
  <c r="V1118" i="1"/>
  <c r="U1118" i="1"/>
  <c r="V1117" i="1"/>
  <c r="U1117" i="1"/>
  <c r="T1116" i="1"/>
  <c r="V1115" i="1"/>
  <c r="U1115" i="1"/>
  <c r="V1114" i="1"/>
  <c r="U1114" i="1"/>
  <c r="V1113" i="1"/>
  <c r="U1113" i="1"/>
  <c r="T1112" i="1"/>
  <c r="V1111" i="1"/>
  <c r="U1111" i="1"/>
  <c r="V1110" i="1"/>
  <c r="U1110" i="1"/>
  <c r="V1109" i="1"/>
  <c r="U1109" i="1"/>
  <c r="V1108" i="1"/>
  <c r="U1108" i="1"/>
  <c r="V1107" i="1"/>
  <c r="U1107" i="1"/>
  <c r="V1106" i="1"/>
  <c r="U1106" i="1"/>
  <c r="V1105" i="1"/>
  <c r="U1105" i="1"/>
  <c r="V1104" i="1"/>
  <c r="U1104" i="1"/>
  <c r="T1103" i="1"/>
  <c r="V1102" i="1"/>
  <c r="U1102" i="1"/>
  <c r="V1101" i="1"/>
  <c r="U1101" i="1"/>
  <c r="V1100" i="1"/>
  <c r="U1100" i="1"/>
  <c r="V1099" i="1"/>
  <c r="U1099" i="1"/>
  <c r="T1098" i="1"/>
  <c r="V1097" i="1"/>
  <c r="U1097" i="1"/>
  <c r="T1096" i="1"/>
  <c r="V1095" i="1"/>
  <c r="U1095" i="1"/>
  <c r="V1094" i="1"/>
  <c r="U1094" i="1"/>
  <c r="T1093" i="1"/>
  <c r="V1092" i="1"/>
  <c r="U1092" i="1"/>
  <c r="T1091" i="1"/>
  <c r="V1090" i="1"/>
  <c r="U1090" i="1"/>
  <c r="V1089" i="1"/>
  <c r="U1089" i="1"/>
  <c r="V1088" i="1"/>
  <c r="U1088" i="1"/>
  <c r="V1087" i="1"/>
  <c r="U1087" i="1"/>
  <c r="V1086" i="1"/>
  <c r="U1086" i="1"/>
  <c r="V1085" i="1"/>
  <c r="U1085" i="1"/>
  <c r="V1084" i="1"/>
  <c r="U1084" i="1"/>
  <c r="V1083" i="1"/>
  <c r="U1083" i="1"/>
  <c r="V1082" i="1"/>
  <c r="U1082" i="1"/>
  <c r="T1079" i="1"/>
  <c r="V1078" i="1"/>
  <c r="U1078" i="1"/>
  <c r="V1077" i="1"/>
  <c r="U1077" i="1"/>
  <c r="V1076" i="1"/>
  <c r="U1076" i="1"/>
  <c r="V1075" i="1"/>
  <c r="U1075" i="1"/>
  <c r="V1074" i="1"/>
  <c r="U1074" i="1"/>
  <c r="V1073" i="1"/>
  <c r="U1073" i="1"/>
  <c r="T1072" i="1"/>
  <c r="V1071" i="1"/>
  <c r="U1071" i="1"/>
  <c r="T1070" i="1"/>
  <c r="V1069" i="1"/>
  <c r="U1069" i="1"/>
  <c r="V1068" i="1"/>
  <c r="U1068" i="1"/>
  <c r="V1067" i="1"/>
  <c r="U1067" i="1"/>
  <c r="V1066" i="1"/>
  <c r="U1066" i="1"/>
  <c r="V1065" i="1"/>
  <c r="U1065" i="1"/>
  <c r="V1064" i="1"/>
  <c r="U1064" i="1"/>
  <c r="V1063" i="1"/>
  <c r="U1063" i="1"/>
  <c r="V1062" i="1"/>
  <c r="U1062" i="1"/>
  <c r="V1061" i="1"/>
  <c r="U1061" i="1"/>
  <c r="V1060" i="1"/>
  <c r="U1060" i="1"/>
  <c r="T1059" i="1"/>
  <c r="V1058" i="1"/>
  <c r="U1058" i="1"/>
  <c r="V1057" i="1"/>
  <c r="U1057" i="1"/>
  <c r="V1056" i="1"/>
  <c r="U1056" i="1"/>
  <c r="V1055" i="1"/>
  <c r="U1055" i="1"/>
  <c r="V1054" i="1"/>
  <c r="U1054" i="1"/>
  <c r="T1053" i="1"/>
  <c r="V1052" i="1"/>
  <c r="U1052" i="1"/>
  <c r="V1051" i="1"/>
  <c r="U1051" i="1"/>
  <c r="V1050" i="1"/>
  <c r="U1050" i="1"/>
  <c r="V1049" i="1"/>
  <c r="U1049" i="1"/>
  <c r="T1048" i="1"/>
  <c r="V1047" i="1"/>
  <c r="U1047" i="1"/>
  <c r="V1046" i="1"/>
  <c r="U1046" i="1"/>
  <c r="V1045" i="1"/>
  <c r="U1045" i="1"/>
  <c r="V1044" i="1"/>
  <c r="U1044" i="1"/>
  <c r="V1043" i="1"/>
  <c r="U1043" i="1"/>
  <c r="V1042" i="1"/>
  <c r="U1042" i="1"/>
  <c r="V1041" i="1"/>
  <c r="U1041" i="1"/>
  <c r="V1040" i="1"/>
  <c r="U1040" i="1"/>
  <c r="V1039" i="1"/>
  <c r="U1039" i="1"/>
  <c r="V1038" i="1"/>
  <c r="U1038" i="1"/>
  <c r="V1037" i="1"/>
  <c r="U1037" i="1"/>
  <c r="V1036" i="1"/>
  <c r="U1036" i="1"/>
  <c r="V1035" i="1"/>
  <c r="U1035" i="1"/>
  <c r="V1034" i="1"/>
  <c r="U1034" i="1"/>
  <c r="T1033" i="1"/>
  <c r="V1032" i="1"/>
  <c r="U1032" i="1"/>
  <c r="T1031" i="1"/>
  <c r="V1030" i="1"/>
  <c r="U1030" i="1"/>
  <c r="V1029" i="1"/>
  <c r="U1029" i="1"/>
  <c r="V1028" i="1"/>
  <c r="U1028" i="1"/>
  <c r="V1027" i="1"/>
  <c r="U1027" i="1"/>
  <c r="V1026" i="1"/>
  <c r="U1026" i="1"/>
  <c r="V1025" i="1"/>
  <c r="U1025" i="1"/>
  <c r="V1024" i="1"/>
  <c r="U1024" i="1"/>
  <c r="V1023" i="1"/>
  <c r="U1023" i="1"/>
  <c r="V1022" i="1"/>
  <c r="U1022" i="1"/>
  <c r="V1021" i="1"/>
  <c r="U1021" i="1"/>
  <c r="V1020" i="1"/>
  <c r="U1020" i="1"/>
  <c r="V1019" i="1"/>
  <c r="U1019" i="1"/>
  <c r="T1018" i="1"/>
  <c r="V1017" i="1"/>
  <c r="U1017" i="1"/>
  <c r="T1016" i="1"/>
  <c r="V1015" i="1"/>
  <c r="U1015" i="1"/>
  <c r="T1014" i="1"/>
  <c r="V1013" i="1"/>
  <c r="U1013" i="1"/>
  <c r="V1012" i="1"/>
  <c r="U1012" i="1"/>
  <c r="V1011" i="1"/>
  <c r="U1011" i="1"/>
  <c r="V1010" i="1"/>
  <c r="U1010" i="1"/>
  <c r="V1009" i="1"/>
  <c r="U1009" i="1"/>
  <c r="V1008" i="1"/>
  <c r="U1008" i="1"/>
  <c r="V1007" i="1"/>
  <c r="U1007" i="1"/>
  <c r="V1006" i="1"/>
  <c r="U1006" i="1"/>
  <c r="V1005" i="1"/>
  <c r="U1005" i="1"/>
  <c r="V1004" i="1"/>
  <c r="U1004" i="1"/>
  <c r="V1003" i="1"/>
  <c r="U1003" i="1"/>
  <c r="V1002" i="1"/>
  <c r="U1002" i="1"/>
  <c r="V1001" i="1"/>
  <c r="U1001" i="1"/>
  <c r="V1000" i="1"/>
  <c r="U1000" i="1"/>
  <c r="V999" i="1"/>
  <c r="U999" i="1"/>
  <c r="V998" i="1"/>
  <c r="U998" i="1"/>
  <c r="V997" i="1"/>
  <c r="U997" i="1"/>
  <c r="V996" i="1"/>
  <c r="U996" i="1"/>
  <c r="V995" i="1"/>
  <c r="U995" i="1"/>
  <c r="T994" i="1"/>
  <c r="V993" i="1"/>
  <c r="U993" i="1"/>
  <c r="V992" i="1"/>
  <c r="U992" i="1"/>
  <c r="V990" i="1"/>
  <c r="U990" i="1"/>
  <c r="V989" i="1"/>
  <c r="U989" i="1"/>
  <c r="V988" i="1"/>
  <c r="U988" i="1"/>
  <c r="V987" i="1"/>
  <c r="U987" i="1"/>
  <c r="V986" i="1"/>
  <c r="U986" i="1"/>
  <c r="V985" i="1"/>
  <c r="U985" i="1"/>
  <c r="V984" i="1"/>
  <c r="U984" i="1"/>
  <c r="T983" i="1"/>
  <c r="V982" i="1"/>
  <c r="U982" i="1"/>
  <c r="V981" i="1"/>
  <c r="U981" i="1"/>
  <c r="V980" i="1"/>
  <c r="U980" i="1"/>
  <c r="V979" i="1"/>
  <c r="U979" i="1"/>
  <c r="V978" i="1"/>
  <c r="U978" i="1"/>
  <c r="V977" i="1"/>
  <c r="U977" i="1"/>
  <c r="V976" i="1"/>
  <c r="U976" i="1"/>
  <c r="V975" i="1"/>
  <c r="U975" i="1"/>
  <c r="V974" i="1"/>
  <c r="U974" i="1"/>
  <c r="V973" i="1"/>
  <c r="U973" i="1"/>
  <c r="V972" i="1"/>
  <c r="U972" i="1"/>
  <c r="V971" i="1"/>
  <c r="U971" i="1"/>
  <c r="V970" i="1"/>
  <c r="U970" i="1"/>
  <c r="V969" i="1"/>
  <c r="U969" i="1"/>
  <c r="V968" i="1"/>
  <c r="U968" i="1"/>
  <c r="V967" i="1"/>
  <c r="U967" i="1"/>
  <c r="V966" i="1"/>
  <c r="U966" i="1"/>
  <c r="V965" i="1"/>
  <c r="U965" i="1"/>
  <c r="V964" i="1"/>
  <c r="U964" i="1"/>
  <c r="T963" i="1"/>
  <c r="V962" i="1"/>
  <c r="U962" i="1"/>
  <c r="V961" i="1"/>
  <c r="U961" i="1"/>
  <c r="V960" i="1"/>
  <c r="U960" i="1"/>
  <c r="V959" i="1"/>
  <c r="U959" i="1"/>
  <c r="V958" i="1"/>
  <c r="U958" i="1"/>
  <c r="T957" i="1"/>
  <c r="V956" i="1"/>
  <c r="U956" i="1"/>
  <c r="V955" i="1"/>
  <c r="U955" i="1"/>
  <c r="T954" i="1"/>
  <c r="V953" i="1"/>
  <c r="U953" i="1"/>
  <c r="T952" i="1"/>
  <c r="T951" i="1"/>
  <c r="V950" i="1"/>
  <c r="U950" i="1"/>
  <c r="V949" i="1"/>
  <c r="U949" i="1"/>
  <c r="V948" i="1"/>
  <c r="U948" i="1"/>
  <c r="V947" i="1"/>
  <c r="U947" i="1"/>
  <c r="V946" i="1"/>
  <c r="U946" i="1"/>
  <c r="V945" i="1"/>
  <c r="U945" i="1"/>
  <c r="V944" i="1"/>
  <c r="U944" i="1"/>
  <c r="V943" i="1"/>
  <c r="U943" i="1"/>
  <c r="V942" i="1"/>
  <c r="U942" i="1"/>
  <c r="V941" i="1"/>
  <c r="U941" i="1"/>
  <c r="V940" i="1"/>
  <c r="U940" i="1"/>
  <c r="V939" i="1"/>
  <c r="U939" i="1"/>
  <c r="V935" i="1"/>
  <c r="U935" i="1"/>
  <c r="V934" i="1"/>
  <c r="U934" i="1"/>
  <c r="V933" i="1"/>
  <c r="U933" i="1"/>
  <c r="V932" i="1"/>
  <c r="U932" i="1"/>
  <c r="V931" i="1"/>
  <c r="U931" i="1"/>
  <c r="V930" i="1"/>
  <c r="U930" i="1"/>
  <c r="V929" i="1"/>
  <c r="U929" i="1"/>
  <c r="V928" i="1"/>
  <c r="U928" i="1"/>
  <c r="V927" i="1"/>
  <c r="U927" i="1"/>
  <c r="T926" i="1"/>
  <c r="V925" i="1"/>
  <c r="U925" i="1"/>
  <c r="V924" i="1"/>
  <c r="U924" i="1"/>
  <c r="T923" i="1"/>
  <c r="T922" i="1"/>
  <c r="T921" i="1"/>
  <c r="V920" i="1"/>
  <c r="U920" i="1"/>
  <c r="V919" i="1"/>
  <c r="U919" i="1"/>
  <c r="V918" i="1"/>
  <c r="U918" i="1"/>
  <c r="V917" i="1"/>
  <c r="U917" i="1"/>
  <c r="V916" i="1"/>
  <c r="U916" i="1"/>
  <c r="V915" i="1"/>
  <c r="U915" i="1"/>
  <c r="T914" i="1"/>
  <c r="V913" i="1"/>
  <c r="U913" i="1"/>
  <c r="V912" i="1"/>
  <c r="U912" i="1"/>
  <c r="V911" i="1"/>
  <c r="U911" i="1"/>
  <c r="V910" i="1"/>
  <c r="U910" i="1"/>
  <c r="V909" i="1"/>
  <c r="U909" i="1"/>
  <c r="T908" i="1"/>
  <c r="V907" i="1"/>
  <c r="U907" i="1"/>
  <c r="V906" i="1"/>
  <c r="U906" i="1"/>
  <c r="T905" i="1"/>
  <c r="V904" i="1"/>
  <c r="U904" i="1"/>
  <c r="V903" i="1"/>
  <c r="U903" i="1"/>
  <c r="V902" i="1"/>
  <c r="U902" i="1"/>
  <c r="V901" i="1"/>
  <c r="U901" i="1"/>
  <c r="V900" i="1"/>
  <c r="U900" i="1"/>
  <c r="V899" i="1"/>
  <c r="U899" i="1"/>
  <c r="V898" i="1"/>
  <c r="U898" i="1"/>
  <c r="V897" i="1"/>
  <c r="U897" i="1"/>
  <c r="V896" i="1"/>
  <c r="U896" i="1"/>
  <c r="V895" i="1"/>
  <c r="U895" i="1"/>
  <c r="V894" i="1"/>
  <c r="U894" i="1"/>
  <c r="V893" i="1"/>
  <c r="U893" i="1"/>
  <c r="V892" i="1"/>
  <c r="U892" i="1"/>
  <c r="V891" i="1"/>
  <c r="U891" i="1"/>
  <c r="V890" i="1"/>
  <c r="U890" i="1"/>
  <c r="V889" i="1"/>
  <c r="U889" i="1"/>
  <c r="V888" i="1"/>
  <c r="U888" i="1"/>
  <c r="V887" i="1"/>
  <c r="U887" i="1"/>
  <c r="V886" i="1"/>
  <c r="U886" i="1"/>
  <c r="V885" i="1"/>
  <c r="U885" i="1"/>
  <c r="V884" i="1"/>
  <c r="U884" i="1"/>
  <c r="T883" i="1"/>
  <c r="V882" i="1"/>
  <c r="U882" i="1"/>
  <c r="V881" i="1"/>
  <c r="U881" i="1"/>
  <c r="V880" i="1"/>
  <c r="U880" i="1"/>
  <c r="V879" i="1"/>
  <c r="U879" i="1"/>
  <c r="V878" i="1"/>
  <c r="U878" i="1"/>
  <c r="V877" i="1"/>
  <c r="U877" i="1"/>
  <c r="V876" i="1"/>
  <c r="U876" i="1"/>
  <c r="V875" i="1"/>
  <c r="U875" i="1"/>
  <c r="T874" i="1"/>
  <c r="V873" i="1"/>
  <c r="U873" i="1"/>
  <c r="V872" i="1"/>
  <c r="U872" i="1"/>
  <c r="V871" i="1"/>
  <c r="U871" i="1"/>
  <c r="V870" i="1"/>
  <c r="U870" i="1"/>
  <c r="V869" i="1"/>
  <c r="U869" i="1"/>
  <c r="V868" i="1"/>
  <c r="U868" i="1"/>
  <c r="T867" i="1"/>
  <c r="V866" i="1"/>
  <c r="U866" i="1"/>
  <c r="T865" i="1"/>
  <c r="V864" i="1"/>
  <c r="U864" i="1"/>
  <c r="V863" i="1"/>
  <c r="U863" i="1"/>
  <c r="V862" i="1"/>
  <c r="U862" i="1"/>
  <c r="V861" i="1"/>
  <c r="U861" i="1"/>
  <c r="T860" i="1"/>
  <c r="T859" i="1"/>
  <c r="V858" i="1"/>
  <c r="U858" i="1"/>
  <c r="V857" i="1"/>
  <c r="U857" i="1"/>
  <c r="V856" i="1"/>
  <c r="U856" i="1"/>
  <c r="V855" i="1"/>
  <c r="U855" i="1"/>
  <c r="V854" i="1"/>
  <c r="U854" i="1"/>
  <c r="T853" i="1"/>
  <c r="V852" i="1"/>
  <c r="U852" i="1"/>
  <c r="V851" i="1"/>
  <c r="U851" i="1"/>
  <c r="V850" i="1"/>
  <c r="U850" i="1"/>
  <c r="V849" i="1"/>
  <c r="U849" i="1"/>
  <c r="V848" i="1"/>
  <c r="U848" i="1"/>
  <c r="V847" i="1"/>
  <c r="U847" i="1"/>
  <c r="V846" i="1"/>
  <c r="U846" i="1"/>
  <c r="V845" i="1"/>
  <c r="U845" i="1"/>
  <c r="V844" i="1"/>
  <c r="U844" i="1"/>
  <c r="V843" i="1"/>
  <c r="U843" i="1"/>
  <c r="T842" i="1"/>
  <c r="V841" i="1"/>
  <c r="U841" i="1"/>
  <c r="T840" i="1"/>
  <c r="V839" i="1"/>
  <c r="U839" i="1"/>
  <c r="V838" i="1"/>
  <c r="U838" i="1"/>
  <c r="V837" i="1"/>
  <c r="U837" i="1"/>
  <c r="T836" i="1"/>
  <c r="V835" i="1"/>
  <c r="U835" i="1"/>
  <c r="V834" i="1"/>
  <c r="U834" i="1"/>
  <c r="V833" i="1"/>
  <c r="U833" i="1"/>
  <c r="V832" i="1"/>
  <c r="U832" i="1"/>
  <c r="V831" i="1"/>
  <c r="U831" i="1"/>
  <c r="V830" i="1"/>
  <c r="U830" i="1"/>
  <c r="V829" i="1"/>
  <c r="U829" i="1"/>
  <c r="V828" i="1"/>
  <c r="U828" i="1"/>
  <c r="V827" i="1"/>
  <c r="U827" i="1"/>
  <c r="V826" i="1"/>
  <c r="U826" i="1"/>
  <c r="V825" i="1"/>
  <c r="U825" i="1"/>
  <c r="V824" i="1"/>
  <c r="U824" i="1"/>
  <c r="V823" i="1"/>
  <c r="U823" i="1"/>
  <c r="V822" i="1"/>
  <c r="U822" i="1"/>
  <c r="V821" i="1"/>
  <c r="U821" i="1"/>
  <c r="V820" i="1"/>
  <c r="U820" i="1"/>
  <c r="V819" i="1"/>
  <c r="U819" i="1"/>
  <c r="V818" i="1"/>
  <c r="U818" i="1"/>
  <c r="V817" i="1"/>
  <c r="U817" i="1"/>
  <c r="V816" i="1"/>
  <c r="U816" i="1"/>
  <c r="V815" i="1"/>
  <c r="U815" i="1"/>
  <c r="V814" i="1"/>
  <c r="U814" i="1"/>
  <c r="V813" i="1"/>
  <c r="U813" i="1"/>
  <c r="V812" i="1"/>
  <c r="U812" i="1"/>
  <c r="V811" i="1"/>
  <c r="U811" i="1"/>
  <c r="V810" i="1"/>
  <c r="U810" i="1"/>
  <c r="V809" i="1"/>
  <c r="U809" i="1"/>
  <c r="V808" i="1"/>
  <c r="U808" i="1"/>
  <c r="V807" i="1"/>
  <c r="U807" i="1"/>
  <c r="V806" i="1"/>
  <c r="U806" i="1"/>
  <c r="V805" i="1"/>
  <c r="U805" i="1"/>
  <c r="V804" i="1"/>
  <c r="U804" i="1"/>
  <c r="V803" i="1"/>
  <c r="U803" i="1"/>
  <c r="V802" i="1"/>
  <c r="U802" i="1"/>
  <c r="V801" i="1"/>
  <c r="U801" i="1"/>
  <c r="V800" i="1"/>
  <c r="U800" i="1"/>
  <c r="V799" i="1"/>
  <c r="U799" i="1"/>
  <c r="T798" i="1"/>
  <c r="V797" i="1"/>
  <c r="U797" i="1"/>
  <c r="V796" i="1"/>
  <c r="U796" i="1"/>
  <c r="V795" i="1"/>
  <c r="U795" i="1"/>
  <c r="V794" i="1"/>
  <c r="U794" i="1"/>
  <c r="V793" i="1"/>
  <c r="U793" i="1"/>
  <c r="V792" i="1"/>
  <c r="U792" i="1"/>
  <c r="V791" i="1"/>
  <c r="U791" i="1"/>
  <c r="T790" i="1"/>
  <c r="V789" i="1"/>
  <c r="U789" i="1"/>
  <c r="V788" i="1"/>
  <c r="U788" i="1"/>
  <c r="V787" i="1"/>
  <c r="U787" i="1"/>
  <c r="V786" i="1"/>
  <c r="U786" i="1"/>
  <c r="V785" i="1"/>
  <c r="U785" i="1"/>
  <c r="V784" i="1"/>
  <c r="U784" i="1"/>
  <c r="V783" i="1"/>
  <c r="U783" i="1"/>
  <c r="V782" i="1"/>
  <c r="U782" i="1"/>
  <c r="V781" i="1"/>
  <c r="U781" i="1"/>
  <c r="V780" i="1"/>
  <c r="U780" i="1"/>
  <c r="V779" i="1"/>
  <c r="U779" i="1"/>
  <c r="T778" i="1"/>
  <c r="V777" i="1"/>
  <c r="U777" i="1"/>
  <c r="V776" i="1"/>
  <c r="U776" i="1"/>
  <c r="V775" i="1"/>
  <c r="U775" i="1"/>
  <c r="V774" i="1"/>
  <c r="U774" i="1"/>
  <c r="V773" i="1"/>
  <c r="U773" i="1"/>
  <c r="V772" i="1"/>
  <c r="U772" i="1"/>
  <c r="V771" i="1"/>
  <c r="U771" i="1"/>
  <c r="V770" i="1"/>
  <c r="U770" i="1"/>
  <c r="V769" i="1"/>
  <c r="U769" i="1"/>
  <c r="V768" i="1"/>
  <c r="U768" i="1"/>
  <c r="V767" i="1"/>
  <c r="U767" i="1"/>
  <c r="V766" i="1"/>
  <c r="U766" i="1"/>
  <c r="V765" i="1"/>
  <c r="U765" i="1"/>
  <c r="V763" i="1"/>
  <c r="U763" i="1"/>
  <c r="T762" i="1"/>
  <c r="V761" i="1"/>
  <c r="U761" i="1"/>
  <c r="V760" i="1"/>
  <c r="U760" i="1"/>
  <c r="V759" i="1"/>
  <c r="U759" i="1"/>
  <c r="V758" i="1"/>
  <c r="U758" i="1"/>
  <c r="V757" i="1"/>
  <c r="U757" i="1"/>
  <c r="V756" i="1"/>
  <c r="U756" i="1"/>
  <c r="V755" i="1"/>
  <c r="U755" i="1"/>
  <c r="V754" i="1"/>
  <c r="U754" i="1"/>
  <c r="V753" i="1"/>
  <c r="U753" i="1"/>
  <c r="V752" i="1"/>
  <c r="U752" i="1"/>
  <c r="V751" i="1"/>
  <c r="U751" i="1"/>
  <c r="V750" i="1"/>
  <c r="U750" i="1"/>
  <c r="V749" i="1"/>
  <c r="U749" i="1"/>
  <c r="V748" i="1"/>
  <c r="U748" i="1"/>
  <c r="V747" i="1"/>
  <c r="U747" i="1"/>
  <c r="V746" i="1"/>
  <c r="U746" i="1"/>
  <c r="V745" i="1"/>
  <c r="U745" i="1"/>
  <c r="V744" i="1"/>
  <c r="U744" i="1"/>
  <c r="V743" i="1"/>
  <c r="U743" i="1"/>
  <c r="V742" i="1"/>
  <c r="U742" i="1"/>
  <c r="V741" i="1"/>
  <c r="U741" i="1"/>
  <c r="V740" i="1"/>
  <c r="U740" i="1"/>
  <c r="V739" i="1"/>
  <c r="U739" i="1"/>
  <c r="V738" i="1"/>
  <c r="U738" i="1"/>
  <c r="V737" i="1"/>
  <c r="U737" i="1"/>
  <c r="T736" i="1"/>
  <c r="T735" i="1"/>
  <c r="V734" i="1"/>
  <c r="U734" i="1"/>
  <c r="V733" i="1"/>
  <c r="U733" i="1"/>
  <c r="V732" i="1"/>
  <c r="U732" i="1"/>
  <c r="V731" i="1"/>
  <c r="U731" i="1"/>
  <c r="T730" i="1"/>
  <c r="V729" i="1"/>
  <c r="U729" i="1"/>
  <c r="V728" i="1"/>
  <c r="U728" i="1"/>
  <c r="V727" i="1"/>
  <c r="U727" i="1"/>
  <c r="V726" i="1"/>
  <c r="U726" i="1"/>
  <c r="V725" i="1"/>
  <c r="U725" i="1"/>
  <c r="V724" i="1"/>
  <c r="U724" i="1"/>
  <c r="V723" i="1"/>
  <c r="U723" i="1"/>
  <c r="V722" i="1"/>
  <c r="U722" i="1"/>
  <c r="V721" i="1"/>
  <c r="U721" i="1"/>
  <c r="V720" i="1"/>
  <c r="U720" i="1"/>
  <c r="T719" i="1"/>
  <c r="V718" i="1"/>
  <c r="U718" i="1"/>
  <c r="V717" i="1"/>
  <c r="U717" i="1"/>
  <c r="V716" i="1"/>
  <c r="U716" i="1"/>
  <c r="V715" i="1"/>
  <c r="U715" i="1"/>
  <c r="V714" i="1"/>
  <c r="U714" i="1"/>
  <c r="V713" i="1"/>
  <c r="U713" i="1"/>
  <c r="V712" i="1"/>
  <c r="U712" i="1"/>
  <c r="V711" i="1"/>
  <c r="U711" i="1"/>
  <c r="V710" i="1"/>
  <c r="U710" i="1"/>
  <c r="V709" i="1"/>
  <c r="U709" i="1"/>
  <c r="V708" i="1"/>
  <c r="U708" i="1"/>
  <c r="V707" i="1"/>
  <c r="U707" i="1"/>
  <c r="V706" i="1"/>
  <c r="U706" i="1"/>
  <c r="V705" i="1"/>
  <c r="U705" i="1"/>
  <c r="V704" i="1"/>
  <c r="U704" i="1"/>
  <c r="V703" i="1"/>
  <c r="U703" i="1"/>
  <c r="V702" i="1"/>
  <c r="U702" i="1"/>
  <c r="V701" i="1"/>
  <c r="U701" i="1"/>
  <c r="V700" i="1"/>
  <c r="U700" i="1"/>
  <c r="V699" i="1"/>
  <c r="U699" i="1"/>
  <c r="V698" i="1"/>
  <c r="U698" i="1"/>
  <c r="T697" i="1"/>
  <c r="V696" i="1"/>
  <c r="U696" i="1"/>
  <c r="V695" i="1"/>
  <c r="U695" i="1"/>
  <c r="V694" i="1"/>
  <c r="U694" i="1"/>
  <c r="V693" i="1"/>
  <c r="U693" i="1"/>
  <c r="V692" i="1"/>
  <c r="U692" i="1"/>
  <c r="V691" i="1"/>
  <c r="U691" i="1"/>
  <c r="V690" i="1"/>
  <c r="U690" i="1"/>
  <c r="V689" i="1"/>
  <c r="U689" i="1"/>
  <c r="V688" i="1"/>
  <c r="U688" i="1"/>
  <c r="V687" i="1"/>
  <c r="U687" i="1"/>
  <c r="V686" i="1"/>
  <c r="U686" i="1"/>
  <c r="V685" i="1"/>
  <c r="U685" i="1"/>
  <c r="V684" i="1"/>
  <c r="U684" i="1"/>
  <c r="V683" i="1"/>
  <c r="U683" i="1"/>
  <c r="V682" i="1"/>
  <c r="U682" i="1"/>
  <c r="V680" i="1"/>
  <c r="U680" i="1"/>
  <c r="V679" i="1"/>
  <c r="U679" i="1"/>
  <c r="V678" i="1"/>
  <c r="U678" i="1"/>
  <c r="V677" i="1"/>
  <c r="U677" i="1"/>
  <c r="V676" i="1"/>
  <c r="U676" i="1"/>
  <c r="V675" i="1"/>
  <c r="U675" i="1"/>
  <c r="V674" i="1"/>
  <c r="U674" i="1"/>
  <c r="V673" i="1"/>
  <c r="U673" i="1"/>
  <c r="T672" i="1"/>
  <c r="V671" i="1"/>
  <c r="U671" i="1"/>
  <c r="V670" i="1"/>
  <c r="U670" i="1"/>
  <c r="V669" i="1"/>
  <c r="U669" i="1"/>
  <c r="V668" i="1"/>
  <c r="U668" i="1"/>
  <c r="V667" i="1"/>
  <c r="U667" i="1"/>
  <c r="V666" i="1"/>
  <c r="U666" i="1"/>
  <c r="V665" i="1"/>
  <c r="U665" i="1"/>
  <c r="V664" i="1"/>
  <c r="U664" i="1"/>
  <c r="V663" i="1"/>
  <c r="U663" i="1"/>
  <c r="V662" i="1"/>
  <c r="U662" i="1"/>
  <c r="V661" i="1"/>
  <c r="U661" i="1"/>
  <c r="V660" i="1"/>
  <c r="U660" i="1"/>
  <c r="V659" i="1"/>
  <c r="U659" i="1"/>
  <c r="V658" i="1"/>
  <c r="U658" i="1"/>
  <c r="V657" i="1"/>
  <c r="U657" i="1"/>
  <c r="V656" i="1"/>
  <c r="U656" i="1"/>
  <c r="V655" i="1"/>
  <c r="U655" i="1"/>
  <c r="V654" i="1"/>
  <c r="U654" i="1"/>
  <c r="V653" i="1"/>
  <c r="U653" i="1"/>
  <c r="V652" i="1"/>
  <c r="U652" i="1"/>
  <c r="V651" i="1"/>
  <c r="U651" i="1"/>
  <c r="V650" i="1"/>
  <c r="U650" i="1"/>
  <c r="V649" i="1"/>
  <c r="U649" i="1"/>
  <c r="V648" i="1"/>
  <c r="U648" i="1"/>
  <c r="T647" i="1"/>
  <c r="T646" i="1"/>
  <c r="V645" i="1"/>
  <c r="U645" i="1"/>
  <c r="V644" i="1"/>
  <c r="U644" i="1"/>
  <c r="V642" i="1"/>
  <c r="U642" i="1"/>
  <c r="V641" i="1"/>
  <c r="U641" i="1"/>
  <c r="V640" i="1"/>
  <c r="U640" i="1"/>
  <c r="T639" i="1"/>
  <c r="V638" i="1"/>
  <c r="U638" i="1"/>
  <c r="V637" i="1"/>
  <c r="U637" i="1"/>
  <c r="V636" i="1"/>
  <c r="U636" i="1"/>
  <c r="T635" i="1"/>
  <c r="V634" i="1"/>
  <c r="U634" i="1"/>
  <c r="V633" i="1"/>
  <c r="U633" i="1"/>
  <c r="V632" i="1"/>
  <c r="U632" i="1"/>
  <c r="V631" i="1"/>
  <c r="U631" i="1"/>
  <c r="V630" i="1"/>
  <c r="U630" i="1"/>
  <c r="V629" i="1"/>
  <c r="U629" i="1"/>
  <c r="V628" i="1"/>
  <c r="U628" i="1"/>
  <c r="V627" i="1"/>
  <c r="U627" i="1"/>
  <c r="T626" i="1"/>
  <c r="V625" i="1"/>
  <c r="U625" i="1"/>
  <c r="T624" i="1"/>
  <c r="V623" i="1"/>
  <c r="U623" i="1"/>
  <c r="V622" i="1"/>
  <c r="U622" i="1"/>
  <c r="V621" i="1"/>
  <c r="U621" i="1"/>
  <c r="V620" i="1"/>
  <c r="U620" i="1"/>
  <c r="V619" i="1"/>
  <c r="U619" i="1"/>
  <c r="V618" i="1"/>
  <c r="U618" i="1"/>
  <c r="V617" i="1"/>
  <c r="U617" i="1"/>
  <c r="V616" i="1"/>
  <c r="U616" i="1"/>
  <c r="V615" i="1"/>
  <c r="U615" i="1"/>
  <c r="V614" i="1"/>
  <c r="U614" i="1"/>
  <c r="V613" i="1"/>
  <c r="U613" i="1"/>
  <c r="V612" i="1"/>
  <c r="U612" i="1"/>
  <c r="V611" i="1"/>
  <c r="U611" i="1"/>
  <c r="V610" i="1"/>
  <c r="U610" i="1"/>
  <c r="V609" i="1"/>
  <c r="U609" i="1"/>
  <c r="V608" i="1"/>
  <c r="U608" i="1"/>
  <c r="V607" i="1"/>
  <c r="U607" i="1"/>
  <c r="T606" i="1"/>
  <c r="V605" i="1"/>
  <c r="U605" i="1"/>
  <c r="V604" i="1"/>
  <c r="U604" i="1"/>
  <c r="T603" i="1"/>
  <c r="V602" i="1"/>
  <c r="U602" i="1"/>
  <c r="V601" i="1"/>
  <c r="U601" i="1"/>
  <c r="V600" i="1"/>
  <c r="U600" i="1"/>
  <c r="V599" i="1"/>
  <c r="U599" i="1"/>
  <c r="V598" i="1"/>
  <c r="U598" i="1"/>
  <c r="V597" i="1"/>
  <c r="U597" i="1"/>
  <c r="V596" i="1"/>
  <c r="U596" i="1"/>
  <c r="V595" i="1"/>
  <c r="U595" i="1"/>
  <c r="V594" i="1"/>
  <c r="U594" i="1"/>
  <c r="T593" i="1"/>
  <c r="V592" i="1"/>
  <c r="U592" i="1"/>
  <c r="V591" i="1"/>
  <c r="U591" i="1"/>
  <c r="T590" i="1"/>
  <c r="V589" i="1"/>
  <c r="U589" i="1"/>
  <c r="V588" i="1"/>
  <c r="U588" i="1"/>
  <c r="V587" i="1"/>
  <c r="U587" i="1"/>
  <c r="V586" i="1"/>
  <c r="U586" i="1"/>
  <c r="V585" i="1"/>
  <c r="U585" i="1"/>
  <c r="V584" i="1"/>
  <c r="U584" i="1"/>
  <c r="V583" i="1"/>
  <c r="U583" i="1"/>
  <c r="V582" i="1"/>
  <c r="U582" i="1"/>
  <c r="V581" i="1"/>
  <c r="U581" i="1"/>
  <c r="V580" i="1"/>
  <c r="U580" i="1"/>
  <c r="V579" i="1"/>
  <c r="U579" i="1"/>
  <c r="V578" i="1"/>
  <c r="U578" i="1"/>
  <c r="V577" i="1"/>
  <c r="U577" i="1"/>
  <c r="V576" i="1"/>
  <c r="U576" i="1"/>
  <c r="V575" i="1"/>
  <c r="U575" i="1"/>
  <c r="V574" i="1"/>
  <c r="U574" i="1"/>
  <c r="V573" i="1"/>
  <c r="U573" i="1"/>
  <c r="T572" i="1"/>
  <c r="V571" i="1"/>
  <c r="U571" i="1"/>
  <c r="V570" i="1"/>
  <c r="U570" i="1"/>
  <c r="V569" i="1"/>
  <c r="U569" i="1"/>
  <c r="V568" i="1"/>
  <c r="U568" i="1"/>
  <c r="V567" i="1"/>
  <c r="U567" i="1"/>
  <c r="V566" i="1"/>
  <c r="U566" i="1"/>
  <c r="V565" i="1"/>
  <c r="U565" i="1"/>
  <c r="T564" i="1"/>
  <c r="V563" i="1"/>
  <c r="U563" i="1"/>
  <c r="T562" i="1"/>
  <c r="V561" i="1"/>
  <c r="U561" i="1"/>
  <c r="V560" i="1"/>
  <c r="U560" i="1"/>
  <c r="V559" i="1"/>
  <c r="U559" i="1"/>
  <c r="V558" i="1"/>
  <c r="U558" i="1"/>
  <c r="V557" i="1"/>
  <c r="U557" i="1"/>
  <c r="V556" i="1"/>
  <c r="U556" i="1"/>
  <c r="V555" i="1"/>
  <c r="U555" i="1"/>
  <c r="V554" i="1"/>
  <c r="U554" i="1"/>
  <c r="V553" i="1"/>
  <c r="U553" i="1"/>
  <c r="V552" i="1"/>
  <c r="U552" i="1"/>
  <c r="V551" i="1"/>
  <c r="U551" i="1"/>
  <c r="V550" i="1"/>
  <c r="U550" i="1"/>
  <c r="V549" i="1"/>
  <c r="U549" i="1"/>
  <c r="V547" i="1"/>
  <c r="U547" i="1"/>
  <c r="V546" i="1"/>
  <c r="U546" i="1"/>
  <c r="V545" i="1"/>
  <c r="U545" i="1"/>
  <c r="V544" i="1"/>
  <c r="U544" i="1"/>
  <c r="V543" i="1"/>
  <c r="U543" i="1"/>
  <c r="V542" i="1"/>
  <c r="U542" i="1"/>
  <c r="V541" i="1"/>
  <c r="U541" i="1"/>
  <c r="V540" i="1"/>
  <c r="U540" i="1"/>
  <c r="V539" i="1"/>
  <c r="U539" i="1"/>
  <c r="V538" i="1"/>
  <c r="U538" i="1"/>
  <c r="V537" i="1"/>
  <c r="U537" i="1"/>
  <c r="V536" i="1"/>
  <c r="U536" i="1"/>
  <c r="V535" i="1"/>
  <c r="U535" i="1"/>
  <c r="V534" i="1"/>
  <c r="U534" i="1"/>
  <c r="V533" i="1"/>
  <c r="U533" i="1"/>
  <c r="V532" i="1"/>
  <c r="U532" i="1"/>
  <c r="V531" i="1"/>
  <c r="U531" i="1"/>
  <c r="V530" i="1"/>
  <c r="U530" i="1"/>
  <c r="V529" i="1"/>
  <c r="U529" i="1"/>
  <c r="T528" i="1"/>
  <c r="V527" i="1"/>
  <c r="U527" i="1"/>
  <c r="V526" i="1"/>
  <c r="U526" i="1"/>
  <c r="V525" i="1"/>
  <c r="U525" i="1"/>
  <c r="V524" i="1"/>
  <c r="U524" i="1"/>
  <c r="V523" i="1"/>
  <c r="U523" i="1"/>
  <c r="V522" i="1"/>
  <c r="U522" i="1"/>
  <c r="V521" i="1"/>
  <c r="U521" i="1"/>
  <c r="V520" i="1"/>
  <c r="U520" i="1"/>
  <c r="V519" i="1"/>
  <c r="U519" i="1"/>
  <c r="V518" i="1"/>
  <c r="U518" i="1"/>
  <c r="V517" i="1"/>
  <c r="U517" i="1"/>
  <c r="V516" i="1"/>
  <c r="U516" i="1"/>
  <c r="V515" i="1"/>
  <c r="U515" i="1"/>
  <c r="T514" i="1"/>
  <c r="T513" i="1"/>
  <c r="V512" i="1"/>
  <c r="U512" i="1"/>
  <c r="V511" i="1"/>
  <c r="U511" i="1"/>
  <c r="V510" i="1"/>
  <c r="U510" i="1"/>
  <c r="V509" i="1"/>
  <c r="U509" i="1"/>
  <c r="V508" i="1"/>
  <c r="U508" i="1"/>
  <c r="V507" i="1"/>
  <c r="U507" i="1"/>
  <c r="V506" i="1"/>
  <c r="U506" i="1"/>
  <c r="V505" i="1"/>
  <c r="U505" i="1"/>
  <c r="V504" i="1"/>
  <c r="U504" i="1"/>
  <c r="T503" i="1"/>
  <c r="V502" i="1"/>
  <c r="U502" i="1"/>
  <c r="V500" i="1"/>
  <c r="U500" i="1"/>
  <c r="V499" i="1"/>
  <c r="U499" i="1"/>
  <c r="V498" i="1"/>
  <c r="U498" i="1"/>
  <c r="V497" i="1"/>
  <c r="U497" i="1"/>
  <c r="V496" i="1"/>
  <c r="U496" i="1"/>
  <c r="V495" i="1"/>
  <c r="U495" i="1"/>
  <c r="V494" i="1"/>
  <c r="U494" i="1"/>
  <c r="V493" i="1"/>
  <c r="U493" i="1"/>
  <c r="T492" i="1"/>
  <c r="V491" i="1"/>
  <c r="U491" i="1"/>
  <c r="V490" i="1"/>
  <c r="U490" i="1"/>
  <c r="V489" i="1"/>
  <c r="U489" i="1"/>
  <c r="V488" i="1"/>
  <c r="U488" i="1"/>
  <c r="V487" i="1"/>
  <c r="U487" i="1"/>
  <c r="V486" i="1"/>
  <c r="U486" i="1"/>
  <c r="V485" i="1"/>
  <c r="U485" i="1"/>
  <c r="V484" i="1"/>
  <c r="U484" i="1"/>
  <c r="V483" i="1"/>
  <c r="U483" i="1"/>
  <c r="V482" i="1"/>
  <c r="U482" i="1"/>
  <c r="V481" i="1"/>
  <c r="U481" i="1"/>
  <c r="V480" i="1"/>
  <c r="U480" i="1"/>
  <c r="V479" i="1"/>
  <c r="U479" i="1"/>
  <c r="V478" i="1"/>
  <c r="U478" i="1"/>
  <c r="V477" i="1"/>
  <c r="U477" i="1"/>
  <c r="V476" i="1"/>
  <c r="U476" i="1"/>
  <c r="V475" i="1"/>
  <c r="U475" i="1"/>
  <c r="V474" i="1"/>
  <c r="U474" i="1"/>
  <c r="V473" i="1"/>
  <c r="U473" i="1"/>
  <c r="V472" i="1"/>
  <c r="U472" i="1"/>
  <c r="V471" i="1"/>
  <c r="U471" i="1"/>
  <c r="V470" i="1"/>
  <c r="U470" i="1"/>
  <c r="V469" i="1"/>
  <c r="U469" i="1"/>
  <c r="T468" i="1"/>
  <c r="V467" i="1"/>
  <c r="U467" i="1"/>
  <c r="V466" i="1"/>
  <c r="U466" i="1"/>
  <c r="V465" i="1"/>
  <c r="U465" i="1"/>
  <c r="V464" i="1"/>
  <c r="U464" i="1"/>
  <c r="V463" i="1"/>
  <c r="U463" i="1"/>
  <c r="V462" i="1"/>
  <c r="U462" i="1"/>
  <c r="V461" i="1"/>
  <c r="U461" i="1"/>
  <c r="V460" i="1"/>
  <c r="U460" i="1"/>
  <c r="V459" i="1"/>
  <c r="U459" i="1"/>
  <c r="V458" i="1"/>
  <c r="U458" i="1"/>
  <c r="V457" i="1"/>
  <c r="U457" i="1"/>
  <c r="V456" i="1"/>
  <c r="U456" i="1"/>
  <c r="V455" i="1"/>
  <c r="U455" i="1"/>
  <c r="V454" i="1"/>
  <c r="U454" i="1"/>
  <c r="V453" i="1"/>
  <c r="U453" i="1"/>
  <c r="V452" i="1"/>
  <c r="U452" i="1"/>
  <c r="V451" i="1"/>
  <c r="U451" i="1"/>
  <c r="V450" i="1"/>
  <c r="U450" i="1"/>
  <c r="T449" i="1"/>
  <c r="V448" i="1"/>
  <c r="U448" i="1"/>
  <c r="V447" i="1"/>
  <c r="U447" i="1"/>
  <c r="V446" i="1"/>
  <c r="U446" i="1"/>
  <c r="V445" i="1"/>
  <c r="U445" i="1"/>
  <c r="V444" i="1"/>
  <c r="U444" i="1"/>
  <c r="V443" i="1"/>
  <c r="U443" i="1"/>
  <c r="V442" i="1"/>
  <c r="U442" i="1"/>
  <c r="V441" i="1"/>
  <c r="U441" i="1"/>
  <c r="V440" i="1"/>
  <c r="U440" i="1"/>
  <c r="T439" i="1"/>
  <c r="V438" i="1"/>
  <c r="U438" i="1"/>
  <c r="V437" i="1"/>
  <c r="U437" i="1"/>
  <c r="T436" i="1"/>
  <c r="V435" i="1"/>
  <c r="U435" i="1"/>
  <c r="V434" i="1"/>
  <c r="U434" i="1"/>
  <c r="V433" i="1"/>
  <c r="U433" i="1"/>
  <c r="V432" i="1"/>
  <c r="U432" i="1"/>
  <c r="V431" i="1"/>
  <c r="U431" i="1"/>
  <c r="V430" i="1"/>
  <c r="U430" i="1"/>
  <c r="V429" i="1"/>
  <c r="U429" i="1"/>
  <c r="V428" i="1"/>
  <c r="U428" i="1"/>
  <c r="V427" i="1"/>
  <c r="U427" i="1"/>
  <c r="V426" i="1"/>
  <c r="U426" i="1"/>
  <c r="V425" i="1"/>
  <c r="U425" i="1"/>
  <c r="V424" i="1"/>
  <c r="U424" i="1"/>
  <c r="V423" i="1"/>
  <c r="U423" i="1"/>
  <c r="V422" i="1"/>
  <c r="U422" i="1"/>
  <c r="V421" i="1"/>
  <c r="U421" i="1"/>
  <c r="V420" i="1"/>
  <c r="U420" i="1"/>
  <c r="V419" i="1"/>
  <c r="U419" i="1"/>
  <c r="T418" i="1"/>
  <c r="V417" i="1"/>
  <c r="U417" i="1"/>
  <c r="V416" i="1"/>
  <c r="U416" i="1"/>
  <c r="V415" i="1"/>
  <c r="U415" i="1"/>
  <c r="V414" i="1"/>
  <c r="U414" i="1"/>
  <c r="V413" i="1"/>
  <c r="U413" i="1"/>
  <c r="V412" i="1"/>
  <c r="U412" i="1"/>
  <c r="V411" i="1"/>
  <c r="U411" i="1"/>
  <c r="V410" i="1"/>
  <c r="U410" i="1"/>
  <c r="V409" i="1"/>
  <c r="U409" i="1"/>
  <c r="V408" i="1"/>
  <c r="U408" i="1"/>
  <c r="V407" i="1"/>
  <c r="U407" i="1"/>
  <c r="V406" i="1"/>
  <c r="U406" i="1"/>
  <c r="V405" i="1"/>
  <c r="U405" i="1"/>
  <c r="V404" i="1"/>
  <c r="U404" i="1"/>
  <c r="V403" i="1"/>
  <c r="U403" i="1"/>
  <c r="V402" i="1"/>
  <c r="U402" i="1"/>
  <c r="V401" i="1"/>
  <c r="U401" i="1"/>
  <c r="V400" i="1"/>
  <c r="U400" i="1"/>
  <c r="V399" i="1"/>
  <c r="U399" i="1"/>
  <c r="V398" i="1"/>
  <c r="U398" i="1"/>
  <c r="V397" i="1"/>
  <c r="U397" i="1"/>
  <c r="V396" i="1"/>
  <c r="U396" i="1"/>
  <c r="V395" i="1"/>
  <c r="U395" i="1"/>
  <c r="T394" i="1"/>
  <c r="V393" i="1"/>
  <c r="U393" i="1"/>
  <c r="V392" i="1"/>
  <c r="U392" i="1"/>
  <c r="V391" i="1"/>
  <c r="U391" i="1"/>
  <c r="V390" i="1"/>
  <c r="U390" i="1"/>
  <c r="V389" i="1"/>
  <c r="U389" i="1"/>
  <c r="V388" i="1"/>
  <c r="U388" i="1"/>
  <c r="V387" i="1"/>
  <c r="U387" i="1"/>
  <c r="V386" i="1"/>
  <c r="U386" i="1"/>
  <c r="V385" i="1"/>
  <c r="U385" i="1"/>
  <c r="V384" i="1"/>
  <c r="U384" i="1"/>
  <c r="V383" i="1"/>
  <c r="U383" i="1"/>
  <c r="V382" i="1"/>
  <c r="U382" i="1"/>
  <c r="V381" i="1"/>
  <c r="U381" i="1"/>
  <c r="V380" i="1"/>
  <c r="U380" i="1"/>
  <c r="V379" i="1"/>
  <c r="U379" i="1"/>
  <c r="V378" i="1"/>
  <c r="U378" i="1"/>
  <c r="V377" i="1"/>
  <c r="U377" i="1"/>
  <c r="V376" i="1"/>
  <c r="U376" i="1"/>
  <c r="V375" i="1"/>
  <c r="U375" i="1"/>
  <c r="V374" i="1"/>
  <c r="U374" i="1"/>
  <c r="T373" i="1"/>
  <c r="T372" i="1"/>
  <c r="V371" i="1"/>
  <c r="U371" i="1"/>
  <c r="V370" i="1"/>
  <c r="U370" i="1"/>
  <c r="V369" i="1"/>
  <c r="U369" i="1"/>
  <c r="V368" i="1"/>
  <c r="U368" i="1"/>
  <c r="V367" i="1"/>
  <c r="U367" i="1"/>
  <c r="V366" i="1"/>
  <c r="U366" i="1"/>
  <c r="V365" i="1"/>
  <c r="U365" i="1"/>
  <c r="V364" i="1"/>
  <c r="U364" i="1"/>
  <c r="V363" i="1"/>
  <c r="U363" i="1"/>
  <c r="T362" i="1"/>
  <c r="V361" i="1"/>
  <c r="U361" i="1"/>
  <c r="V360" i="1"/>
  <c r="U360" i="1"/>
  <c r="V359" i="1"/>
  <c r="U359" i="1"/>
  <c r="V358" i="1"/>
  <c r="U358" i="1"/>
  <c r="V357" i="1"/>
  <c r="U357" i="1"/>
  <c r="T356" i="1"/>
  <c r="V355" i="1"/>
  <c r="U355" i="1"/>
  <c r="T354" i="1"/>
  <c r="V353" i="1"/>
  <c r="U353" i="1"/>
  <c r="V352" i="1"/>
  <c r="U352" i="1"/>
  <c r="V351" i="1"/>
  <c r="U351" i="1"/>
  <c r="V350" i="1"/>
  <c r="U350" i="1"/>
  <c r="V349" i="1"/>
  <c r="U349" i="1"/>
  <c r="V348" i="1"/>
  <c r="U348" i="1"/>
  <c r="V347" i="1"/>
  <c r="U347" i="1"/>
  <c r="V346" i="1"/>
  <c r="U346" i="1"/>
  <c r="V345" i="1"/>
  <c r="U345" i="1"/>
  <c r="V344" i="1"/>
  <c r="U344" i="1"/>
  <c r="V343" i="1"/>
  <c r="U343" i="1"/>
  <c r="V342" i="1"/>
  <c r="U342" i="1"/>
  <c r="T341" i="1"/>
  <c r="V340" i="1"/>
  <c r="U340" i="1"/>
  <c r="V339" i="1"/>
  <c r="U339" i="1"/>
  <c r="V338" i="1"/>
  <c r="U338" i="1"/>
  <c r="T337" i="1"/>
  <c r="V336" i="1"/>
  <c r="U336" i="1"/>
  <c r="T335" i="1"/>
  <c r="V334" i="1"/>
  <c r="U334" i="1"/>
  <c r="V333" i="1"/>
  <c r="U333" i="1"/>
  <c r="V332" i="1"/>
  <c r="U332" i="1"/>
  <c r="V331" i="1"/>
  <c r="U331" i="1"/>
  <c r="V330" i="1"/>
  <c r="U330" i="1"/>
  <c r="V329" i="1"/>
  <c r="U329" i="1"/>
  <c r="V328" i="1"/>
  <c r="U328" i="1"/>
  <c r="V327" i="1"/>
  <c r="U327" i="1"/>
  <c r="T326" i="1"/>
  <c r="T325" i="1"/>
  <c r="T324" i="1"/>
  <c r="V323" i="1"/>
  <c r="U323" i="1"/>
  <c r="V322" i="1"/>
  <c r="U322" i="1"/>
  <c r="V321" i="1"/>
  <c r="U321" i="1"/>
  <c r="V320" i="1"/>
  <c r="U320" i="1"/>
  <c r="V319" i="1"/>
  <c r="U319" i="1"/>
  <c r="V318" i="1"/>
  <c r="U318" i="1"/>
  <c r="V317" i="1"/>
  <c r="U317" i="1"/>
  <c r="V316" i="1"/>
  <c r="U316" i="1"/>
  <c r="V315" i="1"/>
  <c r="U315" i="1"/>
  <c r="V314" i="1"/>
  <c r="U314" i="1"/>
  <c r="V313" i="1"/>
  <c r="U313" i="1"/>
  <c r="V312" i="1"/>
  <c r="U312" i="1"/>
  <c r="V311" i="1"/>
  <c r="U311" i="1"/>
  <c r="V310" i="1"/>
  <c r="U310" i="1"/>
  <c r="V309" i="1"/>
  <c r="U309" i="1"/>
  <c r="V308" i="1"/>
  <c r="U308" i="1"/>
  <c r="V307" i="1"/>
  <c r="U307" i="1"/>
  <c r="V306" i="1"/>
  <c r="U306" i="1"/>
  <c r="T305" i="1"/>
  <c r="V304" i="1"/>
  <c r="U304" i="1"/>
  <c r="V303" i="1"/>
  <c r="U303" i="1"/>
  <c r="V302" i="1"/>
  <c r="U302" i="1"/>
  <c r="V301" i="1"/>
  <c r="U301" i="1"/>
  <c r="T300" i="1"/>
  <c r="V299" i="1"/>
  <c r="U299" i="1"/>
  <c r="V298" i="1"/>
  <c r="U298" i="1"/>
  <c r="V297" i="1"/>
  <c r="U297" i="1"/>
  <c r="V296" i="1"/>
  <c r="U296" i="1"/>
  <c r="V295" i="1"/>
  <c r="U295" i="1"/>
  <c r="V294" i="1"/>
  <c r="U294" i="1"/>
  <c r="V293" i="1"/>
  <c r="U293" i="1"/>
  <c r="V292" i="1"/>
  <c r="U292" i="1"/>
  <c r="V291" i="1"/>
  <c r="U291" i="1"/>
  <c r="V290" i="1"/>
  <c r="U290" i="1"/>
  <c r="V289" i="1"/>
  <c r="U289" i="1"/>
  <c r="V288" i="1"/>
  <c r="U288" i="1"/>
  <c r="V287" i="1"/>
  <c r="U287" i="1"/>
  <c r="V286" i="1"/>
  <c r="U286" i="1"/>
  <c r="T285" i="1"/>
  <c r="V284" i="1"/>
  <c r="U284" i="1"/>
  <c r="V283" i="1"/>
  <c r="U283" i="1"/>
  <c r="V282" i="1"/>
  <c r="U282" i="1"/>
  <c r="T281" i="1"/>
  <c r="V280" i="1"/>
  <c r="U280" i="1"/>
  <c r="V279" i="1"/>
  <c r="U279" i="1"/>
  <c r="V278" i="1"/>
  <c r="U278" i="1"/>
  <c r="V277" i="1"/>
  <c r="U277" i="1"/>
  <c r="V276" i="1"/>
  <c r="U276" i="1"/>
  <c r="V275" i="1"/>
  <c r="U275" i="1"/>
  <c r="V274" i="1"/>
  <c r="U274" i="1"/>
  <c r="T273" i="1"/>
  <c r="V272" i="1"/>
  <c r="U272" i="1"/>
  <c r="T271" i="1"/>
  <c r="V270" i="1"/>
  <c r="U270" i="1"/>
  <c r="V269" i="1"/>
  <c r="U269" i="1"/>
  <c r="V268" i="1"/>
  <c r="U268" i="1"/>
  <c r="T267" i="1"/>
  <c r="V266" i="1"/>
  <c r="U266" i="1"/>
  <c r="V265" i="1"/>
  <c r="U265" i="1"/>
  <c r="V264" i="1"/>
  <c r="U264" i="1"/>
  <c r="T263" i="1"/>
  <c r="T261" i="1"/>
  <c r="V260" i="1"/>
  <c r="U260" i="1"/>
  <c r="V259" i="1"/>
  <c r="U259" i="1"/>
  <c r="V258" i="1"/>
  <c r="U258" i="1"/>
  <c r="V257" i="1"/>
  <c r="U257" i="1"/>
  <c r="V256" i="1"/>
  <c r="U256" i="1"/>
  <c r="V255" i="1"/>
  <c r="U255" i="1"/>
  <c r="V254" i="1"/>
  <c r="U254" i="1"/>
  <c r="V253" i="1"/>
  <c r="U253" i="1"/>
  <c r="V252" i="1"/>
  <c r="U252" i="1"/>
  <c r="V251" i="1"/>
  <c r="U251" i="1"/>
  <c r="V250" i="1"/>
  <c r="U250" i="1"/>
  <c r="V249" i="1"/>
  <c r="U249" i="1"/>
  <c r="V248" i="1"/>
  <c r="U248" i="1"/>
  <c r="V247" i="1"/>
  <c r="U247" i="1"/>
  <c r="V246" i="1"/>
  <c r="U246" i="1"/>
  <c r="V245" i="1"/>
  <c r="U245" i="1"/>
  <c r="V244" i="1"/>
  <c r="U244" i="1"/>
  <c r="V243" i="1"/>
  <c r="U243" i="1"/>
  <c r="T242" i="1"/>
  <c r="V241" i="1"/>
  <c r="U241" i="1"/>
  <c r="V240" i="1"/>
  <c r="U240" i="1"/>
  <c r="V239" i="1"/>
  <c r="U239" i="1"/>
  <c r="V238" i="1"/>
  <c r="U238" i="1"/>
  <c r="V237" i="1"/>
  <c r="U237" i="1"/>
  <c r="V236" i="1"/>
  <c r="U236" i="1"/>
  <c r="V235" i="1"/>
  <c r="U235" i="1"/>
  <c r="T234" i="1"/>
  <c r="T233" i="1"/>
  <c r="V232" i="1"/>
  <c r="U232" i="1"/>
  <c r="V231" i="1"/>
  <c r="U231" i="1"/>
  <c r="V230" i="1"/>
  <c r="U230" i="1"/>
  <c r="V229" i="1"/>
  <c r="U229" i="1"/>
  <c r="V228" i="1"/>
  <c r="U228" i="1"/>
  <c r="V227" i="1"/>
  <c r="U227" i="1"/>
  <c r="V226" i="1"/>
  <c r="U226" i="1"/>
  <c r="T225" i="1"/>
  <c r="V224" i="1"/>
  <c r="U224" i="1"/>
  <c r="V223" i="1"/>
  <c r="U223" i="1"/>
  <c r="V222" i="1"/>
  <c r="U222" i="1"/>
  <c r="V221" i="1"/>
  <c r="U221" i="1"/>
  <c r="V220" i="1"/>
  <c r="U220" i="1"/>
  <c r="V219" i="1"/>
  <c r="U219" i="1"/>
  <c r="V218" i="1"/>
  <c r="U218" i="1"/>
  <c r="V217" i="1"/>
  <c r="U217" i="1"/>
  <c r="V216" i="1"/>
  <c r="U216" i="1"/>
  <c r="V215" i="1"/>
  <c r="U215" i="1"/>
  <c r="V214" i="1"/>
  <c r="U214" i="1"/>
  <c r="T213" i="1"/>
  <c r="V212" i="1"/>
  <c r="U212" i="1"/>
  <c r="T211" i="1"/>
  <c r="T210" i="1"/>
  <c r="V209" i="1"/>
  <c r="U209" i="1"/>
  <c r="V208" i="1"/>
  <c r="U208" i="1"/>
  <c r="V207" i="1"/>
  <c r="U207" i="1"/>
  <c r="V206" i="1"/>
  <c r="U206" i="1"/>
  <c r="V205" i="1"/>
  <c r="U205" i="1"/>
  <c r="V204" i="1"/>
  <c r="U204" i="1"/>
  <c r="V203" i="1"/>
  <c r="U203" i="1"/>
  <c r="V202" i="1"/>
  <c r="U202" i="1"/>
  <c r="V201" i="1"/>
  <c r="U201" i="1"/>
  <c r="V200" i="1"/>
  <c r="U200" i="1"/>
  <c r="V199" i="1"/>
  <c r="U199" i="1"/>
  <c r="V197" i="1"/>
  <c r="U197" i="1"/>
  <c r="V196" i="1"/>
  <c r="U196" i="1"/>
  <c r="V195" i="1"/>
  <c r="U195" i="1"/>
  <c r="V194" i="1"/>
  <c r="U194" i="1"/>
  <c r="V193" i="1"/>
  <c r="U193" i="1"/>
  <c r="V192" i="1"/>
  <c r="U192" i="1"/>
  <c r="V191" i="1"/>
  <c r="U191" i="1"/>
  <c r="T190" i="1"/>
  <c r="V189" i="1"/>
  <c r="U189" i="1"/>
  <c r="V188" i="1"/>
  <c r="U188" i="1"/>
  <c r="V187" i="1"/>
  <c r="U187" i="1"/>
  <c r="V186" i="1"/>
  <c r="U186" i="1"/>
  <c r="V185" i="1"/>
  <c r="U185" i="1"/>
  <c r="V184" i="1"/>
  <c r="U184" i="1"/>
  <c r="V183" i="1"/>
  <c r="U183" i="1"/>
  <c r="T182" i="1"/>
  <c r="V181" i="1"/>
  <c r="U181" i="1"/>
  <c r="V180" i="1"/>
  <c r="U180" i="1"/>
  <c r="V179" i="1"/>
  <c r="U179" i="1"/>
  <c r="V178" i="1"/>
  <c r="U178" i="1"/>
  <c r="T177" i="1"/>
  <c r="T176" i="1"/>
  <c r="V175" i="1"/>
  <c r="U175" i="1"/>
  <c r="V174" i="1"/>
  <c r="U174" i="1"/>
  <c r="V173" i="1"/>
  <c r="U173" i="1"/>
  <c r="V172" i="1"/>
  <c r="U172" i="1"/>
  <c r="V171" i="1"/>
  <c r="U171" i="1"/>
  <c r="V170" i="1"/>
  <c r="U170" i="1"/>
  <c r="V169" i="1"/>
  <c r="U169" i="1"/>
  <c r="V168" i="1"/>
  <c r="U168" i="1"/>
  <c r="V167" i="1"/>
  <c r="U167" i="1"/>
  <c r="T166" i="1"/>
  <c r="V165" i="1"/>
  <c r="U165" i="1"/>
  <c r="V164" i="1"/>
  <c r="U164" i="1"/>
  <c r="V163" i="1"/>
  <c r="U163" i="1"/>
  <c r="V162" i="1"/>
  <c r="U162" i="1"/>
  <c r="V161" i="1"/>
  <c r="U161" i="1"/>
  <c r="V160" i="1"/>
  <c r="U160" i="1"/>
  <c r="V159" i="1"/>
  <c r="U159" i="1"/>
  <c r="V158" i="1"/>
  <c r="U158" i="1"/>
  <c r="V157" i="1"/>
  <c r="U157" i="1"/>
  <c r="V156" i="1"/>
  <c r="U156" i="1"/>
  <c r="V155" i="1"/>
  <c r="U155" i="1"/>
  <c r="V154" i="1"/>
  <c r="U154" i="1"/>
  <c r="V153" i="1"/>
  <c r="U153" i="1"/>
  <c r="V152" i="1"/>
  <c r="U152" i="1"/>
  <c r="T151" i="1"/>
  <c r="V150" i="1"/>
  <c r="U150" i="1"/>
  <c r="V149" i="1"/>
  <c r="U149" i="1"/>
  <c r="V148" i="1"/>
  <c r="U148" i="1"/>
  <c r="V147" i="1"/>
  <c r="U147" i="1"/>
  <c r="T146" i="1"/>
  <c r="V145" i="1"/>
  <c r="U145" i="1"/>
  <c r="V144" i="1"/>
  <c r="U144" i="1"/>
  <c r="V143" i="1"/>
  <c r="U143" i="1"/>
  <c r="V142" i="1"/>
  <c r="U142" i="1"/>
  <c r="V141" i="1"/>
  <c r="U141" i="1"/>
  <c r="V140" i="1"/>
  <c r="U140" i="1"/>
  <c r="V139" i="1"/>
  <c r="U139" i="1"/>
  <c r="V138" i="1"/>
  <c r="U138" i="1"/>
  <c r="T137" i="1"/>
  <c r="V136" i="1"/>
  <c r="U136" i="1"/>
  <c r="V135" i="1"/>
  <c r="U135" i="1"/>
  <c r="V134" i="1"/>
  <c r="U134" i="1"/>
  <c r="V133" i="1"/>
  <c r="U133" i="1"/>
  <c r="V132" i="1"/>
  <c r="U132" i="1"/>
  <c r="V131" i="1"/>
  <c r="U131" i="1"/>
  <c r="V130" i="1"/>
  <c r="U130" i="1"/>
  <c r="V129" i="1"/>
  <c r="U129" i="1"/>
  <c r="T128" i="1"/>
  <c r="V127" i="1"/>
  <c r="U127" i="1"/>
  <c r="V126" i="1"/>
  <c r="U126" i="1"/>
  <c r="V125" i="1"/>
  <c r="U125" i="1"/>
  <c r="V124" i="1"/>
  <c r="U124" i="1"/>
  <c r="V123" i="1"/>
  <c r="U123" i="1"/>
  <c r="V122" i="1"/>
  <c r="U122" i="1"/>
  <c r="V121" i="1"/>
  <c r="U121" i="1"/>
  <c r="V120" i="1"/>
  <c r="U120" i="1"/>
  <c r="V119" i="1"/>
  <c r="U119" i="1"/>
  <c r="V118" i="1"/>
  <c r="U118" i="1"/>
  <c r="V117" i="1"/>
  <c r="U117" i="1"/>
  <c r="V116" i="1"/>
  <c r="U116" i="1"/>
  <c r="V115" i="1"/>
  <c r="U115" i="1"/>
  <c r="V114" i="1"/>
  <c r="U114" i="1"/>
  <c r="V113" i="1"/>
  <c r="U113" i="1"/>
  <c r="V112" i="1"/>
  <c r="U112" i="1"/>
  <c r="V111" i="1"/>
  <c r="U111" i="1"/>
  <c r="V110" i="1"/>
  <c r="U110" i="1"/>
  <c r="V109" i="1"/>
  <c r="U109" i="1"/>
  <c r="V108" i="1"/>
  <c r="U108" i="1"/>
  <c r="V107" i="1"/>
  <c r="U107" i="1"/>
  <c r="V106" i="1"/>
  <c r="U106" i="1"/>
  <c r="V105" i="1"/>
  <c r="U105" i="1"/>
  <c r="T104" i="1"/>
  <c r="V103" i="1"/>
  <c r="U103" i="1"/>
  <c r="T102" i="1"/>
  <c r="V101" i="1"/>
  <c r="U101" i="1"/>
  <c r="V100" i="1"/>
  <c r="U100" i="1"/>
  <c r="V99" i="1"/>
  <c r="U99" i="1"/>
  <c r="V98" i="1"/>
  <c r="U98" i="1"/>
  <c r="V97" i="1"/>
  <c r="U97" i="1"/>
  <c r="V96" i="1"/>
  <c r="U96" i="1"/>
  <c r="V95" i="1"/>
  <c r="U95" i="1"/>
  <c r="V94" i="1"/>
  <c r="U94" i="1"/>
  <c r="V93" i="1"/>
  <c r="U93" i="1"/>
  <c r="V92" i="1"/>
  <c r="U92" i="1"/>
  <c r="V91" i="1"/>
  <c r="U91" i="1"/>
  <c r="T90" i="1"/>
  <c r="V89" i="1"/>
  <c r="U89" i="1"/>
  <c r="V88" i="1"/>
  <c r="U88" i="1"/>
  <c r="V87" i="1"/>
  <c r="U87" i="1"/>
  <c r="V86" i="1"/>
  <c r="U86" i="1"/>
  <c r="V85" i="1"/>
  <c r="U85" i="1"/>
  <c r="V84" i="1"/>
  <c r="U84" i="1"/>
  <c r="V83" i="1"/>
  <c r="U83" i="1"/>
  <c r="V82" i="1"/>
  <c r="U82" i="1"/>
  <c r="V81" i="1"/>
  <c r="U81" i="1"/>
  <c r="V80" i="1"/>
  <c r="U80" i="1"/>
  <c r="V79" i="1"/>
  <c r="U79" i="1"/>
  <c r="V78" i="1"/>
  <c r="U78" i="1"/>
  <c r="V77" i="1"/>
  <c r="U77" i="1"/>
  <c r="V76" i="1"/>
  <c r="U76" i="1"/>
  <c r="V75" i="1"/>
  <c r="U75" i="1"/>
  <c r="V74" i="1"/>
  <c r="U74" i="1"/>
  <c r="V73" i="1"/>
  <c r="U73" i="1"/>
  <c r="V72" i="1"/>
  <c r="U72" i="1"/>
  <c r="V71" i="1"/>
  <c r="U71" i="1"/>
  <c r="V70" i="1"/>
  <c r="U70" i="1"/>
  <c r="T69" i="1"/>
  <c r="V68" i="1"/>
  <c r="U68" i="1"/>
  <c r="V67" i="1"/>
  <c r="U67" i="1"/>
  <c r="V66" i="1"/>
  <c r="U66" i="1"/>
  <c r="V65" i="1"/>
  <c r="U65" i="1"/>
  <c r="V64" i="1"/>
  <c r="U64" i="1"/>
  <c r="V63" i="1"/>
  <c r="U63" i="1"/>
  <c r="V62" i="1"/>
  <c r="U62" i="1"/>
  <c r="V61" i="1"/>
  <c r="U61" i="1"/>
  <c r="V60" i="1"/>
  <c r="U60" i="1"/>
  <c r="V59" i="1"/>
  <c r="U59" i="1"/>
  <c r="V58" i="1"/>
  <c r="U58" i="1"/>
  <c r="V57" i="1"/>
  <c r="U57" i="1"/>
  <c r="V56" i="1"/>
  <c r="U56" i="1"/>
  <c r="V55" i="1"/>
  <c r="U55" i="1"/>
  <c r="T54" i="1"/>
  <c r="V53" i="1"/>
  <c r="U53" i="1"/>
  <c r="T52" i="1"/>
  <c r="V51" i="1"/>
  <c r="U51" i="1"/>
  <c r="V50" i="1"/>
  <c r="U50" i="1"/>
  <c r="V49" i="1"/>
  <c r="U49" i="1"/>
  <c r="V48" i="1"/>
  <c r="U48" i="1"/>
  <c r="V47" i="1"/>
  <c r="U47" i="1"/>
  <c r="V46" i="1"/>
  <c r="U46" i="1"/>
  <c r="V45" i="1"/>
  <c r="U45" i="1"/>
  <c r="V44" i="1"/>
  <c r="U44" i="1"/>
  <c r="V43" i="1"/>
  <c r="U43" i="1"/>
  <c r="V42" i="1"/>
  <c r="U42" i="1"/>
  <c r="T41" i="1"/>
  <c r="V40" i="1"/>
  <c r="U40" i="1"/>
  <c r="V39" i="1"/>
  <c r="U39" i="1"/>
  <c r="V38" i="1"/>
  <c r="U38" i="1"/>
  <c r="T37" i="1"/>
  <c r="V36" i="1"/>
  <c r="U36" i="1"/>
  <c r="T35" i="1"/>
  <c r="V34" i="1"/>
  <c r="U34" i="1"/>
  <c r="V33" i="1"/>
  <c r="U33" i="1"/>
  <c r="V32" i="1"/>
  <c r="U32" i="1"/>
  <c r="T31" i="1"/>
  <c r="V30" i="1"/>
  <c r="U30" i="1"/>
  <c r="T29" i="1"/>
  <c r="V28" i="1"/>
  <c r="U28" i="1"/>
  <c r="V27" i="1"/>
  <c r="U27" i="1"/>
  <c r="V26" i="1"/>
  <c r="U26" i="1"/>
  <c r="T25" i="1"/>
  <c r="T24" i="1"/>
  <c r="V23" i="1"/>
  <c r="U23" i="1"/>
  <c r="V22" i="1"/>
  <c r="U22" i="1"/>
  <c r="V21" i="1"/>
  <c r="U21" i="1"/>
  <c r="V20" i="1"/>
  <c r="U20" i="1"/>
  <c r="V19" i="1"/>
  <c r="U19" i="1"/>
  <c r="V18" i="1"/>
  <c r="U18" i="1"/>
  <c r="V17" i="1"/>
  <c r="U17" i="1"/>
  <c r="V16" i="1"/>
  <c r="U16" i="1"/>
  <c r="V15" i="1"/>
  <c r="U15" i="1"/>
  <c r="V14" i="1"/>
  <c r="U14" i="1"/>
  <c r="V13" i="1"/>
  <c r="U13" i="1"/>
  <c r="V12" i="1"/>
  <c r="U12" i="1"/>
  <c r="V11" i="1"/>
  <c r="U11" i="1"/>
  <c r="V10" i="1"/>
  <c r="U10" i="1"/>
  <c r="V9" i="1"/>
  <c r="U9" i="1"/>
  <c r="V8" i="1"/>
  <c r="U8" i="1"/>
  <c r="V7" i="1"/>
  <c r="U7" i="1"/>
  <c r="V6" i="1"/>
  <c r="U6" i="1"/>
  <c r="V5" i="1"/>
  <c r="U5" i="1"/>
  <c r="V4" i="1"/>
  <c r="U4" i="1"/>
  <c r="V3" i="1"/>
  <c r="U3" i="1"/>
  <c r="V2" i="1"/>
  <c r="U2" i="1"/>
  <c r="E71" i="13" l="1"/>
  <c r="B5" i="14"/>
  <c r="C11" i="18"/>
  <c r="C10" i="18"/>
  <c r="C9" i="18"/>
  <c r="E130" i="10"/>
  <c r="E134" i="10" s="1"/>
  <c r="F981" i="8"/>
  <c r="E959" i="8"/>
  <c r="F985" i="8"/>
  <c r="F976" i="8"/>
  <c r="E358" i="12"/>
  <c r="F957" i="8"/>
  <c r="F984" i="8"/>
  <c r="F951" i="8"/>
  <c r="F941" i="8"/>
  <c r="F977" i="8"/>
  <c r="F958" i="8"/>
  <c r="F970" i="8"/>
  <c r="F963" i="8"/>
  <c r="F975" i="8"/>
  <c r="F982" i="8"/>
  <c r="E672" i="11"/>
  <c r="E675" i="11" s="1"/>
  <c r="F969" i="8"/>
  <c r="F983" i="8"/>
  <c r="F946" i="8"/>
  <c r="F964" i="8"/>
  <c r="D959" i="8"/>
  <c r="F965" i="8" l="1"/>
  <c r="F971" i="8"/>
  <c r="E133" i="10"/>
  <c r="E135" i="10" s="1"/>
  <c r="E136" i="10"/>
  <c r="E137" i="10"/>
  <c r="E368" i="12"/>
  <c r="E365" i="12"/>
  <c r="D371" i="12"/>
  <c r="F959" i="8"/>
  <c r="F952" i="8"/>
  <c r="D372" i="12"/>
  <c r="E364" i="12"/>
  <c r="E369" i="12"/>
  <c r="E678" i="11"/>
  <c r="E679" i="11"/>
  <c r="E676" i="11"/>
  <c r="E677" i="11" s="1"/>
  <c r="E138" i="10" l="1"/>
  <c r="E139" i="10" s="1"/>
  <c r="E680" i="11"/>
  <c r="U2047" i="1" l="1"/>
  <c r="V5100" i="1"/>
  <c r="U2449" i="1"/>
  <c r="V1403" i="1"/>
  <c r="U1904" i="1"/>
  <c r="V4645" i="1"/>
  <c r="U177" i="1"/>
  <c r="V3165" i="1"/>
  <c r="U3134" i="1"/>
  <c r="U606" i="1"/>
  <c r="U4839" i="1"/>
  <c r="V1112" i="1"/>
  <c r="U3649" i="1"/>
  <c r="U4088" i="1"/>
  <c r="U1676" i="1"/>
  <c r="U1836" i="1"/>
  <c r="V3151" i="1"/>
  <c r="U4807" i="1"/>
  <c r="V90" i="1"/>
  <c r="U211" i="1"/>
  <c r="U1124" i="1"/>
  <c r="U1079" i="1"/>
  <c r="V4532" i="1"/>
  <c r="V2327" i="1"/>
  <c r="U1764" i="1"/>
  <c r="V1059" i="1"/>
  <c r="U225" i="1"/>
  <c r="U4019" i="1"/>
  <c r="V3926" i="1"/>
  <c r="V305" i="1"/>
  <c r="V1904" i="1"/>
  <c r="U5115" i="1"/>
  <c r="U4072" i="1"/>
  <c r="U2808" i="1"/>
  <c r="V2514" i="1"/>
  <c r="V4705" i="1"/>
  <c r="V1395" i="1"/>
  <c r="V2187" i="1"/>
  <c r="V2102" i="1"/>
  <c r="V1605" i="1"/>
  <c r="V798" i="1"/>
  <c r="U3519" i="1"/>
  <c r="V3216" i="1"/>
  <c r="U2149" i="1"/>
  <c r="U3799" i="1"/>
  <c r="U4747" i="1"/>
  <c r="V3161" i="1"/>
  <c r="U2067" i="1"/>
  <c r="V1882" i="1"/>
  <c r="V5120" i="1"/>
  <c r="V3657" i="1"/>
  <c r="V3909" i="1"/>
  <c r="U210" i="1"/>
  <c r="V234" i="1"/>
  <c r="U3815" i="1"/>
  <c r="U4684" i="1"/>
  <c r="U2377" i="1"/>
  <c r="U29" i="1"/>
  <c r="V2204" i="1"/>
  <c r="U2284" i="1"/>
  <c r="V3846" i="1"/>
  <c r="U4395" i="1"/>
  <c r="V2170" i="1"/>
  <c r="V2050" i="1"/>
  <c r="V4442" i="1"/>
  <c r="U128" i="1"/>
  <c r="V4962" i="1"/>
  <c r="V2100" i="1"/>
  <c r="V4772" i="1"/>
  <c r="U2408" i="1"/>
  <c r="U4610" i="1"/>
  <c r="V1743" i="1"/>
  <c r="V4367" i="1"/>
  <c r="V719" i="1"/>
  <c r="V2620" i="1"/>
  <c r="U4400" i="1"/>
  <c r="U4418" i="1"/>
  <c r="U2728" i="1"/>
  <c r="V2177" i="1"/>
  <c r="U3389" i="1"/>
  <c r="V4114" i="1"/>
  <c r="U2577" i="1"/>
  <c r="U2599" i="1"/>
  <c r="V1676" i="1"/>
  <c r="V2661" i="1"/>
  <c r="V1306" i="1"/>
  <c r="U840" i="1"/>
  <c r="V362" i="1"/>
  <c r="V300" i="1"/>
  <c r="U1618" i="1"/>
  <c r="V285" i="1"/>
  <c r="U4261" i="1"/>
  <c r="V2287" i="1"/>
  <c r="U1605" i="1"/>
  <c r="V436" i="1"/>
  <c r="V4038" i="1"/>
  <c r="V3112" i="1"/>
  <c r="U3732" i="1"/>
  <c r="V2477" i="1"/>
  <c r="U5187" i="1"/>
  <c r="V840" i="1"/>
  <c r="V4414" i="1"/>
  <c r="U5193" i="1"/>
  <c r="U5091" i="1"/>
  <c r="V2655" i="1"/>
  <c r="U2249" i="1"/>
  <c r="V3190" i="1"/>
  <c r="V926" i="1"/>
  <c r="U646" i="1"/>
  <c r="U3005" i="1"/>
  <c r="U914" i="1"/>
  <c r="V4427" i="1"/>
  <c r="U1016" i="1"/>
  <c r="V137" i="1"/>
  <c r="U3269" i="1"/>
  <c r="U90" i="1"/>
  <c r="V5040" i="1"/>
  <c r="V4505" i="1"/>
  <c r="U2971" i="1"/>
  <c r="V2216" i="1"/>
  <c r="V1402" i="1"/>
  <c r="V3728" i="1"/>
  <c r="V1464" i="1"/>
  <c r="V263" i="1"/>
  <c r="U2514" i="1"/>
  <c r="V2842" i="1"/>
  <c r="U3719" i="1"/>
  <c r="V4480" i="1"/>
  <c r="U2874" i="1"/>
  <c r="V3363" i="1"/>
  <c r="V326" i="1"/>
  <c r="V4314" i="1"/>
  <c r="U1658" i="1"/>
  <c r="V1291" i="1"/>
  <c r="U373" i="1"/>
  <c r="V2244" i="1"/>
  <c r="V3163" i="1"/>
  <c r="V354" i="1"/>
  <c r="V3443" i="1"/>
  <c r="U1339" i="1"/>
  <c r="U5060" i="1"/>
  <c r="U2721" i="1"/>
  <c r="V4180" i="1"/>
  <c r="U52" i="1"/>
  <c r="U4180" i="1"/>
  <c r="V1902" i="1"/>
  <c r="U647" i="1"/>
  <c r="V593" i="1"/>
  <c r="V2946" i="1"/>
  <c r="U1648" i="1"/>
  <c r="V2055" i="1"/>
  <c r="V4048" i="1"/>
  <c r="U1365" i="1"/>
  <c r="V1330" i="1"/>
  <c r="V3565" i="1"/>
  <c r="V3085" i="1"/>
  <c r="U337" i="1"/>
  <c r="U4308" i="1"/>
  <c r="U3003" i="1"/>
  <c r="V514" i="1"/>
  <c r="V730" i="1"/>
  <c r="V3713" i="1"/>
  <c r="U2144" i="1"/>
  <c r="U2050" i="1"/>
  <c r="U2082" i="1"/>
  <c r="U1469" i="1"/>
  <c r="U2080" i="1"/>
  <c r="V1225" i="1"/>
  <c r="V3387" i="1"/>
  <c r="V3349" i="1"/>
  <c r="U2346" i="1"/>
  <c r="U697" i="1"/>
  <c r="V1018" i="1"/>
  <c r="V1881" i="1"/>
  <c r="V1807" i="1"/>
  <c r="V2673" i="1"/>
  <c r="V1125" i="1"/>
  <c r="U2428" i="1"/>
  <c r="V2941" i="1"/>
  <c r="U4192" i="1"/>
  <c r="U4071" i="1"/>
  <c r="V146" i="1"/>
  <c r="V4015" i="1"/>
  <c r="U4557" i="1"/>
  <c r="U2045" i="1"/>
  <c r="U3809" i="1"/>
  <c r="U1922" i="1"/>
  <c r="V4977" i="1"/>
  <c r="V335" i="1"/>
  <c r="V2577" i="1"/>
  <c r="V2790" i="1"/>
  <c r="V4610" i="1"/>
  <c r="U2440" i="1"/>
  <c r="V4370" i="1"/>
  <c r="V2370" i="1"/>
  <c r="U3523" i="1"/>
  <c r="U4461" i="1"/>
  <c r="V3910" i="1"/>
  <c r="V2971" i="1"/>
  <c r="U3304" i="1"/>
  <c r="V261" i="1"/>
  <c r="V4683" i="1"/>
  <c r="V914" i="1"/>
  <c r="U4049" i="1"/>
  <c r="V3611" i="1"/>
  <c r="U146" i="1"/>
  <c r="U1820" i="1"/>
  <c r="U1493" i="1"/>
  <c r="U2648" i="1"/>
  <c r="U4262" i="1"/>
  <c r="V2728" i="1"/>
  <c r="V1793" i="1"/>
  <c r="V1014" i="1"/>
  <c r="U2065" i="1"/>
  <c r="U3366" i="1"/>
  <c r="V4035" i="1"/>
  <c r="U853" i="1"/>
  <c r="V3523" i="1"/>
  <c r="U176" i="1"/>
  <c r="V4656" i="1"/>
  <c r="U4729" i="1"/>
  <c r="U5019" i="1"/>
  <c r="U1172" i="1"/>
  <c r="U2125" i="1"/>
  <c r="V3793" i="1"/>
  <c r="U5126" i="1"/>
  <c r="U1125" i="1"/>
  <c r="U5021" i="1"/>
  <c r="V2361" i="1"/>
  <c r="V1366" i="1"/>
  <c r="V4684" i="1"/>
  <c r="U1160" i="1"/>
  <c r="U1334" i="1"/>
  <c r="V3260" i="1"/>
  <c r="U4772" i="1"/>
  <c r="U41" i="1"/>
  <c r="V2611" i="1"/>
  <c r="U1462" i="1"/>
  <c r="V3603" i="1"/>
  <c r="U1200" i="1"/>
  <c r="U3691" i="1"/>
  <c r="V3235" i="1"/>
  <c r="V356" i="1"/>
  <c r="V2651" i="1"/>
  <c r="U2495" i="1"/>
  <c r="U3292" i="1"/>
  <c r="U4948" i="1"/>
  <c r="U2842" i="1"/>
  <c r="U2835" i="1"/>
  <c r="V1347" i="1"/>
  <c r="U1116" i="1"/>
  <c r="U4429" i="1"/>
  <c r="V182" i="1"/>
  <c r="V1778" i="1"/>
  <c r="V418" i="1"/>
  <c r="U1389" i="1"/>
  <c r="U4575" i="1"/>
  <c r="V1728" i="1"/>
  <c r="U4994" i="1"/>
  <c r="U1607" i="1"/>
  <c r="V3827" i="1"/>
  <c r="V1532" i="1"/>
  <c r="V3855" i="1"/>
  <c r="V923" i="1"/>
  <c r="V672" i="1"/>
  <c r="V5117" i="1"/>
  <c r="U2943" i="1"/>
  <c r="V2868" i="1"/>
  <c r="V337" i="1"/>
  <c r="V1377" i="1"/>
  <c r="U1769" i="1"/>
  <c r="V3156" i="1"/>
  <c r="U4656" i="1"/>
  <c r="V2833" i="1"/>
  <c r="U2792" i="1"/>
  <c r="U672" i="1"/>
  <c r="V4398" i="1"/>
  <c r="V836" i="1"/>
  <c r="U1882" i="1"/>
  <c r="U2203" i="1"/>
  <c r="V1250" i="1"/>
  <c r="U2166" i="1"/>
  <c r="U2766" i="1"/>
  <c r="U449" i="1"/>
  <c r="V1802" i="1"/>
  <c r="V4622" i="1"/>
  <c r="U865" i="1"/>
  <c r="V1462" i="1"/>
  <c r="V1160" i="1"/>
  <c r="V3296" i="1"/>
  <c r="U5146" i="1"/>
  <c r="U3185" i="1"/>
  <c r="U1219" i="1"/>
  <c r="U1033" i="1"/>
  <c r="U4980" i="1"/>
  <c r="U860" i="1"/>
  <c r="V1246" i="1"/>
  <c r="V3270" i="1"/>
  <c r="U2988" i="1"/>
  <c r="V3399" i="1"/>
  <c r="U3928" i="1"/>
  <c r="U3810" i="1"/>
  <c r="U5113" i="1"/>
  <c r="U2102" i="1"/>
  <c r="V954" i="1"/>
  <c r="V1950" i="1"/>
  <c r="U4532" i="1"/>
  <c r="V5133" i="1"/>
  <c r="V4700" i="1"/>
  <c r="U572" i="1"/>
  <c r="V2599" i="1"/>
  <c r="V963" i="1"/>
  <c r="U4780" i="1"/>
  <c r="U4331" i="1"/>
  <c r="V860" i="1"/>
  <c r="V3039" i="1"/>
  <c r="U273" i="1"/>
  <c r="V439" i="1"/>
  <c r="U1228" i="1"/>
  <c r="V4216" i="1"/>
  <c r="V1230" i="1"/>
  <c r="U2062" i="1"/>
  <c r="U4705" i="1"/>
  <c r="U2442" i="1"/>
  <c r="V4786" i="1"/>
  <c r="U1631" i="1"/>
  <c r="U4891" i="1"/>
  <c r="V3570" i="1"/>
  <c r="U1831" i="1"/>
  <c r="V1810" i="1"/>
  <c r="V3010" i="1"/>
  <c r="V1202" i="1"/>
  <c r="U4300" i="1"/>
  <c r="V3945" i="1"/>
  <c r="U3772" i="1"/>
  <c r="V2008" i="1"/>
  <c r="V3302" i="1"/>
  <c r="U37" i="1"/>
  <c r="U1189" i="1"/>
  <c r="U182" i="1"/>
  <c r="U2287" i="1"/>
  <c r="U790" i="1"/>
  <c r="V1344" i="1"/>
  <c r="U2716" i="1"/>
  <c r="U3363" i="1"/>
  <c r="U2244" i="1"/>
  <c r="V4305" i="1"/>
  <c r="U3713" i="1"/>
  <c r="V3366" i="1"/>
  <c r="V951" i="1"/>
  <c r="V4990" i="1"/>
  <c r="U3565" i="1"/>
  <c r="V1816" i="1"/>
  <c r="V3117" i="1"/>
  <c r="V25" i="1"/>
  <c r="U4941" i="1"/>
  <c r="U2464" i="1"/>
  <c r="V4095" i="1"/>
  <c r="V2562" i="1"/>
  <c r="V1219" i="1"/>
  <c r="V905" i="1"/>
  <c r="V4828" i="1"/>
  <c r="V1475" i="1"/>
  <c r="V4845" i="1"/>
  <c r="U3851" i="1"/>
  <c r="V1707" i="1"/>
  <c r="U3423" i="1"/>
  <c r="V3004" i="1"/>
  <c r="V2672" i="1"/>
  <c r="V3141" i="1"/>
  <c r="U1319" i="1"/>
  <c r="U4289" i="1"/>
  <c r="V54" i="1"/>
  <c r="V3304" i="1"/>
  <c r="U639" i="1"/>
  <c r="V5091" i="1"/>
  <c r="V4478" i="1"/>
  <c r="V3598" i="1"/>
  <c r="V4751" i="1"/>
  <c r="V2213" i="1"/>
  <c r="U2251" i="1"/>
  <c r="V3938" i="1"/>
  <c r="U2474" i="1"/>
  <c r="V4125" i="1"/>
  <c r="U3344" i="1"/>
  <c r="U798" i="1"/>
  <c r="U439" i="1"/>
  <c r="U213" i="1"/>
  <c r="V1053" i="1"/>
  <c r="U2790" i="1"/>
  <c r="U2946" i="1"/>
  <c r="U4286" i="1"/>
  <c r="U4480" i="1"/>
  <c r="V1334" i="1"/>
  <c r="U4784" i="1"/>
  <c r="U5032" i="1"/>
  <c r="V2411" i="1"/>
  <c r="V2392" i="1"/>
  <c r="U1801" i="1"/>
  <c r="U2916" i="1"/>
  <c r="U3379" i="1"/>
  <c r="U1595" i="1"/>
  <c r="V1033" i="1"/>
  <c r="V2982" i="1"/>
  <c r="V4500" i="1"/>
  <c r="U3534" i="1"/>
  <c r="U1638" i="1"/>
  <c r="U4500" i="1"/>
  <c r="V4776" i="1"/>
  <c r="V2648" i="1"/>
  <c r="V242" i="1"/>
  <c r="V1048" i="1"/>
  <c r="V2426" i="1"/>
  <c r="U1031" i="1"/>
  <c r="U3075" i="1"/>
  <c r="V190" i="1"/>
  <c r="V1339" i="1"/>
  <c r="V1391" i="1"/>
  <c r="U190" i="1"/>
  <c r="U2673" i="1"/>
  <c r="V2080" i="1"/>
  <c r="U1728" i="1"/>
  <c r="U3696" i="1"/>
  <c r="V468" i="1"/>
  <c r="U5103" i="1"/>
  <c r="V1737" i="1"/>
  <c r="U1802" i="1"/>
  <c r="U867" i="1"/>
  <c r="U2999" i="1"/>
  <c r="U963" i="1"/>
  <c r="U3980" i="1"/>
  <c r="V2014" i="1"/>
  <c r="V5126" i="1"/>
  <c r="V3005" i="1"/>
  <c r="U1669" i="1"/>
  <c r="V2066" i="1"/>
  <c r="V3075" i="1"/>
  <c r="U233" i="1"/>
  <c r="U3216" i="1"/>
  <c r="U31" i="1"/>
  <c r="U4791" i="1"/>
  <c r="U4081" i="1"/>
  <c r="U1322" i="1"/>
  <c r="U3827" i="1"/>
  <c r="U1249" i="1"/>
  <c r="U4586" i="1"/>
  <c r="U2709" i="1"/>
  <c r="U4977" i="1"/>
  <c r="V5079" i="1"/>
  <c r="V4586" i="1"/>
  <c r="V3634" i="1"/>
  <c r="U2177" i="1"/>
  <c r="U2014" i="1"/>
  <c r="U4392" i="1"/>
  <c r="U3243" i="1"/>
  <c r="U624" i="1"/>
  <c r="V2875" i="1"/>
  <c r="U4896" i="1"/>
  <c r="V1214" i="1"/>
  <c r="U1450" i="1"/>
  <c r="V5124" i="1"/>
  <c r="V29" i="1"/>
  <c r="U4427" i="1"/>
  <c r="U2977" i="1"/>
  <c r="V3428" i="1"/>
  <c r="U2833" i="1"/>
  <c r="V4034" i="1"/>
  <c r="V4004" i="1"/>
  <c r="U2477" i="1"/>
  <c r="U1328" i="1"/>
  <c r="U1743" i="1"/>
  <c r="V373" i="1"/>
  <c r="V590" i="1"/>
  <c r="V4473" i="1"/>
  <c r="V1568" i="1"/>
  <c r="V4999" i="1"/>
  <c r="V3144" i="1"/>
  <c r="V4575" i="1"/>
  <c r="V1329" i="1"/>
  <c r="U1014" i="1"/>
  <c r="U1213" i="1"/>
  <c r="V4559" i="1"/>
  <c r="V2752" i="1"/>
  <c r="V2566" i="1"/>
  <c r="V4966" i="1"/>
  <c r="V2144" i="1"/>
  <c r="U5009" i="1"/>
  <c r="V1682" i="1"/>
  <c r="U1324" i="1"/>
  <c r="U1093" i="1"/>
  <c r="V4734" i="1"/>
  <c r="U1239" i="1"/>
  <c r="V2333" i="1"/>
  <c r="U4213" i="1"/>
  <c r="U3163" i="1"/>
  <c r="U3910" i="1"/>
  <c r="U874" i="1"/>
  <c r="V128" i="1"/>
  <c r="V225" i="1"/>
  <c r="U5071" i="1"/>
  <c r="U3235" i="1"/>
  <c r="V2222" i="1"/>
  <c r="U4478" i="1"/>
  <c r="U3156" i="1"/>
  <c r="V1517" i="1"/>
  <c r="U2413" i="1"/>
  <c r="V4192" i="1"/>
  <c r="V1493" i="1"/>
  <c r="U1091" i="1"/>
  <c r="V3888" i="1"/>
  <c r="V3606" i="1"/>
  <c r="V1941" i="1"/>
  <c r="V5086" i="1"/>
  <c r="V4794" i="1"/>
  <c r="V3037" i="1"/>
  <c r="V4611" i="1"/>
  <c r="V24" i="1"/>
  <c r="V1239" i="1"/>
  <c r="U4987" i="1"/>
  <c r="U261" i="1"/>
  <c r="U3151" i="1"/>
  <c r="V1927" i="1"/>
  <c r="U1103" i="1"/>
  <c r="U2424" i="1"/>
  <c r="U4692" i="1"/>
  <c r="U3855" i="1"/>
  <c r="U1159" i="1"/>
  <c r="V2522" i="1"/>
  <c r="U4473" i="1"/>
  <c r="V4021" i="1"/>
  <c r="V5021" i="1"/>
  <c r="U4370" i="1"/>
  <c r="V1479" i="1"/>
  <c r="U1337" i="1"/>
  <c r="V4955" i="1"/>
  <c r="U2191" i="1"/>
  <c r="V736" i="1"/>
  <c r="V233" i="1"/>
  <c r="U3145" i="1"/>
  <c r="U4878" i="1"/>
  <c r="V5193" i="1"/>
  <c r="V1189" i="1"/>
  <c r="U4776" i="1"/>
  <c r="U3744" i="1"/>
  <c r="V1251" i="1"/>
  <c r="U271" i="1"/>
  <c r="V1146" i="1"/>
  <c r="V2464" i="1"/>
  <c r="V4811" i="1"/>
  <c r="V4692" i="1"/>
  <c r="U1169" i="1"/>
  <c r="U1251" i="1"/>
  <c r="V37" i="1"/>
  <c r="U1250" i="1"/>
  <c r="U5027" i="1"/>
  <c r="V4097" i="1"/>
  <c r="U1941" i="1"/>
  <c r="V3013" i="1"/>
  <c r="U2593" i="1"/>
  <c r="U3117" i="1"/>
  <c r="V2098" i="1"/>
  <c r="U603" i="1"/>
  <c r="V606" i="1"/>
  <c r="V1590" i="1"/>
  <c r="U2661" i="1"/>
  <c r="V2601" i="1"/>
  <c r="U3945" i="1"/>
  <c r="V2901" i="1"/>
  <c r="U2411" i="1"/>
  <c r="U2519" i="1"/>
  <c r="V1098" i="1"/>
  <c r="V1669" i="1"/>
  <c r="U3062" i="1"/>
  <c r="V2400" i="1"/>
  <c r="U300" i="1"/>
  <c r="U2006" i="1"/>
  <c r="V4308" i="1"/>
  <c r="V3534" i="1"/>
  <c r="U335" i="1"/>
  <c r="V5113" i="1"/>
  <c r="V572" i="1"/>
  <c r="V4310" i="1"/>
  <c r="V2251" i="1"/>
  <c r="U137" i="1"/>
  <c r="V2211" i="1"/>
  <c r="V922" i="1"/>
  <c r="V5122" i="1"/>
  <c r="U3569" i="1"/>
  <c r="V4088" i="1"/>
  <c r="U3270" i="1"/>
  <c r="V1116" i="1"/>
  <c r="U3938" i="1"/>
  <c r="U2400" i="1"/>
  <c r="V2837" i="1"/>
  <c r="U3165" i="1"/>
  <c r="V3894" i="1"/>
  <c r="U2820" i="1"/>
  <c r="U1018" i="1"/>
  <c r="V1836" i="1"/>
  <c r="U2868" i="1"/>
  <c r="V31" i="1"/>
  <c r="V5123" i="1"/>
  <c r="V3862" i="1"/>
  <c r="U5124" i="1"/>
  <c r="U341" i="1"/>
  <c r="U4305" i="1"/>
  <c r="V267" i="1"/>
  <c r="U1486" i="1"/>
  <c r="V3003" i="1"/>
  <c r="V503" i="1"/>
  <c r="U1395" i="1"/>
  <c r="V994" i="1"/>
  <c r="U281" i="1"/>
  <c r="U234" i="1"/>
  <c r="V4856" i="1"/>
  <c r="U2968" i="1"/>
  <c r="V3719" i="1"/>
  <c r="U5190" i="1"/>
  <c r="V3904" i="1"/>
  <c r="V3995" i="1"/>
  <c r="U3836" i="1"/>
  <c r="U1128" i="1"/>
  <c r="V1522" i="1"/>
  <c r="V4891" i="1"/>
  <c r="U730" i="1"/>
  <c r="V1318" i="1"/>
  <c r="V4071" i="1"/>
  <c r="V3482" i="1"/>
  <c r="U905" i="1"/>
  <c r="V3899" i="1"/>
  <c r="V4392" i="1"/>
  <c r="V4333" i="1"/>
  <c r="U1347" i="1"/>
  <c r="V2428" i="1"/>
  <c r="U4565" i="1"/>
  <c r="V2540" i="1"/>
  <c r="U69" i="1"/>
  <c r="U2512" i="1"/>
  <c r="U4362" i="1"/>
  <c r="U4104" i="1"/>
  <c r="U2364" i="1"/>
  <c r="V4818" i="1"/>
  <c r="U2601" i="1"/>
  <c r="U1537" i="1"/>
  <c r="U2572" i="1"/>
  <c r="V3716" i="1"/>
  <c r="V1365" i="1"/>
  <c r="V176" i="1"/>
  <c r="U1670" i="1"/>
  <c r="U4690" i="1"/>
  <c r="V2968" i="1"/>
  <c r="V5106" i="1"/>
  <c r="U2250" i="1"/>
  <c r="U3039" i="1"/>
  <c r="U3034" i="1"/>
  <c r="V4866" i="1"/>
  <c r="V3994" i="1"/>
  <c r="U3995" i="1"/>
  <c r="U957" i="1"/>
  <c r="U3896" i="1"/>
  <c r="U4048" i="1"/>
  <c r="V3948" i="1"/>
  <c r="V2141" i="1"/>
  <c r="U4442" i="1"/>
  <c r="V3299" i="1"/>
  <c r="V2966" i="1"/>
  <c r="V4354" i="1"/>
  <c r="V4980" i="1"/>
  <c r="U2361" i="1"/>
  <c r="U2672" i="1"/>
  <c r="U954" i="1"/>
  <c r="U3697" i="1"/>
  <c r="V2716" i="1"/>
  <c r="V4213" i="1"/>
  <c r="U1400" i="1"/>
  <c r="U3349" i="1"/>
  <c r="U952" i="1"/>
  <c r="U635" i="1"/>
  <c r="U4354" i="1"/>
  <c r="V4974" i="1"/>
  <c r="V1103" i="1"/>
  <c r="U4388" i="1"/>
  <c r="U4659" i="1"/>
  <c r="U4034" i="1"/>
  <c r="V4690" i="1"/>
  <c r="U3716" i="1"/>
  <c r="V1322" i="1"/>
  <c r="V3034" i="1"/>
  <c r="V1231" i="1"/>
  <c r="V4555" i="1"/>
  <c r="V647" i="1"/>
  <c r="U4414" i="1"/>
  <c r="V1186" i="1"/>
  <c r="U593" i="1"/>
  <c r="U3899" i="1"/>
  <c r="U3333" i="1"/>
  <c r="U418" i="1"/>
  <c r="V2876" i="1"/>
  <c r="U2098" i="1"/>
  <c r="V3704" i="1"/>
  <c r="V2377" i="1"/>
  <c r="V2449" i="1"/>
  <c r="U4708" i="1"/>
  <c r="V3379" i="1"/>
  <c r="U2982" i="1"/>
  <c r="V3804" i="1"/>
  <c r="U859" i="1"/>
  <c r="V4565" i="1"/>
  <c r="U4734" i="1"/>
  <c r="U362" i="1"/>
  <c r="U1810" i="1"/>
  <c r="U372" i="1"/>
  <c r="V3836" i="1"/>
  <c r="U2396" i="1"/>
  <c r="U151" i="1"/>
  <c r="V2125" i="1"/>
  <c r="V3243" i="1"/>
  <c r="V3185" i="1"/>
  <c r="U3329" i="1"/>
  <c r="U3606" i="1"/>
  <c r="V4780" i="1"/>
  <c r="U2213" i="1"/>
  <c r="U4622" i="1"/>
  <c r="U2651" i="1"/>
  <c r="V4941" i="1"/>
  <c r="U5120" i="1"/>
  <c r="V2808" i="1"/>
  <c r="V2835" i="1"/>
  <c r="V2572" i="1"/>
  <c r="V2191" i="1"/>
  <c r="V4063" i="1"/>
  <c r="V325" i="1"/>
  <c r="V4557" i="1"/>
  <c r="U4984" i="1"/>
  <c r="V449" i="1"/>
  <c r="U2170" i="1"/>
  <c r="U3611" i="1"/>
  <c r="V4261" i="1"/>
  <c r="U3260" i="1"/>
  <c r="U5003" i="1"/>
  <c r="U4884" i="1"/>
  <c r="V2408" i="1"/>
  <c r="V1900" i="1"/>
  <c r="U3517" i="1"/>
  <c r="U4845" i="1"/>
  <c r="U3804" i="1"/>
  <c r="V4878" i="1"/>
  <c r="V3090" i="1"/>
  <c r="V52" i="1"/>
  <c r="V1249" i="1"/>
  <c r="V5009" i="1"/>
  <c r="V210" i="1"/>
  <c r="U3704" i="1"/>
  <c r="U4563" i="1"/>
  <c r="V2766" i="1"/>
  <c r="U436" i="1"/>
  <c r="U2522" i="1"/>
  <c r="V4144" i="1"/>
  <c r="V3799" i="1"/>
  <c r="V3779" i="1"/>
  <c r="U736" i="1"/>
  <c r="U926" i="1"/>
  <c r="U4751" i="1"/>
  <c r="U4505" i="1"/>
  <c r="U1568" i="1"/>
  <c r="V3517" i="1"/>
  <c r="U1377" i="1"/>
  <c r="U4866" i="1"/>
  <c r="U5001" i="1"/>
  <c r="U1131" i="1"/>
  <c r="V4395" i="1"/>
  <c r="U4828" i="1"/>
  <c r="U3766" i="1"/>
  <c r="V1549" i="1"/>
  <c r="U2141" i="1"/>
  <c r="U4266" i="1"/>
  <c r="U1146" i="1"/>
  <c r="U4832" i="1"/>
  <c r="V2166" i="1"/>
  <c r="V5187" i="1"/>
  <c r="U5040" i="1"/>
  <c r="V213" i="1"/>
  <c r="U3997" i="1"/>
  <c r="V1665" i="1"/>
  <c r="U2055" i="1"/>
  <c r="V4384" i="1"/>
  <c r="U3443" i="1"/>
  <c r="U54" i="1"/>
  <c r="U983" i="1"/>
  <c r="U2956" i="1"/>
  <c r="U4811" i="1"/>
  <c r="U4953" i="1"/>
  <c r="V2067" i="1"/>
  <c r="V635" i="1"/>
  <c r="V957" i="1"/>
  <c r="U4691" i="1"/>
  <c r="V3624" i="1"/>
  <c r="V4286" i="1"/>
  <c r="U4144" i="1"/>
  <c r="U5123" i="1"/>
  <c r="V1200" i="1"/>
  <c r="V1450" i="1"/>
  <c r="V177" i="1"/>
  <c r="V1453" i="1"/>
  <c r="V2512" i="1"/>
  <c r="V1486" i="1"/>
  <c r="V3691" i="1"/>
  <c r="U3873" i="1"/>
  <c r="U1498" i="1"/>
  <c r="V1443" i="1"/>
  <c r="V2284" i="1"/>
  <c r="V859" i="1"/>
  <c r="U4170" i="1"/>
  <c r="U4974" i="1"/>
  <c r="V5032" i="1"/>
  <c r="U4645" i="1"/>
  <c r="U1443" i="1"/>
  <c r="U4990" i="1"/>
  <c r="V3062" i="1"/>
  <c r="V1788" i="1"/>
  <c r="U1881" i="1"/>
  <c r="U3779" i="1"/>
  <c r="U1096" i="1"/>
  <c r="V4707" i="1"/>
  <c r="V1459" i="1"/>
  <c r="V1922" i="1"/>
  <c r="V2956" i="1"/>
  <c r="V1093" i="1"/>
  <c r="V908" i="1"/>
  <c r="U4988" i="1"/>
  <c r="U285" i="1"/>
  <c r="V983" i="1"/>
  <c r="U2901" i="1"/>
  <c r="U1344" i="1"/>
  <c r="U2280" i="1"/>
  <c r="V2721" i="1"/>
  <c r="U4038" i="1"/>
  <c r="U1098" i="1"/>
  <c r="V372" i="1"/>
  <c r="V1713" i="1"/>
  <c r="U5088" i="1"/>
  <c r="U3793" i="1"/>
  <c r="U2566" i="1"/>
  <c r="U4035" i="1"/>
  <c r="V1883" i="1"/>
  <c r="U2278" i="1"/>
  <c r="U4648" i="1"/>
  <c r="U4095" i="1"/>
  <c r="U2586" i="1"/>
  <c r="V4703" i="1"/>
  <c r="U735" i="1"/>
  <c r="V1128" i="1"/>
  <c r="V4620" i="1"/>
  <c r="V3672" i="1"/>
  <c r="U1883" i="1"/>
  <c r="V4128" i="1"/>
  <c r="U2279" i="1"/>
  <c r="V1759" i="1"/>
  <c r="U1793" i="1"/>
  <c r="U4416" i="1"/>
  <c r="V2065" i="1"/>
  <c r="U1359" i="1"/>
  <c r="U2403" i="1"/>
  <c r="U25" i="1"/>
  <c r="V697" i="1"/>
  <c r="V3431" i="1"/>
  <c r="U4842" i="1"/>
  <c r="V2980" i="1"/>
  <c r="U2245" i="1"/>
  <c r="V4170" i="1"/>
  <c r="U4114" i="1"/>
  <c r="V4121" i="1"/>
  <c r="U2611" i="1"/>
  <c r="V5115" i="1"/>
  <c r="U3801" i="1"/>
  <c r="V5108" i="1"/>
  <c r="V1652" i="1"/>
  <c r="V4747" i="1"/>
  <c r="U4818" i="1"/>
  <c r="U2575" i="1"/>
  <c r="V2046" i="1"/>
  <c r="U305" i="1"/>
  <c r="U2066" i="1"/>
  <c r="U3154" i="1"/>
  <c r="V2442" i="1"/>
  <c r="U1230" i="1"/>
  <c r="V4019" i="1"/>
  <c r="V1124" i="1"/>
  <c r="U5053" i="1"/>
  <c r="U5072" i="1"/>
  <c r="V1769" i="1"/>
  <c r="V1607" i="1"/>
  <c r="U836" i="1"/>
  <c r="V2279" i="1"/>
  <c r="V3250" i="1"/>
  <c r="V1382" i="1"/>
  <c r="V3810" i="1"/>
  <c r="V1228" i="1"/>
  <c r="U4004" i="1"/>
  <c r="U562" i="1"/>
  <c r="V2999" i="1"/>
  <c r="U2752" i="1"/>
  <c r="V778" i="1"/>
  <c r="V1608" i="1"/>
  <c r="U3994" i="1"/>
  <c r="V1343" i="1"/>
  <c r="U3634" i="1"/>
  <c r="U3643" i="1"/>
  <c r="V4577" i="1"/>
  <c r="V4049" i="1"/>
  <c r="V3802" i="1"/>
  <c r="V1072" i="1"/>
  <c r="V1595" i="1"/>
  <c r="U1902" i="1"/>
  <c r="V639" i="1"/>
  <c r="U4433" i="1"/>
  <c r="V151" i="1"/>
  <c r="U2896" i="1"/>
  <c r="V921" i="1"/>
  <c r="U4577" i="1"/>
  <c r="U842" i="1"/>
  <c r="U564" i="1"/>
  <c r="V4988" i="1"/>
  <c r="V4262" i="1"/>
  <c r="U4555" i="1"/>
  <c r="V4461" i="1"/>
  <c r="V2443" i="1"/>
  <c r="V3389" i="1"/>
  <c r="V2397" i="1"/>
  <c r="U1983" i="1"/>
  <c r="U325" i="1"/>
  <c r="V5146" i="1"/>
  <c r="V4258" i="1"/>
  <c r="V3505" i="1"/>
  <c r="U1664" i="1"/>
  <c r="V1831" i="1"/>
  <c r="U3505" i="1"/>
  <c r="V4760" i="1"/>
  <c r="U3926" i="1"/>
  <c r="V3329" i="1"/>
  <c r="U1053" i="1"/>
  <c r="V2424" i="1"/>
  <c r="U2941" i="1"/>
  <c r="U3948" i="1"/>
  <c r="V4433" i="1"/>
  <c r="U324" i="1"/>
  <c r="U4128" i="1"/>
  <c r="U5108" i="1"/>
  <c r="V5001" i="1"/>
  <c r="U2271" i="1"/>
  <c r="U5079" i="1"/>
  <c r="U3570" i="1"/>
  <c r="V2591" i="1"/>
  <c r="U2100" i="1"/>
  <c r="V1328" i="1"/>
  <c r="U4021" i="1"/>
  <c r="V1648" i="1"/>
  <c r="U1403" i="1"/>
  <c r="V35" i="1"/>
  <c r="V4758" i="1"/>
  <c r="U1918" i="1"/>
  <c r="V1918" i="1"/>
  <c r="U1214" i="1"/>
  <c r="V1983" i="1"/>
  <c r="V2575" i="1"/>
  <c r="V1764" i="1"/>
  <c r="U1059" i="1"/>
  <c r="U4703" i="1"/>
  <c r="V2364" i="1"/>
  <c r="U3141" i="1"/>
  <c r="U3428" i="1"/>
  <c r="V1623" i="1"/>
  <c r="U1484" i="1"/>
  <c r="V1324" i="1"/>
  <c r="V3949" i="1"/>
  <c r="U492" i="1"/>
  <c r="V5103" i="1"/>
  <c r="U4367" i="1"/>
  <c r="V4079" i="1"/>
  <c r="U267" i="1"/>
  <c r="U4921" i="1"/>
  <c r="V4072" i="1"/>
  <c r="V3980" i="1"/>
  <c r="V1972" i="1"/>
  <c r="U1291" i="1"/>
  <c r="U4962" i="1"/>
  <c r="V1943" i="1"/>
  <c r="U1807" i="1"/>
  <c r="V4994" i="1"/>
  <c r="V4659" i="1"/>
  <c r="U1548" i="1"/>
  <c r="U4979" i="1"/>
  <c r="U3788" i="1"/>
  <c r="U4408" i="1"/>
  <c r="V2984" i="1"/>
  <c r="U3399" i="1"/>
  <c r="V2912" i="1"/>
  <c r="V2731" i="1"/>
  <c r="U1778" i="1"/>
  <c r="V3873" i="1"/>
  <c r="V273" i="1"/>
  <c r="U1225" i="1"/>
  <c r="V2021" i="1"/>
  <c r="V883" i="1"/>
  <c r="U4178" i="1"/>
  <c r="U4856" i="1"/>
  <c r="V324" i="1"/>
  <c r="U1707" i="1"/>
  <c r="U1652" i="1"/>
  <c r="U3482" i="1"/>
  <c r="V3878" i="1"/>
  <c r="V2081" i="1"/>
  <c r="U4707" i="1"/>
  <c r="U4015" i="1"/>
  <c r="V3154" i="1"/>
  <c r="V3766" i="1"/>
  <c r="U2046" i="1"/>
  <c r="V4266" i="1"/>
  <c r="V853" i="1"/>
  <c r="V3801" i="1"/>
  <c r="U2907" i="1"/>
  <c r="U3013" i="1"/>
  <c r="V2671" i="1"/>
  <c r="U3949" i="1"/>
  <c r="V1817" i="1"/>
  <c r="V5019" i="1"/>
  <c r="V1169" i="1"/>
  <c r="V4842" i="1"/>
  <c r="V3744" i="1"/>
  <c r="U4310" i="1"/>
  <c r="V952" i="1"/>
  <c r="V646" i="1"/>
  <c r="U4786" i="1"/>
  <c r="U2540" i="1"/>
  <c r="V2245" i="1"/>
  <c r="V4331" i="1"/>
  <c r="V1070" i="1"/>
  <c r="U4097" i="1"/>
  <c r="U4788" i="1"/>
  <c r="U5098" i="1"/>
  <c r="U3387" i="1"/>
  <c r="U1943" i="1"/>
  <c r="U3909" i="1"/>
  <c r="U1306" i="1"/>
  <c r="U1817" i="1"/>
  <c r="U2811" i="1"/>
  <c r="V513" i="1"/>
  <c r="U762" i="1"/>
  <c r="U3112" i="1"/>
  <c r="V5072" i="1"/>
  <c r="U2655" i="1"/>
  <c r="U626" i="1"/>
  <c r="U263" i="1"/>
  <c r="V3732" i="1"/>
  <c r="U2021" i="1"/>
  <c r="U3384" i="1"/>
  <c r="V341" i="1"/>
  <c r="U3090" i="1"/>
  <c r="V2454" i="1"/>
  <c r="V3851" i="1"/>
  <c r="V166" i="1"/>
  <c r="V5027" i="1"/>
  <c r="V2977" i="1"/>
  <c r="V2045" i="1"/>
  <c r="V2149" i="1"/>
  <c r="U2443" i="1"/>
  <c r="V1213" i="1"/>
  <c r="V2647" i="1"/>
  <c r="V1359" i="1"/>
  <c r="U2591" i="1"/>
  <c r="U3603" i="1"/>
  <c r="V3333" i="1"/>
  <c r="U2984" i="1"/>
  <c r="V4839" i="1"/>
  <c r="U2876" i="1"/>
  <c r="U1202" i="1"/>
  <c r="V3585" i="1"/>
  <c r="U1950" i="1"/>
  <c r="V1664" i="1"/>
  <c r="V2916" i="1"/>
  <c r="U4760" i="1"/>
  <c r="V2820" i="1"/>
  <c r="U3144" i="1"/>
  <c r="V1638" i="1"/>
  <c r="U4125" i="1"/>
  <c r="U2500" i="1"/>
  <c r="U1522" i="1"/>
  <c r="V1337" i="1"/>
  <c r="U4999" i="1"/>
  <c r="V2811" i="1"/>
  <c r="U883" i="1"/>
  <c r="U2356" i="1"/>
  <c r="U1382" i="1"/>
  <c r="U2392" i="1"/>
  <c r="U3846" i="1"/>
  <c r="U1048" i="1"/>
  <c r="V2874" i="1"/>
  <c r="V2047" i="1"/>
  <c r="V4896" i="1"/>
  <c r="U3242" i="1"/>
  <c r="V2896" i="1"/>
  <c r="U1112" i="1"/>
  <c r="U2370" i="1"/>
  <c r="V5071" i="1"/>
  <c r="V735" i="1"/>
  <c r="V3928" i="1"/>
  <c r="U2426" i="1"/>
  <c r="V867" i="1"/>
  <c r="U4384" i="1"/>
  <c r="V211" i="1"/>
  <c r="U4057" i="1"/>
  <c r="V1537" i="1"/>
  <c r="V2203" i="1"/>
  <c r="V3242" i="1"/>
  <c r="U1623" i="1"/>
  <c r="U3190" i="1"/>
  <c r="V3997" i="1"/>
  <c r="V4408" i="1"/>
  <c r="V4691" i="1"/>
  <c r="V4300" i="1"/>
  <c r="V790" i="1"/>
  <c r="U2112" i="1"/>
  <c r="U3085" i="1"/>
  <c r="V4446" i="1"/>
  <c r="V874" i="1"/>
  <c r="V1091" i="1"/>
  <c r="U5086" i="1"/>
  <c r="V4081" i="1"/>
  <c r="U242" i="1"/>
  <c r="U356" i="1"/>
  <c r="V3384" i="1"/>
  <c r="V271" i="1"/>
  <c r="U1788" i="1"/>
  <c r="U3762" i="1"/>
  <c r="V1096" i="1"/>
  <c r="U2496" i="1"/>
  <c r="U4683" i="1"/>
  <c r="V3643" i="1"/>
  <c r="V1661" i="1"/>
  <c r="U3585" i="1"/>
  <c r="U2731" i="1"/>
  <c r="V624" i="1"/>
  <c r="V528" i="1"/>
  <c r="V4769" i="1"/>
  <c r="U590" i="1"/>
  <c r="V2586" i="1"/>
  <c r="V2413" i="1"/>
  <c r="V4466" i="1"/>
  <c r="V4984" i="1"/>
  <c r="V3649" i="1"/>
  <c r="U166" i="1"/>
  <c r="V2906" i="1"/>
  <c r="V2519" i="1"/>
  <c r="V1389" i="1"/>
  <c r="V4884" i="1"/>
  <c r="U3878" i="1"/>
  <c r="V3789" i="1"/>
  <c r="V842" i="1"/>
  <c r="V3809" i="1"/>
  <c r="V3788" i="1"/>
  <c r="U1816" i="1"/>
  <c r="U326" i="1"/>
  <c r="V1079" i="1"/>
  <c r="V1121" i="1"/>
  <c r="U2222" i="1"/>
  <c r="V2006" i="1"/>
  <c r="V5053" i="1"/>
  <c r="U1186" i="1"/>
  <c r="U4426" i="1"/>
  <c r="U1231" i="1"/>
  <c r="U4611" i="1"/>
  <c r="V1820" i="1"/>
  <c r="V4033" i="1"/>
  <c r="U4314" i="1"/>
  <c r="V1967" i="1"/>
  <c r="V4708" i="1"/>
  <c r="U1181" i="1"/>
  <c r="U2562" i="1"/>
  <c r="U468" i="1"/>
  <c r="V2396" i="1"/>
  <c r="U1479" i="1"/>
  <c r="V4953" i="1"/>
  <c r="V4791" i="1"/>
  <c r="U394" i="1"/>
  <c r="V1469" i="1"/>
  <c r="U2211" i="1"/>
  <c r="V3145" i="1"/>
  <c r="U1927" i="1"/>
  <c r="V1449" i="1"/>
  <c r="U1459" i="1"/>
  <c r="V5190" i="1"/>
  <c r="U4197" i="1"/>
  <c r="V1181" i="1"/>
  <c r="V3383" i="1"/>
  <c r="V4178" i="1"/>
  <c r="V4648" i="1"/>
  <c r="V102" i="1"/>
  <c r="U1665" i="1"/>
  <c r="V562" i="1"/>
  <c r="V4388" i="1"/>
  <c r="U4063" i="1"/>
  <c r="V1172" i="1"/>
  <c r="V3066" i="1"/>
  <c r="V1031" i="1"/>
  <c r="U1967" i="1"/>
  <c r="U514" i="1"/>
  <c r="V4979" i="1"/>
  <c r="V4416" i="1"/>
  <c r="V4362" i="1"/>
  <c r="U3894" i="1"/>
  <c r="V2440" i="1"/>
  <c r="U1532" i="1"/>
  <c r="V1670" i="1"/>
  <c r="V4418" i="1"/>
  <c r="V4788" i="1"/>
  <c r="U994" i="1"/>
  <c r="U1402" i="1"/>
  <c r="U5106" i="1"/>
  <c r="V762" i="1"/>
  <c r="U1366" i="1"/>
  <c r="U3004" i="1"/>
  <c r="V2500" i="1"/>
  <c r="V69" i="1"/>
  <c r="U1564" i="1"/>
  <c r="V4729" i="1"/>
  <c r="V2495" i="1"/>
  <c r="U4700" i="1"/>
  <c r="V4634" i="1"/>
  <c r="U1737" i="1"/>
  <c r="U2081" i="1"/>
  <c r="U1072" i="1"/>
  <c r="U2204" i="1"/>
  <c r="U102" i="1"/>
  <c r="U3296" i="1"/>
  <c r="V1319" i="1"/>
  <c r="V4400" i="1"/>
  <c r="V2570" i="1"/>
  <c r="V4197" i="1"/>
  <c r="U3904" i="1"/>
  <c r="U2008" i="1"/>
  <c r="V2278" i="1"/>
  <c r="V1801" i="1"/>
  <c r="V1452" i="1"/>
  <c r="U2966" i="1"/>
  <c r="V2249" i="1"/>
  <c r="U2333" i="1"/>
  <c r="U2454" i="1"/>
  <c r="V2474" i="1"/>
  <c r="V4563" i="1"/>
  <c r="U24" i="1"/>
  <c r="V1016" i="1"/>
  <c r="U2837" i="1"/>
  <c r="U2216" i="1"/>
  <c r="U922" i="1"/>
  <c r="U2912" i="1"/>
  <c r="U1329" i="1"/>
  <c r="U354" i="1"/>
  <c r="U3383" i="1"/>
  <c r="V104" i="1"/>
  <c r="U1121" i="1"/>
  <c r="U778" i="1"/>
  <c r="U3624" i="1"/>
  <c r="V4104" i="1"/>
  <c r="V1548" i="1"/>
  <c r="V3772" i="1"/>
  <c r="V281" i="1"/>
  <c r="U3431" i="1"/>
  <c r="U3250" i="1"/>
  <c r="V2280" i="1"/>
  <c r="V4832" i="1"/>
  <c r="V4987" i="1"/>
  <c r="U2894" i="1"/>
  <c r="U4758" i="1"/>
  <c r="V5060" i="1"/>
  <c r="V2346" i="1"/>
  <c r="U3789" i="1"/>
  <c r="U4996" i="1"/>
  <c r="U1590" i="1"/>
  <c r="U4466" i="1"/>
  <c r="U2875" i="1"/>
  <c r="U923" i="1"/>
  <c r="U4216" i="1"/>
  <c r="V2894" i="1"/>
  <c r="V4784" i="1"/>
  <c r="V41" i="1"/>
  <c r="U1661" i="1"/>
  <c r="U3657" i="1"/>
  <c r="U1301" i="1"/>
  <c r="V3423" i="1"/>
  <c r="V3519" i="1"/>
  <c r="V2676" i="1"/>
  <c r="V492" i="1"/>
  <c r="U2647" i="1"/>
  <c r="U4398" i="1"/>
  <c r="V5088" i="1"/>
  <c r="V2496" i="1"/>
  <c r="U104" i="1"/>
  <c r="V4289" i="1"/>
  <c r="V1658" i="1"/>
  <c r="U3299" i="1"/>
  <c r="U2620" i="1"/>
  <c r="U1549" i="1"/>
  <c r="V1564" i="1"/>
  <c r="U5028" i="1"/>
  <c r="U1330" i="1"/>
  <c r="V3292" i="1"/>
  <c r="U4559" i="1"/>
  <c r="U2397" i="1"/>
  <c r="U35" i="1"/>
  <c r="U3010" i="1"/>
  <c r="U4258" i="1"/>
  <c r="V1734" i="1"/>
  <c r="U1517" i="1"/>
  <c r="U3672" i="1"/>
  <c r="V394" i="1"/>
  <c r="U1391" i="1"/>
  <c r="V5077" i="1"/>
  <c r="U3888" i="1"/>
  <c r="U1070" i="1"/>
  <c r="V3815" i="1"/>
  <c r="V2082" i="1"/>
  <c r="V3569" i="1"/>
  <c r="V1631" i="1"/>
  <c r="U3598" i="1"/>
  <c r="U3728" i="1"/>
  <c r="U719" i="1"/>
  <c r="V1301" i="1"/>
  <c r="U5077" i="1"/>
  <c r="U528" i="1"/>
  <c r="U2671" i="1"/>
  <c r="U4446" i="1"/>
  <c r="V4426" i="1"/>
  <c r="V1131" i="1"/>
  <c r="V3697" i="1"/>
  <c r="V2988" i="1"/>
  <c r="V5098" i="1"/>
  <c r="V1618" i="1"/>
  <c r="U951" i="1"/>
  <c r="V4996" i="1"/>
  <c r="U4620" i="1"/>
  <c r="U2570" i="1"/>
  <c r="U5117" i="1"/>
  <c r="U4333" i="1"/>
  <c r="V5003" i="1"/>
  <c r="U4966" i="1"/>
  <c r="V2595" i="1"/>
  <c r="U1713" i="1"/>
  <c r="U1759" i="1"/>
  <c r="V1498" i="1"/>
  <c r="V3896" i="1"/>
  <c r="U3802" i="1"/>
  <c r="U2980" i="1"/>
  <c r="U3161" i="1"/>
  <c r="V2593" i="1"/>
  <c r="U4955" i="1"/>
  <c r="U3862" i="1"/>
  <c r="U1318" i="1"/>
  <c r="U921" i="1"/>
  <c r="V3269" i="1"/>
  <c r="V865" i="1"/>
  <c r="V1400" i="1"/>
  <c r="V2403" i="1"/>
  <c r="V564" i="1"/>
  <c r="U2327" i="1"/>
  <c r="V603" i="1"/>
  <c r="U1343" i="1"/>
  <c r="V4807" i="1"/>
  <c r="U1734" i="1"/>
  <c r="V2250" i="1"/>
  <c r="U1682" i="1"/>
  <c r="U5100" i="1"/>
  <c r="V4921" i="1"/>
  <c r="V3696" i="1"/>
  <c r="V626" i="1"/>
  <c r="V4948" i="1"/>
  <c r="V2943" i="1"/>
  <c r="U4634" i="1"/>
  <c r="U503" i="1"/>
  <c r="V1159" i="1"/>
  <c r="U4794" i="1"/>
  <c r="U3302" i="1"/>
  <c r="U1608" i="1"/>
  <c r="U5122" i="1"/>
  <c r="U5133" i="1"/>
  <c r="V3134" i="1"/>
  <c r="V3344" i="1"/>
  <c r="U513" i="1"/>
  <c r="U1453" i="1"/>
  <c r="U908" i="1"/>
  <c r="U1246" i="1"/>
  <c r="V4429" i="1"/>
  <c r="V4057" i="1"/>
  <c r="V3762" i="1"/>
  <c r="V2356" i="1"/>
  <c r="V2062" i="1"/>
  <c r="V2907" i="1"/>
  <c r="U4079" i="1"/>
  <c r="V2112" i="1"/>
  <c r="V2709" i="1"/>
  <c r="U1464" i="1"/>
  <c r="U3037" i="1"/>
  <c r="U2906" i="1"/>
  <c r="U1475" i="1"/>
  <c r="U3066" i="1"/>
  <c r="V1484" i="1"/>
  <c r="U1452" i="1"/>
  <c r="U4769" i="1"/>
  <c r="V5028" i="1"/>
  <c r="U2187" i="1"/>
  <c r="U4121" i="1"/>
  <c r="U1900" i="1"/>
  <c r="V2271" i="1"/>
  <c r="U4033" i="1"/>
  <c r="U2595" i="1"/>
  <c r="U1972" i="1"/>
  <c r="U1449" i="1"/>
  <c r="U267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tc={29EC4733-3F95-4E44-B38A-9430E6965D75}</author>
    <author>tc={64C18C64-5171-4E5E-8BA1-F668E651BA39}</author>
  </authors>
  <commentList>
    <comment ref="B1" authorId="0" shapeId="0" xr:uid="{687123A5-1905-450F-8836-CA8CFAC21DE5}">
      <text>
        <r>
          <rPr>
            <b/>
            <sz val="9"/>
            <color indexed="81"/>
            <rFont val="Tahoma"/>
            <family val="2"/>
          </rPr>
          <t>Jonathan Wilken:</t>
        </r>
        <r>
          <rPr>
            <sz val="9"/>
            <color indexed="81"/>
            <rFont val="Tahoma"/>
            <family val="2"/>
          </rPr>
          <t xml:space="preserve">
Page.Column.line range of autograph reading</t>
        </r>
      </text>
    </comment>
    <comment ref="C1" authorId="0" shapeId="0" xr:uid="{FD571D3E-1A85-419D-8A36-C845572ADF3D}">
      <text>
        <r>
          <rPr>
            <b/>
            <sz val="9"/>
            <color indexed="81"/>
            <rFont val="Tahoma"/>
            <family val="2"/>
          </rPr>
          <t>Jonathan Wilken:</t>
        </r>
        <r>
          <rPr>
            <sz val="9"/>
            <color indexed="81"/>
            <rFont val="Tahoma"/>
            <family val="2"/>
          </rPr>
          <t xml:space="preserve">
Page.Column.line range of apograph reading</t>
        </r>
      </text>
    </comment>
    <comment ref="D1" authorId="0" shapeId="0" xr:uid="{F2C1C0EA-7034-4695-B6E4-4FF78F4B2A66}">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6D633054-A73D-412D-9236-E1E0C00F58AE}">
      <text>
        <r>
          <rPr>
            <b/>
            <sz val="9"/>
            <color indexed="81"/>
            <rFont val="Tahoma"/>
            <family val="2"/>
          </rPr>
          <t>Jonathan Wilken:</t>
        </r>
        <r>
          <rPr>
            <sz val="9"/>
            <color indexed="81"/>
            <rFont val="Tahoma"/>
            <family val="2"/>
          </rPr>
          <t xml:space="preserve">
Reading from apograph (i.e., younger copy)</t>
        </r>
      </text>
    </comment>
    <comment ref="F1" authorId="0" shapeId="0" xr:uid="{34E7B421-060B-44A2-8E10-D108D9150FEA}">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FBF45199-F930-4143-B1A0-F3DD1F5454B4}">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96E28891-B994-4BE2-BEAD-28C93EDA19AC}">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CEC5966A-0045-4603-B061-2A0C3FA4AFFD}">
      <text>
        <r>
          <rPr>
            <b/>
            <sz val="9"/>
            <color indexed="81"/>
            <rFont val="Tahoma"/>
            <family val="2"/>
          </rPr>
          <t>Jonathan Wilken:</t>
        </r>
        <r>
          <rPr>
            <sz val="9"/>
            <color indexed="81"/>
            <rFont val="Tahoma"/>
            <family val="2"/>
          </rPr>
          <t xml:space="preserve">
Add, omit, transposition, substitution, combo</t>
        </r>
      </text>
    </comment>
    <comment ref="K1" authorId="0" shapeId="0" xr:uid="{A909E34F-0030-46E8-8D34-566A4B81E55A}">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D5B2792F-BE69-4D94-9A5E-7EF5D18AD1A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94B1A911-0DDC-4FB3-996A-E1E6F501E27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FBDEB70D-A399-499B-974A-0F9467C04F8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7FAEE48A-B777-49C6-9059-DEAC9C424930}">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43F13A07-C12B-4678-AB9A-6108FA74C819}">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310E5E0E-DA5A-4600-A68B-FBDA0793924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C3C3DD6B-B312-4771-A36A-82E427E6984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2AAF6232-D650-461B-833E-8920DE7A3FEE}">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F1519556-31C6-4266-BDCC-4E3CDDC3F031}">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29EC4733-3F95-4E44-B38A-9430E6965D7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64C18C64-5171-4E5E-8BA1-F668E651BA3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753C9356-0FF2-4511-A555-F9485A75FEA1}">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B27273FC-9DD7-4FB0-A317-A1FC84222AC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BFD319F4-6D4C-4B69-98D4-770671C53A96}">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37FE277B-2026-4030-9A43-F473C672790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50DB381A-1E44-400A-921A-33A3EFEF922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38367658-98B5-4744-B977-C4D55D51503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A62C7746-3DD3-4ED6-AB51-4A05DE7C87D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G1" authorId="0" shapeId="0" xr:uid="{DEF690BB-AB4C-4004-A3C6-F78FBA75FE89}">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tc={CEC93503-DD9F-408E-96DA-3F6DDF85B5A5}</author>
    <author>tc={37282F17-0D67-4341-9B42-6C59CAD991DC}</author>
  </authors>
  <commentList>
    <comment ref="B1" authorId="0" shapeId="0" xr:uid="{5F89CF2F-06FC-4E20-BA52-164D388F3D2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DBFDBB0-2693-4C53-88CF-011940830EE4}">
      <text>
        <r>
          <rPr>
            <b/>
            <sz val="9"/>
            <color indexed="81"/>
            <rFont val="Tahoma"/>
            <family val="2"/>
          </rPr>
          <t>Jonathan Wilken:</t>
        </r>
        <r>
          <rPr>
            <sz val="9"/>
            <color indexed="81"/>
            <rFont val="Tahoma"/>
            <family val="2"/>
          </rPr>
          <t xml:space="preserve">
Reading from apograph (i.e., younger copy)</t>
        </r>
      </text>
    </comment>
    <comment ref="D1" authorId="0" shapeId="0" xr:uid="{7B0D3B1C-DA62-4D52-BA93-D6AC1064E2AA}">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D5D04B52-2B31-4D98-B715-09CA71096FC3}">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CCC7C7C0-F045-48A1-A68F-0C2D7CFD6A2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9B1854DD-CF02-445F-B3E2-136FB1D86020}">
      <text>
        <r>
          <rPr>
            <b/>
            <sz val="9"/>
            <color indexed="81"/>
            <rFont val="Tahoma"/>
            <family val="2"/>
          </rPr>
          <t>Jonathan Wilken:</t>
        </r>
        <r>
          <rPr>
            <sz val="9"/>
            <color indexed="81"/>
            <rFont val="Tahoma"/>
            <family val="2"/>
          </rPr>
          <t xml:space="preserve">
Add, omit, transposition, substitution, combo</t>
        </r>
      </text>
    </comment>
    <comment ref="H1" authorId="0" shapeId="0" xr:uid="{7C5BF462-72CC-497B-841F-28D988614EA9}">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9E02A794-8C9C-40DA-AACD-7A3B52BABBE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2DE08416-4DE5-448E-8870-9635EFFD82B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B85F468F-D3E3-4C34-AB22-6041C1ADAF1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184F4990-C84E-440F-A8B2-DF81AAB3553E}">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564C854D-A7B4-400D-8569-756EAF85A7C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885ADE15-5CF0-407A-BDD2-C96F8977324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75784583-E10B-4B9F-857B-AF9D842141EB}">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CD28F169-CEEA-46DB-BBA4-575457ED72F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702A9D1C-CD70-434D-BD11-5330FC2D0565}">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CEC93503-DD9F-408E-96DA-3F6DDF85B5A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37282F17-0D67-4341-9B42-6C59CAD991DC}">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B288EEF8-D118-4ACC-A953-683AF7E75AF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E571AB64-6617-4855-98EB-D35C34BBF2C0}">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D5F8F774-D247-42A1-96F5-59BED584B067}">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0B26D852-0505-4F98-BB95-379FF9156D3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7CE4E207-CC9F-4DA7-B9A9-2B48F0C61CF4}">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92A8B676-AB22-4928-B8FB-5E8B85842B2A}">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00F008AF-97AF-40C7-A4BE-9BE96D85E757}">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D1" authorId="0" shapeId="0" xr:uid="{4A4A12E5-0172-4E19-BE8E-3AAD43A6BC70}">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tc={F6DBDBC8-E01D-4FF9-9A23-04A92FF9AC0E}</author>
    <author>tc={37D109DF-9EEB-4C87-90F8-C2E56A539222}</author>
    <author>tc={DFF4632F-9C58-4C42-8152-EB837D102DB6}</author>
    <author>tc={7ECC2211-0E5C-42B7-BE07-CB6411CB27E6}</author>
    <author>tc={01DB1D55-3C92-4F87-854C-9E64882F5842}</author>
    <author>tc={3B0E65F3-6C1D-4CD0-BFE3-22DDE1E753D9}</author>
    <author>tc={A7308020-46EF-4437-B101-DF0A79AA320F}</author>
    <author>tc={34028A59-964C-46F5-926B-84CDCB69667C}</author>
    <author>tc={0E777719-C89B-43E7-9E22-2569D2254222}</author>
    <author>tc={86114342-3137-4A70-AA16-198C98E60301}</author>
    <author>tc={344B6AE0-EEE5-4280-B473-6370F6C57215}</author>
    <author>tc={383E1233-2B6B-46D3-82C7-C6A194781DEF}</author>
    <author>tc={6A7F6B59-0B4E-4680-A08E-426F810C00FD}</author>
    <author>tc={A898BB97-294B-4A36-8E4C-D6CA593873E0}</author>
    <author>tc={C7E93D90-698D-42DE-9FB5-7B1AFBABD3C4}</author>
    <author>tc={208FC424-2AC1-4615-B855-B1B7B9DE1F53}</author>
    <author>tc={69B376C7-72B6-4C6B-9A4C-16B46C8FF19B}</author>
    <author>tc={6F973451-91A0-444E-9B56-1306759587E8}</author>
    <author>tc={B3175BEC-32C3-404D-B339-57604112041E}</author>
    <author>tc={79395F67-6616-4880-9E1B-EC9002937ECB}</author>
    <author>tc={13E0764A-C191-4B7A-AF69-9B1A0DA1E971}</author>
    <author>tc={E78D4210-FFFC-42FB-AD76-9BF06D8F69B2}</author>
    <author>tc={DABA1915-5ED4-434C-808A-D66FB40855AF}</author>
    <author>tc={7ACD029A-EDAB-4CD3-82FF-F0064716F057}</author>
    <author>tc={98F0C443-47D3-4C99-B7BD-AE12E5820699}</author>
    <author>tc={8734414B-742D-4357-A8DF-747313C20A17}</author>
    <author>tc={0AB2071C-D589-4A0D-BD0B-E51DBD6FE8F8}</author>
    <author>tc={26DDBF23-FAD6-48D6-910B-E64597EE16EE}</author>
    <author>tc={6CD300B9-2280-4F5A-ADD3-A086A38CF59D}</author>
    <author>tc={A819B094-B5B0-405A-A3E3-B0FFE946F9AB}</author>
    <author>tc={66D472F8-6268-4C6F-AA97-9BBF1875CAF2}</author>
    <author>tc={75D1BD89-EF02-4F81-A21E-8C51FE45DB64}</author>
    <author>tc={7DD2130A-620E-4D89-A958-8F006D1F00E6}</author>
    <author>tc={C96DEF1F-2FC2-4328-A9C3-55982300F138}</author>
    <author>tc={81E75718-ABCE-4E2F-9661-EB50F5C0EE30}</author>
    <author>tc={DB6ECBCC-5E5E-4947-ADB8-80E1F07BFD85}</author>
    <author>tc={EA93BFF6-36F1-4D1A-A390-E58181C5F00C}</author>
    <author>tc={9946F17C-AE3D-41E1-AC67-0C0F76540EEC}</author>
    <author>tc={9F608CAA-34B8-45F8-A079-45FE32601AEE}</author>
    <author>tc={70537C64-0D91-407F-8A27-5D89D4CA8CF0}</author>
    <author>tc={78B9BC9E-4177-4091-9899-174101C6A686}</author>
    <author>tc={BF99663C-FC17-40E3-A80C-455A60EBF136}</author>
    <author>tc={C1B7419B-080A-4CCA-88E7-D74C747CA6C1}</author>
  </authors>
  <commentList>
    <comment ref="B1" authorId="0" shapeId="0" xr:uid="{1DCBB9F6-D632-4D48-B59C-2EDBB4203942}">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FA5F41B1-5766-46A4-9E12-17DD89E68474}">
      <text>
        <r>
          <rPr>
            <b/>
            <sz val="9"/>
            <color indexed="81"/>
            <rFont val="Tahoma"/>
            <family val="2"/>
          </rPr>
          <t>Jonathan Wilken:</t>
        </r>
        <r>
          <rPr>
            <sz val="9"/>
            <color indexed="81"/>
            <rFont val="Tahoma"/>
            <family val="2"/>
          </rPr>
          <t xml:space="preserve">
Reading from apograph (i.e., younger copy)</t>
        </r>
      </text>
    </comment>
    <comment ref="D1" authorId="0" shapeId="0" xr:uid="{670AE0C6-0B57-4803-87B2-7688E3BE9FA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07862B8E-5876-4F4C-8D8D-D2FB6D5D6A0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9AC155FE-C571-4B1F-AEBD-F0B1188FFE34}">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0EA80ABA-F3DC-44D6-8ECB-A12598E51E8C}">
      <text>
        <r>
          <rPr>
            <b/>
            <sz val="9"/>
            <color indexed="81"/>
            <rFont val="Tahoma"/>
            <family val="2"/>
          </rPr>
          <t>Jonathan Wilken:</t>
        </r>
        <r>
          <rPr>
            <sz val="9"/>
            <color indexed="81"/>
            <rFont val="Tahoma"/>
            <family val="2"/>
          </rPr>
          <t xml:space="preserve">
Add, omit, transposition, substitution, combo</t>
        </r>
      </text>
    </comment>
    <comment ref="H1" authorId="0" shapeId="0" xr:uid="{D98A0329-0142-477D-B487-29C75DA46CD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77414BA0-8EC0-4B44-9E15-6BE42FE84D9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4F44C801-6C31-46FA-9E09-C2AD35CC855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F35785D-AC03-454A-8315-01E38411C38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186EB67E-0D82-4999-A7E2-734258EBFA16}">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DF8028CA-9EC3-400D-B636-9A49CCEB6A9B}">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2154F640-0439-41A8-AFC3-A4CE2BAF71F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26DA0A0A-EF0D-4358-8ACD-8E6CA49FDCC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4A3FAC40-CA30-4511-886C-817465D6FBE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F6DBDBC8-E01D-4FF9-9A23-04A92FF9AC0E}">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F8C697BD-B615-44DE-9211-73AFCF7D29C4}">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0" shapeId="0" xr:uid="{91B32630-7E0E-4E89-8E00-C72F03D2FC9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V1" authorId="0" shapeId="0" xr:uid="{CFE820DB-4BF3-4517-8382-5B93ACBB7A59}">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W1" authorId="0" shapeId="0" xr:uid="{EE9B7948-E4E7-4714-85AF-55A6F5CEB9A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X1" authorId="0" shapeId="0" xr:uid="{175393AA-17CB-4738-811E-10CE29DBDF0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Z1" authorId="0" shapeId="0" xr:uid="{2D516825-D2B2-4547-AAAE-9D2B18362A14}">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A1" authorId="0" shapeId="0" xr:uid="{976BFCE9-B989-4D0A-BD3E-E70F2AE27BD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B1" authorId="0" shapeId="0" xr:uid="{0C7831B9-D27A-4FCA-A329-540EB6B9876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939" authorId="2" shapeId="0" xr:uid="{37D109DF-9EEB-4C87-90F8-C2E56A539222}">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940" authorId="3" shapeId="0" xr:uid="{DFF4632F-9C58-4C42-8152-EB837D102DB6}">
      <text>
        <t>[Threaded comment]
Your version of Excel allows you to read this threaded comment; however, any edits to it will get removed if the file is opened in a newer version of Excel. Learn more: https://go.microsoft.com/fwlink/?linkid=870924
Comment:
    "Low Meaning" words</t>
      </text>
    </comment>
    <comment ref="C940" authorId="4" shapeId="0" xr:uid="{7ECC2211-0E5C-42B7-BE07-CB6411CB27E6}">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940" authorId="5" shapeId="0" xr:uid="{01DB1D55-3C92-4F87-854C-9E64882F5842}">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941" authorId="6" shapeId="0" xr:uid="{3B0E65F3-6C1D-4CD0-BFE3-22DDE1E753D9}">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944" authorId="7" shapeId="0" xr:uid="{A7308020-46EF-4437-B101-DF0A79AA320F}">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945" authorId="8" shapeId="0" xr:uid="{34028A59-964C-46F5-926B-84CDCB69667C}">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946" authorId="9" shapeId="0" xr:uid="{0E777719-C89B-43E7-9E22-2569D2254222}">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949" authorId="10" shapeId="0" xr:uid="{86114342-3137-4A70-AA16-198C98E60301}">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950" authorId="11" shapeId="0" xr:uid="{344B6AE0-EEE5-4280-B473-6370F6C57215}">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951" authorId="12" shapeId="0" xr:uid="{383E1233-2B6B-46D3-82C7-C6A194781DEF}">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957" authorId="13" shapeId="0" xr:uid="{6A7F6B59-0B4E-4680-A08E-426F810C00F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957" authorId="14" shapeId="0" xr:uid="{A898BB97-294B-4A36-8E4C-D6CA593873E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957" authorId="15" shapeId="0" xr:uid="{C7E93D90-698D-42DE-9FB5-7B1AFBABD3C4}">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958" authorId="16" shapeId="0" xr:uid="{208FC424-2AC1-4615-B855-B1B7B9DE1F5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958" authorId="17" shapeId="0" xr:uid="{69B376C7-72B6-4C6B-9A4C-16B46C8FF19B}">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958" authorId="18" shapeId="0" xr:uid="{6F973451-91A0-444E-9B56-1306759587E8}">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959" authorId="19" shapeId="0" xr:uid="{B3175BEC-32C3-404D-B339-57604112041E}">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959" authorId="20" shapeId="0" xr:uid="{79395F67-6616-4880-9E1B-EC9002937ECB}">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959" authorId="21" shapeId="0" xr:uid="{13E0764A-C191-4B7A-AF69-9B1A0DA1E971}">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963" authorId="22" shapeId="0" xr:uid="{E78D4210-FFFC-42FB-AD76-9BF06D8F69B2}">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963" authorId="23" shapeId="0" xr:uid="{DABA1915-5ED4-434C-808A-D66FB40855AF}">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964" authorId="24" shapeId="0" xr:uid="{7ACD029A-EDAB-4CD3-82FF-F0064716F05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964" authorId="25" shapeId="0" xr:uid="{98F0C443-47D3-4C99-B7BD-AE12E582069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969" authorId="26" shapeId="0" xr:uid="{8734414B-742D-4357-A8DF-747313C20A17}">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969" authorId="27" shapeId="0" xr:uid="{0AB2071C-D589-4A0D-BD0B-E51DBD6FE8F8}">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970" authorId="28" shapeId="0" xr:uid="{26DDBF23-FAD6-48D6-910B-E64597EE16EE}">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970" authorId="29" shapeId="0" xr:uid="{6CD300B9-2280-4F5A-ADD3-A086A38CF59D}">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975" authorId="30" shapeId="0" xr:uid="{A819B094-B5B0-405A-A3E3-B0FFE946F9AB}">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975" authorId="31" shapeId="0" xr:uid="{66D472F8-6268-4C6F-AA97-9BBF1875CAF2}">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975" authorId="32" shapeId="0" xr:uid="{75D1BD89-EF02-4F81-A21E-8C51FE45DB64}">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976" authorId="33" shapeId="0" xr:uid="{7DD2130A-620E-4D89-A958-8F006D1F00E6}">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976" authorId="34" shapeId="0" xr:uid="{C96DEF1F-2FC2-4328-A9C3-55982300F138}">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976" authorId="35" shapeId="0" xr:uid="{81E75718-ABCE-4E2F-9661-EB50F5C0EE30}">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977" authorId="36" shapeId="0" xr:uid="{DB6ECBCC-5E5E-4947-ADB8-80E1F07BFD85}">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977" authorId="37" shapeId="0" xr:uid="{EA93BFF6-36F1-4D1A-A390-E58181C5F00C}">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977" authorId="38" shapeId="0" xr:uid="{9946F17C-AE3D-41E1-AC67-0C0F76540EEC}">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980" authorId="39" shapeId="0" xr:uid="{9F608CAA-34B8-45F8-A079-45FE32601AEE}">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980" authorId="40" shapeId="0" xr:uid="{70537C64-0D91-407F-8A27-5D89D4CA8CF0}">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980" authorId="41" shapeId="0" xr:uid="{78B9BC9E-4177-4091-9899-174101C6A686}">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980" authorId="42" shapeId="0" xr:uid="{BF99663C-FC17-40E3-A80C-455A60EBF136}">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988" authorId="43" shapeId="0" xr:uid="{C1B7419B-080A-4CCA-88E7-D74C747CA6C1}">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tc={522F2758-2745-4163-B675-1C3E42F8DA9B}</author>
    <author>tc={8D1CF3B5-B59B-4947-98A8-B10099907E0D}</author>
    <author>tc={91863D22-C10C-4DF5-9F22-88BE8C404717}</author>
    <author>tc={26E460E1-0292-4C17-91D6-755C7F71DC44}</author>
    <author>tc={D29C2D7C-60AB-4233-80FC-6F418509E78F}</author>
    <author>tc={EC9FC04C-59D5-4BD5-A283-AACF8E00F1E2}</author>
    <author>tc={9A509DD0-8335-421B-B09A-AECECD700030}</author>
    <author>tc={70EFA4C8-DFBD-40E4-8228-F3A2656FE67F}</author>
    <author>tc={8E998E10-ADFD-4287-8C9A-D9F757C2F19C}</author>
    <author>tc={999CE100-59C9-407A-9049-A2D86F044D03}</author>
    <author>tc={A7E62005-0AEC-4508-BD96-57A404FE346E}</author>
    <author>tc={6AB02FB0-2B8D-4F48-BE60-3E690176B55B}</author>
  </authors>
  <commentList>
    <comment ref="B1" authorId="0" shapeId="0" xr:uid="{069F98C8-3706-4A4C-AE78-63B9DE49D5F6}">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9C27915C-9C9B-4FA6-B0B3-66F596D818FE}">
      <text>
        <r>
          <rPr>
            <b/>
            <sz val="9"/>
            <color indexed="81"/>
            <rFont val="Tahoma"/>
            <family val="2"/>
          </rPr>
          <t>Jonathan Wilken:</t>
        </r>
        <r>
          <rPr>
            <sz val="9"/>
            <color indexed="81"/>
            <rFont val="Tahoma"/>
            <family val="2"/>
          </rPr>
          <t xml:space="preserve">
Reading from apograph (i.e., younger copy)</t>
        </r>
      </text>
    </comment>
    <comment ref="D1" authorId="0" shapeId="0" xr:uid="{330F4F3B-9C13-44FD-B384-9D6C57092EDB}">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B4B4D4E5-7C28-4A4D-AC14-EA197B8F2C6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AA12BE5E-6ED1-427B-89D8-30AFC04DE66A}">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F2E01F09-4296-4D7C-B67B-6FBCF2359F3A}">
      <text>
        <r>
          <rPr>
            <b/>
            <sz val="9"/>
            <color indexed="81"/>
            <rFont val="Tahoma"/>
            <family val="2"/>
          </rPr>
          <t>Jonathan Wilken:</t>
        </r>
        <r>
          <rPr>
            <sz val="9"/>
            <color indexed="81"/>
            <rFont val="Tahoma"/>
            <family val="2"/>
          </rPr>
          <t xml:space="preserve">
Add, omit, transposition, substitution, combo</t>
        </r>
      </text>
    </comment>
    <comment ref="H1" authorId="0" shapeId="0" xr:uid="{FFEE5355-DF0A-4B51-BFB0-68AC0736FA2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3B0CB11-661E-401A-8B19-918FA3B70BF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453AC3AA-927B-4422-BAB5-40B6DFED771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CE1140AF-9B14-4A01-A9A3-BE79A0B94046}">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DC0FFAD9-4D57-4E21-A862-C0D0CC303059}">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4A6D7065-7142-49D3-B596-27216CDCF7C3}">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D30A8F89-5F50-4DA1-946C-C23985E7AE95}">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E3D36CA7-3B32-473B-9625-627F7259BC67}">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141E400-60F3-4B4E-9D7D-55989C17DB59}">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522F2758-2745-4163-B675-1C3E42F8DA9B}">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D1FC92EF-5459-42F6-8532-AFE7F8FEC8AF}">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0" shapeId="0" xr:uid="{25EFDC3C-5692-48D6-A44A-154705AB941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V1" authorId="0" shapeId="0" xr:uid="{202A1645-8D1D-4613-83A7-9818BCD5F1E1}">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W1" authorId="0" shapeId="0" xr:uid="{12818C79-AC9A-4399-AA79-B31123437AA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X1" authorId="0" shapeId="0" xr:uid="{17D251BD-A130-4059-AA2A-CEEBA29DCB79}">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Z1" authorId="0" shapeId="0" xr:uid="{E5DDB937-D319-4670-B844-C048DCFA703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A1" authorId="0" shapeId="0" xr:uid="{725B900B-B1E1-4E64-9C11-2397DA16976A}">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B1" authorId="0" shapeId="0" xr:uid="{D130C22A-3A10-4E89-85C7-5291C3A3C56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671" authorId="2" shapeId="0" xr:uid="{8D1CF3B5-B59B-4947-98A8-B10099907E0D}">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672" authorId="3" shapeId="0" xr:uid="{91863D22-C10C-4DF5-9F22-88BE8C404717}">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675" authorId="4" shapeId="0" xr:uid="{26E460E1-0292-4C17-91D6-755C7F71DC44}">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676" authorId="5" shapeId="0" xr:uid="{D29C2D7C-60AB-4233-80FC-6F418509E78F}">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677" authorId="6" shapeId="0" xr:uid="{EC9FC04C-59D5-4BD5-A283-AACF8E00F1E2}">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678" authorId="7" shapeId="0" xr:uid="{9A509DD0-8335-421B-B09A-AECECD700030}">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679" authorId="8" shapeId="0" xr:uid="{70EFA4C8-DFBD-40E4-8228-F3A2656FE67F}">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680" authorId="9" shapeId="0" xr:uid="{8E998E10-ADFD-4287-8C9A-D9F757C2F19C}">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683" authorId="10" shapeId="0" xr:uid="{999CE100-59C9-407A-9049-A2D86F044D03}">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684" authorId="11" shapeId="0" xr:uid="{A7E62005-0AEC-4508-BD96-57A404FE346E}">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685" authorId="12" shapeId="0" xr:uid="{6AB02FB0-2B8D-4F48-BE60-3E690176B55B}">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tc={0A60595A-F5CA-4831-8DBF-26F8BFEE7041}</author>
    <author>tc={78189478-CE70-445A-A899-449104E3C7FF}</author>
    <author>tc={631DFB02-899D-4BA0-A4A7-672245B0433A}</author>
    <author>tc={CD68CDB1-F1B7-4D98-8381-1AB5E3778E1F}</author>
    <author>tc={A10C1E93-C7C6-4E58-B9B9-350A1587DECC}</author>
    <author>tc={D0EF186E-0CE0-4729-B379-94C54486A7FD}</author>
    <author>tc={8C59654E-CCFB-4550-BF70-3CD03C2DD110}</author>
    <author>tc={752189A5-B4AB-4C3E-91E3-D0EB45E2FC2F}</author>
    <author>tc={0D2554BC-85B6-495C-BFEE-D9ED052EFC90}</author>
    <author>tc={1935A1E2-4BA5-4393-BB8F-DA8C572E7801}</author>
  </authors>
  <commentList>
    <comment ref="B1" authorId="0" shapeId="0" xr:uid="{FD009948-D4BD-4605-BAE3-B39663A4AD99}">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C791DEB5-E440-4F76-99F6-0DBED6E202B8}">
      <text>
        <r>
          <rPr>
            <b/>
            <sz val="9"/>
            <color indexed="81"/>
            <rFont val="Tahoma"/>
            <family val="2"/>
          </rPr>
          <t>Jonathan Wilken:</t>
        </r>
        <r>
          <rPr>
            <sz val="9"/>
            <color indexed="81"/>
            <rFont val="Tahoma"/>
            <family val="2"/>
          </rPr>
          <t xml:space="preserve">
Reading from apograph (i.e., younger copy)</t>
        </r>
      </text>
    </comment>
    <comment ref="D1" authorId="0" shapeId="0" xr:uid="{2117C79D-299E-4223-AB5C-4192C277B55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368414BC-5F7E-4E83-B733-27D81AAE75F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EB26242-B935-49F0-A25A-78A68E5F1665}">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B5A7A71A-6C1B-40FB-9961-EA5F87FB1A3F}">
      <text>
        <r>
          <rPr>
            <b/>
            <sz val="9"/>
            <color indexed="81"/>
            <rFont val="Tahoma"/>
            <family val="2"/>
          </rPr>
          <t>Jonathan Wilken:</t>
        </r>
        <r>
          <rPr>
            <sz val="9"/>
            <color indexed="81"/>
            <rFont val="Tahoma"/>
            <family val="2"/>
          </rPr>
          <t xml:space="preserve">
Add, omit, transposition, substitution, combo</t>
        </r>
      </text>
    </comment>
    <comment ref="H1" authorId="0" shapeId="0" xr:uid="{D126424C-8C78-41FD-8ACD-65716B8335E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CD8C0A29-4C5C-431B-996D-9C7088ABE7D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CC748D1E-34CC-4366-B4FB-7806FBC18CB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305518E6-50A6-41F7-A72D-2F04065ECEC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09093EF7-E93F-4D62-95A1-9B91EE1BF9B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F1DCED76-35EB-4452-AD34-8E34B53D16E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5FEFFA25-7D54-4A7F-8918-37B84C9DB4D3}">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1AF4B36-16B0-4F91-80FC-1B4FCB6F1B0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F5F3DA9-C11A-466E-BC8C-1BB088AB4D63}">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0A60595A-F5CA-4831-8DBF-26F8BFEE7041}">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B2FFA747-A193-4B58-B757-3444423643B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0" shapeId="0" xr:uid="{A3E7DA30-3A01-4EDB-8E60-67712523B40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V1" authorId="0" shapeId="0" xr:uid="{AE893299-6587-4ED1-8284-338C077BEB91}">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W1" authorId="0" shapeId="0" xr:uid="{6EDC8EC6-C604-453B-8AE0-1DF647C674A0}">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X1" authorId="0" shapeId="0" xr:uid="{A3224CE9-44E5-45D0-BC30-7302A4B40578}">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Z1" authorId="0" shapeId="0" xr:uid="{52EEFF4B-6F78-4F5E-A14C-307AB99211C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A1" authorId="0" shapeId="0" xr:uid="{A0B0ABCA-2AED-4E4C-8288-64CA14773B41}">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B1" authorId="0" shapeId="0" xr:uid="{F5C2C756-61AF-4245-9C5A-FDB00D487B6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29" authorId="2" shapeId="0" xr:uid="{78189478-CE70-445A-A899-449104E3C7FF}">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30" authorId="3" shapeId="0" xr:uid="{631DFB02-899D-4BA0-A4A7-672245B0433A}">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33" authorId="4" shapeId="0" xr:uid="{CD68CDB1-F1B7-4D98-8381-1AB5E3778E1F}">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34" authorId="5" shapeId="0" xr:uid="{A10C1E93-C7C6-4E58-B9B9-350A1587DECC}">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35" authorId="6" shapeId="0" xr:uid="{D0EF186E-0CE0-4729-B379-94C54486A7FD}">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36" authorId="7" shapeId="0" xr:uid="{8C59654E-CCFB-4550-BF70-3CD03C2DD110}">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37" authorId="8" shapeId="0" xr:uid="{752189A5-B4AB-4C3E-91E3-D0EB45E2FC2F}">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138" authorId="9" shapeId="0" xr:uid="{0D2554BC-85B6-495C-BFEE-D9ED052EFC90}">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139" authorId="10" shapeId="0" xr:uid="{1935A1E2-4BA5-4393-BB8F-DA8C572E7801}">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tc={E5F3AEC0-4458-4224-BFA7-78824C22AE6F}</author>
    <author>tc={EEAAE5B9-3E54-47E8-9C27-3FEAF20FEEF9}</author>
    <author>tc={873E0A65-1475-4B1D-8E18-60B507E15D75}</author>
    <author>tc={2452A8AB-F250-48B4-99B8-B5632C0A6B01}</author>
    <author>tc={B429647F-14CA-46C2-A22C-C0DCF3822B60}</author>
    <author>tc={DB9C3F31-031C-4A56-B34C-E6FB0A8F14F4}</author>
    <author>tc={A398A020-7632-4415-B2C4-0BD2982CFBB3}</author>
    <author>tc={75C20A1A-49B2-41A2-B65B-5BBF24FAAEF3}</author>
    <author>tc={D5BA6A77-10DA-49DA-A22D-11E4820AA2A7}</author>
    <author>tc={5793F83E-61A8-47C5-A9AE-10CF8F16AA69}</author>
    <author>tc={1CBA104B-76F4-4686-BC42-0F4A5E61BE6B}</author>
    <author>tc={FBFC0E51-5D75-41CD-BBF0-C089FF7F99CE}</author>
    <author>tc={5C8C6914-D0DA-49A0-A3F2-DD3AE1A1F8FB}</author>
    <author>tc={09CCC1EC-D689-4BB0-A00F-8169516CC9BA}</author>
    <author>tc={0356C607-1350-4145-9727-D51411B488E5}</author>
  </authors>
  <commentList>
    <comment ref="B1" authorId="0" shapeId="0" xr:uid="{C6EAF1CF-08CD-42D7-9705-04895AAB6911}">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6757047D-7535-4B56-8431-223BCDE91D4E}">
      <text>
        <r>
          <rPr>
            <b/>
            <sz val="9"/>
            <color indexed="81"/>
            <rFont val="Tahoma"/>
            <family val="2"/>
          </rPr>
          <t>Jonathan Wilken:</t>
        </r>
        <r>
          <rPr>
            <sz val="9"/>
            <color indexed="81"/>
            <rFont val="Tahoma"/>
            <family val="2"/>
          </rPr>
          <t xml:space="preserve">
Reading from apograph (i.e., younger copy)</t>
        </r>
      </text>
    </comment>
    <comment ref="D1" authorId="0" shapeId="0" xr:uid="{8B01EACE-C02A-496B-B3EE-12EE652381D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4FB5DF5E-B44F-4909-9E2D-AAABEC8351A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860C7CD-A02F-46FE-9D3B-C5659C9B3016}">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F60E98E0-6CA1-4783-9E7D-19EFBA62D4A0}">
      <text>
        <r>
          <rPr>
            <b/>
            <sz val="9"/>
            <color indexed="81"/>
            <rFont val="Tahoma"/>
            <family val="2"/>
          </rPr>
          <t>Jonathan Wilken:</t>
        </r>
        <r>
          <rPr>
            <sz val="9"/>
            <color indexed="81"/>
            <rFont val="Tahoma"/>
            <family val="2"/>
          </rPr>
          <t xml:space="preserve">
Add, omit, transposition, substitution, combo</t>
        </r>
      </text>
    </comment>
    <comment ref="H1" authorId="0" shapeId="0" xr:uid="{3D79600E-163F-4241-B6C2-96405D6F6367}">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7A6600BA-D2E1-4FE0-963C-4A5C8565F0CE}">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EFF6C44A-30E2-42FE-955F-5D0322A56543}">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7E298E7-A43C-4786-B39D-24F844793D8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15B1BF7B-3E87-4085-AEC1-8A225E456C1C}">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5ABDB451-CDCF-49E5-B690-6C758CB0EDC7}">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2D481535-F6A6-4333-BC9A-66FE7897E628}">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50A03C08-91C4-46FD-8088-2E02C48F982C}">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35A19BC2-0674-49D5-96FD-64FFDB6BF9C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F150A1B0-2162-425D-80E0-7FDD0EE08115}">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E5F3AEC0-4458-4224-BFA7-78824C22AE6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EEAAE5B9-3E54-47E8-9C27-3FEAF20FEEF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873E0A65-1475-4B1D-8E18-60B507E15D75}">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2452A8AB-F250-48B4-99B8-B5632C0A6B01}">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B429647F-14CA-46C2-A22C-C0DCF3822B60}">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2EDDE22A-46EF-4125-8EB2-403F8F4B6121}">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5467D11D-73F4-44D9-820D-558DD699C269}">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57973DA5-A270-45A4-A43D-B5C8E8A6BBA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62419AD6-150C-4728-84A0-8AA3656FE3D9}">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E05489A1-3C5B-4BF2-BB59-05A6126E12F9}">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3179177E-4CB8-43F9-A265-EDAEFAAA0F67}">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78339AC9-E3A4-4165-B24C-138488153FE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353" authorId="6" shapeId="0" xr:uid="{DB9C3F31-031C-4A56-B34C-E6FB0A8F14F4}">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356" authorId="7" shapeId="0" xr:uid="{A398A020-7632-4415-B2C4-0BD2982CFBB3}">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357" authorId="8" shapeId="0" xr:uid="{75C20A1A-49B2-41A2-B65B-5BBF24FAAEF3}">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358" authorId="9" shapeId="0" xr:uid="{D5BA6A77-10DA-49DA-A22D-11E4820AA2A7}">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360" authorId="10" shapeId="0" xr:uid="{5793F83E-61A8-47C5-A9AE-10CF8F16AA69}">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361" authorId="11" shapeId="0" xr:uid="{1CBA104B-76F4-4686-BC42-0F4A5E61BE6B}">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364" authorId="12" shapeId="0" xr:uid="{FBFC0E51-5D75-41CD-BBF0-C089FF7F99CE}">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365" authorId="13" shapeId="0" xr:uid="{5C8C6914-D0DA-49A0-A3F2-DD3AE1A1F8FB}">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368" authorId="14" shapeId="0" xr:uid="{09CCC1EC-D689-4BB0-A00F-8169516CC9BA}">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369" authorId="15" shapeId="0" xr:uid="{0356C607-1350-4145-9727-D51411B488E5}">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tc={400128A8-38C1-44F1-B926-1786183F0A14}</author>
    <author>tc={0499DB51-C85B-4A69-B810-720B1F787637}</author>
    <author>tc={4143BFE5-C3B5-4696-A79F-B41B65D82743}</author>
    <author>tc={43F63057-9992-43A2-8FC5-09F8BED26FD1}</author>
    <author>tc={898BF3D7-6362-4967-886E-18ECDBEF138A}</author>
    <author>tc={3A607057-BB1D-4DB1-B4F0-C82FF4AB21F8}</author>
    <author>tc={9A4F6685-E277-48A5-B5F3-B7B07A138D14}</author>
    <author>tc={30C6D24C-11B5-4882-B895-492B2A835A17}</author>
    <author>tc={F2241C37-6E7E-4314-94F7-972AC5808F0D}</author>
    <author>tc={FC56B621-8D69-4D8E-A77D-8BC6E8E1D17A}</author>
    <author>tc={47B70FFA-9180-4593-A9A2-2DB5B6DC695C}</author>
    <author>tc={D95399C8-3192-41B3-903B-5C8C79DC54F0}</author>
    <author>tc={031A6792-0F60-4CDD-B635-4560F66726E1}</author>
    <author>tc={6F60B3C2-52EC-40F6-9DF3-FBD089728D84}</author>
  </authors>
  <commentList>
    <comment ref="B1" authorId="0" shapeId="0" xr:uid="{96D01BF3-2BCE-4BA3-8ECB-9A5CD757CFB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0899ABB-31DE-4FFF-B15A-8DC4CA481B82}">
      <text>
        <r>
          <rPr>
            <b/>
            <sz val="9"/>
            <color indexed="81"/>
            <rFont val="Tahoma"/>
            <family val="2"/>
          </rPr>
          <t>Jonathan Wilken:</t>
        </r>
        <r>
          <rPr>
            <sz val="9"/>
            <color indexed="81"/>
            <rFont val="Tahoma"/>
            <family val="2"/>
          </rPr>
          <t xml:space="preserve">
Reading from apograph (i.e., younger copy)</t>
        </r>
      </text>
    </comment>
    <comment ref="D1" authorId="0" shapeId="0" xr:uid="{C0639E4C-72E1-4887-9EFC-3B91D4D5582D}">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BD34D5F-3959-4457-8D15-F3106025DB47}">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32C4420-4BC4-4B85-AEB8-C6A1DD28307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C8159B4E-4AD3-42AF-9035-6F6488FD3552}">
      <text>
        <r>
          <rPr>
            <b/>
            <sz val="9"/>
            <color indexed="81"/>
            <rFont val="Tahoma"/>
            <family val="2"/>
          </rPr>
          <t>Jonathan Wilken:</t>
        </r>
        <r>
          <rPr>
            <sz val="9"/>
            <color indexed="81"/>
            <rFont val="Tahoma"/>
            <family val="2"/>
          </rPr>
          <t xml:space="preserve">
Add, omit, transposition, substitution, combo</t>
        </r>
      </text>
    </comment>
    <comment ref="I1" authorId="0" shapeId="0" xr:uid="{2146F8C5-D6AE-46C4-A70B-C50FDF01799E}">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6814149B-789B-45DC-A345-6E7659CA3240}">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B689E309-5E41-4427-AF69-3E8EB4EE0A4B}">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3CF3BFA3-23CE-4664-AA29-15FE6F84FF6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D1D7D84F-4458-4ED3-98EF-EBB3F50CB48D}">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797F2E74-BFB1-4971-9C65-A253F3C07B9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8EAF153C-E7BE-43C5-BF5B-519304D8923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F0FED027-F191-4252-90D4-30D6F40B9075}">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4C4374DA-AA1D-4C81-8C3C-B7778416A952}">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DB8BB861-ABB5-49CE-929F-298B7E184BDE}">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400128A8-38C1-44F1-B926-1786183F0A1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0499DB51-C85B-4A69-B810-720B1F78763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FBB85BCF-DCC5-41B0-B2A0-FB4F2EDBF5BE}">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672861D1-0139-4737-895E-E5A619852362}">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87A0F5BA-C5BD-4FFF-950B-2DB4FC0E733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DF5CE0DD-E132-4E2E-90C7-7EA479FB1B73}">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CFD93EA9-D12C-48C8-9B64-2FFFBB32F41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614DA785-ECA5-4352-ACE6-9C46DFD2D902}">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FE86059F-814A-4978-8C90-54ED90C8BD2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F1" authorId="0" shapeId="0" xr:uid="{53F57882-1526-42AB-BCFD-385A39B39903}">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 ref="D69" authorId="3" shapeId="0" xr:uid="{4143BFE5-C3B5-4696-A79F-B41B65D82743}">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70" authorId="4" shapeId="0" xr:uid="{43F63057-9992-43A2-8FC5-09F8BED26FD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71" authorId="5" shapeId="0" xr:uid="{898BF3D7-6362-4967-886E-18ECDBEF138A}">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75" authorId="6" shapeId="0" xr:uid="{3A607057-BB1D-4DB1-B4F0-C82FF4AB21F8}">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75" authorId="7" shapeId="0" xr:uid="{9A4F6685-E277-48A5-B5F3-B7B07A138D14}">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75" authorId="8" shapeId="0" xr:uid="{30C6D24C-11B5-4882-B895-492B2A835A17}">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75" authorId="9" shapeId="0" xr:uid="{F2241C37-6E7E-4314-94F7-972AC5808F0D}">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75" authorId="10" shapeId="0" xr:uid="{FC56B621-8D69-4D8E-A77D-8BC6E8E1D17A}">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75" authorId="11" shapeId="0" xr:uid="{47B70FFA-9180-4593-A9A2-2DB5B6DC695C}">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76" authorId="12" shapeId="0" xr:uid="{D95399C8-3192-41B3-903B-5C8C79DC54F0}">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77" authorId="13" shapeId="0" xr:uid="{031A6792-0F60-4CDD-B635-4560F66726E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78" authorId="14" shapeId="0" xr:uid="{6F60B3C2-52EC-40F6-9DF3-FBD089728D84}">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Jonathan Wilken</author>
    <author>tc={828B08A0-D50B-47DD-BB1E-790EB1B997AD}</author>
    <author>tc={3721C302-CD1D-4666-B4E1-FF2A0C371556}</author>
  </authors>
  <commentList>
    <comment ref="B1" authorId="0" shapeId="0" xr:uid="{F022D86D-8C8F-4B2D-AC27-A894DECB843D}">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D9F71D5-2752-46A0-8FD8-C47C5E2461C0}">
      <text>
        <r>
          <rPr>
            <b/>
            <sz val="9"/>
            <color indexed="81"/>
            <rFont val="Tahoma"/>
            <family val="2"/>
          </rPr>
          <t>Jonathan Wilken:</t>
        </r>
        <r>
          <rPr>
            <sz val="9"/>
            <color indexed="81"/>
            <rFont val="Tahoma"/>
            <family val="2"/>
          </rPr>
          <t xml:space="preserve">
Reading from apograph (i.e., younger copy)</t>
        </r>
      </text>
    </comment>
    <comment ref="D1" authorId="0" shapeId="0" xr:uid="{CF716AC9-8937-4C0D-8F66-9075D5A7AA3C}">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D030610-3D1A-4C59-8672-06EFE838E8E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9D66F45-A3A5-48A3-9B8B-1E0E07BDBA4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36293A72-4BD2-49AB-9004-D088CD644239}">
      <text>
        <r>
          <rPr>
            <b/>
            <sz val="9"/>
            <color indexed="81"/>
            <rFont val="Tahoma"/>
            <family val="2"/>
          </rPr>
          <t>Jonathan Wilken:</t>
        </r>
        <r>
          <rPr>
            <sz val="9"/>
            <color indexed="81"/>
            <rFont val="Tahoma"/>
            <family val="2"/>
          </rPr>
          <t xml:space="preserve">
Add, omit, transposition, substitution, combo</t>
        </r>
      </text>
    </comment>
    <comment ref="H1" authorId="0" shapeId="0" xr:uid="{A20EFF24-D66A-45AE-BA68-20A2B868CE4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93F638F-959A-482D-A45B-72CEEEE15FF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A9CC7BE0-C0DE-4245-8F9E-B062F5F2EBB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5BF70E67-6FBF-46E9-B228-781ECD059EC9}">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B483DB0E-A751-4C3F-BC23-867E07824E22}">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AB6DA2F5-A899-4972-8A30-B423DCF05ACC}">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E049AD96-9540-4BDF-B361-728C5D8466F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95D13E7B-7F72-4216-A523-466FD001955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05B57399-1951-4E8B-8128-9ECE5E0AAF13}">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71A0047-EC62-47DE-A183-917C77534DD3}">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828B08A0-D50B-47DD-BB1E-790EB1B997A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3721C302-CD1D-4666-B4E1-FF2A0C37155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790FDB79-90FE-4378-8576-DAF2349586E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AAEC9F90-2C28-4788-AFFA-776D3EF021DC}">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9054C171-4C58-42C5-BE85-42DD0D1ED8FF}">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B4EA23B7-9373-4030-8C64-22364A917D5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3499FCD0-56B8-4542-B37E-ABED1EDB4500}">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F6228313-0355-4814-8E48-78C8DB399B4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070FE4A0-2BA9-49B6-B734-151DAF4F82CF}">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D1" authorId="0" shapeId="0" xr:uid="{2FBB67BC-F154-40E1-A97A-F0BF8084E85F}">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tc={67B59779-BBDB-4E56-A970-141F5CD197CB}</author>
    <author>tc={6167C02F-0811-4B1B-A22E-8467977DA39A}</author>
    <author>tc={68223D04-0FFB-47AA-AB14-23D71EEEFE4A}</author>
    <author>tc={6CACD3A8-D0CF-43B6-8061-C4C27E225B13}</author>
    <author>tc={0EE5AB95-A85E-4FC7-9162-6CC1132F32A7}</author>
    <author>tc={55957DB0-0635-4EF6-8EA3-D1BA21FBA941}</author>
    <author>tc={41820A1E-CDE3-4E4B-B83B-AF4CC1FD11E9}</author>
    <author>tc={CC99281C-DB17-459B-8D8B-3A32E7628CD9}</author>
    <author>tc={1CA73CF3-F34D-46ED-A0E1-AA51578BD4AC}</author>
    <author>tc={CAFFF73E-9D07-4BB8-AA1F-33D7FBDB2AAE}</author>
    <author>tc={F8551057-5C59-4889-82CE-DE59887819E0}</author>
    <author>tc={B8BC1BC9-0850-42F0-BC76-FBB04FAC4BD1}</author>
    <author>tc={92C3AFA0-0C4D-4FBB-8260-C55E1AB03845}</author>
    <author>tc={0D18C101-27AA-44FE-BF5B-D7E44F27B9E4}</author>
    <author>tc={72409DCA-108B-4799-83B9-97159F3757ED}</author>
    <author>tc={0F0CDF9B-FA58-4CF8-A3F7-B3389A537757}</author>
    <author>tc={C3394CB6-D16C-496C-B75D-E60B8E9B4773}</author>
    <author>tc={39BDD312-A868-494D-B636-E21B054C3DF5}</author>
    <author>tc={A45471A7-0012-453A-8FFA-4E6F58985C0D}</author>
    <author>tc={785BDB56-CE40-46B3-971B-E921FE64D1B5}</author>
    <author>tc={5024A76F-8CD3-4DA4-9481-1F2E21583FDB}</author>
    <author>tc={9B30776D-4F44-4391-9CAD-F839D2A56CC0}</author>
    <author>tc={ED53D1E8-DF61-4D43-8524-20FC7AACE01C}</author>
    <author>tc={3C26BEFB-10F6-4743-B391-719081A11F6C}</author>
    <author>tc={7E9BD926-64BD-4B55-A003-63402446A380}</author>
    <author>tc={7930AD3A-C02E-4FD3-B2B5-F16E16333E77}</author>
    <author>tc={A4430C54-0D87-4007-A92B-44EA4B2FE932}</author>
    <author>tc={ADE4CFD5-AA50-4202-9616-9F7196A68512}</author>
    <author>tc={BCFD1105-998A-4D64-AA00-B39AC80C1F33}</author>
    <author>tc={7496C6C7-7C06-484A-9782-39E609401374}</author>
    <author>tc={CA846D68-8C55-40E8-852F-A657530E32DD}</author>
    <author>tc={48E0CB95-20BA-46DF-970D-9EAC64CB842F}</author>
    <author>tc={272E405F-EA04-48E1-9EC4-78B2D99ADBDE}</author>
    <author>tc={97BA309C-2670-4FE5-9BE0-647DC13E36AB}</author>
    <author>tc={09F88AF8-FE07-4B0E-950C-6AEB6279CBB0}</author>
    <author>tc={E2E0AB22-5E33-498B-99CC-5C4D345873F7}</author>
    <author>tc={ECE3F939-C0F1-484B-836A-DED683BDE0AC}</author>
    <author>tc={A58799AE-0ABF-4BCE-95E4-678D62AFDDD2}</author>
    <author>tc={DE0741DD-04D5-4C22-AE88-D60080F3E0F6}</author>
    <author>tc={276847E5-150F-4338-ADDD-22D51FCE3E66}</author>
    <author>tc={47ACAC0A-5149-4899-8808-851BA65EA6D2}</author>
    <author>tc={2793B8CB-CB4C-4B44-99B8-C5EA06A65A74}</author>
    <author>tc={35DED24C-8479-4947-BD77-9125F889550D}</author>
    <author>tc={5BB22F32-6E87-4BEB-A7B0-BB4A12556506}</author>
  </authors>
  <commentList>
    <comment ref="B1" authorId="0" shapeId="0" xr:uid="{2D9ECBF5-FE01-4049-BD45-D09240093D6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35F28FD0-F69F-4319-A1A4-B1855182D315}">
      <text>
        <r>
          <rPr>
            <b/>
            <sz val="9"/>
            <color indexed="81"/>
            <rFont val="Tahoma"/>
            <family val="2"/>
          </rPr>
          <t>Jonathan Wilken:</t>
        </r>
        <r>
          <rPr>
            <sz val="9"/>
            <color indexed="81"/>
            <rFont val="Tahoma"/>
            <family val="2"/>
          </rPr>
          <t xml:space="preserve">
Reading from apograph (i.e., younger copy)</t>
        </r>
      </text>
    </comment>
    <comment ref="D1" authorId="0" shapeId="0" xr:uid="{C7480219-9E8C-4E0F-A317-8E73F317386B}">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D98451D-BC1C-481C-9BCE-0C8AC9F7F86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E8B5BA4-B597-45DE-90E8-308109862ECC}">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34E4FA46-5CE8-4076-8F1B-E08EE75C16D2}">
      <text>
        <r>
          <rPr>
            <b/>
            <sz val="9"/>
            <color indexed="81"/>
            <rFont val="Tahoma"/>
            <family val="2"/>
          </rPr>
          <t>Jonathan Wilken:</t>
        </r>
        <r>
          <rPr>
            <sz val="9"/>
            <color indexed="81"/>
            <rFont val="Tahoma"/>
            <family val="2"/>
          </rPr>
          <t xml:space="preserve">
Add, omit, transposition, substitution, combo</t>
        </r>
      </text>
    </comment>
    <comment ref="H1" authorId="0" shapeId="0" xr:uid="{11D02F4C-E39F-430D-A331-176E9F05E020}">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0AA81EC0-EBDC-4FD0-B78A-868AA2751B89}">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BCD38EE4-9E47-42A5-9BC3-8C9735698E5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8B36B2A8-68CE-468E-AFCD-BFF2A8FC6208}">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96CD1040-E462-4A14-AE06-76E3CBB53A28}">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0527B947-70D9-4705-A2C8-6278C7D8E02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C793A640-6D3F-4570-9C6C-18DEA2A3336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AB253B4-30B2-4F81-9E1A-047B7212A4BF}">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98585033-71DB-4A9E-82C9-FCB939B9B51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367AC5F3-3701-4E16-B845-3000233C8DE6}">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67B59779-BBDB-4E56-A970-141F5CD197C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6167C02F-0811-4B1B-A22E-8467977DA39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271074B1-BB2C-4DA0-8EA4-3B8EDF9B265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02E65068-2C7E-4AD5-8E2E-F5E617FFE98A}">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B68C3AD3-01B5-4B72-8B7B-3ACDB14FB27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88385C6A-8BA6-42A4-B19C-0555964CBED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4274111A-95E2-4224-8F11-5E01A1377896}">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E7AF4F59-B034-454F-BEEA-B052E5417AC9}">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ACE22523-6E5E-423A-B62A-D1EAEBEC0B1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D1" authorId="0" shapeId="0" xr:uid="{39C094FE-E42A-4C9D-A71A-8EECA204F489}">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 ref="F419" authorId="3" shapeId="0" xr:uid="{68223D04-0FFB-47AA-AB14-23D71EEEFE4A}">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420" authorId="4" shapeId="0" xr:uid="{6CACD3A8-D0CF-43B6-8061-C4C27E225B13}">
      <text>
        <t>[Threaded comment]
Your version of Excel allows you to read this threaded comment; however, any edits to it will get removed if the file is opened in a newer version of Excel. Learn more: https://go.microsoft.com/fwlink/?linkid=870924
Comment:
    "Low Meaning" words</t>
      </text>
    </comment>
    <comment ref="C420" authorId="5" shapeId="0" xr:uid="{0EE5AB95-A85E-4FC7-9162-6CC1132F32A7}">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420" authorId="6" shapeId="0" xr:uid="{55957DB0-0635-4EF6-8EA3-D1BA21FBA941}">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421" authorId="7" shapeId="0" xr:uid="{41820A1E-CDE3-4E4B-B83B-AF4CC1FD11E9}">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424" authorId="8" shapeId="0" xr:uid="{CC99281C-DB17-459B-8D8B-3A32E7628CD9}">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425" authorId="9" shapeId="0" xr:uid="{1CA73CF3-F34D-46ED-A0E1-AA51578BD4AC}">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426" authorId="10" shapeId="0" xr:uid="{CAFFF73E-9D07-4BB8-AA1F-33D7FBDB2AAE}">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429" authorId="11" shapeId="0" xr:uid="{F8551057-5C59-4889-82CE-DE59887819E0}">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430" authorId="12" shapeId="0" xr:uid="{B8BC1BC9-0850-42F0-BC76-FBB04FAC4BD1}">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431" authorId="13" shapeId="0" xr:uid="{92C3AFA0-0C4D-4FBB-8260-C55E1AB03845}">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437" authorId="14" shapeId="0" xr:uid="{0D18C101-27AA-44FE-BF5B-D7E44F27B9E4}">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37" authorId="15" shapeId="0" xr:uid="{72409DCA-108B-4799-83B9-97159F3757E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437" authorId="16" shapeId="0" xr:uid="{0F0CDF9B-FA58-4CF8-A3F7-B3389A537757}">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438" authorId="17" shapeId="0" xr:uid="{C3394CB6-D16C-496C-B75D-E60B8E9B4773}">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438" authorId="18" shapeId="0" xr:uid="{39BDD312-A868-494D-B636-E21B054C3DF5}">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438" authorId="19" shapeId="0" xr:uid="{A45471A7-0012-453A-8FFA-4E6F58985C0D}">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439" authorId="20" shapeId="0" xr:uid="{785BDB56-CE40-46B3-971B-E921FE64D1B5}">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439" authorId="21" shapeId="0" xr:uid="{5024A76F-8CD3-4DA4-9481-1F2E21583FDB}">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439" authorId="22" shapeId="0" xr:uid="{9B30776D-4F44-4391-9CAD-F839D2A56CC0}">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443" authorId="23" shapeId="0" xr:uid="{ED53D1E8-DF61-4D43-8524-20FC7AACE01C}">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443" authorId="24" shapeId="0" xr:uid="{3C26BEFB-10F6-4743-B391-719081A11F6C}">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444" authorId="25" shapeId="0" xr:uid="{7E9BD926-64BD-4B55-A003-63402446A380}">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444" authorId="26" shapeId="0" xr:uid="{7930AD3A-C02E-4FD3-B2B5-F16E16333E7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449" authorId="27" shapeId="0" xr:uid="{A4430C54-0D87-4007-A92B-44EA4B2FE932}">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449" authorId="28" shapeId="0" xr:uid="{ADE4CFD5-AA50-4202-9616-9F7196A68512}">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450" authorId="29" shapeId="0" xr:uid="{BCFD1105-998A-4D64-AA00-B39AC80C1F33}">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450" authorId="30" shapeId="0" xr:uid="{7496C6C7-7C06-484A-9782-39E609401374}">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455" authorId="31" shapeId="0" xr:uid="{CA846D68-8C55-40E8-852F-A657530E32DD}">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455" authorId="32" shapeId="0" xr:uid="{48E0CB95-20BA-46DF-970D-9EAC64CB842F}">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455" authorId="33" shapeId="0" xr:uid="{272E405F-EA04-48E1-9EC4-78B2D99ADBDE}">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456" authorId="34" shapeId="0" xr:uid="{97BA309C-2670-4FE5-9BE0-647DC13E36AB}">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456" authorId="35" shapeId="0" xr:uid="{09F88AF8-FE07-4B0E-950C-6AEB6279CBB0}">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456" authorId="36" shapeId="0" xr:uid="{E2E0AB22-5E33-498B-99CC-5C4D345873F7}">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457" authorId="37" shapeId="0" xr:uid="{ECE3F939-C0F1-484B-836A-DED683BDE0AC}">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457" authorId="38" shapeId="0" xr:uid="{A58799AE-0ABF-4BCE-95E4-678D62AFDDD2}">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457" authorId="39" shapeId="0" xr:uid="{DE0741DD-04D5-4C22-AE88-D60080F3E0F6}">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460" authorId="40" shapeId="0" xr:uid="{276847E5-150F-4338-ADDD-22D51FCE3E66}">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460" authorId="41" shapeId="0" xr:uid="{47ACAC0A-5149-4899-8808-851BA65EA6D2}">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460" authorId="42" shapeId="0" xr:uid="{2793B8CB-CB4C-4B44-99B8-C5EA06A65A74}">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460" authorId="43" shapeId="0" xr:uid="{35DED24C-8479-4947-BD77-9125F889550D}">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468" authorId="44" shapeId="0" xr:uid="{5BB22F32-6E87-4BEB-A7B0-BB4A12556506}">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Jonathan Wilken</author>
    <author>tc={1CFE7F8C-615D-4458-8E78-2B32B78BFE9F}</author>
    <author>tc={89924E40-BB35-4555-B96D-54541174EC7A}</author>
    <author>tc={3C1FBA8A-41C4-4A55-8EDD-0F9E83C7F88B}</author>
    <author>tc={673D6C97-F717-4BFB-9219-86DBECED6E6B}</author>
    <author>tc={8E81BA50-FECA-41FC-91B9-9422B84A8D03}</author>
    <author>tc={11EEF97F-6C8D-4A44-9763-AD35CAC18EA3}</author>
    <author>tc={028DDDEB-FC77-4558-9FBE-B4A548DF81F0}</author>
    <author>tc={24FD5696-4DD3-4ECC-BE2F-0BCEC90A5471}</author>
    <author>tc={97A5ED36-004C-4401-A09D-1C4D63E1CCDB}</author>
    <author>tc={7B04D8D8-084C-4AB7-A921-661CF5B7A136}</author>
    <author>tc={4F92C736-0196-4ADE-A4EE-0880DDBE4908}</author>
    <author>tc={6CBCDDFE-18E2-4A80-8755-EA1166B9C021}</author>
    <author>tc={E359062D-83DD-4D7B-B5CD-BF47F20E84C4}</author>
  </authors>
  <commentList>
    <comment ref="B1" authorId="0" shapeId="0" xr:uid="{5ACD8A89-A608-4332-8792-2C06470AEA7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1FA3A0E1-FAAC-4D4B-A3A4-6AAD58E387E9}">
      <text>
        <r>
          <rPr>
            <b/>
            <sz val="9"/>
            <color indexed="81"/>
            <rFont val="Tahoma"/>
            <family val="2"/>
          </rPr>
          <t>Jonathan Wilken:</t>
        </r>
        <r>
          <rPr>
            <sz val="9"/>
            <color indexed="81"/>
            <rFont val="Tahoma"/>
            <family val="2"/>
          </rPr>
          <t xml:space="preserve">
Reading from apograph (i.e., younger copy)</t>
        </r>
      </text>
    </comment>
    <comment ref="D1" authorId="0" shapeId="0" xr:uid="{FE26533B-5E44-4248-B681-AA5E4BEEDC4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0A313247-000C-4347-9C52-F8CA93E4EB1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86EA9E0-1531-44EB-B655-1695F886C37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1801E49C-65C6-43F2-83F2-5CF67A29F1AE}">
      <text>
        <r>
          <rPr>
            <b/>
            <sz val="9"/>
            <color indexed="81"/>
            <rFont val="Tahoma"/>
            <family val="2"/>
          </rPr>
          <t>Jonathan Wilken:</t>
        </r>
        <r>
          <rPr>
            <sz val="9"/>
            <color indexed="81"/>
            <rFont val="Tahoma"/>
            <family val="2"/>
          </rPr>
          <t xml:space="preserve">
Add, omit, transposition, substitution, combo</t>
        </r>
      </text>
    </comment>
    <comment ref="H1" authorId="0" shapeId="0" xr:uid="{225DBDAB-834A-41E1-8DFD-41E38A3B11FD}">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677B0BFB-6D39-420E-9BAA-3031D0F0E45A}">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6930E25C-DB3D-4823-85CE-FC78DEFE5AE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29A5D357-80FB-4748-9C0D-C3AD374AA162}">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816A7089-500E-4263-BCDE-94EDCB98F51A}">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87BFE831-022B-4DBA-81A2-8B61AD11359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75187849-AF31-469D-8A92-00E47515DEDB}">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8CD2310-F6F0-44E8-960E-6B1129756F5A}">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BEC75C7A-F4E3-443B-BDB2-093A2D6ED462}">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3A68E75-9C22-4117-885A-1D86E6EB0897}">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1CFE7F8C-615D-4458-8E78-2B32B78BFE9F}">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89924E40-BB35-4555-B96D-54541174EC7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6419A807-A6F9-488D-8F72-F66B63616DA9}">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071C9179-6DFA-42FB-A282-1E2FF1C1FA0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51C85988-A6F1-4F37-9FB2-D270C545F62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161CA645-DE8E-4C3E-8770-FB7F8A4E37D1}">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0DDDA43D-D00C-4C8A-B875-679DA08FF59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89C1F75A-8B56-46B8-9456-0C4FA7474368}">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F9E852FE-AE07-40A7-BF1C-EAEAD898A418}">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D1" authorId="0" shapeId="0" xr:uid="{FA2111DE-1427-4F1F-B0E6-1416DB9EE60C}">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 ref="D279" authorId="3" shapeId="0" xr:uid="{3C1FBA8A-41C4-4A55-8EDD-0F9E83C7F88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80" authorId="4" shapeId="0" xr:uid="{673D6C97-F717-4BFB-9219-86DBECED6E6B}">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83" authorId="5" shapeId="0" xr:uid="{8E81BA50-FECA-41FC-91B9-9422B84A8D03}">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284" authorId="6" shapeId="0" xr:uid="{11EEF97F-6C8D-4A44-9763-AD35CAC18EA3}">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285" authorId="7" shapeId="0" xr:uid="{028DDDEB-FC77-4558-9FBE-B4A548DF81F0}">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286" authorId="8" shapeId="0" xr:uid="{24FD5696-4DD3-4ECC-BE2F-0BCEC90A5471}">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287" authorId="9" shapeId="0" xr:uid="{97A5ED36-004C-4401-A09D-1C4D63E1CCDB}">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88" authorId="10" shapeId="0" xr:uid="{7B04D8D8-084C-4AB7-A921-661CF5B7A136}">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91" authorId="11" shapeId="0" xr:uid="{4F92C736-0196-4ADE-A4EE-0880DDBE4908}">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292" authorId="12" shapeId="0" xr:uid="{6CBCDDFE-18E2-4A80-8755-EA1166B9C021}">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293" authorId="13" shapeId="0" xr:uid="{E359062D-83DD-4D7B-B5CD-BF47F20E84C4}">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Jonathan Wilken</author>
    <author>tc={E3E64253-F4EA-45F5-B9AA-24EB9EDF4A44}</author>
    <author>tc={2AE62C59-02D9-4A32-BF11-E65C5E5288E2}</author>
    <author>tc={01435728-36C3-4079-A2D2-1963AAE23DAD}</author>
    <author>tc={1C6FD370-7861-4976-BCC4-70243AB6BC19}</author>
    <author>tc={6204855A-5800-42DD-AAE1-EB195B4141B2}</author>
    <author>tc={A47A3E61-1FDB-4AB3-B7C2-6360CE474802}</author>
    <author>tc={FE356B08-5E47-4124-B648-A20FFFA389DA}</author>
    <author>tc={9DF089C0-A653-4C81-BC33-44132558E87F}</author>
    <author>tc={FE9C4290-F2B5-4125-AC5F-471CD2F6CF3F}</author>
    <author>tc={A335577A-1FB8-41F7-8A56-9559B742CDF6}</author>
    <author>tc={071AB4C1-D55E-4AFE-AEF7-3ADF70F0A862}</author>
  </authors>
  <commentList>
    <comment ref="B1" authorId="0" shapeId="0" xr:uid="{81F0AA94-0B5A-49CC-8C63-5C079B73CA4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7D84C3EF-B471-428C-8198-FCBD8944E998}">
      <text>
        <r>
          <rPr>
            <b/>
            <sz val="9"/>
            <color indexed="81"/>
            <rFont val="Tahoma"/>
            <family val="2"/>
          </rPr>
          <t>Jonathan Wilken:</t>
        </r>
        <r>
          <rPr>
            <sz val="9"/>
            <color indexed="81"/>
            <rFont val="Tahoma"/>
            <family val="2"/>
          </rPr>
          <t xml:space="preserve">
Reading from apograph (i.e., younger copy)</t>
        </r>
      </text>
    </comment>
    <comment ref="D1" authorId="0" shapeId="0" xr:uid="{873A2CDF-9642-4AA3-B41F-FAC5673C745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6BEF6C7-C4CA-44BF-AF58-F82423A6AA47}">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6B19D54B-53C8-45B0-9DEA-ACCF3AB12010}">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34FAF30B-7AA0-40C3-A2CB-AA87134C052B}">
      <text>
        <r>
          <rPr>
            <b/>
            <sz val="9"/>
            <color indexed="81"/>
            <rFont val="Tahoma"/>
            <family val="2"/>
          </rPr>
          <t>Jonathan Wilken:</t>
        </r>
        <r>
          <rPr>
            <sz val="9"/>
            <color indexed="81"/>
            <rFont val="Tahoma"/>
            <family val="2"/>
          </rPr>
          <t xml:space="preserve">
Add, omit, transposition, substitution, combo</t>
        </r>
      </text>
    </comment>
    <comment ref="H1" authorId="0" shapeId="0" xr:uid="{37AD6288-99E0-4B97-B34F-39BC97746C1F}">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A713592-5C60-4A1B-B668-2B3504CA2D4F}">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048720E-5557-4BB4-A319-A3927381D7AD}">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ECA6F23D-EC62-4A08-A625-518639A5FFBC}">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2B9F198C-5AC4-4A3A-9C55-C2BCE8A4558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FABDE6AA-B8D2-4D88-B750-F6E04298FCA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9374CD30-B3DD-415E-9274-B09BF6A29DCB}">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2F729479-0441-4538-9BBB-9D904D959CB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D156BA13-E897-4341-8EEA-58D6544F046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5AF06904-A4C3-4D98-9C19-DDC1D366969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E3E64253-F4EA-45F5-B9AA-24EB9EDF4A44}">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2AE62C59-02D9-4A32-BF11-E65C5E5288E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CC391B64-DC6A-46B4-810C-83984033532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CFB7C18C-036E-4437-B5DF-B0461844DE2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687BF9BE-9E0B-4504-BD20-C2B9146A268E}">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0B81FF96-AD3C-42A3-8F21-945C63B14D3F}">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82CD41B3-5B7B-4E2F-A80C-D836958FE96B}">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FBDE92DB-79B2-4CAA-BF15-6A519F4301D5}">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24BBD27A-E99C-494A-8329-A1688071EC95}">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D1" authorId="0" shapeId="0" xr:uid="{0550387C-6B83-4B0A-81D1-3AF26EFF5770}">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 ref="D62" authorId="3" shapeId="0" xr:uid="{01435728-36C3-4079-A2D2-1963AAE23DAD}">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63" authorId="4" shapeId="0" xr:uid="{1C6FD370-7861-4976-BCC4-70243AB6BC19}">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66" authorId="5" shapeId="0" xr:uid="{6204855A-5800-42DD-AAE1-EB195B4141B2}">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67" authorId="6" shapeId="0" xr:uid="{A47A3E61-1FDB-4AB3-B7C2-6360CE474802}">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68" authorId="7" shapeId="0" xr:uid="{FE356B08-5E47-4124-B648-A20FFFA389DA}">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69" authorId="8" shapeId="0" xr:uid="{9DF089C0-A653-4C81-BC33-44132558E87F}">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70" authorId="9" shapeId="0" xr:uid="{FE9C4290-F2B5-4125-AC5F-471CD2F6CF3F}">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71" authorId="10" shapeId="0" xr:uid="{A335577A-1FB8-41F7-8A56-9559B742CDF6}">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72" authorId="11" shapeId="0" xr:uid="{071AB4C1-D55E-4AFE-AEF7-3ADF70F0A862}">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Jonathan Wilken</author>
    <author>tc={9F309F66-EE30-48BB-80C4-235076FA6C67}</author>
    <author>tc={B45F4AD7-5539-4731-8783-6C6CAD66A0F0}</author>
    <author>tc={28763041-720F-4321-9A9D-90A2FA009B5B}</author>
    <author>tc={5BB0AFA5-AD51-4921-8199-8352EAE4F72E}</author>
    <author>tc={E56537CA-7A1F-43CA-A7CA-15F126E598EF}</author>
    <author>tc={3A8EB923-FA54-40F8-A5B4-107BCDE1E44F}</author>
    <author>tc={8B4842AC-CCC6-48CF-A52D-9088EE976E55}</author>
    <author>tc={13A4782F-EAAF-455A-A523-871E986419A2}</author>
    <author>tc={338826A3-CDA6-4FBF-8655-F3F359239DDC}</author>
    <author>tc={2622BA0A-991D-4CF3-92B9-8C7E08EAF101}</author>
    <author>tc={4769F1BF-CB5F-4822-80B2-AC1333C2AA6F}</author>
    <author>tc={84D8577D-CF1E-467D-AD46-2946AF803530}</author>
    <author>tc={57210686-28D3-463B-95FA-DD1D6E241110}</author>
    <author>tc={D3B7BAED-D11F-4FA5-B988-E74351A2F0F3}</author>
    <author>tc={20679BB4-A6B6-4F97-BC29-1DADA25ED2BE}</author>
  </authors>
  <commentList>
    <comment ref="B1" authorId="0" shapeId="0" xr:uid="{BFF8D04F-65D1-43F3-A3FB-31CC6F7DFD85}">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A70092C2-84E5-4DEB-9AB2-209BC59801D2}">
      <text>
        <r>
          <rPr>
            <b/>
            <sz val="9"/>
            <color indexed="81"/>
            <rFont val="Tahoma"/>
            <family val="2"/>
          </rPr>
          <t>Jonathan Wilken:</t>
        </r>
        <r>
          <rPr>
            <sz val="9"/>
            <color indexed="81"/>
            <rFont val="Tahoma"/>
            <family val="2"/>
          </rPr>
          <t xml:space="preserve">
Reading from apograph (i.e., younger copy)</t>
        </r>
      </text>
    </comment>
    <comment ref="D1" authorId="0" shapeId="0" xr:uid="{DA664E68-44D2-4D74-A139-C37768728CE4}">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B80DE4D0-D34D-4CB7-8045-C148B08F25D3}">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27B09B9B-2E0A-45E3-9D52-B58EF3327CA8}">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62B1E8C8-F14D-43CF-BC74-74DDF2B72FEF}">
      <text>
        <r>
          <rPr>
            <b/>
            <sz val="9"/>
            <color indexed="81"/>
            <rFont val="Tahoma"/>
            <family val="2"/>
          </rPr>
          <t>Jonathan Wilken:</t>
        </r>
        <r>
          <rPr>
            <sz val="9"/>
            <color indexed="81"/>
            <rFont val="Tahoma"/>
            <family val="2"/>
          </rPr>
          <t xml:space="preserve">
Add, omit, transposition, substitution, combo</t>
        </r>
      </text>
    </comment>
    <comment ref="H1" authorId="0" shapeId="0" xr:uid="{C1BFBA7C-873F-43B0-AF01-68F549731024}">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12F71F08-6C37-4CF9-AE74-D1CA7EADBD28}">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5233ACCE-16E8-4AD1-9D60-71D7D7F6CD1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B9901A41-F26E-4506-BD4A-158F0C317EA0}">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7232250B-E0F6-49D1-A3AE-2FADCEF51CA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B0D40109-2258-4A8C-B360-D78E73E8BE5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1200E82C-59EC-4FCA-848B-23548B7048B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0AC98888-7911-43EC-B613-192EA66FB695}">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65DF92D9-B722-4383-BFD4-437E39554C9A}">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0290FE60-18B9-451F-9DD0-E423B5A4DEAD}">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9F309F66-EE30-48BB-80C4-235076FA6C67}">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B45F4AD7-5539-4731-8783-6C6CAD66A0F0}">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T1" authorId="3" shapeId="0" xr:uid="{28763041-720F-4321-9A9D-90A2FA009B5B}">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U1" authorId="4" shapeId="0" xr:uid="{5BB0AFA5-AD51-4921-8199-8352EAE4F72E}">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V1" authorId="5" shapeId="0" xr:uid="{E56537CA-7A1F-43CA-A7CA-15F126E598EF}">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Y1" authorId="0" shapeId="0" xr:uid="{19B9777C-69AE-4CBF-81A7-12E7387D5812}">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347D1D73-4CA4-4600-9F36-E42D3367AFCB}">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0" shapeId="0" xr:uid="{EF32E7FD-B4F6-4356-BC43-4221EFF1CA1C}">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98A7F710-D9CD-4DBC-9E2A-D0F3356CC015}">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0A215755-D7A6-43B3-AB2A-7A83B9A2C8B4}">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FA002B4C-A7BD-42AC-8AAE-DD6B42F5DBA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125CB809-9E92-4186-8866-76904061ED12}">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G1" authorId="0" shapeId="0" xr:uid="{22C5256A-5DB1-49BC-8287-253267B369A8}">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 ref="D134" authorId="6" shapeId="0" xr:uid="{3A8EB923-FA54-40F8-A5B4-107BCDE1E44F}">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37" authorId="7" shapeId="0" xr:uid="{8B4842AC-CCC6-48CF-A52D-9088EE976E55}">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138" authorId="8" shapeId="0" xr:uid="{13A4782F-EAAF-455A-A523-871E986419A2}">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139" authorId="9" shapeId="0" xr:uid="{338826A3-CDA6-4FBF-8655-F3F359239DDC}">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141" authorId="10" shapeId="0" xr:uid="{2622BA0A-991D-4CF3-92B9-8C7E08EAF101}">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142" authorId="11" shapeId="0" xr:uid="{4769F1BF-CB5F-4822-80B2-AC1333C2AA6F}">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145" authorId="12" shapeId="0" xr:uid="{84D8577D-CF1E-467D-AD46-2946AF803530}">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146" authorId="13" shapeId="0" xr:uid="{57210686-28D3-463B-95FA-DD1D6E241110}">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149" authorId="14" shapeId="0" xr:uid="{D3B7BAED-D11F-4FA5-B988-E74351A2F0F3}">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150" authorId="15" shapeId="0" xr:uid="{20679BB4-A6B6-4F97-BC29-1DADA25ED2BE}">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Jonathan Wilken</author>
    <author>tc={E7EF9E99-D68D-4413-85F3-4AEBCDF28A31}</author>
    <author>tc={4E8113FF-2B82-49FF-8256-0A6B919B94B6}</author>
    <author>tc={941C2E41-B4FB-4BE7-9DBF-1444B175CD97}</author>
    <author>tc={CB800672-72B9-4227-8040-2435E9AD6A71}</author>
    <author>tc={0F5D5125-DDBA-4F20-BE5B-8D66B10A60BE}</author>
    <author>tc={4400DCBE-8A62-4F32-9B8B-12F44A43C03D}</author>
    <author>tc={CB383F23-B1BA-4B3E-A950-84BE46F1C97A}</author>
    <author>tc={0EBA2398-C374-4084-8296-C95ECF781354}</author>
    <author>tc={D24C0A4E-2899-41FC-8966-FC9A6B7C281A}</author>
    <author>tc={AF194A3B-18CD-46EF-A1F0-2B95E05489C4}</author>
    <author>tc={999D434D-3872-400E-91B0-FD955A073F6B}</author>
    <author>tc={8C643FCD-0156-4775-9491-ACD8A7A56132}</author>
    <author>tc={710BED32-2780-4733-81C3-7F2821D2A32F}</author>
    <author>tc={02CB657B-03A2-41E2-8D28-ED52FCBBC9F6}</author>
  </authors>
  <commentList>
    <comment ref="B1" authorId="0" shapeId="0" xr:uid="{F5366CC5-44A8-4FB9-9A67-28ACD4E41380}">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D625E29D-ED74-4AC0-A5E8-6A9660B750C7}">
      <text>
        <r>
          <rPr>
            <b/>
            <sz val="9"/>
            <color indexed="81"/>
            <rFont val="Tahoma"/>
            <family val="2"/>
          </rPr>
          <t>Jonathan Wilken:</t>
        </r>
        <r>
          <rPr>
            <sz val="9"/>
            <color indexed="81"/>
            <rFont val="Tahoma"/>
            <family val="2"/>
          </rPr>
          <t xml:space="preserve">
Reading from apograph (i.e., younger copy)</t>
        </r>
      </text>
    </comment>
    <comment ref="D1" authorId="0" shapeId="0" xr:uid="{66C1D077-A00C-4F0A-A74C-0E15458501AF}">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0391F795-7624-480C-A0B9-94AC536A660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473BC04D-45A9-4FE9-84DF-4AAC4A11E927}">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4F6B3EA1-C058-4DD9-8DA9-90BF4A9437D2}">
      <text>
        <r>
          <rPr>
            <b/>
            <sz val="9"/>
            <color indexed="81"/>
            <rFont val="Tahoma"/>
            <family val="2"/>
          </rPr>
          <t>Jonathan Wilken:</t>
        </r>
        <r>
          <rPr>
            <sz val="9"/>
            <color indexed="81"/>
            <rFont val="Tahoma"/>
            <family val="2"/>
          </rPr>
          <t xml:space="preserve">
Add, omit, transposition, substitution, combo</t>
        </r>
      </text>
    </comment>
    <comment ref="I1" authorId="0" shapeId="0" xr:uid="{31293740-5F82-4DDE-A26F-4ED17C0FB724}">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95835E4B-F596-489B-BB36-611E106E252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19318016-6FA3-4A59-A2BA-53B3A4D54E66}">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E8895E32-9853-43B5-A18D-675D01A6B3C7}">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D12C203C-E357-4F3F-92C4-B0C10BEA76CB}">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6FFE4B8B-BF53-4AF2-B63A-2BE11FAF8018}">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9C884241-0A41-4FE2-8CF1-C5D84737527F}">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E47B8C07-34DB-415E-BF6E-F3EF8E37D4F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207CA3C5-1863-4E94-8A00-09EF7981DB9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CDE50F2E-C275-44A7-A3FA-F9007B4131A7}">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E7EF9E99-D68D-4413-85F3-4AEBCDF28A3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4E8113FF-2B82-49FF-8256-0A6B919B94B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28C18B09-C6B6-4BF9-8482-E04D6829E879}">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7F380481-8DFA-4D29-9C38-28A52D7B05A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0" shapeId="0" xr:uid="{A2E30A28-6261-4B52-A9AE-34D93319050E}">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ED1AD14C-DD15-4696-BF7B-6063D2692519}">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04FD3061-14AA-479C-96AB-14ED7640D082}">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0DDAF89E-FDE5-4BFE-ACF0-17054E8247C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2F152D1F-89AB-440F-A158-83C941BCE41A}">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F1" authorId="0" shapeId="0" xr:uid="{8A428B86-FA45-402C-A025-000D0BC2BF90}">
      <text>
        <r>
          <rPr>
            <b/>
            <sz val="9"/>
            <color indexed="81"/>
            <rFont val="Tahoma"/>
            <charset val="1"/>
          </rPr>
          <t>Jonathan Wilken:</t>
        </r>
        <r>
          <rPr>
            <sz val="9"/>
            <color indexed="81"/>
            <rFont val="Tahoma"/>
            <charset val="1"/>
          </rPr>
          <t xml:space="preserve">
Whether the apograph reading corresponds to a TR reading, taking Beza's 1598 edition as the point of comparison.</t>
        </r>
      </text>
    </comment>
    <comment ref="D32" authorId="3" shapeId="0" xr:uid="{941C2E41-B4FB-4BE7-9DBF-1444B175CD97}">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33" authorId="4" shapeId="0" xr:uid="{CB800672-72B9-4227-8040-2435E9AD6A71}">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34" authorId="5" shapeId="0" xr:uid="{0F5D5125-DDBA-4F20-BE5B-8D66B10A60BE}">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 ref="E38" authorId="6" shapeId="0" xr:uid="{4400DCBE-8A62-4F32-9B8B-12F44A43C03D}">
      <text>
        <t>[Threaded comment]
Your version of Excel allows you to read this threaded comment; however, any edits to it will get removed if the file is opened in a newer version of Excel. Learn more: https://go.microsoft.com/fwlink/?linkid=870924
Comment:
    ONLY those cases where influence from preceding material was possible and EXCLUDING cases where influence from following material was possible.</t>
      </text>
    </comment>
    <comment ref="F38" authorId="7" shapeId="0" xr:uid="{CB383F23-B1BA-4B3E-A950-84BE46F1C97A}">
      <text>
        <t>[Threaded comment]
Your version of Excel allows you to read this threaded comment; however, any edits to it will get removed if the file is opened in a newer version of Excel. Learn more: https://go.microsoft.com/fwlink/?linkid=870924
Comment:
    All cases where influence from preceding material was possible.</t>
      </text>
    </comment>
    <comment ref="G38" authorId="8" shapeId="0" xr:uid="{0EBA2398-C374-4084-8296-C95ECF781354}">
      <text>
        <t>[Threaded comment]
Your version of Excel allows you to read this threaded comment; however, any edits to it will get removed if the file is opened in a newer version of Excel. Learn more: https://go.microsoft.com/fwlink/?linkid=870924
Comment:
    ONLY those cases where influence from following material was possible and EXCLUDING cases where influence from preceding material was possible.</t>
      </text>
    </comment>
    <comment ref="H38" authorId="9" shapeId="0" xr:uid="{D24C0A4E-2899-41FC-8966-FC9A6B7C281A}">
      <text>
        <t>[Threaded comment]
Your version of Excel allows you to read this threaded comment; however, any edits to it will get removed if the file is opened in a newer version of Excel. Learn more: https://go.microsoft.com/fwlink/?linkid=870924
Comment:
    All cases where influence from following material was possible.</t>
      </text>
    </comment>
    <comment ref="I38" authorId="10" shapeId="0" xr:uid="{AF194A3B-18CD-46EF-A1F0-2B95E05489C4}">
      <text>
        <t>[Threaded comment]
Your version of Excel allows you to read this threaded comment; however, any edits to it will get removed if the file is opened in a newer version of Excel. Learn more: https://go.microsoft.com/fwlink/?linkid=870924
Comment:
    Only cases where verbal parallels existed both behind and after the variant in question and the direction of change in verbal similarity was the same.</t>
      </text>
    </comment>
    <comment ref="J38" authorId="11" shapeId="0" xr:uid="{999D434D-3872-400E-91B0-FD955A073F6B}">
      <text>
        <t>[Threaded comment]
Your version of Excel allows you to read this threaded comment; however, any edits to it will get removed if the file is opened in a newer version of Excel. Learn more: https://go.microsoft.com/fwlink/?linkid=870924
Comment:
    All potential cases of verbal harmonization/disharmonization, forward and backward.</t>
      </text>
    </comment>
    <comment ref="D39" authorId="12" shapeId="0" xr:uid="{8C643FCD-0156-4775-9491-ACD8A7A56132}">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40" authorId="13" shapeId="0" xr:uid="{710BED32-2780-4733-81C3-7F2821D2A32F}">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41" authorId="14" shapeId="0" xr:uid="{02CB657B-03A2-41E2-8D28-ED52FCBBC9F6}">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tc={CD158139-534B-4302-AA40-C5072BB0AAFF}</author>
    <author>tc={DE33B41E-F328-484F-A689-609A22807722}</author>
    <author>tc={5A949FE3-4A6C-4F35-B035-0209826E5999}</author>
    <author>tc={6D58AAB3-7A29-4D4C-A6BF-DE41DBE3B6B3}</author>
    <author>tc={6DC1D4CF-BA18-45F6-9091-309C0A7FDBE7}</author>
  </authors>
  <commentList>
    <comment ref="A1" authorId="0" shapeId="0" xr:uid="{CD158139-534B-4302-AA40-C5072BB0AAFF}">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DE33B41E-F328-484F-A689-609A22807722}">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5A949FE3-4A6C-4F35-B035-0209826E5999}">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6D58AAB3-7A29-4D4C-A6BF-DE41DBE3B6B3}">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6DC1D4CF-BA18-45F6-9091-309C0A7FDBE7}">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Jonathan Wilken</author>
    <author>tc={CA5DB444-E0DE-4646-BC30-F7D58E73C419}</author>
    <author>tc={DF2CFC7E-A127-4764-B5A2-C53F557B3F91}</author>
    <author>tc={E9FA5A23-E79D-44C9-9D10-915419B60D01}</author>
    <author>tc={DA6F06B7-299A-4F2A-8447-B6B4CC434BAC}</author>
    <author>tc={0FC75F3C-B2D8-4E46-AFEE-45103622D194}</author>
    <author>tc={6DF7337F-E2B1-4E37-BE2E-E8F3142A867E}</author>
    <author>tc={CC0FE552-5B09-4C48-9253-2F5E73D09A4E}</author>
    <author>tc={F56F6746-7431-4D4C-A314-7D544E588190}</author>
    <author>tc={95D3C058-0AC7-4E37-833F-DF32BDC64BDB}</author>
    <author>tc={C5701E26-C3B4-41F7-AB15-7E96E7CCC2B0}</author>
    <author>tc={7CD58404-239E-4711-B1CF-4029157F4772}</author>
    <author>tc={5576401D-10FC-4FBC-8B9C-BE8F42F43288}</author>
    <author>tc={BA58F819-E07C-4EA0-89E0-C3198A2AEF8A}</author>
    <author>tc={6FCA52E9-E8B4-4B45-8A20-2B90E1FC2A1C}</author>
    <author>tc={E5114869-1056-42A6-A3F2-7D88034290AF}</author>
    <author>tc={827B1689-3F05-4152-81C1-CA45916B7374}</author>
    <author>tc={DE8F5169-6A25-4CBC-9D42-B6B76008B3C7}</author>
    <author>tc={B8D328DF-4162-43CB-B8FE-16FCEE69BCBF}</author>
    <author>tc={60637F06-8D17-404F-87B8-FFBFA627042E}</author>
    <author>tc={A43022CC-CE17-4EC6-B59D-FD38BF4C480D}</author>
    <author>tc={A8254D2B-EFAC-4205-8D60-5556A9624E9F}</author>
    <author>tc={507992A7-DADB-4EAD-A241-8B38F47038FB}</author>
    <author>tc={837A5EA6-77BD-48E2-84FE-AF586FBFBB62}</author>
    <author>tc={01FBEBB5-74A9-42A2-9E2D-8137B58DAD72}</author>
    <author>tc={21502EB8-9DBC-4B9C-BD26-749FA5E846DB}</author>
    <author>tc={F20AB5D7-E44D-4A84-BE10-E792D23EC03B}</author>
    <author>tc={AC3C6644-6F70-40A4-8894-7B5D01AD049C}</author>
    <author>tc={E03DAFEB-319E-4FDE-8FBC-DC2FE35D526D}</author>
    <author>tc={37ED647A-2324-45EE-B1E6-DB6CD78038DE}</author>
    <author>tc={ACAE1F5B-8C97-40D3-B295-98419D94DAEB}</author>
    <author>tc={E513E5D0-E519-43A4-A5BE-E59CDA30D746}</author>
    <author>tc={AAD69E6B-38C9-4390-920B-4A87F645ABC8}</author>
    <author>tc={7E62AD10-F3F7-4F1E-9EBF-D5E343003C20}</author>
    <author>tc={2C4CE010-96EF-4DDB-B03F-2F234A82F323}</author>
    <author>tc={7C81D37A-6623-4B72-A263-A5A09E3FAC17}</author>
    <author>tc={F4F65E65-BFFA-4824-B71D-4092A837AD63}</author>
    <author>tc={9D3298BD-DCD1-44F1-AFC7-65D160982809}</author>
    <author>tc={14BF6D93-C521-4D53-9B49-9D99FB96BE8B}</author>
    <author>tc={AFB371EF-36AE-44DC-BF23-6B7EE621B860}</author>
    <author>tc={E87E1DBB-3BD9-45A4-9FB4-94F68750E5E4}</author>
    <author>tc={ABBCE26F-557C-4B94-9A29-5DD9A516621B}</author>
    <author>tc={47B85C00-841A-4705-96DD-B2D7C7A6E52E}</author>
    <author>tc={A6C0B9D4-0FC6-4273-9787-04ADE23223BE}</author>
    <author>tc={23D2B253-AA9F-479F-9004-63E5321FF3D4}</author>
    <author>tc={43A1C1FF-1D13-4D85-B0CA-11FDA805BA50}</author>
    <author>tc={93A4084D-B666-4903-BEA9-BBE1387A63DB}</author>
    <author>tc={AA225C59-28F1-4337-8DF9-961032B3A169}</author>
    <author>tc={330D8A6A-2022-49A1-8369-6A1CAF59FE8B}</author>
    <author>tc={1E6F9310-9D10-47D2-AE6C-72EBC05149EC}</author>
    <author>tc={009D860F-33B1-4C53-8EA0-C0F1A55EE2DB}</author>
    <author>tc={58B92985-0243-42D7-857D-AD1288A6BB2C}</author>
    <author>tc={BA440568-86CF-48C9-B8FF-95D51D161AC5}</author>
    <author>tc={555C9867-CAFB-454C-B55E-5D404CEAE1A9}</author>
    <author>tc={81B07E98-4770-498A-B7C0-8EB3282AADBD}</author>
    <author>tc={1A4E552F-0E3B-4DE8-BE4E-C69A4699FE03}</author>
    <author>tc={F4A6CDD3-8BB9-4A93-B2A6-AC149E07F6D6}</author>
    <author>tc={7C2C85A7-35BD-4219-BB09-2EF5A16F0592}</author>
    <author>tc={C8BF4D44-08CE-4920-AA8D-723B9C611484}</author>
    <author>tc={8E7493FE-BA1D-4902-A25D-B0A57B735BD6}</author>
    <author>tc={E53CBB34-C9E0-490E-94CD-A6D65438222A}</author>
    <author>tc={26FE8EA1-CD32-431B-BC13-B05FE5D1561A}</author>
    <author>tc={3E2F761C-43A4-446D-8F91-88D5C235DD1F}</author>
    <author>tc={2050229D-5F97-42A6-AE84-14195C344137}</author>
    <author>tc={88DCF355-F1E8-46DB-B0C0-F43E2EE1B0AD}</author>
    <author>tc={995BD05A-74E0-4E5A-AEB1-8D4C937CC0E0}</author>
    <author>tc={2592E607-3D3A-4658-8DA1-14060B98300D}</author>
    <author>tc={1B8EA022-4F96-4092-BB3C-142093182A22}</author>
    <author>tc={863048EB-CA02-492B-BA3F-B724A46FBD30}</author>
    <author>tc={DC3D7BE3-96B8-428F-8E02-D5F2772EE5C3}</author>
    <author>tc={08068BEC-7EE1-4786-AE0F-9A40CF75E50B}</author>
    <author>tc={96CC2217-B47E-4ACF-B1CC-DC962ED58D3B}</author>
    <author>tc={A90216F0-633B-4572-8FA4-C1393B3A06BC}</author>
    <author>tc={1F7BCD49-3748-469E-B58C-EB8B56F3829A}</author>
    <author>tc={AFB8AF60-D21A-4811-80C1-4851D4319285}</author>
    <author>tc={4999B3BA-C47A-499C-9D30-59D08CEF9CF1}</author>
    <author>tc={2CCD6DFD-DB2B-4858-AC9C-7E2E19A1B601}</author>
    <author>tc={C42D9154-C27D-4561-90C8-63BADAFA6F5C}</author>
    <author>tc={5215F3D5-AC59-4169-BAF9-70C05004F130}</author>
    <author>tc={A08EEBC2-DEEB-42D3-A132-30BC76B4C24F}</author>
    <author>tc={915C19E8-8139-4247-8712-DA50B32BD0C3}</author>
    <author>tc={9E5A0B31-581C-4DD7-A6F5-5AA39D39B10F}</author>
    <author>tc={E3069CFB-2128-4C31-9F83-C2919666F62D}</author>
    <author>tc={DAA670E4-F466-489C-85BE-7E190E3FB859}</author>
    <author>tc={A2C11F79-5AFC-4D18-8CE6-71C71FC82FC9}</author>
    <author>tc={DC38330D-E49B-4BA7-B553-CA82FB3CE590}</author>
    <author>tc={60DBC740-A675-4FD7-A511-5D6AEA0C0BBE}</author>
    <author>tc={D7369B95-19E0-40B1-819A-E99DDB84B22C}</author>
    <author>tc={E8ED030C-CA4F-4F30-A9A0-B732D9650A08}</author>
    <author>tc={DE0CDAA1-01AE-4E56-8006-E65A5B4E0CDB}</author>
    <author>tc={34DD8160-DDC2-46CE-BD4D-096113755404}</author>
    <author>tc={E2536F21-B99C-4638-A7DF-6F8CB8BB8B89}</author>
    <author>tc={72987023-23E3-4EF1-B8C1-C2517B8AAAD7}</author>
    <author>tc={4B458573-0297-4385-AB1D-5F99C69AB377}</author>
    <author>tc={FAFDF2A0-AC40-487B-AF73-2962316B1AAA}</author>
    <author>tc={CE84BADB-122D-4249-A014-31A1BC2666C6}</author>
    <author>tc={9F16EBA1-3294-472E-A63E-48771BFE5E60}</author>
    <author>tc={7AD8C1B6-3B93-40BD-8ECA-12D689BF8F01}</author>
    <author>tc={3E90CA25-1F23-4D4B-8647-195749997C95}</author>
    <author>tc={83D55862-F3C8-4639-8B19-6273BD09775A}</author>
    <author>tc={9B14179C-AC65-49F5-BC46-C0203A2247C6}</author>
    <author>tc={89C0DF98-23BC-4881-9473-F70D08776F10}</author>
    <author>tc={B97572A3-A3A6-44E3-B610-3C76B86678DC}</author>
    <author>tc={EC8265AE-4A7C-42B2-A516-FB958FC425B9}</author>
    <author>tc={AFC12BD1-C93D-4762-A1D8-0727E8B045BE}</author>
    <author>tc={D37D828C-BB64-4E1C-93C9-AE39674541D3}</author>
    <author>tc={18E5E6FA-EEB5-4432-B871-6EB2A63525FB}</author>
    <author>tc={7EE4E806-AE4A-4F76-A83E-9A66BF882028}</author>
    <author>tc={D0C3C727-1480-4847-B222-3D30CAAC0884}</author>
    <author>tc={7BC54ABA-E68E-414B-AE0E-CE915B901169}</author>
    <author>tc={45BB532B-FC80-4025-90FE-BDFEE644C7AC}</author>
    <author>tc={E8800F91-DC85-47AF-97A7-DCA6CD20AFEE}</author>
    <author>tc={CD286554-2381-4597-9A08-37D3321C8C6C}</author>
    <author>tc={FD63EE7B-CD0E-4DBD-A1A2-DE6E9C8DCC72}</author>
    <author>tc={5C2309D5-E965-47A1-AFC9-9BDA319DB602}</author>
    <author>tc={38B2C54C-B408-42A8-96B5-96D44BE2A611}</author>
    <author>tc={3565428E-2142-4CF0-89EB-28C624F2E338}</author>
    <author>tc={94CBE911-826C-4C7E-B952-A3D204492B53}</author>
    <author>tc={FA04FA86-A9B0-4992-8066-A7E9F3477502}</author>
    <author>tc={4CF09AE7-ED58-477B-B081-15102ED2563C}</author>
    <author>tc={F4A24E9F-8CB5-4FF4-AF86-8543E5A9C830}</author>
    <author>tc={5C93E2B4-0214-4164-88A0-40FACC87EF8D}</author>
    <author>tc={1D4677D1-6A11-438D-8157-A98AE0AA1B7C}</author>
    <author>tc={7A4A927E-B89E-4D16-AD4F-F9C4549F2C2D}</author>
    <author>tc={0643F295-B8FB-43A0-811C-1DCE0705B8C1}</author>
    <author>tc={7B992749-D67F-4B4D-A0F5-435A3E5EB960}</author>
    <author>tc={960E12AF-4F45-43C1-9A92-AA1945C8211D}</author>
    <author>tc={9BDD1295-9896-4B00-93DD-C2862B8977BB}</author>
    <author>tc={55F1188E-21E6-4BC3-90CF-403B89CEFE06}</author>
    <author>tc={FD1FD500-2BC7-4D57-AC95-A27AB80D9FCD}</author>
    <author>tc={04673C0A-1961-4C1F-80BC-973C131F2D0A}</author>
    <author>tc={9C91C252-E7A5-494D-9479-5B97C66871DE}</author>
    <author>tc={E2E7FDC4-8475-4D54-86FE-4965F8700801}</author>
    <author>tc={BB310D6A-928F-4939-AF5D-0D7CCA47CA71}</author>
    <author>tc={181BB6F2-ADA8-4523-A572-B2450C6ACBBC}</author>
    <author>tc={C7F6F904-C775-4194-BE49-0E151647CAC5}</author>
    <author>tc={D302CF39-5EDC-4360-8F29-551BBB2D4310}</author>
    <author>tc={C293834A-7AA9-4295-AF42-EEFEBA913FDE}</author>
    <author>tc={846B6B10-155F-49C1-8487-095A42455118}</author>
    <author>tc={7FE29325-A149-4695-8642-3F841D4F446B}</author>
    <author>tc={2B41278E-59A7-4F85-B536-E41266D316D4}</author>
    <author>tc={C6D11190-5A15-40A4-8582-430431ADCCAC}</author>
    <author>tc={FB3535A1-9315-4C2A-8259-3C2F94AF9002}</author>
    <author>tc={F860B3DF-0801-4A27-BF0D-425D3B0018F9}</author>
    <author>tc={6F936A8A-E420-4350-B3B4-7F778D1DE11D}</author>
    <author>tc={2143C8D3-6DE7-4964-A4F5-8B034A73D708}</author>
    <author>tc={7ED66FB3-E9EE-480B-BF1B-6FE0847A6D3C}</author>
    <author>tc={95A9301D-A416-42D4-A8D1-8CB6F03D5EF2}</author>
    <author>tc={4E7C7C3D-C8B7-40C9-B711-142C0CF088B1}</author>
    <author>tc={3E5AC485-0EA5-437C-B76A-1B5A95948889}</author>
    <author>tc={8CA2604A-5DA3-42AD-B05A-8282FD9DF207}</author>
    <author>tc={3EDC92F7-AA5D-4FC0-AED7-3EFC926D3CDA}</author>
    <author>tc={437124C7-CC1E-49CD-A0FA-8D0B7CBAF63B}</author>
    <author>tc={257D0CDF-7B04-4D0C-A1AB-3555F09DDEF4}</author>
    <author>tc={158D0730-8245-4A2A-960D-51BD656FE94E}</author>
    <author>tc={5BF3657D-60D2-4807-B077-78539352F199}</author>
    <author>tc={B5515FD9-ED38-4AF5-856B-40FF79946E5C}</author>
    <author>tc={65F17583-B832-45E5-AE83-AE88B367BEC5}</author>
    <author>tc={73062C45-1DA2-412E-9DF2-D01A35536A5C}</author>
    <author>tc={2B16853E-0E37-4F22-83CE-0525D8A72024}</author>
    <author>tc={682F8845-2925-4211-87E5-3A385ABCF067}</author>
    <author>tc={75E19F8D-CB9B-40E3-BBE6-446A640F9893}</author>
  </authors>
  <commentList>
    <comment ref="B1" authorId="0" shapeId="0" xr:uid="{1A59B766-0E9B-4E0C-A75F-92BE2CE63D9C}">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668FED0-9E9B-4401-98AB-452D6E4BAABE}">
      <text>
        <r>
          <rPr>
            <b/>
            <sz val="9"/>
            <color indexed="81"/>
            <rFont val="Tahoma"/>
            <family val="2"/>
          </rPr>
          <t>Jonathan Wilken:</t>
        </r>
        <r>
          <rPr>
            <sz val="9"/>
            <color indexed="81"/>
            <rFont val="Tahoma"/>
            <family val="2"/>
          </rPr>
          <t xml:space="preserve">
Reading from apograph (i.e., younger copy)</t>
        </r>
      </text>
    </comment>
    <comment ref="D1" authorId="0" shapeId="0" xr:uid="{41461CF3-E3D9-46E0-88B0-2CF3D4429897}">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E9209951-9971-45B6-88D5-5BD96978B48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E7A8654-C652-42A9-8170-B2AFFAD2FD9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A29578F6-0B29-4545-8BC8-735749728AB2}">
      <text>
        <r>
          <rPr>
            <b/>
            <sz val="9"/>
            <color indexed="81"/>
            <rFont val="Tahoma"/>
            <family val="2"/>
          </rPr>
          <t>Jonathan Wilken:</t>
        </r>
        <r>
          <rPr>
            <sz val="9"/>
            <color indexed="81"/>
            <rFont val="Tahoma"/>
            <family val="2"/>
          </rPr>
          <t xml:space="preserve">
Add, omit, transposition, substitution, combo</t>
        </r>
      </text>
    </comment>
    <comment ref="H1" authorId="0" shapeId="0" xr:uid="{9F8887C4-E6B0-47F6-9D9B-2254EA0B1561}">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E37E5FB5-316E-4EE3-BE49-8BF11B6D636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1A38332F-D2BB-4B7D-897A-9C21669FE30C}">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B3D202BE-A52F-4AF9-9BA2-B9500A49D42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39E3E1DE-B0CF-41EB-9EB3-336F3D00CE0E}">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54786288-8712-45BD-89A2-B560D51FFD3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856C9ACA-50F3-4F4C-88AC-8CC981B40FA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A8D24323-2BF0-4A9A-A299-D27E8D2184E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1927636-EC7D-4BD5-93F1-23277A08831F}">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49FB8BB5-FD64-4CA7-B9A3-EA58F4A4F718}">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CA5DB444-E0DE-4646-BC30-F7D58E73C41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DF2CFC7E-A127-4764-B5A2-C53F557B3F91}">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E08B8AB3-1EF4-41D2-BFED-CBED1944158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93CC97F6-EAA8-4438-A31D-B5F7DC3C0336}">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0" shapeId="0" xr:uid="{788DDCF8-422B-4441-B2F3-8EED9E24FB6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6EA5D610-8ABF-49B5-B140-0BF2AB02982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5090D1D9-CD1D-4BD0-B3DD-E14E3775690C}">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CCADF83F-9050-4153-B92D-25E4818A97D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7A00A550-DBC1-4AE0-BD60-A98D4C542269}">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AD3" authorId="3" shapeId="0" xr:uid="{E9FA5A23-E79D-44C9-9D10-915419B60D01}">
      <text>
        <t>[Threaded comment]
Your version of Excel allows you to read this threaded comment; however, any edits to it will get removed if the file is opened in a newer version of Excel. Learn more: https://go.microsoft.com/fwlink/?linkid=870924
Comment:
    Ακριβως εξετασατε</t>
      </text>
    </comment>
    <comment ref="AF3" authorId="4" shapeId="0" xr:uid="{DA6F06B7-299A-4F2A-8447-B6B4CC434BAC}">
      <text>
        <t>[Threaded comment]
Your version of Excel allows you to read this threaded comment; however, any edits to it will get removed if the file is opened in a newer version of Excel. Learn more: https://go.microsoft.com/fwlink/?linkid=870924
Comment:
    Ακριβως εξετασατε</t>
      </text>
    </comment>
    <comment ref="AG3" authorId="5" shapeId="0" xr:uid="{0FC75F3C-B2D8-4E46-AFEE-45103622D194}">
      <text>
        <t>[Threaded comment]
Your version of Excel allows you to read this threaded comment; however, any edits to it will get removed if the file is opened in a newer version of Excel. Learn more: https://go.microsoft.com/fwlink/?linkid=870924
Comment:
    Ακριβως εξετασατε</t>
      </text>
    </comment>
    <comment ref="AH3" authorId="6" shapeId="0" xr:uid="{6DF7337F-E2B1-4E37-BE2E-E8F3142A867E}">
      <text>
        <t>[Threaded comment]
Your version of Excel allows you to read this threaded comment; however, any edits to it will get removed if the file is opened in a newer version of Excel. Learn more: https://go.microsoft.com/fwlink/?linkid=870924
Comment:
    Ακριβως εξετασατε</t>
      </text>
    </comment>
    <comment ref="AI3" authorId="7" shapeId="0" xr:uid="{CC0FE552-5B09-4C48-9253-2F5E73D09A4E}">
      <text>
        <t>[Threaded comment]
Your version of Excel allows you to read this threaded comment; however, any edits to it will get removed if the file is opened in a newer version of Excel. Learn more: https://go.microsoft.com/fwlink/?linkid=870924
Comment:
    Ακριβως εξετασατε</t>
      </text>
    </comment>
    <comment ref="AJ3" authorId="8" shapeId="0" xr:uid="{F56F6746-7431-4D4C-A314-7D544E588190}">
      <text>
        <t>[Threaded comment]
Your version of Excel allows you to read this threaded comment; however, any edits to it will get removed if the file is opened in a newer version of Excel. Learn more: https://go.microsoft.com/fwlink/?linkid=870924
Comment:
    Ακριβως εξετασατε</t>
      </text>
    </comment>
    <comment ref="AD26" authorId="9" shapeId="0" xr:uid="{95D3C058-0AC7-4E37-833F-DF32BDC64BDB}">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E26" authorId="10" shapeId="0" xr:uid="{C5701E26-C3B4-41F7-AB15-7E96E7CCC2B0}">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F26" authorId="11" shapeId="0" xr:uid="{7CD58404-239E-4711-B1CF-4029157F4772}">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G26" authorId="12" shapeId="0" xr:uid="{5576401D-10FC-4FBC-8B9C-BE8F42F43288}">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H26" authorId="13" shapeId="0" xr:uid="{BA58F819-E07C-4EA0-89E0-C3198A2AEF8A}">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I26" authorId="14" shapeId="0" xr:uid="{6FCA52E9-E8B4-4B45-8A20-2B90E1FC2A1C}">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J26" authorId="15" shapeId="0" xr:uid="{E5114869-1056-42A6-A3F2-7D88034290AF}">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K26" authorId="16" shapeId="0" xr:uid="{827B1689-3F05-4152-81C1-CA45916B7374}">
      <text>
        <t>[Threaded comment]
Your version of Excel allows you to read this threaded comment; however, any edits to it will get removed if the file is opened in a newer version of Excel. Learn more: https://go.microsoft.com/fwlink/?linkid=870924
Comment:
    =θησαρυριζετε</t>
      </text>
    </comment>
    <comment ref="AK28" authorId="17" shapeId="0" xr:uid="{DE8F5169-6A25-4CBC-9D42-B6B76008B3C7}">
      <text>
        <t>[Threaded comment]
Your version of Excel allows you to read this threaded comment; however, any edits to it will get removed if the file is opened in a newer version of Excel. Learn more: https://go.microsoft.com/fwlink/?linkid=870924
Comment:
    =και οτε ανετιλεν ο ηλιος εκαυματισθη και δια</t>
      </text>
    </comment>
    <comment ref="AD30" authorId="18" shapeId="0" xr:uid="{B8D328DF-4162-43CB-B8FE-16FCEE69BCBF}">
      <text>
        <t>[Threaded comment]
Your version of Excel allows you to read this threaded comment; however, any edits to it will get removed if the file is opened in a newer version of Excel. Learn more: https://go.microsoft.com/fwlink/?linkid=870924
Comment:
    =ιδων δε</t>
      </text>
    </comment>
    <comment ref="AE30" authorId="19" shapeId="0" xr:uid="{60637F06-8D17-404F-87B8-FFBFA627042E}">
      <text>
        <t>[Threaded comment]
Your version of Excel allows you to read this threaded comment; however, any edits to it will get removed if the file is opened in a newer version of Excel. Learn more: https://go.microsoft.com/fwlink/?linkid=870924
Comment:
    =ιδων δε</t>
      </text>
    </comment>
    <comment ref="AF30" authorId="20" shapeId="0" xr:uid="{A43022CC-CE17-4EC6-B59D-FD38BF4C480D}">
      <text>
        <t>[Threaded comment]
Your version of Excel allows you to read this threaded comment; however, any edits to it will get removed if the file is opened in a newer version of Excel. Learn more: https://go.microsoft.com/fwlink/?linkid=870924
Comment:
    =ιδων δε</t>
      </text>
    </comment>
    <comment ref="AG30" authorId="21" shapeId="0" xr:uid="{A8254D2B-EFAC-4205-8D60-5556A9624E9F}">
      <text>
        <t>[Threaded comment]
Your version of Excel allows you to read this threaded comment; however, any edits to it will get removed if the file is opened in a newer version of Excel. Learn more: https://go.microsoft.com/fwlink/?linkid=870924
Comment:
    =ιδων δε</t>
      </text>
    </comment>
    <comment ref="AH30" authorId="22" shapeId="0" xr:uid="{507992A7-DADB-4EAD-A241-8B38F47038FB}">
      <text>
        <t>[Threaded comment]
Your version of Excel allows you to read this threaded comment; however, any edits to it will get removed if the file is opened in a newer version of Excel. Learn more: https://go.microsoft.com/fwlink/?linkid=870924
Comment:
    =ιδων δε</t>
      </text>
    </comment>
    <comment ref="AI30" authorId="23" shapeId="0" xr:uid="{837A5EA6-77BD-48E2-84FE-AF586FBFBB62}">
      <text>
        <t>[Threaded comment]
Your version of Excel allows you to read this threaded comment; however, any edits to it will get removed if the file is opened in a newer version of Excel. Learn more: https://go.microsoft.com/fwlink/?linkid=870924
Comment:
    =ιδων δε</t>
      </text>
    </comment>
    <comment ref="AJ30" authorId="24" shapeId="0" xr:uid="{01FBEBB5-74A9-42A2-9E2D-8137B58DAD72}">
      <text>
        <t>[Threaded comment]
Your version of Excel allows you to read this threaded comment; however, any edits to it will get removed if the file is opened in a newer version of Excel. Learn more: https://go.microsoft.com/fwlink/?linkid=870924
Comment:
    =ιδων δε</t>
      </text>
    </comment>
    <comment ref="AK30" authorId="25" shapeId="0" xr:uid="{21502EB8-9DBC-4B9C-BD26-749FA5E846DB}">
      <text>
        <t>[Threaded comment]
Your version of Excel allows you to read this threaded comment; however, any edits to it will get removed if the file is opened in a newer version of Excel. Learn more: https://go.microsoft.com/fwlink/?linkid=870924
Comment:
    =ιδων δε</t>
      </text>
    </comment>
    <comment ref="AD31" authorId="26" shapeId="0" xr:uid="{F20AB5D7-E44D-4A84-BE10-E792D23EC03B}">
      <text>
        <t>[Threaded comment]
Your version of Excel allows you to read this threaded comment; however, any edits to it will get removed if the file is opened in a newer version of Excel. Learn more: https://go.microsoft.com/fwlink/?linkid=870924
Comment:
    Comp matches Beza verb but includes the πολλω μαλλον phrase</t>
      </text>
    </comment>
    <comment ref="AE31" authorId="27" shapeId="0" xr:uid="{AC3C6644-6F70-40A4-8894-7B5D01AD049C}">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δαβιδ</t>
      </text>
    </comment>
    <comment ref="AF31" authorId="28" shapeId="0" xr:uid="{E03DAFEB-319E-4FDE-8FBC-DC2FE35D526D}">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δαβιδ</t>
      </text>
    </comment>
    <comment ref="AG31" authorId="29" shapeId="0" xr:uid="{37ED647A-2324-45EE-B1E6-DB6CD78038DE}">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δαβιδ</t>
      </text>
    </comment>
    <comment ref="AH31" authorId="30" shapeId="0" xr:uid="{ACAE1F5B-8C97-40D3-B295-98419D94DAEB}">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δαβιδ</t>
      </text>
    </comment>
    <comment ref="AI31" authorId="31" shapeId="0" xr:uid="{E513E5D0-E519-43A4-A5BE-E59CDA30D746}">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δαβιδ</t>
      </text>
    </comment>
    <comment ref="AJ31" authorId="32" shapeId="0" xr:uid="{AAD69E6B-38C9-4390-920B-4A87F645ABC8}">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δαβιδ</t>
      </text>
    </comment>
    <comment ref="AK31" authorId="33" shapeId="0" xr:uid="{7E62AD10-F3F7-4F1E-9EBF-D5E343003C20}">
      <text>
        <t>[Threaded comment]
Your version of Excel allows you to read this threaded comment; however, any edits to it will get removed if the file is opened in a newer version of Excel. Learn more: https://go.microsoft.com/fwlink/?linkid=870924
Comment:
    = ινα σιωπηση ο δε πολλω μαλλον εκραζεν υιε δαδ</t>
      </text>
    </comment>
    <comment ref="AE32" authorId="34" shapeId="0" xr:uid="{2C4CE010-96EF-4DDB-B03F-2F234A82F323}">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F32" authorId="35" shapeId="0" xr:uid="{7C81D37A-6623-4B72-A263-A5A09E3FAC17}">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G32" authorId="36" shapeId="0" xr:uid="{F4F65E65-BFFA-4824-B71D-4092A837AD63}">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H32" authorId="37" shapeId="0" xr:uid="{9D3298BD-DCD1-44F1-AFC7-65D160982809}">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I32" authorId="38" shapeId="0" xr:uid="{14BF6D93-C521-4D53-9B49-9D99FB96BE8B}">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J32" authorId="39" shapeId="0" xr:uid="{AFB371EF-36AE-44DC-BF23-6B7EE621B860}">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K32" authorId="40" shapeId="0" xr:uid="{E87E1DBB-3BD9-45A4-9FB4-94F68750E5E4}">
      <text>
        <t>[Threaded comment]
Your version of Excel allows you to read this threaded comment; however, any edits to it will get removed if the file is opened in a newer version of Excel. Learn more: https://go.microsoft.com/fwlink/?linkid=870924
Comment:
    = παρεστηκως εξαναντιας αυτου οτι ουτως κραξας εξεπνευσεν ειπεν αληθως</t>
      </text>
    </comment>
    <comment ref="AD33" authorId="41" shapeId="0" xr:uid="{ABBCE26F-557C-4B94-9A29-5DD9A516621B}">
      <text>
        <t>[Threaded comment]
Your version of Excel allows you to read this threaded comment; however, any edits to it will get removed if the file is opened in a newer version of Excel. Learn more: https://go.microsoft.com/fwlink/?linkid=870924
Comment:
    =αποκυλισει ημιν</t>
      </text>
    </comment>
    <comment ref="AE33" authorId="42" shapeId="0" xr:uid="{47B85C00-841A-4705-96DD-B2D7C7A6E52E}">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F33" authorId="43" shapeId="0" xr:uid="{A6C0B9D4-0FC6-4273-9787-04ADE23223BE}">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G33" authorId="44" shapeId="0" xr:uid="{23D2B253-AA9F-479F-9004-63E5321FF3D4}">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H33" authorId="45" shapeId="0" xr:uid="{43A1C1FF-1D13-4D85-B0CA-11FDA805BA50}">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I33" authorId="46" shapeId="0" xr:uid="{93A4084D-B666-4903-BEA9-BBE1387A63DB}">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J33" authorId="47" shapeId="0" xr:uid="{AA225C59-28F1-4337-8DF9-961032B3A169}">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K33" authorId="48" shapeId="0" xr:uid="{330D8A6A-2022-49A1-8369-6A1CAF59FE8B}">
      <text>
        <t>[Threaded comment]
Your version of Excel allows you to read this threaded comment; however, any edits to it will get removed if the file is opened in a newer version of Excel. Learn more: https://go.microsoft.com/fwlink/?linkid=870924
Comment:
    = εαυτας τις αποκυλισει ημιν τον λιθον</t>
      </text>
    </comment>
    <comment ref="AD35" authorId="49" shapeId="0" xr:uid="{1E6F9310-9D10-47D2-AE6C-72EBC05149EC}">
      <text>
        <t>[Threaded comment]
Your version of Excel allows you to read this threaded comment; however, any edits to it will get removed if the file is opened in a newer version of Excel. Learn more: https://go.microsoft.com/fwlink/?linkid=870924
Comment:
    Comp begins θηρευσαι; rest matches</t>
      </text>
    </comment>
    <comment ref="AE35" authorId="50" shapeId="0" xr:uid="{009D860F-33B1-4C53-8EA0-C0F1A55EE2DB}">
      <text>
        <t>[Threaded comment]
Your version of Excel allows you to read this threaded comment; however, any edits to it will get removed if the file is opened in a newer version of Excel. Learn more: https://go.microsoft.com/fwlink/?linkid=870924
Comment:
    =ζητουντες θηρευσαι τι εκ του στοματος αυτου ινα καταγορησωσιν αυτου</t>
      </text>
    </comment>
    <comment ref="AF35" authorId="51" shapeId="0" xr:uid="{58B92985-0243-42D7-857D-AD1288A6BB2C}">
      <text>
        <t>[Threaded comment]
Your version of Excel allows you to read this threaded comment; however, any edits to it will get removed if the file is opened in a newer version of Excel. Learn more: https://go.microsoft.com/fwlink/?linkid=870924
Comment:
    begins θηρευσαι; rest matches</t>
      </text>
    </comment>
    <comment ref="AG35" authorId="52" shapeId="0" xr:uid="{BA440568-86CF-48C9-B8FF-95D51D161AC5}">
      <text>
        <t>[Threaded comment]
Your version of Excel allows you to read this threaded comment; however, any edits to it will get removed if the file is opened in a newer version of Excel. Learn more: https://go.microsoft.com/fwlink/?linkid=870924
Comment:
    Begins θηρευσαι and uses κατηγορησωσιν</t>
      </text>
    </comment>
    <comment ref="AH35" authorId="53" shapeId="0" xr:uid="{555C9867-CAFB-454C-B55E-5D404CEAE1A9}">
      <text>
        <t>[Threaded comment]
Your version of Excel allows you to read this threaded comment; however, any edits to it will get removed if the file is opened in a newer version of Excel. Learn more: https://go.microsoft.com/fwlink/?linkid=870924
Comment:
    = ζητουντες θηρευσαι τι εκ του στοματος αυτου ινα κατηγορησωσιν αυτου</t>
      </text>
    </comment>
    <comment ref="AI35" authorId="54" shapeId="0" xr:uid="{81B07E98-4770-498A-B7C0-8EB3282AADBD}">
      <text>
        <t>[Threaded comment]
Your version of Excel allows you to read this threaded comment; however, any edits to it will get removed if the file is opened in a newer version of Excel. Learn more: https://go.microsoft.com/fwlink/?linkid=870924
Comment:
    = ζητουντες θηρευσαι τι εκ του στοματος αυτου ινα κατηγορησωσιν αυτου</t>
      </text>
    </comment>
    <comment ref="AJ35" authorId="55" shapeId="0" xr:uid="{1A4E552F-0E3B-4DE8-BE4E-C69A4699FE03}">
      <text>
        <t>[Threaded comment]
Your version of Excel allows you to read this threaded comment; however, any edits to it will get removed if the file is opened in a newer version of Excel. Learn more: https://go.microsoft.com/fwlink/?linkid=870924
Comment:
    = ζητουντες θηρευσαι τι εκ του στοματος αυτου ινα κατηγορησωσιν αυτου</t>
      </text>
    </comment>
    <comment ref="AK35" authorId="56" shapeId="0" xr:uid="{F4A6CDD3-8BB9-4A93-B2A6-AC149E07F6D6}">
      <text>
        <t>[Threaded comment]
Your version of Excel allows you to read this threaded comment; however, any edits to it will get removed if the file is opened in a newer version of Excel. Learn more: https://go.microsoft.com/fwlink/?linkid=870924
Comment:
    Ενεδρυοντες θηρευσαι τι εκ του στοματος αυτου εν οις επισυναχθισων των μυριαδων του οχλου</t>
      </text>
    </comment>
    <comment ref="AD39" authorId="57" shapeId="0" xr:uid="{7C2C85A7-35BD-4219-BB09-2EF5A16F0592}">
      <text>
        <t>[Threaded comment]
Your version of Excel allows you to read this threaded comment; however, any edits to it will get removed if the file is opened in a newer version of Excel. Learn more: https://go.microsoft.com/fwlink/?linkid=870924
Comment:
    = και τους συνελθοντας μεθ αυτης ιουδαιους κλαιοντας</t>
      </text>
    </comment>
    <comment ref="AE39" authorId="58" shapeId="0" xr:uid="{C8BF4D44-08CE-4920-AA8D-723B9C611484}">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F39" authorId="59" shapeId="0" xr:uid="{8E7493FE-BA1D-4902-A25D-B0A57B735BD6}">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G39" authorId="60" shapeId="0" xr:uid="{E53CBB34-C9E0-490E-94CD-A6D65438222A}">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H39" authorId="61" shapeId="0" xr:uid="{26FE8EA1-CD32-431B-BC13-B05FE5D1561A}">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I39" authorId="62" shapeId="0" xr:uid="{3E2F761C-43A4-446D-8F91-88D5C235DD1F}">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J39" authorId="63" shapeId="0" xr:uid="{2050229D-5F97-42A6-AE84-14195C344137}">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K39" authorId="64" shapeId="0" xr:uid="{88DCF355-F1E8-46DB-B0C0-F43E2EE1B0AD}">
      <text>
        <t>[Threaded comment]
Your version of Excel allows you to read this threaded comment; however, any edits to it will get removed if the file is opened in a newer version of Excel. Learn more: https://go.microsoft.com/fwlink/?linkid=870924
Comment:
    = και τους συνελθοντας αυτη ιουδαιους κλαιοντας ενεβριμησατο</t>
      </text>
    </comment>
    <comment ref="AD40" authorId="65" shapeId="0" xr:uid="{995BD05A-74E0-4E5A-AEB1-8D4C937CC0E0}">
      <text>
        <t>[Threaded comment]
Your version of Excel allows you to read this threaded comment; however, any edits to it will get removed if the file is opened in a newer version of Excel. Learn more: https://go.microsoft.com/fwlink/?linkid=870924
Comment:
    Material is missing in Comp, but joining pronoun (ω) matches neither Bezae nor B.10.3</t>
      </text>
    </comment>
    <comment ref="AK40" authorId="66" shapeId="0" xr:uid="{2592E607-3D3A-4658-8DA1-14060B98300D}">
      <text>
        <t>[Threaded comment]
Your version of Excel allows you to read this threaded comment; however, any edits to it will get removed if the file is opened in a newer version of Excel. Learn more: https://go.microsoft.com/fwlink/?linkid=870924
Comment:
    =πατερ αγιε τηρησον αυτους εν τω ονοματι σου ω εδωκας μοι</t>
      </text>
    </comment>
    <comment ref="AD41" authorId="67" shapeId="0" xr:uid="{1B8EA022-4F96-4092-BB3C-142093182A22}">
      <text>
        <t>[Threaded comment]
Your version of Excel allows you to read this threaded comment; however, any edits to it will get removed if the file is opened in a newer version of Excel. Learn more: https://go.microsoft.com/fwlink/?linkid=870924
Comment:
    Comp has τε instead of δε</t>
      </text>
    </comment>
    <comment ref="AE41" authorId="68" shapeId="0" xr:uid="{863048EB-CA02-492B-BA3F-B724A46FBD30}">
      <text>
        <t>[Threaded comment]
Your version of Excel allows you to read this threaded comment; however, any edits to it will get removed if the file is opened in a newer version of Excel. Learn more: https://go.microsoft.com/fwlink/?linkid=870924
Comment:
    has τε instead of δε</t>
      </text>
    </comment>
    <comment ref="AF41" authorId="69" shapeId="0" xr:uid="{DC3D7BE3-96B8-428F-8E02-D5F2772EE5C3}">
      <text>
        <t>[Threaded comment]
Your version of Excel allows you to read this threaded comment; however, any edits to it will get removed if the file is opened in a newer version of Excel. Learn more: https://go.microsoft.com/fwlink/?linkid=870924
Comment:
    has τε instead of δε</t>
      </text>
    </comment>
    <comment ref="AG41" authorId="70" shapeId="0" xr:uid="{08068BEC-7EE1-4786-AE0F-9A40CF75E50B}">
      <text>
        <t>[Threaded comment]
Your version of Excel allows you to read this threaded comment; however, any edits to it will get removed if the file is opened in a newer version of Excel. Learn more: https://go.microsoft.com/fwlink/?linkid=870924
Comment:
    has τε instead of δε</t>
      </text>
    </comment>
    <comment ref="AH41" authorId="71" shapeId="0" xr:uid="{96CC2217-B47E-4ACF-B1CC-DC962ED58D3B}">
      <text>
        <t>[Threaded comment]
Your version of Excel allows you to read this threaded comment; however, any edits to it will get removed if the file is opened in a newer version of Excel. Learn more: https://go.microsoft.com/fwlink/?linkid=870924
Comment:
    has τε instead of δε</t>
      </text>
    </comment>
    <comment ref="AI41" authorId="72" shapeId="0" xr:uid="{A90216F0-633B-4572-8FA4-C1393B3A06BC}">
      <text>
        <t>[Threaded comment]
Your version of Excel allows you to read this threaded comment; however, any edits to it will get removed if the file is opened in a newer version of Excel. Learn more: https://go.microsoft.com/fwlink/?linkid=870924
Comment:
    has τε instead of δε</t>
      </text>
    </comment>
    <comment ref="AJ41" authorId="73" shapeId="0" xr:uid="{1F7BCD49-3748-469E-B58C-EB8B56F3829A}">
      <text>
        <t>[Threaded comment]
Your version of Excel allows you to read this threaded comment; however, any edits to it will get removed if the file is opened in a newer version of Excel. Learn more: https://go.microsoft.com/fwlink/?linkid=870924
Comment:
    has τε instead of δε</t>
      </text>
    </comment>
    <comment ref="AD42" authorId="74" shapeId="0" xr:uid="{AFB8AF60-D21A-4811-80C1-4851D4319285}">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E42" authorId="75" shapeId="0" xr:uid="{4999B3BA-C47A-499C-9D30-59D08CEF9CF1}">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F42" authorId="76" shapeId="0" xr:uid="{2CCD6DFD-DB2B-4858-AC9C-7E2E19A1B601}">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G42" authorId="77" shapeId="0" xr:uid="{C42D9154-C27D-4561-90C8-63BADAFA6F5C}">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H42" authorId="78" shapeId="0" xr:uid="{5215F3D5-AC59-4169-BAF9-70C05004F130}">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I42" authorId="79" shapeId="0" xr:uid="{A08EEBC2-DEEB-42D3-A132-30BC76B4C24F}">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J42" authorId="80" shapeId="0" xr:uid="{915C19E8-8139-4247-8712-DA50B32BD0C3}">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K42" authorId="81" shapeId="0" xr:uid="{9E5A0B31-581C-4DD7-A6F5-5AA39D39B10F}">
      <text>
        <t>[Threaded comment]
Your version of Excel allows you to read this threaded comment; however, any edits to it will get removed if the file is opened in a newer version of Excel. Learn more: https://go.microsoft.com/fwlink/?linkid=870924
Comment:
    = εις γαρ χολην πικριας και συνδεσμον αδικιας ορω</t>
      </text>
    </comment>
    <comment ref="AD43" authorId="82" shapeId="0" xr:uid="{E3069CFB-2128-4C31-9F83-C2919666F62D}">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E43" authorId="83" shapeId="0" xr:uid="{DAA670E4-F466-489C-85BE-7E190E3FB859}">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F43" authorId="84" shapeId="0" xr:uid="{A2C11F79-5AFC-4D18-8CE6-71C71FC82FC9}">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G43" authorId="85" shapeId="0" xr:uid="{DC38330D-E49B-4BA7-B553-CA82FB3CE590}">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H43" authorId="86" shapeId="0" xr:uid="{60DBC740-A675-4FD7-A511-5D6AEA0C0BBE}">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I43" authorId="87" shapeId="0" xr:uid="{D7369B95-19E0-40B1-819A-E99DDB84B22C}">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J43" authorId="88" shapeId="0" xr:uid="{E8ED030C-CA4F-4F30-A9A0-B732D9650A08}">
      <text>
        <t>[Threaded comment]
Your version of Excel allows you to read this threaded comment; however, any edits to it will get removed if the file is opened in a newer version of Excel. Learn more: https://go.microsoft.com/fwlink/?linkid=870924
Comment:
    Uses εισηλθε and  ευρισκει ; The rest matches</t>
      </text>
    </comment>
    <comment ref="AK43" authorId="89" shapeId="0" xr:uid="{DE0CDAA1-01AE-4E56-8006-E65A5B4E0CDB}">
      <text>
        <t>[Threaded comment]
Your version of Excel allows you to read this threaded comment; however, any edits to it will get removed if the file is opened in a newer version of Excel. Learn more: https://go.microsoft.com/fwlink/?linkid=870924
Comment:
    Uses και εγω and  ευρισκει ; The rest matches</t>
      </text>
    </comment>
    <comment ref="AD44" authorId="90" shapeId="0" xr:uid="{34DD8160-DDC2-46CE-BD4D-096113755404}">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E44" authorId="91" shapeId="0" xr:uid="{E2536F21-B99C-4638-A7DF-6F8CB8BB8B89}">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F44" authorId="92" shapeId="0" xr:uid="{72987023-23E3-4EF1-B8C1-C2517B8AAAD7}">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G44" authorId="93" shapeId="0" xr:uid="{4B458573-0297-4385-AB1D-5F99C69AB377}">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H44" authorId="94" shapeId="0" xr:uid="{FAFDF2A0-AC40-487B-AF73-2962316B1AAA}">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I44" authorId="95" shapeId="0" xr:uid="{CE84BADB-122D-4249-A014-31A1BC2666C6}">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J44" authorId="96" shapeId="0" xr:uid="{9F16EBA1-3294-472E-A63E-48771BFE5E60}">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K44" authorId="97" shapeId="0" xr:uid="{7AD8C1B6-3B93-40BD-8ECA-12D689BF8F01}">
      <text>
        <t>[Threaded comment]
Your version of Excel allows you to read this threaded comment; however, any edits to it will get removed if the file is opened in a newer version of Excel. Learn more: https://go.microsoft.com/fwlink/?linkid=870924
Comment:
    = ενωπιον του θεου παρεσμεν ακουσαι παντα τα προστεταγμενα</t>
      </text>
    </comment>
    <comment ref="AD45" authorId="98" shapeId="0" xr:uid="{3E90CA25-1F23-4D4B-8647-195749997C95}">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εν τη εκκλησια και διδαξαι οχλον ικανον χρηματισαι τε πρωτων εν αντιοχεια τους μαθητας χριστιανους εν ταυταις</t>
      </text>
    </comment>
    <comment ref="AE45" authorId="99" shapeId="0" xr:uid="{83D55862-F3C8-4639-8B19-6273BD09775A}">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τη εκκλησια και διδαξαι οχλον ικανον χρηματισαι τε πρωτoν εν αντιοχεια τους μαθητας τους χριστιανους εν ταυταις</t>
      </text>
    </comment>
    <comment ref="AF45" authorId="100" shapeId="0" xr:uid="{9B14179C-AC65-49F5-BC46-C0203A2247C6}">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τη εκκλησια και διδαξαι οχλον ικανον χρηματισαι τε πρωτoν εν αντιοχεια τους μαθητας χριστιανους εν ταυταις</t>
      </text>
    </comment>
    <comment ref="AG45" authorId="101" shapeId="0" xr:uid="{89C0DF98-23BC-4881-9473-F70D08776F10}">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εν τη εκκλησια και διδαξαι οχλον ικανον χρηματισαι τε πρωτων εν αντιοχεια τους μαθητας χριστιανους εν ταυταις</t>
      </text>
    </comment>
    <comment ref="AH45" authorId="102" shapeId="0" xr:uid="{B97572A3-A3A6-44E3-B610-3C76B86678DC}">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εν τη εκκλησια και διδαξαι οχλον ικανον χρηματισαι τε πρωτον εν αντιοχεια τους μαθητας χριστιανους εν ταυταις</t>
      </text>
    </comment>
    <comment ref="AI45" authorId="103" shapeId="0" xr:uid="{EC8265AE-4A7C-42B2-A516-FB958FC425B9}">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εν τη εκκλησια και διδαξαι οχλον ικανον χρηματισαι τε πρωτον εν αντιοχεια τους μαθητας χριστιανους εν ταυταις</t>
      </text>
    </comment>
    <comment ref="AJ45" authorId="104" shapeId="0" xr:uid="{AFC12BD1-C93D-4762-A1D8-0727E8B045BE}">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εν τη εκκλησια και διδαξαι οχλον ικανον χρηματισαι τε πρωτον εν αντιοχεια τους μαθητας χριστιανους εν ταυταις</t>
      </text>
    </comment>
    <comment ref="AK45" authorId="105" shapeId="0" xr:uid="{D37D828C-BB64-4E1C-93C9-AE39674541D3}">
      <text>
        <t>[Threaded comment]
Your version of Excel allows you to read this threaded comment; however, any edits to it will get removed if the file is opened in a newer version of Excel. Learn more: https://go.microsoft.com/fwlink/?linkid=870924
Comment:
    =ενιαυτον ολον συναχθηναι εν τη εκκλησια και διδαξαι οχλον ικανον χρηματισαι τε πρωτως εν αντιοχια τους μαθητας χρηστιανους εν ταυταις</t>
      </text>
    </comment>
    <comment ref="AD46" authorId="106" shapeId="0" xr:uid="{18E5E6FA-EEB5-4432-B871-6EB2A63525FB}">
      <text>
        <t>[Threaded comment]
Your version of Excel allows you to read this threaded comment; however, any edits to it will get removed if the file is opened in a newer version of Excel. Learn more: https://go.microsoft.com/fwlink/?linkid=870924
Comment:
    Comp omits ικανοι επιστευσαν</t>
      </text>
    </comment>
    <comment ref="AE46" authorId="107" shapeId="0" xr:uid="{7EE4E806-AE4A-4F76-A83E-9A66BF882028}">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F46" authorId="108" shapeId="0" xr:uid="{D0C3C727-1480-4847-B222-3D30CAAC0884}">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G46" authorId="109" shapeId="0" xr:uid="{7BC54ABA-E68E-414B-AE0E-CE915B901169}">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H46" authorId="110" shapeId="0" xr:uid="{45BB532B-FC80-4025-90FE-BDFEE644C7AC}">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I46" authorId="111" shapeId="0" xr:uid="{E8800F91-DC85-47AF-97A7-DCA6CD20AFEE}">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J46" authorId="112" shapeId="0" xr:uid="{CD286554-2381-4597-9A08-37D3321C8C6C}">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K46" authorId="113" shapeId="0" xr:uid="{FD63EE7B-CD0E-4DBD-A1A2-DE6E9C8DCC72}">
      <text>
        <t>[Threaded comment]
Your version of Excel allows you to read this threaded comment; however, any edits to it will get removed if the file is opened in a newer version of Excel. Learn more: https://go.microsoft.com/fwlink/?linkid=870924
Comment:
    omits ικανοι επιστευσαν</t>
      </text>
    </comment>
    <comment ref="AK48" authorId="114" shapeId="0" xr:uid="{5C2309D5-E965-47A1-AFC9-9BDA319DB602}">
      <text>
        <t>[Threaded comment]
Your version of Excel allows you to read this threaded comment; however, any edits to it will get removed if the file is opened in a newer version of Excel. Learn more: https://go.microsoft.com/fwlink/?linkid=870924
Comment:
    =και μεταβας εκειθεν εισηλθεν εις οικιαν τινος ονοματι τιτου ιουστου</t>
      </text>
    </comment>
    <comment ref="AD49" authorId="115" shapeId="0" xr:uid="{38B2C54C-B408-42A8-96B5-96D44BE2A611}">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E49" authorId="116" shapeId="0" xr:uid="{3565428E-2142-4CF0-89EB-28C624F2E338}">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F49" authorId="117" shapeId="0" xr:uid="{94CBE911-826C-4C7E-B952-A3D204492B53}">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G49" authorId="118" shapeId="0" xr:uid="{FA04FA86-A9B0-4992-8066-A7E9F3477502}">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H49" authorId="119" shapeId="0" xr:uid="{4CF09AE7-ED58-477B-B081-15102ED2563C}">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I49" authorId="120" shapeId="0" xr:uid="{F4A24E9F-8CB5-4FF4-AF86-8543E5A9C830}">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J49" authorId="121" shapeId="0" xr:uid="{5C93E2B4-0214-4164-88A0-40FACC87EF8D}">
      <text>
        <t>[Threaded comment]
Your version of Excel allows you to read this threaded comment; however, any edits to it will get removed if the file is opened in a newer version of Excel. Learn more: https://go.microsoft.com/fwlink/?linkid=870924
Comment:
    = ετη δυο ωστε παντας τους κατοικουντας την ασιαν ακουσαι τον λογον του κυριου ιησου ιουδαιους τε και ελληνας</t>
      </text>
    </comment>
    <comment ref="AK49" authorId="122" shapeId="0" xr:uid="{1D4677D1-6A11-438D-8157-A98AE0AA1B7C}">
      <text>
        <t>[Threaded comment]
Your version of Excel allows you to read this threaded comment; however, any edits to it will get removed if the file is opened in a newer version of Excel. Learn more: https://go.microsoft.com/fwlink/?linkid=870924
Comment:
    Uses παντας and δυναμις; everything else matches; CLOSER than editions</t>
      </text>
    </comment>
    <comment ref="AD50" authorId="123" shapeId="0" xr:uid="{7A4A927E-B89E-4D16-AD4F-F9C4549F2C2D}">
      <text>
        <t>[Threaded comment]
Your version of Excel allows you to read this threaded comment; however, any edits to it will get removed if the file is opened in a newer version of Excel. Learn more: https://go.microsoft.com/fwlink/?linkid=870924
Comment:
    Comp omits πλειον; remainder is a match</t>
      </text>
    </comment>
    <comment ref="AE50" authorId="124" shapeId="0" xr:uid="{0643F295-B8FB-43A0-811C-1DCE0705B8C1}">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F50" authorId="125" shapeId="0" xr:uid="{7B992749-D67F-4B4D-A0F5-435A3E5EB960}">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G50" authorId="126" shapeId="0" xr:uid="{960E12AF-4F45-43C1-9A92-AA1945C8211D}">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H50" authorId="127" shapeId="0" xr:uid="{9BDD1295-9896-4B00-93DD-C2862B8977BB}">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I50" authorId="128" shapeId="0" xr:uid="{55F1188E-21E6-4BC3-90CF-403B89CEFE06}">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J50" authorId="129" shapeId="0" xr:uid="{FD1FD500-2BC7-4D57-AC95-A27AB80D9FCD}">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K50" authorId="130" shapeId="0" xr:uid="{04673C0A-1961-4C1F-80BC-973C131F2D0A}">
      <text>
        <t>[Threaded comment]
Your version of Excel allows you to read this threaded comment; however, any edits to it will get removed if the file is opened in a newer version of Excel. Learn more: https://go.microsoft.com/fwlink/?linkid=870924
Comment:
    omits πλειον; remainder is a match</t>
      </text>
    </comment>
    <comment ref="AD51" authorId="131" shapeId="0" xr:uid="{9C91C252-E7A5-494D-9479-5B97C66871DE}">
      <text>
        <t>[Threaded comment]
Your version of Excel allows you to read this threaded comment; however, any edits to it will get removed if the file is opened in a newer version of Excel. Learn more: https://go.microsoft.com/fwlink/?linkid=870924
Comment:
    = διο καιμαρτυρομαι υμιν εν τη σημερον ημερα οτι καθαρος</t>
      </text>
    </comment>
    <comment ref="AE51" authorId="132" shapeId="0" xr:uid="{E2E7FDC4-8475-4D54-86FE-4965F8700801}">
      <text>
        <t>[Threaded comment]
Your version of Excel allows you to read this threaded comment; however, any edits to it will get removed if the file is opened in a newer version of Excel. Learn more: https://go.microsoft.com/fwlink/?linkid=870924
Comment:
    = διοτι μαρτυρομαι υμιν εν τη σημερον ημερα οτι καθαρος</t>
      </text>
    </comment>
    <comment ref="AF51" authorId="133" shapeId="0" xr:uid="{BB310D6A-928F-4939-AF5D-0D7CCA47CA71}">
      <text>
        <t>[Threaded comment]
Your version of Excel allows you to read this threaded comment; however, any edits to it will get removed if the file is opened in a newer version of Excel. Learn more: https://go.microsoft.com/fwlink/?linkid=870924
Comment:
    Uses υμιν; everything else matches</t>
      </text>
    </comment>
    <comment ref="AG51" authorId="134" shapeId="0" xr:uid="{181BB6F2-ADA8-4523-A572-B2450C6ACBBC}">
      <text>
        <t>[Threaded comment]
Your version of Excel allows you to read this threaded comment; however, any edits to it will get removed if the file is opened in a newer version of Excel. Learn more: https://go.microsoft.com/fwlink/?linkid=870924
Comment:
    Uses υμιν; everything else matches</t>
      </text>
    </comment>
    <comment ref="AH51" authorId="135" shapeId="0" xr:uid="{C7F6F904-C775-4194-BE49-0E151647CAC5}">
      <text>
        <t>[Threaded comment]
Your version of Excel allows you to read this threaded comment; however, any edits to it will get removed if the file is opened in a newer version of Excel. Learn more: https://go.microsoft.com/fwlink/?linkid=870924
Comment:
    Uses υμιν; everything else matches</t>
      </text>
    </comment>
    <comment ref="AI51" authorId="136" shapeId="0" xr:uid="{D302CF39-5EDC-4360-8F29-551BBB2D4310}">
      <text>
        <t>[Threaded comment]
Your version of Excel allows you to read this threaded comment; however, any edits to it will get removed if the file is opened in a newer version of Excel. Learn more: https://go.microsoft.com/fwlink/?linkid=870924
Comment:
    Uses υμιν; everything else matches</t>
      </text>
    </comment>
    <comment ref="AJ51" authorId="137" shapeId="0" xr:uid="{C293834A-7AA9-4295-AF42-EEFEBA913FDE}">
      <text>
        <t>[Threaded comment]
Your version of Excel allows you to read this threaded comment; however, any edits to it will get removed if the file is opened in a newer version of Excel. Learn more: https://go.microsoft.com/fwlink/?linkid=870924
Comment:
    Uses υμιν; everything else matches</t>
      </text>
    </comment>
    <comment ref="AK51" authorId="138" shapeId="0" xr:uid="{846B6B10-155F-49C1-8487-095A42455118}">
      <text>
        <t>[Threaded comment]
Your version of Excel allows you to read this threaded comment; however, any edits to it will get removed if the file is opened in a newer version of Excel. Learn more: https://go.microsoft.com/fwlink/?linkid=870924
Comment:
    Uses διοτι and υμιν; everything else matches</t>
      </text>
    </comment>
    <comment ref="AE52" authorId="139" shapeId="0" xr:uid="{7FE29325-A149-4695-8642-3F841D4F446B}">
      <text>
        <t>[Threaded comment]
Your version of Excel allows you to read this threaded comment; however, any edits to it will get removed if the file is opened in a newer version of Excel. Learn more: https://go.microsoft.com/fwlink/?linkid=870924
Comment:
    Uses μελλουσι; everything else matches</t>
      </text>
    </comment>
    <comment ref="AF52" authorId="140" shapeId="0" xr:uid="{2B41278E-59A7-4F85-B536-E41266D316D4}">
      <text>
        <t>[Threaded comment]
Your version of Excel allows you to read this threaded comment; however, any edits to it will get removed if the file is opened in a newer version of Excel. Learn more: https://go.microsoft.com/fwlink/?linkid=870924
Comment:
    Uses μελλουσι; everything else matches</t>
      </text>
    </comment>
    <comment ref="AG52" authorId="141" shapeId="0" xr:uid="{C6D11190-5A15-40A4-8582-430431ADCCAC}">
      <text>
        <t>[Threaded comment]
Your version of Excel allows you to read this threaded comment; however, any edits to it will get removed if the file is opened in a newer version of Excel. Learn more: https://go.microsoft.com/fwlink/?linkid=870924
Comment:
    Uses μελλουσι; everything else matches</t>
      </text>
    </comment>
    <comment ref="AH52" authorId="142" shapeId="0" xr:uid="{FB3535A1-9315-4C2A-8259-3C2F94AF9002}">
      <text>
        <t>[Threaded comment]
Your version of Excel allows you to read this threaded comment; however, any edits to it will get removed if the file is opened in a newer version of Excel. Learn more: https://go.microsoft.com/fwlink/?linkid=870924
Comment:
    Uses μελλουσι; everything else matches</t>
      </text>
    </comment>
    <comment ref="AI52" authorId="143" shapeId="0" xr:uid="{F860B3DF-0801-4A27-BF0D-425D3B0018F9}">
      <text>
        <t>[Threaded comment]
Your version of Excel allows you to read this threaded comment; however, any edits to it will get removed if the file is opened in a newer version of Excel. Learn more: https://go.microsoft.com/fwlink/?linkid=870924
Comment:
    Uses μελλουσι; everything else matches</t>
      </text>
    </comment>
    <comment ref="AJ52" authorId="144" shapeId="0" xr:uid="{6F936A8A-E420-4350-B3B4-7F778D1DE11D}">
      <text>
        <t>[Threaded comment]
Your version of Excel allows you to read this threaded comment; however, any edits to it will get removed if the file is opened in a newer version of Excel. Learn more: https://go.microsoft.com/fwlink/?linkid=870924
Comment:
    Uses μελλουσι; everything else matches</t>
      </text>
    </comment>
    <comment ref="AK52" authorId="145" shapeId="0" xr:uid="{2143C8D3-6DE7-4964-A4F5-8B034A73D708}">
      <text>
        <t>[Threaded comment]
Your version of Excel allows you to read this threaded comment; however, any edits to it will get removed if the file is opened in a newer version of Excel. Learn more: https://go.microsoft.com/fwlink/?linkid=870924
Comment:
    Uses θεωριν; everything else matches</t>
      </text>
    </comment>
    <comment ref="AK53" authorId="146" shapeId="0" xr:uid="{7ED66FB3-E9EE-480B-BF1B-6FE0847A6D3C}">
      <text>
        <t>[Threaded comment]
Your version of Excel allows you to read this threaded comment; however, any edits to it will get removed if the file is opened in a newer version of Excel. Learn more: https://go.microsoft.com/fwlink/?linkid=870924
Comment:
    Uses αναχθεντας, though this is corrected; with the correction, exact match; without correction, remainder is exact</t>
      </text>
    </comment>
    <comment ref="AD54" authorId="147" shapeId="0" xr:uid="{95A9301D-A416-42D4-A8D1-8CB6F03D5EF2}">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E54" authorId="148" shapeId="0" xr:uid="{4E7C7C3D-C8B7-40C9-B711-142C0CF088B1}">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F54" authorId="149" shapeId="0" xr:uid="{3E5AC485-0EA5-437C-B76A-1B5A95948889}">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G54" authorId="150" shapeId="0" xr:uid="{8CA2604A-5DA3-42AD-B05A-8282FD9DF207}">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H54" authorId="151" shapeId="0" xr:uid="{3EDC92F7-AA5D-4FC0-AED7-3EFC926D3CDA}">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I54" authorId="152" shapeId="0" xr:uid="{437124C7-CC1E-49CD-A0FA-8D0B7CBAF63B}">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J54" authorId="153" shapeId="0" xr:uid="{257D0CDF-7B04-4D0C-A1AB-3555F09DDEF4}">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K54" authorId="154" shapeId="0" xr:uid="{158D0730-8245-4A2A-960D-51BD656FE94E}">
      <text>
        <t>[Threaded comment]
Your version of Excel allows you to read this threaded comment; however, any edits to it will get removed if the file is opened in a newer version of Excel. Learn more: https://go.microsoft.com/fwlink/?linkid=870924
Comment:
    Omits συνηγμενοι; remainder matches</t>
      </text>
    </comment>
    <comment ref="AD55" authorId="155" shapeId="0" xr:uid="{5BF3657D-60D2-4807-B077-78539352F199}">
      <text>
        <t>[Threaded comment]
Your version of Excel allows you to read this threaded comment; however, any edits to it will get removed if the file is opened in a newer version of Excel. Learn more: https://go.microsoft.com/fwlink/?linkid=870924
Comment:
    = εγενετο δε μοι πορευομενω και εγγυζοντι τη δαμασκω περι μεσημβριαν εξαιφνης εκ του ουρανου περιαστραψαι φως</t>
      </text>
    </comment>
    <comment ref="AF55" authorId="156" shapeId="0" xr:uid="{B5515FD9-ED38-4AF5-856B-40FF79946E5C}">
      <text>
        <t>[Threaded comment]
Your version of Excel allows you to read this threaded comment; however, any edits to it will get removed if the file is opened in a newer version of Excel. Learn more: https://go.microsoft.com/fwlink/?linkid=870924
Comment:
    = τιμωρηθωσιν εγενετο δε μοι πορευομενω και εγγιζοντι τη δαμασκω περι μεσημβριαν εξαιφνης εκ του ουρανου περιαστραψαι φως</t>
      </text>
    </comment>
    <comment ref="AG55" authorId="157" shapeId="0" xr:uid="{65F17583-B832-45E5-AE83-AE88B367BEC5}">
      <text>
        <t>[Threaded comment]
Your version of Excel allows you to read this threaded comment; however, any edits to it will get removed if the file is opened in a newer version of Excel. Learn more: https://go.microsoft.com/fwlink/?linkid=870924
Comment:
    = τιμωρηθωσιν εγενετο δε μοι πορευομενω και εγγιζοντι τη δαμασκω περι μεσημβριαν εξαιφνης εκ του ουρανου περιαστραψαι φως</t>
      </text>
    </comment>
    <comment ref="AH55" authorId="158" shapeId="0" xr:uid="{73062C45-1DA2-412E-9DF2-D01A35536A5C}">
      <text>
        <t>[Threaded comment]
Your version of Excel allows you to read this threaded comment; however, any edits to it will get removed if the file is opened in a newer version of Excel. Learn more: https://go.microsoft.com/fwlink/?linkid=870924
Comment:
    = τιμωρηθωσιν εγενετο δε μοι πορευομενω και εγγιζοντι τη δαμασκω περι μεσημβριαν εξαιφνης εκ του ουρανου περιαστραψαι φως</t>
      </text>
    </comment>
    <comment ref="AI55" authorId="159" shapeId="0" xr:uid="{2B16853E-0E37-4F22-83CE-0525D8A72024}">
      <text>
        <t>[Threaded comment]
Your version of Excel allows you to read this threaded comment; however, any edits to it will get removed if the file is opened in a newer version of Excel. Learn more: https://go.microsoft.com/fwlink/?linkid=870924
Comment:
    = τιμωρηθωσιν εγενετο δε μοι πορευομενω και εγγιζοντι τη δαμασκω περι μεσημβριαν εξαιφνης εκ του ουρανου περιαστραψαι φως</t>
      </text>
    </comment>
    <comment ref="AJ55" authorId="160" shapeId="0" xr:uid="{682F8845-2925-4211-87E5-3A385ABCF067}">
      <text>
        <t>[Threaded comment]
Your version of Excel allows you to read this threaded comment; however, any edits to it will get removed if the file is opened in a newer version of Excel. Learn more: https://go.microsoft.com/fwlink/?linkid=870924
Comment:
    = τιμωρηθωσιν εγενετο δε μοι πορευομενω και εγγιζοντι τη δαμασκω περι μεσημβριαν εξαιφνης εκ του ουρανου περιαστραψαι φως</t>
      </text>
    </comment>
    <comment ref="AK55" authorId="161" shapeId="0" xr:uid="{75E19F8D-CB9B-40E3-BBE6-446A640F9893}">
      <text>
        <t>[Threaded comment]
Your version of Excel allows you to read this threaded comment; however, any edits to it will get removed if the file is opened in a newer version of Excel. Learn more: https://go.microsoft.com/fwlink/?linkid=870924
Comment:
    = τιμωρηθωσιν εγενετο δε μοι πορευομενω και εγγιζοντι τη δαμασκω περι μεσημβριαν εξαιφνης εκ του ουρανου περιαστραψαι φως</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Jonathan Wilken</author>
    <author>tc={41FCAFD4-001D-4A11-AD52-C60792DF3206}</author>
    <author>tc={D5511078-0067-4ADF-BABD-DDA4B3053911}</author>
    <author>tc={C5840164-A82F-4076-B99F-ECD01830C877}</author>
    <author>tc={12C9AB96-68FE-44A5-BDBD-9DD980F01A9A}</author>
    <author>tc={1A947DAF-07AD-471D-887C-41881E0C5811}</author>
    <author>tc={2FF9D55F-9030-4D7F-B3B4-F63C170F62FD}</author>
    <author>tc={1F1A2483-4B64-4A00-B38B-E8253328349D}</author>
    <author>tc={455F76EE-CA8F-4BFB-BB80-403F7BA09089}</author>
  </authors>
  <commentList>
    <comment ref="A1" authorId="0" shapeId="0" xr:uid="{F939218A-60C4-45C6-AAE3-04AB279822C4}">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2335B7E8-3AF9-41FD-ACD7-45E25548210D}">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A4BED64B-C635-442E-A3E5-76B0BFF3989A}">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BCB23FBC-B4E2-48C5-8D01-E0EAF9E7D7F8}">
      <text>
        <r>
          <rPr>
            <b/>
            <sz val="9"/>
            <color indexed="81"/>
            <rFont val="Tahoma"/>
            <family val="2"/>
          </rPr>
          <t>Jonathan Wilken:</t>
        </r>
        <r>
          <rPr>
            <sz val="9"/>
            <color indexed="81"/>
            <rFont val="Tahoma"/>
            <family val="2"/>
          </rPr>
          <t xml:space="preserve">
Add, omit, transposition, substitution, combo</t>
        </r>
      </text>
    </comment>
    <comment ref="L3" authorId="1" shapeId="0" xr:uid="{41FCAFD4-001D-4A11-AD52-C60792DF3206}">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M3" authorId="2" shapeId="0" xr:uid="{D5511078-0067-4ADF-BABD-DDA4B3053911}">
      <text>
        <t>[Threaded comment]
Your version of Excel allows you to read this threaded comment; however, any edits to it will get removed if the file is opened in a newer version of Excel. Learn more: https://go.microsoft.com/fwlink/?linkid=870924
Comment:
    Places where the apograph has altered the text, but the apograph reading corresponds to the modern critical edition of the text</t>
      </text>
    </comment>
    <comment ref="L4" authorId="3" shapeId="0" xr:uid="{C5840164-A82F-4076-B99F-ECD01830C877}">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M4" authorId="4" shapeId="0" xr:uid="{12C9AB96-68FE-44A5-BDBD-9DD980F01A9A}">
      <text>
        <t>[Threaded comment]
Your version of Excel allows you to read this threaded comment; however, any edits to it will get removed if the file is opened in a newer version of Excel. Learn more: https://go.microsoft.com/fwlink/?linkid=870924
Comment:
    Places where the apograph has altered the text, and the apograph reading deviates from the modern critical edition of the text</t>
      </text>
    </comment>
    <comment ref="L5" authorId="5" shapeId="0" xr:uid="{1A947DAF-07AD-471D-887C-41881E0C5811}">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M5" authorId="6" shapeId="0" xr:uid="{2FF9D55F-9030-4D7F-B3B4-F63C170F62FD}">
      <text>
        <t>[Threaded comment]
Your version of Excel allows you to read this threaded comment; however, any edits to it will get removed if the file is opened in a newer version of Excel. Learn more: https://go.microsoft.com/fwlink/?linkid=870924
Comment:
    Places where the apograph has altered the text, and the apograph reading deviates from the modern critical edition of the text, but the apparent type of variation relative to the critical text differs from the true variant type (e.g., relative to the critical text the variant appears to be a substitution, but relative to the exemplar it is an addition)</t>
      </text>
    </comment>
    <comment ref="M6" authorId="7" shapeId="0" xr:uid="{1F1A2483-4B64-4A00-B38B-E8253328349D}">
      <text>
        <t>[Threaded comment]
Your version of Excel allows you to read this threaded comment; however, any edits to it will get removed if the file is opened in a newer version of Excel. Learn more: https://go.microsoft.com/fwlink/?linkid=870924
Comment:
    Places where the apograph text differs from the modern critical text, but the apograph has not altered the autograph text (i.e., the apograph scribe has not actually altered his text)</t>
      </text>
    </comment>
    <comment ref="O13" authorId="8" shapeId="0" xr:uid="{455F76EE-CA8F-4BFB-BB80-403F7BA09089}">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<sst xmlns="http://schemas.openxmlformats.org/spreadsheetml/2006/main" count="81122" uniqueCount="13155">
  <si>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</si>
  <si>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</si>
  <si>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</si>
  <si>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</si>
  <si>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</si>
  <si>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</si>
  <si>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</si>
  <si>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</si>
  <si>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</si>
  <si>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</si>
  <si>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</si>
  <si>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</si>
  <si>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</si>
  <si>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</si>
  <si>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</si>
  <si>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</si>
  <si>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</si>
  <si>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</si>
  <si>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</si>
  <si>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</si>
  <si>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</si>
  <si>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</si>
  <si>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</si>
  <si>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</si>
  <si>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</si>
  <si>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</si>
  <si>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</si>
  <si>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</si>
  <si>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</si>
  <si>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</si>
  <si>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</si>
  <si>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</si>
  <si>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</si>
  <si>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</si>
  <si>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</si>
  <si>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</si>
  <si>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Matt.1.1</t>
  </si>
  <si>
    <t>[lac]</t>
  </si>
  <si>
    <t>βιβλος</t>
  </si>
  <si>
    <t>αβρααμ</t>
  </si>
  <si>
    <t>Matt.1.2</t>
  </si>
  <si>
    <t>ισαακ</t>
  </si>
  <si>
    <t>ιακωβ</t>
  </si>
  <si>
    <t>και</t>
  </si>
  <si>
    <t>Matt.1.3</t>
  </si>
  <si>
    <t>ιουδας</t>
  </si>
  <si>
    <t>αραμ</t>
  </si>
  <si>
    <t>Matt.1.4</t>
  </si>
  <si>
    <t>σαλμων</t>
  </si>
  <si>
    <t>Matt.1.5</t>
  </si>
  <si>
    <t>ωβηδ</t>
  </si>
  <si>
    <t>ιεσσαι</t>
  </si>
  <si>
    <t>Matt.1.6</t>
  </si>
  <si>
    <t>ο</t>
  </si>
  <si>
    <t>βασιλευς</t>
  </si>
  <si>
    <t>του</t>
  </si>
  <si>
    <t>Matt.1.7</t>
  </si>
  <si>
    <t>σολομων</t>
  </si>
  <si>
    <t>ασα</t>
  </si>
  <si>
    <t>Matt.1.8</t>
  </si>
  <si>
    <t>Matt.1.9</t>
  </si>
  <si>
    <t>οζιας</t>
  </si>
  <si>
    <t>αχαζ</t>
  </si>
  <si>
    <t>Matt.1.10</t>
  </si>
  <si>
    <t>εζεκιας</t>
  </si>
  <si>
    <t>Matt.1.11</t>
  </si>
  <si>
    <t>ιωσιας</t>
  </si>
  <si>
    <t>Matt.1.12</t>
  </si>
  <si>
    <t>μετα</t>
  </si>
  <si>
    <t>ζοροβαβελ</t>
  </si>
  <si>
    <t>Matt.1.13</t>
  </si>
  <si>
    <t>αζωρ</t>
  </si>
  <si>
    <t>Matt.1.14</t>
  </si>
  <si>
    <t>ελιουδ</t>
  </si>
  <si>
    <t>Matt.1.15</t>
  </si>
  <si>
    <t>Matt.1.16</t>
  </si>
  <si>
    <t>ιωσηφ</t>
  </si>
  <si>
    <t>εγεννηθη</t>
  </si>
  <si>
    <t>Matt.1.17</t>
  </si>
  <si>
    <t>πασαι</t>
  </si>
  <si>
    <t>Matt.1.18</t>
  </si>
  <si>
    <t>Matt.1.19</t>
  </si>
  <si>
    <t>δικαιος</t>
  </si>
  <si>
    <t>ων</t>
  </si>
  <si>
    <t>ιδου</t>
  </si>
  <si>
    <t>λεγων</t>
  </si>
  <si>
    <t>Matt.1.23</t>
  </si>
  <si>
    <t>ενμανουηλ</t>
  </si>
  <si>
    <t>ενμαννουηλ</t>
  </si>
  <si>
    <t>Matt.1.25</t>
  </si>
  <si>
    <t>ελαλησεν</t>
  </si>
  <si>
    <t>Matt.2.3</t>
  </si>
  <si>
    <t>Matt.2.6</t>
  </si>
  <si>
    <t>Matt.2.8</t>
  </si>
  <si>
    <t>Matt.2.9</t>
  </si>
  <si>
    <t>Matt.2.11</t>
  </si>
  <si>
    <t>οικειαν</t>
  </si>
  <si>
    <t>οικιαν</t>
  </si>
  <si>
    <t>ζμυρναν</t>
  </si>
  <si>
    <t>σμυρναν</t>
  </si>
  <si>
    <t>Matt.2.13</t>
  </si>
  <si>
    <t>ειδου</t>
  </si>
  <si>
    <t>Matt.2.14</t>
  </si>
  <si>
    <t>λεγοντος</t>
  </si>
  <si>
    <t>Matt.2.16</t>
  </si>
  <si>
    <t>βεθλεαιμ</t>
  </si>
  <si>
    <t>Matt.2.17</t>
  </si>
  <si>
    <t>Matt.2.18</t>
  </si>
  <si>
    <t>Matt.2.20</t>
  </si>
  <si>
    <t>ισραηλ</t>
  </si>
  <si>
    <t>Matt.2.21</t>
  </si>
  <si>
    <t>Matt.2.22</t>
  </si>
  <si>
    <t>αρχιλαος</t>
  </si>
  <si>
    <t>αρχελαος</t>
  </si>
  <si>
    <t>Matt.3.1</t>
  </si>
  <si>
    <t>παραγεινεται</t>
  </si>
  <si>
    <t>παραγινεται</t>
  </si>
  <si>
    <t>ιωανης</t>
  </si>
  <si>
    <t>ιωαννης</t>
  </si>
  <si>
    <t>Matt.3.2</t>
  </si>
  <si>
    <t>ηνγικεν</t>
  </si>
  <si>
    <t>ηγγικεν</t>
  </si>
  <si>
    <t>Matt.3.3</t>
  </si>
  <si>
    <t>τρειβους</t>
  </si>
  <si>
    <t>τριβους</t>
  </si>
  <si>
    <t>Matt.3.4</t>
  </si>
  <si>
    <t>δερματεινην</t>
  </si>
  <si>
    <t>δερματινην</t>
  </si>
  <si>
    <t>Matt.3.7</t>
  </si>
  <si>
    <t>υμειν</t>
  </si>
  <si>
    <t>υμιν</t>
  </si>
  <si>
    <t>Matt.3.10</t>
  </si>
  <si>
    <t>εστιν</t>
  </si>
  <si>
    <t>Matt.3.12</t>
  </si>
  <si>
    <t>κατακαυσι</t>
  </si>
  <si>
    <t>κατακαυσει</t>
  </si>
  <si>
    <t>Matt.3.13</t>
  </si>
  <si>
    <t>τοτε</t>
  </si>
  <si>
    <t>τοοτε</t>
  </si>
  <si>
    <t>Matt.3.14</t>
  </si>
  <si>
    <t>Matt.3.15</t>
  </si>
  <si>
    <t>ημιν</t>
  </si>
  <si>
    <t>Matt.3.16</t>
  </si>
  <si>
    <t>ευθυς</t>
  </si>
  <si>
    <t>ευθεους</t>
  </si>
  <si>
    <t>ειδεν</t>
  </si>
  <si>
    <t>ως</t>
  </si>
  <si>
    <t>Matt.3.17</t>
  </si>
  <si>
    <t>Matt.4.1</t>
  </si>
  <si>
    <t>Matt.4.2</t>
  </si>
  <si>
    <t>τεσσερακοντα</t>
  </si>
  <si>
    <t>τεσσαρακοντα</t>
  </si>
  <si>
    <t>Matt.4.3</t>
  </si>
  <si>
    <t>πιραζων</t>
  </si>
  <si>
    <t>πειραζων</t>
  </si>
  <si>
    <t>Matt.4.4</t>
  </si>
  <si>
    <t>ειπεν</t>
  </si>
  <si>
    <t>Matt.4.6</t>
  </si>
  <si>
    <t>αγγελοις</t>
  </si>
  <si>
    <t>αγιελοις</t>
  </si>
  <si>
    <t>Matt.4.13</t>
  </si>
  <si>
    <t>ναζαρεθ</t>
  </si>
  <si>
    <t>ναζαρετ</t>
  </si>
  <si>
    <t>καφαρναουμ</t>
  </si>
  <si>
    <t>καπερναουμ</t>
  </si>
  <si>
    <t>Matt.4.15</t>
  </si>
  <si>
    <t>γαλιλαιας</t>
  </si>
  <si>
    <t>Matt.4.16</t>
  </si>
  <si>
    <t>Matt.4.17</t>
  </si>
  <si>
    <t>Matt.4.18</t>
  </si>
  <si>
    <t>Matt.4.19</t>
  </si>
  <si>
    <t>οπεισω</t>
  </si>
  <si>
    <t>οπισω</t>
  </si>
  <si>
    <t>Matt.4.22</t>
  </si>
  <si>
    <t>Matt.4.23</t>
  </si>
  <si>
    <t>βασιλιας</t>
  </si>
  <si>
    <t>βασιλειας</t>
  </si>
  <si>
    <t>Matt.4.24</t>
  </si>
  <si>
    <t>ποικειλαις</t>
  </si>
  <si>
    <t>ποικιλαις</t>
  </si>
  <si>
    <t>εθεραπευσεν</t>
  </si>
  <si>
    <t>Matt.4.25</t>
  </si>
  <si>
    <t>Matt.5.3</t>
  </si>
  <si>
    <t>Matt.5.6</t>
  </si>
  <si>
    <t>διψωντες</t>
  </si>
  <si>
    <t>δειψωντες</t>
  </si>
  <si>
    <t>Matt.5.11</t>
  </si>
  <si>
    <t>ονειδισουσιν</t>
  </si>
  <si>
    <t>Matt.5.12</t>
  </si>
  <si>
    <t>Matt.5.13</t>
  </si>
  <si>
    <t>Matt.5.15</t>
  </si>
  <si>
    <t>Matt.5.16</t>
  </si>
  <si>
    <t>ενπροσθεν</t>
  </si>
  <si>
    <t>εμπροσθεν</t>
  </si>
  <si>
    <t>ειδωσιν</t>
  </si>
  <si>
    <t>ιδωσιν</t>
  </si>
  <si>
    <t>Matt.5.17</t>
  </si>
  <si>
    <t>νομεισητε</t>
  </si>
  <si>
    <t>νομισητε</t>
  </si>
  <si>
    <t>ηλθον</t>
  </si>
  <si>
    <t>Matt.5.18</t>
  </si>
  <si>
    <t>Matt.5.19</t>
  </si>
  <si>
    <t>Matt.5.21</t>
  </si>
  <si>
    <t>ερρεθη</t>
  </si>
  <si>
    <t>Matt.5.22</t>
  </si>
  <si>
    <t>οργαζομενος</t>
  </si>
  <si>
    <t>ραχα</t>
  </si>
  <si>
    <t>ρακα</t>
  </si>
  <si>
    <t>Matt.5.23</t>
  </si>
  <si>
    <t>Matt.5.24</t>
  </si>
  <si>
    <t>Matt.5.25</t>
  </si>
  <si>
    <t>αντιδεικος</t>
  </si>
  <si>
    <t>αντιδικος</t>
  </si>
  <si>
    <t>σοι</t>
  </si>
  <si>
    <t>Matt.5.27</t>
  </si>
  <si>
    <t>Matt.5.31</t>
  </si>
  <si>
    <t>ερρηθη</t>
  </si>
  <si>
    <t>Matt.5.33</t>
  </si>
  <si>
    <t>επειορκησις</t>
  </si>
  <si>
    <t>επιορκησις</t>
  </si>
  <si>
    <t>Matt.5.36</t>
  </si>
  <si>
    <t>μειαν</t>
  </si>
  <si>
    <t>μιαν</t>
  </si>
  <si>
    <t>Matt.5.38</t>
  </si>
  <si>
    <t>Matt.5.39</t>
  </si>
  <si>
    <t>ραπεισει</t>
  </si>
  <si>
    <t>ραπισει</t>
  </si>
  <si>
    <t>Matt.5.40</t>
  </si>
  <si>
    <t>χειτωνα</t>
  </si>
  <si>
    <t>χιτωνα</t>
  </si>
  <si>
    <t>Matt.5.42</t>
  </si>
  <si>
    <t>αιτουντει</t>
  </si>
  <si>
    <t>αιτουντι</t>
  </si>
  <si>
    <t>δανεισασθαι</t>
  </si>
  <si>
    <t>Matt.5.43</t>
  </si>
  <si>
    <t>μεισησεις</t>
  </si>
  <si>
    <t>μισησεις</t>
  </si>
  <si>
    <t>Matt.5.44</t>
  </si>
  <si>
    <t>μεισουσιν</t>
  </si>
  <si>
    <t>μισουσιν</t>
  </si>
  <si>
    <t>επηριαζοντων</t>
  </si>
  <si>
    <t>επηρεαζοντων</t>
  </si>
  <si>
    <t>Matt.5.46</t>
  </si>
  <si>
    <t>Matt.5.48</t>
  </si>
  <si>
    <t>Matt.6.1</t>
  </si>
  <si>
    <t>Matt.6.2</t>
  </si>
  <si>
    <t>Matt.6.4</t>
  </si>
  <si>
    <t>Matt.6.5</t>
  </si>
  <si>
    <t>πρσευχη</t>
  </si>
  <si>
    <t>Matt.6.6</t>
  </si>
  <si>
    <t>θυραν</t>
  </si>
  <si>
    <t>θεουραν</t>
  </si>
  <si>
    <t>Matt.6.7</t>
  </si>
  <si>
    <t>βλαττολογησηται</t>
  </si>
  <si>
    <t>βατταλογησηται</t>
  </si>
  <si>
    <t>πατερ</t>
  </si>
  <si>
    <t>πατηρ</t>
  </si>
  <si>
    <t>Matt.6.10</t>
  </si>
  <si>
    <t>Matt.6.12</t>
  </si>
  <si>
    <t>οφιλεματα</t>
  </si>
  <si>
    <t>οφειληματα</t>
  </si>
  <si>
    <t>οφιλεταις</t>
  </si>
  <si>
    <t>οφειλεταις</t>
  </si>
  <si>
    <t>Matt.6.13</t>
  </si>
  <si>
    <t>Matt.6.14</t>
  </si>
  <si>
    <t>Matt.6.16</t>
  </si>
  <si>
    <t>γεινεσθαι</t>
  </si>
  <si>
    <t>γινεσθαι</t>
  </si>
  <si>
    <t>Matt.6.17</t>
  </si>
  <si>
    <t>αλιψον</t>
  </si>
  <si>
    <t>αλειψον</t>
  </si>
  <si>
    <t>Matt.6.18</t>
  </si>
  <si>
    <t>Matt.6.19</t>
  </si>
  <si>
    <t>θησαυρισεται</t>
  </si>
  <si>
    <t>θησαυριζεται</t>
  </si>
  <si>
    <t>Matt.6.20</t>
  </si>
  <si>
    <t>Matt.9.2</t>
  </si>
  <si>
    <t>Matt.9.4</t>
  </si>
  <si>
    <t>ενθυμησεις</t>
  </si>
  <si>
    <t>ενθεουμησεις</t>
  </si>
  <si>
    <t>ενθυμεισθαι</t>
  </si>
  <si>
    <t>ενθεουμεισθαι</t>
  </si>
  <si>
    <t>Matt.9.5</t>
  </si>
  <si>
    <t>Matt.9.6</t>
  </si>
  <si>
    <t>αμαρτειας</t>
  </si>
  <si>
    <t>Matt.9.8</t>
  </si>
  <si>
    <t>ειδοντες</t>
  </si>
  <si>
    <t>ιδοντες</t>
  </si>
  <si>
    <t>Matt.9.9</t>
  </si>
  <si>
    <t>μαθθαιον</t>
  </si>
  <si>
    <t>ματθαιον</t>
  </si>
  <si>
    <t>Matt.9.10</t>
  </si>
  <si>
    <t>Matt.9.11</t>
  </si>
  <si>
    <t>εχουσιν</t>
  </si>
  <si>
    <t>Matt.9.13</t>
  </si>
  <si>
    <t>θυσιαν</t>
  </si>
  <si>
    <t>λεγοντες</t>
  </si>
  <si>
    <t>Matt.9.15</t>
  </si>
  <si>
    <t>δυνανται</t>
  </si>
  <si>
    <t>δυναντι</t>
  </si>
  <si>
    <t>νυνφιου</t>
  </si>
  <si>
    <t>νυμφιου</t>
  </si>
  <si>
    <t>νηστευουσιν</t>
  </si>
  <si>
    <t>Matt.9.16</t>
  </si>
  <si>
    <t>ειματειου·</t>
  </si>
  <si>
    <t>ειματαιου</t>
  </si>
  <si>
    <t>Matt.9.17</t>
  </si>
  <si>
    <t>ρησσει</t>
  </si>
  <si>
    <t>Matt.9.18</t>
  </si>
  <si>
    <t>ελθων</t>
  </si>
  <si>
    <t>θυγατηρ</t>
  </si>
  <si>
    <t>θεουγατηρ</t>
  </si>
  <si>
    <t>Matt.9.19</t>
  </si>
  <si>
    <t>ηκολουθι</t>
  </si>
  <si>
    <t>ηκολουθε</t>
  </si>
  <si>
    <t>Matt.9.22</t>
  </si>
  <si>
    <t>ειδων</t>
  </si>
  <si>
    <t>ιδων</t>
  </si>
  <si>
    <t>Matt.9.23</t>
  </si>
  <si>
    <t>Matt.9.24</t>
  </si>
  <si>
    <t>Matt.9.25</t>
  </si>
  <si>
    <t>Matt.9.27</t>
  </si>
  <si>
    <t>δαυειδ</t>
  </si>
  <si>
    <t>δαβειδ</t>
  </si>
  <si>
    <t>Matt.9.28</t>
  </si>
  <si>
    <t>τυφλοι</t>
  </si>
  <si>
    <t>ποιησαι</t>
  </si>
  <si>
    <t>Matt.9.30</t>
  </si>
  <si>
    <t>γεινωσκετω</t>
  </si>
  <si>
    <t>γεινωκετω</t>
  </si>
  <si>
    <t>Matt.9.33</t>
  </si>
  <si>
    <t>Matt.9.35</t>
  </si>
  <si>
    <t>Matt.9.36</t>
  </si>
  <si>
    <t>εσπλανχνισθη</t>
  </si>
  <si>
    <t>εσπλαγχνισθη</t>
  </si>
  <si>
    <t>Matt.9.37</t>
  </si>
  <si>
    <t>Matt.9.38</t>
  </si>
  <si>
    <t>Matt.10.1</t>
  </si>
  <si>
    <t>Matt.10.2</t>
  </si>
  <si>
    <t>ζεβεδεου</t>
  </si>
  <si>
    <t>Matt.10.3</t>
  </si>
  <si>
    <t>μαθθαιος</t>
  </si>
  <si>
    <t>ματθαιος</t>
  </si>
  <si>
    <t>Matt.10.4</t>
  </si>
  <si>
    <t>χαναναιος·</t>
  </si>
  <si>
    <t>καναναιος</t>
  </si>
  <si>
    <t>Matt.10.5</t>
  </si>
  <si>
    <t>Matt.10.6</t>
  </si>
  <si>
    <t>οτι</t>
  </si>
  <si>
    <t>βασιλεια</t>
  </si>
  <si>
    <t>Matt.10.8</t>
  </si>
  <si>
    <t>εγειρατε</t>
  </si>
  <si>
    <t>εγειρετε</t>
  </si>
  <si>
    <t>Matt.10.9</t>
  </si>
  <si>
    <t>μητε</t>
  </si>
  <si>
    <t>μηδε</t>
  </si>
  <si>
    <t>Matt.10.10</t>
  </si>
  <si>
    <t>χειθωνας</t>
  </si>
  <si>
    <t>χιτωνας</t>
  </si>
  <si>
    <t>Matt.10.12</t>
  </si>
  <si>
    <t>Matt.10.13</t>
  </si>
  <si>
    <t>Matt.10.14</t>
  </si>
  <si>
    <t>εκτειναξατε</t>
  </si>
  <si>
    <t>εκτιναξατε</t>
  </si>
  <si>
    <t>Matt.10.15</t>
  </si>
  <si>
    <t>Matt.10.16</t>
  </si>
  <si>
    <t>Matt.10.17</t>
  </si>
  <si>
    <t>σταθησεσθαι</t>
  </si>
  <si>
    <t>Matt.10.22</t>
  </si>
  <si>
    <t>μεισουμενοι</t>
  </si>
  <si>
    <t>μισουμενοι</t>
  </si>
  <si>
    <t>Matt.10.23</t>
  </si>
  <si>
    <t>φευγεται</t>
  </si>
  <si>
    <t>φευγηται</t>
  </si>
  <si>
    <t>Matt.10.25</t>
  </si>
  <si>
    <t>οικειακους</t>
  </si>
  <si>
    <t>οικιακους</t>
  </si>
  <si>
    <t>Matt.10.27</t>
  </si>
  <si>
    <t>Matt.10.28</t>
  </si>
  <si>
    <t>αποκτεννοντων</t>
  </si>
  <si>
    <t>αποκτενοντων</t>
  </si>
  <si>
    <t>Matt.10.29</t>
  </si>
  <si>
    <t>Matt.10.31</t>
  </si>
  <si>
    <t>στρουθειων</t>
  </si>
  <si>
    <t>στρουθιων</t>
  </si>
  <si>
    <t>Matt.10.32</t>
  </si>
  <si>
    <t>Matt.10.33</t>
  </si>
  <si>
    <t>Matt.10.34</t>
  </si>
  <si>
    <t>Matt.10.35</t>
  </si>
  <si>
    <t>δικασαι</t>
  </si>
  <si>
    <t>θυγατερα</t>
  </si>
  <si>
    <t>θεουγατερα</t>
  </si>
  <si>
    <t>προφητην</t>
  </si>
  <si>
    <t>Matt.10.42</t>
  </si>
  <si>
    <t>ποτειση</t>
  </si>
  <si>
    <t>ποτιση</t>
  </si>
  <si>
    <t>απολεται</t>
  </si>
  <si>
    <t>αποληται</t>
  </si>
  <si>
    <t>Matt.11.1</t>
  </si>
  <si>
    <t>Matt.11.3</t>
  </si>
  <si>
    <t>Matt.11.4</t>
  </si>
  <si>
    <t>Matt.11.5</t>
  </si>
  <si>
    <t>τυβλοι</t>
  </si>
  <si>
    <t>ευαγγελιζονται</t>
  </si>
  <si>
    <t>ευαγγελισονται</t>
  </si>
  <si>
    <t>Matt.11.7</t>
  </si>
  <si>
    <t>πορευουμενων</t>
  </si>
  <si>
    <t>Matt.11.8</t>
  </si>
  <si>
    <t>Matt.11.9</t>
  </si>
  <si>
    <t>Matt.11.10</t>
  </si>
  <si>
    <t>ανγελον</t>
  </si>
  <si>
    <t>αγγελον</t>
  </si>
  <si>
    <t>Matt.11.11</t>
  </si>
  <si>
    <t>Matt.11.12</t>
  </si>
  <si>
    <t>Matt.11.16</t>
  </si>
  <si>
    <t>Matt.11.18</t>
  </si>
  <si>
    <t>Matt.11.19</t>
  </si>
  <si>
    <t>σοφια</t>
  </si>
  <si>
    <t>Matt.11.20</t>
  </si>
  <si>
    <t>Matt.11.21</t>
  </si>
  <si>
    <t>χοροζαιν</t>
  </si>
  <si>
    <t>χοραζαιν</t>
  </si>
  <si>
    <t>βεθσαειδα</t>
  </si>
  <si>
    <t>βεθσεδα</t>
  </si>
  <si>
    <t>σιδωνι</t>
  </si>
  <si>
    <t>Matt.11.22</t>
  </si>
  <si>
    <t>σειδωνι</t>
  </si>
  <si>
    <t>Matt.11.23</t>
  </si>
  <si>
    <t>Matt.11.24</t>
  </si>
  <si>
    <t>Matt.11.25</t>
  </si>
  <si>
    <t>αποκρειθεις</t>
  </si>
  <si>
    <t>αποκριθεις</t>
  </si>
  <si>
    <t>Matt.11.26</t>
  </si>
  <si>
    <t>ευδοκεια</t>
  </si>
  <si>
    <t>ευδοκια</t>
  </si>
  <si>
    <t>Matt.11.27</t>
  </si>
  <si>
    <t>Matt.11.28</t>
  </si>
  <si>
    <t>Matt.11.29</t>
  </si>
  <si>
    <t>πραυς</t>
  </si>
  <si>
    <t>πραος</t>
  </si>
  <si>
    <t>καρδια</t>
  </si>
  <si>
    <t>Matt.12.1</t>
  </si>
  <si>
    <t>επινασαν</t>
  </si>
  <si>
    <t>επεινασαν</t>
  </si>
  <si>
    <t>Matt.12.2</t>
  </si>
  <si>
    <t>Matt.12.3</t>
  </si>
  <si>
    <t>επινασεν</t>
  </si>
  <si>
    <t>επεινασεν</t>
  </si>
  <si>
    <t>Matt.12.5</t>
  </si>
  <si>
    <t>ανετιοι</t>
  </si>
  <si>
    <t>ανητιοι</t>
  </si>
  <si>
    <t>Matt.12.6</t>
  </si>
  <si>
    <t>Matt.12.7</t>
  </si>
  <si>
    <t>θεουσιαν</t>
  </si>
  <si>
    <t>ανετιους</t>
  </si>
  <si>
    <t>αναιτιους</t>
  </si>
  <si>
    <t>Matt.12.10</t>
  </si>
  <si>
    <t>Matt.12.11</t>
  </si>
  <si>
    <t>εχει</t>
  </si>
  <si>
    <t>ενπεση</t>
  </si>
  <si>
    <t>εμπεση</t>
  </si>
  <si>
    <t>ουχει</t>
  </si>
  <si>
    <t>ουχι</t>
  </si>
  <si>
    <t>εγειρει</t>
  </si>
  <si>
    <t>εγερει</t>
  </si>
  <si>
    <t>Matt.12.12</t>
  </si>
  <si>
    <t>Matt.12.13</t>
  </si>
  <si>
    <t>υγειης</t>
  </si>
  <si>
    <t>υγιης</t>
  </si>
  <si>
    <t>Matt.12.14</t>
  </si>
  <si>
    <t>φαρεισαιοι</t>
  </si>
  <si>
    <t>φαρισαιοι</t>
  </si>
  <si>
    <t>συνβουλιον</t>
  </si>
  <si>
    <t>συμβουλιον</t>
  </si>
  <si>
    <t>Matt.12.16</t>
  </si>
  <si>
    <t>ποιησωσιν</t>
  </si>
  <si>
    <t>Matt.12.18</t>
  </si>
  <si>
    <t>ηυδοκησεν</t>
  </si>
  <si>
    <t>ευδοκησεν</t>
  </si>
  <si>
    <t>απαγγελλει</t>
  </si>
  <si>
    <t>αναγγελλει</t>
  </si>
  <si>
    <t>Matt.12.20</t>
  </si>
  <si>
    <t>κατεαξει</t>
  </si>
  <si>
    <t>Matt.12.21</t>
  </si>
  <si>
    <t>ελπιζουσιν</t>
  </si>
  <si>
    <t>Matt.12.22</t>
  </si>
  <si>
    <t>Matt.12.23</t>
  </si>
  <si>
    <t>Matt.12.25</t>
  </si>
  <si>
    <t>μερισθισα</t>
  </si>
  <si>
    <t>μερισθεισα</t>
  </si>
  <si>
    <t>στησεται</t>
  </si>
  <si>
    <t>Matt.12.27</t>
  </si>
  <si>
    <t>Matt.12.28</t>
  </si>
  <si>
    <t>εφθασαν</t>
  </si>
  <si>
    <t>Matt.12.29</t>
  </si>
  <si>
    <t>εισελθειν</t>
  </si>
  <si>
    <t>διαρπαση</t>
  </si>
  <si>
    <t>διαρπασει</t>
  </si>
  <si>
    <t>Matt.12.31</t>
  </si>
  <si>
    <t>Matt.12.33</t>
  </si>
  <si>
    <t>γεινωσκεται</t>
  </si>
  <si>
    <t>γινωσκεται</t>
  </si>
  <si>
    <t>Matt.12.34</t>
  </si>
  <si>
    <t>Matt.12.35</t>
  </si>
  <si>
    <t>εκβαλλει</t>
  </si>
  <si>
    <t>εκβαλει</t>
  </si>
  <si>
    <t>Matt.12.36</t>
  </si>
  <si>
    <t>Matt.12.37</t>
  </si>
  <si>
    <t>Matt.12.39</t>
  </si>
  <si>
    <t>Matt.12.40</t>
  </si>
  <si>
    <t>Matt.12.41</t>
  </si>
  <si>
    <t>νεινευεται</t>
  </si>
  <si>
    <t>νινευειται</t>
  </si>
  <si>
    <t>κατακρινουσιν</t>
  </si>
  <si>
    <t>Matt.12.42</t>
  </si>
  <si>
    <t>Matt.12.43</t>
  </si>
  <si>
    <t>πευμα</t>
  </si>
  <si>
    <t>ευρεισκει</t>
  </si>
  <si>
    <t>ευρισκει</t>
  </si>
  <si>
    <t>Matt.12.44</t>
  </si>
  <si>
    <t>λεγει</t>
  </si>
  <si>
    <t>ελθον</t>
  </si>
  <si>
    <t>Matt.12.45</t>
  </si>
  <si>
    <t>γεινεται</t>
  </si>
  <si>
    <t>γινεται</t>
  </si>
  <si>
    <t>χειρον</t>
  </si>
  <si>
    <t>Matt.12.47</t>
  </si>
  <si>
    <t>εστηκεισαν</t>
  </si>
  <si>
    <t>ειστηκεισαν</t>
  </si>
  <si>
    <t>Matt.12.48</t>
  </si>
  <si>
    <t>Matt.12.50</t>
  </si>
  <si>
    <t>Matt.13.1</t>
  </si>
  <si>
    <t>Matt.13.2</t>
  </si>
  <si>
    <t>ενβαντα</t>
  </si>
  <si>
    <t>εμβαντα</t>
  </si>
  <si>
    <t>καθησθαι</t>
  </si>
  <si>
    <t>εστηκει</t>
  </si>
  <si>
    <t>Matt.13.3</t>
  </si>
  <si>
    <t>Matt.13.4</t>
  </si>
  <si>
    <t>σπειριν</t>
  </si>
  <si>
    <t>σπειρειν</t>
  </si>
  <si>
    <t>επεσεν</t>
  </si>
  <si>
    <t>επεσον</t>
  </si>
  <si>
    <t>Matt.13.5</t>
  </si>
  <si>
    <t>Matt.13.12</t>
  </si>
  <si>
    <t>Matt.13.13</t>
  </si>
  <si>
    <t>συνωσιν</t>
  </si>
  <si>
    <t>Matt.13.14</t>
  </si>
  <si>
    <t>προφητια</t>
  </si>
  <si>
    <t>προφητεια</t>
  </si>
  <si>
    <t>Matt.13.15</t>
  </si>
  <si>
    <t>επαχυνθη</t>
  </si>
  <si>
    <t>επακυνθη</t>
  </si>
  <si>
    <t>ακουσωσιν</t>
  </si>
  <si>
    <t>Matt.13.16</t>
  </si>
  <si>
    <t>Matt.13.17</t>
  </si>
  <si>
    <t>Matt.13.19</t>
  </si>
  <si>
    <t>συνιοντος</t>
  </si>
  <si>
    <t>συνιεντος</t>
  </si>
  <si>
    <t>Matt.13.20</t>
  </si>
  <si>
    <t>Matt.13.21</t>
  </si>
  <si>
    <t>θλειψαιως</t>
  </si>
  <si>
    <t>θλιψειος</t>
  </si>
  <si>
    <t>ευθεως</t>
  </si>
  <si>
    <t>Matt.13.22</t>
  </si>
  <si>
    <t>Matt.13.23</t>
  </si>
  <si>
    <t>συνιεις</t>
  </si>
  <si>
    <t>συνεις</t>
  </si>
  <si>
    <t>Matt.13.24</t>
  </si>
  <si>
    <t>Matt.13.25</t>
  </si>
  <si>
    <t>εκθρος·</t>
  </si>
  <si>
    <t>εχθρος</t>
  </si>
  <si>
    <t>εποιησεν</t>
  </si>
  <si>
    <t>Matt.13.27</t>
  </si>
  <si>
    <t>εσπειρες</t>
  </si>
  <si>
    <t>εσπειρας</t>
  </si>
  <si>
    <t>Matt.13.28</t>
  </si>
  <si>
    <t>απελθοντες</t>
  </si>
  <si>
    <t>απελθοντας</t>
  </si>
  <si>
    <t>Matt.13.30</t>
  </si>
  <si>
    <t>Matt.13.32</t>
  </si>
  <si>
    <t>αυξηθη</t>
  </si>
  <si>
    <t>Matt.13.33</t>
  </si>
  <si>
    <t>Matt.13.34</t>
  </si>
  <si>
    <t>ελαληνσεν</t>
  </si>
  <si>
    <t>Matt.13.36</t>
  </si>
  <si>
    <t>ημειν</t>
  </si>
  <si>
    <t>Matt.13.38</t>
  </si>
  <si>
    <t>Matt.13.39</t>
  </si>
  <si>
    <t>θερεισται</t>
  </si>
  <si>
    <t>θερισται</t>
  </si>
  <si>
    <t>ανγελοι</t>
  </si>
  <si>
    <t>αγγελοι</t>
  </si>
  <si>
    <t>Matt.13.40</t>
  </si>
  <si>
    <t>συνλεγονται</t>
  </si>
  <si>
    <t>συνλεγεται</t>
  </si>
  <si>
    <t>Matt.13.42</t>
  </si>
  <si>
    <t>βαλλουσιν</t>
  </si>
  <si>
    <t>βαλουσιν</t>
  </si>
  <si>
    <t>Matt.13.44</t>
  </si>
  <si>
    <t>θηνσαυρω</t>
  </si>
  <si>
    <t>Matt.13.45</t>
  </si>
  <si>
    <t>μαργαρειτας</t>
  </si>
  <si>
    <t>μαργαριτας</t>
  </si>
  <si>
    <t>Matt.13.46</t>
  </si>
  <si>
    <t>πολυτειμον</t>
  </si>
  <si>
    <t>πολυτιμον</t>
  </si>
  <si>
    <t>μαργαρειτην</t>
  </si>
  <si>
    <t>μαργαριτην</t>
  </si>
  <si>
    <t>Matt.13.47</t>
  </si>
  <si>
    <t>βασιλια</t>
  </si>
  <si>
    <t>Matt.13.48</t>
  </si>
  <si>
    <t>ανεβιβασαν</t>
  </si>
  <si>
    <t>αναβιβασαν</t>
  </si>
  <si>
    <t>Matt.13.49</t>
  </si>
  <si>
    <t>Matt.13.50</t>
  </si>
  <si>
    <t>Matt.13.51</t>
  </si>
  <si>
    <t>Matt.13.52</t>
  </si>
  <si>
    <t>μαθηθευθεις·</t>
  </si>
  <si>
    <t>μαθητευθεις</t>
  </si>
  <si>
    <t>Matt.13.54</t>
  </si>
  <si>
    <t>σοφεια</t>
  </si>
  <si>
    <t>Matt.13.58</t>
  </si>
  <si>
    <t>απιστειας</t>
  </si>
  <si>
    <t>απιστιας</t>
  </si>
  <si>
    <t>Matt.14.2</t>
  </si>
  <si>
    <t>εναργουσιν</t>
  </si>
  <si>
    <t>Matt.14.4</t>
  </si>
  <si>
    <t>Matt.14.5</t>
  </si>
  <si>
    <t>Matt.14.6</t>
  </si>
  <si>
    <t>Matt.14.7</t>
  </si>
  <si>
    <t>αιτησηται·</t>
  </si>
  <si>
    <t>αιτησεται</t>
  </si>
  <si>
    <t>Matt.14.8</t>
  </si>
  <si>
    <t>ιωαννου</t>
  </si>
  <si>
    <t>Matt.14.9</t>
  </si>
  <si>
    <t>Matt.14.13</t>
  </si>
  <si>
    <t>Matt.14.15</t>
  </si>
  <si>
    <t>οψειας</t>
  </si>
  <si>
    <t>οψιας</t>
  </si>
  <si>
    <t>Matt.14.17</t>
  </si>
  <si>
    <t>ιχθυας</t>
  </si>
  <si>
    <t>ιχθεουας</t>
  </si>
  <si>
    <t>Matt.14.19</t>
  </si>
  <si>
    <t>ανακλειθηναι</t>
  </si>
  <si>
    <t>ανακλιθηναι</t>
  </si>
  <si>
    <t>Matt.14.21</t>
  </si>
  <si>
    <t>αισθιωντες</t>
  </si>
  <si>
    <t>Matt.14.23</t>
  </si>
  <si>
    <t>Matt.14.24</t>
  </si>
  <si>
    <t>Matt.14.28</t>
  </si>
  <si>
    <t>Matt.14.32</t>
  </si>
  <si>
    <t>Matt.14.34</t>
  </si>
  <si>
    <t>διαπερασαντες</t>
  </si>
  <si>
    <t>διαπρασαντες</t>
  </si>
  <si>
    <t>Matt.14.35</t>
  </si>
  <si>
    <t>επιγνοντες</t>
  </si>
  <si>
    <t>επιγοντες</t>
  </si>
  <si>
    <t>Matt.15.1</t>
  </si>
  <si>
    <t>προερχονται</t>
  </si>
  <si>
    <t>Matt.15.2</t>
  </si>
  <si>
    <t>Matt.15.3</t>
  </si>
  <si>
    <t>Matt.15.4</t>
  </si>
  <si>
    <t>τειμα</t>
  </si>
  <si>
    <t>τιμα</t>
  </si>
  <si>
    <t>Matt.15.5</t>
  </si>
  <si>
    <t>Matt.15.6</t>
  </si>
  <si>
    <t>τειμησει</t>
  </si>
  <si>
    <t>τιμησει</t>
  </si>
  <si>
    <t>Matt.15.8</t>
  </si>
  <si>
    <t>Matt.15.9</t>
  </si>
  <si>
    <t>διδασκαλειας</t>
  </si>
  <si>
    <t>διδασκαλιας</t>
  </si>
  <si>
    <t>Matt.15.11</t>
  </si>
  <si>
    <t>κοινωνει</t>
  </si>
  <si>
    <t>Matt.15.13</t>
  </si>
  <si>
    <t>Matt.15.14</t>
  </si>
  <si>
    <t>οδαγοι</t>
  </si>
  <si>
    <t>οδηγοι</t>
  </si>
  <si>
    <t>Matt.15.15</t>
  </si>
  <si>
    <t>Matt.15.17</t>
  </si>
  <si>
    <t>κοιλειαν</t>
  </si>
  <si>
    <t>κοιλιαν</t>
  </si>
  <si>
    <t>Matt.15.18</t>
  </si>
  <si>
    <t>κοινωνοι</t>
  </si>
  <si>
    <t>Matt.15.19</t>
  </si>
  <si>
    <t>μοιχιαι</t>
  </si>
  <si>
    <t>μοιχειαι</t>
  </si>
  <si>
    <t>Matt.15.20</t>
  </si>
  <si>
    <t>ανειπτοις</t>
  </si>
  <si>
    <t>ανιπτοις</t>
  </si>
  <si>
    <t>Matt.15.22</t>
  </si>
  <si>
    <t>εκειων</t>
  </si>
  <si>
    <t>Matt.15.27</t>
  </si>
  <si>
    <t>ψειχων</t>
  </si>
  <si>
    <t>ψειχιων</t>
  </si>
  <si>
    <t>Matt.15.28</t>
  </si>
  <si>
    <t>γενηθητω</t>
  </si>
  <si>
    <t>γεννηθητω</t>
  </si>
  <si>
    <t>Matt.15.29</t>
  </si>
  <si>
    <t>Matt.15.30</t>
  </si>
  <si>
    <t>εριψαν</t>
  </si>
  <si>
    <t>ερριψαν</t>
  </si>
  <si>
    <t>Matt.15.31</t>
  </si>
  <si>
    <t>Matt.15.32</t>
  </si>
  <si>
    <t>Matt.15.34</t>
  </si>
  <si>
    <t>ιχθυδια</t>
  </si>
  <si>
    <t>ιχθεουδια</t>
  </si>
  <si>
    <t>Matt.15.35</t>
  </si>
  <si>
    <t>παρανγειλας</t>
  </si>
  <si>
    <t>παραγγειλας</t>
  </si>
  <si>
    <t>αναπεσιν</t>
  </si>
  <si>
    <t>αναπεσειν</t>
  </si>
  <si>
    <t>Matt.15.36</t>
  </si>
  <si>
    <t>Matt.15.37</t>
  </si>
  <si>
    <t>Matt.15.39</t>
  </si>
  <si>
    <t>ενβαινει</t>
  </si>
  <si>
    <t>εμβαινει</t>
  </si>
  <si>
    <t>Matt.16.2</t>
  </si>
  <si>
    <t>ευδεια</t>
  </si>
  <si>
    <t>ευδια</t>
  </si>
  <si>
    <t>Matt.16.3</t>
  </si>
  <si>
    <t>σημια</t>
  </si>
  <si>
    <t>σημεια</t>
  </si>
  <si>
    <t>Matt.16.4</t>
  </si>
  <si>
    <t>Matt.16.7</t>
  </si>
  <si>
    <t>Matt.16.9</t>
  </si>
  <si>
    <t>ουδε</t>
  </si>
  <si>
    <t>ουτε</t>
  </si>
  <si>
    <t>πεντακισχιλειοις</t>
  </si>
  <si>
    <t>πεντακισχιλιοις</t>
  </si>
  <si>
    <t>Matt.16.11</t>
  </si>
  <si>
    <t>Matt.16.12</t>
  </si>
  <si>
    <t>Matt.16.13</t>
  </si>
  <si>
    <t>καισαριας</t>
  </si>
  <si>
    <t>καισαρδας</t>
  </si>
  <si>
    <t>Matt.16.14</t>
  </si>
  <si>
    <t>ιωαννην</t>
  </si>
  <si>
    <t>ιωανην</t>
  </si>
  <si>
    <t>ιηρεμειαν</t>
  </si>
  <si>
    <t>ιερεμειαν</t>
  </si>
  <si>
    <t>Matt.16.16</t>
  </si>
  <si>
    <t>πετρος</t>
  </si>
  <si>
    <t>Matt.16.17</t>
  </si>
  <si>
    <t>Matt.16.18</t>
  </si>
  <si>
    <t>Matt.16.19</t>
  </si>
  <si>
    <t>Matt.16.20</t>
  </si>
  <si>
    <t>επετειμησεν</t>
  </si>
  <si>
    <t>επετιμησεν</t>
  </si>
  <si>
    <t>Matt.16.21</t>
  </si>
  <si>
    <t>αρχειεραιων</t>
  </si>
  <si>
    <t>αρχιεραιων</t>
  </si>
  <si>
    <t>Matt.16.22</t>
  </si>
  <si>
    <t>επειτειμαν</t>
  </si>
  <si>
    <t>επιτειμαν</t>
  </si>
  <si>
    <t>ειλεος</t>
  </si>
  <si>
    <t>Matt.16.23</t>
  </si>
  <si>
    <t>Matt.16.24</t>
  </si>
  <si>
    <t>Matt.16.25</t>
  </si>
  <si>
    <t>θελη</t>
  </si>
  <si>
    <t>θελει</t>
  </si>
  <si>
    <t>απολεσει</t>
  </si>
  <si>
    <t>απολεση</t>
  </si>
  <si>
    <t>Matt.16.27</t>
  </si>
  <si>
    <t>Matt.16.28</t>
  </si>
  <si>
    <t>Matt.17.1</t>
  </si>
  <si>
    <t>Matt.17.2</t>
  </si>
  <si>
    <t>ιματεια</t>
  </si>
  <si>
    <t>Matt.17.3</t>
  </si>
  <si>
    <t>Matt.17.4</t>
  </si>
  <si>
    <t>Matt.17.5</t>
  </si>
  <si>
    <t>επεσκιαζεν</t>
  </si>
  <si>
    <t>ηυδοκησα</t>
  </si>
  <si>
    <t>ευδοκησα</t>
  </si>
  <si>
    <t>Matt.17.8</t>
  </si>
  <si>
    <t>επεροντες</t>
  </si>
  <si>
    <t>ειδον</t>
  </si>
  <si>
    <t>Matt.17.10</t>
  </si>
  <si>
    <t>επηρωτησαν</t>
  </si>
  <si>
    <t>επερωτησαν</t>
  </si>
  <si>
    <t>Matt.17.11</t>
  </si>
  <si>
    <t>αποκαταστησαι</t>
  </si>
  <si>
    <t>αποκαταστησει</t>
  </si>
  <si>
    <t>Matt.17.12</t>
  </si>
  <si>
    <t>Matt.17.13</t>
  </si>
  <si>
    <t>πασχιν</t>
  </si>
  <si>
    <t>πασχειν</t>
  </si>
  <si>
    <t>Matt.17.15</t>
  </si>
  <si>
    <t>Matt.17.18</t>
  </si>
  <si>
    <t>εθαραπευθη</t>
  </si>
  <si>
    <t>εθεραπευθη</t>
  </si>
  <si>
    <t>Matt.17.19</t>
  </si>
  <si>
    <t>Matt.17.20</t>
  </si>
  <si>
    <t>μεταβηθει</t>
  </si>
  <si>
    <t>μεταβηθι</t>
  </si>
  <si>
    <t>Matt.17.22</t>
  </si>
  <si>
    <t>γαλειλαια</t>
  </si>
  <si>
    <t>γαλιλαια</t>
  </si>
  <si>
    <t>Matt.17.23</t>
  </si>
  <si>
    <t>αποκτεινουσιν</t>
  </si>
  <si>
    <t>αποκτενουσιν</t>
  </si>
  <si>
    <t>Matt.17.24</t>
  </si>
  <si>
    <t>διδραγματα</t>
  </si>
  <si>
    <t>διδραχματα</t>
  </si>
  <si>
    <t>Matt.17.25</t>
  </si>
  <si>
    <t>Matt.17.27</t>
  </si>
  <si>
    <t>ανκιστρον</t>
  </si>
  <si>
    <t>αγκιστρον</t>
  </si>
  <si>
    <t>Matt.18.1</t>
  </si>
  <si>
    <t>Matt.18.3</t>
  </si>
  <si>
    <t>Matt.18.4</t>
  </si>
  <si>
    <t>τη</t>
  </si>
  <si>
    <t>βασειλεια</t>
  </si>
  <si>
    <t>Matt.18.6</t>
  </si>
  <si>
    <t>σκανδαλιση</t>
  </si>
  <si>
    <t>μεικρων</t>
  </si>
  <si>
    <t>μικρων</t>
  </si>
  <si>
    <t>Matt.18.7</t>
  </si>
  <si>
    <t>Matt.18.8</t>
  </si>
  <si>
    <t>εκκοψον</t>
  </si>
  <si>
    <t>εκοψον</t>
  </si>
  <si>
    <t>ειελθειν</t>
  </si>
  <si>
    <t>Matt.18.9</t>
  </si>
  <si>
    <t>σκανδαλιζη</t>
  </si>
  <si>
    <t>Matt.18.10</t>
  </si>
  <si>
    <t>απολωλος</t>
  </si>
  <si>
    <t>Matt.18.12</t>
  </si>
  <si>
    <t>εννενηκονταεννεα</t>
  </si>
  <si>
    <t>πλανωμενον</t>
  </si>
  <si>
    <t>πλανομενον</t>
  </si>
  <si>
    <t>Matt.18.14</t>
  </si>
  <si>
    <t>Matt.18.15</t>
  </si>
  <si>
    <t>εκερδησες</t>
  </si>
  <si>
    <t>εκερδησας</t>
  </si>
  <si>
    <t>Matt.18.17</t>
  </si>
  <si>
    <t>Matt.18.18</t>
  </si>
  <si>
    <t>Matt.18.19</t>
  </si>
  <si>
    <t>Matt.18.20</t>
  </si>
  <si>
    <t>Matt.18.21</t>
  </si>
  <si>
    <t>Matt.18.22</t>
  </si>
  <si>
    <t>Matt.18.23</t>
  </si>
  <si>
    <t>Matt.18.25</t>
  </si>
  <si>
    <t>δουναι</t>
  </si>
  <si>
    <t>Matt.18.26</t>
  </si>
  <si>
    <t>μακροθυμησον</t>
  </si>
  <si>
    <t>μακροθεουμησον</t>
  </si>
  <si>
    <t>Matt.18.27</t>
  </si>
  <si>
    <t>σπλανχνισθεις</t>
  </si>
  <si>
    <t>σπλαγχνισθεις</t>
  </si>
  <si>
    <t>δανιον</t>
  </si>
  <si>
    <t>δανειον</t>
  </si>
  <si>
    <t>Matt.18.28</t>
  </si>
  <si>
    <t>επνειγεν</t>
  </si>
  <si>
    <t>επνιγεν</t>
  </si>
  <si>
    <t>Matt.18.29</t>
  </si>
  <si>
    <t>Matt.18.31</t>
  </si>
  <si>
    <t>γεινομενα</t>
  </si>
  <si>
    <t>γενομενα</t>
  </si>
  <si>
    <t>Matt.18.32</t>
  </si>
  <si>
    <t>Matt.18.35</t>
  </si>
  <si>
    <t>Matt.19.1</t>
  </si>
  <si>
    <t>γαλειλαιας</t>
  </si>
  <si>
    <t>γαλιλειας</t>
  </si>
  <si>
    <t>Matt.19.3</t>
  </si>
  <si>
    <t>Matt.19.4</t>
  </si>
  <si>
    <t>Matt.19.5</t>
  </si>
  <si>
    <t>Matt.19.6</t>
  </si>
  <si>
    <t>δυο</t>
  </si>
  <si>
    <t>Matt.19.7</t>
  </si>
  <si>
    <t>Matt.19.8</t>
  </si>
  <si>
    <t>γυναικος</t>
  </si>
  <si>
    <t>Matt.19.12</t>
  </si>
  <si>
    <t>ανθρωπων</t>
  </si>
  <si>
    <t>Matt.19.13</t>
  </si>
  <si>
    <t>επετειμησαν</t>
  </si>
  <si>
    <t>επετιμησαν</t>
  </si>
  <si>
    <t>Matt.19.18</t>
  </si>
  <si>
    <t>Matt.19.19</t>
  </si>
  <si>
    <t>Matt.19.21</t>
  </si>
  <si>
    <t>Matt.19.22</t>
  </si>
  <si>
    <t>Matt.19.23</t>
  </si>
  <si>
    <t>Matt.19.24</t>
  </si>
  <si>
    <t>Matt.19.26</t>
  </si>
  <si>
    <t>ενβλεψας</t>
  </si>
  <si>
    <t>εμβλεψας</t>
  </si>
  <si>
    <t>Matt.19.27</t>
  </si>
  <si>
    <t>ηκολουθηκαμεν</t>
  </si>
  <si>
    <t>Matt.19.28</t>
  </si>
  <si>
    <t>παλινγενεσεια</t>
  </si>
  <si>
    <t>παλιγγενεσεια</t>
  </si>
  <si>
    <t>καθισεσθε</t>
  </si>
  <si>
    <t>Matt.19.29</t>
  </si>
  <si>
    <t>Matt.20.1</t>
  </si>
  <si>
    <t>μεισθωσασθαι</t>
  </si>
  <si>
    <t>μισθωσασθαι</t>
  </si>
  <si>
    <t>Matt.20.3</t>
  </si>
  <si>
    <t>Matt.20.4</t>
  </si>
  <si>
    <t>υπαγεται</t>
  </si>
  <si>
    <t>αμπελωνα</t>
  </si>
  <si>
    <t>Matt.20.5</t>
  </si>
  <si>
    <t>ενδεκατην</t>
  </si>
  <si>
    <t>Matt.20.7</t>
  </si>
  <si>
    <t>εμεισθωσατο</t>
  </si>
  <si>
    <t>Matt.20.8</t>
  </si>
  <si>
    <t>Matt.20.10</t>
  </si>
  <si>
    <t>Matt.20.11</t>
  </si>
  <si>
    <t>εγονγυσαν</t>
  </si>
  <si>
    <t>εγογγυζον</t>
  </si>
  <si>
    <t>Matt.20.13</t>
  </si>
  <si>
    <t>αποκρειθις</t>
  </si>
  <si>
    <t>Matt.20.15</t>
  </si>
  <si>
    <t>Matt.20.16</t>
  </si>
  <si>
    <t>Matt.20.17</t>
  </si>
  <si>
    <t>Matt.20.18</t>
  </si>
  <si>
    <t>κατακρεινουσιν</t>
  </si>
  <si>
    <t>Matt.20.19</t>
  </si>
  <si>
    <t>μαστειγωσαι</t>
  </si>
  <si>
    <t>μαστιγωσαι</t>
  </si>
  <si>
    <t>Matt.20.22</t>
  </si>
  <si>
    <t>Matt.20.23</t>
  </si>
  <si>
    <t>ητοιμασται</t>
  </si>
  <si>
    <t>Matt.20.26</t>
  </si>
  <si>
    <t>Matt.20.27</t>
  </si>
  <si>
    <t>Matt.20.28</t>
  </si>
  <si>
    <t>ζητειτε</t>
  </si>
  <si>
    <t>ανακλεινεσθαι</t>
  </si>
  <si>
    <t>ανακλινεσθαι</t>
  </si>
  <si>
    <t>Matt.20.30</t>
  </si>
  <si>
    <t>Matt.20.31</t>
  </si>
  <si>
    <t>Matt.20.33</t>
  </si>
  <si>
    <t>Matt.20.34</t>
  </si>
  <si>
    <t>Matt.21.1</t>
  </si>
  <si>
    <t>βηθφαγε</t>
  </si>
  <si>
    <t>Matt.21.2</t>
  </si>
  <si>
    <t>Matt.21.3</t>
  </si>
  <si>
    <t>Matt.21.5</t>
  </si>
  <si>
    <t>θυγατρι</t>
  </si>
  <si>
    <t>θεουγατρι</t>
  </si>
  <si>
    <t>επιβεβηκως</t>
  </si>
  <si>
    <t>επιβεβηκαις</t>
  </si>
  <si>
    <t>Matt.21.7</t>
  </si>
  <si>
    <t>Matt.21.9</t>
  </si>
  <si>
    <t>εκραζαν</t>
  </si>
  <si>
    <t>εκραζον</t>
  </si>
  <si>
    <t>Matt.21.11</t>
  </si>
  <si>
    <t>Matt.21.12</t>
  </si>
  <si>
    <t>περιστερας</t>
  </si>
  <si>
    <t>Matt.21.13</t>
  </si>
  <si>
    <t>Matt.21.15</t>
  </si>
  <si>
    <t>Matt.21.16</t>
  </si>
  <si>
    <t>καταρτεισω</t>
  </si>
  <si>
    <t>κατηρτισω</t>
  </si>
  <si>
    <t>Matt.21.17</t>
  </si>
  <si>
    <t>καταλειπων</t>
  </si>
  <si>
    <t>καταλιπων</t>
  </si>
  <si>
    <t>Matt.21.19</t>
  </si>
  <si>
    <t>εξηρανθη</t>
  </si>
  <si>
    <t>εξαρανθη</t>
  </si>
  <si>
    <t>Matt.21.20</t>
  </si>
  <si>
    <t>Matt.21.21</t>
  </si>
  <si>
    <t>αποκρεις</t>
  </si>
  <si>
    <t>Matt.21.22</t>
  </si>
  <si>
    <t>λημψεσθαι</t>
  </si>
  <si>
    <t>ληψεσθαι</t>
  </si>
  <si>
    <t>Matt.21.24</t>
  </si>
  <si>
    <t>εξουσια</t>
  </si>
  <si>
    <t>εξουσεια</t>
  </si>
  <si>
    <t>Matt.21.25</t>
  </si>
  <si>
    <t>Matt.21.27</t>
  </si>
  <si>
    <t>αποκρειθεντες</t>
  </si>
  <si>
    <t>αποκριθεντες</t>
  </si>
  <si>
    <t>Matt.21.28</t>
  </si>
  <si>
    <t>Matt.21.29</t>
  </si>
  <si>
    <t>Matt.21.30</t>
  </si>
  <si>
    <t>Matt.21.31</t>
  </si>
  <si>
    <t>δυω</t>
  </si>
  <si>
    <t>Matt.21.32</t>
  </si>
  <si>
    <t>Matt.21.33</t>
  </si>
  <si>
    <t>Matt.21.35</t>
  </si>
  <si>
    <t>ελειθοβολησαν</t>
  </si>
  <si>
    <t>ελιθοβολησαν</t>
  </si>
  <si>
    <t>Matt.21.37</t>
  </si>
  <si>
    <t>εντραπησοντε</t>
  </si>
  <si>
    <t>εντραπησονται</t>
  </si>
  <si>
    <t>Matt.21.39</t>
  </si>
  <si>
    <t>εξεβαλαν</t>
  </si>
  <si>
    <t>εξεβαλον</t>
  </si>
  <si>
    <t>Matt.21.41</t>
  </si>
  <si>
    <t>εκδωσεται</t>
  </si>
  <si>
    <t>εκδοσεται</t>
  </si>
  <si>
    <t>Matt.21.42</t>
  </si>
  <si>
    <t>απεδοκειμασαν</t>
  </si>
  <si>
    <t>απεδοκιμασαν</t>
  </si>
  <si>
    <t>Matt.21.46</t>
  </si>
  <si>
    <t>προφην</t>
  </si>
  <si>
    <t>Matt.22.4</t>
  </si>
  <si>
    <t>ητοιμακα</t>
  </si>
  <si>
    <t>ητοιμασα</t>
  </si>
  <si>
    <t>σειτιστα</t>
  </si>
  <si>
    <t>σιτιστα</t>
  </si>
  <si>
    <t>τεθυμενα</t>
  </si>
  <si>
    <t>τεθεουμενα</t>
  </si>
  <si>
    <t>Matt.22.5</t>
  </si>
  <si>
    <t>Matt.22.12</t>
  </si>
  <si>
    <t>Matt.22.15</t>
  </si>
  <si>
    <t>Matt.22.16</t>
  </si>
  <si>
    <t>Matt.22.20</t>
  </si>
  <si>
    <t>Matt.22.22</t>
  </si>
  <si>
    <t>απηλθαν</t>
  </si>
  <si>
    <t>απηλθον</t>
  </si>
  <si>
    <t>Matt.22.25</t>
  </si>
  <si>
    <t>Matt.22.28</t>
  </si>
  <si>
    <t>Matt.22.29</t>
  </si>
  <si>
    <t>Matt.22.30</t>
  </si>
  <si>
    <t>γαμειζονται</t>
  </si>
  <si>
    <t>γαμιζονται</t>
  </si>
  <si>
    <t>Matt.22.32</t>
  </si>
  <si>
    <t>ισακ·</t>
  </si>
  <si>
    <t>Matt.22.34</t>
  </si>
  <si>
    <t>Matt.22.36</t>
  </si>
  <si>
    <t>Matt.22.37</t>
  </si>
  <si>
    <t>καρδεια</t>
  </si>
  <si>
    <t>Matt.22.39</t>
  </si>
  <si>
    <t>Matt.22.42</t>
  </si>
  <si>
    <t>Matt.22.43</t>
  </si>
  <si>
    <t>Matt.22.44</t>
  </si>
  <si>
    <t>εκθρους</t>
  </si>
  <si>
    <t>εχθρους</t>
  </si>
  <si>
    <t>Matt.22.45</t>
  </si>
  <si>
    <t>Matt.22.46</t>
  </si>
  <si>
    <t>αποκρειθηναι</t>
  </si>
  <si>
    <t>αποκριθηναι</t>
  </si>
  <si>
    <t>Matt.23.1</t>
  </si>
  <si>
    <t>γραμματεις</t>
  </si>
  <si>
    <t>Matt.23.3</t>
  </si>
  <si>
    <t>Matt.23.4</t>
  </si>
  <si>
    <t>Matt.23.6</t>
  </si>
  <si>
    <t>Matt.23.7</t>
  </si>
  <si>
    <t>ραββει</t>
  </si>
  <si>
    <t>Matt.23.9</t>
  </si>
  <si>
    <t>Matt.23.13</t>
  </si>
  <si>
    <t>αφειεται</t>
  </si>
  <si>
    <t>αφιεται</t>
  </si>
  <si>
    <t>Matt.23.16</t>
  </si>
  <si>
    <t>Matt.23.17</t>
  </si>
  <si>
    <t>Matt.23.19</t>
  </si>
  <si>
    <t>Matt.23.21</t>
  </si>
  <si>
    <t>ομνυει</t>
  </si>
  <si>
    <t>ομνευει</t>
  </si>
  <si>
    <t>Matt.23.22</t>
  </si>
  <si>
    <t>Matt.23.23</t>
  </si>
  <si>
    <t>αφιεναι</t>
  </si>
  <si>
    <t>Matt.23.24</t>
  </si>
  <si>
    <t>καταπεινοντες</t>
  </si>
  <si>
    <t>καταπινοντες</t>
  </si>
  <si>
    <t>Matt.23.25</t>
  </si>
  <si>
    <t>ακρασειας</t>
  </si>
  <si>
    <t>ακρασιας</t>
  </si>
  <si>
    <t>Matt.23.27</t>
  </si>
  <si>
    <t>γεμι</t>
  </si>
  <si>
    <t>γεμει</t>
  </si>
  <si>
    <t>Matt.23.28</t>
  </si>
  <si>
    <t>ημεραις</t>
  </si>
  <si>
    <t>Matt.23.32</t>
  </si>
  <si>
    <t>Matt.23.33</t>
  </si>
  <si>
    <t>εχιδνων</t>
  </si>
  <si>
    <t>εχνιδων</t>
  </si>
  <si>
    <t>φυγηται</t>
  </si>
  <si>
    <t>Matt.23.34</t>
  </si>
  <si>
    <t>αποκτεινειτε</t>
  </si>
  <si>
    <t>αποκτενειτε</t>
  </si>
  <si>
    <t>Matt.23.35</t>
  </si>
  <si>
    <t>εχχυννομενον</t>
  </si>
  <si>
    <t>εκχυνομενον</t>
  </si>
  <si>
    <t>βαραχειου</t>
  </si>
  <si>
    <t>βαραχιου</t>
  </si>
  <si>
    <t>Matt.23.36</t>
  </si>
  <si>
    <t>γενεαν</t>
  </si>
  <si>
    <t>γενεεαν</t>
  </si>
  <si>
    <t>Matt.23.37</t>
  </si>
  <si>
    <t>ιερουσαλημ</t>
  </si>
  <si>
    <t>Matt.23.38</t>
  </si>
  <si>
    <t>Matt.23.39</t>
  </si>
  <si>
    <t>Matt.24.2</t>
  </si>
  <si>
    <t>Matt.24.3</t>
  </si>
  <si>
    <t>Matt.24.6</t>
  </si>
  <si>
    <t>μελλεται</t>
  </si>
  <si>
    <t>μελλετε</t>
  </si>
  <si>
    <t>γενεσθαι</t>
  </si>
  <si>
    <t>Matt.24.8</t>
  </si>
  <si>
    <t>Matt.24.9</t>
  </si>
  <si>
    <t>θλειψειν</t>
  </si>
  <si>
    <t>θλιψιν</t>
  </si>
  <si>
    <t>Matt.24.10</t>
  </si>
  <si>
    <t>μεισησουσιν</t>
  </si>
  <si>
    <t>μισησουσιν</t>
  </si>
  <si>
    <t>Matt.24.15</t>
  </si>
  <si>
    <t>βδελυγμα</t>
  </si>
  <si>
    <t>βλεδυγμα</t>
  </si>
  <si>
    <t>αγιω</t>
  </si>
  <si>
    <t>Matt.24.17</t>
  </si>
  <si>
    <t>οικειας</t>
  </si>
  <si>
    <t>Matt.24.21</t>
  </si>
  <si>
    <t>θλειψις</t>
  </si>
  <si>
    <t>θλιψις</t>
  </si>
  <si>
    <t>εγενετο</t>
  </si>
  <si>
    <t>Matt.24.24</t>
  </si>
  <si>
    <t>ψευδοχρειστοι</t>
  </si>
  <si>
    <t>ψευδοχριστοι</t>
  </si>
  <si>
    <t>Matt.24.27</t>
  </si>
  <si>
    <t>παρουσεια</t>
  </si>
  <si>
    <t>παρουσια</t>
  </si>
  <si>
    <t>Matt.24.29</t>
  </si>
  <si>
    <t>θλειψιν</t>
  </si>
  <si>
    <t>εκεινων</t>
  </si>
  <si>
    <t>Matt.24.30</t>
  </si>
  <si>
    <t>Matt.24.31</t>
  </si>
  <si>
    <t>Matt.24.32</t>
  </si>
  <si>
    <t>ενγυς</t>
  </si>
  <si>
    <t>εγγυς</t>
  </si>
  <si>
    <t>Matt.24.33</t>
  </si>
  <si>
    <t>θυραις</t>
  </si>
  <si>
    <t>θεουραις</t>
  </si>
  <si>
    <t>Matt.24.35</t>
  </si>
  <si>
    <t>παρελευσεται</t>
  </si>
  <si>
    <t>παρελευσονται</t>
  </si>
  <si>
    <t>Matt.24.36</t>
  </si>
  <si>
    <t>Matt.24.38</t>
  </si>
  <si>
    <t>εισηλθεν</t>
  </si>
  <si>
    <t>Matt.24.40</t>
  </si>
  <si>
    <t>Matt.24.43</t>
  </si>
  <si>
    <t>γεινωσκετε</t>
  </si>
  <si>
    <t>Matt.24.44</t>
  </si>
  <si>
    <t>Matt.24.45</t>
  </si>
  <si>
    <t>Matt.24.48</t>
  </si>
  <si>
    <t>χρονιζι</t>
  </si>
  <si>
    <t>χρονιζει</t>
  </si>
  <si>
    <t>Matt.24.49</t>
  </si>
  <si>
    <t>Matt.24.50</t>
  </si>
  <si>
    <t>Matt.25.1</t>
  </si>
  <si>
    <t>Matt.25.6</t>
  </si>
  <si>
    <t>εξερχεται</t>
  </si>
  <si>
    <t>Matt.25.7</t>
  </si>
  <si>
    <t>Matt.25.8</t>
  </si>
  <si>
    <t>ζβεννυνται</t>
  </si>
  <si>
    <t>σβεννυνται</t>
  </si>
  <si>
    <t>Matt.25.9</t>
  </si>
  <si>
    <t>αγορασαται</t>
  </si>
  <si>
    <t>αγοραζεται</t>
  </si>
  <si>
    <t>Matt.25.10</t>
  </si>
  <si>
    <t>θυρα</t>
  </si>
  <si>
    <t>θεουρα</t>
  </si>
  <si>
    <t>Matt.25.15</t>
  </si>
  <si>
    <t>Matt.25.21</t>
  </si>
  <si>
    <t>Matt.25.22</t>
  </si>
  <si>
    <t>Matt.25.23</t>
  </si>
  <si>
    <t>Matt.25.24</t>
  </si>
  <si>
    <t>Matt.25.26</t>
  </si>
  <si>
    <t>Matt.25.27</t>
  </si>
  <si>
    <t>Matt.25.28</t>
  </si>
  <si>
    <t>αραται</t>
  </si>
  <si>
    <t>αρατε</t>
  </si>
  <si>
    <t>Matt.25.29</t>
  </si>
  <si>
    <t>Matt.25.30</t>
  </si>
  <si>
    <t>Matt.25.33</t>
  </si>
  <si>
    <t>εριφεια</t>
  </si>
  <si>
    <t>εριφαια</t>
  </si>
  <si>
    <t>Matt.25.35</t>
  </si>
  <si>
    <t>εποτεισαται</t>
  </si>
  <si>
    <t>εποτισαται</t>
  </si>
  <si>
    <t>ημην</t>
  </si>
  <si>
    <t>Matt.25.36</t>
  </si>
  <si>
    <t>Matt.25.37</t>
  </si>
  <si>
    <t>δειψωντα</t>
  </si>
  <si>
    <t>διψωντα</t>
  </si>
  <si>
    <t>Matt.25.38</t>
  </si>
  <si>
    <t>Matt.25.39</t>
  </si>
  <si>
    <t>Matt.25.40</t>
  </si>
  <si>
    <t>ερει</t>
  </si>
  <si>
    <t>Matt.25.41</t>
  </si>
  <si>
    <t>ερι</t>
  </si>
  <si>
    <t>Matt.25.44</t>
  </si>
  <si>
    <t>Matt.25.46</t>
  </si>
  <si>
    <t>Matt.26.1</t>
  </si>
  <si>
    <t>Matt.26.2</t>
  </si>
  <si>
    <t>οτε</t>
  </si>
  <si>
    <t>Matt.26.3</t>
  </si>
  <si>
    <t>αρχειερεις</t>
  </si>
  <si>
    <t>αρχιερεις</t>
  </si>
  <si>
    <t>Matt.26.4</t>
  </si>
  <si>
    <t>Matt.26.6</t>
  </si>
  <si>
    <t>Matt.26.7</t>
  </si>
  <si>
    <t>Matt.26.8</t>
  </si>
  <si>
    <t>Matt.26.9</t>
  </si>
  <si>
    <t>Matt.26.12</t>
  </si>
  <si>
    <t>Matt.26.13</t>
  </si>
  <si>
    <t>Matt.26.14</t>
  </si>
  <si>
    <t>Matt.26.15</t>
  </si>
  <si>
    <t>Matt.26.16</t>
  </si>
  <si>
    <t>Matt.26.17</t>
  </si>
  <si>
    <t>ετοιμασομεν</t>
  </si>
  <si>
    <t>ετοιμασωμεν</t>
  </si>
  <si>
    <t>Matt.26.18</t>
  </si>
  <si>
    <t>Matt.26.23</t>
  </si>
  <si>
    <t>Matt.26.24</t>
  </si>
  <si>
    <t>Matt.26.26</t>
  </si>
  <si>
    <t>φαγεται</t>
  </si>
  <si>
    <t>φαγετε</t>
  </si>
  <si>
    <t>Matt.26.27</t>
  </si>
  <si>
    <t>πειεται</t>
  </si>
  <si>
    <t>πιεται</t>
  </si>
  <si>
    <t>Matt.26.28</t>
  </si>
  <si>
    <t>εκχυννομενον</t>
  </si>
  <si>
    <t>Matt.26.29</t>
  </si>
  <si>
    <t>Matt.26.30</t>
  </si>
  <si>
    <t>εισηλθον</t>
  </si>
  <si>
    <t>Matt.26.33</t>
  </si>
  <si>
    <t>Matt.26.34</t>
  </si>
  <si>
    <t>νυκτει</t>
  </si>
  <si>
    <t>νυκτι</t>
  </si>
  <si>
    <t>απαρνηση</t>
  </si>
  <si>
    <t>απαρηση</t>
  </si>
  <si>
    <t>Matt.26.35</t>
  </si>
  <si>
    <t>Matt.26.36</t>
  </si>
  <si>
    <t>γεθσαμανει</t>
  </si>
  <si>
    <t>γεθσημανει</t>
  </si>
  <si>
    <t>προσευξομαι</t>
  </si>
  <si>
    <t>προσευξωμαι</t>
  </si>
  <si>
    <t>Matt.26.39</t>
  </si>
  <si>
    <t>προσελθων</t>
  </si>
  <si>
    <t>προελθων</t>
  </si>
  <si>
    <t>Matt.26.40</t>
  </si>
  <si>
    <t>Matt.26.42</t>
  </si>
  <si>
    <t>Matt.26.45</t>
  </si>
  <si>
    <t>ερχεται</t>
  </si>
  <si>
    <t>αναπαυεσθαι</t>
  </si>
  <si>
    <t>Matt.26.47</t>
  </si>
  <si>
    <t>Matt.26.50</t>
  </si>
  <si>
    <t>Matt.26.51</t>
  </si>
  <si>
    <t>Matt.26.53</t>
  </si>
  <si>
    <t>Matt.26.54</t>
  </si>
  <si>
    <t>Matt.26.57</t>
  </si>
  <si>
    <t>καειφαν</t>
  </si>
  <si>
    <t>καειαφαν</t>
  </si>
  <si>
    <t>Matt.26.58</t>
  </si>
  <si>
    <t>υπηρετων</t>
  </si>
  <si>
    <t>Matt.26.60</t>
  </si>
  <si>
    <t>Matt.26.61</t>
  </si>
  <si>
    <t>ειπον</t>
  </si>
  <si>
    <t>Matt.26.63</t>
  </si>
  <si>
    <t>οψεσθαι</t>
  </si>
  <si>
    <t>Matt.26.65</t>
  </si>
  <si>
    <t>Matt.26.67</t>
  </si>
  <si>
    <t>Matt.26.69</t>
  </si>
  <si>
    <t>γαλειλαιου</t>
  </si>
  <si>
    <t>γαλιλαιου</t>
  </si>
  <si>
    <t>Matt.26.73</t>
  </si>
  <si>
    <t>ομοιαζει</t>
  </si>
  <si>
    <t>ομοιασει</t>
  </si>
  <si>
    <t>Matt.26.74</t>
  </si>
  <si>
    <t>Matt.26.75</t>
  </si>
  <si>
    <t>Matt.27.1</t>
  </si>
  <si>
    <t>Matt.27.13</t>
  </si>
  <si>
    <t>πιλατος</t>
  </si>
  <si>
    <t>Matt.27.14</t>
  </si>
  <si>
    <t>Matt.27.16</t>
  </si>
  <si>
    <t>Matt.27.17</t>
  </si>
  <si>
    <t>Matt.27.20</t>
  </si>
  <si>
    <t>Matt.27.21</t>
  </si>
  <si>
    <t>ειπαν</t>
  </si>
  <si>
    <t>Matt.27.22</t>
  </si>
  <si>
    <t>Matt.27.23</t>
  </si>
  <si>
    <t>εκραξαν</t>
  </si>
  <si>
    <t>Matt.27.24</t>
  </si>
  <si>
    <t>Matt.27.26</t>
  </si>
  <si>
    <t>φλαγελλωσας</t>
  </si>
  <si>
    <t>Matt.27.27</t>
  </si>
  <si>
    <t>Matt.27.28</t>
  </si>
  <si>
    <t>Matt.27.29</t>
  </si>
  <si>
    <t>ενεπεξαν</t>
  </si>
  <si>
    <t>ενεπειξον</t>
  </si>
  <si>
    <t>Matt.27.32</t>
  </si>
  <si>
    <t>ηνγαρευσαν</t>
  </si>
  <si>
    <t>ηγγαρευσαν</t>
  </si>
  <si>
    <t>Matt.27.33</t>
  </si>
  <si>
    <t>γολγοθα</t>
  </si>
  <si>
    <t>γολγαθα</t>
  </si>
  <si>
    <t>Matt.27.34</t>
  </si>
  <si>
    <t>πειν</t>
  </si>
  <si>
    <t>πιειν</t>
  </si>
  <si>
    <t>μεμειγμενον</t>
  </si>
  <si>
    <t>μεμιγμενον</t>
  </si>
  <si>
    <t>Matt.27.35</t>
  </si>
  <si>
    <t>βαλοντες</t>
  </si>
  <si>
    <t>βαλλοντες</t>
  </si>
  <si>
    <t>Matt.27.37</t>
  </si>
  <si>
    <t>αιτειαν</t>
  </si>
  <si>
    <t>αιτιαν</t>
  </si>
  <si>
    <t>Matt.27.40</t>
  </si>
  <si>
    <t>Matt.27.41</t>
  </si>
  <si>
    <t>Matt.27.42</t>
  </si>
  <si>
    <t>Matt.27.44</t>
  </si>
  <si>
    <t>Matt.27.46</t>
  </si>
  <si>
    <t>ζαφθανει</t>
  </si>
  <si>
    <t>ελεγον</t>
  </si>
  <si>
    <t>Matt.27.48</t>
  </si>
  <si>
    <t>σπονγον</t>
  </si>
  <si>
    <t>σπογγον</t>
  </si>
  <si>
    <t>Matt.27.53</t>
  </si>
  <si>
    <t>Matt.27.54</t>
  </si>
  <si>
    <t>Matt.27.55</t>
  </si>
  <si>
    <t>Matt.27.56</t>
  </si>
  <si>
    <t>Matt.27.57</t>
  </si>
  <si>
    <t>εμαθητευθη</t>
  </si>
  <si>
    <t>εμαθετευθη</t>
  </si>
  <si>
    <t>Matt.27.58</t>
  </si>
  <si>
    <t>πειλατος</t>
  </si>
  <si>
    <t>Matt.27.59</t>
  </si>
  <si>
    <t>Matt.27.60</t>
  </si>
  <si>
    <t>μνημιω</t>
  </si>
  <si>
    <t>μνημειω</t>
  </si>
  <si>
    <t>προσκυλισασλισας</t>
  </si>
  <si>
    <t>Matt.27.61</t>
  </si>
  <si>
    <t>Matt.27.62</t>
  </si>
  <si>
    <t>συνηχθησαν</t>
  </si>
  <si>
    <t>συνχθησαν</t>
  </si>
  <si>
    <t>Matt.27.64</t>
  </si>
  <si>
    <t>χειρων</t>
  </si>
  <si>
    <t>Matt.27.65</t>
  </si>
  <si>
    <t>Matt.27.66</t>
  </si>
  <si>
    <t>Matt.28.1</t>
  </si>
  <si>
    <t>Matt.28.2</t>
  </si>
  <si>
    <t>Matt.28.3</t>
  </si>
  <si>
    <t>Matt.28.4</t>
  </si>
  <si>
    <t>εγενηθησαν</t>
  </si>
  <si>
    <t>εγενεθησαν</t>
  </si>
  <si>
    <t>Matt.28.7</t>
  </si>
  <si>
    <t>Matt.28.9</t>
  </si>
  <si>
    <t>Matt.28.10</t>
  </si>
  <si>
    <t>υπαγετε</t>
  </si>
  <si>
    <t>αρχιερευσιν</t>
  </si>
  <si>
    <t>Matt.28.12</t>
  </si>
  <si>
    <t>Matt.28.14</t>
  </si>
  <si>
    <t>Matt.28.15</t>
  </si>
  <si>
    <t>ιουδαιοις</t>
  </si>
  <si>
    <t>Matt.28.16</t>
  </si>
  <si>
    <t>Matt.28.18</t>
  </si>
  <si>
    <t>Matt.28.19</t>
  </si>
  <si>
    <t>βαπτισαντες</t>
  </si>
  <si>
    <t>βαπτιζοντες</t>
  </si>
  <si>
    <t>γεγραπται</t>
  </si>
  <si>
    <t>αποστελλω</t>
  </si>
  <si>
    <t>Mark.1.3</t>
  </si>
  <si>
    <t>Mark.1.4</t>
  </si>
  <si>
    <t>κηρυσσων</t>
  </si>
  <si>
    <t>κηρυσσον</t>
  </si>
  <si>
    <t>Mark.1.5</t>
  </si>
  <si>
    <t>Mark.1.6</t>
  </si>
  <si>
    <t>καμελου</t>
  </si>
  <si>
    <t>Mark.1.7</t>
  </si>
  <si>
    <t>Mark.1.8</t>
  </si>
  <si>
    <t>αγειω</t>
  </si>
  <si>
    <t>Mark.1.9</t>
  </si>
  <si>
    <t>Mark.1.10</t>
  </si>
  <si>
    <t>Mark.1.11</t>
  </si>
  <si>
    <t>Mark.1.14</t>
  </si>
  <si>
    <t>Mark.1.15</t>
  </si>
  <si>
    <t>πεπληρωνται</t>
  </si>
  <si>
    <t>πεπληρωται</t>
  </si>
  <si>
    <t>Mark.1.16</t>
  </si>
  <si>
    <t>Mark.1.17</t>
  </si>
  <si>
    <t>Mark.1.19</t>
  </si>
  <si>
    <t>προσβας</t>
  </si>
  <si>
    <t>Mark.1.20</t>
  </si>
  <si>
    <t>Mark.1.21</t>
  </si>
  <si>
    <t>εισεπορευοντο</t>
  </si>
  <si>
    <t>εισπορευοντο</t>
  </si>
  <si>
    <t>Mark.1.22</t>
  </si>
  <si>
    <t>Mark.1.24</t>
  </si>
  <si>
    <t>Mark.1.25</t>
  </si>
  <si>
    <t>Mark.1.26</t>
  </si>
  <si>
    <t>Mark.1.27</t>
  </si>
  <si>
    <t>Mark.1.29</t>
  </si>
  <si>
    <t>ιωανου</t>
  </si>
  <si>
    <t>Mark.1.31</t>
  </si>
  <si>
    <t>Mark.1.34</t>
  </si>
  <si>
    <t>ηιδισαν</t>
  </si>
  <si>
    <t>Mark.1.35</t>
  </si>
  <si>
    <t>προσηυχοτο</t>
  </si>
  <si>
    <t>προσηυχετο</t>
  </si>
  <si>
    <t>Mark.1.36</t>
  </si>
  <si>
    <t>Mark.1.37</t>
  </si>
  <si>
    <t>Mark.1.38</t>
  </si>
  <si>
    <t>Mark.1.39</t>
  </si>
  <si>
    <t>γαλειλαιαν·</t>
  </si>
  <si>
    <t>γαλιλαιαν</t>
  </si>
  <si>
    <t>Mark.1.40</t>
  </si>
  <si>
    <t>Mark.1.43</t>
  </si>
  <si>
    <t>ενεβρισαμενος</t>
  </si>
  <si>
    <t>ενβρισαμενος</t>
  </si>
  <si>
    <t>Mark.1.44</t>
  </si>
  <si>
    <t>προσενεγκε</t>
  </si>
  <si>
    <t>Mark.1.45</t>
  </si>
  <si>
    <t>διαφημειζειν</t>
  </si>
  <si>
    <t>διαφημιζειν</t>
  </si>
  <si>
    <t>παντοθεν·</t>
  </si>
  <si>
    <t>πανταχοθεν</t>
  </si>
  <si>
    <t>Mark.2.2</t>
  </si>
  <si>
    <t>συνηκθησαν</t>
  </si>
  <si>
    <t>Mark.2.4</t>
  </si>
  <si>
    <t>κραβαττον</t>
  </si>
  <si>
    <t>κραββατον</t>
  </si>
  <si>
    <t>Mark.2.7</t>
  </si>
  <si>
    <t>Mark.2.9</t>
  </si>
  <si>
    <t>αφαιωνται</t>
  </si>
  <si>
    <t>Mark.2.11</t>
  </si>
  <si>
    <t>κραββαττον</t>
  </si>
  <si>
    <t>Mark.2.12</t>
  </si>
  <si>
    <t>επιστασθαι</t>
  </si>
  <si>
    <t>Mark.2.13</t>
  </si>
  <si>
    <t>Mark.2.15</t>
  </si>
  <si>
    <t>Mark.2.16</t>
  </si>
  <si>
    <t>Mark.2.20</t>
  </si>
  <si>
    <t>Mark.2.21</t>
  </si>
  <si>
    <t>ρακκους</t>
  </si>
  <si>
    <t>ρακους</t>
  </si>
  <si>
    <t>επισυνραπτει</t>
  </si>
  <si>
    <t>επισυναπτει</t>
  </si>
  <si>
    <t>Mark.2.22</t>
  </si>
  <si>
    <t>ρηξει</t>
  </si>
  <si>
    <t>ηρξαντο</t>
  </si>
  <si>
    <t>Mark.2.25</t>
  </si>
  <si>
    <t>Mark.2.26</t>
  </si>
  <si>
    <t>Mark.3.2</t>
  </si>
  <si>
    <t>Mark.3.3</t>
  </si>
  <si>
    <t>Mark.3.4</t>
  </si>
  <si>
    <t>απολεσαι</t>
  </si>
  <si>
    <t>Mark.3.5</t>
  </si>
  <si>
    <t>Mark.3.6</t>
  </si>
  <si>
    <t>απολοσωσιν</t>
  </si>
  <si>
    <t>Mark.3.7</t>
  </si>
  <si>
    <t>Mark.3.8</t>
  </si>
  <si>
    <t>Mark.3.9</t>
  </si>
  <si>
    <t>Mark.3.10</t>
  </si>
  <si>
    <t>Mark.3.11</t>
  </si>
  <si>
    <t>Mark.3.12</t>
  </si>
  <si>
    <t>επετειμα</t>
  </si>
  <si>
    <t>επιτειμα</t>
  </si>
  <si>
    <t>Mark.3.14</t>
  </si>
  <si>
    <t>αποστελη</t>
  </si>
  <si>
    <t>Mark.3.17</t>
  </si>
  <si>
    <t>Mark.3.18</t>
  </si>
  <si>
    <t>Mark.3.19</t>
  </si>
  <si>
    <t>Mark.3.20</t>
  </si>
  <si>
    <t>Mark.3.21</t>
  </si>
  <si>
    <t>Mark.3.23</t>
  </si>
  <si>
    <t>εκβαλειν</t>
  </si>
  <si>
    <t>εκβαλλειν</t>
  </si>
  <si>
    <t>Mark.3.24</t>
  </si>
  <si>
    <t>Mark.3.25</t>
  </si>
  <si>
    <t>οικεια</t>
  </si>
  <si>
    <t>οικια</t>
  </si>
  <si>
    <t>Mark.3.26</t>
  </si>
  <si>
    <t>μεμερισθαι</t>
  </si>
  <si>
    <t>Mark.3.27</t>
  </si>
  <si>
    <t>διαρπαζει</t>
  </si>
  <si>
    <t>Mark.3.28</t>
  </si>
  <si>
    <t>Mark.3.29</t>
  </si>
  <si>
    <t>Mark.3.34</t>
  </si>
  <si>
    <t>Mark.4.1</t>
  </si>
  <si>
    <t>καθησται</t>
  </si>
  <si>
    <t>Mark.4.4</t>
  </si>
  <si>
    <t>κατεφαγαν</t>
  </si>
  <si>
    <t>κατεφαγεν</t>
  </si>
  <si>
    <t>Mark.4.5</t>
  </si>
  <si>
    <t>εξανεστειλεν</t>
  </si>
  <si>
    <t>Mark.4.6</t>
  </si>
  <si>
    <t>Mark.4.7</t>
  </si>
  <si>
    <t>Mark.4.9</t>
  </si>
  <si>
    <t>εχι</t>
  </si>
  <si>
    <t>συνειετω</t>
  </si>
  <si>
    <t>συνιετω</t>
  </si>
  <si>
    <t>Mark.4.10</t>
  </si>
  <si>
    <t>Mark.4.12</t>
  </si>
  <si>
    <t>ακουωσιν</t>
  </si>
  <si>
    <t>Mark.4.15</t>
  </si>
  <si>
    <t>Mark.4.16</t>
  </si>
  <si>
    <t>Mark.4.17</t>
  </si>
  <si>
    <t>Mark.4.19</t>
  </si>
  <si>
    <t>συνπνιγουσιν</t>
  </si>
  <si>
    <t>συμπνιγουσιν</t>
  </si>
  <si>
    <t>Mark.4.20</t>
  </si>
  <si>
    <t>ακουουσιν</t>
  </si>
  <si>
    <t>ακουσουσιν</t>
  </si>
  <si>
    <t>Mark.4.21</t>
  </si>
  <si>
    <t>Mark.4.24</t>
  </si>
  <si>
    <t>ελεγεν</t>
  </si>
  <si>
    <t>Mark.4.27</t>
  </si>
  <si>
    <t>μηκυνεται</t>
  </si>
  <si>
    <t>μηκυνηται</t>
  </si>
  <si>
    <t>Mark.4.29</t>
  </si>
  <si>
    <t>θερεισμος</t>
  </si>
  <si>
    <t>θερισμος</t>
  </si>
  <si>
    <t>Mark.4.31</t>
  </si>
  <si>
    <t>Mark.4.32</t>
  </si>
  <si>
    <t>Mark.4.34</t>
  </si>
  <si>
    <t>Mark.4.36</t>
  </si>
  <si>
    <t>Mark.4.39</t>
  </si>
  <si>
    <t>φιμωθητι</t>
  </si>
  <si>
    <t>Mark.4.41</t>
  </si>
  <si>
    <t>ελεγαν</t>
  </si>
  <si>
    <t>Mark.5.1</t>
  </si>
  <si>
    <t>γερανηνων</t>
  </si>
  <si>
    <t>Mark.5.2</t>
  </si>
  <si>
    <t>μνημιων</t>
  </si>
  <si>
    <t>μνημειων</t>
  </si>
  <si>
    <t>ακαθαρτω</t>
  </si>
  <si>
    <t>Mark.5.3</t>
  </si>
  <si>
    <t>Mark.5.4</t>
  </si>
  <si>
    <t>ουδεις</t>
  </si>
  <si>
    <t>Mark.5.6</t>
  </si>
  <si>
    <t>Mark.5.7</t>
  </si>
  <si>
    <t>Mark.5.8</t>
  </si>
  <si>
    <t>Mark.5.9</t>
  </si>
  <si>
    <t>λεγεων</t>
  </si>
  <si>
    <t>Mark.5.11</t>
  </si>
  <si>
    <t>Mark.5.12</t>
  </si>
  <si>
    <t>Mark.5.13</t>
  </si>
  <si>
    <t>Mark.5.14</t>
  </si>
  <si>
    <t>Mark.5.15</t>
  </si>
  <si>
    <t>Mark.5.16</t>
  </si>
  <si>
    <t>Mark.5.19</t>
  </si>
  <si>
    <t>Mark.5.23</t>
  </si>
  <si>
    <t>Mark.5.24</t>
  </si>
  <si>
    <t>απηλθεν</t>
  </si>
  <si>
    <t>Mark.5.26</t>
  </si>
  <si>
    <t>Mark.5.27</t>
  </si>
  <si>
    <t>Mark.5.30</t>
  </si>
  <si>
    <t>Mark.5.33</t>
  </si>
  <si>
    <t>Mark.5.34</t>
  </si>
  <si>
    <t>θυγατερ</t>
  </si>
  <si>
    <t>Mark.5.35</t>
  </si>
  <si>
    <t>Mark.5.36</t>
  </si>
  <si>
    <t>Mark.5.37</t>
  </si>
  <si>
    <t>Mark.5.38</t>
  </si>
  <si>
    <t>οικειαν·</t>
  </si>
  <si>
    <t>αλαλαζοντων</t>
  </si>
  <si>
    <t>αλαζοντων</t>
  </si>
  <si>
    <t>απεθανεν</t>
  </si>
  <si>
    <t>Mark.5.40</t>
  </si>
  <si>
    <t>Mark.5.41</t>
  </si>
  <si>
    <t>θαβιθα</t>
  </si>
  <si>
    <t>θαβιτα</t>
  </si>
  <si>
    <t>μεθηρμενευομενον</t>
  </si>
  <si>
    <t>μεθερμηνευομενον</t>
  </si>
  <si>
    <t>Mark.6.2</t>
  </si>
  <si>
    <t>ακουσαντες·</t>
  </si>
  <si>
    <t>ακουοντες</t>
  </si>
  <si>
    <t>Mark.6.3</t>
  </si>
  <si>
    <t>Mark.6.4</t>
  </si>
  <si>
    <t>συνγενεσιν</t>
  </si>
  <si>
    <t>συγγενεσιν</t>
  </si>
  <si>
    <t>κωμας</t>
  </si>
  <si>
    <t>Mark.6.7</t>
  </si>
  <si>
    <t>προσκαλεσαμενος</t>
  </si>
  <si>
    <t>Mark.6.8</t>
  </si>
  <si>
    <t>Mark.6.11</t>
  </si>
  <si>
    <t>μαρτυριον</t>
  </si>
  <si>
    <t>μαρτυριαν</t>
  </si>
  <si>
    <t>Mark.6.14</t>
  </si>
  <si>
    <t>Mark.6.17</t>
  </si>
  <si>
    <t>Mark.6.18</t>
  </si>
  <si>
    <t>Mark.6.19</t>
  </si>
  <si>
    <t>Mark.6.21</t>
  </si>
  <si>
    <t>γενεχλιοις</t>
  </si>
  <si>
    <t>Mark.6.22</t>
  </si>
  <si>
    <t>θελεις</t>
  </si>
  <si>
    <t>θελης</t>
  </si>
  <si>
    <t>Mark.6.23</t>
  </si>
  <si>
    <t>Mark.6.24</t>
  </si>
  <si>
    <t>αιτησομαι</t>
  </si>
  <si>
    <t>Mark.6.25</t>
  </si>
  <si>
    <t>Mark.6.27</t>
  </si>
  <si>
    <t>Mark.6.29</t>
  </si>
  <si>
    <t>Mark.6.31</t>
  </si>
  <si>
    <t>αναπαυεσθε</t>
  </si>
  <si>
    <t>ευκαιρος</t>
  </si>
  <si>
    <t>Mark.6.34</t>
  </si>
  <si>
    <t>πομενα</t>
  </si>
  <si>
    <t>Mark.6.35</t>
  </si>
  <si>
    <t>Mark.6.36</t>
  </si>
  <si>
    <t>Mark.6.38</t>
  </si>
  <si>
    <t>Mark.6.39</t>
  </si>
  <si>
    <t>Mark.6.41</t>
  </si>
  <si>
    <t>Mark.6.45</t>
  </si>
  <si>
    <t>προσαγειν</t>
  </si>
  <si>
    <t>βηθσαιδαν</t>
  </si>
  <si>
    <t>Mark.6.48</t>
  </si>
  <si>
    <t>Mark.6.51</t>
  </si>
  <si>
    <t>εξεσταντο</t>
  </si>
  <si>
    <t>Mark.6.54</t>
  </si>
  <si>
    <t>επεγνωσαν</t>
  </si>
  <si>
    <t>επιγνωσαν</t>
  </si>
  <si>
    <t>Mark.6.55</t>
  </si>
  <si>
    <t>γραβαττοις</t>
  </si>
  <si>
    <t>κραββαττοις</t>
  </si>
  <si>
    <t>Mark.6.56</t>
  </si>
  <si>
    <t>πλαταιαις</t>
  </si>
  <si>
    <t>Mark.7.2</t>
  </si>
  <si>
    <t>ειδοτες</t>
  </si>
  <si>
    <t>Mark.7.3</t>
  </si>
  <si>
    <t>πυγμη</t>
  </si>
  <si>
    <t>παραδοσιν</t>
  </si>
  <si>
    <t>Mark.7.7</t>
  </si>
  <si>
    <t>διδασκαλειας·</t>
  </si>
  <si>
    <t>Mark.7.8</t>
  </si>
  <si>
    <t>Mark.7.9</t>
  </si>
  <si>
    <t>ατεθειτε</t>
  </si>
  <si>
    <t>αθετειτε</t>
  </si>
  <si>
    <t>Mark.7.10</t>
  </si>
  <si>
    <t>Mark.7.11</t>
  </si>
  <si>
    <t>λεγεται</t>
  </si>
  <si>
    <t>Mark.7.12</t>
  </si>
  <si>
    <t>εναφιεφαι</t>
  </si>
  <si>
    <t>Mark.7.13</t>
  </si>
  <si>
    <t>Mark.7.15</t>
  </si>
  <si>
    <t>κοινουντα</t>
  </si>
  <si>
    <t>κοιουντα</t>
  </si>
  <si>
    <t>Mark.7.18</t>
  </si>
  <si>
    <t>ανυνετοι</t>
  </si>
  <si>
    <t>Mark.7.19</t>
  </si>
  <si>
    <t>Mark.7.20</t>
  </si>
  <si>
    <t>Mark.7.21</t>
  </si>
  <si>
    <t>Mark.7.22</t>
  </si>
  <si>
    <t>υπερηφανιαι</t>
  </si>
  <si>
    <t>υπερηφανειαι</t>
  </si>
  <si>
    <t>Mark.7.24</t>
  </si>
  <si>
    <t>Mark.7.25</t>
  </si>
  <si>
    <t>Mark.7.26</t>
  </si>
  <si>
    <t>φυνισσα</t>
  </si>
  <si>
    <t>Mark.7.27</t>
  </si>
  <si>
    <t>Mark.7.28</t>
  </si>
  <si>
    <t>πεδων·</t>
  </si>
  <si>
    <t>παιδιων</t>
  </si>
  <si>
    <t>Mark.7.29</t>
  </si>
  <si>
    <t>Mark.7.30</t>
  </si>
  <si>
    <t>κλινην</t>
  </si>
  <si>
    <t>κλαινην</t>
  </si>
  <si>
    <t>Mark.7.31</t>
  </si>
  <si>
    <t>Mark.7.32</t>
  </si>
  <si>
    <t>Mark.7.34</t>
  </si>
  <si>
    <t>εφφεθα</t>
  </si>
  <si>
    <t>εφρεθα</t>
  </si>
  <si>
    <t>διανυκθητι·</t>
  </si>
  <si>
    <t>διανυχθητι</t>
  </si>
  <si>
    <t>Mark.7.36</t>
  </si>
  <si>
    <t>Mark.7.37</t>
  </si>
  <si>
    <t>υπερεκπερισσως</t>
  </si>
  <si>
    <t>υπερπερισσως</t>
  </si>
  <si>
    <t>Mark.8.1</t>
  </si>
  <si>
    <t>Mark.8.2</t>
  </si>
  <si>
    <t>σπλαχνιζομαι</t>
  </si>
  <si>
    <t>σπλαγχνιζομαι</t>
  </si>
  <si>
    <t>τρις</t>
  </si>
  <si>
    <t>τρεις</t>
  </si>
  <si>
    <t>Mark.8.6</t>
  </si>
  <si>
    <t>Mark.8.10</t>
  </si>
  <si>
    <t>Mark.8.13</t>
  </si>
  <si>
    <t>αφις</t>
  </si>
  <si>
    <t>αφεις</t>
  </si>
  <si>
    <t>Mark.8.14</t>
  </si>
  <si>
    <t>Mark.8.16</t>
  </si>
  <si>
    <t>διελογιζοντο</t>
  </si>
  <si>
    <t>διελογισαντο</t>
  </si>
  <si>
    <t>Mark.8.17</t>
  </si>
  <si>
    <t>πεπηρωμενη</t>
  </si>
  <si>
    <t>Mark.8.18</t>
  </si>
  <si>
    <t>Mark.8.19</t>
  </si>
  <si>
    <t>Mark.8.21</t>
  </si>
  <si>
    <t>Mark.8.22</t>
  </si>
  <si>
    <t>ερχονται</t>
  </si>
  <si>
    <t>παρακαλουαυτον</t>
  </si>
  <si>
    <t>Mark.8.23</t>
  </si>
  <si>
    <t>κωμης</t>
  </si>
  <si>
    <t>Mark.8.25</t>
  </si>
  <si>
    <t>επειθεις</t>
  </si>
  <si>
    <t>επιθεις</t>
  </si>
  <si>
    <t>Mark.8.27</t>
  </si>
  <si>
    <t>Mark.8.29</t>
  </si>
  <si>
    <t>τεινα</t>
  </si>
  <si>
    <t>τινα</t>
  </si>
  <si>
    <t>Mark.8.30</t>
  </si>
  <si>
    <t>Mark.8.33</t>
  </si>
  <si>
    <t>Mark.8.34</t>
  </si>
  <si>
    <t>Mark.8.35</t>
  </si>
  <si>
    <t>Mark.8.37</t>
  </si>
  <si>
    <t>Mark.8.38</t>
  </si>
  <si>
    <t>Mark.9.1</t>
  </si>
  <si>
    <t>δυναμει</t>
  </si>
  <si>
    <t>Mark.9.2</t>
  </si>
  <si>
    <t>Mark.9.3</t>
  </si>
  <si>
    <t>εγενενοντο</t>
  </si>
  <si>
    <t>εγενοντο</t>
  </si>
  <si>
    <t>Mark.9.5</t>
  </si>
  <si>
    <t>Mark.9.7</t>
  </si>
  <si>
    <t>Mark.9.11</t>
  </si>
  <si>
    <t>Mark.9.13</t>
  </si>
  <si>
    <t>γεγραπτι</t>
  </si>
  <si>
    <t>Mark.9.14</t>
  </si>
  <si>
    <t>Mark.9.15</t>
  </si>
  <si>
    <t>Mark.9.16</t>
  </si>
  <si>
    <t>Mark.9.17</t>
  </si>
  <si>
    <t>Mark.9.18</t>
  </si>
  <si>
    <t>Mark.9.19</t>
  </si>
  <si>
    <t>απεκριθη</t>
  </si>
  <si>
    <t>Mark.9.22</t>
  </si>
  <si>
    <t>Mark.9.23</t>
  </si>
  <si>
    <t>Mark.9.24</t>
  </si>
  <si>
    <t>Mark.9.25</t>
  </si>
  <si>
    <t>εξελθελθε</t>
  </si>
  <si>
    <t>Mark.9.26</t>
  </si>
  <si>
    <t>Mark.9.27</t>
  </si>
  <si>
    <t>Mark.9.28</t>
  </si>
  <si>
    <t>οικον</t>
  </si>
  <si>
    <t>Mark.9.29</t>
  </si>
  <si>
    <t>προσευχη</t>
  </si>
  <si>
    <t>Mark.9.31</t>
  </si>
  <si>
    <t>Mark.9.33</t>
  </si>
  <si>
    <t>Mark.9.36</t>
  </si>
  <si>
    <t>Mark.9.42</t>
  </si>
  <si>
    <t>Mark.9.43</t>
  </si>
  <si>
    <t>Mark.9.44</t>
  </si>
  <si>
    <t>σβενυτε</t>
  </si>
  <si>
    <t>σβεννυτε</t>
  </si>
  <si>
    <t>Mark.9.45</t>
  </si>
  <si>
    <t>Mark.9.47</t>
  </si>
  <si>
    <t>Mark.9.48</t>
  </si>
  <si>
    <t>Mark.9.50</t>
  </si>
  <si>
    <t>γενηται</t>
  </si>
  <si>
    <t>Mark.10.1</t>
  </si>
  <si>
    <t>Mark.10.2</t>
  </si>
  <si>
    <t>επηρωτων</t>
  </si>
  <si>
    <t>Mark.10.3</t>
  </si>
  <si>
    <t>Mark.10.6</t>
  </si>
  <si>
    <t>Mark.10.8</t>
  </si>
  <si>
    <t>Mark.10.10</t>
  </si>
  <si>
    <t>Mark.10.13</t>
  </si>
  <si>
    <t>Mark.10.14</t>
  </si>
  <si>
    <t>Mark.10.15</t>
  </si>
  <si>
    <t>εισελευσεται</t>
  </si>
  <si>
    <t>εσελευσεται</t>
  </si>
  <si>
    <t>Mark.10.16</t>
  </si>
  <si>
    <t>προσκαλισαμενος</t>
  </si>
  <si>
    <t>Mark.10.17</t>
  </si>
  <si>
    <t>Mark.10.19</t>
  </si>
  <si>
    <t>ψευδομαρτυρησεις</t>
  </si>
  <si>
    <t>ψευδομαρτυρησης</t>
  </si>
  <si>
    <t>Mark.10.21</t>
  </si>
  <si>
    <t>εβλεψας</t>
  </si>
  <si>
    <t>Mark.10.23</t>
  </si>
  <si>
    <t>Mark.10.24</t>
  </si>
  <si>
    <t>εθανβουντο</t>
  </si>
  <si>
    <t>εθαμβουντο</t>
  </si>
  <si>
    <t>Mark.10.27</t>
  </si>
  <si>
    <t>ενβλαψας</t>
  </si>
  <si>
    <t>Mark.10.30</t>
  </si>
  <si>
    <t>Mark.10.33</t>
  </si>
  <si>
    <t>αρχειερευσιν</t>
  </si>
  <si>
    <t>Mark.10.34</t>
  </si>
  <si>
    <t>ενπτυξουσιν</t>
  </si>
  <si>
    <t>Mark.10.35</t>
  </si>
  <si>
    <t>ζεβεδαιου</t>
  </si>
  <si>
    <t>ερωτησωμεν</t>
  </si>
  <si>
    <t>ερωτησαμεν</t>
  </si>
  <si>
    <t>Mark.10.37</t>
  </si>
  <si>
    <t>Mark.10.38</t>
  </si>
  <si>
    <t>Mark.10.39</t>
  </si>
  <si>
    <t>βαπτισθησεθαι</t>
  </si>
  <si>
    <t>βαπτισθησεσθαι</t>
  </si>
  <si>
    <t>Mark.10.40</t>
  </si>
  <si>
    <t>ητοιμαθαι</t>
  </si>
  <si>
    <t>Mark.10.41</t>
  </si>
  <si>
    <t>Mark.10.42</t>
  </si>
  <si>
    <t>Mark.10.43</t>
  </si>
  <si>
    <t>Mark.10.46</t>
  </si>
  <si>
    <t>βαριτιμιας</t>
  </si>
  <si>
    <t>Mark.10.47</t>
  </si>
  <si>
    <t>ναζορηνος</t>
  </si>
  <si>
    <t>Mark.10.48</t>
  </si>
  <si>
    <t>εκραξεν</t>
  </si>
  <si>
    <t>Mark.10.49</t>
  </si>
  <si>
    <t>Mark.10.50</t>
  </si>
  <si>
    <t>αναπηδησας</t>
  </si>
  <si>
    <t>αναπεδησας</t>
  </si>
  <si>
    <t>Mark.11.1</t>
  </si>
  <si>
    <t>Mark.11.2</t>
  </si>
  <si>
    <t>καικαθηκεν</t>
  </si>
  <si>
    <t>Mark.11.3</t>
  </si>
  <si>
    <t>αποστελλει</t>
  </si>
  <si>
    <t>αποστελει</t>
  </si>
  <si>
    <t>Mark.11.4</t>
  </si>
  <si>
    <t>Mark.11.7</t>
  </si>
  <si>
    <t>καθειζει</t>
  </si>
  <si>
    <t>καθεισει</t>
  </si>
  <si>
    <t>Mark.11.8</t>
  </si>
  <si>
    <t>Mark.11.9</t>
  </si>
  <si>
    <t>προαγοντες</t>
  </si>
  <si>
    <t>Mark.11.10</t>
  </si>
  <si>
    <t>οσαννα</t>
  </si>
  <si>
    <t>Mark.11.11</t>
  </si>
  <si>
    <t>Mark.11.12</t>
  </si>
  <si>
    <t>Mark.11.13</t>
  </si>
  <si>
    <t>Mark.11.14</t>
  </si>
  <si>
    <t>Mark.11.15</t>
  </si>
  <si>
    <t>περιστας</t>
  </si>
  <si>
    <t>Mark.11.16</t>
  </si>
  <si>
    <t>Mark.11.17</t>
  </si>
  <si>
    <t>Mark.11.18</t>
  </si>
  <si>
    <t>απολεσωσιν</t>
  </si>
  <si>
    <t>απολεσουσιν</t>
  </si>
  <si>
    <t>Mark.11.20</t>
  </si>
  <si>
    <t>Mark.11.23</t>
  </si>
  <si>
    <t>Mark.11.24</t>
  </si>
  <si>
    <t>προσευχεσθαι</t>
  </si>
  <si>
    <t>Mark.11.25</t>
  </si>
  <si>
    <t>στηκεται</t>
  </si>
  <si>
    <t>στηκηται</t>
  </si>
  <si>
    <t>Mark.11.27</t>
  </si>
  <si>
    <t>Mark.11.30</t>
  </si>
  <si>
    <t>Mark.11.31</t>
  </si>
  <si>
    <t>Mark.11.32</t>
  </si>
  <si>
    <t>Mark.11.33</t>
  </si>
  <si>
    <t>Mark.12.1</t>
  </si>
  <si>
    <t>ανπελωνα</t>
  </si>
  <si>
    <t>Mark.12.3</t>
  </si>
  <si>
    <t>Mark.12.4</t>
  </si>
  <si>
    <t>κακεινον</t>
  </si>
  <si>
    <t>Mark.12.5</t>
  </si>
  <si>
    <t>αποκτεννοντες</t>
  </si>
  <si>
    <t>αποκτενοντες</t>
  </si>
  <si>
    <t>φαρισαιων</t>
  </si>
  <si>
    <t>Mark.12.14</t>
  </si>
  <si>
    <t>Mark.12.17</t>
  </si>
  <si>
    <t>Mark.12.20</t>
  </si>
  <si>
    <t>Mark.12.21</t>
  </si>
  <si>
    <t>Mark.12.24</t>
  </si>
  <si>
    <t>Mark.12.25</t>
  </si>
  <si>
    <t>αναστησουσιν</t>
  </si>
  <si>
    <t>Mark.12.26</t>
  </si>
  <si>
    <t>μωυσεως</t>
  </si>
  <si>
    <t>ισακ</t>
  </si>
  <si>
    <t>Mark.12.28</t>
  </si>
  <si>
    <t>Mark.12.29</t>
  </si>
  <si>
    <t>ιστραηλ</t>
  </si>
  <si>
    <t>Mark.12.30</t>
  </si>
  <si>
    <t>Mark.12.32</t>
  </si>
  <si>
    <t>Mark.12.36</t>
  </si>
  <si>
    <t>Mark.12.37</t>
  </si>
  <si>
    <t>Mark.12.40</t>
  </si>
  <si>
    <t>Mark.12.42</t>
  </si>
  <si>
    <t>Mark.12.43</t>
  </si>
  <si>
    <t>βαλλοντων</t>
  </si>
  <si>
    <t>βαλοντων</t>
  </si>
  <si>
    <t>Mark.13.1</t>
  </si>
  <si>
    <t>Mark.13.2</t>
  </si>
  <si>
    <t>Mark.13.4</t>
  </si>
  <si>
    <t>Mark.13.6</t>
  </si>
  <si>
    <t>Mark.13.7</t>
  </si>
  <si>
    <t>Mark.13.8</t>
  </si>
  <si>
    <t>Mark.13.9</t>
  </si>
  <si>
    <t>σταθησεσθε</t>
  </si>
  <si>
    <t>Mark.13.10</t>
  </si>
  <si>
    <t>Mark.13.11</t>
  </si>
  <si>
    <t>Mark.13.14</t>
  </si>
  <si>
    <t>αναγεινωσκει</t>
  </si>
  <si>
    <t>αναγινωσκει</t>
  </si>
  <si>
    <t>Mark.13.16</t>
  </si>
  <si>
    <t>επιστρεψετω</t>
  </si>
  <si>
    <t>ιματειον</t>
  </si>
  <si>
    <t>ιματιον</t>
  </si>
  <si>
    <t>Mark.13.18</t>
  </si>
  <si>
    <t>Mark.13.21</t>
  </si>
  <si>
    <t>Mark.13.22</t>
  </si>
  <si>
    <t>Mark.13.23</t>
  </si>
  <si>
    <t>Mark.13.24</t>
  </si>
  <si>
    <t>Mark.13.25</t>
  </si>
  <si>
    <t>Mark.13.30</t>
  </si>
  <si>
    <t>Mark.13.31</t>
  </si>
  <si>
    <t>Mark.13.33</t>
  </si>
  <si>
    <t>Mark.13.34</t>
  </si>
  <si>
    <t>θυρουρω</t>
  </si>
  <si>
    <t>Mark.14.1</t>
  </si>
  <si>
    <t>Mark.14.2</t>
  </si>
  <si>
    <t>Mark.14.3</t>
  </si>
  <si>
    <t>γυγη</t>
  </si>
  <si>
    <t>Mark.14.5</t>
  </si>
  <si>
    <t>Mark.14.6</t>
  </si>
  <si>
    <t>ηργασατο</t>
  </si>
  <si>
    <t>ειργασατο</t>
  </si>
  <si>
    <t>Mark.14.7</t>
  </si>
  <si>
    <t>εχεται</t>
  </si>
  <si>
    <t>Mark.14.8</t>
  </si>
  <si>
    <t>Mark.14.9</t>
  </si>
  <si>
    <t>Mark.14.13</t>
  </si>
  <si>
    <t>κεραμειον</t>
  </si>
  <si>
    <t>κεραμιον</t>
  </si>
  <si>
    <t>Mark.14.15</t>
  </si>
  <si>
    <t>Mark.14.16</t>
  </si>
  <si>
    <t>Mark.14.20</t>
  </si>
  <si>
    <t>τρυβαλιον</t>
  </si>
  <si>
    <t>Mark.14.21</t>
  </si>
  <si>
    <t>Mark.14.24</t>
  </si>
  <si>
    <t>Mark.14.25</t>
  </si>
  <si>
    <t>Mark.14.27</t>
  </si>
  <si>
    <t>Mark.14.29</t>
  </si>
  <si>
    <t>Mark.14.31</t>
  </si>
  <si>
    <t>Mark.14.32</t>
  </si>
  <si>
    <t>γησαμανει</t>
  </si>
  <si>
    <t>Mark.14.33</t>
  </si>
  <si>
    <t>ακηδεμονειν</t>
  </si>
  <si>
    <t>ακηδημονειν</t>
  </si>
  <si>
    <t>Mark.14.35</t>
  </si>
  <si>
    <t>Mark.14.37</t>
  </si>
  <si>
    <t>ευρισκι</t>
  </si>
  <si>
    <t>Mark.14.41</t>
  </si>
  <si>
    <t>Mark.14.43</t>
  </si>
  <si>
    <t>Mark.14.45</t>
  </si>
  <si>
    <t>Mark.14.46</t>
  </si>
  <si>
    <t>Mark.14.47</t>
  </si>
  <si>
    <t>Mark.14.48</t>
  </si>
  <si>
    <t>Mark.14.51</t>
  </si>
  <si>
    <t>Mark.14.52</t>
  </si>
  <si>
    <t>Mark.14.53</t>
  </si>
  <si>
    <t>αρχιεραια</t>
  </si>
  <si>
    <t>αρχιερεα</t>
  </si>
  <si>
    <t>Mark.14.54</t>
  </si>
  <si>
    <t>υπηρερων</t>
  </si>
  <si>
    <t>Mark.14.55</t>
  </si>
  <si>
    <t>Mark.14.56</t>
  </si>
  <si>
    <t>Mark.14.58</t>
  </si>
  <si>
    <t>τρειων</t>
  </si>
  <si>
    <t>τριων</t>
  </si>
  <si>
    <t>Mark.14.61</t>
  </si>
  <si>
    <t>Mark.14.62</t>
  </si>
  <si>
    <t>Mark.14.63</t>
  </si>
  <si>
    <t>Mark.14.64</t>
  </si>
  <si>
    <t>Mark.14.65</t>
  </si>
  <si>
    <t>Mark.14.67</t>
  </si>
  <si>
    <t>ναζορηνου</t>
  </si>
  <si>
    <t>ναζαρηνου</t>
  </si>
  <si>
    <t>Mark.14.68</t>
  </si>
  <si>
    <t>Mark.14.69</t>
  </si>
  <si>
    <t>ηρνησατο·</t>
  </si>
  <si>
    <t>ηρνειτο</t>
  </si>
  <si>
    <t>Mark.14.71</t>
  </si>
  <si>
    <t>αναθεματειζειν</t>
  </si>
  <si>
    <t>αναθεματιζειν</t>
  </si>
  <si>
    <t>Mark.14.72</t>
  </si>
  <si>
    <t>ανεμνησθη</t>
  </si>
  <si>
    <t>αναμνησθη</t>
  </si>
  <si>
    <t>Mark.15.1</t>
  </si>
  <si>
    <t>Mark.15.2</t>
  </si>
  <si>
    <t>Mark.15.6</t>
  </si>
  <si>
    <t>Mark.15.8</t>
  </si>
  <si>
    <t>Mark.15.9</t>
  </si>
  <si>
    <t>Mark.15.11</t>
  </si>
  <si>
    <t>Mark.15.12</t>
  </si>
  <si>
    <t>Mark.15.13</t>
  </si>
  <si>
    <t>Mark.15.14</t>
  </si>
  <si>
    <t>Mark.15.15</t>
  </si>
  <si>
    <t>Mark.15.20</t>
  </si>
  <si>
    <t>σταυρωσουσιν</t>
  </si>
  <si>
    <t>σταυρωσωσιν</t>
  </si>
  <si>
    <t>Mark.15.21</t>
  </si>
  <si>
    <t>ανγαρευουσιν</t>
  </si>
  <si>
    <t>αγγαρευουσιν</t>
  </si>
  <si>
    <t>Mark.15.22</t>
  </si>
  <si>
    <t>Mark.15.24</t>
  </si>
  <si>
    <t>διαμεριζονται</t>
  </si>
  <si>
    <t>διεμεριζονται</t>
  </si>
  <si>
    <t>Mark.15.26</t>
  </si>
  <si>
    <t>βασιλεους</t>
  </si>
  <si>
    <t>Mark.15.27</t>
  </si>
  <si>
    <t>Mark.15.29</t>
  </si>
  <si>
    <t>Mark.15.30</t>
  </si>
  <si>
    <t>Mark.15.31</t>
  </si>
  <si>
    <t>γραμματαιων</t>
  </si>
  <si>
    <t>γραμματεων</t>
  </si>
  <si>
    <t>Mark.15.33</t>
  </si>
  <si>
    <t>Mark.15.34</t>
  </si>
  <si>
    <t>εφωνησεν</t>
  </si>
  <si>
    <t>μεθερμηννευομενον</t>
  </si>
  <si>
    <t>Mark.15.35</t>
  </si>
  <si>
    <t>παρεστωτων</t>
  </si>
  <si>
    <t>παρεστηκοτων</t>
  </si>
  <si>
    <t>Mark.15.36</t>
  </si>
  <si>
    <t>πλησας</t>
  </si>
  <si>
    <t>πλησσας</t>
  </si>
  <si>
    <t>σφογγον</t>
  </si>
  <si>
    <t>Mark.15.38</t>
  </si>
  <si>
    <t>Mark.15.39</t>
  </si>
  <si>
    <t>Mark.15.41</t>
  </si>
  <si>
    <t>Mark.15.43</t>
  </si>
  <si>
    <t>Mark.15.44</t>
  </si>
  <si>
    <t>Mark.15.45</t>
  </si>
  <si>
    <t>κεντουριωνος</t>
  </si>
  <si>
    <t>κεντυριωνος</t>
  </si>
  <si>
    <t>Mark.15.46</t>
  </si>
  <si>
    <t>ενειλησεν</t>
  </si>
  <si>
    <t>εκειλησεν</t>
  </si>
  <si>
    <t>μνημιου</t>
  </si>
  <si>
    <t>μνημειου</t>
  </si>
  <si>
    <t>Mark.15.47</t>
  </si>
  <si>
    <t>Mark.16.1</t>
  </si>
  <si>
    <t>αλιψωσιν</t>
  </si>
  <si>
    <t>αλειψωσιν</t>
  </si>
  <si>
    <t>Mark.16.2</t>
  </si>
  <si>
    <t>μνημειον</t>
  </si>
  <si>
    <t>Mark.16.3</t>
  </si>
  <si>
    <t>Mark.16.5</t>
  </si>
  <si>
    <t>εθανβησαν</t>
  </si>
  <si>
    <t>εθαμβησαν</t>
  </si>
  <si>
    <t>Mark.16.6</t>
  </si>
  <si>
    <t>Mark.16.7</t>
  </si>
  <si>
    <t>Mark.16.8</t>
  </si>
  <si>
    <t>εφυγον</t>
  </si>
  <si>
    <t>Mark.16.9</t>
  </si>
  <si>
    <t>Mark.16.10</t>
  </si>
  <si>
    <t>Mark.16.11</t>
  </si>
  <si>
    <t>Mark.16.15</t>
  </si>
  <si>
    <t>κηρυξατε</t>
  </si>
  <si>
    <t>κηρυξαντε</t>
  </si>
  <si>
    <t>Mark.16.16</t>
  </si>
  <si>
    <t>Mark.16.17</t>
  </si>
  <si>
    <t>Mark.16.18</t>
  </si>
  <si>
    <t>ποιωσιν</t>
  </si>
  <si>
    <t>επιθησουσειν</t>
  </si>
  <si>
    <t>Mark.16.19</t>
  </si>
  <si>
    <t>Luke.1.2</t>
  </si>
  <si>
    <t>αυτοπται</t>
  </si>
  <si>
    <t>αυτοπτι</t>
  </si>
  <si>
    <t>Luke.1.4</t>
  </si>
  <si>
    <t>Luke.1.7</t>
  </si>
  <si>
    <t>Luke.1.9</t>
  </si>
  <si>
    <t>Luke.1.11</t>
  </si>
  <si>
    <t>Luke.1.12</t>
  </si>
  <si>
    <t>Luke.1.13</t>
  </si>
  <si>
    <t>Luke.1.14</t>
  </si>
  <si>
    <t>γενεσει</t>
  </si>
  <si>
    <t>γεννησει</t>
  </si>
  <si>
    <t>Luke.1.15</t>
  </si>
  <si>
    <t>Luke.1.17</t>
  </si>
  <si>
    <t>δυναμι</t>
  </si>
  <si>
    <t>Luke.1.18</t>
  </si>
  <si>
    <t>τουτω</t>
  </si>
  <si>
    <t>Luke.1.21</t>
  </si>
  <si>
    <t>Luke.1.23</t>
  </si>
  <si>
    <t>Luke.1.24</t>
  </si>
  <si>
    <t>Luke.1.25</t>
  </si>
  <si>
    <t>Luke.1.26</t>
  </si>
  <si>
    <t>Luke.1.27</t>
  </si>
  <si>
    <t>μεμνησμενην</t>
  </si>
  <si>
    <t>μεμνηστευμενην</t>
  </si>
  <si>
    <t>Luke.1.29</t>
  </si>
  <si>
    <t>Luke.1.34</t>
  </si>
  <si>
    <t>μαρια</t>
  </si>
  <si>
    <t>Luke.1.35</t>
  </si>
  <si>
    <t>Luke.1.36</t>
  </si>
  <si>
    <t>ελισαβεθ</t>
  </si>
  <si>
    <t>συνγενις</t>
  </si>
  <si>
    <t>συγγενις</t>
  </si>
  <si>
    <t>Luke.1.38</t>
  </si>
  <si>
    <t>μαριαμ</t>
  </si>
  <si>
    <t>Luke.1.39</t>
  </si>
  <si>
    <t>ημαιραις</t>
  </si>
  <si>
    <t>Luke.1.41</t>
  </si>
  <si>
    <t>κοιλεια</t>
  </si>
  <si>
    <t>κοιλια</t>
  </si>
  <si>
    <t>Luke.1.44</t>
  </si>
  <si>
    <t>Luke.1.46</t>
  </si>
  <si>
    <t>Luke.1.48</t>
  </si>
  <si>
    <t>ταπινωσιν</t>
  </si>
  <si>
    <t>ταπεινωσιν</t>
  </si>
  <si>
    <t>Luke.1.49</t>
  </si>
  <si>
    <t>μεγαλα</t>
  </si>
  <si>
    <t>μεγαλεια</t>
  </si>
  <si>
    <t>Luke.1.50</t>
  </si>
  <si>
    <t>Luke.1.53</t>
  </si>
  <si>
    <t>εξαπεστιλεν</t>
  </si>
  <si>
    <t>εξαπεστειλεν</t>
  </si>
  <si>
    <t>Luke.1.55</t>
  </si>
  <si>
    <t>Luke.1.56</t>
  </si>
  <si>
    <t>Luke.1.58</t>
  </si>
  <si>
    <t>συγγενεις</t>
  </si>
  <si>
    <t>συνγενεις</t>
  </si>
  <si>
    <t>Luke.1.59</t>
  </si>
  <si>
    <t>ηλθαν</t>
  </si>
  <si>
    <t>Luke.1.60</t>
  </si>
  <si>
    <t>αποκρειθεισα</t>
  </si>
  <si>
    <t>αποκριθεισα</t>
  </si>
  <si>
    <t>Luke.1.61</t>
  </si>
  <si>
    <t>συνγενεια</t>
  </si>
  <si>
    <t>συγγενεια</t>
  </si>
  <si>
    <t>Luke.1.62</t>
  </si>
  <si>
    <t>καλισθαι</t>
  </si>
  <si>
    <t>καλεισθαι</t>
  </si>
  <si>
    <t>Luke.1.63</t>
  </si>
  <si>
    <t>Luke.1.66</t>
  </si>
  <si>
    <t>Luke.1.68</t>
  </si>
  <si>
    <t>Luke.1.69</t>
  </si>
  <si>
    <t>Luke.1.72</t>
  </si>
  <si>
    <t>ποησαι</t>
  </si>
  <si>
    <t>Luke.1.74</t>
  </si>
  <si>
    <t>Luke.1.80</t>
  </si>
  <si>
    <t>Luke.2.1</t>
  </si>
  <si>
    <t>Luke.2.4</t>
  </si>
  <si>
    <t>Luke.2.5</t>
  </si>
  <si>
    <t>Luke.2.7</t>
  </si>
  <si>
    <t>Luke.2.8</t>
  </si>
  <si>
    <t>Luke.2.12</t>
  </si>
  <si>
    <t>κειμενον</t>
  </si>
  <si>
    <t>Luke.2.13</t>
  </si>
  <si>
    <t>Luke.2.15</t>
  </si>
  <si>
    <t>Luke.2.17</t>
  </si>
  <si>
    <t>Luke.2.18</t>
  </si>
  <si>
    <t>εθαυμαζον</t>
  </si>
  <si>
    <t>εθαυμασον</t>
  </si>
  <si>
    <t>Luke.2.19</t>
  </si>
  <si>
    <t>συνβαλλουσα</t>
  </si>
  <si>
    <t>συμβαλλουσα</t>
  </si>
  <si>
    <t>Luke.2.20</t>
  </si>
  <si>
    <t>Luke.2.21</t>
  </si>
  <si>
    <t>περιτεμειν</t>
  </si>
  <si>
    <t>περιτομειν</t>
  </si>
  <si>
    <t>συνλημφθηναι</t>
  </si>
  <si>
    <t>συνληφθηναι</t>
  </si>
  <si>
    <t>Luke.2.22</t>
  </si>
  <si>
    <t>Luke.2.23</t>
  </si>
  <si>
    <t>Luke.2.25</t>
  </si>
  <si>
    <t>προσδεχομεμενος</t>
  </si>
  <si>
    <t>Luke.2.26</t>
  </si>
  <si>
    <t>Luke.2.31</t>
  </si>
  <si>
    <t>Luke.2.32</t>
  </si>
  <si>
    <t>Luke.2.33</t>
  </si>
  <si>
    <t>Luke.2.35</t>
  </si>
  <si>
    <t>Luke.2.38</t>
  </si>
  <si>
    <t>Luke.2.39</t>
  </si>
  <si>
    <t>ετελεσαν</t>
  </si>
  <si>
    <t>ετελεσεν</t>
  </si>
  <si>
    <t>ερεθη</t>
  </si>
  <si>
    <t>Luke.2.40</t>
  </si>
  <si>
    <t>Luke.2.41</t>
  </si>
  <si>
    <t>Luke.2.42</t>
  </si>
  <si>
    <t>Luke.2.43</t>
  </si>
  <si>
    <t>γονις</t>
  </si>
  <si>
    <t>γονεις</t>
  </si>
  <si>
    <t>Luke.2.44</t>
  </si>
  <si>
    <t>Luke.2.45</t>
  </si>
  <si>
    <t>Luke.2.46</t>
  </si>
  <si>
    <t>Luke.2.47</t>
  </si>
  <si>
    <t>Luke.2.49</t>
  </si>
  <si>
    <t>Luke.2.50</t>
  </si>
  <si>
    <t>Luke.2.51</t>
  </si>
  <si>
    <t>ναρεθ</t>
  </si>
  <si>
    <t>Luke.2.52</t>
  </si>
  <si>
    <t>Luke.3.1</t>
  </si>
  <si>
    <t>επιτροπευοντος</t>
  </si>
  <si>
    <t>ηγεμονευοντος</t>
  </si>
  <si>
    <t>Luke.3.2</t>
  </si>
  <si>
    <t>Luke.3.4</t>
  </si>
  <si>
    <t>Luke.3.5</t>
  </si>
  <si>
    <t>βουνος</t>
  </si>
  <si>
    <t>βουννος</t>
  </si>
  <si>
    <t>τραχιαι</t>
  </si>
  <si>
    <t>τραχειαι</t>
  </si>
  <si>
    <t>Luke.3.6</t>
  </si>
  <si>
    <t>Luke.3.7</t>
  </si>
  <si>
    <t>υπεδειξεν</t>
  </si>
  <si>
    <t>υποδειξεν</t>
  </si>
  <si>
    <t>Luke.3.8</t>
  </si>
  <si>
    <t>Luke.3.10</t>
  </si>
  <si>
    <t>Luke.3.12</t>
  </si>
  <si>
    <t>Luke.3.13</t>
  </si>
  <si>
    <t>Luke.3.14</t>
  </si>
  <si>
    <t>ποιησωμεν</t>
  </si>
  <si>
    <t>Luke.3.15</t>
  </si>
  <si>
    <t>Luke.3.17</t>
  </si>
  <si>
    <t>αχυρον</t>
  </si>
  <si>
    <t>ακυρον</t>
  </si>
  <si>
    <t>Luke.3.19</t>
  </si>
  <si>
    <t>ηρωδειαδος</t>
  </si>
  <si>
    <t>ηρωδιαδος</t>
  </si>
  <si>
    <t>Luke.3.20</t>
  </si>
  <si>
    <t>Luke.3.21</t>
  </si>
  <si>
    <t>Luke.3.22</t>
  </si>
  <si>
    <t>γεγεννηκα</t>
  </si>
  <si>
    <t>γεγενηκα</t>
  </si>
  <si>
    <t>Luke.3.23</t>
  </si>
  <si>
    <t>ενομειζετο</t>
  </si>
  <si>
    <t>ενομιζετο</t>
  </si>
  <si>
    <t>αχας</t>
  </si>
  <si>
    <t>Luke.3.32</t>
  </si>
  <si>
    <t>ωβηλ</t>
  </si>
  <si>
    <t>Luke.3.34</t>
  </si>
  <si>
    <t>Luke.3.38</t>
  </si>
  <si>
    <t>αινως</t>
  </si>
  <si>
    <t>αινωζ</t>
  </si>
  <si>
    <t>Luke.4.3</t>
  </si>
  <si>
    <t>γενωντοι</t>
  </si>
  <si>
    <t>Luke.4.4</t>
  </si>
  <si>
    <t>Luke.4.6</t>
  </si>
  <si>
    <t>Luke.4.7</t>
  </si>
  <si>
    <t>προσκυνησης</t>
  </si>
  <si>
    <t>προσκυνησας</t>
  </si>
  <si>
    <t>Luke.4.8</t>
  </si>
  <si>
    <t>Luke.4.9</t>
  </si>
  <si>
    <t>Luke.4.15</t>
  </si>
  <si>
    <t>εδασκεν</t>
  </si>
  <si>
    <t>εδιδαξεν</t>
  </si>
  <si>
    <t>Luke.4.16</t>
  </si>
  <si>
    <t>Luke.4.17</t>
  </si>
  <si>
    <t>Luke.4.18</t>
  </si>
  <si>
    <t>εινεκεν</t>
  </si>
  <si>
    <t>ενεκεν</t>
  </si>
  <si>
    <t>εχρεισεν</t>
  </si>
  <si>
    <t>εχρισεν</t>
  </si>
  <si>
    <t>τεθραυματισμενους</t>
  </si>
  <si>
    <t>τεθραυμενοις</t>
  </si>
  <si>
    <t>Luke.4.19</t>
  </si>
  <si>
    <t>κηρυξαι</t>
  </si>
  <si>
    <t>κηρυξκηρυξαι</t>
  </si>
  <si>
    <t>Luke.4.20</t>
  </si>
  <si>
    <t>πυξας</t>
  </si>
  <si>
    <t>Luke.4.22</t>
  </si>
  <si>
    <t>Luke.4.23</t>
  </si>
  <si>
    <t>παντως</t>
  </si>
  <si>
    <t>παντος</t>
  </si>
  <si>
    <t>Luke.4.25</t>
  </si>
  <si>
    <t>Luke.4.26</t>
  </si>
  <si>
    <t>ηλειας</t>
  </si>
  <si>
    <t>ηλιας</t>
  </si>
  <si>
    <t>Luke.4.27</t>
  </si>
  <si>
    <t>Luke.4.28</t>
  </si>
  <si>
    <t>ακουσαντες</t>
  </si>
  <si>
    <t>ακουσοντες</t>
  </si>
  <si>
    <t>Luke.4.29</t>
  </si>
  <si>
    <t>οικοδομηται</t>
  </si>
  <si>
    <t>οικοδομητι</t>
  </si>
  <si>
    <t>Luke.4.34</t>
  </si>
  <si>
    <t>ναζορηναι</t>
  </si>
  <si>
    <t>Luke.4.35</t>
  </si>
  <si>
    <t>φειμωθητι</t>
  </si>
  <si>
    <t>Luke.4.36</t>
  </si>
  <si>
    <t>Luke.4.39</t>
  </si>
  <si>
    <t>Luke.4.40</t>
  </si>
  <si>
    <t>εθεραπευεν</t>
  </si>
  <si>
    <t>Luke.4.42</t>
  </si>
  <si>
    <t>Luke.4.43</t>
  </si>
  <si>
    <t>Luke.5.3</t>
  </si>
  <si>
    <t>Luke.5.5</t>
  </si>
  <si>
    <t>παρακουσομαι</t>
  </si>
  <si>
    <t>παρακουσαμαι</t>
  </si>
  <si>
    <t>Luke.5.6</t>
  </si>
  <si>
    <t>ρησσεσθαι</t>
  </si>
  <si>
    <t>ρησεσσθαι</t>
  </si>
  <si>
    <t>Luke.5.7</t>
  </si>
  <si>
    <t>βυθιζεσθαι</t>
  </si>
  <si>
    <t>βαθυζεσθαι</t>
  </si>
  <si>
    <t>Luke.5.8</t>
  </si>
  <si>
    <t>συνελαβον</t>
  </si>
  <si>
    <t>Luke.5.10</t>
  </si>
  <si>
    <t>Luke.5.11</t>
  </si>
  <si>
    <t>Luke.5.12</t>
  </si>
  <si>
    <t>επεσαν</t>
  </si>
  <si>
    <t>Luke.5.14</t>
  </si>
  <si>
    <t>Luke.5.15</t>
  </si>
  <si>
    <t>διηρχετο</t>
  </si>
  <si>
    <t>διερχετο</t>
  </si>
  <si>
    <t>Luke.5.18</t>
  </si>
  <si>
    <t>εισενεγκεν</t>
  </si>
  <si>
    <t>Luke.5.19</t>
  </si>
  <si>
    <t>Luke.5.20</t>
  </si>
  <si>
    <t>αφεωνται</t>
  </si>
  <si>
    <t>Luke.5.21</t>
  </si>
  <si>
    <t>αφειναι</t>
  </si>
  <si>
    <t>Luke.5.23</t>
  </si>
  <si>
    <t>Luke.5.24</t>
  </si>
  <si>
    <t>Luke.5.26</t>
  </si>
  <si>
    <t>Luke.5.27</t>
  </si>
  <si>
    <t>Luke.5.30</t>
  </si>
  <si>
    <t>πεινεται·</t>
  </si>
  <si>
    <t>πινεται</t>
  </si>
  <si>
    <t>Luke.5.33</t>
  </si>
  <si>
    <t>Luke.5.34</t>
  </si>
  <si>
    <t>νυνφωνος</t>
  </si>
  <si>
    <t>νυμφωνος</t>
  </si>
  <si>
    <t>Luke.5.35</t>
  </si>
  <si>
    <t>νηστευσουσιν</t>
  </si>
  <si>
    <t>Luke.5.36</t>
  </si>
  <si>
    <t>σχεισει</t>
  </si>
  <si>
    <t>σχειζει</t>
  </si>
  <si>
    <t>συνφωνησει</t>
  </si>
  <si>
    <t>συμφωνησει</t>
  </si>
  <si>
    <t>Luke.5.37</t>
  </si>
  <si>
    <t>Luke.6.1</t>
  </si>
  <si>
    <t>Luke.6.3</t>
  </si>
  <si>
    <t>Luke.6.4</t>
  </si>
  <si>
    <t>προσθεσεως</t>
  </si>
  <si>
    <t>προθεσεως</t>
  </si>
  <si>
    <t>Luke.6.7</t>
  </si>
  <si>
    <t>Luke.6.8</t>
  </si>
  <si>
    <t>Luke.6.9</t>
  </si>
  <si>
    <t>Luke.6.12</t>
  </si>
  <si>
    <t>προσευξασθαι</t>
  </si>
  <si>
    <t>Luke.6.13</t>
  </si>
  <si>
    <t>Luke.6.14</t>
  </si>
  <si>
    <t>σιμωνα</t>
  </si>
  <si>
    <t>σιμωσιμωνα</t>
  </si>
  <si>
    <t>επωνομασεν</t>
  </si>
  <si>
    <t>επνωμασεν</t>
  </si>
  <si>
    <t>Luke.6.15</t>
  </si>
  <si>
    <t>Luke.6.19</t>
  </si>
  <si>
    <t>αψασθε</t>
  </si>
  <si>
    <t>αψεσθε</t>
  </si>
  <si>
    <t>Luke.6.20</t>
  </si>
  <si>
    <t>Luke.6.22</t>
  </si>
  <si>
    <t>Luke.6.23</t>
  </si>
  <si>
    <t>Luke.6.26</t>
  </si>
  <si>
    <t>Luke.6.28</t>
  </si>
  <si>
    <t>επηρηαζοντων</t>
  </si>
  <si>
    <t>Luke.6.29</t>
  </si>
  <si>
    <t>Luke.6.30</t>
  </si>
  <si>
    <t>Luke.6.32</t>
  </si>
  <si>
    <t>Luke.6.33</t>
  </si>
  <si>
    <t>Luke.6.36</t>
  </si>
  <si>
    <t>οικτειρμων</t>
  </si>
  <si>
    <t>οικτιρμων</t>
  </si>
  <si>
    <t>Luke.6.38</t>
  </si>
  <si>
    <t>υπερεκχυννομενον</t>
  </si>
  <si>
    <t>υπερεκχυνομενον</t>
  </si>
  <si>
    <t>κολμων</t>
  </si>
  <si>
    <t>κολπον</t>
  </si>
  <si>
    <t>Luke.6.41</t>
  </si>
  <si>
    <t>Luke.6.42</t>
  </si>
  <si>
    <t>Luke.6.45</t>
  </si>
  <si>
    <t>προφερει</t>
  </si>
  <si>
    <t>προπροφερει</t>
  </si>
  <si>
    <t>Luke.6.48</t>
  </si>
  <si>
    <t>Luke.6.49</t>
  </si>
  <si>
    <t>Luke.7.2</t>
  </si>
  <si>
    <t>εκατονταρχου</t>
  </si>
  <si>
    <t>εκαταρχου</t>
  </si>
  <si>
    <t>Luke.7.7</t>
  </si>
  <si>
    <t>Luke.7.8</t>
  </si>
  <si>
    <t>πορευου</t>
  </si>
  <si>
    <t>πορευθου</t>
  </si>
  <si>
    <t>Luke.7.9</t>
  </si>
  <si>
    <t>Luke.7.10</t>
  </si>
  <si>
    <t>Luke.7.12</t>
  </si>
  <si>
    <t>ηγγισεν</t>
  </si>
  <si>
    <t>Luke.7.13</t>
  </si>
  <si>
    <t>Luke.7.14</t>
  </si>
  <si>
    <t>Luke.7.18</t>
  </si>
  <si>
    <t>Luke.7.20</t>
  </si>
  <si>
    <t>Luke.7.21</t>
  </si>
  <si>
    <t>Luke.7.22</t>
  </si>
  <si>
    <t>ιωανη</t>
  </si>
  <si>
    <t>ιωαννη</t>
  </si>
  <si>
    <t>ακοουσιν</t>
  </si>
  <si>
    <t>Luke.7.24</t>
  </si>
  <si>
    <t>ηρξατο</t>
  </si>
  <si>
    <t>εξηλθατε</t>
  </si>
  <si>
    <t>Luke.7.25</t>
  </si>
  <si>
    <t>εξελθατε</t>
  </si>
  <si>
    <t>Luke.7.26</t>
  </si>
  <si>
    <t>Luke.7.27</t>
  </si>
  <si>
    <t>Luke.7.28</t>
  </si>
  <si>
    <t>Luke.7.29</t>
  </si>
  <si>
    <t>Luke.7.32</t>
  </si>
  <si>
    <t>Luke.7.33</t>
  </si>
  <si>
    <t>Luke.7.37</t>
  </si>
  <si>
    <t>Luke.7.38</t>
  </si>
  <si>
    <t>δακρυσιν</t>
  </si>
  <si>
    <t>Luke.7.39</t>
  </si>
  <si>
    <t>ποδαπη</t>
  </si>
  <si>
    <t>Luke.7.40</t>
  </si>
  <si>
    <t>Luke.7.41</t>
  </si>
  <si>
    <t>χρεοφιλετε</t>
  </si>
  <si>
    <t>χρεοφειλετε</t>
  </si>
  <si>
    <t>ωφειλεν</t>
  </si>
  <si>
    <t>οφειλεν</t>
  </si>
  <si>
    <t>Luke.7.44</t>
  </si>
  <si>
    <t>δακρισιν</t>
  </si>
  <si>
    <t>Luke.7.49</t>
  </si>
  <si>
    <t>αφιησιν</t>
  </si>
  <si>
    <t>αφιησεν</t>
  </si>
  <si>
    <t>Luke.7.50</t>
  </si>
  <si>
    <t>Luke.8.2</t>
  </si>
  <si>
    <t>Luke.8.3</t>
  </si>
  <si>
    <t>Luke.8.4</t>
  </si>
  <si>
    <t>Luke.8.6</t>
  </si>
  <si>
    <t>Luke.8.8</t>
  </si>
  <si>
    <t>Luke.8.9</t>
  </si>
  <si>
    <t>συνιωσιν</t>
  </si>
  <si>
    <t>Luke.8.13</t>
  </si>
  <si>
    <t>Luke.8.16</t>
  </si>
  <si>
    <t>καλυπτει</t>
  </si>
  <si>
    <t>καταλυπτει</t>
  </si>
  <si>
    <t>κλεινης</t>
  </si>
  <si>
    <t>κλινης</t>
  </si>
  <si>
    <t>Luke.8.17</t>
  </si>
  <si>
    <t>γενησεται</t>
  </si>
  <si>
    <t>Luke.8.18</t>
  </si>
  <si>
    <t>Luke.8.19</t>
  </si>
  <si>
    <t>παρεγενετο</t>
  </si>
  <si>
    <t>παρεγενοντο</t>
  </si>
  <si>
    <t>Luke.8.20</t>
  </si>
  <si>
    <t>Luke.8.21</t>
  </si>
  <si>
    <t>Luke.8.22</t>
  </si>
  <si>
    <t>Luke.8.24</t>
  </si>
  <si>
    <t>επιτειμησεν</t>
  </si>
  <si>
    <t>Luke.8.25</t>
  </si>
  <si>
    <t>Luke.8.26</t>
  </si>
  <si>
    <t>Luke.8.27</t>
  </si>
  <si>
    <t>ενεδυδισκετο</t>
  </si>
  <si>
    <t>ενιδυδισκετο</t>
  </si>
  <si>
    <t>Luke.8.28</t>
  </si>
  <si>
    <t>Luke.8.29</t>
  </si>
  <si>
    <t>ακαρτω</t>
  </si>
  <si>
    <t>Luke.8.30</t>
  </si>
  <si>
    <t>λεγιων</t>
  </si>
  <si>
    <t>Luke.8.32</t>
  </si>
  <si>
    <t>Luke.8.33</t>
  </si>
  <si>
    <t>Luke.8.34</t>
  </si>
  <si>
    <t>εφυγαν</t>
  </si>
  <si>
    <t>Luke.8.35</t>
  </si>
  <si>
    <t>Luke.8.36</t>
  </si>
  <si>
    <t>Luke.8.37</t>
  </si>
  <si>
    <t>γερασηνων</t>
  </si>
  <si>
    <t>γαραζηνων</t>
  </si>
  <si>
    <t>ενβας</t>
  </si>
  <si>
    <t>Luke.8.38</t>
  </si>
  <si>
    <t>Luke.8.39</t>
  </si>
  <si>
    <t>Luke.8.41</t>
  </si>
  <si>
    <t>πεσων</t>
  </si>
  <si>
    <t>Luke.8.42</t>
  </si>
  <si>
    <t>Luke.8.43</t>
  </si>
  <si>
    <t>ισχυεν</t>
  </si>
  <si>
    <t>ισχυσεν</t>
  </si>
  <si>
    <t>Luke.8.45</t>
  </si>
  <si>
    <t>Luke.8.46</t>
  </si>
  <si>
    <t>Luke.8.47</t>
  </si>
  <si>
    <t>Luke.8.51</t>
  </si>
  <si>
    <t>Luke.8.52</t>
  </si>
  <si>
    <t>καιετε</t>
  </si>
  <si>
    <t>Luke.8.53</t>
  </si>
  <si>
    <t>κατελουν</t>
  </si>
  <si>
    <t>Luke.8.56</t>
  </si>
  <si>
    <t>Luke.9.1</t>
  </si>
  <si>
    <t>συνκαλεσαμενος</t>
  </si>
  <si>
    <t>συγκαλεσαμενος</t>
  </si>
  <si>
    <t>Luke.9.5</t>
  </si>
  <si>
    <t>Luke.9.6</t>
  </si>
  <si>
    <t>Luke.9.7</t>
  </si>
  <si>
    <t>Luke.9.9</t>
  </si>
  <si>
    <t>απεκεφαλισα</t>
  </si>
  <si>
    <t>απεκεφαπεκεφαλισα</t>
  </si>
  <si>
    <t>Luke.9.10</t>
  </si>
  <si>
    <t>βηδσαιδα</t>
  </si>
  <si>
    <t>βηθσαιδα</t>
  </si>
  <si>
    <t>Luke.9.11</t>
  </si>
  <si>
    <t>Luke.9.12</t>
  </si>
  <si>
    <t>κλεινειν</t>
  </si>
  <si>
    <t>κλινειν</t>
  </si>
  <si>
    <t>Luke.9.13</t>
  </si>
  <si>
    <t>Luke.9.16</t>
  </si>
  <si>
    <t>προσηυξατο</t>
  </si>
  <si>
    <t>Luke.9.19</t>
  </si>
  <si>
    <t>Luke.9.21</t>
  </si>
  <si>
    <t>επιτειμησας</t>
  </si>
  <si>
    <t>επιτιμησας</t>
  </si>
  <si>
    <t>Luke.9.22</t>
  </si>
  <si>
    <t>Luke.9.24</t>
  </si>
  <si>
    <t>Luke.9.25</t>
  </si>
  <si>
    <t>Luke.9.26</t>
  </si>
  <si>
    <t>Luke.9.27</t>
  </si>
  <si>
    <t>γευσωνται</t>
  </si>
  <si>
    <t>γευσονται</t>
  </si>
  <si>
    <t>Luke.9.28</t>
  </si>
  <si>
    <t>Luke.9.30</t>
  </si>
  <si>
    <t>Luke.9.31</t>
  </si>
  <si>
    <t>Luke.9.32</t>
  </si>
  <si>
    <t>Luke.9.33</t>
  </si>
  <si>
    <t>Luke.9.34</t>
  </si>
  <si>
    <t>Luke.9.35</t>
  </si>
  <si>
    <t>Luke.9.36</t>
  </si>
  <si>
    <t>Luke.9.38</t>
  </si>
  <si>
    <t>Luke.9.39</t>
  </si>
  <si>
    <t>Luke.9.40</t>
  </si>
  <si>
    <t>Luke.9.42</t>
  </si>
  <si>
    <t>Luke.9.45</t>
  </si>
  <si>
    <t>ηγνοουν</t>
  </si>
  <si>
    <t>ηγγοουν</t>
  </si>
  <si>
    <t>κεκαλυμμενον</t>
  </si>
  <si>
    <t>κεκαλυμενον</t>
  </si>
  <si>
    <t>Luke.9.48</t>
  </si>
  <si>
    <t>μεκροτερος</t>
  </si>
  <si>
    <t>Luke.9.49</t>
  </si>
  <si>
    <t>Luke.9.50</t>
  </si>
  <si>
    <t>Luke.9.52</t>
  </si>
  <si>
    <t>Luke.9.54</t>
  </si>
  <si>
    <t>Luke.9.58</t>
  </si>
  <si>
    <t>εχουσι</t>
  </si>
  <si>
    <t>Luke.9.61</t>
  </si>
  <si>
    <t>Luke.9.62</t>
  </si>
  <si>
    <t>επιβαλλων</t>
  </si>
  <si>
    <t>επιβαλων</t>
  </si>
  <si>
    <t>Luke.10.2</t>
  </si>
  <si>
    <t>Luke.10.4</t>
  </si>
  <si>
    <t>βαλλαντιον</t>
  </si>
  <si>
    <t>βαλαντιον</t>
  </si>
  <si>
    <t>Luke.10.5</t>
  </si>
  <si>
    <t>Luke.10.6</t>
  </si>
  <si>
    <t>επαναπαυσετε</t>
  </si>
  <si>
    <t>επαναπαυσατε</t>
  </si>
  <si>
    <t>Luke.10.7</t>
  </si>
  <si>
    <t>οικιας</t>
  </si>
  <si>
    <t>οικιαν·</t>
  </si>
  <si>
    <t>Luke.10.9</t>
  </si>
  <si>
    <t>Luke.10.11</t>
  </si>
  <si>
    <t>Luke.10.12</t>
  </si>
  <si>
    <t>Luke.10.13</t>
  </si>
  <si>
    <t>Luke.10.14</t>
  </si>
  <si>
    <t>Luke.10.15</t>
  </si>
  <si>
    <t>Luke.10.21</t>
  </si>
  <si>
    <t>Luke.10.22</t>
  </si>
  <si>
    <t>Luke.10.24</t>
  </si>
  <si>
    <t>Luke.10.26</t>
  </si>
  <si>
    <t>αναγεινωσκεις</t>
  </si>
  <si>
    <t>αναγινωσκεις</t>
  </si>
  <si>
    <t>Luke.10.27</t>
  </si>
  <si>
    <t>Luke.10.28</t>
  </si>
  <si>
    <t>ζησεις·</t>
  </si>
  <si>
    <t>ζησει</t>
  </si>
  <si>
    <t>Luke.10.29</t>
  </si>
  <si>
    <t>Luke.10.30</t>
  </si>
  <si>
    <t>περιεπεν</t>
  </si>
  <si>
    <t>Luke.10.31</t>
  </si>
  <si>
    <t>καταβαινων</t>
  </si>
  <si>
    <t>Luke.10.32</t>
  </si>
  <si>
    <t>Luke.10.33</t>
  </si>
  <si>
    <t>σαμαριτης</t>
  </si>
  <si>
    <t>σαμαρειτης</t>
  </si>
  <si>
    <t>εσπλαγχισθη</t>
  </si>
  <si>
    <t>Luke.10.35</t>
  </si>
  <si>
    <t>πανδοκει</t>
  </si>
  <si>
    <t>Luke.10.36</t>
  </si>
  <si>
    <t>Luke.10.37</t>
  </si>
  <si>
    <t>Luke.10.40</t>
  </si>
  <si>
    <t>Luke.10.41</t>
  </si>
  <si>
    <t>Luke.10.42</t>
  </si>
  <si>
    <t>Luke.11.1</t>
  </si>
  <si>
    <t>Luke.11.2</t>
  </si>
  <si>
    <t>θελημα</t>
  </si>
  <si>
    <t>θελεμα</t>
  </si>
  <si>
    <t>Luke.11.4</t>
  </si>
  <si>
    <t>Luke.11.5</t>
  </si>
  <si>
    <t>εξει</t>
  </si>
  <si>
    <t>μεσανυκτιου</t>
  </si>
  <si>
    <t>Luke.11.6</t>
  </si>
  <si>
    <t>Luke.11.7</t>
  </si>
  <si>
    <t>Luke.11.8</t>
  </si>
  <si>
    <t>αναιδιαν</t>
  </si>
  <si>
    <t>αναιδειαν</t>
  </si>
  <si>
    <t>χρηζει·</t>
  </si>
  <si>
    <t>χρηξει</t>
  </si>
  <si>
    <t>Luke.11.11</t>
  </si>
  <si>
    <t>Luke.11.12</t>
  </si>
  <si>
    <t>επειδωσει</t>
  </si>
  <si>
    <t>επιδωσει</t>
  </si>
  <si>
    <t>Luke.11.14</t>
  </si>
  <si>
    <t>δαιμονιζομενος</t>
  </si>
  <si>
    <t>εκβαλοντος</t>
  </si>
  <si>
    <t>εκβαλλοντος</t>
  </si>
  <si>
    <t>Luke.11.15</t>
  </si>
  <si>
    <t>Luke.11.17</t>
  </si>
  <si>
    <t>Luke.11.19</t>
  </si>
  <si>
    <t>Luke.11.22</t>
  </si>
  <si>
    <t>Luke.11.25</t>
  </si>
  <si>
    <t>Luke.11.26</t>
  </si>
  <si>
    <t>Luke.11.27</t>
  </si>
  <si>
    <t>Luke.11.29</t>
  </si>
  <si>
    <t>επαθροζομενων</t>
  </si>
  <si>
    <t>Luke.11.30</t>
  </si>
  <si>
    <t>τρισνυκτας</t>
  </si>
  <si>
    <t>Luke.11.34</t>
  </si>
  <si>
    <t>Luke.11.40</t>
  </si>
  <si>
    <t>Luke.11.41</t>
  </si>
  <si>
    <t>Luke.11.45</t>
  </si>
  <si>
    <t>υβρειζεις</t>
  </si>
  <si>
    <t>υβριζεις</t>
  </si>
  <si>
    <t>Luke.11.46</t>
  </si>
  <si>
    <t>Luke.11.48</t>
  </si>
  <si>
    <t>Luke.11.49</t>
  </si>
  <si>
    <t>αποστελω</t>
  </si>
  <si>
    <t>Luke.11.50</t>
  </si>
  <si>
    <t>Luke.11.51</t>
  </si>
  <si>
    <t>Luke.11.52</t>
  </si>
  <si>
    <t>εισπορευομενους</t>
  </si>
  <si>
    <t>εισερχομενους</t>
  </si>
  <si>
    <t>Luke.11.53</t>
  </si>
  <si>
    <t>Luke.11.54</t>
  </si>
  <si>
    <t>Luke.12.1</t>
  </si>
  <si>
    <t>συνπνιγνειν</t>
  </si>
  <si>
    <t>Luke.12.2</t>
  </si>
  <si>
    <t>συνκεκαλυμμενον</t>
  </si>
  <si>
    <t>συγκεκαλυμμενον</t>
  </si>
  <si>
    <t>Luke.12.4</t>
  </si>
  <si>
    <t>Luke.12.5</t>
  </si>
  <si>
    <t>Luke.12.7</t>
  </si>
  <si>
    <t>Luke.12.8</t>
  </si>
  <si>
    <t>Luke.12.10</t>
  </si>
  <si>
    <t>Luke.12.11</t>
  </si>
  <si>
    <t>απολογησησθε</t>
  </si>
  <si>
    <t>απολογησεσθε</t>
  </si>
  <si>
    <t>Luke.12.13</t>
  </si>
  <si>
    <t>Luke.12.20</t>
  </si>
  <si>
    <t>Luke.12.22</t>
  </si>
  <si>
    <t>φαγητε</t>
  </si>
  <si>
    <t>Luke.12.24</t>
  </si>
  <si>
    <t>Luke.12.25</t>
  </si>
  <si>
    <t>ηλικειαν</t>
  </si>
  <si>
    <t>ηλικιαν</t>
  </si>
  <si>
    <t>Luke.12.26</t>
  </si>
  <si>
    <t>Luke.12.31</t>
  </si>
  <si>
    <t>Luke.12.33</t>
  </si>
  <si>
    <t>βαλλαντια</t>
  </si>
  <si>
    <t>βαλαντια</t>
  </si>
  <si>
    <t>ανεγλιπτον</t>
  </si>
  <si>
    <t>ανελιπτον</t>
  </si>
  <si>
    <t>διαφθερει</t>
  </si>
  <si>
    <t>διαφθενρει</t>
  </si>
  <si>
    <t>Luke.12.34</t>
  </si>
  <si>
    <t>Luke.12.35</t>
  </si>
  <si>
    <t>περιεσζωσμενη</t>
  </si>
  <si>
    <t>περιεζωσμενη</t>
  </si>
  <si>
    <t>λυχλοι</t>
  </si>
  <si>
    <t>λυχνοι</t>
  </si>
  <si>
    <t>Luke.12.36</t>
  </si>
  <si>
    <t>Luke.12.38</t>
  </si>
  <si>
    <t>Luke.12.39</t>
  </si>
  <si>
    <t>Luke.12.40</t>
  </si>
  <si>
    <t>Luke.12.42</t>
  </si>
  <si>
    <t>Luke.12.44</t>
  </si>
  <si>
    <t>Luke.12.45</t>
  </si>
  <si>
    <t>Luke.12.46</t>
  </si>
  <si>
    <t>ηξει</t>
  </si>
  <si>
    <t>Luke.12.48</t>
  </si>
  <si>
    <t>Luke.12.53</t>
  </si>
  <si>
    <t>Luke.12.55</t>
  </si>
  <si>
    <t>πλεοντα</t>
  </si>
  <si>
    <t>πνεοντα</t>
  </si>
  <si>
    <t>Luke.12.56</t>
  </si>
  <si>
    <t>Luke.12.57</t>
  </si>
  <si>
    <t>κρινεται</t>
  </si>
  <si>
    <t>κριναται</t>
  </si>
  <si>
    <t>Luke.12.58</t>
  </si>
  <si>
    <t>κατακρεινη</t>
  </si>
  <si>
    <t>κατακρινη</t>
  </si>
  <si>
    <t>Luke.12.59</t>
  </si>
  <si>
    <t>αποδοις</t>
  </si>
  <si>
    <t>αποδως</t>
  </si>
  <si>
    <t>Luke.13.1</t>
  </si>
  <si>
    <t>εμειξεν</t>
  </si>
  <si>
    <t>εμιξεν</t>
  </si>
  <si>
    <t>Luke.13.2</t>
  </si>
  <si>
    <t>Luke.13.3</t>
  </si>
  <si>
    <t>μετανοησητε</t>
  </si>
  <si>
    <t>μετανοησατε</t>
  </si>
  <si>
    <t>Luke.13.4</t>
  </si>
  <si>
    <t>Luke.13.5</t>
  </si>
  <si>
    <t>μετανοησηται</t>
  </si>
  <si>
    <t>μετανοσηται</t>
  </si>
  <si>
    <t>Luke.13.6</t>
  </si>
  <si>
    <t>Luke.13.7</t>
  </si>
  <si>
    <t>Luke.13.8</t>
  </si>
  <si>
    <t>Luke.13.10</t>
  </si>
  <si>
    <t>Luke.13.11</t>
  </si>
  <si>
    <t>συνκαπτουσα</t>
  </si>
  <si>
    <t>Luke.13.13</t>
  </si>
  <si>
    <t>εδοξαζεν</t>
  </si>
  <si>
    <t>εδοξασεν</t>
  </si>
  <si>
    <t>Luke.13.14</t>
  </si>
  <si>
    <t>Luke.13.16</t>
  </si>
  <si>
    <t>Luke.13.17</t>
  </si>
  <si>
    <t>Luke.13.19</t>
  </si>
  <si>
    <t>Luke.13.20</t>
  </si>
  <si>
    <t>Luke.13.24</t>
  </si>
  <si>
    <t>Luke.13.25</t>
  </si>
  <si>
    <t>Luke.13.26</t>
  </si>
  <si>
    <t>αρξησθε</t>
  </si>
  <si>
    <t>αρξεσθε</t>
  </si>
  <si>
    <t>Luke.13.28</t>
  </si>
  <si>
    <t>οψησθαι</t>
  </si>
  <si>
    <t>Luke.13.29</t>
  </si>
  <si>
    <t>ανακλειθησονται</t>
  </si>
  <si>
    <t>ανεκλειθησονται</t>
  </si>
  <si>
    <t>Luke.13.30</t>
  </si>
  <si>
    <t>Luke.13.31</t>
  </si>
  <si>
    <t>ηρωδης</t>
  </si>
  <si>
    <t>ηρωθης</t>
  </si>
  <si>
    <t>Luke.13.32</t>
  </si>
  <si>
    <t>Luke.13.33</t>
  </si>
  <si>
    <t>Luke.13.34</t>
  </si>
  <si>
    <t>Luke.13.35</t>
  </si>
  <si>
    <t>Luke.14.1</t>
  </si>
  <si>
    <t>Luke.14.5</t>
  </si>
  <si>
    <t>Luke.14.6</t>
  </si>
  <si>
    <t>απεκριθησαν</t>
  </si>
  <si>
    <t>αποκριθησαν</t>
  </si>
  <si>
    <t>Luke.14.9</t>
  </si>
  <si>
    <t>Luke.14.10</t>
  </si>
  <si>
    <t>αναπειπτε</t>
  </si>
  <si>
    <t>αναπεσειτε</t>
  </si>
  <si>
    <t>Luke.14.13</t>
  </si>
  <si>
    <t>Luke.14.16</t>
  </si>
  <si>
    <t>δειπον</t>
  </si>
  <si>
    <t>Luke.14.18</t>
  </si>
  <si>
    <t>Luke.14.20</t>
  </si>
  <si>
    <t>Luke.14.21</t>
  </si>
  <si>
    <t>Luke.14.22</t>
  </si>
  <si>
    <t>Luke.14.23</t>
  </si>
  <si>
    <t>Luke.14.26</t>
  </si>
  <si>
    <t>Luke.14.30</t>
  </si>
  <si>
    <t>Luke.14.31</t>
  </si>
  <si>
    <t>Luke.14.32</t>
  </si>
  <si>
    <t>οντος</t>
  </si>
  <si>
    <t>Luke.14.35</t>
  </si>
  <si>
    <t>Luke.15.2</t>
  </si>
  <si>
    <t>Luke.15.4</t>
  </si>
  <si>
    <t>Luke.15.6</t>
  </si>
  <si>
    <t>συνκαλειται</t>
  </si>
  <si>
    <t>συγκαλειται</t>
  </si>
  <si>
    <t>συνχαρητε</t>
  </si>
  <si>
    <t>συγχαρητε</t>
  </si>
  <si>
    <t>απωλολος</t>
  </si>
  <si>
    <t>Luke.15.7</t>
  </si>
  <si>
    <t>μετανοουντι</t>
  </si>
  <si>
    <t>μετανουντι</t>
  </si>
  <si>
    <t>Luke.15.8</t>
  </si>
  <si>
    <t>Luke.15.9</t>
  </si>
  <si>
    <t>Luke.15.13</t>
  </si>
  <si>
    <t>Luke.15.14</t>
  </si>
  <si>
    <t>Luke.15.15</t>
  </si>
  <si>
    <t>πολειτων</t>
  </si>
  <si>
    <t>πολιτων</t>
  </si>
  <si>
    <t>Luke.15.16</t>
  </si>
  <si>
    <t>Luke.15.19</t>
  </si>
  <si>
    <t>ποιησον</t>
  </si>
  <si>
    <t>ποιησαν</t>
  </si>
  <si>
    <t>Luke.15.20</t>
  </si>
  <si>
    <t>ενεπεπεσεν</t>
  </si>
  <si>
    <t>ενεπεσεν</t>
  </si>
  <si>
    <t>Luke.15.21</t>
  </si>
  <si>
    <t>Luke.15.22</t>
  </si>
  <si>
    <t>Luke.15.23</t>
  </si>
  <si>
    <t>σειτευτον</t>
  </si>
  <si>
    <t>σιτευτον</t>
  </si>
  <si>
    <t>Luke.15.24</t>
  </si>
  <si>
    <t>απολωλως</t>
  </si>
  <si>
    <t>Luke.15.27</t>
  </si>
  <si>
    <t>Luke.15.29</t>
  </si>
  <si>
    <t>Luke.15.30</t>
  </si>
  <si>
    <t>Luke.16.1</t>
  </si>
  <si>
    <t>διασκορπιζων</t>
  </si>
  <si>
    <t>διεσκορπιζων</t>
  </si>
  <si>
    <t>Luke.16.4</t>
  </si>
  <si>
    <t>Luke.16.5</t>
  </si>
  <si>
    <t>χρεοφιλετων</t>
  </si>
  <si>
    <t>χρεωφειλετων</t>
  </si>
  <si>
    <t>Luke.16.6</t>
  </si>
  <si>
    <t>καδους</t>
  </si>
  <si>
    <t>Luke.16.9</t>
  </si>
  <si>
    <t>μαμωνα</t>
  </si>
  <si>
    <t>Luke.16.11</t>
  </si>
  <si>
    <t>μαμονα</t>
  </si>
  <si>
    <t>Luke.16.13</t>
  </si>
  <si>
    <t>Luke.16.16</t>
  </si>
  <si>
    <t>Luke.16.18</t>
  </si>
  <si>
    <t>Luke.16.19</t>
  </si>
  <si>
    <t>Luke.16.20</t>
  </si>
  <si>
    <t>Luke.16.22</t>
  </si>
  <si>
    <t>Luke.16.24</t>
  </si>
  <si>
    <t>Luke.16.26</t>
  </si>
  <si>
    <t>Luke.16.27</t>
  </si>
  <si>
    <t>Luke.16.29</t>
  </si>
  <si>
    <t>Luke.16.30</t>
  </si>
  <si>
    <t>Luke.16.31</t>
  </si>
  <si>
    <t>Luke.17.1</t>
  </si>
  <si>
    <t>Luke.17.2</t>
  </si>
  <si>
    <t>Luke.17.4</t>
  </si>
  <si>
    <t>Luke.17.6</t>
  </si>
  <si>
    <t>Luke.17.7</t>
  </si>
  <si>
    <t>Luke.17.8</t>
  </si>
  <si>
    <t>Luke.17.9</t>
  </si>
  <si>
    <t>Luke.17.10</t>
  </si>
  <si>
    <t>Luke.17.13</t>
  </si>
  <si>
    <t>Luke.17.14</t>
  </si>
  <si>
    <t>Luke.17.16</t>
  </si>
  <si>
    <t>Luke.17.20</t>
  </si>
  <si>
    <t>Luke.17.21</t>
  </si>
  <si>
    <t>Luke.17.23</t>
  </si>
  <si>
    <t>Luke.17.25</t>
  </si>
  <si>
    <t>Luke.17.29</t>
  </si>
  <si>
    <t>Luke.17.31</t>
  </si>
  <si>
    <t>Luke.17.32</t>
  </si>
  <si>
    <t>μνημονευετε</t>
  </si>
  <si>
    <t>μνημονυετε</t>
  </si>
  <si>
    <t>Luke.17.33</t>
  </si>
  <si>
    <t>Luke.17.34</t>
  </si>
  <si>
    <t>παραλαμβανετε</t>
  </si>
  <si>
    <t>παραλαμβαντε</t>
  </si>
  <si>
    <t>Luke.17.35</t>
  </si>
  <si>
    <t>Luke.18.1</t>
  </si>
  <si>
    <t>Luke.18.7</t>
  </si>
  <si>
    <t>Luke.18.9</t>
  </si>
  <si>
    <t>Luke.18.10</t>
  </si>
  <si>
    <t>τελωλωνης</t>
  </si>
  <si>
    <t>τελωνης</t>
  </si>
  <si>
    <t>Luke.18.11</t>
  </si>
  <si>
    <t>Luke.18.13</t>
  </si>
  <si>
    <t>Luke.18.14</t>
  </si>
  <si>
    <t>Luke.18.18</t>
  </si>
  <si>
    <t>Luke.18.20</t>
  </si>
  <si>
    <t>Luke.18.22</t>
  </si>
  <si>
    <t>ακολουθει</t>
  </si>
  <si>
    <t>Luke.18.25</t>
  </si>
  <si>
    <t>Luke.18.30</t>
  </si>
  <si>
    <t>Luke.18.32</t>
  </si>
  <si>
    <t>Luke.18.33</t>
  </si>
  <si>
    <t>Luke.18.34</t>
  </si>
  <si>
    <t>εγεινωσκον</t>
  </si>
  <si>
    <t>εγινωσκον</t>
  </si>
  <si>
    <t>Luke.18.35</t>
  </si>
  <si>
    <t>ενγειζειν</t>
  </si>
  <si>
    <t>εγγειζειν</t>
  </si>
  <si>
    <t>Luke.18.37</t>
  </si>
  <si>
    <t>ναζαρηνος</t>
  </si>
  <si>
    <t>ναζωρηνος</t>
  </si>
  <si>
    <t>Luke.18.39</t>
  </si>
  <si>
    <t>Luke.18.40</t>
  </si>
  <si>
    <t>εγγισαντος</t>
  </si>
  <si>
    <t>εγγιζαντος</t>
  </si>
  <si>
    <t>Luke.18.41</t>
  </si>
  <si>
    <t>Luke.19.1</t>
  </si>
  <si>
    <t>Luke.19.2</t>
  </si>
  <si>
    <t>Luke.19.7</t>
  </si>
  <si>
    <t>Luke.19.8</t>
  </si>
  <si>
    <t>Luke.19.9</t>
  </si>
  <si>
    <t>Luke.19.11</t>
  </si>
  <si>
    <t>αναφαινεσθαι</t>
  </si>
  <si>
    <t>αναφραινεσθαι</t>
  </si>
  <si>
    <t>Luke.19.12</t>
  </si>
  <si>
    <t>υπεστρεψε</t>
  </si>
  <si>
    <t>Luke.19.13</t>
  </si>
  <si>
    <t>πραγματευεσθαι</t>
  </si>
  <si>
    <t>πραγματευσασθαι</t>
  </si>
  <si>
    <t>Luke.19.14</t>
  </si>
  <si>
    <t>Luke.19.15</t>
  </si>
  <si>
    <t>Luke.19.16</t>
  </si>
  <si>
    <t>προσηργασατο</t>
  </si>
  <si>
    <t>προσηργαζετο</t>
  </si>
  <si>
    <t>Luke.19.18</t>
  </si>
  <si>
    <t>Luke.19.19</t>
  </si>
  <si>
    <t>γεινου</t>
  </si>
  <si>
    <t>γινου</t>
  </si>
  <si>
    <t>Luke.19.20</t>
  </si>
  <si>
    <t>Luke.19.21</t>
  </si>
  <si>
    <t>Luke.19.24</t>
  </si>
  <si>
    <t>απενενκατε</t>
  </si>
  <si>
    <t>απενεγκατε</t>
  </si>
  <si>
    <t>Luke.19.27</t>
  </si>
  <si>
    <t>Luke.19.28</t>
  </si>
  <si>
    <t>Luke.19.29</t>
  </si>
  <si>
    <t>Luke.19.30</t>
  </si>
  <si>
    <t>Luke.19.34</t>
  </si>
  <si>
    <t>Luke.19.37</t>
  </si>
  <si>
    <t>γεινομενων</t>
  </si>
  <si>
    <t>γενομενων</t>
  </si>
  <si>
    <t>Luke.19.38</t>
  </si>
  <si>
    <t>Luke.19.42</t>
  </si>
  <si>
    <t>Luke.19.44</t>
  </si>
  <si>
    <t>Luke.20.1</t>
  </si>
  <si>
    <t>αρχιερις</t>
  </si>
  <si>
    <t>Luke.20.3</t>
  </si>
  <si>
    <t>Luke.20.4</t>
  </si>
  <si>
    <t>Luke.20.6</t>
  </si>
  <si>
    <t>Luke.20.9</t>
  </si>
  <si>
    <t>απελωνα</t>
  </si>
  <si>
    <t>Luke.20.11</t>
  </si>
  <si>
    <t>εξαπειλαν</t>
  </si>
  <si>
    <t>εξαπεστειλαν</t>
  </si>
  <si>
    <t>Luke.20.17</t>
  </si>
  <si>
    <t>εγενηθη</t>
  </si>
  <si>
    <t>Luke.20.19</t>
  </si>
  <si>
    <t>Luke.20.20</t>
  </si>
  <si>
    <t>ενκαθετους</t>
  </si>
  <si>
    <t>εγκαθετους</t>
  </si>
  <si>
    <t>Luke.20.21</t>
  </si>
  <si>
    <t>Luke.20.24</t>
  </si>
  <si>
    <t>Luke.20.29</t>
  </si>
  <si>
    <t>Luke.20.33</t>
  </si>
  <si>
    <t>εχον</t>
  </si>
  <si>
    <t>εσχον</t>
  </si>
  <si>
    <t>Luke.20.34</t>
  </si>
  <si>
    <t>Luke.20.37</t>
  </si>
  <si>
    <t>ισαικ</t>
  </si>
  <si>
    <t>Luke.20.42</t>
  </si>
  <si>
    <t>βυβλω</t>
  </si>
  <si>
    <t>βιβλω</t>
  </si>
  <si>
    <t>Luke.20.43</t>
  </si>
  <si>
    <t>Luke.20.44</t>
  </si>
  <si>
    <t>Luke.20.45</t>
  </si>
  <si>
    <t>Luke.20.47</t>
  </si>
  <si>
    <t>κατεσθοντες</t>
  </si>
  <si>
    <t>κατεσθιοντες</t>
  </si>
  <si>
    <t>Luke.21.1</t>
  </si>
  <si>
    <t>Luke.21.4</t>
  </si>
  <si>
    <t>Luke.21.5</t>
  </si>
  <si>
    <t>αναθημασιν</t>
  </si>
  <si>
    <t>αναθεμασιν</t>
  </si>
  <si>
    <t>Luke.21.6</t>
  </si>
  <si>
    <t>Luke.21.7</t>
  </si>
  <si>
    <t>Luke.21.11</t>
  </si>
  <si>
    <t>φοβητρα</t>
  </si>
  <si>
    <t>φοβηθρα</t>
  </si>
  <si>
    <t>Luke.21.12</t>
  </si>
  <si>
    <t>Luke.21.13</t>
  </si>
  <si>
    <t>Luke.21.14</t>
  </si>
  <si>
    <t>προμελετωντες</t>
  </si>
  <si>
    <t>προμελεταντες</t>
  </si>
  <si>
    <t>Luke.21.16</t>
  </si>
  <si>
    <t>συνγενων</t>
  </si>
  <si>
    <t>συγγενων</t>
  </si>
  <si>
    <t>Luke.21.17</t>
  </si>
  <si>
    <t>Luke.21.21</t>
  </si>
  <si>
    <t>εκχωριτωσαν</t>
  </si>
  <si>
    <t>Luke.21.26</t>
  </si>
  <si>
    <t>σαλευθησονται·</t>
  </si>
  <si>
    <t>σαλευσθησονται</t>
  </si>
  <si>
    <t>Luke.21.27</t>
  </si>
  <si>
    <t>Luke.21.28</t>
  </si>
  <si>
    <t>Luke.21.29</t>
  </si>
  <si>
    <t>Luke.21.30</t>
  </si>
  <si>
    <t>Luke.21.31</t>
  </si>
  <si>
    <t>Luke.21.34</t>
  </si>
  <si>
    <t>Luke.21.35</t>
  </si>
  <si>
    <t>Luke.21.36</t>
  </si>
  <si>
    <t>Luke.21.37</t>
  </si>
  <si>
    <t>ηυλησετο</t>
  </si>
  <si>
    <t>ηυλιζετο</t>
  </si>
  <si>
    <t>Luke.22.1</t>
  </si>
  <si>
    <t>Luke.22.2</t>
  </si>
  <si>
    <t>εφοβουτο</t>
  </si>
  <si>
    <t>Luke.22.3</t>
  </si>
  <si>
    <t>Luke.22.5</t>
  </si>
  <si>
    <t>Luke.22.8</t>
  </si>
  <si>
    <t>Luke.22.11</t>
  </si>
  <si>
    <t>Luke.22.12</t>
  </si>
  <si>
    <t>Luke.22.13</t>
  </si>
  <si>
    <t>Luke.22.16</t>
  </si>
  <si>
    <t>Luke.22.18</t>
  </si>
  <si>
    <t>γενηματος</t>
  </si>
  <si>
    <t>γεννηματος</t>
  </si>
  <si>
    <t>Luke.22.19</t>
  </si>
  <si>
    <t>Luke.22.24</t>
  </si>
  <si>
    <t>Luke.22.26</t>
  </si>
  <si>
    <t>μεικροτερος</t>
  </si>
  <si>
    <t>Luke.22.27</t>
  </si>
  <si>
    <t>Luke.22.28</t>
  </si>
  <si>
    <t>Luke.22.29</t>
  </si>
  <si>
    <t>Luke.22.30</t>
  </si>
  <si>
    <t>εσθητε</t>
  </si>
  <si>
    <t>πεινηται</t>
  </si>
  <si>
    <t>πινηται</t>
  </si>
  <si>
    <t>Luke.22.32</t>
  </si>
  <si>
    <t>Luke.22.34</t>
  </si>
  <si>
    <t>Luke.22.35</t>
  </si>
  <si>
    <t>βαλλαντιου</t>
  </si>
  <si>
    <t>βαλαντιου</t>
  </si>
  <si>
    <t>Luke.22.36</t>
  </si>
  <si>
    <t>Luke.22.38</t>
  </si>
  <si>
    <t>Luke.22.39</t>
  </si>
  <si>
    <t>Luke.22.42</t>
  </si>
  <si>
    <t>Luke.22.46</t>
  </si>
  <si>
    <t>Luke.22.47</t>
  </si>
  <si>
    <t>εγγισας</t>
  </si>
  <si>
    <t>Luke.22.48</t>
  </si>
  <si>
    <t>Luke.22.49</t>
  </si>
  <si>
    <t>Luke.22.50</t>
  </si>
  <si>
    <t>δεξιον</t>
  </si>
  <si>
    <t>Luke.22.53</t>
  </si>
  <si>
    <t>εξεστινατε</t>
  </si>
  <si>
    <t>Luke.22.56</t>
  </si>
  <si>
    <t>Luke.22.57</t>
  </si>
  <si>
    <t>Luke.22.58</t>
  </si>
  <si>
    <t>Luke.22.59</t>
  </si>
  <si>
    <t>διαστησας</t>
  </si>
  <si>
    <t>διαστασης</t>
  </si>
  <si>
    <t>ετιν</t>
  </si>
  <si>
    <t>Luke.22.61</t>
  </si>
  <si>
    <t>Luke.22.66</t>
  </si>
  <si>
    <t>Luke.22.68</t>
  </si>
  <si>
    <t>Luke.23.1</t>
  </si>
  <si>
    <t>Luke.23.2</t>
  </si>
  <si>
    <t>Luke.23.3</t>
  </si>
  <si>
    <t>αποκριθη</t>
  </si>
  <si>
    <t>Luke.23.6</t>
  </si>
  <si>
    <t>Luke.23.8</t>
  </si>
  <si>
    <t>Luke.23.10</t>
  </si>
  <si>
    <t>γραμματις</t>
  </si>
  <si>
    <t>Luke.23.11</t>
  </si>
  <si>
    <t>Luke.23.12</t>
  </si>
  <si>
    <t>Luke.23.13</t>
  </si>
  <si>
    <t>Luke.23.14</t>
  </si>
  <si>
    <t>Luke.23.15</t>
  </si>
  <si>
    <t>Luke.23.21</t>
  </si>
  <si>
    <t>Luke.23.23</t>
  </si>
  <si>
    <t>Luke.23.24</t>
  </si>
  <si>
    <t>Luke.23.25</t>
  </si>
  <si>
    <t>Luke.23.26</t>
  </si>
  <si>
    <t>οπεισοθεν</t>
  </si>
  <si>
    <t>οπεισθεν</t>
  </si>
  <si>
    <t>Luke.23.27</t>
  </si>
  <si>
    <t>Luke.23.28</t>
  </si>
  <si>
    <t>ιερουερουσαλημ</t>
  </si>
  <si>
    <t>Luke.23.29</t>
  </si>
  <si>
    <t>μασθοι</t>
  </si>
  <si>
    <t>Luke.23.34</t>
  </si>
  <si>
    <t>Luke.23.35</t>
  </si>
  <si>
    <t>Luke.23.36</t>
  </si>
  <si>
    <t>προσεφερον</t>
  </si>
  <si>
    <t>προσφερον</t>
  </si>
  <si>
    <t>Luke.23.38</t>
  </si>
  <si>
    <t>Luke.23.39</t>
  </si>
  <si>
    <t>Luke.23.41</t>
  </si>
  <si>
    <t>Luke.23.43</t>
  </si>
  <si>
    <t>Luke.23.44</t>
  </si>
  <si>
    <t>εννατης</t>
  </si>
  <si>
    <t>Luke.23.46</t>
  </si>
  <si>
    <t>παρατιθημι</t>
  </si>
  <si>
    <t>παρατιθειμι</t>
  </si>
  <si>
    <t>Luke.23.47</t>
  </si>
  <si>
    <t>οντως</t>
  </si>
  <si>
    <t>Luke.23.48</t>
  </si>
  <si>
    <t>Luke.23.49</t>
  </si>
  <si>
    <t>Luke.23.50</t>
  </si>
  <si>
    <t>Luke.23.51</t>
  </si>
  <si>
    <t>συνκατατιθεμενος</t>
  </si>
  <si>
    <t>συνκατατιθειμενος</t>
  </si>
  <si>
    <t>αριμαθιας</t>
  </si>
  <si>
    <t>αριμαθαιας</t>
  </si>
  <si>
    <t>Luke.23.52</t>
  </si>
  <si>
    <t>Luke.23.54</t>
  </si>
  <si>
    <t>Luke.23.55</t>
  </si>
  <si>
    <t>κατηκολουθησαν</t>
  </si>
  <si>
    <t>κατακολουθησαν</t>
  </si>
  <si>
    <t>Luke.23.56</t>
  </si>
  <si>
    <t>ητοιμασαν</t>
  </si>
  <si>
    <t>Luke.24.1</t>
  </si>
  <si>
    <t>ελογιζοντο</t>
  </si>
  <si>
    <t>ελογισαντο</t>
  </si>
  <si>
    <t>Luke.24.3</t>
  </si>
  <si>
    <t>Luke.24.4</t>
  </si>
  <si>
    <t>Luke.24.9</t>
  </si>
  <si>
    <t>Luke.24.10</t>
  </si>
  <si>
    <t>ιωανα</t>
  </si>
  <si>
    <t>ιωαννα</t>
  </si>
  <si>
    <t>Luke.24.13</t>
  </si>
  <si>
    <t>Luke.24.14</t>
  </si>
  <si>
    <t>Luke.24.17</t>
  </si>
  <si>
    <t>Luke.24.18</t>
  </si>
  <si>
    <t>Luke.24.19</t>
  </si>
  <si>
    <t>Luke.24.21</t>
  </si>
  <si>
    <t>Luke.24.27</t>
  </si>
  <si>
    <t>ερμηνευειν</t>
  </si>
  <si>
    <t>ερμηνυσεν</t>
  </si>
  <si>
    <t>Luke.24.28</t>
  </si>
  <si>
    <t>πορευεσθαι</t>
  </si>
  <si>
    <t>προευεσθαι</t>
  </si>
  <si>
    <t>Luke.24.29</t>
  </si>
  <si>
    <t>παραβιασαντο</t>
  </si>
  <si>
    <t>καικλεικεν</t>
  </si>
  <si>
    <t>κεκλικεν</t>
  </si>
  <si>
    <t>Luke.24.30</t>
  </si>
  <si>
    <t>κατακλιθηναι</t>
  </si>
  <si>
    <t>κατακλισθηναι</t>
  </si>
  <si>
    <t>Luke.24.31</t>
  </si>
  <si>
    <t>Luke.24.32</t>
  </si>
  <si>
    <t>Luke.24.38</t>
  </si>
  <si>
    <t>Luke.24.39</t>
  </si>
  <si>
    <t>Luke.24.42</t>
  </si>
  <si>
    <t>Luke.24.44</t>
  </si>
  <si>
    <t>Luke.24.46</t>
  </si>
  <si>
    <t>Luke.24.48</t>
  </si>
  <si>
    <t>Luke.24.50</t>
  </si>
  <si>
    <t>John.1.3</t>
  </si>
  <si>
    <t>John.1.6</t>
  </si>
  <si>
    <t>John.1.12</t>
  </si>
  <si>
    <t>John.1.13</t>
  </si>
  <si>
    <t>John.1.14</t>
  </si>
  <si>
    <t>John.1.15</t>
  </si>
  <si>
    <t>John.1.16</t>
  </si>
  <si>
    <t>ημεις</t>
  </si>
  <si>
    <t>John.3.26</t>
  </si>
  <si>
    <t>John.3.29</t>
  </si>
  <si>
    <t>John.3.31</t>
  </si>
  <si>
    <t>John.3.33</t>
  </si>
  <si>
    <t>John.3.36</t>
  </si>
  <si>
    <t>John.4.1</t>
  </si>
  <si>
    <t>John.4.4</t>
  </si>
  <si>
    <t>σαμαριας</t>
  </si>
  <si>
    <t>σαμαρειας</t>
  </si>
  <si>
    <t>John.4.5</t>
  </si>
  <si>
    <t>συχαρ·</t>
  </si>
  <si>
    <t>σιχαρ</t>
  </si>
  <si>
    <t>John.4.6</t>
  </si>
  <si>
    <t>John.4.7</t>
  </si>
  <si>
    <t>John.4.9</t>
  </si>
  <si>
    <t>John.4.10</t>
  </si>
  <si>
    <t>John.4.11</t>
  </si>
  <si>
    <t>John.4.14</t>
  </si>
  <si>
    <t>γεννησεται</t>
  </si>
  <si>
    <t>John.4.15</t>
  </si>
  <si>
    <t>John.4.17</t>
  </si>
  <si>
    <t>απεκρειθη</t>
  </si>
  <si>
    <t>John.4.20</t>
  </si>
  <si>
    <t>John.4.21</t>
  </si>
  <si>
    <t>ουτεν</t>
  </si>
  <si>
    <t>John.4.23</t>
  </si>
  <si>
    <t>πευματι</t>
  </si>
  <si>
    <t>John.4.24</t>
  </si>
  <si>
    <t>John.4.25</t>
  </si>
  <si>
    <t>αναγγελει</t>
  </si>
  <si>
    <t>John.4.28</t>
  </si>
  <si>
    <t>John.4.29</t>
  </si>
  <si>
    <t>John.4.33</t>
  </si>
  <si>
    <t>John.4.36</t>
  </si>
  <si>
    <t>χαρη</t>
  </si>
  <si>
    <t>χαιρη</t>
  </si>
  <si>
    <t>John.4.37</t>
  </si>
  <si>
    <t>John.4.38</t>
  </si>
  <si>
    <t>John.4.40</t>
  </si>
  <si>
    <t>John.4.42</t>
  </si>
  <si>
    <t>John.4.45</t>
  </si>
  <si>
    <t>John.4.48</t>
  </si>
  <si>
    <t>John.4.49</t>
  </si>
  <si>
    <t>John.4.51</t>
  </si>
  <si>
    <t>John.4.52</t>
  </si>
  <si>
    <t>John.4.54</t>
  </si>
  <si>
    <t>John.5.3</t>
  </si>
  <si>
    <t>John.5.5</t>
  </si>
  <si>
    <t>ασθενια</t>
  </si>
  <si>
    <t>ασθενεια</t>
  </si>
  <si>
    <t>John.5.6</t>
  </si>
  <si>
    <t>John.5.7</t>
  </si>
  <si>
    <t>βαλη</t>
  </si>
  <si>
    <t>βαλλη</t>
  </si>
  <si>
    <t>John.5.8</t>
  </si>
  <si>
    <t>John.5.10</t>
  </si>
  <si>
    <t>τεθαραπευμενω</t>
  </si>
  <si>
    <t>τεθεραπευμενω</t>
  </si>
  <si>
    <t>John.5.12</t>
  </si>
  <si>
    <t>John.5.13</t>
  </si>
  <si>
    <t>John.5.15</t>
  </si>
  <si>
    <t>απηγγιλεν</t>
  </si>
  <si>
    <t>απηγγειλεν</t>
  </si>
  <si>
    <t>καγω</t>
  </si>
  <si>
    <t>John.5.18</t>
  </si>
  <si>
    <t>John.5.19</t>
  </si>
  <si>
    <t>John.5.21</t>
  </si>
  <si>
    <t>John.5.23</t>
  </si>
  <si>
    <t>John.5.24</t>
  </si>
  <si>
    <t>John.5.26</t>
  </si>
  <si>
    <t>John.5.29</t>
  </si>
  <si>
    <t>εξελευσονται</t>
  </si>
  <si>
    <t>εκελευσονται</t>
  </si>
  <si>
    <t>John.5.30</t>
  </si>
  <si>
    <t>John.5.32</t>
  </si>
  <si>
    <t>John.5.34</t>
  </si>
  <si>
    <t>John.5.35</t>
  </si>
  <si>
    <t>John.5.36</t>
  </si>
  <si>
    <t>ιωανου·</t>
  </si>
  <si>
    <t>μαρτυρι</t>
  </si>
  <si>
    <t>μαρτυρει</t>
  </si>
  <si>
    <t>John.5.37</t>
  </si>
  <si>
    <t>John.5.38</t>
  </si>
  <si>
    <t>John.5.39</t>
  </si>
  <si>
    <t>John.5.44</t>
  </si>
  <si>
    <t>ζητιτε</t>
  </si>
  <si>
    <t>John.5.45</t>
  </si>
  <si>
    <t>John.5.47</t>
  </si>
  <si>
    <t>John.6.2</t>
  </si>
  <si>
    <t>ηκολουθει</t>
  </si>
  <si>
    <t>John.6.3</t>
  </si>
  <si>
    <t>εκαθηζετο</t>
  </si>
  <si>
    <t>εκαθιζετο</t>
  </si>
  <si>
    <t>John.6.6</t>
  </si>
  <si>
    <t>εμελλεν</t>
  </si>
  <si>
    <t>John.6.7</t>
  </si>
  <si>
    <t>αποκρεινεται</t>
  </si>
  <si>
    <t>αποκρινεται</t>
  </si>
  <si>
    <t>John.6.9</t>
  </si>
  <si>
    <t>John.6.10</t>
  </si>
  <si>
    <t>John.6.11</t>
  </si>
  <si>
    <t>John.6.14</t>
  </si>
  <si>
    <t>John.6.15</t>
  </si>
  <si>
    <t>John.6.17</t>
  </si>
  <si>
    <t>John.6.19</t>
  </si>
  <si>
    <t>John.6.20</t>
  </si>
  <si>
    <t>John.6.22</t>
  </si>
  <si>
    <t>ειδαν</t>
  </si>
  <si>
    <t>John.6.23</t>
  </si>
  <si>
    <t>πλοιαρειων</t>
  </si>
  <si>
    <t>πλοιαριων</t>
  </si>
  <si>
    <t>John.6.24</t>
  </si>
  <si>
    <t>John.6.25</t>
  </si>
  <si>
    <t>εληλυθας</t>
  </si>
  <si>
    <t>εληλυθες</t>
  </si>
  <si>
    <t>John.6.26</t>
  </si>
  <si>
    <t>John.6.27</t>
  </si>
  <si>
    <t>John.6.28</t>
  </si>
  <si>
    <t>John.6.29</t>
  </si>
  <si>
    <t>John.6.30</t>
  </si>
  <si>
    <t>πιστευσωμεν</t>
  </si>
  <si>
    <t>πιστευσομεν</t>
  </si>
  <si>
    <t>John.6.31</t>
  </si>
  <si>
    <t>John.6.32</t>
  </si>
  <si>
    <t>John.6.33</t>
  </si>
  <si>
    <t>John.6.37</t>
  </si>
  <si>
    <t>John.6.38</t>
  </si>
  <si>
    <t>καταβεβηκα</t>
  </si>
  <si>
    <t>κατεβεβηκα</t>
  </si>
  <si>
    <t>John.6.39</t>
  </si>
  <si>
    <t>John.6.40</t>
  </si>
  <si>
    <t>John.6.41</t>
  </si>
  <si>
    <t>John.6.42</t>
  </si>
  <si>
    <t>John.6.50</t>
  </si>
  <si>
    <t>John.6.51</t>
  </si>
  <si>
    <t>John.6.52</t>
  </si>
  <si>
    <t>John.6.60</t>
  </si>
  <si>
    <t>John.6.61</t>
  </si>
  <si>
    <t>γονγυζουσιν</t>
  </si>
  <si>
    <t>γογγυζουσιν</t>
  </si>
  <si>
    <t>John.6.63</t>
  </si>
  <si>
    <t>John.6.64</t>
  </si>
  <si>
    <t>John.6.65</t>
  </si>
  <si>
    <t>John.6.67</t>
  </si>
  <si>
    <t>John.6.68</t>
  </si>
  <si>
    <t>John.6.69</t>
  </si>
  <si>
    <t>John.6.70</t>
  </si>
  <si>
    <t>John.6.71</t>
  </si>
  <si>
    <t>John.7.3</t>
  </si>
  <si>
    <t>John.7.4</t>
  </si>
  <si>
    <t>John.7.5</t>
  </si>
  <si>
    <t>John.7.6</t>
  </si>
  <si>
    <t>ετοιμος</t>
  </si>
  <si>
    <t>ετοικος</t>
  </si>
  <si>
    <t>John.7.9</t>
  </si>
  <si>
    <t>John.7.18</t>
  </si>
  <si>
    <t>John.7.19</t>
  </si>
  <si>
    <t>ουδις</t>
  </si>
  <si>
    <t>John.7.20</t>
  </si>
  <si>
    <t>John.7.21</t>
  </si>
  <si>
    <t>θαυμαζεται</t>
  </si>
  <si>
    <t>John.7.22</t>
  </si>
  <si>
    <t>μωσεως</t>
  </si>
  <si>
    <t>εστειν</t>
  </si>
  <si>
    <t>John.7.24</t>
  </si>
  <si>
    <t>John.7.28</t>
  </si>
  <si>
    <t>εκραζεν</t>
  </si>
  <si>
    <t>John.7.31</t>
  </si>
  <si>
    <t>ποιησει·</t>
  </si>
  <si>
    <t>ποησει</t>
  </si>
  <si>
    <t>John.7.32</t>
  </si>
  <si>
    <t>John.7.35</t>
  </si>
  <si>
    <t>John.7.36</t>
  </si>
  <si>
    <t>John.7.37</t>
  </si>
  <si>
    <t>ειστηκει</t>
  </si>
  <si>
    <t>John.7.39</t>
  </si>
  <si>
    <t>John.7.40</t>
  </si>
  <si>
    <t>John.7.41</t>
  </si>
  <si>
    <t>John.7.42</t>
  </si>
  <si>
    <t>John.7.45</t>
  </si>
  <si>
    <t>ηγαγατε</t>
  </si>
  <si>
    <t>ηγαγετε</t>
  </si>
  <si>
    <t>John.7.47</t>
  </si>
  <si>
    <t>John.7.49</t>
  </si>
  <si>
    <t>John.7.50</t>
  </si>
  <si>
    <t>John.7.51</t>
  </si>
  <si>
    <t>John.7.52</t>
  </si>
  <si>
    <t>John.8.2</t>
  </si>
  <si>
    <t>John.8.3</t>
  </si>
  <si>
    <t>αμαρτεια</t>
  </si>
  <si>
    <t>John.8.4</t>
  </si>
  <si>
    <t>John.8.5</t>
  </si>
  <si>
    <t>John.8.7</t>
  </si>
  <si>
    <t>John.8.8</t>
  </si>
  <si>
    <t>John.8.9</t>
  </si>
  <si>
    <t>John.8.10</t>
  </si>
  <si>
    <t>John.8.12</t>
  </si>
  <si>
    <t>John.8.14</t>
  </si>
  <si>
    <t>αληθεινη</t>
  </si>
  <si>
    <t>αληθινη</t>
  </si>
  <si>
    <t>John.8.15</t>
  </si>
  <si>
    <t>κρεινω</t>
  </si>
  <si>
    <t>κρινω</t>
  </si>
  <si>
    <t>John.8.16</t>
  </si>
  <si>
    <t>John.8.17</t>
  </si>
  <si>
    <t>ανθρωνων</t>
  </si>
  <si>
    <t>John.8.18</t>
  </si>
  <si>
    <t>John.8.19</t>
  </si>
  <si>
    <t>John.8.21</t>
  </si>
  <si>
    <t>αμαρτια</t>
  </si>
  <si>
    <t>John.8.22</t>
  </si>
  <si>
    <t>ιουδαιοι</t>
  </si>
  <si>
    <t>John.8.26</t>
  </si>
  <si>
    <t>John.8.27</t>
  </si>
  <si>
    <t>John.8.28</t>
  </si>
  <si>
    <t>John.8.32</t>
  </si>
  <si>
    <t>John.8.33</t>
  </si>
  <si>
    <t>απεκρειθησαν</t>
  </si>
  <si>
    <t>John.8.35</t>
  </si>
  <si>
    <t>John.8.36</t>
  </si>
  <si>
    <t>John.8.37</t>
  </si>
  <si>
    <t>John.8.38</t>
  </si>
  <si>
    <t>John.8.40</t>
  </si>
  <si>
    <t>αποκτειναι</t>
  </si>
  <si>
    <t>εποησεν</t>
  </si>
  <si>
    <t>John.8.41</t>
  </si>
  <si>
    <t>John.8.42</t>
  </si>
  <si>
    <t>John.8.43</t>
  </si>
  <si>
    <t>John.8.44</t>
  </si>
  <si>
    <t>επιθυμειας</t>
  </si>
  <si>
    <t>επιθυμιας</t>
  </si>
  <si>
    <t>John.8.49</t>
  </si>
  <si>
    <t>John.8.51</t>
  </si>
  <si>
    <t>John.8.52</t>
  </si>
  <si>
    <t>John.8.53</t>
  </si>
  <si>
    <t>John.8.54</t>
  </si>
  <si>
    <t>John.8.55</t>
  </si>
  <si>
    <t>John.8.56</t>
  </si>
  <si>
    <t>John.8.57</t>
  </si>
  <si>
    <t>John.8.58</t>
  </si>
  <si>
    <t>John.9.1</t>
  </si>
  <si>
    <t>John.9.2</t>
  </si>
  <si>
    <t>John.9.3</t>
  </si>
  <si>
    <t>John.9.4</t>
  </si>
  <si>
    <t>John.9.5</t>
  </si>
  <si>
    <t>John.9.6</t>
  </si>
  <si>
    <t>John.9.7</t>
  </si>
  <si>
    <t>John.9.9</t>
  </si>
  <si>
    <t>John.9.10</t>
  </si>
  <si>
    <t>John.9.11</t>
  </si>
  <si>
    <t>επεχρισεν</t>
  </si>
  <si>
    <t>επεχρεισεν</t>
  </si>
  <si>
    <t>σειλωαμ</t>
  </si>
  <si>
    <t>σιλωαμ</t>
  </si>
  <si>
    <t>John.9.12</t>
  </si>
  <si>
    <t>John.9.16</t>
  </si>
  <si>
    <t>John.9.19</t>
  </si>
  <si>
    <t>John.9.21</t>
  </si>
  <si>
    <t>John.9.22</t>
  </si>
  <si>
    <t>συνετεθιντο</t>
  </si>
  <si>
    <t>συνετεθειντο</t>
  </si>
  <si>
    <t>John.9.23</t>
  </si>
  <si>
    <t>John.9.24</t>
  </si>
  <si>
    <t>John.9.25</t>
  </si>
  <si>
    <t>John.9.26</t>
  </si>
  <si>
    <t>John.9.27</t>
  </si>
  <si>
    <t>John.9.29</t>
  </si>
  <si>
    <t>John.9.30</t>
  </si>
  <si>
    <t>John.9.32</t>
  </si>
  <si>
    <t>John.9.33</t>
  </si>
  <si>
    <t>ηδοινατο</t>
  </si>
  <si>
    <t>John.9.34</t>
  </si>
  <si>
    <t>John.9.36</t>
  </si>
  <si>
    <t>πιστευσω</t>
  </si>
  <si>
    <t>πιστευω</t>
  </si>
  <si>
    <t>John.9.37</t>
  </si>
  <si>
    <t>John.9.38</t>
  </si>
  <si>
    <t>John.9.39</t>
  </si>
  <si>
    <t>John.9.40</t>
  </si>
  <si>
    <t>John.9.41</t>
  </si>
  <si>
    <t>John.10.2</t>
  </si>
  <si>
    <t>John.10.3</t>
  </si>
  <si>
    <t>John.10.4</t>
  </si>
  <si>
    <t>John.10.8</t>
  </si>
  <si>
    <t>John.10.12</t>
  </si>
  <si>
    <t>John.10.14</t>
  </si>
  <si>
    <t>John.10.15</t>
  </si>
  <si>
    <t>John.10.16</t>
  </si>
  <si>
    <t>γενησονται</t>
  </si>
  <si>
    <t>γεννησονται</t>
  </si>
  <si>
    <t>John.10.18</t>
  </si>
  <si>
    <t>John.10.21</t>
  </si>
  <si>
    <t>John.10.22</t>
  </si>
  <si>
    <t>ενκαινια</t>
  </si>
  <si>
    <t>εγκαινια</t>
  </si>
  <si>
    <t>John.10.25</t>
  </si>
  <si>
    <t>John.10.26</t>
  </si>
  <si>
    <t>John.10.32</t>
  </si>
  <si>
    <t>εργον</t>
  </si>
  <si>
    <t>εργων</t>
  </si>
  <si>
    <t>John.10.33</t>
  </si>
  <si>
    <t>John.10.36</t>
  </si>
  <si>
    <t>John.10.38</t>
  </si>
  <si>
    <t>πιστευεται</t>
  </si>
  <si>
    <t>πιστευσατε</t>
  </si>
  <si>
    <t>John.10.39</t>
  </si>
  <si>
    <t>John.10.40</t>
  </si>
  <si>
    <t>John.10.41</t>
  </si>
  <si>
    <t>John.10.42</t>
  </si>
  <si>
    <t>John.11.1</t>
  </si>
  <si>
    <t>John.11.3</t>
  </si>
  <si>
    <t>John.11.4</t>
  </si>
  <si>
    <t>John.11.6</t>
  </si>
  <si>
    <t>John.11.7</t>
  </si>
  <si>
    <t>John.11.8</t>
  </si>
  <si>
    <t>ραβει</t>
  </si>
  <si>
    <t>John.11.10</t>
  </si>
  <si>
    <t>John.11.11</t>
  </si>
  <si>
    <t>John.11.12</t>
  </si>
  <si>
    <t>John.11.14</t>
  </si>
  <si>
    <t>απoθανεν</t>
  </si>
  <si>
    <t>John.11.15</t>
  </si>
  <si>
    <t>John.11.16</t>
  </si>
  <si>
    <t>John.11.18</t>
  </si>
  <si>
    <t>John.11.20</t>
  </si>
  <si>
    <t>John.11.21</t>
  </si>
  <si>
    <t>John.11.23</t>
  </si>
  <si>
    <t>John.11.26</t>
  </si>
  <si>
    <t>John.11.27</t>
  </si>
  <si>
    <t>John.11.28</t>
  </si>
  <si>
    <t>John.11.29</t>
  </si>
  <si>
    <t>John.11.30</t>
  </si>
  <si>
    <t>John.11.31</t>
  </si>
  <si>
    <t>John.11.32</t>
  </si>
  <si>
    <t>John.11.33</t>
  </si>
  <si>
    <t>John.11.34</t>
  </si>
  <si>
    <t>John.11.36</t>
  </si>
  <si>
    <t>John.11.37</t>
  </si>
  <si>
    <t>ηδυνατο</t>
  </si>
  <si>
    <t>John.11.38</t>
  </si>
  <si>
    <t>ενβρειμωμενος</t>
  </si>
  <si>
    <t>ενβριμωμενος</t>
  </si>
  <si>
    <t>μνημιον</t>
  </si>
  <si>
    <t>επεκειτο</t>
  </si>
  <si>
    <t>επκειτο</t>
  </si>
  <si>
    <t>John.11.39</t>
  </si>
  <si>
    <t>John.11.41</t>
  </si>
  <si>
    <t>John.11.42</t>
  </si>
  <si>
    <t>απεστειλας</t>
  </si>
  <si>
    <t>απεστιλας</t>
  </si>
  <si>
    <t>John.11.44</t>
  </si>
  <si>
    <t>περιδεδετο</t>
  </si>
  <si>
    <t>John.11.46</t>
  </si>
  <si>
    <t>John.11.49</t>
  </si>
  <si>
    <t>κφιφας</t>
  </si>
  <si>
    <t>καιαφας</t>
  </si>
  <si>
    <t>John.11.51</t>
  </si>
  <si>
    <t>John.11.52</t>
  </si>
  <si>
    <t>John.11.56</t>
  </si>
  <si>
    <t>John.11.57</t>
  </si>
  <si>
    <t>John.12.3</t>
  </si>
  <si>
    <t>λειτραν</t>
  </si>
  <si>
    <t>ληθραν</t>
  </si>
  <si>
    <t>John.12.4</t>
  </si>
  <si>
    <t>παραδουναι</t>
  </si>
  <si>
    <t>παραδιδουναι</t>
  </si>
  <si>
    <t>John.12.5</t>
  </si>
  <si>
    <t>John.12.6</t>
  </si>
  <si>
    <t>εμελεν</t>
  </si>
  <si>
    <t>John.12.7</t>
  </si>
  <si>
    <t>John.12.9</t>
  </si>
  <si>
    <t>ηλθoν</t>
  </si>
  <si>
    <t>John.12.10</t>
  </si>
  <si>
    <t>John.12.12</t>
  </si>
  <si>
    <t>John.12.13</t>
  </si>
  <si>
    <t>βαια</t>
  </si>
  <si>
    <t>βιαια</t>
  </si>
  <si>
    <t>John.12.17</t>
  </si>
  <si>
    <t>εμαρτυρι</t>
  </si>
  <si>
    <t>εμαρτυρει</t>
  </si>
  <si>
    <t>John.12.18</t>
  </si>
  <si>
    <t>ηκουσαν</t>
  </si>
  <si>
    <t>John.12.21</t>
  </si>
  <si>
    <t>John.12.22</t>
  </si>
  <si>
    <t>ανδραιας</t>
  </si>
  <si>
    <t>ανδρεας</t>
  </si>
  <si>
    <t>John.12.24</t>
  </si>
  <si>
    <t>πεωων</t>
  </si>
  <si>
    <t>John.12.26</t>
  </si>
  <si>
    <t>John.12.27</t>
  </si>
  <si>
    <t>John.12.28</t>
  </si>
  <si>
    <t>John.12.29</t>
  </si>
  <si>
    <t>John.12.30</t>
  </si>
  <si>
    <t>John.12.31</t>
  </si>
  <si>
    <t>John.12.32</t>
  </si>
  <si>
    <t>John.12.33</t>
  </si>
  <si>
    <t>John.12.34</t>
  </si>
  <si>
    <t>John.12.35</t>
  </si>
  <si>
    <t>John.12.36</t>
  </si>
  <si>
    <t>απελθεν</t>
  </si>
  <si>
    <t>John.12.37</t>
  </si>
  <si>
    <t>John.12.38</t>
  </si>
  <si>
    <t>John.12.39</t>
  </si>
  <si>
    <t>John.12.40</t>
  </si>
  <si>
    <t>ιασομαι</t>
  </si>
  <si>
    <t>ιασωμαι</t>
  </si>
  <si>
    <t>John.12.41</t>
  </si>
  <si>
    <t>John.12.42</t>
  </si>
  <si>
    <t>John.12.44</t>
  </si>
  <si>
    <t>John.12.47</t>
  </si>
  <si>
    <t>John.12.50</t>
  </si>
  <si>
    <t>John.13.2</t>
  </si>
  <si>
    <t>John.13.3</t>
  </si>
  <si>
    <t>John.13.4</t>
  </si>
  <si>
    <t>εγειρεται</t>
  </si>
  <si>
    <t>εγαιρεται</t>
  </si>
  <si>
    <t>John.13.5</t>
  </si>
  <si>
    <t>διεσζωσμενος</t>
  </si>
  <si>
    <t>διεζωσμενος</t>
  </si>
  <si>
    <t>John.13.6</t>
  </si>
  <si>
    <t>John.13.8</t>
  </si>
  <si>
    <t>John.13.9</t>
  </si>
  <si>
    <t>John.13.10</t>
  </si>
  <si>
    <t>John.13.12</t>
  </si>
  <si>
    <t>John.13.14</t>
  </si>
  <si>
    <t>John.13.18</t>
  </si>
  <si>
    <t>πτερναν</t>
  </si>
  <si>
    <t>πτεραν</t>
  </si>
  <si>
    <t>John.13.20</t>
  </si>
  <si>
    <t>John.13.23</t>
  </si>
  <si>
    <t>John.13.24</t>
  </si>
  <si>
    <t>πετρους</t>
  </si>
  <si>
    <t>John.13.27</t>
  </si>
  <si>
    <t>John.13.28</t>
  </si>
  <si>
    <t>John.13.29</t>
  </si>
  <si>
    <t>John.13.31</t>
  </si>
  <si>
    <t>John.13.32</t>
  </si>
  <si>
    <t>John.13.33</t>
  </si>
  <si>
    <t>μεκρον</t>
  </si>
  <si>
    <t>μεικρον</t>
  </si>
  <si>
    <t>John.13.34</t>
  </si>
  <si>
    <t>John.13.38</t>
  </si>
  <si>
    <t>John.14.2</t>
  </si>
  <si>
    <t>John.14.3</t>
  </si>
  <si>
    <t>John.14.5</t>
  </si>
  <si>
    <t>John.14.7</t>
  </si>
  <si>
    <t>εγνωκατε</t>
  </si>
  <si>
    <t>John.14.9</t>
  </si>
  <si>
    <t>John.14.10</t>
  </si>
  <si>
    <t>John.14.12</t>
  </si>
  <si>
    <t>John.14.17</t>
  </si>
  <si>
    <t>John.14.20</t>
  </si>
  <si>
    <t>John.14.21</t>
  </si>
  <si>
    <t>ενφωνησω</t>
  </si>
  <si>
    <t>ενφανησω</t>
  </si>
  <si>
    <t>John.14.22</t>
  </si>
  <si>
    <t>John.14.23</t>
  </si>
  <si>
    <t>John.14.24</t>
  </si>
  <si>
    <t>John.14.25</t>
  </si>
  <si>
    <t>John.14.26</t>
  </si>
  <si>
    <t>John.14.27</t>
  </si>
  <si>
    <t>δειλειατω</t>
  </si>
  <si>
    <t>δειλιατω</t>
  </si>
  <si>
    <t>John.14.28</t>
  </si>
  <si>
    <t>John.14.30</t>
  </si>
  <si>
    <t>John.14.31</t>
  </si>
  <si>
    <t>John.15.2</t>
  </si>
  <si>
    <t>καρποφορον</t>
  </si>
  <si>
    <t>καρποφερον</t>
  </si>
  <si>
    <t>John.15.3</t>
  </si>
  <si>
    <t>John.15.5</t>
  </si>
  <si>
    <t>John.15.6</t>
  </si>
  <si>
    <t>John.15.7</t>
  </si>
  <si>
    <t>αιτησασθαι</t>
  </si>
  <si>
    <t>αιτησεσθαι</t>
  </si>
  <si>
    <t>John.15.8</t>
  </si>
  <si>
    <t>John.15.9</t>
  </si>
  <si>
    <t>John.15.11</t>
  </si>
  <si>
    <t>John.15.13</t>
  </si>
  <si>
    <t>John.15.14</t>
  </si>
  <si>
    <t>John.15.15</t>
  </si>
  <si>
    <t>John.15.16</t>
  </si>
  <si>
    <t>John.15.18</t>
  </si>
  <si>
    <t>μεμεισηκεν</t>
  </si>
  <si>
    <t>μεμισηκεν</t>
  </si>
  <si>
    <t>John.15.19</t>
  </si>
  <si>
    <t>John.15.20</t>
  </si>
  <si>
    <t>John.15.21</t>
  </si>
  <si>
    <t>John.15.22</t>
  </si>
  <si>
    <t>ειχαν</t>
  </si>
  <si>
    <t>John.15.24</t>
  </si>
  <si>
    <t>John.15.25</t>
  </si>
  <si>
    <t>John.15.26</t>
  </si>
  <si>
    <t>John.16.4</t>
  </si>
  <si>
    <t>John.16.9</t>
  </si>
  <si>
    <t>αμαρτιας</t>
  </si>
  <si>
    <t>John.16.10</t>
  </si>
  <si>
    <t>John.16.13</t>
  </si>
  <si>
    <t>John.16.17</t>
  </si>
  <si>
    <t>John.16.18</t>
  </si>
  <si>
    <t>John.16.19</t>
  </si>
  <si>
    <t>John.16.20</t>
  </si>
  <si>
    <t>John.16.22</t>
  </si>
  <si>
    <t>αρει</t>
  </si>
  <si>
    <t>John.16.23</t>
  </si>
  <si>
    <t>αιτησηται</t>
  </si>
  <si>
    <t>John.16.25</t>
  </si>
  <si>
    <t>John.16.27</t>
  </si>
  <si>
    <t>John.16.32</t>
  </si>
  <si>
    <t>John.16.33</t>
  </si>
  <si>
    <t>John.17.3</t>
  </si>
  <si>
    <t>John.17.4</t>
  </si>
  <si>
    <t>John.17.5</t>
  </si>
  <si>
    <t>John.17.8</t>
  </si>
  <si>
    <t>John.17.9</t>
  </si>
  <si>
    <t>John.17.10</t>
  </si>
  <si>
    <t>εδοξασμε</t>
  </si>
  <si>
    <t>John.17.11</t>
  </si>
  <si>
    <t>John.17.12</t>
  </si>
  <si>
    <t>John.17.19</t>
  </si>
  <si>
    <t>John.17.20</t>
  </si>
  <si>
    <t>πιστευοντων</t>
  </si>
  <si>
    <t>John.17.21</t>
  </si>
  <si>
    <t>John.17.22</t>
  </si>
  <si>
    <t>John.17.23</t>
  </si>
  <si>
    <t>John.17.24</t>
  </si>
  <si>
    <t>John.17.25</t>
  </si>
  <si>
    <t>John.17.26</t>
  </si>
  <si>
    <t>John.18.4</t>
  </si>
  <si>
    <t>John.18.5</t>
  </si>
  <si>
    <t>ναζαρηον</t>
  </si>
  <si>
    <t>John.18.7</t>
  </si>
  <si>
    <t>John.18.9</t>
  </si>
  <si>
    <t>John.18.10</t>
  </si>
  <si>
    <t>δεξειον·</t>
  </si>
  <si>
    <t>John.18.13</t>
  </si>
  <si>
    <t>John.18.14</t>
  </si>
  <si>
    <t>John.18.15</t>
  </si>
  <si>
    <t>αρχιερι·</t>
  </si>
  <si>
    <t>αρχιερει</t>
  </si>
  <si>
    <t>θυρωρω</t>
  </si>
  <si>
    <t>John.18.18</t>
  </si>
  <si>
    <t>υπηρετι</t>
  </si>
  <si>
    <t>υπηρεται</t>
  </si>
  <si>
    <t>θερμενος</t>
  </si>
  <si>
    <t>John.18.20</t>
  </si>
  <si>
    <t>ιουδαηοι</t>
  </si>
  <si>
    <t>John.18.21</t>
  </si>
  <si>
    <t>John.18.22</t>
  </si>
  <si>
    <t>John.18.25</t>
  </si>
  <si>
    <t>θερομενος</t>
  </si>
  <si>
    <t>John.18.26</t>
  </si>
  <si>
    <t>δολων</t>
  </si>
  <si>
    <t>δουλων</t>
  </si>
  <si>
    <t>John.18.27</t>
  </si>
  <si>
    <t>πετρως</t>
  </si>
  <si>
    <t>John.18.28</t>
  </si>
  <si>
    <t>John.18.31</t>
  </si>
  <si>
    <t>John.18.33</t>
  </si>
  <si>
    <t>εφωιησεν</t>
  </si>
  <si>
    <t>John.18.35</t>
  </si>
  <si>
    <t>απεικριθη</t>
  </si>
  <si>
    <t>απικριθη</t>
  </si>
  <si>
    <t>John.18.36</t>
  </si>
  <si>
    <t>ηγωνιζοτο</t>
  </si>
  <si>
    <t>ηγωνιζοντο</t>
  </si>
  <si>
    <t>ιουδαις·</t>
  </si>
  <si>
    <t>John.18.38</t>
  </si>
  <si>
    <t>John.18.39</t>
  </si>
  <si>
    <t>βουλεσθαι</t>
  </si>
  <si>
    <t>βουλεσται</t>
  </si>
  <si>
    <t>John.19.4</t>
  </si>
  <si>
    <t>John.19.6</t>
  </si>
  <si>
    <t>John.19.7</t>
  </si>
  <si>
    <t>ημις</t>
  </si>
  <si>
    <t>John.19.8</t>
  </si>
  <si>
    <t>John.19.9</t>
  </si>
  <si>
    <t>John.19.11</t>
  </si>
  <si>
    <t>John.19.12</t>
  </si>
  <si>
    <t>John.19.14</t>
  </si>
  <si>
    <t>John.19.15</t>
  </si>
  <si>
    <t>εκραυγασαν</t>
  </si>
  <si>
    <t>John.19.16</t>
  </si>
  <si>
    <t>παρεβαλον</t>
  </si>
  <si>
    <t>παρελαβον</t>
  </si>
  <si>
    <t>John.19.17</t>
  </si>
  <si>
    <t>λεγηται</t>
  </si>
  <si>
    <t>John.19.18</t>
  </si>
  <si>
    <t>John.19.20</t>
  </si>
  <si>
    <t>John.19.21</t>
  </si>
  <si>
    <t>John.19.23</t>
  </si>
  <si>
    <t>John.19.24</t>
  </si>
  <si>
    <t>John.19.25</t>
  </si>
  <si>
    <t>John.19.26</t>
  </si>
  <si>
    <t>John.19.28</t>
  </si>
  <si>
    <t>John.19.29</t>
  </si>
  <si>
    <t>προηνεγκαν</t>
  </si>
  <si>
    <t>προσηνεγκαν</t>
  </si>
  <si>
    <t>John.19.31</t>
  </si>
  <si>
    <t>αρτθωσιν</t>
  </si>
  <si>
    <t>John.19.33</t>
  </si>
  <si>
    <t>John.19.34</t>
  </si>
  <si>
    <t>John.19.35</t>
  </si>
  <si>
    <t>John.19.37</t>
  </si>
  <si>
    <t>John.19.38</t>
  </si>
  <si>
    <t>αριμαθεας</t>
  </si>
  <si>
    <t>αριμαθειας</t>
  </si>
  <si>
    <t>John.19.39</t>
  </si>
  <si>
    <t>John.19.41</t>
  </si>
  <si>
    <t>John.20.3</t>
  </si>
  <si>
    <t>John.20.5</t>
  </si>
  <si>
    <t>κιμενα</t>
  </si>
  <si>
    <t>κειμενα</t>
  </si>
  <si>
    <t>John.20.6</t>
  </si>
  <si>
    <t>θεωρει</t>
  </si>
  <si>
    <t>θεωρι</t>
  </si>
  <si>
    <t>John.20.7</t>
  </si>
  <si>
    <t>κιμενον·</t>
  </si>
  <si>
    <t>John.20.8</t>
  </si>
  <si>
    <t>John.20.9</t>
  </si>
  <si>
    <t>John.20.11</t>
  </si>
  <si>
    <t>John.20.12</t>
  </si>
  <si>
    <t>ποσιν</t>
  </si>
  <si>
    <t>John.20.14</t>
  </si>
  <si>
    <t>John.20.15</t>
  </si>
  <si>
    <t>John.20.17</t>
  </si>
  <si>
    <t>John.20.19</t>
  </si>
  <si>
    <t>John.20.21</t>
  </si>
  <si>
    <t>John.20.23</t>
  </si>
  <si>
    <t>John.20.25</t>
  </si>
  <si>
    <t>John.20.26</t>
  </si>
  <si>
    <t>John.20.28</t>
  </si>
  <si>
    <t>John.20.30</t>
  </si>
  <si>
    <t>βιβλιω</t>
  </si>
  <si>
    <t>John.20.31</t>
  </si>
  <si>
    <t>John.21.2</t>
  </si>
  <si>
    <t>John.21.4</t>
  </si>
  <si>
    <t>αιγιαλον</t>
  </si>
  <si>
    <t>αγιαλον</t>
  </si>
  <si>
    <t>John.21.5</t>
  </si>
  <si>
    <t>John.21.7</t>
  </si>
  <si>
    <t>John.21.11</t>
  </si>
  <si>
    <t>πρτρος</t>
  </si>
  <si>
    <t>John.21.15</t>
  </si>
  <si>
    <t>John.21.16</t>
  </si>
  <si>
    <t>John.21.17</t>
  </si>
  <si>
    <t>John.21.18</t>
  </si>
  <si>
    <t>John.21.20</t>
  </si>
  <si>
    <t>John.21.21</t>
  </si>
  <si>
    <t>John.21.23</t>
  </si>
  <si>
    <t>John.21.24</t>
  </si>
  <si>
    <t>John.21.25</t>
  </si>
  <si>
    <t>Acts.1.1</t>
  </si>
  <si>
    <t>εποιησαμην</t>
  </si>
  <si>
    <t>εποιησαμεν</t>
  </si>
  <si>
    <t>Acts.1.2</t>
  </si>
  <si>
    <t>ανελημφθη</t>
  </si>
  <si>
    <t>ανελεμφθη</t>
  </si>
  <si>
    <t>Acts.1.3</t>
  </si>
  <si>
    <t>Acts.1.4</t>
  </si>
  <si>
    <t>συναλισκομενος</t>
  </si>
  <si>
    <t>Acts.1.5</t>
  </si>
  <si>
    <t>Acts.1.6</t>
  </si>
  <si>
    <t>Acts.1.7</t>
  </si>
  <si>
    <t>Acts.1.9</t>
  </si>
  <si>
    <t>υπεβαλεν</t>
  </si>
  <si>
    <t>υπελαβεν</t>
  </si>
  <si>
    <t>απηρθη</t>
  </si>
  <si>
    <t>Acts.1.10</t>
  </si>
  <si>
    <t>παρειστεικεισαν</t>
  </si>
  <si>
    <t>Acts.1.11</t>
  </si>
  <si>
    <t>εθεασεσθε</t>
  </si>
  <si>
    <t>εθεασασθε</t>
  </si>
  <si>
    <t>Acts.1.13</t>
  </si>
  <si>
    <t>Acts.1.14</t>
  </si>
  <si>
    <t>ομοθυμαδον</t>
  </si>
  <si>
    <t>ομαθυμαδον</t>
  </si>
  <si>
    <t>Acts.1.15</t>
  </si>
  <si>
    <t>Acts.1.16</t>
  </si>
  <si>
    <t>Acts.1.17</t>
  </si>
  <si>
    <t>Acts.1.18</t>
  </si>
  <si>
    <t>σπλανχνα</t>
  </si>
  <si>
    <t>σπλαγχνα</t>
  </si>
  <si>
    <t>Acts.1.19</t>
  </si>
  <si>
    <t>Acts.1.20</t>
  </si>
  <si>
    <t>Acts.1.21</t>
  </si>
  <si>
    <t>Acts.1.22</t>
  </si>
  <si>
    <t>Acts.1.23</t>
  </si>
  <si>
    <t>εστησεν</t>
  </si>
  <si>
    <t>μαθθιαν</t>
  </si>
  <si>
    <t>ματθιαν</t>
  </si>
  <si>
    <t>Acts.1.24</t>
  </si>
  <si>
    <t>Acts.1.25</t>
  </si>
  <si>
    <t>Acts.1.26</t>
  </si>
  <si>
    <t>συψηφισθη</t>
  </si>
  <si>
    <t>συνψηφισθη</t>
  </si>
  <si>
    <t>Acts.2.1</t>
  </si>
  <si>
    <t>συνπληρουσθαι</t>
  </si>
  <si>
    <t>συμπληρουσθαι</t>
  </si>
  <si>
    <t>Acts.2.3</t>
  </si>
  <si>
    <t>Acts.2.4</t>
  </si>
  <si>
    <t>Acts.2.5</t>
  </si>
  <si>
    <t>Acts.2.6</t>
  </si>
  <si>
    <t>Acts.2.7</t>
  </si>
  <si>
    <t>Acts.2.8</t>
  </si>
  <si>
    <t>Acts.2.9</t>
  </si>
  <si>
    <t>Acts.2.10</t>
  </si>
  <si>
    <t>Acts.2.11</t>
  </si>
  <si>
    <t>κρητης</t>
  </si>
  <si>
    <t>αραβοι</t>
  </si>
  <si>
    <t>Acts.2.12</t>
  </si>
  <si>
    <t>Acts.2.13</t>
  </si>
  <si>
    <t>Acts.2.14</t>
  </si>
  <si>
    <t>ιερουσαλτιμ</t>
  </si>
  <si>
    <t>ενωτισατε</t>
  </si>
  <si>
    <t>ενωτισασθε</t>
  </si>
  <si>
    <t>Acts.2.15</t>
  </si>
  <si>
    <t>Acts.2.16</t>
  </si>
  <si>
    <t>Acts.2.17</t>
  </si>
  <si>
    <t>προφητευσουσιν</t>
  </si>
  <si>
    <t>προφητευουσιν</t>
  </si>
  <si>
    <t>Acts.2.18</t>
  </si>
  <si>
    <t>Acts.2.20</t>
  </si>
  <si>
    <t>μεταστρεφεται</t>
  </si>
  <si>
    <t>Acts.2.21</t>
  </si>
  <si>
    <t>Acts.2.22</t>
  </si>
  <si>
    <t>ισραηλειται</t>
  </si>
  <si>
    <t>ισραηλιται</t>
  </si>
  <si>
    <t>Acts.2.23</t>
  </si>
  <si>
    <t>Acts.2.25</t>
  </si>
  <si>
    <t>προορωμην</t>
  </si>
  <si>
    <t>προωρωμην</t>
  </si>
  <si>
    <t>Acts.2.26</t>
  </si>
  <si>
    <t>Acts.2.27</t>
  </si>
  <si>
    <t>ενκαταλειψεις</t>
  </si>
  <si>
    <t>εγκαταλειψεις</t>
  </si>
  <si>
    <t>Acts.2.28</t>
  </si>
  <si>
    <t>Acts.2.29</t>
  </si>
  <si>
    <t>Acts.2.30</t>
  </si>
  <si>
    <t>Acts.2.31</t>
  </si>
  <si>
    <t>ενκαταλειφθη</t>
  </si>
  <si>
    <t>εγκατελειφθη</t>
  </si>
  <si>
    <t>Acts.2.32</t>
  </si>
  <si>
    <t>Acts.2.33</t>
  </si>
  <si>
    <t>Acts.2.35</t>
  </si>
  <si>
    <t>Acts.2.36</t>
  </si>
  <si>
    <t>Acts.2.37</t>
  </si>
  <si>
    <t>ποιησομεν</t>
  </si>
  <si>
    <t>Acts.2.38</t>
  </si>
  <si>
    <t>Acts.2.39</t>
  </si>
  <si>
    <t>Acts.2.40</t>
  </si>
  <si>
    <t>διεμαρτυρατο</t>
  </si>
  <si>
    <t>διεμαρτυρετο</t>
  </si>
  <si>
    <t>Acts.2.41</t>
  </si>
  <si>
    <t>τρισχειλειαι</t>
  </si>
  <si>
    <t>τρεισχειλειαι</t>
  </si>
  <si>
    <t>Acts.2.42</t>
  </si>
  <si>
    <t>προσευχαις</t>
  </si>
  <si>
    <t>προευχαις</t>
  </si>
  <si>
    <t>Acts.2.43</t>
  </si>
  <si>
    <t>Acts.2.45</t>
  </si>
  <si>
    <t>Acts.2.46</t>
  </si>
  <si>
    <t>κατοικουσαν</t>
  </si>
  <si>
    <t>κατοικουσιν</t>
  </si>
  <si>
    <t>Acts.2.47</t>
  </si>
  <si>
    <t>Acts.3.1</t>
  </si>
  <si>
    <t>δειλεινον</t>
  </si>
  <si>
    <t>δειλινον</t>
  </si>
  <si>
    <t>Acts.3.2</t>
  </si>
  <si>
    <t>Acts.3.3</t>
  </si>
  <si>
    <t>ατενισας</t>
  </si>
  <si>
    <t>Acts.3.4</t>
  </si>
  <si>
    <t>Acts.3.5</t>
  </si>
  <si>
    <t>ατενεισας</t>
  </si>
  <si>
    <t>Acts.3.6</t>
  </si>
  <si>
    <t>Acts.3.8</t>
  </si>
  <si>
    <t>Acts.3.10</t>
  </si>
  <si>
    <t>επεγεινωσκον</t>
  </si>
  <si>
    <t>εκτασεως</t>
  </si>
  <si>
    <t>εκστασεως</t>
  </si>
  <si>
    <t>Acts.3.11</t>
  </si>
  <si>
    <t>Acts.3.12</t>
  </si>
  <si>
    <t>θαμαζεται</t>
  </si>
  <si>
    <t>Acts.3.13</t>
  </si>
  <si>
    <t>απηρνησασθαι</t>
  </si>
  <si>
    <t>απαρνησασθαι</t>
  </si>
  <si>
    <t>Acts.3.14</t>
  </si>
  <si>
    <t>Acts.3.15</t>
  </si>
  <si>
    <t>Acts.3.16</t>
  </si>
  <si>
    <t>Acts.3.17</t>
  </si>
  <si>
    <t>Acts.3.20</t>
  </si>
  <si>
    <t>Acts.3.21</t>
  </si>
  <si>
    <t>Acts.3.22</t>
  </si>
  <si>
    <t>Acts.3.24</t>
  </si>
  <si>
    <t>κατεξης</t>
  </si>
  <si>
    <t>καθεξης</t>
  </si>
  <si>
    <t>Acts.3.25</t>
  </si>
  <si>
    <t>Acts.3.26</t>
  </si>
  <si>
    <t>Acts.4.2</t>
  </si>
  <si>
    <t>Acts.4.3</t>
  </si>
  <si>
    <t>Acts.4.4</t>
  </si>
  <si>
    <t>Acts.4.5</t>
  </si>
  <si>
    <t>Acts.4.7</t>
  </si>
  <si>
    <t>Acts.4.9</t>
  </si>
  <si>
    <t>ευεργεσεια</t>
  </si>
  <si>
    <t>ευεργεσια</t>
  </si>
  <si>
    <t>Acts.4.10</t>
  </si>
  <si>
    <t>Acts.4.11</t>
  </si>
  <si>
    <t>Acts.4.12</t>
  </si>
  <si>
    <t>Acts.4.13</t>
  </si>
  <si>
    <t>επιγινωσκον</t>
  </si>
  <si>
    <t>Acts.4.14</t>
  </si>
  <si>
    <t>αντιπειν</t>
  </si>
  <si>
    <t>αντειπειν</t>
  </si>
  <si>
    <t>Acts.4.15</t>
  </si>
  <si>
    <t>Acts.4.16</t>
  </si>
  <si>
    <t>ποησομεν</t>
  </si>
  <si>
    <t>φανεροτερον</t>
  </si>
  <si>
    <t>φανερωτερον</t>
  </si>
  <si>
    <t>Acts.4.17</t>
  </si>
  <si>
    <t>διανεμηθη</t>
  </si>
  <si>
    <t>διανεμεθη</t>
  </si>
  <si>
    <t>Acts.4.18</t>
  </si>
  <si>
    <t>συνκατατιθεμενων</t>
  </si>
  <si>
    <t>συνκατατειθεμενων</t>
  </si>
  <si>
    <t>Acts.4.19</t>
  </si>
  <si>
    <t>Acts.4.20</t>
  </si>
  <si>
    <t>ειδαμεν</t>
  </si>
  <si>
    <t>ειδομεν</t>
  </si>
  <si>
    <t>Acts.4.21</t>
  </si>
  <si>
    <t>Acts.4.22</t>
  </si>
  <si>
    <t>Acts.4.25</t>
  </si>
  <si>
    <t>καινα</t>
  </si>
  <si>
    <t>κεινα</t>
  </si>
  <si>
    <t>Acts.4.27</t>
  </si>
  <si>
    <t>εχρεισας</t>
  </si>
  <si>
    <t>εχρισας</t>
  </si>
  <si>
    <t>Acts.4.29</t>
  </si>
  <si>
    <t>εφιδε</t>
  </si>
  <si>
    <t>επιδε</t>
  </si>
  <si>
    <t>Acts.4.30</t>
  </si>
  <si>
    <t>Acts.4.31</t>
  </si>
  <si>
    <t>Acts.4.32</t>
  </si>
  <si>
    <t>Acts.4.34</t>
  </si>
  <si>
    <t>Acts.4.35</t>
  </si>
  <si>
    <t>διεδιδετο</t>
  </si>
  <si>
    <t>διεδιδοτο</t>
  </si>
  <si>
    <t>Acts.4.36</t>
  </si>
  <si>
    <t>λευειτης</t>
  </si>
  <si>
    <t>λευιτης</t>
  </si>
  <si>
    <t>Acts.4.37</t>
  </si>
  <si>
    <t>Acts.5.1</t>
  </si>
  <si>
    <t>σαφφυρα</t>
  </si>
  <si>
    <t>σαπφειρα</t>
  </si>
  <si>
    <t>Acts.5.2</t>
  </si>
  <si>
    <t>γυναικαικος</t>
  </si>
  <si>
    <t>Acts.5.3</t>
  </si>
  <si>
    <t>νοσφισασθαι</t>
  </si>
  <si>
    <t>νοσφιζεσθαι</t>
  </si>
  <si>
    <t>τειμης</t>
  </si>
  <si>
    <t>τιμης</t>
  </si>
  <si>
    <t>Acts.5.4</t>
  </si>
  <si>
    <t>Acts.5.6</t>
  </si>
  <si>
    <t>συνεστιλαν</t>
  </si>
  <si>
    <t>συνεστειλαν</t>
  </si>
  <si>
    <t>Acts.5.7</t>
  </si>
  <si>
    <t>Acts.5.8</t>
  </si>
  <si>
    <t>Acts.5.9</t>
  </si>
  <si>
    <t>Acts.5.10</t>
  </si>
  <si>
    <t>συνστειλαντες</t>
  </si>
  <si>
    <t>συντειλαντες</t>
  </si>
  <si>
    <t>εξηνεγκαν</t>
  </si>
  <si>
    <t>εξενεγκαν</t>
  </si>
  <si>
    <t>Acts.5.12</t>
  </si>
  <si>
    <t>χερων</t>
  </si>
  <si>
    <t>Acts.5.14</t>
  </si>
  <si>
    <t>Acts.5.15</t>
  </si>
  <si>
    <t>απηλλασσοντο</t>
  </si>
  <si>
    <t>απηλασαντο</t>
  </si>
  <si>
    <t>ασθενιας</t>
  </si>
  <si>
    <t>ασθενειας</t>
  </si>
  <si>
    <t>Acts.5.16</t>
  </si>
  <si>
    <t>Acts.5.17</t>
  </si>
  <si>
    <t>Acts.5.18</t>
  </si>
  <si>
    <t>Acts.5.19</t>
  </si>
  <si>
    <t>ανεωξαν</t>
  </si>
  <si>
    <t>Acts.5.21</t>
  </si>
  <si>
    <t>Acts.5.22</t>
  </si>
  <si>
    <t>Acts.5.23</t>
  </si>
  <si>
    <t>ασφαλια</t>
  </si>
  <si>
    <t>ασφαλεια</t>
  </si>
  <si>
    <t>Acts.5.24</t>
  </si>
  <si>
    <t>Acts.5.25</t>
  </si>
  <si>
    <t>Acts.5.26</t>
  </si>
  <si>
    <t>Acts.5.27</t>
  </si>
  <si>
    <t>Acts.5.28</t>
  </si>
  <si>
    <t>Acts.5.29</t>
  </si>
  <si>
    <t>Acts.5.31</t>
  </si>
  <si>
    <t>Acts.5.32</t>
  </si>
  <si>
    <t>πιθαρχουσιν</t>
  </si>
  <si>
    <t>πειθαρχουσιν</t>
  </si>
  <si>
    <t>Acts.5.35</t>
  </si>
  <si>
    <t>Acts.5.36</t>
  </si>
  <si>
    <t>επιθοντο</t>
  </si>
  <si>
    <t>επειθοντο</t>
  </si>
  <si>
    <t>Acts.5.37</t>
  </si>
  <si>
    <t>Acts.5.38</t>
  </si>
  <si>
    <t>μιαναντες</t>
  </si>
  <si>
    <t>μιαντες</t>
  </si>
  <si>
    <t>Acts.5.39</t>
  </si>
  <si>
    <t>Acts.5.40</t>
  </si>
  <si>
    <t>Acts.5.42</t>
  </si>
  <si>
    <t>Acts.6.1</t>
  </si>
  <si>
    <t>Acts.6.2</t>
  </si>
  <si>
    <t>Acts.6.3</t>
  </si>
  <si>
    <t>Acts.6.5</t>
  </si>
  <si>
    <t>εξελεξαντο</t>
  </si>
  <si>
    <t>εξελεξατο</t>
  </si>
  <si>
    <t>νικορα</t>
  </si>
  <si>
    <t>νικανορα</t>
  </si>
  <si>
    <t>τειμωνα</t>
  </si>
  <si>
    <t>τιμωνα</t>
  </si>
  <si>
    <t>Acts.6.7</t>
  </si>
  <si>
    <t>Acts.6.9</t>
  </si>
  <si>
    <t>αναστησαν</t>
  </si>
  <si>
    <t>λειβερτεινων</t>
  </si>
  <si>
    <t>λιβερτινων</t>
  </si>
  <si>
    <t>κυρηνεων</t>
  </si>
  <si>
    <t>κυρηναιων</t>
  </si>
  <si>
    <t>Acts.6.10</t>
  </si>
  <si>
    <t>Acts.6.11</t>
  </si>
  <si>
    <t>Acts.6.13</t>
  </si>
  <si>
    <t>Acts.6.14</t>
  </si>
  <si>
    <t>Acts.6.15</t>
  </si>
  <si>
    <t>Acts.7.1</t>
  </si>
  <si>
    <t>Acts.7.2</t>
  </si>
  <si>
    <t>χαραν</t>
  </si>
  <si>
    <t>χαρραν</t>
  </si>
  <si>
    <t>Acts.7.3</t>
  </si>
  <si>
    <t>Acts.7.4</t>
  </si>
  <si>
    <t>κατωκησεν</t>
  </si>
  <si>
    <t>Acts.7.7</t>
  </si>
  <si>
    <t>Acts.7.8</t>
  </si>
  <si>
    <t>Acts.7.10</t>
  </si>
  <si>
    <t>εξιλατο</t>
  </si>
  <si>
    <t>εξειλετο</t>
  </si>
  <si>
    <t>Acts.7.11</t>
  </si>
  <si>
    <t>λειμος</t>
  </si>
  <si>
    <t>λιμος</t>
  </si>
  <si>
    <t>χανααν</t>
  </si>
  <si>
    <t>θλειψεις</t>
  </si>
  <si>
    <t>Acts.7.12</t>
  </si>
  <si>
    <t>Acts.7.13</t>
  </si>
  <si>
    <t>Acts.7.14</t>
  </si>
  <si>
    <t>συνγενειαν</t>
  </si>
  <si>
    <t>συγγενειαν</t>
  </si>
  <si>
    <t>Acts.7.15</t>
  </si>
  <si>
    <t>Acts.7.16</t>
  </si>
  <si>
    <t>Acts.7.17</t>
  </si>
  <si>
    <t>Acts.7.18</t>
  </si>
  <si>
    <t>Acts.7.19</t>
  </si>
  <si>
    <t>Acts.7.20</t>
  </si>
  <si>
    <t>Acts.7.21</t>
  </si>
  <si>
    <t>ανειλατο</t>
  </si>
  <si>
    <t>ανειλετο</t>
  </si>
  <si>
    <t>Acts.7.22</t>
  </si>
  <si>
    <t>Acts.7.23</t>
  </si>
  <si>
    <t>Acts.7.24</t>
  </si>
  <si>
    <t>Acts.7.25</t>
  </si>
  <si>
    <t>διδωσει</t>
  </si>
  <si>
    <t>δεδωσει</t>
  </si>
  <si>
    <t>Acts.7.26</t>
  </si>
  <si>
    <t>Acts.7.29</t>
  </si>
  <si>
    <t>Acts.7.30</t>
  </si>
  <si>
    <t>σεινα</t>
  </si>
  <si>
    <t>Acts.7.31</t>
  </si>
  <si>
    <t>εθαυμαζεν</t>
  </si>
  <si>
    <t>εθαυμασεν</t>
  </si>
  <si>
    <t>Acts.7.32</t>
  </si>
  <si>
    <t>Acts.7.33</t>
  </si>
  <si>
    <t>Acts.7.34</t>
  </si>
  <si>
    <t>αποστειλω</t>
  </si>
  <si>
    <t>Acts.7.35</t>
  </si>
  <si>
    <t>Acts.7.36</t>
  </si>
  <si>
    <t>υρεθρα</t>
  </si>
  <si>
    <t>υρυθρα</t>
  </si>
  <si>
    <t>Acts.7.37</t>
  </si>
  <si>
    <t>Acts.7.38</t>
  </si>
  <si>
    <t>σινα</t>
  </si>
  <si>
    <t>δουνναι</t>
  </si>
  <si>
    <t>Acts.7.39</t>
  </si>
  <si>
    <t>Acts.7.41</t>
  </si>
  <si>
    <t>Acts.7.42</t>
  </si>
  <si>
    <t>στρατεια</t>
  </si>
  <si>
    <t>στρατια</t>
  </si>
  <si>
    <t>Acts.7.43</t>
  </si>
  <si>
    <t>Acts.7.44</t>
  </si>
  <si>
    <t>Acts.7.45</t>
  </si>
  <si>
    <t>Acts.7.46</t>
  </si>
  <si>
    <t>Acts.7.48</t>
  </si>
  <si>
    <t>Acts.7.49</t>
  </si>
  <si>
    <t>Acts.7.51</t>
  </si>
  <si>
    <t>αντιπιπτεται</t>
  </si>
  <si>
    <t>αντιπιπτετε</t>
  </si>
  <si>
    <t>Acts.7.52</t>
  </si>
  <si>
    <t>προκαταγγελλοντας</t>
  </si>
  <si>
    <t>προκαταγγειλαντας</t>
  </si>
  <si>
    <t>Acts.7.53</t>
  </si>
  <si>
    <t>Acts.7.54</t>
  </si>
  <si>
    <t>Acts.7.55</t>
  </si>
  <si>
    <t>Acts.7.56</t>
  </si>
  <si>
    <t>Acts.7.57</t>
  </si>
  <si>
    <t>Acts.7.59</t>
  </si>
  <si>
    <t>Acts.7.60</t>
  </si>
  <si>
    <t>στησης</t>
  </si>
  <si>
    <t>Acts.8.1</t>
  </si>
  <si>
    <t>ανεραισι</t>
  </si>
  <si>
    <t>αναιρεσει</t>
  </si>
  <si>
    <t>Acts.8.2</t>
  </si>
  <si>
    <t>Acts.8.3</t>
  </si>
  <si>
    <t>Acts.8.4</t>
  </si>
  <si>
    <t>ηκουον</t>
  </si>
  <si>
    <t>Acts.8.5</t>
  </si>
  <si>
    <t>καλελθων</t>
  </si>
  <si>
    <t>Acts.8.6</t>
  </si>
  <si>
    <t>Acts.8.7</t>
  </si>
  <si>
    <t>Acts.8.8</t>
  </si>
  <si>
    <t>Acts.8.9</t>
  </si>
  <si>
    <t>Acts.8.12</t>
  </si>
  <si>
    <t>Acts.8.13</t>
  </si>
  <si>
    <t>Acts.8.14</t>
  </si>
  <si>
    <t>Acts.8.15</t>
  </si>
  <si>
    <t>προσηυξαντο</t>
  </si>
  <si>
    <t>προσευξαντο</t>
  </si>
  <si>
    <t>Acts.8.16</t>
  </si>
  <si>
    <t>Acts.8.17</t>
  </si>
  <si>
    <t>επετιθουν</t>
  </si>
  <si>
    <t>Acts.8.18</t>
  </si>
  <si>
    <t>πνα</t>
  </si>
  <si>
    <t>Acts.8.19</t>
  </si>
  <si>
    <t>Acts.8.20</t>
  </si>
  <si>
    <t>Acts.8.21</t>
  </si>
  <si>
    <t>Acts.8.22</t>
  </si>
  <si>
    <t>Acts.8.23</t>
  </si>
  <si>
    <t>Acts.8.24</t>
  </si>
  <si>
    <t>Acts.8.25</t>
  </si>
  <si>
    <t>ευηγγελιζοντο</t>
  </si>
  <si>
    <t>ευηγγελισαντο</t>
  </si>
  <si>
    <t>Acts.8.26</t>
  </si>
  <si>
    <t>Acts.8.27</t>
  </si>
  <si>
    <t>Acts.8.28</t>
  </si>
  <si>
    <t>Acts.10.17</t>
  </si>
  <si>
    <t>Acts.10.20</t>
  </si>
  <si>
    <t>Acts.10.23</t>
  </si>
  <si>
    <t>Acts.10.24</t>
  </si>
  <si>
    <t>καισαριαν</t>
  </si>
  <si>
    <t>καισαρειαν</t>
  </si>
  <si>
    <t>Acts.10.25</t>
  </si>
  <si>
    <t>Acts.10.26</t>
  </si>
  <si>
    <t>Acts.10.27</t>
  </si>
  <si>
    <t>Acts.10.28</t>
  </si>
  <si>
    <t>Acts.10.30</t>
  </si>
  <si>
    <t>Acts.10.31</t>
  </si>
  <si>
    <t>Acts.10.33</t>
  </si>
  <si>
    <t>Acts.10.34</t>
  </si>
  <si>
    <t>Acts.10.37</t>
  </si>
  <si>
    <t>Acts.10.38</t>
  </si>
  <si>
    <t>ειωμενας</t>
  </si>
  <si>
    <t>ειωμενος</t>
  </si>
  <si>
    <t>Acts.10.39</t>
  </si>
  <si>
    <t>Acts.10.40</t>
  </si>
  <si>
    <t>Acts.10.41</t>
  </si>
  <si>
    <t>συνεστραφημεν</t>
  </si>
  <si>
    <t>Acts.10.45</t>
  </si>
  <si>
    <t>Acts.10.46</t>
  </si>
  <si>
    <t>Acts.10.47</t>
  </si>
  <si>
    <t>Acts.10.48</t>
  </si>
  <si>
    <t>Acts.11.1</t>
  </si>
  <si>
    <t>εδεξατο</t>
  </si>
  <si>
    <t>Acts.11.2</t>
  </si>
  <si>
    <t>Acts.11.3</t>
  </si>
  <si>
    <t>Acts.11.4</t>
  </si>
  <si>
    <t>Acts.11.5</t>
  </si>
  <si>
    <t>Acts.11.6</t>
  </si>
  <si>
    <t>αθενισας</t>
  </si>
  <si>
    <t>Acts.11.7</t>
  </si>
  <si>
    <t>Acts.11.8</t>
  </si>
  <si>
    <t>Acts.11.9</t>
  </si>
  <si>
    <t>Acts.11.11</t>
  </si>
  <si>
    <t>ημεν</t>
  </si>
  <si>
    <t>καισαραιας</t>
  </si>
  <si>
    <t>καισαρειας</t>
  </si>
  <si>
    <t>Acts.11.13</t>
  </si>
  <si>
    <t>Acts.11.15</t>
  </si>
  <si>
    <t>Acts.11.16</t>
  </si>
  <si>
    <t>Acts.11.17</t>
  </si>
  <si>
    <t>Acts.11.18</t>
  </si>
  <si>
    <t>Acts.11.19</t>
  </si>
  <si>
    <t>Acts.11.20</t>
  </si>
  <si>
    <t>Acts.11.21</t>
  </si>
  <si>
    <t>επεστρεψεν</t>
  </si>
  <si>
    <t>επεστρεψαν</t>
  </si>
  <si>
    <t>Acts.11.22</t>
  </si>
  <si>
    <t>Acts.11.23</t>
  </si>
  <si>
    <t>προθεσει</t>
  </si>
  <si>
    <t>προσθεσει</t>
  </si>
  <si>
    <t>Acts.11.24</t>
  </si>
  <si>
    <t>προσετεθη</t>
  </si>
  <si>
    <t>προσετιθη</t>
  </si>
  <si>
    <t>Acts.11.25</t>
  </si>
  <si>
    <t>αναζητων</t>
  </si>
  <si>
    <t>αναζητειν</t>
  </si>
  <si>
    <t>Acts.11.26</t>
  </si>
  <si>
    <t>Acts.11.28</t>
  </si>
  <si>
    <t>Acts.11.29</t>
  </si>
  <si>
    <t>Acts.11.30</t>
  </si>
  <si>
    <t>αποστειλαστες</t>
  </si>
  <si>
    <t>Acts.12.2</t>
  </si>
  <si>
    <t>μαχαιρα</t>
  </si>
  <si>
    <t>Acts.12.3</t>
  </si>
  <si>
    <t>Acts.12.4</t>
  </si>
  <si>
    <t>Acts.12.5</t>
  </si>
  <si>
    <t>Acts.12.6</t>
  </si>
  <si>
    <t>κοιμουμενος</t>
  </si>
  <si>
    <t>Acts.12.7</t>
  </si>
  <si>
    <t>νυξας</t>
  </si>
  <si>
    <t>νευξας</t>
  </si>
  <si>
    <t>Acts.12.9</t>
  </si>
  <si>
    <t>Acts.12.10</t>
  </si>
  <si>
    <t>ηνυγη</t>
  </si>
  <si>
    <t>ηυγει</t>
  </si>
  <si>
    <t>Acts.12.11</t>
  </si>
  <si>
    <t>προσδοκειας</t>
  </si>
  <si>
    <t>προσδοκιας</t>
  </si>
  <si>
    <t>Acts.12.12</t>
  </si>
  <si>
    <t>Acts.12.13</t>
  </si>
  <si>
    <t>Acts.12.14</t>
  </si>
  <si>
    <t>Acts.12.15</t>
  </si>
  <si>
    <t>διεεισχυριζετο</t>
  </si>
  <si>
    <t>διεσχυριζετο</t>
  </si>
  <si>
    <t>Acts.12.16</t>
  </si>
  <si>
    <t>Acts.12.17</t>
  </si>
  <si>
    <t>κατασεισας</t>
  </si>
  <si>
    <t>χειρι</t>
  </si>
  <si>
    <t>απανγειλατε</t>
  </si>
  <si>
    <t>απαγγειλατε</t>
  </si>
  <si>
    <t>Acts.12.19</t>
  </si>
  <si>
    <t>καισαραιαν</t>
  </si>
  <si>
    <t>Acts.12.20</t>
  </si>
  <si>
    <t>Acts.12.21</t>
  </si>
  <si>
    <t>Acts.12.22</t>
  </si>
  <si>
    <t>Acts.12.23</t>
  </si>
  <si>
    <t>Acts.12.24</t>
  </si>
  <si>
    <t>Acts.12.25</t>
  </si>
  <si>
    <t>Acts.13.1</t>
  </si>
  <si>
    <t>Acts.13.3</t>
  </si>
  <si>
    <t>Acts.13.4</t>
  </si>
  <si>
    <t>σελευκιαν</t>
  </si>
  <si>
    <t>σελευκειαν</t>
  </si>
  <si>
    <t>Acts.13.5</t>
  </si>
  <si>
    <t>σαλαμεινι</t>
  </si>
  <si>
    <t>σαλαμινι</t>
  </si>
  <si>
    <t>υπηρετουντα</t>
  </si>
  <si>
    <t>υπερητωντα</t>
  </si>
  <si>
    <t>Acts.13.6</t>
  </si>
  <si>
    <t>νησσον</t>
  </si>
  <si>
    <t>νησον</t>
  </si>
  <si>
    <t>ιουδαιον</t>
  </si>
  <si>
    <t>Acts.13.7</t>
  </si>
  <si>
    <t>Acts.13.8</t>
  </si>
  <si>
    <t>επιδη</t>
  </si>
  <si>
    <t>Acts.13.9</t>
  </si>
  <si>
    <t>πληθεις</t>
  </si>
  <si>
    <t>πλησθεις</t>
  </si>
  <si>
    <t>Acts.13.10</t>
  </si>
  <si>
    <t>εκθρε</t>
  </si>
  <si>
    <t>εχθρε</t>
  </si>
  <si>
    <t>Acts.13.11</t>
  </si>
  <si>
    <t>Acts.13.12</t>
  </si>
  <si>
    <t>Acts.13.13</t>
  </si>
  <si>
    <t>Acts.13.14</t>
  </si>
  <si>
    <t>αντειοχειαν</t>
  </si>
  <si>
    <t>αντιοχειαν</t>
  </si>
  <si>
    <t>Acts.13.15</t>
  </si>
  <si>
    <t>Acts.13.16</t>
  </si>
  <si>
    <t>χειρει</t>
  </si>
  <si>
    <t>ιστραηλιται</t>
  </si>
  <si>
    <t>Acts.13.17</t>
  </si>
  <si>
    <t>Acts.13.18</t>
  </si>
  <si>
    <t>Acts.13.19</t>
  </si>
  <si>
    <t>χανααμ</t>
  </si>
  <si>
    <t>Acts.13.20</t>
  </si>
  <si>
    <t>Acts.13.21</t>
  </si>
  <si>
    <t>κεις</t>
  </si>
  <si>
    <t>κις</t>
  </si>
  <si>
    <t>Acts.13.23</t>
  </si>
  <si>
    <t>επαγγελειαν</t>
  </si>
  <si>
    <t>επαγγελιαν</t>
  </si>
  <si>
    <t>Acts.13.25</t>
  </si>
  <si>
    <t>Acts.13.26</t>
  </si>
  <si>
    <t>σωτηρειας</t>
  </si>
  <si>
    <t>σωτηριας</t>
  </si>
  <si>
    <t>Acts.13.27</t>
  </si>
  <si>
    <t>Acts.13.28</t>
  </si>
  <si>
    <t>Acts.13.29</t>
  </si>
  <si>
    <t>Acts.13.31</t>
  </si>
  <si>
    <t>πλειους</t>
  </si>
  <si>
    <t>Acts.13.33</t>
  </si>
  <si>
    <t>γεγηνεκα</t>
  </si>
  <si>
    <t>Acts.13.34</t>
  </si>
  <si>
    <t>Acts.13.35</t>
  </si>
  <si>
    <t>Acts.13.37</t>
  </si>
  <si>
    <t>Acts.13.38</t>
  </si>
  <si>
    <t>Acts.13.39</t>
  </si>
  <si>
    <t>Acts.13.41</t>
  </si>
  <si>
    <t>καταφρονηται</t>
  </si>
  <si>
    <t>εκδιηγησεται</t>
  </si>
  <si>
    <t>Acts.13.42</t>
  </si>
  <si>
    <t>Acts.13.43</t>
  </si>
  <si>
    <t>Acts.13.44</t>
  </si>
  <si>
    <t>Acts.13.45</t>
  </si>
  <si>
    <t>Acts.13.46</t>
  </si>
  <si>
    <t>παρρησιαμενος</t>
  </si>
  <si>
    <t>Acts.13.47</t>
  </si>
  <si>
    <t>Acts.13.48</t>
  </si>
  <si>
    <t>Acts.13.49</t>
  </si>
  <si>
    <t>Acts.13.50</t>
  </si>
  <si>
    <t>Acts.14.1</t>
  </si>
  <si>
    <t>Acts.14.2</t>
  </si>
  <si>
    <t>Acts.14.3</t>
  </si>
  <si>
    <t>παρησιαμενοι</t>
  </si>
  <si>
    <t>Acts.14.4</t>
  </si>
  <si>
    <t>Acts.14.6</t>
  </si>
  <si>
    <t>Acts.14.7</t>
  </si>
  <si>
    <t>λυστροις</t>
  </si>
  <si>
    <t>λυστραις</t>
  </si>
  <si>
    <t>Acts.14.8</t>
  </si>
  <si>
    <t>περειπεπατηκει</t>
  </si>
  <si>
    <t>περιεπεπατηκει</t>
  </si>
  <si>
    <t>Acts.14.10</t>
  </si>
  <si>
    <t>ανηλατο</t>
  </si>
  <si>
    <t>Acts.14.12</t>
  </si>
  <si>
    <t>επειδη</t>
  </si>
  <si>
    <t>Acts.14.13</t>
  </si>
  <si>
    <t>Acts.14.14</t>
  </si>
  <si>
    <t>Acts.14.15</t>
  </si>
  <si>
    <t>ομοιοιπαηθεις</t>
  </si>
  <si>
    <t>ομοιοπαθεις</t>
  </si>
  <si>
    <t>Acts.14.16</t>
  </si>
  <si>
    <t>Acts.14.17</t>
  </si>
  <si>
    <t>Acts.14.19</t>
  </si>
  <si>
    <t>Acts.14.20</t>
  </si>
  <si>
    <t>Acts.14.21</t>
  </si>
  <si>
    <t>Acts.14.22</t>
  </si>
  <si>
    <t>Acts.14.23</t>
  </si>
  <si>
    <t>Acts.14.25</t>
  </si>
  <si>
    <t>Acts.14.27</t>
  </si>
  <si>
    <t>Acts.15.1</t>
  </si>
  <si>
    <t>Acts.15.2</t>
  </si>
  <si>
    <t>Acts.15.4</t>
  </si>
  <si>
    <t>Acts.15.5</t>
  </si>
  <si>
    <t>Acts.15.6</t>
  </si>
  <si>
    <t>Acts.15.7</t>
  </si>
  <si>
    <t>Acts.15.8</t>
  </si>
  <si>
    <t>Acts.15.9</t>
  </si>
  <si>
    <t>διεκρεινεν</t>
  </si>
  <si>
    <t>διεκρινεν</t>
  </si>
  <si>
    <t>Acts.15.10</t>
  </si>
  <si>
    <t>Acts.15.11</t>
  </si>
  <si>
    <t>Acts.15.12</t>
  </si>
  <si>
    <t>Acts.15.15</t>
  </si>
  <si>
    <t>Acts.15.16</t>
  </si>
  <si>
    <t>Acts.15.17</t>
  </si>
  <si>
    <t>Acts.15.19</t>
  </si>
  <si>
    <t>Acts.15.22</t>
  </si>
  <si>
    <t>Acts.15.23</t>
  </si>
  <si>
    <t>Acts.15.24</t>
  </si>
  <si>
    <t>διεστειλομεθα</t>
  </si>
  <si>
    <t>Acts.15.25</t>
  </si>
  <si>
    <t>εκλεξαμενους</t>
  </si>
  <si>
    <t>εκλεξαμενοις</t>
  </si>
  <si>
    <t>Acts.15.27</t>
  </si>
  <si>
    <t>Acts.15.28</t>
  </si>
  <si>
    <t>πλειον</t>
  </si>
  <si>
    <t>πλεον</t>
  </si>
  <si>
    <t>Acts.15.29</t>
  </si>
  <si>
    <t>πορνεας</t>
  </si>
  <si>
    <t>πνι</t>
  </si>
  <si>
    <t>Acts.15.30</t>
  </si>
  <si>
    <t>συναγοντες</t>
  </si>
  <si>
    <t>Acts.15.32</t>
  </si>
  <si>
    <t>Acts.15.34</t>
  </si>
  <si>
    <t>σειλεα</t>
  </si>
  <si>
    <t>σιλεα</t>
  </si>
  <si>
    <t>Acts.15.35</t>
  </si>
  <si>
    <t>διετρειβον</t>
  </si>
  <si>
    <t>διετριβον</t>
  </si>
  <si>
    <t>Acts.15.36</t>
  </si>
  <si>
    <t>Acts.15.37</t>
  </si>
  <si>
    <t>Acts.15.39</t>
  </si>
  <si>
    <t>παροξυσμος</t>
  </si>
  <si>
    <t>παρωξυσμος</t>
  </si>
  <si>
    <t>Acts.15.40</t>
  </si>
  <si>
    <t>επιδεξαμενος</t>
  </si>
  <si>
    <t>επιλεξαμενος</t>
  </si>
  <si>
    <t>Acts.15.41</t>
  </si>
  <si>
    <t>Acts.16.3</t>
  </si>
  <si>
    <t>Acts.16.4</t>
  </si>
  <si>
    <t>Acts.16.6</t>
  </si>
  <si>
    <t>Acts.16.7</t>
  </si>
  <si>
    <t>Acts.16.9</t>
  </si>
  <si>
    <t>Acts.16.11</t>
  </si>
  <si>
    <t>Acts.16.12</t>
  </si>
  <si>
    <t>διατρειβοντες</t>
  </si>
  <si>
    <t>διατριβοντες</t>
  </si>
  <si>
    <t>Acts.16.13</t>
  </si>
  <si>
    <t>Acts.16.14</t>
  </si>
  <si>
    <t>Acts.16.15</t>
  </si>
  <si>
    <t>εισελοντες</t>
  </si>
  <si>
    <t>εισελθοντες</t>
  </si>
  <si>
    <t>μενετε</t>
  </si>
  <si>
    <t>μενατε</t>
  </si>
  <si>
    <t>παρεβειασατο</t>
  </si>
  <si>
    <t>παρεβιασατο</t>
  </si>
  <si>
    <t>Acts.16.16</t>
  </si>
  <si>
    <t>Acts.16.17</t>
  </si>
  <si>
    <t>Acts.16.18</t>
  </si>
  <si>
    <t>Acts.16.19</t>
  </si>
  <si>
    <t>απεστερεσθαι</t>
  </si>
  <si>
    <t>ειχον</t>
  </si>
  <si>
    <t>Acts.16.20</t>
  </si>
  <si>
    <t>προσαγαγοντας</t>
  </si>
  <si>
    <t>Acts.16.21</t>
  </si>
  <si>
    <t>Acts.16.22</t>
  </si>
  <si>
    <t>ιματια</t>
  </si>
  <si>
    <t>Acts.16.24</t>
  </si>
  <si>
    <t>παραγγελειαν</t>
  </si>
  <si>
    <t>παραγγελιαν</t>
  </si>
  <si>
    <t>ησφαλισαντο</t>
  </si>
  <si>
    <t>Acts.16.25</t>
  </si>
  <si>
    <t>δεσμοι</t>
  </si>
  <si>
    <t>Acts.16.26</t>
  </si>
  <si>
    <t>Acts.16.27</t>
  </si>
  <si>
    <t>Acts.16.29</t>
  </si>
  <si>
    <t>Acts.16.30</t>
  </si>
  <si>
    <t>Acts.16.33</t>
  </si>
  <si>
    <t>Acts.16.34</t>
  </si>
  <si>
    <t>Acts.16.35</t>
  </si>
  <si>
    <t>λεγοντας</t>
  </si>
  <si>
    <t>παρελαβες</t>
  </si>
  <si>
    <t>παρεβαλες</t>
  </si>
  <si>
    <t>Acts.16.36</t>
  </si>
  <si>
    <t>απεσταλκασιν</t>
  </si>
  <si>
    <t>απεσταλκαν</t>
  </si>
  <si>
    <t>Acts.16.38</t>
  </si>
  <si>
    <t>απηγγειλαν</t>
  </si>
  <si>
    <t>ανηγγειλαν</t>
  </si>
  <si>
    <t>Acts.16.39</t>
  </si>
  <si>
    <t>παρεκαλεσαν</t>
  </si>
  <si>
    <t>παρεκαλησαν</t>
  </si>
  <si>
    <t>Acts.16.40</t>
  </si>
  <si>
    <t>Acts.17.1</t>
  </si>
  <si>
    <t>Acts.17.2</t>
  </si>
  <si>
    <t>εισωθος</t>
  </si>
  <si>
    <t>διελεχθη</t>
  </si>
  <si>
    <t>διεκεχθη</t>
  </si>
  <si>
    <t>Acts.17.3</t>
  </si>
  <si>
    <t>Acts.17.4</t>
  </si>
  <si>
    <t>Acts.17.5</t>
  </si>
  <si>
    <t>Acts.17.6</t>
  </si>
  <si>
    <t>Acts.17.8</t>
  </si>
  <si>
    <t>Acts.17.9</t>
  </si>
  <si>
    <t>Acts.17.10</t>
  </si>
  <si>
    <t>Acts.17.11</t>
  </si>
  <si>
    <t>Acts.17.12</t>
  </si>
  <si>
    <t>Acts.17.13</t>
  </si>
  <si>
    <t>τασσοντες</t>
  </si>
  <si>
    <t>ταρασσαντες</t>
  </si>
  <si>
    <t>Acts.17.14</t>
  </si>
  <si>
    <t>υπεμεινεν</t>
  </si>
  <si>
    <t>υπεμενεν</t>
  </si>
  <si>
    <t>σειλας</t>
  </si>
  <si>
    <t>σιλας</t>
  </si>
  <si>
    <t>Acts.17.15</t>
  </si>
  <si>
    <t>καταστανοντες</t>
  </si>
  <si>
    <t>Acts.17.16</t>
  </si>
  <si>
    <t>Acts.17.17</t>
  </si>
  <si>
    <t>παρατυχοντας</t>
  </si>
  <si>
    <t>Acts.17.18</t>
  </si>
  <si>
    <t>Acts.17.19</t>
  </si>
  <si>
    <t>Acts.17.20</t>
  </si>
  <si>
    <t>Acts.17.21</t>
  </si>
  <si>
    <t>Acts.17.23</t>
  </si>
  <si>
    <t>Acts.17.24</t>
  </si>
  <si>
    <t>κατοικοι</t>
  </si>
  <si>
    <t>Acts.17.25</t>
  </si>
  <si>
    <t>Acts.17.26</t>
  </si>
  <si>
    <t>Acts.17.27</t>
  </si>
  <si>
    <t>Acts.17.28</t>
  </si>
  <si>
    <t>Acts.17.29</t>
  </si>
  <si>
    <t>Acts.17.30</t>
  </si>
  <si>
    <t>Acts.17.31</t>
  </si>
  <si>
    <t>εστησαν</t>
  </si>
  <si>
    <t>παρεσχειν</t>
  </si>
  <si>
    <t>παρεχειν</t>
  </si>
  <si>
    <t>Acts.17.34</t>
  </si>
  <si>
    <t>Acts.18.2</t>
  </si>
  <si>
    <t>ιουδαι</t>
  </si>
  <si>
    <t>κατωκεσαν</t>
  </si>
  <si>
    <t>Acts.18.3</t>
  </si>
  <si>
    <t>Acts.18.4</t>
  </si>
  <si>
    <t>Acts.18.5</t>
  </si>
  <si>
    <t>διαμαρτυρουμενος</t>
  </si>
  <si>
    <t>Acts.18.6</t>
  </si>
  <si>
    <t>εκτιναξαμενος</t>
  </si>
  <si>
    <t>εντιναξαμενος</t>
  </si>
  <si>
    <t>πορευομαι</t>
  </si>
  <si>
    <t>Acts.18.7</t>
  </si>
  <si>
    <t>συνομοροουσα</t>
  </si>
  <si>
    <t>συνομορουσα</t>
  </si>
  <si>
    <t>Acts.18.8</t>
  </si>
  <si>
    <t>Acts.18.9</t>
  </si>
  <si>
    <t>σειωσης</t>
  </si>
  <si>
    <t>Acts.18.11</t>
  </si>
  <si>
    <t>Acts.18.12</t>
  </si>
  <si>
    <t>Acts.18.14</t>
  </si>
  <si>
    <t>Acts.18.15</t>
  </si>
  <si>
    <t>Acts.18.16</t>
  </si>
  <si>
    <t>απελυσεν</t>
  </si>
  <si>
    <t>Acts.18.17</t>
  </si>
  <si>
    <t>απολαβομενοι</t>
  </si>
  <si>
    <t>αρχεισυναγωγον</t>
  </si>
  <si>
    <t>αρχισυναγωγον</t>
  </si>
  <si>
    <t>Acts.18.18</t>
  </si>
  <si>
    <t>κενχρειαις</t>
  </si>
  <si>
    <t>κειχρειαις</t>
  </si>
  <si>
    <t>Acts.18.19</t>
  </si>
  <si>
    <t>καταντησας</t>
  </si>
  <si>
    <t>κατηντησας</t>
  </si>
  <si>
    <t>Acts.18.20</t>
  </si>
  <si>
    <t>Acts.18.21</t>
  </si>
  <si>
    <t>Acts.18.22</t>
  </si>
  <si>
    <t>Acts.18.23</t>
  </si>
  <si>
    <t>Acts.18.25</t>
  </si>
  <si>
    <t>Acts.18.26</t>
  </si>
  <si>
    <t>Acts.18.27</t>
  </si>
  <si>
    <t>Acts.18.28</t>
  </si>
  <si>
    <t>επιδικνυς</t>
  </si>
  <si>
    <t>επιδεικνυς</t>
  </si>
  <si>
    <t>Acts.19.2</t>
  </si>
  <si>
    <t>Acts.19.3</t>
  </si>
  <si>
    <t>Acts.19.4</t>
  </si>
  <si>
    <t>Acts.19.5</t>
  </si>
  <si>
    <t>Acts.19.6</t>
  </si>
  <si>
    <t>επροφητευον</t>
  </si>
  <si>
    <t>εποφητευον</t>
  </si>
  <si>
    <t>Acts.19.9</t>
  </si>
  <si>
    <t>τυραννιου</t>
  </si>
  <si>
    <t>τυραννου</t>
  </si>
  <si>
    <t>Acts.19.10</t>
  </si>
  <si>
    <t>Acts.19.11</t>
  </si>
  <si>
    <t>Acts.19.13</t>
  </si>
  <si>
    <t>Acts.19.14</t>
  </si>
  <si>
    <t>Acts.19.15</t>
  </si>
  <si>
    <t>Acts.19.16</t>
  </si>
  <si>
    <t>Acts.19.17</t>
  </si>
  <si>
    <t>Acts.19.18</t>
  </si>
  <si>
    <t>πεπιστευκοτων</t>
  </si>
  <si>
    <t>Acts.19.19</t>
  </si>
  <si>
    <t>συνεψηφισον</t>
  </si>
  <si>
    <t>μυριδας</t>
  </si>
  <si>
    <t>μυριαδας</t>
  </si>
  <si>
    <t>Acts.19.20</t>
  </si>
  <si>
    <t>Acts.19.21</t>
  </si>
  <si>
    <t>Acts.19.23</t>
  </si>
  <si>
    <t>Acts.19.24</t>
  </si>
  <si>
    <t>Acts.19.25</t>
  </si>
  <si>
    <t>τεχνεταις</t>
  </si>
  <si>
    <t>τεχνιτας</t>
  </si>
  <si>
    <t>συντεχνειται</t>
  </si>
  <si>
    <t>συντεχνιται</t>
  </si>
  <si>
    <t>επιστασται</t>
  </si>
  <si>
    <t>Acts.19.26</t>
  </si>
  <si>
    <t>εφεσιου</t>
  </si>
  <si>
    <t>εφεσου</t>
  </si>
  <si>
    <t>γενομενοι</t>
  </si>
  <si>
    <t>Acts.19.27</t>
  </si>
  <si>
    <t>κινδυνευει</t>
  </si>
  <si>
    <t>Acts.19.28</t>
  </si>
  <si>
    <t>Acts.19.29</t>
  </si>
  <si>
    <t>μακεδονες</t>
  </si>
  <si>
    <t>Acts.19.32</t>
  </si>
  <si>
    <t>συνκεχυμενη</t>
  </si>
  <si>
    <t>συγκεχυμενη</t>
  </si>
  <si>
    <t>Acts.19.33</t>
  </si>
  <si>
    <t>προβαλλοντων</t>
  </si>
  <si>
    <t>προβαλοντων</t>
  </si>
  <si>
    <t>Acts.19.34</t>
  </si>
  <si>
    <t>Acts.19.35</t>
  </si>
  <si>
    <t>γεινωσγει</t>
  </si>
  <si>
    <t>γεινωσκει</t>
  </si>
  <si>
    <t>ναοκορον</t>
  </si>
  <si>
    <t>ναιοκορον</t>
  </si>
  <si>
    <t>Acts.19.37</t>
  </si>
  <si>
    <t>Acts.19.38</t>
  </si>
  <si>
    <t>ενκαλιτωσαν</t>
  </si>
  <si>
    <t>εγκαλιτωσαν</t>
  </si>
  <si>
    <t>Acts.19.39</t>
  </si>
  <si>
    <t>Acts.19.40</t>
  </si>
  <si>
    <t>Acts.19.41</t>
  </si>
  <si>
    <t>Acts.20.1</t>
  </si>
  <si>
    <t>Acts.20.2</t>
  </si>
  <si>
    <t>Acts.20.3</t>
  </si>
  <si>
    <t>Acts.20.4</t>
  </si>
  <si>
    <t>βερυαιος</t>
  </si>
  <si>
    <t>βεριαιος</t>
  </si>
  <si>
    <t>σεκουνδος</t>
  </si>
  <si>
    <t>σεκουνδας</t>
  </si>
  <si>
    <t>δουβεριος</t>
  </si>
  <si>
    <t>Acts.20.5</t>
  </si>
  <si>
    <t>Acts.20.7</t>
  </si>
  <si>
    <t>Acts.20.9</t>
  </si>
  <si>
    <t>καθεζομενος</t>
  </si>
  <si>
    <t>καθημενος</t>
  </si>
  <si>
    <t>Acts.20.10</t>
  </si>
  <si>
    <t>Acts.20.11</t>
  </si>
  <si>
    <t>Acts.20.13</t>
  </si>
  <si>
    <t>Acts.20.14</t>
  </si>
  <si>
    <t>Acts.20.15</t>
  </si>
  <si>
    <t>παρελαβομεν</t>
  </si>
  <si>
    <t>Acts.20.16</t>
  </si>
  <si>
    <t>Acts.20.18</t>
  </si>
  <si>
    <t>Acts.20.20</t>
  </si>
  <si>
    <t>Acts.20.21</t>
  </si>
  <si>
    <t>Acts.20.22</t>
  </si>
  <si>
    <t>συναντησαντα</t>
  </si>
  <si>
    <t>συναντησοντα</t>
  </si>
  <si>
    <t>Acts.20.23</t>
  </si>
  <si>
    <t>λεγον</t>
  </si>
  <si>
    <t>Acts.20.24</t>
  </si>
  <si>
    <t>Acts.20.25</t>
  </si>
  <si>
    <t>Acts.20.26</t>
  </si>
  <si>
    <t>Acts.20.27</t>
  </si>
  <si>
    <t>Acts.20.28</t>
  </si>
  <si>
    <t>ποιμνιω</t>
  </si>
  <si>
    <t>ποιμιω</t>
  </si>
  <si>
    <t>Acts.20.29</t>
  </si>
  <si>
    <t>αφεξιν</t>
  </si>
  <si>
    <t>αφιξιν</t>
  </si>
  <si>
    <t>πυμνειου</t>
  </si>
  <si>
    <t>ποιμνιου</t>
  </si>
  <si>
    <t>Acts.20.31</t>
  </si>
  <si>
    <t>Acts.20.33</t>
  </si>
  <si>
    <t>Acts.20.34</t>
  </si>
  <si>
    <t>Acts.20.35</t>
  </si>
  <si>
    <t>Acts.20.36</t>
  </si>
  <si>
    <t>προσευξατο</t>
  </si>
  <si>
    <t>Acts.20.37</t>
  </si>
  <si>
    <t>Acts.20.38</t>
  </si>
  <si>
    <t>Acts.21.1</t>
  </si>
  <si>
    <t>Acts.21.2</t>
  </si>
  <si>
    <t>φυνεικην</t>
  </si>
  <si>
    <t>επεβαντες</t>
  </si>
  <si>
    <t>Acts.21.3</t>
  </si>
  <si>
    <t>αναφανεντες</t>
  </si>
  <si>
    <t>Acts.21.4</t>
  </si>
  <si>
    <t>Acts.21.5</t>
  </si>
  <si>
    <t>Acts.21.6</t>
  </si>
  <si>
    <t>Acts.21.7</t>
  </si>
  <si>
    <t>Acts.21.8</t>
  </si>
  <si>
    <t>Acts.21.9</t>
  </si>
  <si>
    <t>Acts.21.10</t>
  </si>
  <si>
    <t>Acts.21.11</t>
  </si>
  <si>
    <t>Acts.21.12</t>
  </si>
  <si>
    <t>παρακαλουμεν</t>
  </si>
  <si>
    <t>Acts.21.13</t>
  </si>
  <si>
    <t>Acts.21.14</t>
  </si>
  <si>
    <t>Acts.21.16</t>
  </si>
  <si>
    <t>συνηλθον</t>
  </si>
  <si>
    <t>Acts.21.17</t>
  </si>
  <si>
    <t>εδεξαντο</t>
  </si>
  <si>
    <t>Acts.21.18</t>
  </si>
  <si>
    <t>Acts.21.19</t>
  </si>
  <si>
    <t>Acts.21.20</t>
  </si>
  <si>
    <t>Acts.21.21</t>
  </si>
  <si>
    <t>κατηκησαν</t>
  </si>
  <si>
    <t>Acts.21.22</t>
  </si>
  <si>
    <t>Acts.21.23</t>
  </si>
  <si>
    <t>Acts.21.24</t>
  </si>
  <si>
    <t>ξυρωνται</t>
  </si>
  <si>
    <t>ξυρησωται</t>
  </si>
  <si>
    <t>Acts.21.25</t>
  </si>
  <si>
    <t>κρεινοντες</t>
  </si>
  <si>
    <t>Acts.21.26</t>
  </si>
  <si>
    <t>Acts.21.27</t>
  </si>
  <si>
    <t>επιβαλλουσιν</t>
  </si>
  <si>
    <t>επιβαλουσιν</t>
  </si>
  <si>
    <t>Acts.21.28</t>
  </si>
  <si>
    <t>ιστραηλειται</t>
  </si>
  <si>
    <t>εκοινωνησεν</t>
  </si>
  <si>
    <t>Acts.21.29</t>
  </si>
  <si>
    <t>προεωρακοτες</t>
  </si>
  <si>
    <t>προσεωρακοτες</t>
  </si>
  <si>
    <t>Acts.21.31</t>
  </si>
  <si>
    <t>συνχυννεται</t>
  </si>
  <si>
    <t>συγχυνεται</t>
  </si>
  <si>
    <t>Acts.21.32</t>
  </si>
  <si>
    <t>εκατονταρχας</t>
  </si>
  <si>
    <t>Acts.21.33</t>
  </si>
  <si>
    <t>εγγιζας</t>
  </si>
  <si>
    <t>Acts.21.34</t>
  </si>
  <si>
    <t>Acts.21.36</t>
  </si>
  <si>
    <t>Acts.21.37</t>
  </si>
  <si>
    <t>Acts.21.38</t>
  </si>
  <si>
    <t>Acts.21.39</t>
  </si>
  <si>
    <t>συνχωρησαι</t>
  </si>
  <si>
    <t>συγχωρησαι</t>
  </si>
  <si>
    <t>Acts.21.40</t>
  </si>
  <si>
    <t>ησυχειας</t>
  </si>
  <si>
    <t>ησυχιας</t>
  </si>
  <si>
    <t>Acts.22.2</t>
  </si>
  <si>
    <t>Acts.22.3</t>
  </si>
  <si>
    <t>γεγεννημενος</t>
  </si>
  <si>
    <t>γεγενημενος</t>
  </si>
  <si>
    <t>παιδευομενος</t>
  </si>
  <si>
    <t>παιδευσαμενος</t>
  </si>
  <si>
    <t>πατρωιου</t>
  </si>
  <si>
    <t>πατρωου</t>
  </si>
  <si>
    <t>Acts.22.5</t>
  </si>
  <si>
    <t>Acts.22.6</t>
  </si>
  <si>
    <t>Acts.22.8</t>
  </si>
  <si>
    <t>δειωκεις</t>
  </si>
  <si>
    <t>διωκεις</t>
  </si>
  <si>
    <t>Acts.22.10</t>
  </si>
  <si>
    <t>τετακται</t>
  </si>
  <si>
    <t>Acts.22.11</t>
  </si>
  <si>
    <t>Acts.22.12</t>
  </si>
  <si>
    <t>ανανιας</t>
  </si>
  <si>
    <t>Acts.22.13</t>
  </si>
  <si>
    <t>Acts.22.14</t>
  </si>
  <si>
    <t>Acts.22.15</t>
  </si>
  <si>
    <t>Acts.22.16</t>
  </si>
  <si>
    <t>Acts.22.17</t>
  </si>
  <si>
    <t>Acts.22.18</t>
  </si>
  <si>
    <t>εξελθε</t>
  </si>
  <si>
    <t>Acts.22.19</t>
  </si>
  <si>
    <t>Acts.22.20</t>
  </si>
  <si>
    <t>Acts.22.21</t>
  </si>
  <si>
    <t>εξαποστελλω</t>
  </si>
  <si>
    <t>εξαποστελω</t>
  </si>
  <si>
    <t>Acts.22.22</t>
  </si>
  <si>
    <t>καθηκεν</t>
  </si>
  <si>
    <t>Acts.22.24</t>
  </si>
  <si>
    <t>Acts.22.25</t>
  </si>
  <si>
    <t>Acts.22.26</t>
  </si>
  <si>
    <t>εκατονταρχης</t>
  </si>
  <si>
    <t>εκατονταρχος</t>
  </si>
  <si>
    <t>Acts.22.28</t>
  </si>
  <si>
    <t>πολειτειαν</t>
  </si>
  <si>
    <t>πολιτειαν</t>
  </si>
  <si>
    <t>Other</t>
  </si>
  <si>
    <t>τεξετε υιον</t>
  </si>
  <si>
    <t>τεξεται υιον</t>
  </si>
  <si>
    <t>υιον αυτης τον πρωτοτοκον</t>
  </si>
  <si>
    <t>εκαλεσεν το ονομα</t>
  </si>
  <si>
    <t>ελαλησεν το ονομα</t>
  </si>
  <si>
    <t>εταραχθη κα ιεροσολυμα</t>
  </si>
  <si>
    <t>εταραχθη και ιεροσολυμα</t>
  </si>
  <si>
    <t>ιουδα εξ ου γαρ</t>
  </si>
  <si>
    <t>ιουδα εκ ου γαρ</t>
  </si>
  <si>
    <r>
      <t xml:space="preserve">πορευθεντες </t>
    </r>
    <r>
      <rPr>
        <b/>
        <sz val="11"/>
        <color theme="1"/>
        <rFont val="Calibri"/>
        <family val="2"/>
        <scheme val="minor"/>
      </rPr>
      <t>εξετασαται ακρειβως</t>
    </r>
    <r>
      <rPr>
        <sz val="11"/>
        <color theme="1"/>
        <rFont val="Calibri"/>
        <family val="2"/>
        <scheme val="minor"/>
      </rPr>
      <t xml:space="preserve"> περι</t>
    </r>
  </si>
  <si>
    <r>
      <t xml:space="preserve">πορευθεντες </t>
    </r>
    <r>
      <rPr>
        <b/>
        <sz val="11"/>
        <color theme="1"/>
        <rFont val="Calibri"/>
        <family val="2"/>
        <scheme val="minor"/>
      </rPr>
      <t>ακριβως εξετασαται</t>
    </r>
    <r>
      <rPr>
        <sz val="11"/>
        <color theme="1"/>
        <rFont val="Calibri"/>
        <family val="2"/>
        <scheme val="minor"/>
      </rPr>
      <t xml:space="preserve"> περι</t>
    </r>
  </si>
  <si>
    <r>
      <t xml:space="preserve">πορευθεντες εξετασαται </t>
    </r>
    <r>
      <rPr>
        <b/>
        <sz val="11"/>
        <color theme="1"/>
        <rFont val="Calibri"/>
        <family val="2"/>
        <scheme val="minor"/>
      </rPr>
      <t>ακρειβως</t>
    </r>
    <r>
      <rPr>
        <sz val="11"/>
        <color theme="1"/>
        <rFont val="Calibri"/>
        <family val="2"/>
        <scheme val="minor"/>
      </rPr>
      <t xml:space="preserve"> περι</t>
    </r>
  </si>
  <si>
    <r>
      <t xml:space="preserve">πορευθεντες </t>
    </r>
    <r>
      <rPr>
        <b/>
        <sz val="11"/>
        <color theme="1"/>
        <rFont val="Calibri"/>
        <family val="2"/>
        <scheme val="minor"/>
      </rPr>
      <t>ακριβως</t>
    </r>
    <r>
      <rPr>
        <sz val="11"/>
        <color theme="1"/>
        <rFont val="Calibri"/>
        <family val="2"/>
        <scheme val="minor"/>
      </rPr>
      <t xml:space="preserve"> εξετασαται περι</t>
    </r>
  </si>
  <si>
    <t>ευρητε επαγγειλαται</t>
  </si>
  <si>
    <t>ευρητε απαγγειλαται</t>
  </si>
  <si>
    <t>οι δε ακουσαν του βασιλεως</t>
  </si>
  <si>
    <t>οι δε ακουσαντες του βασιλεως</t>
  </si>
  <si>
    <t>παραλαβε τον παιδα</t>
  </si>
  <si>
    <t>παρελαβε τον παιδα</t>
  </si>
  <si>
    <t>ο δε διεγερθεις</t>
  </si>
  <si>
    <t>ο δε εγερθεις</t>
  </si>
  <si>
    <t>βηθλεεμ</t>
  </si>
  <si>
    <t>απο διετειας και κατω</t>
  </si>
  <si>
    <t>απο διετους και κατω</t>
  </si>
  <si>
    <t>δια ηρεμιου</t>
  </si>
  <si>
    <t>δια ιερεμιου</t>
  </si>
  <si>
    <t>Corrected Bezae = δια ιηρεμιου</t>
  </si>
  <si>
    <t>ουκ εισιν (19) τελευτησαντος</t>
  </si>
  <si>
    <t>ουκ εισι (19) τελευτησαντος</t>
  </si>
  <si>
    <t>γαρ οι ζητουντες</t>
  </si>
  <si>
    <t>γαρ ζητουντες</t>
  </si>
  <si>
    <t>εις την ισραηλ</t>
  </si>
  <si>
    <t>εις γην ισραηλ</t>
  </si>
  <si>
    <r>
      <rPr>
        <b/>
        <sz val="11"/>
        <color theme="1"/>
        <rFont val="Calibri"/>
        <family val="2"/>
        <scheme val="minor"/>
      </rPr>
      <t>ηρωδου</t>
    </r>
    <r>
      <rPr>
        <sz val="11"/>
        <color theme="1"/>
        <rFont val="Calibri"/>
        <family val="2"/>
        <scheme val="minor"/>
      </rPr>
      <t xml:space="preserve"> του πατρος αυτου εφηθη εκει</t>
    </r>
  </si>
  <si>
    <r>
      <t xml:space="preserve">ηρωδου του πατρος αυτου </t>
    </r>
    <r>
      <rPr>
        <b/>
        <sz val="11"/>
        <color theme="1"/>
        <rFont val="Calibri"/>
        <family val="2"/>
        <scheme val="minor"/>
      </rPr>
      <t>εφηθη</t>
    </r>
    <r>
      <rPr>
        <sz val="11"/>
        <color theme="1"/>
        <rFont val="Calibri"/>
        <family val="2"/>
        <scheme val="minor"/>
      </rPr>
      <t xml:space="preserve"> εκει</t>
    </r>
  </si>
  <si>
    <t>εν ταις ημεραις</t>
  </si>
  <si>
    <t>εν δε ταις ημεραις</t>
  </si>
  <si>
    <t>ονιδισουσιν</t>
  </si>
  <si>
    <t>δανισασθαι</t>
  </si>
  <si>
    <t>πορευομενων</t>
  </si>
  <si>
    <t>αυξηση</t>
  </si>
  <si>
    <t>σκανδαλειση</t>
  </si>
  <si>
    <t>φυγεται</t>
  </si>
  <si>
    <t>ηδη δε η αξινη</t>
  </si>
  <si>
    <t>η δε η αξινη</t>
  </si>
  <si>
    <t>μη ποιυυν καρπον</t>
  </si>
  <si>
    <t>μη ποιουν καρπον</t>
  </si>
  <si>
    <t>υπο συ βαπτισθηναι</t>
  </si>
  <si>
    <t>υπο σου βαπτισθηναι</t>
  </si>
  <si>
    <t>εστιν ημιν πληρωσαι</t>
  </si>
  <si>
    <t>εστιν ημας πληρωσαι</t>
  </si>
  <si>
    <t>και ιδεν</t>
  </si>
  <si>
    <t>και ειδεν</t>
  </si>
  <si>
    <r>
      <t xml:space="preserve">ως περιστεραν </t>
    </r>
    <r>
      <rPr>
        <b/>
        <sz val="11"/>
        <color theme="1"/>
        <rFont val="Calibri"/>
        <family val="2"/>
        <scheme val="minor"/>
      </rPr>
      <t>και ερχομενον εις αυτον</t>
    </r>
    <r>
      <rPr>
        <sz val="11"/>
        <color theme="1"/>
        <rFont val="Calibri"/>
        <family val="2"/>
        <scheme val="minor"/>
      </rPr>
      <t xml:space="preserve"> (17) και ιδου</t>
    </r>
  </si>
  <si>
    <t>ει ο υιος μου</t>
  </si>
  <si>
    <t>ει υιος μου</t>
  </si>
  <si>
    <t>υπο του διαβολου</t>
  </si>
  <si>
    <t>υπο διαβολου</t>
  </si>
  <si>
    <t>ειπεν αυτω ει υιος</t>
  </si>
  <si>
    <t>ειπεν ει υιος</t>
  </si>
  <si>
    <t>ειπεν γεγραπται</t>
  </si>
  <si>
    <t>ειπε γεγραπται</t>
  </si>
  <si>
    <t>υιος ει θεου βαλε</t>
  </si>
  <si>
    <t>υιος ει του θεου βαλε</t>
  </si>
  <si>
    <t>επει χειρων</t>
  </si>
  <si>
    <t>επι χειρων</t>
  </si>
  <si>
    <t>γαλιλαιας των εθνων</t>
  </si>
  <si>
    <t>φως μεγαν οι</t>
  </si>
  <si>
    <t>εν χωρα σκεια</t>
  </si>
  <si>
    <t>Bezae corrected to εν χωρα και σκεια</t>
  </si>
  <si>
    <t>Bezae corrects μεγαν -&gt; μεγα</t>
  </si>
  <si>
    <t>Bezae corrects γαλιλαιας -&gt; γαλιλαια</t>
  </si>
  <si>
    <t>βαλλοντος αμφιβληστρος εις</t>
  </si>
  <si>
    <t>βαλλοντος αμφιβληστρον εις</t>
  </si>
  <si>
    <t>δαιμονιζομενους και σεληνιαζομενους και παραλυτικους και παντας</t>
  </si>
  <si>
    <t>δαιμονιζομενους και παραλυτικους και σεληνιαζομενους και παντας</t>
  </si>
  <si>
    <t>εθεραπευσε (25) και ηκολουθησαν</t>
  </si>
  <si>
    <t>εθεραπευσεν (25) και ηκολουθησαν</t>
  </si>
  <si>
    <t>πτωχοι πνι</t>
  </si>
  <si>
    <t>πτωχοι τω πνευματι</t>
  </si>
  <si>
    <t>ουτως γαρ</t>
  </si>
  <si>
    <t>ουτω γαρ</t>
  </si>
  <si>
    <t>εδιωξαν τους προφητας</t>
  </si>
  <si>
    <t>εδιωξαν προφητας</t>
  </si>
  <si>
    <t xml:space="preserve"> υμων υπαρχοντων (13) υμεις</t>
  </si>
  <si>
    <t xml:space="preserve"> υμων υπαρχοντας (13) υμεις</t>
  </si>
  <si>
    <t>το αλα της γης</t>
  </si>
  <si>
    <t>το αλας της γης</t>
  </si>
  <si>
    <t>καιουσιν λυχνον</t>
  </si>
  <si>
    <t>καιουσι λυχνον</t>
  </si>
  <si>
    <t>αλλα επι</t>
  </si>
  <si>
    <t>αλλ επι</t>
  </si>
  <si>
    <t>οπως ειδωσιν</t>
  </si>
  <si>
    <t>οπως ιδωσιν</t>
  </si>
  <si>
    <t>εως αν γενηται παντα</t>
  </si>
  <si>
    <t>εως γενηται αν παντα</t>
  </si>
  <si>
    <t>ος ουν λυσει</t>
  </si>
  <si>
    <t>ος δε ουν λυσει</t>
  </si>
  <si>
    <t>ος δ αν φονευση</t>
  </si>
  <si>
    <t>οι δ αν φονευση</t>
  </si>
  <si>
    <t>οργιζομενος</t>
  </si>
  <si>
    <t>(22) πυρος (23) εαν ουν</t>
  </si>
  <si>
    <t>(22) πυρος (23) επει ουν</t>
  </si>
  <si>
    <t>προσφερεις το δωρον</t>
  </si>
  <si>
    <t>προσφερε το δωρον</t>
  </si>
  <si>
    <t>ταχυ οτου</t>
  </si>
  <si>
    <t>ταχυ εως οτου</t>
  </si>
  <si>
    <r>
      <t xml:space="preserve">δυνασαι </t>
    </r>
    <r>
      <rPr>
        <b/>
        <sz val="11"/>
        <color theme="1"/>
        <rFont val="Calibri"/>
        <family val="2"/>
        <scheme val="minor"/>
      </rPr>
      <t>ποιειν</t>
    </r>
    <r>
      <rPr>
        <sz val="11"/>
        <color theme="1"/>
        <rFont val="Calibri"/>
        <family val="2"/>
        <scheme val="minor"/>
      </rPr>
      <t xml:space="preserve"> τριχα μειαν</t>
    </r>
  </si>
  <si>
    <r>
      <t xml:space="preserve">δυνασαι </t>
    </r>
    <r>
      <rPr>
        <b/>
        <sz val="11"/>
        <color theme="1"/>
        <rFont val="Calibri"/>
        <family val="2"/>
        <scheme val="minor"/>
      </rPr>
      <t>ποιησαι</t>
    </r>
    <r>
      <rPr>
        <sz val="11"/>
        <color theme="1"/>
        <rFont val="Calibri"/>
        <family val="2"/>
        <scheme val="minor"/>
      </rPr>
      <t xml:space="preserve"> τριχα μιαν</t>
    </r>
  </si>
  <si>
    <r>
      <t xml:space="preserve">δυνασαι ποιειν τριχα </t>
    </r>
    <r>
      <rPr>
        <b/>
        <sz val="11"/>
        <color theme="1"/>
        <rFont val="Calibri"/>
        <family val="2"/>
        <scheme val="minor"/>
      </rPr>
      <t>μειαν</t>
    </r>
  </si>
  <si>
    <r>
      <t xml:space="preserve">δυνασαι ποιησαι τριχα </t>
    </r>
    <r>
      <rPr>
        <b/>
        <sz val="11"/>
        <color theme="1"/>
        <rFont val="Calibri"/>
        <family val="2"/>
        <scheme val="minor"/>
      </rPr>
      <t>μιαν</t>
    </r>
  </si>
  <si>
    <t>σε δος και</t>
  </si>
  <si>
    <t>σε διδου και</t>
  </si>
  <si>
    <t>καταρωμενους υμειν καλως</t>
  </si>
  <si>
    <t>καταρωμενους υμας καλως</t>
  </si>
  <si>
    <t>διωκοντων υμας</t>
  </si>
  <si>
    <t>διωκοντας υμας</t>
  </si>
  <si>
    <t>ποιουσιν (47) και</t>
  </si>
  <si>
    <t>ποιουσι (47) και</t>
  </si>
  <si>
    <r>
      <t xml:space="preserve">πατηρ υμων </t>
    </r>
    <r>
      <rPr>
        <b/>
        <sz val="11"/>
        <color theme="1"/>
        <rFont val="Calibri"/>
        <family val="2"/>
        <scheme val="minor"/>
      </rPr>
      <t>εν ουρανοις</t>
    </r>
    <r>
      <rPr>
        <sz val="11"/>
        <color theme="1"/>
        <rFont val="Calibri"/>
        <family val="2"/>
        <scheme val="minor"/>
      </rPr>
      <t xml:space="preserve"> τελιος εστιν</t>
    </r>
  </si>
  <si>
    <r>
      <t xml:space="preserve">πατηρ υμων </t>
    </r>
    <r>
      <rPr>
        <b/>
        <sz val="11"/>
        <color theme="1"/>
        <rFont val="Calibri"/>
        <family val="2"/>
        <scheme val="minor"/>
      </rPr>
      <t>ο ουρανιος</t>
    </r>
    <r>
      <rPr>
        <sz val="11"/>
        <color theme="1"/>
        <rFont val="Calibri"/>
        <family val="2"/>
        <scheme val="minor"/>
      </rPr>
      <t xml:space="preserve"> τελειος εστιν</t>
    </r>
  </si>
  <si>
    <r>
      <t xml:space="preserve">πατηρ υμων εν ουρανοις </t>
    </r>
    <r>
      <rPr>
        <b/>
        <sz val="11"/>
        <color theme="1"/>
        <rFont val="Calibri"/>
        <family val="2"/>
        <scheme val="minor"/>
      </rPr>
      <t>τελιος</t>
    </r>
    <r>
      <rPr>
        <sz val="11"/>
        <color theme="1"/>
        <rFont val="Calibri"/>
        <family val="2"/>
        <scheme val="minor"/>
      </rPr>
      <t xml:space="preserve"> εστιν</t>
    </r>
  </si>
  <si>
    <r>
      <t xml:space="preserve">πατηρ υμων ο ουρανιος </t>
    </r>
    <r>
      <rPr>
        <b/>
        <sz val="11"/>
        <color theme="1"/>
        <rFont val="Calibri"/>
        <family val="2"/>
        <scheme val="minor"/>
      </rPr>
      <t>τελειος</t>
    </r>
    <r>
      <rPr>
        <sz val="11"/>
        <color theme="1"/>
        <rFont val="Calibri"/>
        <family val="2"/>
        <scheme val="minor"/>
      </rPr>
      <t xml:space="preserve"> εστιν</t>
    </r>
  </si>
  <si>
    <t>οπως η ελεημοσυνη</t>
  </si>
  <si>
    <t>οπως ελεημοσυνη</t>
  </si>
  <si>
    <t>ως οι υποκριται</t>
  </si>
  <si>
    <t>ως υποκριται</t>
  </si>
  <si>
    <t>μισθον αυτον (6) συ δε</t>
  </si>
  <si>
    <t>Bezae corrects αυτον -&gt; αυτων</t>
  </si>
  <si>
    <t>πατρι σου εν τω</t>
  </si>
  <si>
    <t>πατρι τω εν τω</t>
  </si>
  <si>
    <t>Beze corrects to Βλατταλογησηται</t>
  </si>
  <si>
    <t>θελημα σου εν ουρανω</t>
  </si>
  <si>
    <t>Bezae corrects to θελημ σου ως εν ουρανω</t>
  </si>
  <si>
    <t>απο του πονηρου (14) εαν</t>
  </si>
  <si>
    <t>απο του πονηρου τελος (14) εαν</t>
  </si>
  <si>
    <t>εαν αφητε</t>
  </si>
  <si>
    <t>εαν γαρ αφητε</t>
  </si>
  <si>
    <r>
      <rPr>
        <b/>
        <sz val="11"/>
        <color theme="1"/>
        <rFont val="Calibri"/>
        <family val="2"/>
        <scheme val="minor"/>
      </rPr>
      <t>ως</t>
    </r>
    <r>
      <rPr>
        <sz val="11"/>
        <color theme="1"/>
        <rFont val="Calibri"/>
        <family val="2"/>
        <scheme val="minor"/>
      </rPr>
      <t xml:space="preserve"> οι υποκρειται</t>
    </r>
  </si>
  <si>
    <r>
      <rPr>
        <b/>
        <sz val="11"/>
        <color theme="1"/>
        <rFont val="Calibri"/>
        <family val="2"/>
        <scheme val="minor"/>
      </rPr>
      <t>ωσπερ</t>
    </r>
    <r>
      <rPr>
        <sz val="11"/>
        <color theme="1"/>
        <rFont val="Calibri"/>
        <family val="2"/>
        <scheme val="minor"/>
      </rPr>
      <t xml:space="preserve"> οι υποκριται</t>
    </r>
  </si>
  <si>
    <r>
      <t xml:space="preserve">ως οι </t>
    </r>
    <r>
      <rPr>
        <b/>
        <sz val="11"/>
        <color theme="1"/>
        <rFont val="Calibri"/>
        <family val="2"/>
        <scheme val="minor"/>
      </rPr>
      <t>υποκρειται</t>
    </r>
  </si>
  <si>
    <r>
      <t xml:space="preserve">ωσπερ οι </t>
    </r>
    <r>
      <rPr>
        <b/>
        <sz val="11"/>
        <color theme="1"/>
        <rFont val="Calibri"/>
        <family val="2"/>
        <scheme val="minor"/>
      </rPr>
      <t>υποκριται</t>
    </r>
  </si>
  <si>
    <t>και το προσωπον</t>
  </si>
  <si>
    <t>και προσωπον</t>
  </si>
  <si>
    <t>τω εν κρυφια</t>
  </si>
  <si>
    <r>
      <t xml:space="preserve">τω εν </t>
    </r>
    <r>
      <rPr>
        <b/>
        <sz val="11"/>
        <color theme="1"/>
        <rFont val="Calibri"/>
        <family val="2"/>
        <scheme val="minor"/>
      </rPr>
      <t>τω</t>
    </r>
    <r>
      <rPr>
        <sz val="11"/>
        <color theme="1"/>
        <rFont val="Calibri"/>
        <family val="2"/>
        <scheme val="minor"/>
      </rPr>
      <t xml:space="preserve"> κρυπτω</t>
    </r>
  </si>
  <si>
    <r>
      <t xml:space="preserve">τω εν </t>
    </r>
    <r>
      <rPr>
        <b/>
        <sz val="11"/>
        <color theme="1"/>
        <rFont val="Calibri"/>
        <family val="2"/>
        <scheme val="minor"/>
      </rPr>
      <t>κρυφια</t>
    </r>
  </si>
  <si>
    <r>
      <t xml:space="preserve">τω εν τω </t>
    </r>
    <r>
      <rPr>
        <b/>
        <sz val="11"/>
        <color theme="1"/>
        <rFont val="Calibri"/>
        <family val="2"/>
        <scheme val="minor"/>
      </rPr>
      <t>κρυπτω</t>
    </r>
  </si>
  <si>
    <t>αφανιζουσιν και</t>
  </si>
  <si>
    <t>αφανιζει και</t>
  </si>
  <si>
    <t>κλεπται διορυσσουσιν</t>
  </si>
  <si>
    <t>Bezae transcripts marks a correction adding και between these words; if it's there, it's pretty faint</t>
  </si>
  <si>
    <t>7522Α = υμιν θησαυρους εν ουρανω, thus θησαυρους still follows the corrected Bezae reading</t>
  </si>
  <si>
    <r>
      <rPr>
        <b/>
        <sz val="11"/>
        <color theme="1"/>
        <rFont val="Calibri"/>
        <family val="2"/>
        <scheme val="minor"/>
      </rPr>
      <t>ειπεν</t>
    </r>
    <r>
      <rPr>
        <sz val="11"/>
        <color theme="1"/>
        <rFont val="Calibri"/>
        <family val="2"/>
        <scheme val="minor"/>
      </rPr>
      <t xml:space="preserve"> τω παραλυτικω θαρει τεκνον</t>
    </r>
  </si>
  <si>
    <r>
      <rPr>
        <b/>
        <sz val="11"/>
        <color theme="1"/>
        <rFont val="Calibri"/>
        <family val="2"/>
        <scheme val="minor"/>
      </rPr>
      <t>ειπε</t>
    </r>
    <r>
      <rPr>
        <sz val="11"/>
        <color theme="1"/>
        <rFont val="Calibri"/>
        <family val="2"/>
        <scheme val="minor"/>
      </rPr>
      <t xml:space="preserve"> τω παραλυτικω θαρσει τεκνον</t>
    </r>
  </si>
  <si>
    <r>
      <t xml:space="preserve">ειπεν τω παραλυτικω </t>
    </r>
    <r>
      <rPr>
        <b/>
        <sz val="11"/>
        <color theme="1"/>
        <rFont val="Calibri"/>
        <family val="2"/>
        <scheme val="minor"/>
      </rPr>
      <t>θαρει</t>
    </r>
    <r>
      <rPr>
        <sz val="11"/>
        <color theme="1"/>
        <rFont val="Calibri"/>
        <family val="2"/>
        <scheme val="minor"/>
      </rPr>
      <t xml:space="preserve"> τεκνον</t>
    </r>
  </si>
  <si>
    <r>
      <t xml:space="preserve">ειπε τω παραλυτικω </t>
    </r>
    <r>
      <rPr>
        <b/>
        <sz val="11"/>
        <color theme="1"/>
        <rFont val="Calibri"/>
        <family val="2"/>
        <scheme val="minor"/>
      </rPr>
      <t>θαρσει</t>
    </r>
    <r>
      <rPr>
        <sz val="11"/>
        <color theme="1"/>
        <rFont val="Calibri"/>
        <family val="2"/>
        <scheme val="minor"/>
      </rPr>
      <t xml:space="preserve"> τεκνον</t>
    </r>
  </si>
  <si>
    <t>εγειρε και</t>
  </si>
  <si>
    <t>εγειραι και</t>
  </si>
  <si>
    <t>δε ιδητε·</t>
  </si>
  <si>
    <t>δε ειδητε</t>
  </si>
  <si>
    <t>(7) αυτου (8) ειδοντες</t>
  </si>
  <si>
    <t>(7) αυτου (8) ιδοντες</t>
  </si>
  <si>
    <t>συνεκειντο τω ιηυ</t>
  </si>
  <si>
    <t>συνανεκειντο τω ιυ</t>
  </si>
  <si>
    <t>(10) αυτου (11) ειδοντες</t>
  </si>
  <si>
    <t>(10) αυτου (11) ιδοντες</t>
  </si>
  <si>
    <t>αλλα αμαρτωλους</t>
  </si>
  <si>
    <t>αλλ αμαρτωλους</t>
  </si>
  <si>
    <t>δε αι ημεραι</t>
  </si>
  <si>
    <t>δε ημεραι</t>
  </si>
  <si>
    <t>τοτε νηστευουσιν</t>
  </si>
  <si>
    <t>τοτε νηστευσουσιν</t>
  </si>
  <si>
    <t>επι ειματιω</t>
  </si>
  <si>
    <t>παλαιους ρησει ο οινος</t>
  </si>
  <si>
    <r>
      <t xml:space="preserve">παλαιους </t>
    </r>
    <r>
      <rPr>
        <b/>
        <sz val="11"/>
        <color theme="1"/>
        <rFont val="Calibri"/>
        <family val="2"/>
        <scheme val="minor"/>
      </rPr>
      <t>ει δε μη γε</t>
    </r>
    <r>
      <rPr>
        <sz val="11"/>
        <color theme="1"/>
        <rFont val="Calibri"/>
        <family val="2"/>
        <scheme val="minor"/>
      </rPr>
      <t xml:space="preserve"> ρησσει ο οινος</t>
    </r>
  </si>
  <si>
    <r>
      <t xml:space="preserve">παλαιους ει δε μη γε </t>
    </r>
    <r>
      <rPr>
        <b/>
        <sz val="11"/>
        <color theme="1"/>
        <rFont val="Calibri"/>
        <family val="2"/>
        <scheme val="minor"/>
      </rPr>
      <t>ρησσει</t>
    </r>
    <r>
      <rPr>
        <sz val="11"/>
        <color theme="1"/>
        <rFont val="Calibri"/>
        <family val="2"/>
        <scheme val="minor"/>
      </rPr>
      <t xml:space="preserve"> ο οινος</t>
    </r>
  </si>
  <si>
    <r>
      <t xml:space="preserve">παλαιους </t>
    </r>
    <r>
      <rPr>
        <b/>
        <sz val="11"/>
        <color theme="1"/>
        <rFont val="Calibri"/>
        <family val="2"/>
        <scheme val="minor"/>
      </rPr>
      <t>ρησει</t>
    </r>
    <r>
      <rPr>
        <sz val="11"/>
        <color theme="1"/>
        <rFont val="Calibri"/>
        <family val="2"/>
        <scheme val="minor"/>
      </rPr>
      <t xml:space="preserve"> ο οινος</t>
    </r>
  </si>
  <si>
    <t>αμφοτεροι τηρουνται</t>
  </si>
  <si>
    <t>αμφοτεροι συντηρουνται</t>
  </si>
  <si>
    <t>ηκολουθι αυτω</t>
  </si>
  <si>
    <t>και ειδων</t>
  </si>
  <si>
    <t>και ιδων</t>
  </si>
  <si>
    <t>κατεγελων αυτον (25) οτε</t>
  </si>
  <si>
    <t>κατεγελων αυτου (25) οτε</t>
  </si>
  <si>
    <t>και ηγερθη</t>
  </si>
  <si>
    <t>και εγερθη</t>
  </si>
  <si>
    <t>εις την οικειαν</t>
  </si>
  <si>
    <t>εις τον οικειαν</t>
  </si>
  <si>
    <t>δυο τυφλοι και</t>
  </si>
  <si>
    <t>δυο τυφλος και</t>
  </si>
  <si>
    <t>αυτοις ιης</t>
  </si>
  <si>
    <t>αυτοις ο ις</t>
  </si>
  <si>
    <t>εφανη τω ισραηλ</t>
  </si>
  <si>
    <t>εφανη εν ισραηλ</t>
  </si>
  <si>
    <t>ιδων δε τους οχλους</t>
  </si>
  <si>
    <t>ιδων δε οχλους</t>
  </si>
  <si>
    <t>ησαν εακυλμενοι και ρεριμμενοι ως</t>
  </si>
  <si>
    <t>ησαν εσκυλμενοι και ρεριμμενοι ως</t>
  </si>
  <si>
    <t>οι δε εργαται</t>
  </si>
  <si>
    <t>οι εργαται</t>
  </si>
  <si>
    <t>Bezae corrected τον κν -&gt; του κυ; B.10.3 follows the corrected form, but initially left out the article</t>
  </si>
  <si>
    <t>εκβαλειν αυτω και</t>
  </si>
  <si>
    <t>εκβαλειν αυτα και</t>
  </si>
  <si>
    <t>των ιβ</t>
  </si>
  <si>
    <t>των δε ιβ</t>
  </si>
  <si>
    <t>ιακωβος του ζεβεδεου</t>
  </si>
  <si>
    <r>
      <t xml:space="preserve">ιακωβος </t>
    </r>
    <r>
      <rPr>
        <b/>
        <sz val="11"/>
        <color theme="1"/>
        <rFont val="Calibri"/>
        <family val="2"/>
        <scheme val="minor"/>
      </rPr>
      <t>ο</t>
    </r>
    <r>
      <rPr>
        <sz val="11"/>
        <color theme="1"/>
        <rFont val="Calibri"/>
        <family val="2"/>
        <scheme val="minor"/>
      </rPr>
      <t xml:space="preserve"> του ζεβεδειου</t>
    </r>
  </si>
  <si>
    <r>
      <t xml:space="preserve">ιακωβος του </t>
    </r>
    <r>
      <rPr>
        <b/>
        <sz val="11"/>
        <color theme="1"/>
        <rFont val="Calibri"/>
        <family val="2"/>
        <scheme val="minor"/>
      </rPr>
      <t>ζεβεδεου</t>
    </r>
  </si>
  <si>
    <r>
      <t xml:space="preserve">ιακωβος ο του </t>
    </r>
    <r>
      <rPr>
        <b/>
        <sz val="11"/>
        <color theme="1"/>
        <rFont val="Calibri"/>
        <family val="2"/>
        <scheme val="minor"/>
      </rPr>
      <t>ζεβεδειου</t>
    </r>
  </si>
  <si>
    <t>πολιν σαμαριτανων</t>
  </si>
  <si>
    <t>Bezae corrects to πολιν σαμαριτων</t>
  </si>
  <si>
    <t>πολιν σαμαρειτων</t>
  </si>
  <si>
    <t>οικου εισραηλ</t>
  </si>
  <si>
    <t>οικου ισραηλ</t>
  </si>
  <si>
    <t>καθαριζετε δαιμονια εκβαλετε</t>
  </si>
  <si>
    <r>
      <rPr>
        <b/>
        <sz val="11"/>
        <color theme="1"/>
        <rFont val="Calibri"/>
        <family val="2"/>
        <scheme val="minor"/>
      </rPr>
      <t>καθαρεισατε</t>
    </r>
    <r>
      <rPr>
        <sz val="11"/>
        <color theme="1"/>
        <rFont val="Calibri"/>
        <family val="2"/>
        <scheme val="minor"/>
      </rPr>
      <t xml:space="preserve"> και δαιμονια εκβαλετε</t>
    </r>
  </si>
  <si>
    <r>
      <rPr>
        <b/>
        <sz val="11"/>
        <color theme="1"/>
        <rFont val="Calibri"/>
        <family val="2"/>
        <scheme val="minor"/>
      </rPr>
      <t>καθαριζετε</t>
    </r>
    <r>
      <rPr>
        <sz val="11"/>
        <color theme="1"/>
        <rFont val="Calibri"/>
        <family val="2"/>
        <scheme val="minor"/>
      </rPr>
      <t xml:space="preserve"> δαιμονια εκβαλετε</t>
    </r>
  </si>
  <si>
    <r>
      <t xml:space="preserve">καθαρεισατε </t>
    </r>
    <r>
      <rPr>
        <b/>
        <sz val="11"/>
        <color theme="1"/>
        <rFont val="Calibri"/>
        <family val="2"/>
        <scheme val="minor"/>
      </rPr>
      <t>και</t>
    </r>
    <r>
      <rPr>
        <sz val="11"/>
        <color theme="1"/>
        <rFont val="Calibri"/>
        <family val="2"/>
        <scheme val="minor"/>
      </rPr>
      <t xml:space="preserve"> δαιμονια εκβαλετε</t>
    </r>
  </si>
  <si>
    <r>
      <t xml:space="preserve">χρυσον </t>
    </r>
    <r>
      <rPr>
        <b/>
        <sz val="11"/>
        <color theme="1"/>
        <rFont val="Calibri"/>
        <family val="2"/>
        <scheme val="minor"/>
      </rPr>
      <t>μητε</t>
    </r>
    <r>
      <rPr>
        <sz val="11"/>
        <color theme="1"/>
        <rFont val="Calibri"/>
        <family val="2"/>
        <scheme val="minor"/>
      </rPr>
      <t xml:space="preserve"> αργυρον μητε χαλκον</t>
    </r>
  </si>
  <si>
    <r>
      <t xml:space="preserve">χρυσον </t>
    </r>
    <r>
      <rPr>
        <b/>
        <sz val="11"/>
        <color theme="1"/>
        <rFont val="Calibri"/>
        <family val="2"/>
        <scheme val="minor"/>
      </rPr>
      <t>μηδε</t>
    </r>
    <r>
      <rPr>
        <sz val="11"/>
        <color theme="1"/>
        <rFont val="Calibri"/>
        <family val="2"/>
        <scheme val="minor"/>
      </rPr>
      <t xml:space="preserve"> αργυρον μηδε χαλκον</t>
    </r>
  </si>
  <si>
    <r>
      <t xml:space="preserve">χρυσον μητε αργυρον </t>
    </r>
    <r>
      <rPr>
        <b/>
        <sz val="11"/>
        <color theme="1"/>
        <rFont val="Calibri"/>
        <family val="2"/>
        <scheme val="minor"/>
      </rPr>
      <t>μητε</t>
    </r>
    <r>
      <rPr>
        <sz val="11"/>
        <color theme="1"/>
        <rFont val="Calibri"/>
        <family val="2"/>
        <scheme val="minor"/>
      </rPr>
      <t xml:space="preserve"> χαλκον</t>
    </r>
  </si>
  <si>
    <r>
      <t xml:space="preserve">χρυσον μηδε αργυρον </t>
    </r>
    <r>
      <rPr>
        <b/>
        <sz val="11"/>
        <color theme="1"/>
        <rFont val="Calibri"/>
        <family val="2"/>
        <scheme val="minor"/>
      </rPr>
      <t>μηδε</t>
    </r>
    <r>
      <rPr>
        <sz val="11"/>
        <color theme="1"/>
        <rFont val="Calibri"/>
        <family val="2"/>
        <scheme val="minor"/>
      </rPr>
      <t xml:space="preserve"> χαλκον</t>
    </r>
  </si>
  <si>
    <t>Bezae -&gt; χειτωνας</t>
  </si>
  <si>
    <t>μη γε ειρηνη</t>
  </si>
  <si>
    <t>μη γε η ειρηνη</t>
  </si>
  <si>
    <t>γομορας ενη ημερα</t>
  </si>
  <si>
    <t>γομορας εν ημερα</t>
  </si>
  <si>
    <t>ως αι περιστεραι</t>
  </si>
  <si>
    <t>ως περιστεραι</t>
  </si>
  <si>
    <t>προσεχετε δε απο</t>
  </si>
  <si>
    <t>προσεχετε απο</t>
  </si>
  <si>
    <t>ο λεγω υμειν</t>
  </si>
  <si>
    <t>ο δε λεγω υμειν</t>
  </si>
  <si>
    <t>δυναμενων σφαξαι φοβηθητε</t>
  </si>
  <si>
    <t>δυναμενων αποκτιναι φοβηθητε</t>
  </si>
  <si>
    <t>στρουθια του ασσαριου</t>
  </si>
  <si>
    <t>στρουθια ασσαριου</t>
  </si>
  <si>
    <t>ενπροσθεν των ανθρωπων</t>
  </si>
  <si>
    <t>ενπροσθεν του πατρος</t>
  </si>
  <si>
    <t>εμπροσθεν των ανθρωπων</t>
  </si>
  <si>
    <t>εμπροσθεν του πατρος</t>
  </si>
  <si>
    <t>οστις δ αν αρνησητε</t>
  </si>
  <si>
    <t>οστις δ αρνησητε</t>
  </si>
  <si>
    <t>βαλειν ειρην αλλα</t>
  </si>
  <si>
    <t>βαλειν ειρηνην αλλα</t>
  </si>
  <si>
    <t>διχασαι</t>
  </si>
  <si>
    <t>κατα πατρος</t>
  </si>
  <si>
    <t>κατα του πατρος</t>
  </si>
  <si>
    <t>μητρος αυτης και νυμφην κατα της πενθερας αυτης (36) και εκθροι</t>
  </si>
  <si>
    <t>μητρος αυτης (36) και εκθροι</t>
  </si>
  <si>
    <t>των τουτων ελαχιστων ποτηριον</t>
  </si>
  <si>
    <t>των ελαχιστων τουτων ποτηριον</t>
  </si>
  <si>
    <t>διατασσων τοις δωδεκα</t>
  </si>
  <si>
    <t>διατασσων δωδεκα</t>
  </si>
  <si>
    <t>ο εργαζομενος η ετερον</t>
  </si>
  <si>
    <t>ο ερχομενος η ετερον</t>
  </si>
  <si>
    <t>απαγγειλατε ιωαννει</t>
  </si>
  <si>
    <r>
      <t xml:space="preserve">απαγγειλατε </t>
    </r>
    <r>
      <rPr>
        <b/>
        <sz val="11"/>
        <color theme="1"/>
        <rFont val="Calibri"/>
        <family val="2"/>
        <scheme val="minor"/>
      </rPr>
      <t>τω</t>
    </r>
    <r>
      <rPr>
        <sz val="11"/>
        <color theme="1"/>
        <rFont val="Calibri"/>
        <family val="2"/>
        <scheme val="minor"/>
      </rPr>
      <t xml:space="preserve"> ιωανει</t>
    </r>
  </si>
  <si>
    <r>
      <t xml:space="preserve">απαγγειλατε </t>
    </r>
    <r>
      <rPr>
        <b/>
        <sz val="11"/>
        <color theme="1"/>
        <rFont val="Calibri"/>
        <family val="2"/>
        <scheme val="minor"/>
      </rPr>
      <t>ιωαννει</t>
    </r>
  </si>
  <si>
    <r>
      <t xml:space="preserve">απαγγειλατε τω </t>
    </r>
    <r>
      <rPr>
        <b/>
        <sz val="11"/>
        <color theme="1"/>
        <rFont val="Calibri"/>
        <family val="2"/>
        <scheme val="minor"/>
      </rPr>
      <t>ιωανει</t>
    </r>
  </si>
  <si>
    <t>ηρξατο ιης</t>
  </si>
  <si>
    <t>ηρξατο ο ις</t>
  </si>
  <si>
    <t>εξηλθατε ειδειν</t>
  </si>
  <si>
    <t>εξηλθατε ιδειν</t>
  </si>
  <si>
    <t>ανθρωπον μαλακοις</t>
  </si>
  <si>
    <t>ανθρωπον εν μαλακοις</t>
  </si>
  <si>
    <t>ημφιασμενον ειδου</t>
  </si>
  <si>
    <t>ημφιασμενον ιδου</t>
  </si>
  <si>
    <t>εγηγερται γεννητοις γυναικων</t>
  </si>
  <si>
    <r>
      <t xml:space="preserve">εγηγερται </t>
    </r>
    <r>
      <rPr>
        <b/>
        <sz val="11"/>
        <color theme="1"/>
        <rFont val="Calibri"/>
        <family val="2"/>
        <scheme val="minor"/>
      </rPr>
      <t>εν τοις</t>
    </r>
    <r>
      <rPr>
        <sz val="11"/>
        <color theme="1"/>
        <rFont val="Calibri"/>
        <family val="2"/>
        <scheme val="minor"/>
      </rPr>
      <t xml:space="preserve"> γεννητοις των γυναικων</t>
    </r>
  </si>
  <si>
    <r>
      <t xml:space="preserve">εγηγερται εν τοις γεννητοις </t>
    </r>
    <r>
      <rPr>
        <b/>
        <sz val="11"/>
        <color theme="1"/>
        <rFont val="Calibri"/>
        <family val="2"/>
        <scheme val="minor"/>
      </rPr>
      <t>των</t>
    </r>
    <r>
      <rPr>
        <sz val="11"/>
        <color theme="1"/>
        <rFont val="Calibri"/>
        <family val="2"/>
        <scheme val="minor"/>
      </rPr>
      <t xml:space="preserve"> γυναικων</t>
    </r>
  </si>
  <si>
    <t>Bezae erases τοις but not εν, Β.10.3 leaves out εν and τοις</t>
  </si>
  <si>
    <t>ουρανων μειζων αυτου εστιν</t>
  </si>
  <si>
    <t>ουρανων αυτου μειζων εστιν</t>
  </si>
  <si>
    <r>
      <rPr>
        <b/>
        <sz val="11"/>
        <color theme="1"/>
        <rFont val="Calibri"/>
        <family val="2"/>
        <scheme val="minor"/>
      </rPr>
      <t>απο των</t>
    </r>
    <r>
      <rPr>
        <sz val="11"/>
        <color theme="1"/>
        <rFont val="Calibri"/>
        <family val="2"/>
        <scheme val="minor"/>
      </rPr>
      <t xml:space="preserve"> ημερων ιωαννους του βαπτιστου</t>
    </r>
  </si>
  <si>
    <r>
      <rPr>
        <b/>
        <sz val="11"/>
        <color theme="1"/>
        <rFont val="Calibri"/>
        <family val="2"/>
        <scheme val="minor"/>
      </rPr>
      <t>απο των</t>
    </r>
    <r>
      <rPr>
        <sz val="11"/>
        <color theme="1"/>
        <rFont val="Calibri"/>
        <family val="2"/>
        <scheme val="minor"/>
      </rPr>
      <t xml:space="preserve"> ημερων ιωαννου του βαπτιστου</t>
    </r>
  </si>
  <si>
    <r>
      <t xml:space="preserve">απο των ημερων </t>
    </r>
    <r>
      <rPr>
        <b/>
        <sz val="11"/>
        <color theme="1"/>
        <rFont val="Calibri"/>
        <family val="2"/>
        <scheme val="minor"/>
      </rPr>
      <t>ιωαννους</t>
    </r>
    <r>
      <rPr>
        <sz val="11"/>
        <color theme="1"/>
        <rFont val="Calibri"/>
        <family val="2"/>
        <scheme val="minor"/>
      </rPr>
      <t xml:space="preserve"> του βαπτιστου</t>
    </r>
  </si>
  <si>
    <r>
      <t xml:space="preserve">απο των ημερων </t>
    </r>
    <r>
      <rPr>
        <b/>
        <sz val="11"/>
        <color theme="1"/>
        <rFont val="Calibri"/>
        <family val="2"/>
        <scheme val="minor"/>
      </rPr>
      <t>ιωαννου</t>
    </r>
    <r>
      <rPr>
        <sz val="11"/>
        <color theme="1"/>
        <rFont val="Calibri"/>
        <family val="2"/>
        <scheme val="minor"/>
      </rPr>
      <t xml:space="preserve"> του βαπτιστου</t>
    </r>
  </si>
  <si>
    <t>προσφωνουντα τοις ετεροις</t>
  </si>
  <si>
    <t>εσθιων μητε πεινων</t>
  </si>
  <si>
    <t>εσθιων μητε πιων</t>
  </si>
  <si>
    <t>εσθιων και πεινων</t>
  </si>
  <si>
    <t>εσθιων και πινων</t>
  </si>
  <si>
    <t>α πλεισται</t>
  </si>
  <si>
    <t>αι πλεισται</t>
  </si>
  <si>
    <t>Β.10.3 = βηθσεδα</t>
  </si>
  <si>
    <t>κρεισεως ην υμειν</t>
  </si>
  <si>
    <t>κρεισεως η υμειν</t>
  </si>
  <si>
    <t>υψωθηση η εως</t>
  </si>
  <si>
    <t>υψωθηση εως</t>
  </si>
  <si>
    <t>οτι γης σοδομων</t>
  </si>
  <si>
    <t>οτι γη σοδομων</t>
  </si>
  <si>
    <t>κρισεως ην υμειν</t>
  </si>
  <si>
    <t>κρισεως η υμειν</t>
  </si>
  <si>
    <t>απο σοφων και συνετων</t>
  </si>
  <si>
    <t>απο συνετων και σοφων</t>
  </si>
  <si>
    <t>ουδεις επιγεινωσκει</t>
  </si>
  <si>
    <t>ουδεις επιγινωσκει</t>
  </si>
  <si>
    <t>πατερα επιγεινωσκει ει μη</t>
  </si>
  <si>
    <t>πατερα τις επιγεινωσκει ει μη</t>
  </si>
  <si>
    <t>πεφορτισμενοι εσται καγω</t>
  </si>
  <si>
    <t>ιης σαββασιν</t>
  </si>
  <si>
    <t>ις τοις σαββασιν</t>
  </si>
  <si>
    <r>
      <t xml:space="preserve">φαρισαιοι </t>
    </r>
    <r>
      <rPr>
        <b/>
        <sz val="11"/>
        <color theme="1"/>
        <rFont val="Calibri"/>
        <family val="2"/>
        <scheme val="minor"/>
      </rPr>
      <t>ιδοντες αυτους</t>
    </r>
    <r>
      <rPr>
        <sz val="11"/>
        <color theme="1"/>
        <rFont val="Calibri"/>
        <family val="2"/>
        <scheme val="minor"/>
      </rPr>
      <t xml:space="preserve"> ειπον</t>
    </r>
  </si>
  <si>
    <r>
      <t xml:space="preserve">φαρισαιοι </t>
    </r>
    <r>
      <rPr>
        <b/>
        <sz val="11"/>
        <color theme="1"/>
        <rFont val="Calibri"/>
        <family val="2"/>
        <scheme val="minor"/>
      </rPr>
      <t>αυτους ιδοντες</t>
    </r>
    <r>
      <rPr>
        <sz val="11"/>
        <color theme="1"/>
        <rFont val="Calibri"/>
        <family val="2"/>
        <scheme val="minor"/>
      </rPr>
      <t xml:space="preserve"> ειπον</t>
    </r>
  </si>
  <si>
    <r>
      <t xml:space="preserve">φαρισαιοι </t>
    </r>
    <r>
      <rPr>
        <b/>
        <sz val="11"/>
        <color theme="1"/>
        <rFont val="Calibri"/>
        <family val="2"/>
        <scheme val="minor"/>
      </rPr>
      <t>ιδοντες</t>
    </r>
    <r>
      <rPr>
        <sz val="11"/>
        <color theme="1"/>
        <rFont val="Calibri"/>
        <family val="2"/>
        <scheme val="minor"/>
      </rPr>
      <t xml:space="preserve"> αυτους ειπον</t>
    </r>
  </si>
  <si>
    <r>
      <t xml:space="preserve">φαρισαιοι αυτους </t>
    </r>
    <r>
      <rPr>
        <b/>
        <sz val="11"/>
        <color theme="1"/>
        <rFont val="Calibri"/>
        <family val="2"/>
        <scheme val="minor"/>
      </rPr>
      <t>ιδοντες</t>
    </r>
    <r>
      <rPr>
        <sz val="11"/>
        <color theme="1"/>
        <rFont val="Calibri"/>
        <family val="2"/>
        <scheme val="minor"/>
      </rPr>
      <t xml:space="preserve"> ειπον</t>
    </r>
  </si>
  <si>
    <t>Bezae corrects to ειδοντες</t>
  </si>
  <si>
    <t>η ουκ ανεγνωτε</t>
  </si>
  <si>
    <t>η μεν ουκ ανεγνωτε</t>
  </si>
  <si>
    <t>οι ειερεις</t>
  </si>
  <si>
    <t>οι ιερεις</t>
  </si>
  <si>
    <t>ιερου μειζον εστιν</t>
  </si>
  <si>
    <r>
      <t xml:space="preserve">ιερου </t>
    </r>
    <r>
      <rPr>
        <b/>
        <sz val="11"/>
        <color theme="1"/>
        <rFont val="Calibri"/>
        <family val="2"/>
        <scheme val="minor"/>
      </rPr>
      <t>ο</t>
    </r>
    <r>
      <rPr>
        <sz val="11"/>
        <color theme="1"/>
        <rFont val="Calibri"/>
        <family val="2"/>
        <scheme val="minor"/>
      </rPr>
      <t xml:space="preserve"> μειζων εστιν</t>
    </r>
  </si>
  <si>
    <r>
      <t xml:space="preserve">ιερου </t>
    </r>
    <r>
      <rPr>
        <b/>
        <sz val="11"/>
        <color theme="1"/>
        <rFont val="Calibri"/>
        <family val="2"/>
        <scheme val="minor"/>
      </rPr>
      <t>μειζον</t>
    </r>
    <r>
      <rPr>
        <sz val="11"/>
        <color theme="1"/>
        <rFont val="Calibri"/>
        <family val="2"/>
        <scheme val="minor"/>
      </rPr>
      <t xml:space="preserve"> εστιν</t>
    </r>
  </si>
  <si>
    <r>
      <t xml:space="preserve">ιερου ο </t>
    </r>
    <r>
      <rPr>
        <b/>
        <sz val="11"/>
        <color theme="1"/>
        <rFont val="Calibri"/>
        <family val="2"/>
        <scheme val="minor"/>
      </rPr>
      <t>μειζων</t>
    </r>
    <r>
      <rPr>
        <sz val="11"/>
        <color theme="1"/>
        <rFont val="Calibri"/>
        <family val="2"/>
        <scheme val="minor"/>
      </rPr>
      <t xml:space="preserve"> εστιν</t>
    </r>
  </si>
  <si>
    <t>ην εκει την χειρα</t>
  </si>
  <si>
    <t>ην την χειρα</t>
  </si>
  <si>
    <t>τι εστιν</t>
  </si>
  <si>
    <t>τις εστιν</t>
  </si>
  <si>
    <t>ος εχει προβατον</t>
  </si>
  <si>
    <t>ος προβατον</t>
  </si>
  <si>
    <t>ανθρωπος του προβατου</t>
  </si>
  <si>
    <t>ανθρωπος προβατου</t>
  </si>
  <si>
    <t>transcript says Bezae corrects to ποιωσιν, but this page is very unclear</t>
  </si>
  <si>
    <t>(19) αυτου (20) ου</t>
  </si>
  <si>
    <t>(19) αυτου (20) καλαμον συντετριμμενον ου</t>
  </si>
  <si>
    <t>κατιαξεις και λινον</t>
  </si>
  <si>
    <t>transcript indicates Bezae corrects to κατεαξεν</t>
  </si>
  <si>
    <t>ου σβεσει</t>
  </si>
  <si>
    <r>
      <t xml:space="preserve">ου </t>
    </r>
    <r>
      <rPr>
        <b/>
        <sz val="11"/>
        <color theme="1"/>
        <rFont val="Calibri"/>
        <family val="2"/>
        <scheme val="minor"/>
      </rPr>
      <t>μη</t>
    </r>
    <r>
      <rPr>
        <sz val="11"/>
        <color theme="1"/>
        <rFont val="Calibri"/>
        <family val="2"/>
        <scheme val="minor"/>
      </rPr>
      <t xml:space="preserve"> ζβεσει</t>
    </r>
  </si>
  <si>
    <r>
      <t xml:space="preserve">ου μη </t>
    </r>
    <r>
      <rPr>
        <b/>
        <sz val="11"/>
        <color theme="1"/>
        <rFont val="Calibri"/>
        <family val="2"/>
        <scheme val="minor"/>
      </rPr>
      <t>ζβεσει</t>
    </r>
  </si>
  <si>
    <r>
      <t xml:space="preserve">ου </t>
    </r>
    <r>
      <rPr>
        <b/>
        <sz val="11"/>
        <color theme="1"/>
        <rFont val="Calibri"/>
        <family val="2"/>
        <scheme val="minor"/>
      </rPr>
      <t>σβεσει</t>
    </r>
  </si>
  <si>
    <t>ελπιουσιν</t>
  </si>
  <si>
    <t>ωστε τον κωφον</t>
  </si>
  <si>
    <t>ωστε κωφον</t>
  </si>
  <si>
    <t>μητι οτι ουτος</t>
  </si>
  <si>
    <t>μητι ουτος</t>
  </si>
  <si>
    <t>υιος δαυειδ</t>
  </si>
  <si>
    <t>βεελζεβους εκβαλλω</t>
  </si>
  <si>
    <t>βεελζεβουλ εκβαλλω</t>
  </si>
  <si>
    <t>κριται εσονται υμων</t>
  </si>
  <si>
    <t>κριται υμων εσονται</t>
  </si>
  <si>
    <t>πνι θυ εγω</t>
  </si>
  <si>
    <t>πνευματι εγω</t>
  </si>
  <si>
    <t>εφθασεν</t>
  </si>
  <si>
    <t>τις εισελθειν</t>
  </si>
  <si>
    <t>τις εξελθειν</t>
  </si>
  <si>
    <t>οικειαν του ισχυρου</t>
  </si>
  <si>
    <t>οικειαν αυτου</t>
  </si>
  <si>
    <t>οικιαν αυτου</t>
  </si>
  <si>
    <t>οικιαν του ισχυρου</t>
  </si>
  <si>
    <t>το δενδρον σαπρον</t>
  </si>
  <si>
    <t>τον δενδρον σαπρον</t>
  </si>
  <si>
    <t>στομα λαλει (35) ο αγαθος</t>
  </si>
  <si>
    <t>(34) στομα λαλει αγαθα (35) αγαθος</t>
  </si>
  <si>
    <r>
      <t xml:space="preserve">στομα λαλει </t>
    </r>
    <r>
      <rPr>
        <b/>
        <sz val="11"/>
        <color theme="1"/>
        <rFont val="Calibri"/>
        <family val="2"/>
        <scheme val="minor"/>
      </rPr>
      <t>αγαθα</t>
    </r>
    <r>
      <rPr>
        <sz val="11"/>
        <color theme="1"/>
        <rFont val="Calibri"/>
        <family val="2"/>
        <scheme val="minor"/>
      </rPr>
      <t xml:space="preserve"> (35) αγαθος</t>
    </r>
  </si>
  <si>
    <r>
      <t xml:space="preserve">(34) στομα λαλει (35) </t>
    </r>
    <r>
      <rPr>
        <b/>
        <sz val="11"/>
        <color theme="1"/>
        <rFont val="Calibri"/>
        <family val="2"/>
        <scheme val="minor"/>
      </rPr>
      <t>ο</t>
    </r>
    <r>
      <rPr>
        <sz val="11"/>
        <color theme="1"/>
        <rFont val="Calibri"/>
        <family val="2"/>
        <scheme val="minor"/>
      </rPr>
      <t xml:space="preserve"> αγαθος</t>
    </r>
  </si>
  <si>
    <t>δικαιωθηση η εκ των</t>
  </si>
  <si>
    <t>δικαιωθηση και εκ των</t>
  </si>
  <si>
    <r>
      <rPr>
        <b/>
        <sz val="11"/>
        <color theme="1"/>
        <rFont val="Calibri"/>
        <family val="2"/>
        <scheme val="minor"/>
      </rPr>
      <t>σημειον</t>
    </r>
    <r>
      <rPr>
        <sz val="11"/>
        <color theme="1"/>
        <rFont val="Calibri"/>
        <family val="2"/>
        <scheme val="minor"/>
      </rPr>
      <t xml:space="preserve"> ου δοθησεται αυτη ει μη</t>
    </r>
  </si>
  <si>
    <r>
      <rPr>
        <b/>
        <sz val="11"/>
        <color theme="1"/>
        <rFont val="Calibri"/>
        <family val="2"/>
        <scheme val="minor"/>
      </rPr>
      <t>σημιον</t>
    </r>
    <r>
      <rPr>
        <sz val="11"/>
        <color theme="1"/>
        <rFont val="Calibri"/>
        <family val="2"/>
        <scheme val="minor"/>
      </rPr>
      <t xml:space="preserve"> ου δοθησεται σοι ει μη</t>
    </r>
  </si>
  <si>
    <r>
      <t xml:space="preserve">σημιον ου δοθησεται </t>
    </r>
    <r>
      <rPr>
        <b/>
        <sz val="11"/>
        <color theme="1"/>
        <rFont val="Calibri"/>
        <family val="2"/>
        <scheme val="minor"/>
      </rPr>
      <t>σοι</t>
    </r>
    <r>
      <rPr>
        <sz val="11"/>
        <color theme="1"/>
        <rFont val="Calibri"/>
        <family val="2"/>
        <scheme val="minor"/>
      </rPr>
      <t xml:space="preserve"> ει μη</t>
    </r>
  </si>
  <si>
    <r>
      <t xml:space="preserve">σημειον ου δοθησεται </t>
    </r>
    <r>
      <rPr>
        <b/>
        <sz val="11"/>
        <color theme="1"/>
        <rFont val="Calibri"/>
        <family val="2"/>
        <scheme val="minor"/>
      </rPr>
      <t>αυτη</t>
    </r>
    <r>
      <rPr>
        <sz val="11"/>
        <color theme="1"/>
        <rFont val="Calibri"/>
        <family val="2"/>
        <scheme val="minor"/>
      </rPr>
      <t xml:space="preserve"> ει μη</t>
    </r>
  </si>
  <si>
    <t>σημιον ιωνα</t>
  </si>
  <si>
    <t>σημειον ιωνα</t>
  </si>
  <si>
    <t>ωσπερι γαρ</t>
  </si>
  <si>
    <t>ωσπερ γαρ</t>
  </si>
  <si>
    <t>Bezae corrects to νεινευειται</t>
  </si>
  <si>
    <t>της γενεας ταυτης</t>
  </si>
  <si>
    <t>της νεας ταητης</t>
  </si>
  <si>
    <t>κηρυγμα ιωνα</t>
  </si>
  <si>
    <t>κηρυγμα του ιωνα</t>
  </si>
  <si>
    <t>σοφιαν του σολομωνος</t>
  </si>
  <si>
    <t>σοφιαν σολομωνος</t>
  </si>
  <si>
    <t>και ειδου</t>
  </si>
  <si>
    <t>και ιδου</t>
  </si>
  <si>
    <t>a misspelling, but the word in question was abbreviated in autograph</t>
  </si>
  <si>
    <t>εξηλθη απο</t>
  </si>
  <si>
    <t>εξηλθεν απο</t>
  </si>
  <si>
    <t>ελθων ευρεισκει</t>
  </si>
  <si>
    <t>ελθον ευρεισκει</t>
  </si>
  <si>
    <t>αισχατα αυτου του ανθρωπου</t>
  </si>
  <si>
    <t>αισχατα του ανθρωπου</t>
  </si>
  <si>
    <t>χειρον των πρωτων</t>
  </si>
  <si>
    <t>χειρονα των πρωτων</t>
  </si>
  <si>
    <t>Bezae corrects to εστηκασαν, B.10.3 does not follow</t>
  </si>
  <si>
    <t>μου η τινες</t>
  </si>
  <si>
    <t>μου και τινες</t>
  </si>
  <si>
    <t>οστις γαρ ποιει</t>
  </si>
  <si>
    <t>οστις γαρ αν ποιει</t>
  </si>
  <si>
    <t>ες δε τη ημερα</t>
  </si>
  <si>
    <t>εν δε τη ημερα</t>
  </si>
  <si>
    <t>σπειρων σπειραι</t>
  </si>
  <si>
    <t>σπειρων του σπειραι</t>
  </si>
  <si>
    <t>α δε επεσεν</t>
  </si>
  <si>
    <t>α μεν επεσεν</t>
  </si>
  <si>
    <t>ουκ εχει</t>
  </si>
  <si>
    <t>ουχ εχει</t>
  </si>
  <si>
    <t>παραβολαις λαλει</t>
  </si>
  <si>
    <t>παραβολαις ελαλει</t>
  </si>
  <si>
    <t>και ου μη συνηται</t>
  </si>
  <si>
    <t>και μη συνηται</t>
  </si>
  <si>
    <t>μακαριοι οφθαλμοι</t>
  </si>
  <si>
    <t>μακαριοι οιοφθαλμοι</t>
  </si>
  <si>
    <r>
      <rPr>
        <b/>
        <sz val="11"/>
        <color theme="1"/>
        <rFont val="Calibri"/>
        <family val="2"/>
        <scheme val="minor"/>
      </rPr>
      <t>επεθυμησαν</t>
    </r>
    <r>
      <rPr>
        <sz val="11"/>
        <color theme="1"/>
        <rFont val="Calibri"/>
        <family val="2"/>
        <scheme val="minor"/>
      </rPr>
      <t xml:space="preserve"> ειδειν</t>
    </r>
  </si>
  <si>
    <r>
      <rPr>
        <b/>
        <sz val="11"/>
        <color theme="1"/>
        <rFont val="Calibri"/>
        <family val="2"/>
        <scheme val="minor"/>
      </rPr>
      <t>επεθεουμησαν</t>
    </r>
    <r>
      <rPr>
        <sz val="11"/>
        <color theme="1"/>
        <rFont val="Calibri"/>
        <family val="2"/>
        <scheme val="minor"/>
      </rPr>
      <t xml:space="preserve"> ιδειν</t>
    </r>
  </si>
  <si>
    <r>
      <t xml:space="preserve">επεθυμησαν </t>
    </r>
    <r>
      <rPr>
        <b/>
        <sz val="11"/>
        <color theme="1"/>
        <rFont val="Calibri"/>
        <family val="2"/>
        <scheme val="minor"/>
      </rPr>
      <t>ειδειν</t>
    </r>
  </si>
  <si>
    <r>
      <t xml:space="preserve">επεθεουμησαν </t>
    </r>
    <r>
      <rPr>
        <b/>
        <sz val="11"/>
        <color theme="1"/>
        <rFont val="Calibri"/>
        <family val="2"/>
        <scheme val="minor"/>
      </rPr>
      <t>ιδειν</t>
    </r>
  </si>
  <si>
    <t>επει τα πετρωδη</t>
  </si>
  <si>
    <t>επι τα πετρωδη</t>
  </si>
  <si>
    <t>ριζαν εαυτω</t>
  </si>
  <si>
    <t>ριζαν εν εαυτω</t>
  </si>
  <si>
    <t>τον λογον ευθεως σκανδαλιζεται (22) ο δε</t>
  </si>
  <si>
    <t>τον λογον σκανδαλιζεται ευθεως (22) ο δε</t>
  </si>
  <si>
    <t>αιωνος και η απατη</t>
  </si>
  <si>
    <t>αιωνος τουτου και η απατη</t>
  </si>
  <si>
    <t>εν τω ιδιω αγρω</t>
  </si>
  <si>
    <t>εν τω αγρω ιδιω</t>
  </si>
  <si>
    <t>εν δε τω καθευδειν</t>
  </si>
  <si>
    <t>εν δε το καθευδειν</t>
  </si>
  <si>
    <t>σειτου απηλθεν</t>
  </si>
  <si>
    <t>σειτου και απηλθεν</t>
  </si>
  <si>
    <t>την αποθην μου</t>
  </si>
  <si>
    <t>την αποθηκην μου</t>
  </si>
  <si>
    <t>παντων σπερματων</t>
  </si>
  <si>
    <t>παντων των σπερματων</t>
  </si>
  <si>
    <t>μειζων των λαχανων</t>
  </si>
  <si>
    <t>μειζον των λαχανων</t>
  </si>
  <si>
    <t>παραβολην ομοια εστιν</t>
  </si>
  <si>
    <t>παραβολην ελαλησεν αυτοις ομοια εστιν</t>
  </si>
  <si>
    <t>οι υιο της βας της βασιλειας</t>
  </si>
  <si>
    <t>οι υιοι της βασιλειας</t>
  </si>
  <si>
    <t>του αιωνος (41) αποστελει</t>
  </si>
  <si>
    <t>του αιωνος τουτου (41) αποστελει</t>
  </si>
  <si>
    <t>θησαυρω</t>
  </si>
  <si>
    <t>εις αγγεια</t>
  </si>
  <si>
    <r>
      <t xml:space="preserve">εις </t>
    </r>
    <r>
      <rPr>
        <b/>
        <sz val="11"/>
        <color theme="1"/>
        <rFont val="Calibri"/>
        <family val="2"/>
        <scheme val="minor"/>
      </rPr>
      <t>τα</t>
    </r>
    <r>
      <rPr>
        <sz val="11"/>
        <color theme="1"/>
        <rFont val="Calibri"/>
        <family val="2"/>
        <scheme val="minor"/>
      </rPr>
      <t xml:space="preserve"> αγγια</t>
    </r>
  </si>
  <si>
    <r>
      <t xml:space="preserve">εις τα </t>
    </r>
    <r>
      <rPr>
        <b/>
        <sz val="11"/>
        <color theme="1"/>
        <rFont val="Calibri"/>
        <family val="2"/>
        <scheme val="minor"/>
      </rPr>
      <t>αγγια</t>
    </r>
  </si>
  <si>
    <r>
      <t xml:space="preserve">εις </t>
    </r>
    <r>
      <rPr>
        <b/>
        <sz val="11"/>
        <color theme="1"/>
        <rFont val="Calibri"/>
        <family val="2"/>
        <scheme val="minor"/>
      </rPr>
      <t>αγγεια</t>
    </r>
  </si>
  <si>
    <t>παντα λεγουσιν αυτω ναι (52) λεγει αυτοις δια τουτο</t>
  </si>
  <si>
    <t>παντα λεγει αυτοις (52) λεγουσιν αυτω ναι δια τουτο</t>
  </si>
  <si>
    <t>ειπεν τοις</t>
  </si>
  <si>
    <t>ειπε τοις</t>
  </si>
  <si>
    <t>ενερεγουσιν</t>
  </si>
  <si>
    <t>αυτω ιωαννης</t>
  </si>
  <si>
    <t>αυτω ο ιωαννης</t>
  </si>
  <si>
    <t>τον οχλον οτι</t>
  </si>
  <si>
    <t>τον λαον οτι</t>
  </si>
  <si>
    <t>ωδε κεφαλην ιωαννου του βαπτιστου</t>
  </si>
  <si>
    <t>ωδε την κεφαλην του βαπτιστου</t>
  </si>
  <si>
    <r>
      <t xml:space="preserve">ωδε </t>
    </r>
    <r>
      <rPr>
        <b/>
        <sz val="11"/>
        <color theme="1"/>
        <rFont val="Calibri"/>
        <family val="2"/>
        <scheme val="minor"/>
      </rPr>
      <t>την</t>
    </r>
    <r>
      <rPr>
        <sz val="11"/>
        <color theme="1"/>
        <rFont val="Calibri"/>
        <family val="2"/>
        <scheme val="minor"/>
      </rPr>
      <t xml:space="preserve"> κεφαλην του βαπτιστου</t>
    </r>
  </si>
  <si>
    <r>
      <t xml:space="preserve">ωδε κεφαλην </t>
    </r>
    <r>
      <rPr>
        <b/>
        <sz val="11"/>
        <color theme="1"/>
        <rFont val="Calibri"/>
        <family val="2"/>
        <scheme val="minor"/>
      </rPr>
      <t>ιωαννου</t>
    </r>
    <r>
      <rPr>
        <sz val="11"/>
        <color theme="1"/>
        <rFont val="Calibri"/>
        <family val="2"/>
        <scheme val="minor"/>
      </rPr>
      <t xml:space="preserve"> του βαπτιστου</t>
    </r>
  </si>
  <si>
    <t>(8) βαπτιστου (9) και λυπηθεις</t>
  </si>
  <si>
    <t>(8) βαπτιστου (9) λυπηθεις</t>
  </si>
  <si>
    <t>κατ ειδιαν</t>
  </si>
  <si>
    <t>κατ ιδιαν</t>
  </si>
  <si>
    <t>ουρανον ηυλογησεν</t>
  </si>
  <si>
    <t>ουρανον ευλογησεν</t>
  </si>
  <si>
    <t>αισθιοντες</t>
  </si>
  <si>
    <t>καθ ιδιαν</t>
  </si>
  <si>
    <t>κυματων η γαρ</t>
  </si>
  <si>
    <t>κυματων ην γαρ</t>
  </si>
  <si>
    <t>ειπεν κε</t>
  </si>
  <si>
    <t>ειπε κυριε</t>
  </si>
  <si>
    <t>εις το πλοιον</t>
  </si>
  <si>
    <t>εις πλοιον</t>
  </si>
  <si>
    <t>γεννησαρ (35) και</t>
  </si>
  <si>
    <t>γεννησαρατ (35) και</t>
  </si>
  <si>
    <t>προσερχονται</t>
  </si>
  <si>
    <t>παραβαινουσιν την παραδοσιν</t>
  </si>
  <si>
    <t>παραβαινουσι την παραδοσιν</t>
  </si>
  <si>
    <t>παραβαιναι την εντολην</t>
  </si>
  <si>
    <t>παραβαινεται την εντολην</t>
  </si>
  <si>
    <t>ο δ αν εξ εμου</t>
  </si>
  <si>
    <t>ο αν  εξ εμου</t>
  </si>
  <si>
    <t>(5) ωφελθηθης (6) ου μη</t>
  </si>
  <si>
    <t>(5) ωφελθηθης (6) και ου μη</t>
  </si>
  <si>
    <t>ηκυρωσατε τον λογον</t>
  </si>
  <si>
    <t>ηκυρωσαται τον λογον</t>
  </si>
  <si>
    <t>χειλεσιν με</t>
  </si>
  <si>
    <t>χειλεσι με</t>
  </si>
  <si>
    <t>κοινωνει αλλα</t>
  </si>
  <si>
    <r>
      <rPr>
        <b/>
        <sz val="11"/>
        <color theme="1"/>
        <rFont val="Calibri"/>
        <family val="2"/>
        <scheme val="minor"/>
      </rPr>
      <t>κοινωνι</t>
    </r>
    <r>
      <rPr>
        <sz val="11"/>
        <color theme="1"/>
        <rFont val="Calibri"/>
        <family val="2"/>
        <scheme val="minor"/>
      </rPr>
      <t xml:space="preserve"> τον ανθρωπον αλλα</t>
    </r>
  </si>
  <si>
    <r>
      <rPr>
        <b/>
        <sz val="11"/>
        <color theme="1"/>
        <rFont val="Calibri"/>
        <family val="2"/>
        <scheme val="minor"/>
      </rPr>
      <t>κοινωνει</t>
    </r>
    <r>
      <rPr>
        <sz val="11"/>
        <color theme="1"/>
        <rFont val="Calibri"/>
        <family val="2"/>
        <scheme val="minor"/>
      </rPr>
      <t xml:space="preserve"> αλλα</t>
    </r>
  </si>
  <si>
    <r>
      <t xml:space="preserve">κοινωνι </t>
    </r>
    <r>
      <rPr>
        <b/>
        <sz val="11"/>
        <color theme="1"/>
        <rFont val="Calibri"/>
        <family val="2"/>
        <scheme val="minor"/>
      </rPr>
      <t>τον ανθρωπον</t>
    </r>
    <r>
      <rPr>
        <sz val="11"/>
        <color theme="1"/>
        <rFont val="Calibri"/>
        <family val="2"/>
        <scheme val="minor"/>
      </rPr>
      <t xml:space="preserve"> αλλα</t>
    </r>
  </si>
  <si>
    <t>κοινωνει τον ανθρωπον (12) τοτε</t>
  </si>
  <si>
    <t>κοινωνει ανθρωπον (12) τοτε</t>
  </si>
  <si>
    <t>αφετε τους τυφλους τυφλοι εισιν</t>
  </si>
  <si>
    <t>αφετε τυφλοι εισιν</t>
  </si>
  <si>
    <t>βλασφημεια (20) ταυτα</t>
  </si>
  <si>
    <t>βλασφημιαι (20) ταυτα</t>
  </si>
  <si>
    <t>χερσιν φαγειν</t>
  </si>
  <si>
    <t>χερσι φαγειν</t>
  </si>
  <si>
    <t>τραπεζης κυριων αυτων</t>
  </si>
  <si>
    <r>
      <t xml:space="preserve">τραπεζης </t>
    </r>
    <r>
      <rPr>
        <b/>
        <sz val="11"/>
        <color theme="1"/>
        <rFont val="Calibri"/>
        <family val="2"/>
        <scheme val="minor"/>
      </rPr>
      <t>των</t>
    </r>
    <r>
      <rPr>
        <sz val="11"/>
        <color theme="1"/>
        <rFont val="Calibri"/>
        <family val="2"/>
        <scheme val="minor"/>
      </rPr>
      <t xml:space="preserve"> κυναριων αυτων</t>
    </r>
  </si>
  <si>
    <r>
      <t xml:space="preserve">τραπεζης των </t>
    </r>
    <r>
      <rPr>
        <b/>
        <sz val="11"/>
        <color theme="1"/>
        <rFont val="Calibri"/>
        <family val="2"/>
        <scheme val="minor"/>
      </rPr>
      <t>κυναριων</t>
    </r>
    <r>
      <rPr>
        <sz val="11"/>
        <color theme="1"/>
        <rFont val="Calibri"/>
        <family val="2"/>
        <scheme val="minor"/>
      </rPr>
      <t xml:space="preserve"> αυτων</t>
    </r>
  </si>
  <si>
    <r>
      <t xml:space="preserve">τραπεζης </t>
    </r>
    <r>
      <rPr>
        <b/>
        <sz val="11"/>
        <color theme="1"/>
        <rFont val="Calibri"/>
        <family val="2"/>
        <scheme val="minor"/>
      </rPr>
      <t>κυριων</t>
    </r>
    <r>
      <rPr>
        <sz val="11"/>
        <color theme="1"/>
        <rFont val="Calibri"/>
        <family val="2"/>
        <scheme val="minor"/>
      </rPr>
      <t xml:space="preserve"> αυτων</t>
    </r>
  </si>
  <si>
    <t>ηλθεν παρα</t>
  </si>
  <si>
    <t>ηλθε παρα</t>
  </si>
  <si>
    <t>και χωλους</t>
  </si>
  <si>
    <t>και κωλους</t>
  </si>
  <si>
    <t>ου θελω (33) και λεγουσιν</t>
  </si>
  <si>
    <t>ου θελω μηποτε εκλυθωσιν εν τη οδω (33) και λεγουσιν</t>
  </si>
  <si>
    <r>
      <rPr>
        <b/>
        <sz val="11"/>
        <color theme="1"/>
        <rFont val="Calibri"/>
        <family val="2"/>
        <scheme val="minor"/>
      </rPr>
      <t>ιχθυας</t>
    </r>
    <r>
      <rPr>
        <sz val="11"/>
        <color theme="1"/>
        <rFont val="Calibri"/>
        <family val="2"/>
        <scheme val="minor"/>
      </rPr>
      <t xml:space="preserve"> και ευχαριστησας</t>
    </r>
  </si>
  <si>
    <r>
      <rPr>
        <b/>
        <sz val="11"/>
        <color theme="1"/>
        <rFont val="Calibri"/>
        <family val="2"/>
        <scheme val="minor"/>
      </rPr>
      <t>ιχθεουας</t>
    </r>
    <r>
      <rPr>
        <sz val="11"/>
        <color theme="1"/>
        <rFont val="Calibri"/>
        <family val="2"/>
        <scheme val="minor"/>
      </rPr>
      <t xml:space="preserve"> ευχαριστησας</t>
    </r>
  </si>
  <si>
    <r>
      <t xml:space="preserve">ιχθυας </t>
    </r>
    <r>
      <rPr>
        <b/>
        <sz val="11"/>
        <color theme="1"/>
        <rFont val="Calibri"/>
        <family val="2"/>
        <scheme val="minor"/>
      </rPr>
      <t>και</t>
    </r>
    <r>
      <rPr>
        <sz val="11"/>
        <color theme="1"/>
        <rFont val="Calibri"/>
        <family val="2"/>
        <scheme val="minor"/>
      </rPr>
      <t xml:space="preserve"> ευχαριστησας</t>
    </r>
  </si>
  <si>
    <t>εχορτασθησαν []ματων ηραν (38) χωρις παιδιων</t>
  </si>
  <si>
    <r>
      <t xml:space="preserve">εχορτασθησαν </t>
    </r>
    <r>
      <rPr>
        <b/>
        <sz val="11"/>
        <color theme="1"/>
        <rFont val="Calibri"/>
        <family val="2"/>
        <scheme val="minor"/>
      </rPr>
      <t>και το περσσευον των κλασματων</t>
    </r>
    <r>
      <rPr>
        <sz val="11"/>
        <color theme="1"/>
        <rFont val="Calibri"/>
        <family val="2"/>
        <scheme val="minor"/>
      </rPr>
      <t xml:space="preserve"> ηραν επτα σφυριδας πληρεις (38) οι δε αισθιοντες ησαν τετρακισχιλιοι ανδρες χωρις παιδιων</t>
    </r>
  </si>
  <si>
    <r>
      <t xml:space="preserve">εχορτασθησαν </t>
    </r>
    <r>
      <rPr>
        <b/>
        <sz val="11"/>
        <color theme="1"/>
        <rFont val="Calibri"/>
        <family val="2"/>
        <scheme val="minor"/>
      </rPr>
      <t>[]ματων</t>
    </r>
    <r>
      <rPr>
        <sz val="11"/>
        <color theme="1"/>
        <rFont val="Calibri"/>
        <family val="2"/>
        <scheme val="minor"/>
      </rPr>
      <t xml:space="preserve"> ηραν (38) χωρις παιδιων</t>
    </r>
  </si>
  <si>
    <t>Original Bezae reading covered by correction</t>
  </si>
  <si>
    <r>
      <t xml:space="preserve">εχορτασθησαν και το περσσευον των κλασματων ηραν </t>
    </r>
    <r>
      <rPr>
        <b/>
        <sz val="11"/>
        <color theme="1"/>
        <rFont val="Calibri"/>
        <family val="2"/>
        <scheme val="minor"/>
      </rPr>
      <t>επτα σφυριδας πληρεις</t>
    </r>
    <r>
      <rPr>
        <sz val="11"/>
        <color theme="1"/>
        <rFont val="Calibri"/>
        <family val="2"/>
        <scheme val="minor"/>
      </rPr>
      <t xml:space="preserve"> (38) </t>
    </r>
    <r>
      <rPr>
        <b/>
        <sz val="11"/>
        <color theme="1"/>
        <rFont val="Calibri"/>
        <family val="2"/>
        <scheme val="minor"/>
      </rPr>
      <t>οι δε αισθιοντες ησαν τετρακισχιλιοι ανδρες</t>
    </r>
    <r>
      <rPr>
        <sz val="11"/>
        <color theme="1"/>
        <rFont val="Calibri"/>
        <family val="2"/>
        <scheme val="minor"/>
      </rPr>
      <t xml:space="preserve"> χωρις παιδιων</t>
    </r>
  </si>
  <si>
    <t>ορια της μαγαδαν</t>
  </si>
  <si>
    <r>
      <t xml:space="preserve">πονηρα </t>
    </r>
    <r>
      <rPr>
        <b/>
        <sz val="11"/>
        <color theme="1"/>
        <rFont val="Calibri"/>
        <family val="2"/>
        <scheme val="minor"/>
      </rPr>
      <t>ζητει σημιον</t>
    </r>
    <r>
      <rPr>
        <sz val="11"/>
        <color theme="1"/>
        <rFont val="Calibri"/>
        <family val="2"/>
        <scheme val="minor"/>
      </rPr>
      <t xml:space="preserve"> και σημιαν ου δοθησεται</t>
    </r>
  </si>
  <si>
    <r>
      <t xml:space="preserve">πονηρα </t>
    </r>
    <r>
      <rPr>
        <b/>
        <sz val="11"/>
        <color theme="1"/>
        <rFont val="Calibri"/>
        <family val="2"/>
        <scheme val="minor"/>
      </rPr>
      <t>ζητει σημειον</t>
    </r>
    <r>
      <rPr>
        <sz val="11"/>
        <color theme="1"/>
        <rFont val="Calibri"/>
        <family val="2"/>
        <scheme val="minor"/>
      </rPr>
      <t xml:space="preserve"> και σημειον ου δοθησεται</t>
    </r>
  </si>
  <si>
    <r>
      <t xml:space="preserve">πονηρα ζητει </t>
    </r>
    <r>
      <rPr>
        <b/>
        <sz val="11"/>
        <color theme="1"/>
        <rFont val="Calibri"/>
        <family val="2"/>
        <scheme val="minor"/>
      </rPr>
      <t>σημιον</t>
    </r>
    <r>
      <rPr>
        <sz val="11"/>
        <color theme="1"/>
        <rFont val="Calibri"/>
        <family val="2"/>
        <scheme val="minor"/>
      </rPr>
      <t xml:space="preserve"> και σημιαν ου δοθησεται</t>
    </r>
  </si>
  <si>
    <r>
      <t xml:space="preserve">πονηρα ζητει </t>
    </r>
    <r>
      <rPr>
        <b/>
        <sz val="11"/>
        <color theme="1"/>
        <rFont val="Calibri"/>
        <family val="2"/>
        <scheme val="minor"/>
      </rPr>
      <t>σημειον</t>
    </r>
    <r>
      <rPr>
        <sz val="11"/>
        <color theme="1"/>
        <rFont val="Calibri"/>
        <family val="2"/>
        <scheme val="minor"/>
      </rPr>
      <t xml:space="preserve"> και σημειον ου δοθησεται</t>
    </r>
  </si>
  <si>
    <r>
      <t xml:space="preserve">πονηρα ζητει σημιον και </t>
    </r>
    <r>
      <rPr>
        <b/>
        <sz val="11"/>
        <color theme="1"/>
        <rFont val="Calibri"/>
        <family val="2"/>
        <scheme val="minor"/>
      </rPr>
      <t>σημιαν</t>
    </r>
    <r>
      <rPr>
        <sz val="11"/>
        <color theme="1"/>
        <rFont val="Calibri"/>
        <family val="2"/>
        <scheme val="minor"/>
      </rPr>
      <t xml:space="preserve"> ου δοθησεται</t>
    </r>
  </si>
  <si>
    <r>
      <t xml:space="preserve">πονηρα ζητει σημειον και </t>
    </r>
    <r>
      <rPr>
        <b/>
        <sz val="11"/>
        <color theme="1"/>
        <rFont val="Calibri"/>
        <family val="2"/>
        <scheme val="minor"/>
      </rPr>
      <t>σημειον</t>
    </r>
    <r>
      <rPr>
        <sz val="11"/>
        <color theme="1"/>
        <rFont val="Calibri"/>
        <family val="2"/>
        <scheme val="minor"/>
      </rPr>
      <t xml:space="preserve"> ου δοθησεται</t>
    </r>
  </si>
  <si>
    <t>Bezae transposes these words in a correction</t>
  </si>
  <si>
    <t>Corrected Bezae = σημιον</t>
  </si>
  <si>
    <t>τοτε διελογιζοντο</t>
  </si>
  <si>
    <t>τοτε δε διελογιζοντο</t>
  </si>
  <si>
    <t>περι αρτου ειπον προσεχετ[ε] απο</t>
  </si>
  <si>
    <t>περι αρτον ειπον προσεχειν απο</t>
  </si>
  <si>
    <t>αλλα απο</t>
  </si>
  <si>
    <t>αλλ απο</t>
  </si>
  <si>
    <t>μαθητας αυτου λεγων</t>
  </si>
  <si>
    <t>μαθητας λεγων</t>
  </si>
  <si>
    <t>ανθρωποι λεγουσιν ειναι υιον</t>
  </si>
  <si>
    <t>ανθρωποι ειναι λεγουσιν υιον</t>
  </si>
  <si>
    <t>αποκριθεις δε σιμων πετρος</t>
  </si>
  <si>
    <t>αποκριθεις δε πετρος σιμων πετρος</t>
  </si>
  <si>
    <t>αποκριθεις δε ο ιης</t>
  </si>
  <si>
    <t>αποκριθεις ο ιησους</t>
  </si>
  <si>
    <t>οικοδομησω την εκκλησιαν μου</t>
  </si>
  <si>
    <t>οικοδομησω μου την εκκλησιαν</t>
  </si>
  <si>
    <t>σοι δωσω τας κλεις</t>
  </si>
  <si>
    <t>δωσω σοι τας κλεις</t>
  </si>
  <si>
    <t>οτι εστιν χριστος ο ις (21) απο</t>
  </si>
  <si>
    <r>
      <t xml:space="preserve">οτι </t>
    </r>
    <r>
      <rPr>
        <b/>
        <sz val="11"/>
        <color theme="1"/>
        <rFont val="Calibri"/>
        <family val="2"/>
        <scheme val="minor"/>
      </rPr>
      <t>ουτος</t>
    </r>
    <r>
      <rPr>
        <sz val="11"/>
        <color theme="1"/>
        <rFont val="Calibri"/>
        <family val="2"/>
        <scheme val="minor"/>
      </rPr>
      <t xml:space="preserve"> εστιν ο χρς ιης (21) απο</t>
    </r>
  </si>
  <si>
    <r>
      <t xml:space="preserve">οτι ουτος εστιν </t>
    </r>
    <r>
      <rPr>
        <b/>
        <sz val="11"/>
        <color theme="1"/>
        <rFont val="Calibri"/>
        <family val="2"/>
        <scheme val="minor"/>
      </rPr>
      <t>ο</t>
    </r>
    <r>
      <rPr>
        <sz val="11"/>
        <color theme="1"/>
        <rFont val="Calibri"/>
        <family val="2"/>
        <scheme val="minor"/>
      </rPr>
      <t xml:space="preserve"> χρς ιης (21) απο</t>
    </r>
  </si>
  <si>
    <r>
      <t xml:space="preserve">οτι εστιν χριστος </t>
    </r>
    <r>
      <rPr>
        <b/>
        <sz val="11"/>
        <color theme="1"/>
        <rFont val="Calibri"/>
        <family val="2"/>
        <scheme val="minor"/>
      </rPr>
      <t>ο</t>
    </r>
    <r>
      <rPr>
        <sz val="11"/>
        <color theme="1"/>
        <rFont val="Calibri"/>
        <family val="2"/>
        <scheme val="minor"/>
      </rPr>
      <t xml:space="preserve"> ις (21) απο</t>
    </r>
  </si>
  <si>
    <t>ηρξατο ιης δικνυειν τοις μαθηταις αυτου</t>
  </si>
  <si>
    <r>
      <t xml:space="preserve">ηρξατο </t>
    </r>
    <r>
      <rPr>
        <b/>
        <sz val="11"/>
        <color theme="1"/>
        <rFont val="Calibri"/>
        <family val="2"/>
        <scheme val="minor"/>
      </rPr>
      <t>ο</t>
    </r>
    <r>
      <rPr>
        <sz val="11"/>
        <color theme="1"/>
        <rFont val="Calibri"/>
        <family val="2"/>
        <scheme val="minor"/>
      </rPr>
      <t xml:space="preserve"> ις δεικνυειν τοις μαθηταις τοις μαθηταις αυτου</t>
    </r>
  </si>
  <si>
    <r>
      <t xml:space="preserve">ηρξατο ιης </t>
    </r>
    <r>
      <rPr>
        <b/>
        <sz val="11"/>
        <color theme="1"/>
        <rFont val="Calibri"/>
        <family val="2"/>
        <scheme val="minor"/>
      </rPr>
      <t>δικνυειν</t>
    </r>
    <r>
      <rPr>
        <sz val="11"/>
        <color theme="1"/>
        <rFont val="Calibri"/>
        <family val="2"/>
        <scheme val="minor"/>
      </rPr>
      <t xml:space="preserve"> τοις μαθηταις αυτου</t>
    </r>
  </si>
  <si>
    <r>
      <t xml:space="preserve">ηρξατο ο ις </t>
    </r>
    <r>
      <rPr>
        <b/>
        <sz val="11"/>
        <color theme="1"/>
        <rFont val="Calibri"/>
        <family val="2"/>
        <scheme val="minor"/>
      </rPr>
      <t>δεικνυειν</t>
    </r>
    <r>
      <rPr>
        <sz val="11"/>
        <color theme="1"/>
        <rFont val="Calibri"/>
        <family val="2"/>
        <scheme val="minor"/>
      </rPr>
      <t xml:space="preserve"> τοις μαθηταις τοις μαθηταις αυτου</t>
    </r>
  </si>
  <si>
    <t>οτι δι αυτον</t>
  </si>
  <si>
    <t>οτι δει αυτον</t>
  </si>
  <si>
    <t>παθειν υπο των πρεσβυτερων</t>
  </si>
  <si>
    <t>παθειν απο των πρεσβυτερων</t>
  </si>
  <si>
    <t>ειλεως</t>
  </si>
  <si>
    <t>σκανδαλον ει εμοι</t>
  </si>
  <si>
    <t>σκανδαλον εμοι ει</t>
  </si>
  <si>
    <t>αλλα του ανθρωπου</t>
  </si>
  <si>
    <t>αλλα τα του ανθρωπου</t>
  </si>
  <si>
    <t>ειπεν τοις μαθηταις</t>
  </si>
  <si>
    <t>ειπε τοις μαθηταις</t>
  </si>
  <si>
    <t>των αγιων αγγελων</t>
  </si>
  <si>
    <t>των αγγελων</t>
  </si>
  <si>
    <t>εως αν ειδωσιν τον</t>
  </si>
  <si>
    <t>εως αν ιδωσι τον</t>
  </si>
  <si>
    <t>και τον ιακωβον</t>
  </si>
  <si>
    <t>και ιακωβον</t>
  </si>
  <si>
    <t>ελαμψεν το προσωπον</t>
  </si>
  <si>
    <t>ελαμψε το προσωπον</t>
  </si>
  <si>
    <t>δε ειματεια</t>
  </si>
  <si>
    <t>δε ιματεια</t>
  </si>
  <si>
    <t>ως το ειως (3) και</t>
  </si>
  <si>
    <t>ως χειων (3) και</t>
  </si>
  <si>
    <r>
      <t xml:space="preserve">και </t>
    </r>
    <r>
      <rPr>
        <b/>
        <sz val="11"/>
        <color theme="1"/>
        <rFont val="Calibri"/>
        <family val="2"/>
        <scheme val="minor"/>
      </rPr>
      <t>ιδου</t>
    </r>
    <r>
      <rPr>
        <sz val="11"/>
        <color theme="1"/>
        <rFont val="Calibri"/>
        <family val="2"/>
        <scheme val="minor"/>
      </rPr>
      <t xml:space="preserve"> ωφθη</t>
    </r>
  </si>
  <si>
    <r>
      <t xml:space="preserve">και </t>
    </r>
    <r>
      <rPr>
        <b/>
        <sz val="11"/>
        <color theme="1"/>
        <rFont val="Calibri"/>
        <family val="2"/>
        <scheme val="minor"/>
      </rPr>
      <t>ιδε</t>
    </r>
    <r>
      <rPr>
        <sz val="11"/>
        <color theme="1"/>
        <rFont val="Calibri"/>
        <family val="2"/>
        <scheme val="minor"/>
      </rPr>
      <t xml:space="preserve"> ωφθη</t>
    </r>
  </si>
  <si>
    <t>και μωυσει μειαν</t>
  </si>
  <si>
    <t>και μμωυση μειαν</t>
  </si>
  <si>
    <t>και μωυση μειαν</t>
  </si>
  <si>
    <t>και ηλεια μειαν</t>
  </si>
  <si>
    <t>και μειαν ηλεια</t>
  </si>
  <si>
    <t>επεσκιασεν</t>
  </si>
  <si>
    <t>επαραντες</t>
  </si>
  <si>
    <t>ει μη μονον</t>
  </si>
  <si>
    <t>ει μονον</t>
  </si>
  <si>
    <t>αλλα εποιησαν</t>
  </si>
  <si>
    <t>αλλ εποιησαν</t>
  </si>
  <si>
    <t>ουτως και</t>
  </si>
  <si>
    <t>ουτω και</t>
  </si>
  <si>
    <t>και ενιοτε εις το υδωρ</t>
  </si>
  <si>
    <t>και εις το υδωρ</t>
  </si>
  <si>
    <t>κοκκος σιναπεως</t>
  </si>
  <si>
    <t>κοκκον σιναπεως</t>
  </si>
  <si>
    <t>ελθοντων αυτων</t>
  </si>
  <si>
    <t>ελθοντως αυτων</t>
  </si>
  <si>
    <t>τελει δειδραγμα</t>
  </si>
  <si>
    <r>
      <t xml:space="preserve">τελει </t>
    </r>
    <r>
      <rPr>
        <b/>
        <sz val="11"/>
        <color theme="1"/>
        <rFont val="Calibri"/>
        <family val="2"/>
        <scheme val="minor"/>
      </rPr>
      <t>τα</t>
    </r>
    <r>
      <rPr>
        <sz val="11"/>
        <color theme="1"/>
        <rFont val="Calibri"/>
        <family val="2"/>
        <scheme val="minor"/>
      </rPr>
      <t xml:space="preserve"> διδραχμα</t>
    </r>
  </si>
  <si>
    <r>
      <t xml:space="preserve">τελει τα </t>
    </r>
    <r>
      <rPr>
        <b/>
        <sz val="11"/>
        <color theme="1"/>
        <rFont val="Calibri"/>
        <family val="2"/>
        <scheme val="minor"/>
      </rPr>
      <t>διδραχμα</t>
    </r>
  </si>
  <si>
    <r>
      <t xml:space="preserve">τελει </t>
    </r>
    <r>
      <rPr>
        <b/>
        <sz val="11"/>
        <color theme="1"/>
        <rFont val="Calibri"/>
        <family val="2"/>
        <scheme val="minor"/>
      </rPr>
      <t>δειδραγμα</t>
    </r>
  </si>
  <si>
    <t>λαμβανουσιν τελη</t>
  </si>
  <si>
    <t>λαμβανουσι τελη</t>
  </si>
  <si>
    <t>αρα μειζω εστιν</t>
  </si>
  <si>
    <t>αρα μειζων εστιν</t>
  </si>
  <si>
    <t>στραφηται και</t>
  </si>
  <si>
    <t>στραφητε και</t>
  </si>
  <si>
    <t>ταπεινωσει εαυτον</t>
  </si>
  <si>
    <t>ταπεινωση εαυτον</t>
  </si>
  <si>
    <t>ος δ αν</t>
  </si>
  <si>
    <t>ος δε αν</t>
  </si>
  <si>
    <t>πλην δε ουαι</t>
  </si>
  <si>
    <t>πλην ουαι</t>
  </si>
  <si>
    <t>πους σου</t>
  </si>
  <si>
    <t>παυς σου</t>
  </si>
  <si>
    <t>σκανδαλιζει σε</t>
  </si>
  <si>
    <t>σκανδαλισει σε</t>
  </si>
  <si>
    <t>το αυτο ει</t>
  </si>
  <si>
    <t>τω αυτω ει</t>
  </si>
  <si>
    <t>σκανδαλιζη σε</t>
  </si>
  <si>
    <t>ενος τουτων</t>
  </si>
  <si>
    <t>ενα τουτων</t>
  </si>
  <si>
    <t>τι δε υμειν</t>
  </si>
  <si>
    <t>τι υμειν</t>
  </si>
  <si>
    <t>ενενηκοντα εννεα</t>
  </si>
  <si>
    <t>πατρος ημων του εν</t>
  </si>
  <si>
    <t>πατρος υμων του εν</t>
  </si>
  <si>
    <t>υπαγε ελενξον αυτον</t>
  </si>
  <si>
    <r>
      <t xml:space="preserve">υπαγε </t>
    </r>
    <r>
      <rPr>
        <b/>
        <sz val="11"/>
        <color theme="1"/>
        <rFont val="Calibri"/>
        <family val="2"/>
        <scheme val="minor"/>
      </rPr>
      <t>και</t>
    </r>
    <r>
      <rPr>
        <sz val="11"/>
        <color theme="1"/>
        <rFont val="Calibri"/>
        <family val="2"/>
        <scheme val="minor"/>
      </rPr>
      <t xml:space="preserve"> ελεγξον αυτον</t>
    </r>
  </si>
  <si>
    <r>
      <t xml:space="preserve">υπαγε </t>
    </r>
    <r>
      <rPr>
        <b/>
        <sz val="11"/>
        <color theme="1"/>
        <rFont val="Calibri"/>
        <family val="2"/>
        <scheme val="minor"/>
      </rPr>
      <t>ελενξον</t>
    </r>
    <r>
      <rPr>
        <sz val="11"/>
        <color theme="1"/>
        <rFont val="Calibri"/>
        <family val="2"/>
        <scheme val="minor"/>
      </rPr>
      <t xml:space="preserve"> αυτον</t>
    </r>
  </si>
  <si>
    <r>
      <t xml:space="preserve">υπαγε και </t>
    </r>
    <r>
      <rPr>
        <b/>
        <sz val="11"/>
        <color theme="1"/>
        <rFont val="Calibri"/>
        <family val="2"/>
        <scheme val="minor"/>
      </rPr>
      <t>ελεγξον</t>
    </r>
    <r>
      <rPr>
        <sz val="11"/>
        <color theme="1"/>
        <rFont val="Calibri"/>
        <family val="2"/>
        <scheme val="minor"/>
      </rPr>
      <t xml:space="preserve"> αυτον</t>
    </r>
  </si>
  <si>
    <t>εαν δε μη παρακουση</t>
  </si>
  <si>
    <t>εαν δε παρακουση</t>
  </si>
  <si>
    <t>τη εκκλησεια εαν</t>
  </si>
  <si>
    <t>τη εκκλησια εαν</t>
  </si>
  <si>
    <t>της εκκλησειας παρακουση</t>
  </si>
  <si>
    <t>της εκκλησιας παρακουση</t>
  </si>
  <si>
    <t>της γης εστε λελυμενα</t>
  </si>
  <si>
    <r>
      <t xml:space="preserve">εαν </t>
    </r>
    <r>
      <rPr>
        <b/>
        <sz val="11"/>
        <color theme="1"/>
        <rFont val="Calibri"/>
        <family val="2"/>
        <scheme val="minor"/>
      </rPr>
      <t>εκ υμων συμφωνησωσιν</t>
    </r>
    <r>
      <rPr>
        <sz val="11"/>
        <color theme="1"/>
        <rFont val="Calibri"/>
        <family val="2"/>
        <scheme val="minor"/>
      </rPr>
      <t xml:space="preserve"> επι της γης</t>
    </r>
  </si>
  <si>
    <r>
      <t xml:space="preserve">εαν εκ υμων </t>
    </r>
    <r>
      <rPr>
        <b/>
        <sz val="11"/>
        <color theme="1"/>
        <rFont val="Calibri"/>
        <family val="2"/>
        <scheme val="minor"/>
      </rPr>
      <t>συμφωνησωσιν</t>
    </r>
    <r>
      <rPr>
        <sz val="11"/>
        <color theme="1"/>
        <rFont val="Calibri"/>
        <family val="2"/>
        <scheme val="minor"/>
      </rPr>
      <t xml:space="preserve"> επι της γης</t>
    </r>
  </si>
  <si>
    <r>
      <t xml:space="preserve">εαν </t>
    </r>
    <r>
      <rPr>
        <b/>
        <sz val="11"/>
        <color theme="1"/>
        <rFont val="Calibri"/>
        <family val="2"/>
        <scheme val="minor"/>
      </rPr>
      <t>εκ</t>
    </r>
    <r>
      <rPr>
        <sz val="11"/>
        <color theme="1"/>
        <rFont val="Calibri"/>
        <family val="2"/>
        <scheme val="minor"/>
      </rPr>
      <t xml:space="preserve"> υμων συμφωνησωσιν επι της γης</t>
    </r>
  </si>
  <si>
    <t>παντος του πραγματος</t>
  </si>
  <si>
    <t>παντος πραγματος</t>
  </si>
  <si>
    <t>ου γαρ εισι δυο</t>
  </si>
  <si>
    <r>
      <rPr>
        <b/>
        <sz val="11"/>
        <color theme="1"/>
        <rFont val="Calibri"/>
        <family val="2"/>
        <scheme val="minor"/>
      </rPr>
      <t>ουκ</t>
    </r>
    <r>
      <rPr>
        <sz val="11"/>
        <color theme="1"/>
        <rFont val="Calibri"/>
        <family val="2"/>
        <scheme val="minor"/>
      </rPr>
      <t xml:space="preserve"> εισιν γαρ δυο</t>
    </r>
  </si>
  <si>
    <r>
      <t xml:space="preserve">ουκ </t>
    </r>
    <r>
      <rPr>
        <b/>
        <sz val="11"/>
        <color theme="1"/>
        <rFont val="Calibri"/>
        <family val="2"/>
        <scheme val="minor"/>
      </rPr>
      <t>εισιν γαρ</t>
    </r>
    <r>
      <rPr>
        <sz val="11"/>
        <color theme="1"/>
        <rFont val="Calibri"/>
        <family val="2"/>
        <scheme val="minor"/>
      </rPr>
      <t xml:space="preserve"> δυο</t>
    </r>
  </si>
  <si>
    <r>
      <t xml:space="preserve">ου </t>
    </r>
    <r>
      <rPr>
        <b/>
        <sz val="11"/>
        <color theme="1"/>
        <rFont val="Calibri"/>
        <family val="2"/>
        <scheme val="minor"/>
      </rPr>
      <t>γαρ εισι</t>
    </r>
    <r>
      <rPr>
        <sz val="11"/>
        <color theme="1"/>
        <rFont val="Calibri"/>
        <family val="2"/>
        <scheme val="minor"/>
      </rPr>
      <t xml:space="preserve"> δυο</t>
    </r>
  </si>
  <si>
    <r>
      <t xml:space="preserve">ουκ </t>
    </r>
    <r>
      <rPr>
        <b/>
        <sz val="11"/>
        <color theme="1"/>
        <rFont val="Calibri"/>
        <family val="2"/>
        <scheme val="minor"/>
      </rPr>
      <t>εισιν</t>
    </r>
    <r>
      <rPr>
        <sz val="11"/>
        <color theme="1"/>
        <rFont val="Calibri"/>
        <family val="2"/>
        <scheme val="minor"/>
      </rPr>
      <t xml:space="preserve"> γαρ δυο</t>
    </r>
  </si>
  <si>
    <r>
      <t xml:space="preserve">ου γαρ </t>
    </r>
    <r>
      <rPr>
        <b/>
        <sz val="11"/>
        <color theme="1"/>
        <rFont val="Calibri"/>
        <family val="2"/>
        <scheme val="minor"/>
      </rPr>
      <t>εισι</t>
    </r>
    <r>
      <rPr>
        <sz val="11"/>
        <color theme="1"/>
        <rFont val="Calibri"/>
        <family val="2"/>
        <scheme val="minor"/>
      </rPr>
      <t xml:space="preserve"> δυο</t>
    </r>
  </si>
  <si>
    <t>προσελθων πετρος</t>
  </si>
  <si>
    <t>προσελθων ο πετρος</t>
  </si>
  <si>
    <t>ειπεν αυτω κε</t>
  </si>
  <si>
    <t>ειπεν κυριε</t>
  </si>
  <si>
    <t>αλλα εως</t>
  </si>
  <si>
    <t>αλλ εως</t>
  </si>
  <si>
    <t>επτακις (23) δια</t>
  </si>
  <si>
    <t>επτα (23) δια</t>
  </si>
  <si>
    <t>τουτο ωμοιωθη</t>
  </si>
  <si>
    <t>τουτο ομοιωθη</t>
  </si>
  <si>
    <r>
      <rPr>
        <b/>
        <sz val="11"/>
        <color theme="1"/>
        <rFont val="Calibri"/>
        <family val="2"/>
        <scheme val="minor"/>
      </rPr>
      <t>αυτου</t>
    </r>
    <r>
      <rPr>
        <sz val="11"/>
        <color theme="1"/>
        <rFont val="Calibri"/>
        <family val="2"/>
        <scheme val="minor"/>
      </rPr>
      <t xml:space="preserve"> αποδουναι</t>
    </r>
  </si>
  <si>
    <r>
      <rPr>
        <b/>
        <sz val="11"/>
        <color theme="1"/>
        <rFont val="Calibri"/>
        <family val="2"/>
        <scheme val="minor"/>
      </rPr>
      <t>αυτω</t>
    </r>
    <r>
      <rPr>
        <sz val="11"/>
        <color theme="1"/>
        <rFont val="Calibri"/>
        <family val="2"/>
        <scheme val="minor"/>
      </rPr>
      <t xml:space="preserve"> δουναι</t>
    </r>
  </si>
  <si>
    <r>
      <t xml:space="preserve">αυτου </t>
    </r>
    <r>
      <rPr>
        <b/>
        <sz val="11"/>
        <color theme="1"/>
        <rFont val="Calibri"/>
        <family val="2"/>
        <scheme val="minor"/>
      </rPr>
      <t>αποδουναι</t>
    </r>
  </si>
  <si>
    <r>
      <t xml:space="preserve">αυτω </t>
    </r>
    <r>
      <rPr>
        <b/>
        <sz val="11"/>
        <color theme="1"/>
        <rFont val="Calibri"/>
        <family val="2"/>
        <scheme val="minor"/>
      </rPr>
      <t>δουναι</t>
    </r>
  </si>
  <si>
    <t>εκελευσεν αυτον ο κς πραθηναι και</t>
  </si>
  <si>
    <t>εκελυσεν ο κυριος πραθηναι αυτον και</t>
  </si>
  <si>
    <r>
      <rPr>
        <b/>
        <sz val="11"/>
        <color theme="1"/>
        <rFont val="Calibri"/>
        <family val="2"/>
        <scheme val="minor"/>
      </rPr>
      <t>ειχεν</t>
    </r>
    <r>
      <rPr>
        <sz val="11"/>
        <color theme="1"/>
        <rFont val="Calibri"/>
        <family val="2"/>
        <scheme val="minor"/>
      </rPr>
      <t xml:space="preserve"> και αποθηναι</t>
    </r>
  </si>
  <si>
    <r>
      <rPr>
        <b/>
        <sz val="11"/>
        <color theme="1"/>
        <rFont val="Calibri"/>
        <family val="2"/>
        <scheme val="minor"/>
      </rPr>
      <t>ειχε</t>
    </r>
    <r>
      <rPr>
        <sz val="11"/>
        <color theme="1"/>
        <rFont val="Calibri"/>
        <family val="2"/>
        <scheme val="minor"/>
      </rPr>
      <t xml:space="preserve"> και αποδοθηναι</t>
    </r>
  </si>
  <si>
    <r>
      <t xml:space="preserve">ειχεν και </t>
    </r>
    <r>
      <rPr>
        <b/>
        <sz val="11"/>
        <color theme="1"/>
        <rFont val="Calibri"/>
        <family val="2"/>
        <scheme val="minor"/>
      </rPr>
      <t>αποθηναι</t>
    </r>
  </si>
  <si>
    <r>
      <t xml:space="preserve">ειχε και </t>
    </r>
    <r>
      <rPr>
        <b/>
        <sz val="11"/>
        <color theme="1"/>
        <rFont val="Calibri"/>
        <family val="2"/>
        <scheme val="minor"/>
      </rPr>
      <t>αποδοθηναι</t>
    </r>
  </si>
  <si>
    <t>αποδος μοι ει τι</t>
  </si>
  <si>
    <t>αποδος ει τι</t>
  </si>
  <si>
    <r>
      <t xml:space="preserve">ιδοντες </t>
    </r>
    <r>
      <rPr>
        <b/>
        <sz val="11"/>
        <color theme="1"/>
        <rFont val="Calibri"/>
        <family val="2"/>
        <scheme val="minor"/>
      </rPr>
      <t>ουν</t>
    </r>
    <r>
      <rPr>
        <sz val="11"/>
        <color theme="1"/>
        <rFont val="Calibri"/>
        <family val="2"/>
        <scheme val="minor"/>
      </rPr>
      <t xml:space="preserve"> οι συνδουλοι αυτου</t>
    </r>
  </si>
  <si>
    <r>
      <t xml:space="preserve">ιδοντες </t>
    </r>
    <r>
      <rPr>
        <b/>
        <sz val="11"/>
        <color theme="1"/>
        <rFont val="Calibri"/>
        <family val="2"/>
        <scheme val="minor"/>
      </rPr>
      <t>δε</t>
    </r>
    <r>
      <rPr>
        <sz val="11"/>
        <color theme="1"/>
        <rFont val="Calibri"/>
        <family val="2"/>
        <scheme val="minor"/>
      </rPr>
      <t xml:space="preserve"> οι συνδουλος αυτου</t>
    </r>
  </si>
  <si>
    <r>
      <t xml:space="preserve">ιδοντες ουν οι </t>
    </r>
    <r>
      <rPr>
        <b/>
        <sz val="11"/>
        <color theme="1"/>
        <rFont val="Calibri"/>
        <family val="2"/>
        <scheme val="minor"/>
      </rPr>
      <t>συνδουλοι</t>
    </r>
    <r>
      <rPr>
        <sz val="11"/>
        <color theme="1"/>
        <rFont val="Calibri"/>
        <family val="2"/>
        <scheme val="minor"/>
      </rPr>
      <t xml:space="preserve"> αυτου</t>
    </r>
  </si>
  <si>
    <r>
      <t xml:space="preserve">ιδοντες δε οι </t>
    </r>
    <r>
      <rPr>
        <b/>
        <sz val="11"/>
        <color theme="1"/>
        <rFont val="Calibri"/>
        <family val="2"/>
        <scheme val="minor"/>
      </rPr>
      <t>συνδουλος</t>
    </r>
    <r>
      <rPr>
        <sz val="11"/>
        <color theme="1"/>
        <rFont val="Calibri"/>
        <family val="2"/>
        <scheme val="minor"/>
      </rPr>
      <t xml:space="preserve"> αυτου</t>
    </r>
  </si>
  <si>
    <t>επι παρεκαλεσας</t>
  </si>
  <si>
    <t>επει παρεκαλεσας</t>
  </si>
  <si>
    <t>και λεγουσιν αυτω</t>
  </si>
  <si>
    <t>και λεγοντες αυτω</t>
  </si>
  <si>
    <t>θηλυν εποιησεν</t>
  </si>
  <si>
    <t>θηλυ εποιησεν</t>
  </si>
  <si>
    <t>καταλειψει ανθρωπος τον πατερα</t>
  </si>
  <si>
    <t>καταλειψει τον πατερα</t>
  </si>
  <si>
    <r>
      <t xml:space="preserve">αλλα </t>
    </r>
    <r>
      <rPr>
        <b/>
        <sz val="11"/>
        <color theme="1"/>
        <rFont val="Calibri"/>
        <family val="2"/>
        <scheme val="minor"/>
      </rPr>
      <t>μεια σαρξ</t>
    </r>
    <r>
      <rPr>
        <sz val="11"/>
        <color theme="1"/>
        <rFont val="Calibri"/>
        <family val="2"/>
        <scheme val="minor"/>
      </rPr>
      <t xml:space="preserve"> ο ουν ο θς συνεζευξεν εις εν ανθρωπος</t>
    </r>
  </si>
  <si>
    <r>
      <t xml:space="preserve">αλλα </t>
    </r>
    <r>
      <rPr>
        <b/>
        <sz val="11"/>
        <color theme="1"/>
        <rFont val="Calibri"/>
        <family val="2"/>
        <scheme val="minor"/>
      </rPr>
      <t>σαρξ μεια</t>
    </r>
    <r>
      <rPr>
        <sz val="11"/>
        <color theme="1"/>
        <rFont val="Calibri"/>
        <family val="2"/>
        <scheme val="minor"/>
      </rPr>
      <t xml:space="preserve"> εις εν ο ου ο θεος συνεζευξεν ανθρωπος</t>
    </r>
  </si>
  <si>
    <r>
      <t xml:space="preserve">αλλα μεια σαρξ </t>
    </r>
    <r>
      <rPr>
        <b/>
        <sz val="11"/>
        <color theme="1"/>
        <rFont val="Calibri"/>
        <family val="2"/>
        <scheme val="minor"/>
      </rPr>
      <t>ο ουν ο θς συνεζευξεν εις εν</t>
    </r>
    <r>
      <rPr>
        <sz val="11"/>
        <color theme="1"/>
        <rFont val="Calibri"/>
        <family val="2"/>
        <scheme val="minor"/>
      </rPr>
      <t xml:space="preserve"> ανθρωπος</t>
    </r>
  </si>
  <si>
    <r>
      <t xml:space="preserve">αλλα σαρξ μεια </t>
    </r>
    <r>
      <rPr>
        <b/>
        <sz val="11"/>
        <color theme="1"/>
        <rFont val="Calibri"/>
        <family val="2"/>
        <scheme val="minor"/>
      </rPr>
      <t>εις εν ο ου ο θεος συνεζευξεν</t>
    </r>
    <r>
      <rPr>
        <sz val="11"/>
        <color theme="1"/>
        <rFont val="Calibri"/>
        <family val="2"/>
        <scheme val="minor"/>
      </rPr>
      <t xml:space="preserve"> ανθρωπος</t>
    </r>
  </si>
  <si>
    <t>1.0.1 transposition</t>
  </si>
  <si>
    <t>5.0.2 transposition</t>
  </si>
  <si>
    <t>ουν ο μωυσης</t>
  </si>
  <si>
    <t>ουν μωυσης</t>
  </si>
  <si>
    <t>(7) απολυσαι (8) και λεγει</t>
  </si>
  <si>
    <t>(7) απολυσαι (8) λεγει</t>
  </si>
  <si>
    <t>οιτινες ηυνουχισθησαν</t>
  </si>
  <si>
    <t>οιτινες ευνουχισθησαν</t>
  </si>
  <si>
    <t>ειπεν ου φονευσεις</t>
  </si>
  <si>
    <t>ειπεν το ου φονευσεις</t>
  </si>
  <si>
    <t>εν ουρανοις και</t>
  </si>
  <si>
    <t>εν ουρανω και</t>
  </si>
  <si>
    <t>ακουσας ο νεανισκος</t>
  </si>
  <si>
    <t>Bezae corrects ο -&gt; ου</t>
  </si>
  <si>
    <t>βασιλειαν του θυ</t>
  </si>
  <si>
    <t>βασιλειαν των ουρανων</t>
  </si>
  <si>
    <t>τουτο δυνατον εστιν</t>
  </si>
  <si>
    <t>τουτο αδυνατον εστιν</t>
  </si>
  <si>
    <t>ηκολουθησαμεν</t>
  </si>
  <si>
    <t>καθησεσθε</t>
  </si>
  <si>
    <t>κρεινοντες ιβ φυλας</t>
  </si>
  <si>
    <t>κρεινοντες τας ιβ φυλας</t>
  </si>
  <si>
    <t>η αδελφας η τεκνα</t>
  </si>
  <si>
    <t>η αδελφας η μητερα η τεκνα</t>
  </si>
  <si>
    <r>
      <rPr>
        <b/>
        <sz val="11"/>
        <color theme="1"/>
        <rFont val="Calibri"/>
        <family val="2"/>
        <scheme val="minor"/>
      </rPr>
      <t>εκατονταπλασιον</t>
    </r>
    <r>
      <rPr>
        <sz val="11"/>
        <color theme="1"/>
        <rFont val="Calibri"/>
        <family val="2"/>
        <scheme val="minor"/>
      </rPr>
      <t xml:space="preserve"> λημψεται</t>
    </r>
  </si>
  <si>
    <r>
      <rPr>
        <b/>
        <sz val="11"/>
        <color theme="1"/>
        <rFont val="Calibri"/>
        <family val="2"/>
        <scheme val="minor"/>
      </rPr>
      <t>εκατοντοπλασιονα</t>
    </r>
    <r>
      <rPr>
        <sz val="11"/>
        <color theme="1"/>
        <rFont val="Calibri"/>
        <family val="2"/>
        <scheme val="minor"/>
      </rPr>
      <t xml:space="preserve"> ληψεται</t>
    </r>
  </si>
  <si>
    <r>
      <t xml:space="preserve">εκατονταπλασιον </t>
    </r>
    <r>
      <rPr>
        <b/>
        <sz val="11"/>
        <color theme="1"/>
        <rFont val="Calibri"/>
        <family val="2"/>
        <scheme val="minor"/>
      </rPr>
      <t>λημψεται</t>
    </r>
  </si>
  <si>
    <r>
      <t xml:space="preserve">εκατοντοπλασιονα </t>
    </r>
    <r>
      <rPr>
        <b/>
        <sz val="11"/>
        <color theme="1"/>
        <rFont val="Calibri"/>
        <family val="2"/>
        <scheme val="minor"/>
      </rPr>
      <t>ληψεται</t>
    </r>
  </si>
  <si>
    <t>Bezae corrects to εκατονταπλασιονα</t>
  </si>
  <si>
    <t>και διεξελθων</t>
  </si>
  <si>
    <t>και εξελθων</t>
  </si>
  <si>
    <t>περι ωραν</t>
  </si>
  <si>
    <t>περι την ωραν</t>
  </si>
  <si>
    <t>παλιν δε εξελθων</t>
  </si>
  <si>
    <t>παλιν εξελθων</t>
  </si>
  <si>
    <t>εννα την</t>
  </si>
  <si>
    <t>εμισθωσατο</t>
  </si>
  <si>
    <t>λημψονται ελαβον</t>
  </si>
  <si>
    <t>ουκ εστιν</t>
  </si>
  <si>
    <t>ουκ εξεστιν</t>
  </si>
  <si>
    <t>εμοις η ο οφθαλμος</t>
  </si>
  <si>
    <t>εμοις ει ο οφθαλμος</t>
  </si>
  <si>
    <t>εισιν κλητοι</t>
  </si>
  <si>
    <t>εισι κλητοι</t>
  </si>
  <si>
    <t>παρελαβεν τους ιβ</t>
  </si>
  <si>
    <t>παραλαβε τους δωδεκα</t>
  </si>
  <si>
    <r>
      <rPr>
        <b/>
        <sz val="11"/>
        <color theme="1"/>
        <rFont val="Calibri"/>
        <family val="2"/>
        <scheme val="minor"/>
      </rPr>
      <t>αιτειτε</t>
    </r>
    <r>
      <rPr>
        <sz val="11"/>
        <color theme="1"/>
        <rFont val="Calibri"/>
        <family val="2"/>
        <scheme val="minor"/>
      </rPr>
      <t xml:space="preserve"> δυνασθαι το ποτηριον πειειν ο εγω</t>
    </r>
  </si>
  <si>
    <r>
      <rPr>
        <b/>
        <sz val="11"/>
        <color theme="1"/>
        <rFont val="Calibri"/>
        <family val="2"/>
        <scheme val="minor"/>
      </rPr>
      <t>αιτεισθε</t>
    </r>
    <r>
      <rPr>
        <sz val="11"/>
        <color theme="1"/>
        <rFont val="Calibri"/>
        <family val="2"/>
        <scheme val="minor"/>
      </rPr>
      <t xml:space="preserve"> δυνασθαι πειειν το ποτηριον ο εγω</t>
    </r>
  </si>
  <si>
    <r>
      <t xml:space="preserve">αιτειτε δυνασθαι </t>
    </r>
    <r>
      <rPr>
        <b/>
        <sz val="11"/>
        <color theme="1"/>
        <rFont val="Calibri"/>
        <family val="2"/>
        <scheme val="minor"/>
      </rPr>
      <t>το ποτηριον πειειν</t>
    </r>
    <r>
      <rPr>
        <sz val="11"/>
        <color theme="1"/>
        <rFont val="Calibri"/>
        <family val="2"/>
        <scheme val="minor"/>
      </rPr>
      <t xml:space="preserve"> ο εγω</t>
    </r>
  </si>
  <si>
    <r>
      <t xml:space="preserve">αιτεισθε δυνασθαι </t>
    </r>
    <r>
      <rPr>
        <b/>
        <sz val="11"/>
        <color theme="1"/>
        <rFont val="Calibri"/>
        <family val="2"/>
        <scheme val="minor"/>
      </rPr>
      <t>πειειν το ποτηριον</t>
    </r>
    <r>
      <rPr>
        <sz val="11"/>
        <color theme="1"/>
        <rFont val="Calibri"/>
        <family val="2"/>
        <scheme val="minor"/>
      </rPr>
      <t xml:space="preserve"> ο εγω</t>
    </r>
  </si>
  <si>
    <r>
      <t xml:space="preserve">καθεισαι εκ δεξιων </t>
    </r>
    <r>
      <rPr>
        <b/>
        <sz val="11"/>
        <color theme="1"/>
        <rFont val="Calibri"/>
        <family val="2"/>
        <scheme val="minor"/>
      </rPr>
      <t xml:space="preserve">μου και εξ ευωνυμων </t>
    </r>
    <r>
      <rPr>
        <sz val="11"/>
        <color theme="1"/>
        <rFont val="Calibri"/>
        <family val="2"/>
        <scheme val="minor"/>
      </rPr>
      <t>ουκ εστιν εμον τουτο δουναι</t>
    </r>
  </si>
  <si>
    <r>
      <t xml:space="preserve">καθεισαι εκ δεξιων μου και εξ ευωνυμων ουκ εστιν </t>
    </r>
    <r>
      <rPr>
        <b/>
        <sz val="11"/>
        <color theme="1"/>
        <rFont val="Calibri"/>
        <family val="2"/>
        <scheme val="minor"/>
      </rPr>
      <t>εμον</t>
    </r>
    <r>
      <rPr>
        <sz val="11"/>
        <color theme="1"/>
        <rFont val="Calibri"/>
        <family val="2"/>
        <scheme val="minor"/>
      </rPr>
      <t xml:space="preserve"> τουτο δουναι</t>
    </r>
  </si>
  <si>
    <t>καθισαι εκ δεξιων ουκ εστιν τουτο δουναι</t>
  </si>
  <si>
    <r>
      <rPr>
        <b/>
        <sz val="11"/>
        <color theme="1"/>
        <rFont val="Calibri"/>
        <family val="2"/>
        <scheme val="minor"/>
      </rPr>
      <t>καθεισαι</t>
    </r>
    <r>
      <rPr>
        <sz val="11"/>
        <color theme="1"/>
        <rFont val="Calibri"/>
        <family val="2"/>
        <scheme val="minor"/>
      </rPr>
      <t xml:space="preserve"> εκ δεξιων μου και εξ ευωνυμων ουκ εστιν εμον τουτο δουναι</t>
    </r>
  </si>
  <si>
    <r>
      <rPr>
        <b/>
        <sz val="11"/>
        <color theme="1"/>
        <rFont val="Calibri"/>
        <family val="2"/>
        <scheme val="minor"/>
      </rPr>
      <t>καθισαι</t>
    </r>
    <r>
      <rPr>
        <sz val="11"/>
        <color theme="1"/>
        <rFont val="Calibri"/>
        <family val="2"/>
        <scheme val="minor"/>
      </rPr>
      <t xml:space="preserve"> εκ δεξιων ουκ εστιν τουτο δουναι</t>
    </r>
  </si>
  <si>
    <t>ουχ ουτως</t>
  </si>
  <si>
    <t>θελη εν υμειν</t>
  </si>
  <si>
    <t>θελη εν υμιν</t>
  </si>
  <si>
    <t>ηλθεν διακονηθηναι</t>
  </si>
  <si>
    <t>ηλθε διακονηθηναι</t>
  </si>
  <si>
    <t>συναγε ετι</t>
  </si>
  <si>
    <t>συναγη ετι</t>
  </si>
  <si>
    <r>
      <t xml:space="preserve">αυτοις </t>
    </r>
    <r>
      <rPr>
        <b/>
        <sz val="11"/>
        <color theme="1"/>
        <rFont val="Calibri"/>
        <family val="2"/>
        <scheme val="minor"/>
      </rPr>
      <t>υνα</t>
    </r>
    <r>
      <rPr>
        <sz val="11"/>
        <color theme="1"/>
        <rFont val="Calibri"/>
        <family val="2"/>
        <scheme val="minor"/>
      </rPr>
      <t xml:space="preserve"> σειωπησωσιν</t>
    </r>
  </si>
  <si>
    <r>
      <t xml:space="preserve">αυτοις υνα </t>
    </r>
    <r>
      <rPr>
        <b/>
        <sz val="11"/>
        <color theme="1"/>
        <rFont val="Calibri"/>
        <family val="2"/>
        <scheme val="minor"/>
      </rPr>
      <t>σειωπησωσιν</t>
    </r>
  </si>
  <si>
    <r>
      <t xml:space="preserve">αυτοις ινα </t>
    </r>
    <r>
      <rPr>
        <b/>
        <sz val="11"/>
        <color theme="1"/>
        <rFont val="Calibri"/>
        <family val="2"/>
        <scheme val="minor"/>
      </rPr>
      <t>σιωπησωσιν</t>
    </r>
  </si>
  <si>
    <r>
      <t xml:space="preserve">αυτοις </t>
    </r>
    <r>
      <rPr>
        <b/>
        <sz val="11"/>
        <color theme="1"/>
        <rFont val="Calibri"/>
        <family val="2"/>
        <scheme val="minor"/>
      </rPr>
      <t>ινα</t>
    </r>
    <r>
      <rPr>
        <sz val="11"/>
        <color theme="1"/>
        <rFont val="Calibri"/>
        <family val="2"/>
        <scheme val="minor"/>
      </rPr>
      <t xml:space="preserve"> σιωπησωσιν</t>
    </r>
  </si>
  <si>
    <r>
      <t xml:space="preserve">λεγοντες κε υιε </t>
    </r>
    <r>
      <rPr>
        <b/>
        <sz val="11"/>
        <color theme="1"/>
        <rFont val="Calibri"/>
        <family val="2"/>
        <scheme val="minor"/>
      </rPr>
      <t>δαβειδ</t>
    </r>
    <r>
      <rPr>
        <sz val="11"/>
        <color theme="1"/>
        <rFont val="Calibri"/>
        <family val="2"/>
        <scheme val="minor"/>
      </rPr>
      <t xml:space="preserve"> ελεησον ημας</t>
    </r>
  </si>
  <si>
    <r>
      <t xml:space="preserve">λεγοντες κε ελεησον ημας υιε </t>
    </r>
    <r>
      <rPr>
        <b/>
        <sz val="11"/>
        <color theme="1"/>
        <rFont val="Calibri"/>
        <family val="2"/>
        <scheme val="minor"/>
      </rPr>
      <t>δαυειδ</t>
    </r>
  </si>
  <si>
    <r>
      <t xml:space="preserve">λεγοντες κε </t>
    </r>
    <r>
      <rPr>
        <b/>
        <sz val="11"/>
        <color theme="1"/>
        <rFont val="Calibri"/>
        <family val="2"/>
        <scheme val="minor"/>
      </rPr>
      <t>υιε δαβειδ ελεησον ημας</t>
    </r>
  </si>
  <si>
    <r>
      <t xml:space="preserve">λεγοντες κε </t>
    </r>
    <r>
      <rPr>
        <b/>
        <sz val="11"/>
        <color theme="1"/>
        <rFont val="Calibri"/>
        <family val="2"/>
        <scheme val="minor"/>
      </rPr>
      <t>ελεησον ημας υιε δαυειδ</t>
    </r>
  </si>
  <si>
    <t>ινα οφθαλμοι ημων ανυγωσιν</t>
  </si>
  <si>
    <r>
      <t xml:space="preserve">ινα ανυγωσιν </t>
    </r>
    <r>
      <rPr>
        <b/>
        <sz val="11"/>
        <color theme="1"/>
        <rFont val="Calibri"/>
        <family val="2"/>
        <scheme val="minor"/>
      </rPr>
      <t>οι</t>
    </r>
    <r>
      <rPr>
        <sz val="11"/>
        <color theme="1"/>
        <rFont val="Calibri"/>
        <family val="2"/>
        <scheme val="minor"/>
      </rPr>
      <t xml:space="preserve"> οφθαλμοι ημων</t>
    </r>
  </si>
  <si>
    <r>
      <t xml:space="preserve">ινα </t>
    </r>
    <r>
      <rPr>
        <b/>
        <sz val="11"/>
        <color theme="1"/>
        <rFont val="Calibri"/>
        <family val="2"/>
        <scheme val="minor"/>
      </rPr>
      <t>ανυγωσιν οι οφθαλμοι ημων</t>
    </r>
  </si>
  <si>
    <r>
      <t xml:space="preserve">ινα </t>
    </r>
    <r>
      <rPr>
        <b/>
        <sz val="11"/>
        <color theme="1"/>
        <rFont val="Calibri"/>
        <family val="2"/>
        <scheme val="minor"/>
      </rPr>
      <t>οφθαλμοι ημων ανυγωσιν</t>
    </r>
  </si>
  <si>
    <t>σπλανχνισθε ο ιης</t>
  </si>
  <si>
    <t>σπλαγχνισθεις δε ο ις</t>
  </si>
  <si>
    <t>των ομματων αυτων</t>
  </si>
  <si>
    <t>των οφθαλμων αυτων</t>
  </si>
  <si>
    <t>βηθφαγη</t>
  </si>
  <si>
    <t>μεθ αυτης</t>
  </si>
  <si>
    <t>μετ αυτης</t>
  </si>
  <si>
    <t>(6) ιης (7) και ηγαγον</t>
  </si>
  <si>
    <t>(6) ις (7) ηγαγον</t>
  </si>
  <si>
    <t>επεθηκαν επ αυτον τα ειματεια</t>
  </si>
  <si>
    <t>επεθηκαν αυτων τα ειματεια</t>
  </si>
  <si>
    <r>
      <t xml:space="preserve">λεγοντες </t>
    </r>
    <r>
      <rPr>
        <b/>
        <sz val="11"/>
        <color theme="1"/>
        <rFont val="Calibri"/>
        <family val="2"/>
        <scheme val="minor"/>
      </rPr>
      <t>οσσανα</t>
    </r>
    <r>
      <rPr>
        <sz val="11"/>
        <color theme="1"/>
        <rFont val="Calibri"/>
        <family val="2"/>
        <scheme val="minor"/>
      </rPr>
      <t xml:space="preserve"> τω υιω δαυειδ</t>
    </r>
  </si>
  <si>
    <r>
      <t xml:space="preserve">λεγοντες </t>
    </r>
    <r>
      <rPr>
        <b/>
        <sz val="11"/>
        <color theme="1"/>
        <rFont val="Calibri"/>
        <family val="2"/>
        <scheme val="minor"/>
      </rPr>
      <t>ωσανα</t>
    </r>
    <r>
      <rPr>
        <sz val="11"/>
        <color theme="1"/>
        <rFont val="Calibri"/>
        <family val="2"/>
        <scheme val="minor"/>
      </rPr>
      <t xml:space="preserve"> τω υιω δαβειδ</t>
    </r>
  </si>
  <si>
    <r>
      <t xml:space="preserve">λεγοντες οσσανα τω υιω </t>
    </r>
    <r>
      <rPr>
        <b/>
        <sz val="11"/>
        <color theme="1"/>
        <rFont val="Calibri"/>
        <family val="2"/>
        <scheme val="minor"/>
      </rPr>
      <t>δαυειδ</t>
    </r>
  </si>
  <si>
    <r>
      <t xml:space="preserve">λεγοντες ωσανα τω υιω </t>
    </r>
    <r>
      <rPr>
        <b/>
        <sz val="11"/>
        <color theme="1"/>
        <rFont val="Calibri"/>
        <family val="2"/>
        <scheme val="minor"/>
      </rPr>
      <t>δαβειδ</t>
    </r>
  </si>
  <si>
    <t>Bezae corrects to ωσσανα</t>
  </si>
  <si>
    <t>κατεστρεψεν και</t>
  </si>
  <si>
    <t>κατεστρεψε και</t>
  </si>
  <si>
    <t>γεγραπται οικος</t>
  </si>
  <si>
    <t>γεγραπται ο οικος</t>
  </si>
  <si>
    <t>αυτους (15) ειδοντες</t>
  </si>
  <si>
    <t>αυτους (15) ιδοντες</t>
  </si>
  <si>
    <t>αρχιερεις και οι γραμματεις τα θαυμασια</t>
  </si>
  <si>
    <t>αρχιερεις τα θαυμασια</t>
  </si>
  <si>
    <r>
      <t xml:space="preserve">λεγοντας </t>
    </r>
    <r>
      <rPr>
        <b/>
        <sz val="11"/>
        <color theme="1"/>
        <rFont val="Calibri"/>
        <family val="2"/>
        <scheme val="minor"/>
      </rPr>
      <t>οσσανα</t>
    </r>
    <r>
      <rPr>
        <sz val="11"/>
        <color theme="1"/>
        <rFont val="Calibri"/>
        <family val="2"/>
        <scheme val="minor"/>
      </rPr>
      <t xml:space="preserve"> τω υιω δαυειδ</t>
    </r>
  </si>
  <si>
    <r>
      <t xml:space="preserve">λεγοντας οσσανα τω υιω </t>
    </r>
    <r>
      <rPr>
        <b/>
        <sz val="11"/>
        <color theme="1"/>
        <rFont val="Calibri"/>
        <family val="2"/>
        <scheme val="minor"/>
      </rPr>
      <t>δαυειδ</t>
    </r>
  </si>
  <si>
    <r>
      <t xml:space="preserve">λεγοντας ωσσανα τω υιω </t>
    </r>
    <r>
      <rPr>
        <b/>
        <sz val="11"/>
        <color theme="1"/>
        <rFont val="Calibri"/>
        <family val="2"/>
        <scheme val="minor"/>
      </rPr>
      <t>δαβειδ</t>
    </r>
  </si>
  <si>
    <r>
      <t xml:space="preserve">λεγοντας </t>
    </r>
    <r>
      <rPr>
        <b/>
        <sz val="11"/>
        <color theme="1"/>
        <rFont val="Calibri"/>
        <family val="2"/>
        <scheme val="minor"/>
      </rPr>
      <t>ωσανα</t>
    </r>
    <r>
      <rPr>
        <sz val="11"/>
        <color theme="1"/>
        <rFont val="Calibri"/>
        <family val="2"/>
        <scheme val="minor"/>
      </rPr>
      <t xml:space="preserve"> τω υιω δαβειδ</t>
    </r>
  </si>
  <si>
    <t>λεγει αυτω ναι</t>
  </si>
  <si>
    <t>λεγει αυτοις ναι</t>
  </si>
  <si>
    <t>ανεγνωτε εκ στοματος νηπειων</t>
  </si>
  <si>
    <r>
      <t xml:space="preserve">ανεγνωτε </t>
    </r>
    <r>
      <rPr>
        <b/>
        <sz val="11"/>
        <color theme="1"/>
        <rFont val="Calibri"/>
        <family val="2"/>
        <scheme val="minor"/>
      </rPr>
      <t>οτι</t>
    </r>
    <r>
      <rPr>
        <sz val="11"/>
        <color theme="1"/>
        <rFont val="Calibri"/>
        <family val="2"/>
        <scheme val="minor"/>
      </rPr>
      <t xml:space="preserve"> εκ του στοματος νηπειων</t>
    </r>
  </si>
  <si>
    <r>
      <t xml:space="preserve">ανεγνωτε οτι εκ </t>
    </r>
    <r>
      <rPr>
        <b/>
        <sz val="11"/>
        <color theme="1"/>
        <rFont val="Calibri"/>
        <family val="2"/>
        <scheme val="minor"/>
      </rPr>
      <t>του</t>
    </r>
    <r>
      <rPr>
        <sz val="11"/>
        <color theme="1"/>
        <rFont val="Calibri"/>
        <family val="2"/>
        <scheme val="minor"/>
      </rPr>
      <t xml:space="preserve"> στοματος νηπειων</t>
    </r>
  </si>
  <si>
    <t>εξ ου καρπος</t>
  </si>
  <si>
    <t>εκ σου καρπος</t>
  </si>
  <si>
    <t>εξηρανθη η συκη</t>
  </si>
  <si>
    <t>Bezae corrects by omitting the article, B.10.3 does not follow</t>
  </si>
  <si>
    <t>οσα αιτητετε</t>
  </si>
  <si>
    <r>
      <t xml:space="preserve">οσα </t>
    </r>
    <r>
      <rPr>
        <b/>
        <sz val="11"/>
        <color theme="1"/>
        <rFont val="Calibri"/>
        <family val="2"/>
        <scheme val="minor"/>
      </rPr>
      <t>αν</t>
    </r>
    <r>
      <rPr>
        <sz val="11"/>
        <color theme="1"/>
        <rFont val="Calibri"/>
        <family val="2"/>
        <scheme val="minor"/>
      </rPr>
      <t xml:space="preserve"> αιτησητε</t>
    </r>
  </si>
  <si>
    <r>
      <t xml:space="preserve">οσα </t>
    </r>
    <r>
      <rPr>
        <b/>
        <sz val="11"/>
        <color theme="1"/>
        <rFont val="Calibri"/>
        <family val="2"/>
        <scheme val="minor"/>
      </rPr>
      <t>αιτητετε</t>
    </r>
  </si>
  <si>
    <r>
      <t xml:space="preserve">οσα αν </t>
    </r>
    <r>
      <rPr>
        <b/>
        <sz val="11"/>
        <color theme="1"/>
        <rFont val="Calibri"/>
        <family val="2"/>
        <scheme val="minor"/>
      </rPr>
      <t>αιτησητε</t>
    </r>
  </si>
  <si>
    <t>Not convinced there's actually a correction in Bezae: ink is faded and letters from opposite page are impressed; final reading = B.10.3</t>
  </si>
  <si>
    <t>λογον εαν ειπητε</t>
  </si>
  <si>
    <t>λογον ον εαν ειπητε</t>
  </si>
  <si>
    <t>δια τι ουκ επιστευσατε</t>
  </si>
  <si>
    <t>δια τι ουν ουκ επιστευσατε</t>
  </si>
  <si>
    <t>ειχεν τεκνα</t>
  </si>
  <si>
    <t>ειχε τεκνα</t>
  </si>
  <si>
    <t>εις το αμπελωνα (29) ο δε</t>
  </si>
  <si>
    <r>
      <t xml:space="preserve">εις </t>
    </r>
    <r>
      <rPr>
        <b/>
        <sz val="11"/>
        <color theme="1"/>
        <rFont val="Calibri"/>
        <family val="2"/>
        <scheme val="minor"/>
      </rPr>
      <t>το</t>
    </r>
    <r>
      <rPr>
        <sz val="11"/>
        <color theme="1"/>
        <rFont val="Calibri"/>
        <family val="2"/>
        <scheme val="minor"/>
      </rPr>
      <t xml:space="preserve"> αμπελωνα (29) ο δε</t>
    </r>
  </si>
  <si>
    <r>
      <t xml:space="preserve">εις </t>
    </r>
    <r>
      <rPr>
        <b/>
        <sz val="11"/>
        <color theme="1"/>
        <rFont val="Calibri"/>
        <family val="2"/>
        <scheme val="minor"/>
      </rPr>
      <t>την</t>
    </r>
    <r>
      <rPr>
        <sz val="11"/>
        <color theme="1"/>
        <rFont val="Calibri"/>
        <family val="2"/>
        <scheme val="minor"/>
      </rPr>
      <t xml:space="preserve"> αμπελωνα μου (29) ο δε</t>
    </r>
  </si>
  <si>
    <r>
      <t xml:space="preserve">εις την αμπελωνα </t>
    </r>
    <r>
      <rPr>
        <b/>
        <sz val="11"/>
        <color theme="1"/>
        <rFont val="Calibri"/>
        <family val="2"/>
        <scheme val="minor"/>
      </rPr>
      <t>μου</t>
    </r>
    <r>
      <rPr>
        <sz val="11"/>
        <color theme="1"/>
        <rFont val="Calibri"/>
        <family val="2"/>
        <scheme val="minor"/>
      </rPr>
      <t xml:space="preserve"> (29) ο δε</t>
    </r>
  </si>
  <si>
    <t>Bezae corrects to τον</t>
  </si>
  <si>
    <t xml:space="preserve"> υστερον δε μεταμεταμεληθεις</t>
  </si>
  <si>
    <t xml:space="preserve"> υστερον δε μεταμεληθεις</t>
  </si>
  <si>
    <t>προσελθων δε τω ετερω</t>
  </si>
  <si>
    <t>προσελθων τω ετερω</t>
  </si>
  <si>
    <t>ειπεν εγω υπαγω κυριε (31) τις εκ των</t>
  </si>
  <si>
    <r>
      <t xml:space="preserve">ειπεν εγω </t>
    </r>
    <r>
      <rPr>
        <b/>
        <sz val="11"/>
        <color theme="1"/>
        <rFont val="Calibri"/>
        <family val="2"/>
        <scheme val="minor"/>
      </rPr>
      <t>κε υπαγω</t>
    </r>
    <r>
      <rPr>
        <sz val="11"/>
        <color theme="1"/>
        <rFont val="Calibri"/>
        <family val="2"/>
        <scheme val="minor"/>
      </rPr>
      <t xml:space="preserve"> και ουκ απηλθεν (31) τις εκ των</t>
    </r>
  </si>
  <si>
    <r>
      <t xml:space="preserve">ειπεν εγω </t>
    </r>
    <r>
      <rPr>
        <b/>
        <sz val="11"/>
        <color theme="1"/>
        <rFont val="Calibri"/>
        <family val="2"/>
        <scheme val="minor"/>
      </rPr>
      <t>υπαγω κυριε</t>
    </r>
    <r>
      <rPr>
        <sz val="11"/>
        <color theme="1"/>
        <rFont val="Calibri"/>
        <family val="2"/>
        <scheme val="minor"/>
      </rPr>
      <t xml:space="preserve"> (31) τις εκ των</t>
    </r>
  </si>
  <si>
    <r>
      <t xml:space="preserve">ειπεν εγω κε υπαγω </t>
    </r>
    <r>
      <rPr>
        <b/>
        <sz val="11"/>
        <color theme="1"/>
        <rFont val="Calibri"/>
        <family val="2"/>
        <scheme val="minor"/>
      </rPr>
      <t>και ουκ απηλθεν</t>
    </r>
    <r>
      <rPr>
        <sz val="11"/>
        <color theme="1"/>
        <rFont val="Calibri"/>
        <family val="2"/>
        <scheme val="minor"/>
      </rPr>
      <t xml:space="preserve"> (31) τις εκ των</t>
    </r>
  </si>
  <si>
    <t xml:space="preserve"> δε ειδοντες</t>
  </si>
  <si>
    <t>δε ιδοντες</t>
  </si>
  <si>
    <t>περιεθηκεν και</t>
  </si>
  <si>
    <t>περιεθηκε και</t>
  </si>
  <si>
    <t>εδειραν ο δε</t>
  </si>
  <si>
    <t>εδειραν ον δε</t>
  </si>
  <si>
    <t>απεστειλεν προς αυτοις</t>
  </si>
  <si>
    <t>απεστειλεν αυτοις</t>
  </si>
  <si>
    <t>τον αμπελωνα</t>
  </si>
  <si>
    <t>την αμπελωνα</t>
  </si>
  <si>
    <t>οφθαλμοις υμων</t>
  </si>
  <si>
    <t>οφθαλμοις ημων</t>
  </si>
  <si>
    <t>οι δε επι την εμπορειαν</t>
  </si>
  <si>
    <t>οι δε εις την εμπορειαν</t>
  </si>
  <si>
    <t>αυτω ετεραι πως</t>
  </si>
  <si>
    <t>αυτω εταιρε πως</t>
  </si>
  <si>
    <t>επ αληθεια διδασκεις</t>
  </si>
  <si>
    <t>Bezae corrects αληθεια -&gt; αληθειας, B.10.3 does not follow</t>
  </si>
  <si>
    <t>(19) δηναριον (20) λεγει</t>
  </si>
  <si>
    <t>(19) δηναριον (20) και λεγει</t>
  </si>
  <si>
    <t>αφηκεν την γυναικα</t>
  </si>
  <si>
    <t>αφηκε την γυναικα</t>
  </si>
  <si>
    <t>των επτα γυνη</t>
  </si>
  <si>
    <t>των επτα και η γυνη</t>
  </si>
  <si>
    <t>αλλα ως</t>
  </si>
  <si>
    <t>αλλ ως</t>
  </si>
  <si>
    <t>επ αυτον (35) και</t>
  </si>
  <si>
    <t>επ αυτο (35) και</t>
  </si>
  <si>
    <t>ποια εντολη εν τω νομω μεγαλη (37) εφη</t>
  </si>
  <si>
    <t>ποια εν τω νομω μεγαλη εντολη</t>
  </si>
  <si>
    <t>ομοια ταυτη</t>
  </si>
  <si>
    <t>Bezae seems to correct ταυτη -&gt; αυτη, Β.10.3 does not follow</t>
  </si>
  <si>
    <t>ελαλησεν ο ιης</t>
  </si>
  <si>
    <t>ελαλησεν ιησους</t>
  </si>
  <si>
    <t>παντα ουν παντα ουν οσα</t>
  </si>
  <si>
    <t>παντα ουν οσα</t>
  </si>
  <si>
    <t>ειπωσιν ποιειτε και τηρειτε κατα</t>
  </si>
  <si>
    <t>ειπωσιν τηρειτε και ποιειτε κατα</t>
  </si>
  <si>
    <t>δεσμευουσιν γαρ φορτεια</t>
  </si>
  <si>
    <t>και αδυσβαστακτα</t>
  </si>
  <si>
    <t>και δυσβαστακτα</t>
  </si>
  <si>
    <r>
      <t xml:space="preserve">φιλουσιν </t>
    </r>
    <r>
      <rPr>
        <b/>
        <sz val="11"/>
        <color theme="1"/>
        <rFont val="Calibri"/>
        <family val="2"/>
        <scheme val="minor"/>
      </rPr>
      <t>δε</t>
    </r>
    <r>
      <rPr>
        <sz val="11"/>
        <color theme="1"/>
        <rFont val="Calibri"/>
        <family val="2"/>
        <scheme val="minor"/>
      </rPr>
      <t xml:space="preserve"> την την πρωκλεισιαν</t>
    </r>
  </si>
  <si>
    <r>
      <t xml:space="preserve">φιλουσιν δε </t>
    </r>
    <r>
      <rPr>
        <b/>
        <sz val="11"/>
        <color theme="1"/>
        <rFont val="Calibri"/>
        <family val="2"/>
        <scheme val="minor"/>
      </rPr>
      <t>την</t>
    </r>
    <r>
      <rPr>
        <sz val="11"/>
        <color theme="1"/>
        <rFont val="Calibri"/>
        <family val="2"/>
        <scheme val="minor"/>
      </rPr>
      <t xml:space="preserve"> την πρωκλεισιαν</t>
    </r>
  </si>
  <si>
    <t>και τους ασπασμους</t>
  </si>
  <si>
    <t>και ασπασμους</t>
  </si>
  <si>
    <t>εν ουρανοις</t>
  </si>
  <si>
    <t>εν τοις ουρανοις</t>
  </si>
  <si>
    <t>τυφλοι λεγοντες</t>
  </si>
  <si>
    <t>τυφλοι οι λεγοντες</t>
  </si>
  <si>
    <t>εστιν ος δ αν</t>
  </si>
  <si>
    <t>εστιν ος δε αν</t>
  </si>
  <si>
    <t>μειζω εστιν</t>
  </si>
  <si>
    <t>μειζων εστιν</t>
  </si>
  <si>
    <t>μειζω το δωρον η το θυσιαστηριον το αγιαζον το δωρον (20) ο ουν</t>
  </si>
  <si>
    <r>
      <rPr>
        <b/>
        <sz val="11"/>
        <color theme="1"/>
        <rFont val="Calibri"/>
        <family val="2"/>
        <scheme val="minor"/>
      </rPr>
      <t>μειζω</t>
    </r>
    <r>
      <rPr>
        <sz val="11"/>
        <color theme="1"/>
        <rFont val="Calibri"/>
        <family val="2"/>
        <scheme val="minor"/>
      </rPr>
      <t xml:space="preserve"> το δωρον η το θυσιαστηριον το αγιαζον το δωρον (20) ο ουν</t>
    </r>
  </si>
  <si>
    <r>
      <rPr>
        <b/>
        <sz val="11"/>
        <color theme="1"/>
        <rFont val="Calibri"/>
        <family val="2"/>
        <scheme val="minor"/>
      </rPr>
      <t>μειζο</t>
    </r>
    <r>
      <rPr>
        <sz val="11"/>
        <color theme="1"/>
        <rFont val="Calibri"/>
        <family val="2"/>
        <scheme val="minor"/>
      </rPr>
      <t xml:space="preserve"> το δωρον η το θυσιαστηριον το αγιαζον το δωρον η το θυσιαστηριον το αγιαζον το δωρον (20) ο ουν</t>
    </r>
  </si>
  <si>
    <r>
      <t xml:space="preserve">μειζο το δωρον η το θυσιαστηριον το αγιαζον το δωρον </t>
    </r>
    <r>
      <rPr>
        <b/>
        <sz val="11"/>
        <color theme="1"/>
        <rFont val="Calibri"/>
        <family val="2"/>
        <scheme val="minor"/>
      </rPr>
      <t>η το θυσιαστηριον το αγιαζον το δωρον</t>
    </r>
    <r>
      <rPr>
        <sz val="11"/>
        <color theme="1"/>
        <rFont val="Calibri"/>
        <family val="2"/>
        <scheme val="minor"/>
      </rPr>
      <t xml:space="preserve"> (20) ο ουν</t>
    </r>
  </si>
  <si>
    <t>φαρισαιο υποκριται</t>
  </si>
  <si>
    <t>φαρισαιοι υποκριται</t>
  </si>
  <si>
    <t>τυφλοι διυλιζοντες</t>
  </si>
  <si>
    <t>τυφλοι οι διυλιζοντες</t>
  </si>
  <si>
    <t>κωνωπα τον δε καμηλον</t>
  </si>
  <si>
    <t>κωνωπα την δε καμηλον</t>
  </si>
  <si>
    <t>κεκονιαμενοις εξωθεν ο ταφος φαινετε</t>
  </si>
  <si>
    <t>κεκονιαμενοις ο ταφος εξωθεν φαινετε</t>
  </si>
  <si>
    <t>υμεις επληρωσατε</t>
  </si>
  <si>
    <t>υμεις πληρωσατε</t>
  </si>
  <si>
    <t>νοσσεια αυτης</t>
  </si>
  <si>
    <t>νοσσεια εαυτης</t>
  </si>
  <si>
    <t>οικος []μων ερημος</t>
  </si>
  <si>
    <t>οικος υμων ο ερημος</t>
  </si>
  <si>
    <t>υμειν οτι ου μη</t>
  </si>
  <si>
    <t>υμειν ου μη</t>
  </si>
  <si>
    <t>και τι το σημειον</t>
  </si>
  <si>
    <t>και τι τι το σημειον</t>
  </si>
  <si>
    <t>ακοας των πολεμων</t>
  </si>
  <si>
    <t>ακοας πολεμων</t>
  </si>
  <si>
    <t>αρχη οδυνων</t>
  </si>
  <si>
    <t>αρχη ωδινων</t>
  </si>
  <si>
    <t>παντων εθνων</t>
  </si>
  <si>
    <t>παντων των εθνων</t>
  </si>
  <si>
    <t>ουν ειδητε</t>
  </si>
  <si>
    <t>ουν ιδητε</t>
  </si>
  <si>
    <t>δανιηλου του προφητου</t>
  </si>
  <si>
    <t>δανιηλ του προφητου</t>
  </si>
  <si>
    <t>εστως εν τοπω</t>
  </si>
  <si>
    <r>
      <rPr>
        <b/>
        <sz val="11"/>
        <color theme="1"/>
        <rFont val="Calibri"/>
        <family val="2"/>
        <scheme val="minor"/>
      </rPr>
      <t>εστως</t>
    </r>
    <r>
      <rPr>
        <sz val="11"/>
        <color theme="1"/>
        <rFont val="Calibri"/>
        <family val="2"/>
        <scheme val="minor"/>
      </rPr>
      <t xml:space="preserve"> εν τοπω</t>
    </r>
  </si>
  <si>
    <r>
      <rPr>
        <b/>
        <sz val="11"/>
        <color theme="1"/>
        <rFont val="Calibri"/>
        <family val="2"/>
        <scheme val="minor"/>
      </rPr>
      <t>εστος</t>
    </r>
    <r>
      <rPr>
        <sz val="11"/>
        <color theme="1"/>
        <rFont val="Calibri"/>
        <family val="2"/>
        <scheme val="minor"/>
      </rPr>
      <t xml:space="preserve"> εν τω τοπω</t>
    </r>
  </si>
  <si>
    <r>
      <t xml:space="preserve">εστος εν </t>
    </r>
    <r>
      <rPr>
        <b/>
        <sz val="11"/>
        <color theme="1"/>
        <rFont val="Calibri"/>
        <family val="2"/>
        <scheme val="minor"/>
      </rPr>
      <t>τω</t>
    </r>
    <r>
      <rPr>
        <sz val="11"/>
        <color theme="1"/>
        <rFont val="Calibri"/>
        <family val="2"/>
        <scheme val="minor"/>
      </rPr>
      <t xml:space="preserve"> τοπω</t>
    </r>
  </si>
  <si>
    <t>ο δε επι</t>
  </si>
  <si>
    <t>ο επι</t>
  </si>
  <si>
    <t>μη γενοιτο (22) και</t>
  </si>
  <si>
    <t>μη γενηται (22) και</t>
  </si>
  <si>
    <t>δωσουσιν σημεια</t>
  </si>
  <si>
    <t>δωσουσι σημεια</t>
  </si>
  <si>
    <t>δυνατον και τους εκλεκτους</t>
  </si>
  <si>
    <t>δυνατον τους εκλεκτους</t>
  </si>
  <si>
    <t>φαινει εως</t>
  </si>
  <si>
    <t>φαινεται εως</t>
  </si>
  <si>
    <t>δυναμεις των ουρανων σαλευθησονται</t>
  </si>
  <si>
    <t>δυναμεις του ουρανου σαλευθησονται</t>
  </si>
  <si>
    <t>ανθρωπου του εν ουρανοις</t>
  </si>
  <si>
    <t>ανθρωπου εν τοις ουρανοις</t>
  </si>
  <si>
    <r>
      <t xml:space="preserve">ανθρωπου </t>
    </r>
    <r>
      <rPr>
        <b/>
        <sz val="11"/>
        <color theme="1"/>
        <rFont val="Calibri"/>
        <family val="2"/>
        <scheme val="minor"/>
      </rPr>
      <t>του</t>
    </r>
    <r>
      <rPr>
        <sz val="11"/>
        <color theme="1"/>
        <rFont val="Calibri"/>
        <family val="2"/>
        <scheme val="minor"/>
      </rPr>
      <t xml:space="preserve"> εν ουρανοις</t>
    </r>
  </si>
  <si>
    <r>
      <t xml:space="preserve">ανθρωπου εν </t>
    </r>
    <r>
      <rPr>
        <b/>
        <sz val="11"/>
        <color theme="1"/>
        <rFont val="Calibri"/>
        <family val="2"/>
        <scheme val="minor"/>
      </rPr>
      <t>τοις</t>
    </r>
    <r>
      <rPr>
        <sz val="11"/>
        <color theme="1"/>
        <rFont val="Calibri"/>
        <family val="2"/>
        <scheme val="minor"/>
      </rPr>
      <t xml:space="preserve"> ουρανοις</t>
    </r>
  </si>
  <si>
    <t>δυναμεως πολλης και δοξης (31) και</t>
  </si>
  <si>
    <t>δυναμεως και δοξης πολλης (31) και</t>
  </si>
  <si>
    <t>επισυναξουσιν τους εκλεκτους</t>
  </si>
  <si>
    <t>επισυναξουσι τους εκλεκτους</t>
  </si>
  <si>
    <t>εως ακρων αυτων (32) απο δε</t>
  </si>
  <si>
    <t>εως ακρων αυτων αρχομενων δε τουτων γεινεσθαι αναβλεψατε και επαρατε τας κεφαλας υμων διοτι εγγειζει η απολυτρωσεις υμων (32) απο δε</t>
  </si>
  <si>
    <t>ουδεις οιδεν</t>
  </si>
  <si>
    <t>ουδεις ειδεν</t>
  </si>
  <si>
    <t>ημερας εισηλθεν</t>
  </si>
  <si>
    <t>ημερας ειηλθεν</t>
  </si>
  <si>
    <r>
      <t xml:space="preserve">ημερας </t>
    </r>
    <r>
      <rPr>
        <b/>
        <sz val="11"/>
        <color theme="1"/>
        <rFont val="Calibri"/>
        <family val="2"/>
        <scheme val="minor"/>
      </rPr>
      <t>εισηλθεν</t>
    </r>
  </si>
  <si>
    <r>
      <t xml:space="preserve">ημερας </t>
    </r>
    <r>
      <rPr>
        <b/>
        <sz val="11"/>
        <color theme="1"/>
        <rFont val="Calibri"/>
        <family val="2"/>
        <scheme val="minor"/>
      </rPr>
      <t>ειηλθεν</t>
    </r>
  </si>
  <si>
    <t>γεινεσθαι ετοιμοι</t>
  </si>
  <si>
    <t>γεινεσθε ετοιμοι</t>
  </si>
  <si>
    <r>
      <t xml:space="preserve">οτι </t>
    </r>
    <r>
      <rPr>
        <b/>
        <sz val="11"/>
        <color theme="1"/>
        <rFont val="Calibri"/>
        <family val="2"/>
        <scheme val="minor"/>
      </rPr>
      <t>η</t>
    </r>
    <r>
      <rPr>
        <sz val="11"/>
        <color theme="1"/>
        <rFont val="Calibri"/>
        <family val="2"/>
        <scheme val="minor"/>
      </rPr>
      <t xml:space="preserve"> ου δοκειται ωρα</t>
    </r>
  </si>
  <si>
    <r>
      <t xml:space="preserve">οτι η ου </t>
    </r>
    <r>
      <rPr>
        <b/>
        <sz val="11"/>
        <color theme="1"/>
        <rFont val="Calibri"/>
        <family val="2"/>
        <scheme val="minor"/>
      </rPr>
      <t>δοκειται</t>
    </r>
    <r>
      <rPr>
        <sz val="11"/>
        <color theme="1"/>
        <rFont val="Calibri"/>
        <family val="2"/>
        <scheme val="minor"/>
      </rPr>
      <t xml:space="preserve"> ωρα</t>
    </r>
  </si>
  <si>
    <r>
      <t xml:space="preserve">οτι η ου </t>
    </r>
    <r>
      <rPr>
        <b/>
        <sz val="11"/>
        <color theme="1"/>
        <rFont val="Calibri"/>
        <family val="2"/>
        <scheme val="minor"/>
      </rPr>
      <t>δοκειτε</t>
    </r>
    <r>
      <rPr>
        <sz val="11"/>
        <color theme="1"/>
        <rFont val="Calibri"/>
        <family val="2"/>
        <scheme val="minor"/>
      </rPr>
      <t xml:space="preserve"> η ωρα</t>
    </r>
  </si>
  <si>
    <t>τις γαρ εστιν</t>
  </si>
  <si>
    <t>τις αρα εστιν</t>
  </si>
  <si>
    <t>εσθιη δε</t>
  </si>
  <si>
    <t>εσθιειν δε</t>
  </si>
  <si>
    <t>και πεινη μετα</t>
  </si>
  <si>
    <t>και πινειν μετα</t>
  </si>
  <si>
    <t>εν ωρα η ου</t>
  </si>
  <si>
    <t>εν ημερα η ου</t>
  </si>
  <si>
    <r>
      <t xml:space="preserve">λαβουσαι </t>
    </r>
    <r>
      <rPr>
        <b/>
        <sz val="11"/>
        <color theme="1"/>
        <rFont val="Calibri"/>
        <family val="2"/>
        <scheme val="minor"/>
      </rPr>
      <t>τας</t>
    </r>
    <r>
      <rPr>
        <sz val="11"/>
        <color theme="1"/>
        <rFont val="Calibri"/>
        <family val="2"/>
        <scheme val="minor"/>
      </rPr>
      <t xml:space="preserve"> λαμπαδας εαυτων</t>
    </r>
  </si>
  <si>
    <r>
      <t xml:space="preserve">λαβουσαι </t>
    </r>
    <r>
      <rPr>
        <b/>
        <sz val="11"/>
        <color theme="1"/>
        <rFont val="Calibri"/>
        <family val="2"/>
        <scheme val="minor"/>
      </rPr>
      <t>ται</t>
    </r>
    <r>
      <rPr>
        <sz val="11"/>
        <color theme="1"/>
        <rFont val="Calibri"/>
        <family val="2"/>
        <scheme val="minor"/>
      </rPr>
      <t xml:space="preserve"> λαμπαδας αυτων</t>
    </r>
  </si>
  <si>
    <r>
      <t xml:space="preserve">λαβουσαι τας λαμπαδας </t>
    </r>
    <r>
      <rPr>
        <b/>
        <sz val="11"/>
        <color theme="1"/>
        <rFont val="Calibri"/>
        <family val="2"/>
        <scheme val="minor"/>
      </rPr>
      <t>εαυτων</t>
    </r>
  </si>
  <si>
    <r>
      <t xml:space="preserve">λαβουσαι ται λαμπαδας </t>
    </r>
    <r>
      <rPr>
        <b/>
        <sz val="11"/>
        <color theme="1"/>
        <rFont val="Calibri"/>
        <family val="2"/>
        <scheme val="minor"/>
      </rPr>
      <t>αυτων</t>
    </r>
  </si>
  <si>
    <t>εξερχεσθαι</t>
  </si>
  <si>
    <t>παρθενοι εκειναι και</t>
  </si>
  <si>
    <t>παρθενοι και</t>
  </si>
  <si>
    <t>δε οι φρονιμοι</t>
  </si>
  <si>
    <t>δε αι φρονιμοι</t>
  </si>
  <si>
    <r>
      <t xml:space="preserve">μη </t>
    </r>
    <r>
      <rPr>
        <b/>
        <sz val="11"/>
        <color theme="1"/>
        <rFont val="Calibri"/>
        <family val="2"/>
        <scheme val="minor"/>
      </rPr>
      <t>αρκεση</t>
    </r>
    <r>
      <rPr>
        <sz val="11"/>
        <color theme="1"/>
        <rFont val="Calibri"/>
        <family val="2"/>
        <scheme val="minor"/>
      </rPr>
      <t xml:space="preserve"> ημιν</t>
    </r>
  </si>
  <si>
    <r>
      <t xml:space="preserve">μη </t>
    </r>
    <r>
      <rPr>
        <b/>
        <sz val="11"/>
        <color theme="1"/>
        <rFont val="Calibri"/>
        <family val="2"/>
        <scheme val="minor"/>
      </rPr>
      <t>αρκεσει</t>
    </r>
    <r>
      <rPr>
        <sz val="11"/>
        <color theme="1"/>
        <rFont val="Calibri"/>
        <family val="2"/>
        <scheme val="minor"/>
      </rPr>
      <t xml:space="preserve"> ημειν</t>
    </r>
  </si>
  <si>
    <r>
      <t xml:space="preserve">μη αρκεση </t>
    </r>
    <r>
      <rPr>
        <b/>
        <sz val="11"/>
        <color theme="1"/>
        <rFont val="Calibri"/>
        <family val="2"/>
        <scheme val="minor"/>
      </rPr>
      <t>ημιν</t>
    </r>
  </si>
  <si>
    <r>
      <t xml:space="preserve">μη αρκεσει </t>
    </r>
    <r>
      <rPr>
        <b/>
        <sz val="11"/>
        <color theme="1"/>
        <rFont val="Calibri"/>
        <family val="2"/>
        <scheme val="minor"/>
      </rPr>
      <t>ημειν</t>
    </r>
  </si>
  <si>
    <t>not convinced there is a correction here, space would suggest αρκεσει is original Bezae</t>
  </si>
  <si>
    <t>ε ταλαντα ω δε β ω δε ενα εκαστω</t>
  </si>
  <si>
    <t>ε ταλαντα ω δε ενα εκαστω</t>
  </si>
  <si>
    <t>πιστε επι επ ολιγα</t>
  </si>
  <si>
    <t>πιστε επ ολιγα</t>
  </si>
  <si>
    <t>ταλαντα επεκερδησα (23) εφη</t>
  </si>
  <si>
    <r>
      <t xml:space="preserve">ταλαντα </t>
    </r>
    <r>
      <rPr>
        <b/>
        <sz val="11"/>
        <color theme="1"/>
        <rFont val="Calibri"/>
        <family val="2"/>
        <scheme val="minor"/>
      </rPr>
      <t>επεκερδησα</t>
    </r>
    <r>
      <rPr>
        <sz val="11"/>
        <color theme="1"/>
        <rFont val="Calibri"/>
        <family val="2"/>
        <scheme val="minor"/>
      </rPr>
      <t xml:space="preserve"> (23) εφη</t>
    </r>
  </si>
  <si>
    <r>
      <t xml:space="preserve">ταλαντα </t>
    </r>
    <r>
      <rPr>
        <b/>
        <sz val="11"/>
        <color theme="1"/>
        <rFont val="Calibri"/>
        <family val="2"/>
        <scheme val="minor"/>
      </rPr>
      <t>εκερδησα</t>
    </r>
    <r>
      <rPr>
        <sz val="11"/>
        <color theme="1"/>
        <rFont val="Calibri"/>
        <family val="2"/>
        <scheme val="minor"/>
      </rPr>
      <t xml:space="preserve"> επ αυτοις (23) εφη</t>
    </r>
  </si>
  <si>
    <r>
      <t xml:space="preserve">ταλαντα εκερδησα </t>
    </r>
    <r>
      <rPr>
        <b/>
        <sz val="11"/>
        <color theme="1"/>
        <rFont val="Calibri"/>
        <family val="2"/>
        <scheme val="minor"/>
      </rPr>
      <t>επ αυτοις</t>
    </r>
    <r>
      <rPr>
        <sz val="11"/>
        <color theme="1"/>
        <rFont val="Calibri"/>
        <family val="2"/>
        <scheme val="minor"/>
      </rPr>
      <t xml:space="preserve"> (23) εφη</t>
    </r>
  </si>
  <si>
    <t>προσελθων δε ο το ενα ταλαντον</t>
  </si>
  <si>
    <t>προσελθων δε και ο εν ταλαντον</t>
  </si>
  <si>
    <r>
      <t xml:space="preserve">προσελθων δε </t>
    </r>
    <r>
      <rPr>
        <b/>
        <sz val="11"/>
        <color theme="1"/>
        <rFont val="Calibri"/>
        <family val="2"/>
        <scheme val="minor"/>
      </rPr>
      <t>και</t>
    </r>
    <r>
      <rPr>
        <sz val="11"/>
        <color theme="1"/>
        <rFont val="Calibri"/>
        <family val="2"/>
        <scheme val="minor"/>
      </rPr>
      <t xml:space="preserve"> ο εν ταλαντον</t>
    </r>
  </si>
  <si>
    <r>
      <t xml:space="preserve">προσελθων δε ο </t>
    </r>
    <r>
      <rPr>
        <b/>
        <sz val="11"/>
        <color theme="1"/>
        <rFont val="Calibri"/>
        <family val="2"/>
        <scheme val="minor"/>
      </rPr>
      <t>το</t>
    </r>
    <r>
      <rPr>
        <sz val="11"/>
        <color theme="1"/>
        <rFont val="Calibri"/>
        <family val="2"/>
        <scheme val="minor"/>
      </rPr>
      <t xml:space="preserve"> ενα ταλαντον</t>
    </r>
  </si>
  <si>
    <r>
      <t xml:space="preserve">προσελθων δε ο το </t>
    </r>
    <r>
      <rPr>
        <b/>
        <sz val="11"/>
        <color theme="1"/>
        <rFont val="Calibri"/>
        <family val="2"/>
        <scheme val="minor"/>
      </rPr>
      <t>ενα</t>
    </r>
    <r>
      <rPr>
        <sz val="11"/>
        <color theme="1"/>
        <rFont val="Calibri"/>
        <family val="2"/>
        <scheme val="minor"/>
      </rPr>
      <t xml:space="preserve"> ταλαντον</t>
    </r>
  </si>
  <si>
    <r>
      <t xml:space="preserve">προσελθων δε και ο </t>
    </r>
    <r>
      <rPr>
        <b/>
        <sz val="11"/>
        <color theme="1"/>
        <rFont val="Calibri"/>
        <family val="2"/>
        <scheme val="minor"/>
      </rPr>
      <t>εν</t>
    </r>
    <r>
      <rPr>
        <sz val="11"/>
        <color theme="1"/>
        <rFont val="Calibri"/>
        <family val="2"/>
        <scheme val="minor"/>
      </rPr>
      <t xml:space="preserve"> ταλαντον</t>
    </r>
  </si>
  <si>
    <t>συναγων οπου ου διεσκορπισας</t>
  </si>
  <si>
    <t>συναγων οθεν ου διεσκορπισας</t>
  </si>
  <si>
    <t>συναγω οθεν ου διεσκορπισα</t>
  </si>
  <si>
    <t>συναγω οπου ου διεσκορπισα</t>
  </si>
  <si>
    <t>εκομισαμην αν το εμον</t>
  </si>
  <si>
    <t>εκομισαμην το εμον</t>
  </si>
  <si>
    <t>εχοντι δοθησεται</t>
  </si>
  <si>
    <t>εχοντι παντι δοθησεται</t>
  </si>
  <si>
    <t>του δε μη εχοντος</t>
  </si>
  <si>
    <t>του μη εχοντος</t>
  </si>
  <si>
    <t>δουλον εκβαλλεται εις το σκοτος</t>
  </si>
  <si>
    <r>
      <t xml:space="preserve">δουλον </t>
    </r>
    <r>
      <rPr>
        <b/>
        <sz val="11"/>
        <color theme="1"/>
        <rFont val="Calibri"/>
        <family val="2"/>
        <scheme val="minor"/>
      </rPr>
      <t>βαλεται</t>
    </r>
    <r>
      <rPr>
        <sz val="11"/>
        <color theme="1"/>
        <rFont val="Calibri"/>
        <family val="2"/>
        <scheme val="minor"/>
      </rPr>
      <t xml:space="preserve"> εξω εις το σκοτος</t>
    </r>
  </si>
  <si>
    <r>
      <t xml:space="preserve">δουλον </t>
    </r>
    <r>
      <rPr>
        <b/>
        <sz val="11"/>
        <color theme="1"/>
        <rFont val="Calibri"/>
        <family val="2"/>
        <scheme val="minor"/>
      </rPr>
      <t>εκβαλλεται</t>
    </r>
    <r>
      <rPr>
        <sz val="11"/>
        <color theme="1"/>
        <rFont val="Calibri"/>
        <family val="2"/>
        <scheme val="minor"/>
      </rPr>
      <t xml:space="preserve"> εις το σκοτος</t>
    </r>
  </si>
  <si>
    <r>
      <t xml:space="preserve">δουλον βαλεται </t>
    </r>
    <r>
      <rPr>
        <b/>
        <sz val="11"/>
        <color theme="1"/>
        <rFont val="Calibri"/>
        <family val="2"/>
        <scheme val="minor"/>
      </rPr>
      <t>εξω</t>
    </r>
    <r>
      <rPr>
        <sz val="11"/>
        <color theme="1"/>
        <rFont val="Calibri"/>
        <family val="2"/>
        <scheme val="minor"/>
      </rPr>
      <t xml:space="preserve"> εις το σκοτος</t>
    </r>
  </si>
  <si>
    <t>το εξωτερον εκει</t>
  </si>
  <si>
    <t>το εξω εκει</t>
  </si>
  <si>
    <t>τα προβατα</t>
  </si>
  <si>
    <t>τα μεν προβατα</t>
  </si>
  <si>
    <t>ηλθατε προς με</t>
  </si>
  <si>
    <t>ηλθαται προς με</t>
  </si>
  <si>
    <t>ποτε δε ειδομεν σε ξενον</t>
  </si>
  <si>
    <t>ποτε δε σε ειδομεν ξενον</t>
  </si>
  <si>
    <t>ασθενουντα η εν φυλακη</t>
  </si>
  <si>
    <t>ασθενουντα και εν φυλακη</t>
  </si>
  <si>
    <t>αποκριθεις αυτοις</t>
  </si>
  <si>
    <r>
      <rPr>
        <b/>
        <sz val="11"/>
        <color theme="1"/>
        <rFont val="Calibri"/>
        <family val="2"/>
        <scheme val="minor"/>
      </rPr>
      <t>αποκρειθεις</t>
    </r>
    <r>
      <rPr>
        <sz val="11"/>
        <color theme="1"/>
        <rFont val="Calibri"/>
        <family val="2"/>
        <scheme val="minor"/>
      </rPr>
      <t xml:space="preserve"> ερει αυτοις</t>
    </r>
  </si>
  <si>
    <r>
      <rPr>
        <b/>
        <sz val="11"/>
        <color theme="1"/>
        <rFont val="Calibri"/>
        <family val="2"/>
        <scheme val="minor"/>
      </rPr>
      <t>αποκριθεις</t>
    </r>
    <r>
      <rPr>
        <sz val="11"/>
        <color theme="1"/>
        <rFont val="Calibri"/>
        <family val="2"/>
        <scheme val="minor"/>
      </rPr>
      <t xml:space="preserve"> αυτοις</t>
    </r>
  </si>
  <si>
    <r>
      <t xml:space="preserve">αποκρειθεις </t>
    </r>
    <r>
      <rPr>
        <b/>
        <sz val="11"/>
        <color theme="1"/>
        <rFont val="Calibri"/>
        <family val="2"/>
        <scheme val="minor"/>
      </rPr>
      <t>ερει</t>
    </r>
    <r>
      <rPr>
        <sz val="11"/>
        <color theme="1"/>
        <rFont val="Calibri"/>
        <family val="2"/>
        <scheme val="minor"/>
      </rPr>
      <t xml:space="preserve"> αυτοις</t>
    </r>
  </si>
  <si>
    <t>αποκριθησονται και αυτοι</t>
  </si>
  <si>
    <t>αποκριθησονται αυτοι</t>
  </si>
  <si>
    <t>αιωνιον (26:1) και εγενετο</t>
  </si>
  <si>
    <t>αιωνιον τελος (26:1) και εγενετο</t>
  </si>
  <si>
    <t>incorporates marginal reading</t>
  </si>
  <si>
    <t>οτε λεσεν ο ιης</t>
  </si>
  <si>
    <t>οτε ετελεσεν ο ις</t>
  </si>
  <si>
    <t>(1) μαθηταις (2) οτι μετα δυο</t>
  </si>
  <si>
    <r>
      <t xml:space="preserve">(1) μαθηταις </t>
    </r>
    <r>
      <rPr>
        <b/>
        <sz val="11"/>
        <color theme="1"/>
        <rFont val="Calibri"/>
        <family val="2"/>
        <scheme val="minor"/>
      </rPr>
      <t>αυτου</t>
    </r>
    <r>
      <rPr>
        <sz val="11"/>
        <color theme="1"/>
        <rFont val="Calibri"/>
        <family val="2"/>
        <scheme val="minor"/>
      </rPr>
      <t xml:space="preserve"> (2) </t>
    </r>
    <r>
      <rPr>
        <b/>
        <sz val="11"/>
        <color theme="1"/>
        <rFont val="Calibri"/>
        <family val="2"/>
        <scheme val="minor"/>
      </rPr>
      <t>οιδατε</t>
    </r>
    <r>
      <rPr>
        <sz val="11"/>
        <color theme="1"/>
        <rFont val="Calibri"/>
        <family val="2"/>
        <scheme val="minor"/>
      </rPr>
      <t xml:space="preserve"> οτε μετα δυο</t>
    </r>
  </si>
  <si>
    <r>
      <t xml:space="preserve">(1) μαθηταις (2) </t>
    </r>
    <r>
      <rPr>
        <b/>
        <sz val="11"/>
        <color theme="1"/>
        <rFont val="Calibri"/>
        <family val="2"/>
        <scheme val="minor"/>
      </rPr>
      <t>οτι</t>
    </r>
    <r>
      <rPr>
        <sz val="11"/>
        <color theme="1"/>
        <rFont val="Calibri"/>
        <family val="2"/>
        <scheme val="minor"/>
      </rPr>
      <t xml:space="preserve"> μετα δυο</t>
    </r>
  </si>
  <si>
    <r>
      <t xml:space="preserve">(1) μαθηταις αυτου (2) οιδατε </t>
    </r>
    <r>
      <rPr>
        <b/>
        <sz val="11"/>
        <color theme="1"/>
        <rFont val="Calibri"/>
        <family val="2"/>
        <scheme val="minor"/>
      </rPr>
      <t>οτε</t>
    </r>
    <r>
      <rPr>
        <sz val="11"/>
        <color theme="1"/>
        <rFont val="Calibri"/>
        <family val="2"/>
        <scheme val="minor"/>
      </rPr>
      <t xml:space="preserve"> μετα δυο</t>
    </r>
  </si>
  <si>
    <t>αρχειερεις και οι πρεσβυτεροι</t>
  </si>
  <si>
    <t>αρχιερεις και οι γραμματεις και οι πρεσβυτεροι</t>
  </si>
  <si>
    <t>συνεβουλευοντο ινα</t>
  </si>
  <si>
    <t>συνεβουλευον ινα</t>
  </si>
  <si>
    <t>ιην δολω κρατησωσιν και</t>
  </si>
  <si>
    <t>λεπρωσου (7) προσηλθεν</t>
  </si>
  <si>
    <t>λεπρου (7) προσηλθεν</t>
  </si>
  <si>
    <t>επι την κεφαλην ανακειμενου</t>
  </si>
  <si>
    <r>
      <t xml:space="preserve">επι </t>
    </r>
    <r>
      <rPr>
        <b/>
        <sz val="11"/>
        <color theme="1"/>
        <rFont val="Calibri"/>
        <family val="2"/>
        <scheme val="minor"/>
      </rPr>
      <t>της κεφαλης</t>
    </r>
    <r>
      <rPr>
        <sz val="11"/>
        <color theme="1"/>
        <rFont val="Calibri"/>
        <family val="2"/>
        <scheme val="minor"/>
      </rPr>
      <t xml:space="preserve"> αυτου ανακειμενου</t>
    </r>
  </si>
  <si>
    <r>
      <t xml:space="preserve">επι </t>
    </r>
    <r>
      <rPr>
        <b/>
        <sz val="11"/>
        <color theme="1"/>
        <rFont val="Calibri"/>
        <family val="2"/>
        <scheme val="minor"/>
      </rPr>
      <t>την κεφαλην</t>
    </r>
    <r>
      <rPr>
        <sz val="11"/>
        <color theme="1"/>
        <rFont val="Calibri"/>
        <family val="2"/>
        <scheme val="minor"/>
      </rPr>
      <t xml:space="preserve"> ανακειμενου</t>
    </r>
  </si>
  <si>
    <r>
      <t xml:space="preserve">επι της κεφαλης </t>
    </r>
    <r>
      <rPr>
        <b/>
        <sz val="11"/>
        <color theme="1"/>
        <rFont val="Calibri"/>
        <family val="2"/>
        <scheme val="minor"/>
      </rPr>
      <t>αυτου</t>
    </r>
    <r>
      <rPr>
        <sz val="11"/>
        <color theme="1"/>
        <rFont val="Calibri"/>
        <family val="2"/>
        <scheme val="minor"/>
      </rPr>
      <t xml:space="preserve"> ανακειμενου</t>
    </r>
  </si>
  <si>
    <t>μαθηται ηγανακτησαν</t>
  </si>
  <si>
    <t>μαθηται αυτου ηγανακτησαν</t>
  </si>
  <si>
    <t>γαρ τουτο πραθηναι</t>
  </si>
  <si>
    <t>γαρ πραθηναι</t>
  </si>
  <si>
    <t>σωματοσματος μου</t>
  </si>
  <si>
    <t>σωματος μου</t>
  </si>
  <si>
    <t>εν ολο τω κοσμω</t>
  </si>
  <si>
    <t>εν ολω τω κοσμω</t>
  </si>
  <si>
    <t>των ιβ προς τους αρχιερεις (15) και ειπεν αυτοις τι θελεται μοι δουναι και ειπεν αυτοις τι θελετε μοι δουναι και εγω</t>
  </si>
  <si>
    <r>
      <t xml:space="preserve">των ιβ προς τους αρχιερεις (15) και ειπεν αυτοις τι θελεται μοι δουναι </t>
    </r>
    <r>
      <rPr>
        <b/>
        <sz val="11"/>
        <color theme="1"/>
        <rFont val="Calibri"/>
        <family val="2"/>
        <scheme val="minor"/>
      </rPr>
      <t>και ειπεν αυτοις τι θελετε μοι δουναι</t>
    </r>
    <r>
      <rPr>
        <sz val="11"/>
        <color theme="1"/>
        <rFont val="Calibri"/>
        <family val="2"/>
        <scheme val="minor"/>
      </rPr>
      <t xml:space="preserve"> και εγω</t>
    </r>
  </si>
  <si>
    <r>
      <t xml:space="preserve">των ιβ προς τους αρχιερεις (15) και </t>
    </r>
    <r>
      <rPr>
        <b/>
        <sz val="11"/>
        <color theme="1"/>
        <rFont val="Calibri"/>
        <family val="2"/>
        <scheme val="minor"/>
      </rPr>
      <t>ειπεν</t>
    </r>
    <r>
      <rPr>
        <sz val="11"/>
        <color theme="1"/>
        <rFont val="Calibri"/>
        <family val="2"/>
        <scheme val="minor"/>
      </rPr>
      <t xml:space="preserve"> αυτοις τι θελεται μοι δουναι και ειπεν αυτοις τι θελετε μοι δουναι και εγω</t>
    </r>
  </si>
  <si>
    <t>οις δε εστησαν</t>
  </si>
  <si>
    <t>οι δε εστησαν</t>
  </si>
  <si>
    <t>και αποτε εζητει</t>
  </si>
  <si>
    <t>και απο τοτε εζητει</t>
  </si>
  <si>
    <t>ενβαπτομενος εις το τρυβαλιον την χειρα μετ εμου ουτος</t>
  </si>
  <si>
    <t>ενβαπτομενος την χειρα μετ εμου εις το τρυβαλιον ουτος</t>
  </si>
  <si>
    <t>ο μεν ουν υιος</t>
  </si>
  <si>
    <t>ο μεν υιος</t>
  </si>
  <si>
    <t>και ευλογησας εκλασεν</t>
  </si>
  <si>
    <t>και ευχαριστησας εκλασεν</t>
  </si>
  <si>
    <t>το υπερ πολλων</t>
  </si>
  <si>
    <t>το περι πολλων</t>
  </si>
  <si>
    <r>
      <t xml:space="preserve">υμειν </t>
    </r>
    <r>
      <rPr>
        <b/>
        <sz val="11"/>
        <color theme="1"/>
        <rFont val="Calibri"/>
        <family val="2"/>
        <scheme val="minor"/>
      </rPr>
      <t>οτι</t>
    </r>
    <r>
      <rPr>
        <sz val="11"/>
        <color theme="1"/>
        <rFont val="Calibri"/>
        <family val="2"/>
        <scheme val="minor"/>
      </rPr>
      <t xml:space="preserve"> ου μη</t>
    </r>
  </si>
  <si>
    <t>αυτο πιω μεθ</t>
  </si>
  <si>
    <t>αυτο πινω μεθ</t>
  </si>
  <si>
    <t>πρς μου (30) και υμνησαντες</t>
  </si>
  <si>
    <t>υμνησαντες εξηλθον</t>
  </si>
  <si>
    <t>υμνησαντες εισηλθον</t>
  </si>
  <si>
    <t>ει παντες</t>
  </si>
  <si>
    <t>ει και παντες</t>
  </si>
  <si>
    <t>ομοιως και παντες</t>
  </si>
  <si>
    <t>ομοιως δε και παντες</t>
  </si>
  <si>
    <t>προς αυτους και ευρισκει</t>
  </si>
  <si>
    <t>προς τους μαθητας και ευρισκει</t>
  </si>
  <si>
    <t>Bezae corrects to προς τους μαθητας αυτου και ευρισκει, B.10.3 leaves out the αυτου</t>
  </si>
  <si>
    <t>παρελθειν απ εμου εαν μη</t>
  </si>
  <si>
    <t>παρελθειν εαν μη</t>
  </si>
  <si>
    <t>προς του μαθητας</t>
  </si>
  <si>
    <t>προς τους μαθητας</t>
  </si>
  <si>
    <t>(46) με (47) ετι δε αυτου</t>
  </si>
  <si>
    <t>(46) με (47) και ετι αυτου</t>
  </si>
  <si>
    <t>ειπεν δε αυτω</t>
  </si>
  <si>
    <t>ειπεν αυτω</t>
  </si>
  <si>
    <t>εφ ο παρει</t>
  </si>
  <si>
    <t>εφ ω παρει</t>
  </si>
  <si>
    <t>αρχιερεως και αφειλεν</t>
  </si>
  <si>
    <t>αρχιερεως αφειλεν</t>
  </si>
  <si>
    <t>πατερα μου και παραστησει μοι πλειω ιβ λεγειωνης αγγελων</t>
  </si>
  <si>
    <t>πατερα μου και πλειω η δωδεκα λεγειωνας αγγελων</t>
  </si>
  <si>
    <r>
      <t xml:space="preserve">πατερα μου και </t>
    </r>
    <r>
      <rPr>
        <b/>
        <sz val="11"/>
        <color theme="1"/>
        <rFont val="Calibri"/>
        <family val="2"/>
        <scheme val="minor"/>
      </rPr>
      <t>παραστησει μοι</t>
    </r>
    <r>
      <rPr>
        <sz val="11"/>
        <color theme="1"/>
        <rFont val="Calibri"/>
        <family val="2"/>
        <scheme val="minor"/>
      </rPr>
      <t xml:space="preserve"> πλειω ιβ λεγειωνης αγγελων</t>
    </r>
  </si>
  <si>
    <r>
      <t xml:space="preserve">πατερα μου και πλειω </t>
    </r>
    <r>
      <rPr>
        <b/>
        <sz val="11"/>
        <color theme="1"/>
        <rFont val="Calibri"/>
        <family val="2"/>
        <scheme val="minor"/>
      </rPr>
      <t>η</t>
    </r>
    <r>
      <rPr>
        <sz val="11"/>
        <color theme="1"/>
        <rFont val="Calibri"/>
        <family val="2"/>
        <scheme val="minor"/>
      </rPr>
      <t xml:space="preserve"> δωδεκα λεγειωνας αγγελων</t>
    </r>
  </si>
  <si>
    <r>
      <t xml:space="preserve">πατερα μου και παραστησει μοι πλειω ιβ </t>
    </r>
    <r>
      <rPr>
        <b/>
        <sz val="11"/>
        <color theme="1"/>
        <rFont val="Calibri"/>
        <family val="2"/>
        <scheme val="minor"/>
      </rPr>
      <t>λεγειωνης</t>
    </r>
    <r>
      <rPr>
        <sz val="11"/>
        <color theme="1"/>
        <rFont val="Calibri"/>
        <family val="2"/>
        <scheme val="minor"/>
      </rPr>
      <t xml:space="preserve"> αγγελων</t>
    </r>
  </si>
  <si>
    <r>
      <t xml:space="preserve">πατερα μου και πλειω η δωδεκα </t>
    </r>
    <r>
      <rPr>
        <b/>
        <sz val="11"/>
        <color theme="1"/>
        <rFont val="Calibri"/>
        <family val="2"/>
        <scheme val="minor"/>
      </rPr>
      <t>λεγειωνας</t>
    </r>
    <r>
      <rPr>
        <sz val="11"/>
        <color theme="1"/>
        <rFont val="Calibri"/>
        <family val="2"/>
        <scheme val="minor"/>
      </rPr>
      <t xml:space="preserve"> αγγελων</t>
    </r>
  </si>
  <si>
    <t>Bezae corrects to λεγειονας</t>
  </si>
  <si>
    <t>ουτως δει</t>
  </si>
  <si>
    <t>ουτω δει</t>
  </si>
  <si>
    <t>υπηρετων ειδειν</t>
  </si>
  <si>
    <t>υπηρετων ιδειν</t>
  </si>
  <si>
    <t>ειπης ει συ ει ο χρς</t>
  </si>
  <si>
    <t>ειπης ει συ ο χριστος</t>
  </si>
  <si>
    <t>βλασφημειαν (66) τι υμειν</t>
  </si>
  <si>
    <r>
      <rPr>
        <b/>
        <sz val="11"/>
        <color theme="1"/>
        <rFont val="Calibri"/>
        <family val="2"/>
        <scheme val="minor"/>
      </rPr>
      <t>βλασφημειαν</t>
    </r>
    <r>
      <rPr>
        <sz val="11"/>
        <color theme="1"/>
        <rFont val="Calibri"/>
        <family val="2"/>
        <scheme val="minor"/>
      </rPr>
      <t xml:space="preserve"> (66) τι υμειν</t>
    </r>
  </si>
  <si>
    <r>
      <rPr>
        <b/>
        <sz val="11"/>
        <color theme="1"/>
        <rFont val="Calibri"/>
        <family val="2"/>
        <scheme val="minor"/>
      </rPr>
      <t>βλασφημιαν</t>
    </r>
    <r>
      <rPr>
        <sz val="11"/>
        <color theme="1"/>
        <rFont val="Calibri"/>
        <family val="2"/>
        <scheme val="minor"/>
      </rPr>
      <t xml:space="preserve"> αυτου (66) τι υμειν</t>
    </r>
  </si>
  <si>
    <r>
      <t xml:space="preserve">βλασφημιαν </t>
    </r>
    <r>
      <rPr>
        <b/>
        <sz val="11"/>
        <color theme="1"/>
        <rFont val="Calibri"/>
        <family val="2"/>
        <scheme val="minor"/>
      </rPr>
      <t>αυτου</t>
    </r>
    <r>
      <rPr>
        <sz val="11"/>
        <color theme="1"/>
        <rFont val="Calibri"/>
        <family val="2"/>
        <scheme val="minor"/>
      </rPr>
      <t xml:space="preserve"> (66) τι υμειν</t>
    </r>
  </si>
  <si>
    <t>αλλοι δε εραπεισαν αυτον (68) λεγοντες</t>
  </si>
  <si>
    <t>αλλ οι δε αυτον εραπεισαν (68) λεγοντες</t>
  </si>
  <si>
    <t>ηρξατο καταθεματιζειν·</t>
  </si>
  <si>
    <t>ηρξατο θεματιζειν</t>
  </si>
  <si>
    <t>ειρηκοτος αυτω πριν</t>
  </si>
  <si>
    <t>ειρηκοτος πριν</t>
  </si>
  <si>
    <t>εκλαυσεν πικρως</t>
  </si>
  <si>
    <t>εκλαυσε πικρως</t>
  </si>
  <si>
    <t>ιηυ ινα θανατωσουσιν</t>
  </si>
  <si>
    <t>ιυ ωστε θανατωσουσιν</t>
  </si>
  <si>
    <t>ακουεις τοσα καταμαρτυρουσιν σου (14) και ουκ</t>
  </si>
  <si>
    <t>αυτω εν ρημα</t>
  </si>
  <si>
    <t>αυτω προς ρημα</t>
  </si>
  <si>
    <t>επισημον τον λεγομενον</t>
  </si>
  <si>
    <t>επισημον λεγομενον</t>
  </si>
  <si>
    <t>θελεται υμειν απολυσω βαραββαν</t>
  </si>
  <si>
    <t>θελεται απολυσω υμειν βαραββαν</t>
  </si>
  <si>
    <t>τους οχλους ινα αιτησωνται</t>
  </si>
  <si>
    <r>
      <t xml:space="preserve">τους </t>
    </r>
    <r>
      <rPr>
        <b/>
        <sz val="11"/>
        <color theme="1"/>
        <rFont val="Calibri"/>
        <family val="2"/>
        <scheme val="minor"/>
      </rPr>
      <t>οχλους</t>
    </r>
    <r>
      <rPr>
        <sz val="11"/>
        <color theme="1"/>
        <rFont val="Calibri"/>
        <family val="2"/>
        <scheme val="minor"/>
      </rPr>
      <t xml:space="preserve"> ινα αιτησωνται</t>
    </r>
  </si>
  <si>
    <r>
      <t xml:space="preserve">τους </t>
    </r>
    <r>
      <rPr>
        <b/>
        <sz val="11"/>
        <color theme="1"/>
        <rFont val="Calibri"/>
        <family val="2"/>
        <scheme val="minor"/>
      </rPr>
      <t>λαους</t>
    </r>
    <r>
      <rPr>
        <sz val="11"/>
        <color theme="1"/>
        <rFont val="Calibri"/>
        <family val="2"/>
        <scheme val="minor"/>
      </rPr>
      <t xml:space="preserve"> ινα και αιτησωνται</t>
    </r>
  </si>
  <si>
    <r>
      <t xml:space="preserve">τους λαους ινα </t>
    </r>
    <r>
      <rPr>
        <b/>
        <sz val="11"/>
        <color theme="1"/>
        <rFont val="Calibri"/>
        <family val="2"/>
        <scheme val="minor"/>
      </rPr>
      <t>και</t>
    </r>
    <r>
      <rPr>
        <sz val="11"/>
        <color theme="1"/>
        <rFont val="Calibri"/>
        <family val="2"/>
        <scheme val="minor"/>
      </rPr>
      <t xml:space="preserve"> αιτησωνται</t>
    </r>
  </si>
  <si>
    <t>ειπεν αυτοις τινα</t>
  </si>
  <si>
    <t>ειπεν αυτου τινα</t>
  </si>
  <si>
    <t>υδωρ απενιψατο</t>
  </si>
  <si>
    <t>υδωρ νιψατο</t>
  </si>
  <si>
    <t>κατεναντι του οχλου</t>
  </si>
  <si>
    <t>κατεναντι οχλου</t>
  </si>
  <si>
    <t>φραγελλωσας</t>
  </si>
  <si>
    <t>συνηγαγεν επ αυτον</t>
  </si>
  <si>
    <t>συνηγαγον επ αυτον</t>
  </si>
  <si>
    <t>πορφυρουν κλαμυδα κοκκινην</t>
  </si>
  <si>
    <r>
      <t xml:space="preserve">πορφυρουν </t>
    </r>
    <r>
      <rPr>
        <b/>
        <sz val="11"/>
        <color theme="1"/>
        <rFont val="Calibri"/>
        <family val="2"/>
        <scheme val="minor"/>
      </rPr>
      <t>και</t>
    </r>
    <r>
      <rPr>
        <sz val="11"/>
        <color theme="1"/>
        <rFont val="Calibri"/>
        <family val="2"/>
        <scheme val="minor"/>
      </rPr>
      <t xml:space="preserve"> χλαμυδαν κοκκινην</t>
    </r>
  </si>
  <si>
    <r>
      <t xml:space="preserve">πορφυρουν και </t>
    </r>
    <r>
      <rPr>
        <b/>
        <sz val="11"/>
        <color theme="1"/>
        <rFont val="Calibri"/>
        <family val="2"/>
        <scheme val="minor"/>
      </rPr>
      <t>χλαμυδαν</t>
    </r>
    <r>
      <rPr>
        <sz val="11"/>
        <color theme="1"/>
        <rFont val="Calibri"/>
        <family val="2"/>
        <scheme val="minor"/>
      </rPr>
      <t xml:space="preserve"> κοκκινην</t>
    </r>
  </si>
  <si>
    <r>
      <t xml:space="preserve">πορφυρουν </t>
    </r>
    <r>
      <rPr>
        <b/>
        <sz val="11"/>
        <color theme="1"/>
        <rFont val="Calibri"/>
        <family val="2"/>
        <scheme val="minor"/>
      </rPr>
      <t>κλαμυδα</t>
    </r>
    <r>
      <rPr>
        <sz val="11"/>
        <color theme="1"/>
        <rFont val="Calibri"/>
        <family val="2"/>
        <scheme val="minor"/>
      </rPr>
      <t xml:space="preserve"> κοκκινην</t>
    </r>
  </si>
  <si>
    <t>B.10.3 = κλαμμυδα</t>
  </si>
  <si>
    <t>εν δεξια αυτου</t>
  </si>
  <si>
    <r>
      <t xml:space="preserve">εν </t>
    </r>
    <r>
      <rPr>
        <b/>
        <sz val="11"/>
        <color theme="1"/>
        <rFont val="Calibri"/>
        <family val="2"/>
        <scheme val="minor"/>
      </rPr>
      <t>τη</t>
    </r>
    <r>
      <rPr>
        <sz val="11"/>
        <color theme="1"/>
        <rFont val="Calibri"/>
        <family val="2"/>
        <scheme val="minor"/>
      </rPr>
      <t xml:space="preserve"> δεξεια αυτου</t>
    </r>
  </si>
  <si>
    <r>
      <t xml:space="preserve">εν τη </t>
    </r>
    <r>
      <rPr>
        <b/>
        <sz val="11"/>
        <color theme="1"/>
        <rFont val="Calibri"/>
        <family val="2"/>
        <scheme val="minor"/>
      </rPr>
      <t>δεξεια</t>
    </r>
    <r>
      <rPr>
        <sz val="11"/>
        <color theme="1"/>
        <rFont val="Calibri"/>
        <family val="2"/>
        <scheme val="minor"/>
      </rPr>
      <t xml:space="preserve"> αυτου</t>
    </r>
  </si>
  <si>
    <r>
      <t xml:space="preserve">εν </t>
    </r>
    <r>
      <rPr>
        <b/>
        <sz val="11"/>
        <color theme="1"/>
        <rFont val="Calibri"/>
        <family val="2"/>
        <scheme val="minor"/>
      </rPr>
      <t>δεξια</t>
    </r>
    <r>
      <rPr>
        <sz val="11"/>
        <color theme="1"/>
        <rFont val="Calibri"/>
        <family val="2"/>
        <scheme val="minor"/>
      </rPr>
      <t xml:space="preserve"> αυτου</t>
    </r>
  </si>
  <si>
    <t>βασιλευ των ιουδαιων</t>
  </si>
  <si>
    <t>βασιλευς των ιουδαιων</t>
  </si>
  <si>
    <t>απαντησιν αυτου ονοματι</t>
  </si>
  <si>
    <t>απαντησιν αυτων ονοματι</t>
  </si>
  <si>
    <t>ο εστιν</t>
  </si>
  <si>
    <t>ος εστιν</t>
  </si>
  <si>
    <r>
      <rPr>
        <b/>
        <sz val="11"/>
        <color theme="1"/>
        <rFont val="Calibri"/>
        <family val="2"/>
        <scheme val="minor"/>
      </rPr>
      <t>ηθελησεν</t>
    </r>
    <r>
      <rPr>
        <sz val="11"/>
        <color theme="1"/>
        <rFont val="Calibri"/>
        <family val="2"/>
        <scheme val="minor"/>
      </rPr>
      <t xml:space="preserve"> πειν</t>
    </r>
  </si>
  <si>
    <r>
      <rPr>
        <b/>
        <sz val="11"/>
        <color theme="1"/>
        <rFont val="Calibri"/>
        <family val="2"/>
        <scheme val="minor"/>
      </rPr>
      <t>ηθελε</t>
    </r>
    <r>
      <rPr>
        <sz val="11"/>
        <color theme="1"/>
        <rFont val="Calibri"/>
        <family val="2"/>
        <scheme val="minor"/>
      </rPr>
      <t xml:space="preserve"> πιειν</t>
    </r>
  </si>
  <si>
    <r>
      <t xml:space="preserve">ηθελησεν </t>
    </r>
    <r>
      <rPr>
        <b/>
        <sz val="11"/>
        <color theme="1"/>
        <rFont val="Calibri"/>
        <family val="2"/>
        <scheme val="minor"/>
      </rPr>
      <t>πειν</t>
    </r>
  </si>
  <si>
    <r>
      <t xml:space="preserve">ηθελε </t>
    </r>
    <r>
      <rPr>
        <b/>
        <sz val="11"/>
        <color theme="1"/>
        <rFont val="Calibri"/>
        <family val="2"/>
        <scheme val="minor"/>
      </rPr>
      <t>πιειν</t>
    </r>
  </si>
  <si>
    <t>ουα ο καταλυων</t>
  </si>
  <si>
    <t>ουαι ο καταλυων</t>
  </si>
  <si>
    <t>θυ και καταβηθει</t>
  </si>
  <si>
    <t>θεου καταβηθει</t>
  </si>
  <si>
    <t>μετα των γραμματαιων</t>
  </si>
  <si>
    <t>μετα γραμματαιων</t>
  </si>
  <si>
    <t>σωσαι ει βασιλευς</t>
  </si>
  <si>
    <t>σωσαι βασιλευς</t>
  </si>
  <si>
    <t>ανεβοησεν ιης</t>
  </si>
  <si>
    <t>ανεβοησεν ο ις</t>
  </si>
  <si>
    <t>σαφθανει</t>
  </si>
  <si>
    <t>μνημιων μετα μετα τη εγερσιν</t>
  </si>
  <si>
    <t>και εφανησαν</t>
  </si>
  <si>
    <t>και ενεφανησαν</t>
  </si>
  <si>
    <t>Bezae corrects to ενεφανεισαν and B.10.3 follows</t>
  </si>
  <si>
    <t>σφοδρα γοντες αληθως</t>
  </si>
  <si>
    <t>σφοδρα λεγοντες αληθως</t>
  </si>
  <si>
    <t>αληθως υιος θυ ην</t>
  </si>
  <si>
    <t>αληθως θεου υιος ην</t>
  </si>
  <si>
    <t>ησαν δε και γυναικες</t>
  </si>
  <si>
    <t>ησαν δε εκει και γυναικες</t>
  </si>
  <si>
    <t>της αγιλειλαιας</t>
  </si>
  <si>
    <t>της γαλιλαιας</t>
  </si>
  <si>
    <t>μαρια μαγδαληνη</t>
  </si>
  <si>
    <t>μαρια η μαγδαληνη</t>
  </si>
  <si>
    <t>ιωσηφ μητηρ</t>
  </si>
  <si>
    <t>Bezae corrects ιωσηφ -&gt; ιωσητος</t>
  </si>
  <si>
    <t>ητησατο το σωμα</t>
  </si>
  <si>
    <t>ητησατο τω σωμα</t>
  </si>
  <si>
    <t>αυτο εν σινδονι</t>
  </si>
  <si>
    <t>αυτο σινδονι</t>
  </si>
  <si>
    <t>προσκυλισας</t>
  </si>
  <si>
    <t>B.10.3 initial reading reads μαρια η μαγδαληνη, just as the corrected form of Bezae; B.10.3 corrects by omitting the article (= Bezae's original reading)</t>
  </si>
  <si>
    <t>και η αλλη μαρια</t>
  </si>
  <si>
    <t>και αλλη μαρια</t>
  </si>
  <si>
    <t>αρχιερεις και οι φαρισαιοι</t>
  </si>
  <si>
    <t>αρχιερεις και οι και οι φαρισαιοι</t>
  </si>
  <si>
    <t>εως της ημερας</t>
  </si>
  <si>
    <t>εως ημερας</t>
  </si>
  <si>
    <t>χειρω της πρωτης</t>
  </si>
  <si>
    <t>χειρων της πρωτης</t>
  </si>
  <si>
    <t>εχεται φυλακας υπαγεται</t>
  </si>
  <si>
    <t>εχεται κουστουδιαν υπαγεται</t>
  </si>
  <si>
    <t>ησφαλισαν τον ταφον</t>
  </si>
  <si>
    <t>ησφαλισαντο τον ταφον</t>
  </si>
  <si>
    <t>μετα των φυλακων (28:1)  οψε δε</t>
  </si>
  <si>
    <t>μετα της κουστουδιας (28:1)  οψε δε</t>
  </si>
  <si>
    <t>καταβας απ ουρανου</t>
  </si>
  <si>
    <t>καταβας εξ ουρανου</t>
  </si>
  <si>
    <t>λιθον και εκαθητο</t>
  </si>
  <si>
    <t>λιθον απο της θουρας και εκαθητο</t>
  </si>
  <si>
    <t>η ειδεα</t>
  </si>
  <si>
    <t>η ιδεα</t>
  </si>
  <si>
    <t>πορευθεισαι ειπατε</t>
  </si>
  <si>
    <t>πορευθεισας ειπατε</t>
  </si>
  <si>
    <t>ηγερθη και προαγει</t>
  </si>
  <si>
    <r>
      <t xml:space="preserve">ηγερθη </t>
    </r>
    <r>
      <rPr>
        <b/>
        <sz val="11"/>
        <color theme="1"/>
        <rFont val="Calibri"/>
        <family val="2"/>
        <scheme val="minor"/>
      </rPr>
      <t>απο των νεκρων</t>
    </r>
    <r>
      <rPr>
        <sz val="11"/>
        <color theme="1"/>
        <rFont val="Calibri"/>
        <family val="2"/>
        <scheme val="minor"/>
      </rPr>
      <t xml:space="preserve"> και ιδου προαγει</t>
    </r>
  </si>
  <si>
    <r>
      <t xml:space="preserve">ηγερθη απο των νεκρων και </t>
    </r>
    <r>
      <rPr>
        <b/>
        <sz val="11"/>
        <color theme="1"/>
        <rFont val="Calibri"/>
        <family val="2"/>
        <scheme val="minor"/>
      </rPr>
      <t>ιδου</t>
    </r>
    <r>
      <rPr>
        <sz val="11"/>
        <color theme="1"/>
        <rFont val="Calibri"/>
        <family val="2"/>
        <scheme val="minor"/>
      </rPr>
      <t xml:space="preserve"> προαγει</t>
    </r>
  </si>
  <si>
    <t>οψεσθαι ιδου</t>
  </si>
  <si>
    <t>οψεσθαι ειδου</t>
  </si>
  <si>
    <t>(8) αυτου (9) ιδου ιησους</t>
  </si>
  <si>
    <r>
      <t xml:space="preserve">(8) αυτου (9) </t>
    </r>
    <r>
      <rPr>
        <b/>
        <sz val="11"/>
        <color theme="1"/>
        <rFont val="Calibri"/>
        <family val="2"/>
        <scheme val="minor"/>
      </rPr>
      <t>και</t>
    </r>
    <r>
      <rPr>
        <sz val="11"/>
        <color theme="1"/>
        <rFont val="Calibri"/>
        <family val="2"/>
        <scheme val="minor"/>
      </rPr>
      <t xml:space="preserve"> ιδου ο ιης</t>
    </r>
  </si>
  <si>
    <r>
      <t xml:space="preserve">(8) αυτου (9) και ιδου </t>
    </r>
    <r>
      <rPr>
        <b/>
        <sz val="11"/>
        <color theme="1"/>
        <rFont val="Calibri"/>
        <family val="2"/>
        <scheme val="minor"/>
      </rPr>
      <t>ο</t>
    </r>
    <r>
      <rPr>
        <sz val="11"/>
        <color theme="1"/>
        <rFont val="Calibri"/>
        <family val="2"/>
        <scheme val="minor"/>
      </rPr>
      <t xml:space="preserve"> ιης</t>
    </r>
  </si>
  <si>
    <t>εις γαλιλαιαν</t>
  </si>
  <si>
    <t>εις την γαλιλαιαν</t>
  </si>
  <si>
    <t>και αν ακουσθη</t>
  </si>
  <si>
    <t>και εαν ακουσθη</t>
  </si>
  <si>
    <t>παρα ιουδαιοις μεχρι της σημερον</t>
  </si>
  <si>
    <r>
      <t xml:space="preserve">παρα </t>
    </r>
    <r>
      <rPr>
        <b/>
        <sz val="11"/>
        <color theme="1"/>
        <rFont val="Calibri"/>
        <family val="2"/>
        <scheme val="minor"/>
      </rPr>
      <t>τοις</t>
    </r>
    <r>
      <rPr>
        <sz val="11"/>
        <color theme="1"/>
        <rFont val="Calibri"/>
        <family val="2"/>
        <scheme val="minor"/>
      </rPr>
      <t xml:space="preserve"> ιουδαιοις εως της σημερον</t>
    </r>
  </si>
  <si>
    <r>
      <t xml:space="preserve">παρα τοις ιουδαιοις </t>
    </r>
    <r>
      <rPr>
        <b/>
        <sz val="11"/>
        <color theme="1"/>
        <rFont val="Calibri"/>
        <family val="2"/>
        <scheme val="minor"/>
      </rPr>
      <t>εως</t>
    </r>
    <r>
      <rPr>
        <sz val="11"/>
        <color theme="1"/>
        <rFont val="Calibri"/>
        <family val="2"/>
        <scheme val="minor"/>
      </rPr>
      <t xml:space="preserve"> της σημερον</t>
    </r>
  </si>
  <si>
    <r>
      <t xml:space="preserve">παρα ιουδαιοις </t>
    </r>
    <r>
      <rPr>
        <b/>
        <sz val="11"/>
        <color theme="1"/>
        <rFont val="Calibri"/>
        <family val="2"/>
        <scheme val="minor"/>
      </rPr>
      <t>μεχρι</t>
    </r>
    <r>
      <rPr>
        <sz val="11"/>
        <color theme="1"/>
        <rFont val="Calibri"/>
        <family val="2"/>
        <scheme val="minor"/>
      </rPr>
      <t xml:space="preserve"> της σημερον</t>
    </r>
  </si>
  <si>
    <t>επι της γης</t>
  </si>
  <si>
    <t>επι γης</t>
  </si>
  <si>
    <t>τριβου του θυ</t>
  </si>
  <si>
    <t>τριβους του θεου</t>
  </si>
  <si>
    <t>και οι ιεροσολυμειτε</t>
  </si>
  <si>
    <t>και ιεροσολυμειτε</t>
  </si>
  <si>
    <t>εν ιορδανη</t>
  </si>
  <si>
    <t>εν τω ιορδανη</t>
  </si>
  <si>
    <t>εξομολογουμενοι τας αμαρτιας</t>
  </si>
  <si>
    <t>εξομολογουμενος τας αμαρτιας</t>
  </si>
  <si>
    <t>ην δε ιωαννης</t>
  </si>
  <si>
    <t>ην δε ο ιωαννης</t>
  </si>
  <si>
    <t>Bezae corrects to καμηλου</t>
  </si>
  <si>
    <t>ικανος λυσαι</t>
  </si>
  <si>
    <t>ικανος κυψας λυσαι</t>
  </si>
  <si>
    <t>(7) υποδηματων αυτου (8) και αυτος υμας</t>
  </si>
  <si>
    <t>(7) υποδηματων αυτου (8) εγω μεν εβαπτισα υμας εν υδατι και αυτος υμας</t>
  </si>
  <si>
    <r>
      <t xml:space="preserve">εβαπτισθη </t>
    </r>
    <r>
      <rPr>
        <b/>
        <sz val="11"/>
        <color theme="1"/>
        <rFont val="Calibri"/>
        <family val="2"/>
        <scheme val="minor"/>
      </rPr>
      <t>ις</t>
    </r>
    <r>
      <rPr>
        <sz val="11"/>
        <color theme="1"/>
        <rFont val="Calibri"/>
        <family val="2"/>
        <scheme val="minor"/>
      </rPr>
      <t xml:space="preserve"> την ιορδανην</t>
    </r>
  </si>
  <si>
    <r>
      <t xml:space="preserve">εβαπτισθη </t>
    </r>
    <r>
      <rPr>
        <b/>
        <sz val="11"/>
        <color theme="1"/>
        <rFont val="Calibri"/>
        <family val="2"/>
        <scheme val="minor"/>
      </rPr>
      <t>εις</t>
    </r>
    <r>
      <rPr>
        <sz val="11"/>
        <color theme="1"/>
        <rFont val="Calibri"/>
        <family val="2"/>
        <scheme val="minor"/>
      </rPr>
      <t xml:space="preserve"> τον ιορδανην</t>
    </r>
  </si>
  <si>
    <r>
      <t xml:space="preserve">εβαπτισθη ις </t>
    </r>
    <r>
      <rPr>
        <b/>
        <sz val="11"/>
        <color theme="1"/>
        <rFont val="Calibri"/>
        <family val="2"/>
        <scheme val="minor"/>
      </rPr>
      <t>την</t>
    </r>
    <r>
      <rPr>
        <sz val="11"/>
        <color theme="1"/>
        <rFont val="Calibri"/>
        <family val="2"/>
        <scheme val="minor"/>
      </rPr>
      <t xml:space="preserve"> ιορδανην</t>
    </r>
  </si>
  <si>
    <r>
      <t xml:space="preserve">εβαπτισθη εις </t>
    </r>
    <r>
      <rPr>
        <b/>
        <sz val="11"/>
        <color theme="1"/>
        <rFont val="Calibri"/>
        <family val="2"/>
        <scheme val="minor"/>
      </rPr>
      <t>τον</t>
    </r>
    <r>
      <rPr>
        <sz val="11"/>
        <color theme="1"/>
        <rFont val="Calibri"/>
        <family val="2"/>
        <scheme val="minor"/>
      </rPr>
      <t xml:space="preserve"> ιορδανην</t>
    </r>
  </si>
  <si>
    <t>εκ το υδατος</t>
  </si>
  <si>
    <t>εκ του υδατος</t>
  </si>
  <si>
    <t>Bezae corrects to καταβαινον</t>
  </si>
  <si>
    <t>σοι ευδοκησα</t>
  </si>
  <si>
    <t>initial B.10.3 reading matches Bezae's original, then corrects to match Bezae's correction, then corrects again back to ευδοκησα</t>
  </si>
  <si>
    <t>(13) αυτω (14) μετα δε το παραδοθηναι ιωαννην</t>
  </si>
  <si>
    <r>
      <t xml:space="preserve">(13) αυτω (14) </t>
    </r>
    <r>
      <rPr>
        <b/>
        <sz val="11"/>
        <color theme="1"/>
        <rFont val="Calibri"/>
        <family val="2"/>
        <scheme val="minor"/>
      </rPr>
      <t>και</t>
    </r>
    <r>
      <rPr>
        <sz val="11"/>
        <color theme="1"/>
        <rFont val="Calibri"/>
        <family val="2"/>
        <scheme val="minor"/>
      </rPr>
      <t xml:space="preserve"> μετα το παραδοθηναι τον ιωαννην</t>
    </r>
  </si>
  <si>
    <r>
      <t xml:space="preserve">(13) αυτω (14) μετα </t>
    </r>
    <r>
      <rPr>
        <b/>
        <sz val="11"/>
        <color theme="1"/>
        <rFont val="Calibri"/>
        <family val="2"/>
        <scheme val="minor"/>
      </rPr>
      <t>δε</t>
    </r>
    <r>
      <rPr>
        <sz val="11"/>
        <color theme="1"/>
        <rFont val="Calibri"/>
        <family val="2"/>
        <scheme val="minor"/>
      </rPr>
      <t xml:space="preserve"> το παραδοθηναι ιωαννην</t>
    </r>
  </si>
  <si>
    <r>
      <t xml:space="preserve">(13) αυτω (14) και μετα το παραδοθηναι </t>
    </r>
    <r>
      <rPr>
        <b/>
        <sz val="11"/>
        <color theme="1"/>
        <rFont val="Calibri"/>
        <family val="2"/>
        <scheme val="minor"/>
      </rPr>
      <t>τον</t>
    </r>
    <r>
      <rPr>
        <sz val="11"/>
        <color theme="1"/>
        <rFont val="Calibri"/>
        <family val="2"/>
        <scheme val="minor"/>
      </rPr>
      <t xml:space="preserve"> ιωαννην</t>
    </r>
  </si>
  <si>
    <t>αδελφον αυτου αμφιβαλλοντας</t>
  </si>
  <si>
    <t>αδελφον αυτου του σιμωνος αμφιβαλλοντας</t>
  </si>
  <si>
    <t>γενεσθαι αλιεις ανθρωπων</t>
  </si>
  <si>
    <t>γενεσθαι αλιεις αλιεις ανθρωπων</t>
  </si>
  <si>
    <t>προβας</t>
  </si>
  <si>
    <r>
      <t xml:space="preserve">τω πλοιω </t>
    </r>
    <r>
      <rPr>
        <b/>
        <sz val="11"/>
        <color theme="1"/>
        <rFont val="Calibri"/>
        <family val="2"/>
        <scheme val="minor"/>
      </rPr>
      <t>μετα των μεισθωτων ηκολουθησαν</t>
    </r>
    <r>
      <rPr>
        <sz val="11"/>
        <color theme="1"/>
        <rFont val="Calibri"/>
        <family val="2"/>
        <scheme val="minor"/>
      </rPr>
      <t xml:space="preserve"> αυτω (21) και</t>
    </r>
  </si>
  <si>
    <r>
      <t xml:space="preserve">τω πλοιω μετα των μεισθωτων ηκολουθησαν </t>
    </r>
    <r>
      <rPr>
        <b/>
        <sz val="11"/>
        <color theme="1"/>
        <rFont val="Calibri"/>
        <family val="2"/>
        <scheme val="minor"/>
      </rPr>
      <t>αυτω</t>
    </r>
    <r>
      <rPr>
        <sz val="11"/>
        <color theme="1"/>
        <rFont val="Calibri"/>
        <family val="2"/>
        <scheme val="minor"/>
      </rPr>
      <t xml:space="preserve"> (21) και</t>
    </r>
  </si>
  <si>
    <r>
      <t xml:space="preserve">τω πλοιω ηκολουθησαν μετα των μεισθωτων </t>
    </r>
    <r>
      <rPr>
        <b/>
        <sz val="11"/>
        <color theme="1"/>
        <rFont val="Calibri"/>
        <family val="2"/>
        <scheme val="minor"/>
      </rPr>
      <t>οπισω</t>
    </r>
    <r>
      <rPr>
        <sz val="11"/>
        <color theme="1"/>
        <rFont val="Calibri"/>
        <family val="2"/>
        <scheme val="minor"/>
      </rPr>
      <t xml:space="preserve"> </t>
    </r>
    <r>
      <rPr>
        <b/>
        <sz val="11"/>
        <color theme="1"/>
        <rFont val="Calibri"/>
        <family val="2"/>
        <scheme val="minor"/>
      </rPr>
      <t>αυτου</t>
    </r>
    <r>
      <rPr>
        <sz val="11"/>
        <color theme="1"/>
        <rFont val="Calibri"/>
        <family val="2"/>
        <scheme val="minor"/>
      </rPr>
      <t xml:space="preserve"> (21) και</t>
    </r>
  </si>
  <si>
    <t>εχων ουχ</t>
  </si>
  <si>
    <r>
      <t xml:space="preserve">εχων </t>
    </r>
    <r>
      <rPr>
        <b/>
        <sz val="11"/>
        <color theme="1"/>
        <rFont val="Calibri"/>
        <family val="2"/>
        <scheme val="minor"/>
      </rPr>
      <t>και</t>
    </r>
    <r>
      <rPr>
        <sz val="11"/>
        <color theme="1"/>
        <rFont val="Calibri"/>
        <family val="2"/>
        <scheme val="minor"/>
      </rPr>
      <t xml:space="preserve"> ουκ</t>
    </r>
  </si>
  <si>
    <r>
      <t xml:space="preserve">εχων και </t>
    </r>
    <r>
      <rPr>
        <b/>
        <sz val="11"/>
        <color theme="1"/>
        <rFont val="Calibri"/>
        <family val="2"/>
        <scheme val="minor"/>
      </rPr>
      <t>ουκ</t>
    </r>
  </si>
  <si>
    <r>
      <t xml:space="preserve">εχων </t>
    </r>
    <r>
      <rPr>
        <b/>
        <sz val="11"/>
        <color theme="1"/>
        <rFont val="Calibri"/>
        <family val="2"/>
        <scheme val="minor"/>
      </rPr>
      <t>ουχ</t>
    </r>
  </si>
  <si>
    <t>ηλθες απολες απολεσαι</t>
  </si>
  <si>
    <t>ηλθες απολεσαι</t>
  </si>
  <si>
    <t>ακαθαρτον κραξας φωνη μεγαλη και σπαραξας αυτον (27) και εθαμβησαν</t>
  </si>
  <si>
    <r>
      <t xml:space="preserve">ακαθαρτον </t>
    </r>
    <r>
      <rPr>
        <b/>
        <sz val="11"/>
        <color theme="1"/>
        <rFont val="Calibri"/>
        <family val="2"/>
        <scheme val="minor"/>
      </rPr>
      <t>σπαραξας αυτον και κραξας φωνη μεγαλη</t>
    </r>
    <r>
      <rPr>
        <sz val="11"/>
        <color theme="1"/>
        <rFont val="Calibri"/>
        <family val="2"/>
        <scheme val="minor"/>
      </rPr>
      <t xml:space="preserve"> εξηλθεν απ αυτου (27) και εθαμβησαν</t>
    </r>
  </si>
  <si>
    <r>
      <t xml:space="preserve">ακαθαρτον </t>
    </r>
    <r>
      <rPr>
        <b/>
        <sz val="11"/>
        <color theme="1"/>
        <rFont val="Calibri"/>
        <family val="2"/>
        <scheme val="minor"/>
      </rPr>
      <t>κραξας φωνη μεγαλη και σπαραξας αυτον</t>
    </r>
    <r>
      <rPr>
        <sz val="11"/>
        <color theme="1"/>
        <rFont val="Calibri"/>
        <family val="2"/>
        <scheme val="minor"/>
      </rPr>
      <t xml:space="preserve"> (27) και εθαμβησαν</t>
    </r>
  </si>
  <si>
    <r>
      <t xml:space="preserve">ακαθαρτον σπαραξας αυτον και κραξας φωνη μεγαλη </t>
    </r>
    <r>
      <rPr>
        <b/>
        <sz val="11"/>
        <color theme="1"/>
        <rFont val="Calibri"/>
        <family val="2"/>
        <scheme val="minor"/>
      </rPr>
      <t>εξηλθεν απ αυτου</t>
    </r>
    <r>
      <rPr>
        <sz val="11"/>
        <color theme="1"/>
        <rFont val="Calibri"/>
        <family val="2"/>
        <scheme val="minor"/>
      </rPr>
      <t xml:space="preserve"> (27) και εθαμβησαν</t>
    </r>
  </si>
  <si>
    <t>τοις πνευνα τοις ακαθαρτοις</t>
  </si>
  <si>
    <t xml:space="preserve">τοις πνευνασιν τοις ακαθαρτοις </t>
  </si>
  <si>
    <t>πνευνασιν should be πνευμασιν</t>
  </si>
  <si>
    <t>χειρα ηγειρεν και αφηκεν αυτην</t>
  </si>
  <si>
    <r>
      <t xml:space="preserve">χειρα </t>
    </r>
    <r>
      <rPr>
        <b/>
        <sz val="11"/>
        <color theme="1"/>
        <rFont val="Calibri"/>
        <family val="2"/>
        <scheme val="minor"/>
      </rPr>
      <t>κρατησας</t>
    </r>
    <r>
      <rPr>
        <sz val="11"/>
        <color theme="1"/>
        <rFont val="Calibri"/>
        <family val="2"/>
        <scheme val="minor"/>
      </rPr>
      <t xml:space="preserve"> ηγειρεν αυτην και ευθεως αφηκεν αυτην</t>
    </r>
  </si>
  <si>
    <r>
      <t xml:space="preserve">χειρα κρατησας ηγειρεν </t>
    </r>
    <r>
      <rPr>
        <b/>
        <sz val="11"/>
        <color theme="1"/>
        <rFont val="Calibri"/>
        <family val="2"/>
        <scheme val="minor"/>
      </rPr>
      <t>αυτην</t>
    </r>
    <r>
      <rPr>
        <sz val="11"/>
        <color theme="1"/>
        <rFont val="Calibri"/>
        <family val="2"/>
        <scheme val="minor"/>
      </rPr>
      <t xml:space="preserve"> και ευθεως αφηκεν αυτην</t>
    </r>
  </si>
  <si>
    <r>
      <t xml:space="preserve">χειρα κρατησας ηγειρεν αυτην και </t>
    </r>
    <r>
      <rPr>
        <b/>
        <sz val="11"/>
        <color theme="1"/>
        <rFont val="Calibri"/>
        <family val="2"/>
        <scheme val="minor"/>
      </rPr>
      <t>ευθεως</t>
    </r>
    <r>
      <rPr>
        <sz val="11"/>
        <color theme="1"/>
        <rFont val="Calibri"/>
        <family val="2"/>
        <scheme val="minor"/>
      </rPr>
      <t xml:space="preserve"> αφηκεν αυτην</t>
    </r>
  </si>
  <si>
    <t>ηδισαν</t>
  </si>
  <si>
    <t>εις τον ερημον</t>
  </si>
  <si>
    <t>εις ερημον</t>
  </si>
  <si>
    <t>αυτον τε σιμων</t>
  </si>
  <si>
    <t>αυτον οτε σιμων</t>
  </si>
  <si>
    <t>Bezae correction = τε -&gt; τοτε</t>
  </si>
  <si>
    <t>και ευροντες αυτον</t>
  </si>
  <si>
    <t>λεγει αυτοις αγωμεν</t>
  </si>
  <si>
    <t>λεγει αυτοις αυτοις αγωμεν</t>
  </si>
  <si>
    <t>θελεις δυνασαι</t>
  </si>
  <si>
    <t>θελεις θυνασαι</t>
  </si>
  <si>
    <t>προσενενκε</t>
  </si>
  <si>
    <t>εις την πολιν</t>
  </si>
  <si>
    <t>εις πολιν</t>
  </si>
  <si>
    <t>αλλ εξω</t>
  </si>
  <si>
    <t>αλλα εξω</t>
  </si>
  <si>
    <t>προσενγεισαι απο του οχλου</t>
  </si>
  <si>
    <r>
      <rPr>
        <b/>
        <sz val="11"/>
        <color theme="1"/>
        <rFont val="Calibri"/>
        <family val="2"/>
        <scheme val="minor"/>
      </rPr>
      <t>προενγεισαι</t>
    </r>
    <r>
      <rPr>
        <sz val="11"/>
        <color theme="1"/>
        <rFont val="Calibri"/>
        <family val="2"/>
        <scheme val="minor"/>
      </rPr>
      <t xml:space="preserve"> αυτω απο του οχλου</t>
    </r>
  </si>
  <si>
    <r>
      <rPr>
        <b/>
        <sz val="11"/>
        <color theme="1"/>
        <rFont val="Calibri"/>
        <family val="2"/>
        <scheme val="minor"/>
      </rPr>
      <t>προσενγεισαι</t>
    </r>
    <r>
      <rPr>
        <sz val="11"/>
        <color theme="1"/>
        <rFont val="Calibri"/>
        <family val="2"/>
        <scheme val="minor"/>
      </rPr>
      <t xml:space="preserve"> απο του οχλου</t>
    </r>
  </si>
  <si>
    <r>
      <t xml:space="preserve">προενγεισαι </t>
    </r>
    <r>
      <rPr>
        <b/>
        <sz val="11"/>
        <color theme="1"/>
        <rFont val="Calibri"/>
        <family val="2"/>
        <scheme val="minor"/>
      </rPr>
      <t>αυτω</t>
    </r>
    <r>
      <rPr>
        <sz val="11"/>
        <color theme="1"/>
        <rFont val="Calibri"/>
        <family val="2"/>
        <scheme val="minor"/>
      </rPr>
      <t xml:space="preserve"> απο του οχλου</t>
    </r>
  </si>
  <si>
    <r>
      <t xml:space="preserve">(6) λεγοντες (7) </t>
    </r>
    <r>
      <rPr>
        <b/>
        <sz val="11"/>
        <color theme="1"/>
        <rFont val="Calibri"/>
        <family val="2"/>
        <scheme val="minor"/>
      </rPr>
      <t>π</t>
    </r>
    <r>
      <rPr>
        <sz val="11"/>
        <color theme="1"/>
        <rFont val="Calibri"/>
        <family val="2"/>
        <scheme val="minor"/>
      </rPr>
      <t xml:space="preserve"> ουτος ουτως λαλει βλασφημει τις δυναται</t>
    </r>
  </si>
  <si>
    <r>
      <t xml:space="preserve">(6) λεγοντες (7) </t>
    </r>
    <r>
      <rPr>
        <b/>
        <sz val="11"/>
        <color theme="1"/>
        <rFont val="Calibri"/>
        <family val="2"/>
        <scheme val="minor"/>
      </rPr>
      <t>τι</t>
    </r>
    <r>
      <rPr>
        <sz val="11"/>
        <color theme="1"/>
        <rFont val="Calibri"/>
        <family val="2"/>
        <scheme val="minor"/>
      </rPr>
      <t xml:space="preserve"> ουτος λαλει ουτως βλασφημιας τις δυναται</t>
    </r>
  </si>
  <si>
    <r>
      <t xml:space="preserve">(6) λεγοντες (7) π ουτος </t>
    </r>
    <r>
      <rPr>
        <b/>
        <sz val="11"/>
        <color theme="1"/>
        <rFont val="Calibri"/>
        <family val="2"/>
        <scheme val="minor"/>
      </rPr>
      <t>ουτως λαλει</t>
    </r>
    <r>
      <rPr>
        <sz val="11"/>
        <color theme="1"/>
        <rFont val="Calibri"/>
        <family val="2"/>
        <scheme val="minor"/>
      </rPr>
      <t xml:space="preserve"> βλασφημει τις δυναται</t>
    </r>
  </si>
  <si>
    <r>
      <t xml:space="preserve">(6) λεγοντες (7) τι ουτος </t>
    </r>
    <r>
      <rPr>
        <b/>
        <sz val="11"/>
        <color theme="1"/>
        <rFont val="Calibri"/>
        <family val="2"/>
        <scheme val="minor"/>
      </rPr>
      <t>λαλει ουτως</t>
    </r>
    <r>
      <rPr>
        <sz val="11"/>
        <color theme="1"/>
        <rFont val="Calibri"/>
        <family val="2"/>
        <scheme val="minor"/>
      </rPr>
      <t xml:space="preserve"> βλασφημιας τις δυναται</t>
    </r>
  </si>
  <si>
    <r>
      <t xml:space="preserve">(6) λεγοντες (7) π ουτος ουτως λαλει </t>
    </r>
    <r>
      <rPr>
        <b/>
        <sz val="11"/>
        <color theme="1"/>
        <rFont val="Calibri"/>
        <family val="2"/>
        <scheme val="minor"/>
      </rPr>
      <t>βλασφημει</t>
    </r>
    <r>
      <rPr>
        <sz val="11"/>
        <color theme="1"/>
        <rFont val="Calibri"/>
        <family val="2"/>
        <scheme val="minor"/>
      </rPr>
      <t xml:space="preserve"> τις δυναται</t>
    </r>
  </si>
  <si>
    <r>
      <t xml:space="preserve">(6) λεγοντες (7) τι ουτος λαλει ουτως </t>
    </r>
    <r>
      <rPr>
        <b/>
        <sz val="11"/>
        <color theme="1"/>
        <rFont val="Calibri"/>
        <family val="2"/>
        <scheme val="minor"/>
      </rPr>
      <t>βλασφημιας</t>
    </r>
    <r>
      <rPr>
        <sz val="11"/>
        <color theme="1"/>
        <rFont val="Calibri"/>
        <family val="2"/>
        <scheme val="minor"/>
      </rPr>
      <t xml:space="preserve"> τις δυναται</t>
    </r>
  </si>
  <si>
    <t>αφιεναι τας αμαρτιας</t>
  </si>
  <si>
    <t>ει μη ο θς</t>
  </si>
  <si>
    <t>ει μη εις ο θεος</t>
  </si>
  <si>
    <t>Bezae marks τας for omission, B.10.3 does not follow</t>
  </si>
  <si>
    <t>παραλυτω εγειρε αρον τον κραβαττον σου και υπαγε εις τον οικον σου η ειπειν αφαιωνται σοι αι αμαρτιαι (10) ινα δε</t>
  </si>
  <si>
    <t>παραλυτικω αφαιωνται αι αμαρτιαι σου η ειπειν εγειρε αρον τον κραββατον σου και υπαγε εις τον οικον σου (10) ινα δε</t>
  </si>
  <si>
    <t>ωστε εξιστασθαι</t>
  </si>
  <si>
    <t>ωστε επιστασθαι</t>
  </si>
  <si>
    <t>οτι ουτως ουδεποτε ειδαμεν</t>
  </si>
  <si>
    <t>οτι ουδεποτε ουτως ειδαμεν</t>
  </si>
  <si>
    <t>πας οχλος</t>
  </si>
  <si>
    <t>πας ο οχλος</t>
  </si>
  <si>
    <t>εδιδασκεν αυτους (14) και παραγων</t>
  </si>
  <si>
    <t>εδιδασκεν (14) και παραγων</t>
  </si>
  <si>
    <t>πολλοι οι και</t>
  </si>
  <si>
    <t>πολλοι και</t>
  </si>
  <si>
    <t>και των τελωνων και</t>
  </si>
  <si>
    <t>και τελωνων και</t>
  </si>
  <si>
    <t>και των τελωνων εσθιει</t>
  </si>
  <si>
    <t>και τελωνων εσθιει</t>
  </si>
  <si>
    <t>τοτε νηστευουσιν εν εκεινη</t>
  </si>
  <si>
    <t>τοτε νηστευσουσιν εν εκεινη</t>
  </si>
  <si>
    <t>τους αρτους της προσθεσεως</t>
  </si>
  <si>
    <t>τους αρτους τους της προσθεσεως</t>
  </si>
  <si>
    <t>εφαγεν και εδωκεν τοις μετ αυτου ουσιν ους ουκ εξεστιν φαγειν</t>
  </si>
  <si>
    <t>εφαγεν ους ουκ εξεστιν φαγειν</t>
  </si>
  <si>
    <t>κατηγορησουσιν αυτον (3) και λεγει</t>
  </si>
  <si>
    <t>κατηγορησουσιν αυτου (3) και λεγει</t>
  </si>
  <si>
    <r>
      <t xml:space="preserve">εχοντι </t>
    </r>
    <r>
      <rPr>
        <b/>
        <sz val="11"/>
        <color theme="1"/>
        <rFont val="Calibri"/>
        <family val="2"/>
        <scheme val="minor"/>
      </rPr>
      <t>την χειρα εξηραμενην</t>
    </r>
    <r>
      <rPr>
        <sz val="11"/>
        <color theme="1"/>
        <rFont val="Calibri"/>
        <family val="2"/>
        <scheme val="minor"/>
      </rPr>
      <t xml:space="preserve"> εγειρε</t>
    </r>
  </si>
  <si>
    <r>
      <t xml:space="preserve">εχοντι </t>
    </r>
    <r>
      <rPr>
        <b/>
        <sz val="11"/>
        <color theme="1"/>
        <rFont val="Calibri"/>
        <family val="2"/>
        <scheme val="minor"/>
      </rPr>
      <t>ξηραν την χειρα</t>
    </r>
    <r>
      <rPr>
        <sz val="11"/>
        <color theme="1"/>
        <rFont val="Calibri"/>
        <family val="2"/>
        <scheme val="minor"/>
      </rPr>
      <t xml:space="preserve"> εγειρε</t>
    </r>
  </si>
  <si>
    <r>
      <t xml:space="preserve">εχοντι την χειρα </t>
    </r>
    <r>
      <rPr>
        <b/>
        <sz val="11"/>
        <color theme="1"/>
        <rFont val="Calibri"/>
        <family val="2"/>
        <scheme val="minor"/>
      </rPr>
      <t>εξηραμενην</t>
    </r>
    <r>
      <rPr>
        <sz val="11"/>
        <color theme="1"/>
        <rFont val="Calibri"/>
        <family val="2"/>
        <scheme val="minor"/>
      </rPr>
      <t xml:space="preserve"> εγειρε</t>
    </r>
  </si>
  <si>
    <r>
      <t xml:space="preserve">εχοντι </t>
    </r>
    <r>
      <rPr>
        <b/>
        <sz val="11"/>
        <color theme="1"/>
        <rFont val="Calibri"/>
        <family val="2"/>
        <scheme val="minor"/>
      </rPr>
      <t>ξηραν</t>
    </r>
    <r>
      <rPr>
        <sz val="11"/>
        <color theme="1"/>
        <rFont val="Calibri"/>
        <family val="2"/>
        <scheme val="minor"/>
      </rPr>
      <t xml:space="preserve"> την χειρα εγειρε</t>
    </r>
  </si>
  <si>
    <t>εξεστιν τοις σαββασιν αγαθοποιησαι η κακοποιησαι</t>
  </si>
  <si>
    <r>
      <t xml:space="preserve">εξεστιν </t>
    </r>
    <r>
      <rPr>
        <b/>
        <sz val="11"/>
        <color theme="1"/>
        <rFont val="Calibri"/>
        <family val="2"/>
        <scheme val="minor"/>
      </rPr>
      <t>εν</t>
    </r>
    <r>
      <rPr>
        <sz val="11"/>
        <color theme="1"/>
        <rFont val="Calibri"/>
        <family val="2"/>
        <scheme val="minor"/>
      </rPr>
      <t xml:space="preserve"> τοις σαββασιν τι αγαθον ποιησαι η κακοποιησαι</t>
    </r>
  </si>
  <si>
    <r>
      <t xml:space="preserve">εξεστιν εν τοις σαββασιν </t>
    </r>
    <r>
      <rPr>
        <b/>
        <sz val="11"/>
        <color theme="1"/>
        <rFont val="Calibri"/>
        <family val="2"/>
        <scheme val="minor"/>
      </rPr>
      <t>τι</t>
    </r>
    <r>
      <rPr>
        <sz val="11"/>
        <color theme="1"/>
        <rFont val="Calibri"/>
        <family val="2"/>
        <scheme val="minor"/>
      </rPr>
      <t xml:space="preserve"> αγαθον ποιησαι η κακοποιησαι</t>
    </r>
  </si>
  <si>
    <r>
      <t xml:space="preserve">εξεστιν εν τοις σαββασιν τι </t>
    </r>
    <r>
      <rPr>
        <b/>
        <sz val="11"/>
        <color theme="1"/>
        <rFont val="Calibri"/>
        <family val="2"/>
        <scheme val="minor"/>
      </rPr>
      <t>αγαθον ποιησαι</t>
    </r>
    <r>
      <rPr>
        <sz val="11"/>
        <color theme="1"/>
        <rFont val="Calibri"/>
        <family val="2"/>
        <scheme val="minor"/>
      </rPr>
      <t xml:space="preserve"> η κακοποιησαι</t>
    </r>
  </si>
  <si>
    <r>
      <t xml:space="preserve">εξεστιν τοις σαββασιν </t>
    </r>
    <r>
      <rPr>
        <b/>
        <sz val="11"/>
        <color theme="1"/>
        <rFont val="Calibri"/>
        <family val="2"/>
        <scheme val="minor"/>
      </rPr>
      <t>αγαθοποιησαι</t>
    </r>
    <r>
      <rPr>
        <sz val="11"/>
        <color theme="1"/>
        <rFont val="Calibri"/>
        <family val="2"/>
        <scheme val="minor"/>
      </rPr>
      <t xml:space="preserve"> η κακοποιησαι</t>
    </r>
  </si>
  <si>
    <t>Not clear to me that there is a correction in Bezae here</t>
  </si>
  <si>
    <t>περιβλεψαμενος αυτους μετ οργης</t>
  </si>
  <si>
    <t>περιβλεψαμενος αυτους αυτους μετ οργης</t>
  </si>
  <si>
    <t>εξετεινεν και</t>
  </si>
  <si>
    <t>εξετεινε και</t>
  </si>
  <si>
    <t>αυτου ευθεως (6) εξελθοντες</t>
  </si>
  <si>
    <t>αυτου υγιης (6) εξελθοντες</t>
  </si>
  <si>
    <t>φαρισαιοι μετα των</t>
  </si>
  <si>
    <t>φαρισαιοι ευθεως μετα των</t>
  </si>
  <si>
    <t>correction in Bezae not obvious to me</t>
  </si>
  <si>
    <r>
      <t xml:space="preserve">και πολυς οχλος απο της </t>
    </r>
    <r>
      <rPr>
        <b/>
        <sz val="11"/>
        <color theme="1"/>
        <rFont val="Calibri"/>
        <family val="2"/>
        <scheme val="minor"/>
      </rPr>
      <t>γαλειλαιος</t>
    </r>
  </si>
  <si>
    <r>
      <t xml:space="preserve">και πολυ πληθος απο της </t>
    </r>
    <r>
      <rPr>
        <b/>
        <sz val="11"/>
        <color theme="1"/>
        <rFont val="Calibri"/>
        <family val="2"/>
        <scheme val="minor"/>
      </rPr>
      <t>γαλιλαιας</t>
    </r>
  </si>
  <si>
    <t>και περαν του ιορδανου και οι περι σιδωνα</t>
  </si>
  <si>
    <r>
      <t xml:space="preserve">και </t>
    </r>
    <r>
      <rPr>
        <b/>
        <sz val="11"/>
        <color theme="1"/>
        <rFont val="Calibri"/>
        <family val="2"/>
        <scheme val="minor"/>
      </rPr>
      <t>οι</t>
    </r>
    <r>
      <rPr>
        <sz val="11"/>
        <color theme="1"/>
        <rFont val="Calibri"/>
        <family val="2"/>
        <scheme val="minor"/>
      </rPr>
      <t xml:space="preserve"> περαν του ιορδανου και οι περι τυρον και οι περι σιδωνα</t>
    </r>
  </si>
  <si>
    <r>
      <t xml:space="preserve">και οι περαν του ιορδανου </t>
    </r>
    <r>
      <rPr>
        <b/>
        <sz val="11"/>
        <color theme="1"/>
        <rFont val="Calibri"/>
        <family val="2"/>
        <scheme val="minor"/>
      </rPr>
      <t xml:space="preserve">και οι περι τυρον </t>
    </r>
    <r>
      <rPr>
        <sz val="11"/>
        <color theme="1"/>
        <rFont val="Calibri"/>
        <family val="2"/>
        <scheme val="minor"/>
      </rPr>
      <t>και οι περι σιδωνα</t>
    </r>
  </si>
  <si>
    <t>αυτον πολλοι (10) πολλους</t>
  </si>
  <si>
    <t>αυτον (10) πολλους</t>
  </si>
  <si>
    <t>επιπιπτειν εν αυτω</t>
  </si>
  <si>
    <t>επιπιπτειν αυτω</t>
  </si>
  <si>
    <t>και πνα ακαθαρτα</t>
  </si>
  <si>
    <r>
      <t xml:space="preserve">και </t>
    </r>
    <r>
      <rPr>
        <b/>
        <sz val="11"/>
        <color theme="1"/>
        <rFont val="Calibri"/>
        <family val="2"/>
        <scheme val="minor"/>
      </rPr>
      <t>τα</t>
    </r>
    <r>
      <rPr>
        <sz val="11"/>
        <color theme="1"/>
        <rFont val="Calibri"/>
        <family val="2"/>
        <scheme val="minor"/>
      </rPr>
      <t xml:space="preserve"> πνευματα τα ακαθαρτα</t>
    </r>
  </si>
  <si>
    <r>
      <t xml:space="preserve">και </t>
    </r>
    <r>
      <rPr>
        <b/>
        <sz val="11"/>
        <color theme="1"/>
        <rFont val="Calibri"/>
        <family val="2"/>
        <scheme val="minor"/>
      </rPr>
      <t>πνα</t>
    </r>
    <r>
      <rPr>
        <sz val="11"/>
        <color theme="1"/>
        <rFont val="Calibri"/>
        <family val="2"/>
        <scheme val="minor"/>
      </rPr>
      <t xml:space="preserve"> ακαθαρτα</t>
    </r>
  </si>
  <si>
    <r>
      <t xml:space="preserve">και τα </t>
    </r>
    <r>
      <rPr>
        <b/>
        <sz val="11"/>
        <color theme="1"/>
        <rFont val="Calibri"/>
        <family val="2"/>
        <scheme val="minor"/>
      </rPr>
      <t>πνευματα</t>
    </r>
    <r>
      <rPr>
        <sz val="11"/>
        <color theme="1"/>
        <rFont val="Calibri"/>
        <family val="2"/>
        <scheme val="minor"/>
      </rPr>
      <t xml:space="preserve"> τα ακαθαρτα</t>
    </r>
  </si>
  <si>
    <r>
      <t xml:space="preserve">και τα πνευματα </t>
    </r>
    <r>
      <rPr>
        <b/>
        <sz val="11"/>
        <color theme="1"/>
        <rFont val="Calibri"/>
        <family val="2"/>
        <scheme val="minor"/>
      </rPr>
      <t>τα</t>
    </r>
    <r>
      <rPr>
        <sz val="11"/>
        <color theme="1"/>
        <rFont val="Calibri"/>
        <family val="2"/>
        <scheme val="minor"/>
      </rPr>
      <t xml:space="preserve"> ακαθαρτα</t>
    </r>
  </si>
  <si>
    <t>λεγοντες συ ει</t>
  </si>
  <si>
    <t>λεγοντες οτι συ ει</t>
  </si>
  <si>
    <t>αποστελλη</t>
  </si>
  <si>
    <t>και ιωαννην</t>
  </si>
  <si>
    <t>και τον ιωαννην</t>
  </si>
  <si>
    <t>αδελφον αυτου και επεθηκεν</t>
  </si>
  <si>
    <t>αδελφον του ιακωβου και επεθηκεν</t>
  </si>
  <si>
    <r>
      <rPr>
        <b/>
        <sz val="11"/>
        <color theme="1"/>
        <rFont val="Calibri"/>
        <family val="2"/>
        <scheme val="minor"/>
      </rPr>
      <t>ονομα</t>
    </r>
    <r>
      <rPr>
        <sz val="11"/>
        <color theme="1"/>
        <rFont val="Calibri"/>
        <family val="2"/>
        <scheme val="minor"/>
      </rPr>
      <t xml:space="preserve"> βοανεργης</t>
    </r>
  </si>
  <si>
    <r>
      <rPr>
        <b/>
        <sz val="11"/>
        <color theme="1"/>
        <rFont val="Calibri"/>
        <family val="2"/>
        <scheme val="minor"/>
      </rPr>
      <t>ονοματα</t>
    </r>
    <r>
      <rPr>
        <sz val="11"/>
        <color theme="1"/>
        <rFont val="Calibri"/>
        <family val="2"/>
        <scheme val="minor"/>
      </rPr>
      <t xml:space="preserve"> βοανεργες</t>
    </r>
  </si>
  <si>
    <r>
      <t xml:space="preserve">ονομα </t>
    </r>
    <r>
      <rPr>
        <b/>
        <sz val="11"/>
        <color theme="1"/>
        <rFont val="Calibri"/>
        <family val="2"/>
        <scheme val="minor"/>
      </rPr>
      <t>βοανεργης</t>
    </r>
  </si>
  <si>
    <r>
      <t xml:space="preserve">ονοματα </t>
    </r>
    <r>
      <rPr>
        <b/>
        <sz val="11"/>
        <color theme="1"/>
        <rFont val="Calibri"/>
        <family val="2"/>
        <scheme val="minor"/>
      </rPr>
      <t>βοανεργες</t>
    </r>
  </si>
  <si>
    <t>σιμωνα το καναναιον</t>
  </si>
  <si>
    <t>σιμωνα τον καναναιον</t>
  </si>
  <si>
    <t>ιουδας σκαριωθ</t>
  </si>
  <si>
    <t>ιουδαν σκαριωθ</t>
  </si>
  <si>
    <t>και ο οχλος συνερχεται παλιν ωστε</t>
  </si>
  <si>
    <t>και συνερχεται παλιν ο οχλος ωστε</t>
  </si>
  <si>
    <t>γραμματειν και οι</t>
  </si>
  <si>
    <t>γραμματεις και οι</t>
  </si>
  <si>
    <t>κρατησαισαι αυτον</t>
  </si>
  <si>
    <t>κρατησαι αυτον</t>
  </si>
  <si>
    <t>εξεστη (22) και οι</t>
  </si>
  <si>
    <r>
      <rPr>
        <b/>
        <sz val="11"/>
        <color theme="1"/>
        <rFont val="Calibri"/>
        <family val="2"/>
        <scheme val="minor"/>
      </rPr>
      <t>εξεσταται</t>
    </r>
    <r>
      <rPr>
        <sz val="11"/>
        <color theme="1"/>
        <rFont val="Calibri"/>
        <family val="2"/>
        <scheme val="minor"/>
      </rPr>
      <t xml:space="preserve"> αυτους (22) και οι</t>
    </r>
  </si>
  <si>
    <r>
      <rPr>
        <b/>
        <sz val="11"/>
        <color theme="1"/>
        <rFont val="Calibri"/>
        <family val="2"/>
        <scheme val="minor"/>
      </rPr>
      <t>εξεστη</t>
    </r>
    <r>
      <rPr>
        <sz val="11"/>
        <color theme="1"/>
        <rFont val="Calibri"/>
        <family val="2"/>
        <scheme val="minor"/>
      </rPr>
      <t xml:space="preserve"> (22) και οι</t>
    </r>
  </si>
  <si>
    <r>
      <t xml:space="preserve">εξεσταται </t>
    </r>
    <r>
      <rPr>
        <b/>
        <sz val="11"/>
        <color theme="1"/>
        <rFont val="Calibri"/>
        <family val="2"/>
        <scheme val="minor"/>
      </rPr>
      <t>αυτους</t>
    </r>
    <r>
      <rPr>
        <sz val="11"/>
        <color theme="1"/>
        <rFont val="Calibri"/>
        <family val="2"/>
        <scheme val="minor"/>
      </rPr>
      <t xml:space="preserve"> (22) και οι</t>
    </r>
  </si>
  <si>
    <t>μερισθη ου δυναται</t>
  </si>
  <si>
    <t>μερισθη ου ου δυναται</t>
  </si>
  <si>
    <t>και εαν ο σατανας</t>
  </si>
  <si>
    <t>και ει ο σατανας</t>
  </si>
  <si>
    <t>μεμερισται</t>
  </si>
  <si>
    <t>ανθρωπων και βλασφημια οσας αν βλασφημησωσιν</t>
  </si>
  <si>
    <r>
      <t xml:space="preserve">ανθρωπων </t>
    </r>
    <r>
      <rPr>
        <b/>
        <sz val="11"/>
        <color theme="1"/>
        <rFont val="Calibri"/>
        <family val="2"/>
        <scheme val="minor"/>
      </rPr>
      <t>τα αμαρτηματα</t>
    </r>
    <r>
      <rPr>
        <sz val="11"/>
        <color theme="1"/>
        <rFont val="Calibri"/>
        <family val="2"/>
        <scheme val="minor"/>
      </rPr>
      <t xml:space="preserve"> και βλασφημιαι οσα αν βλασφημησωσιν</t>
    </r>
  </si>
  <si>
    <r>
      <t xml:space="preserve">ανθρωπων τα αμαρτηματα και </t>
    </r>
    <r>
      <rPr>
        <b/>
        <sz val="11"/>
        <color theme="1"/>
        <rFont val="Calibri"/>
        <family val="2"/>
        <scheme val="minor"/>
      </rPr>
      <t>βλασφημιαι</t>
    </r>
    <r>
      <rPr>
        <sz val="11"/>
        <color theme="1"/>
        <rFont val="Calibri"/>
        <family val="2"/>
        <scheme val="minor"/>
      </rPr>
      <t xml:space="preserve"> οσα αν βλασφημησωσιν</t>
    </r>
  </si>
  <si>
    <r>
      <t xml:space="preserve">ανθρωπων και </t>
    </r>
    <r>
      <rPr>
        <b/>
        <sz val="11"/>
        <color theme="1"/>
        <rFont val="Calibri"/>
        <family val="2"/>
        <scheme val="minor"/>
      </rPr>
      <t>βλασφημια</t>
    </r>
    <r>
      <rPr>
        <sz val="11"/>
        <color theme="1"/>
        <rFont val="Calibri"/>
        <family val="2"/>
        <scheme val="minor"/>
      </rPr>
      <t xml:space="preserve"> οσας αν βλασφημησωσιν</t>
    </r>
  </si>
  <si>
    <r>
      <t xml:space="preserve">ανθρωπων τα αμαρτηματα και βλασφημιαι </t>
    </r>
    <r>
      <rPr>
        <b/>
        <sz val="11"/>
        <color theme="1"/>
        <rFont val="Calibri"/>
        <family val="2"/>
        <scheme val="minor"/>
      </rPr>
      <t>οσα</t>
    </r>
    <r>
      <rPr>
        <sz val="11"/>
        <color theme="1"/>
        <rFont val="Calibri"/>
        <family val="2"/>
        <scheme val="minor"/>
      </rPr>
      <t xml:space="preserve"> αν βλασφημησωσιν</t>
    </r>
  </si>
  <si>
    <r>
      <t xml:space="preserve">ανθρωπων και βλασφημια </t>
    </r>
    <r>
      <rPr>
        <b/>
        <sz val="11"/>
        <color theme="1"/>
        <rFont val="Calibri"/>
        <family val="2"/>
        <scheme val="minor"/>
      </rPr>
      <t>οσας</t>
    </r>
    <r>
      <rPr>
        <sz val="11"/>
        <color theme="1"/>
        <rFont val="Calibri"/>
        <family val="2"/>
        <scheme val="minor"/>
      </rPr>
      <t xml:space="preserve"> αν βλασφημησωσιν</t>
    </r>
  </si>
  <si>
    <r>
      <t xml:space="preserve">ος </t>
    </r>
    <r>
      <rPr>
        <b/>
        <sz val="11"/>
        <color theme="1"/>
        <rFont val="Calibri"/>
        <family val="2"/>
        <scheme val="minor"/>
      </rPr>
      <t>αν δε</t>
    </r>
    <r>
      <rPr>
        <sz val="11"/>
        <color theme="1"/>
        <rFont val="Calibri"/>
        <family val="2"/>
        <scheme val="minor"/>
      </rPr>
      <t xml:space="preserve"> τις</t>
    </r>
  </si>
  <si>
    <r>
      <t xml:space="preserve">ος </t>
    </r>
    <r>
      <rPr>
        <b/>
        <sz val="11"/>
        <color theme="1"/>
        <rFont val="Calibri"/>
        <family val="2"/>
        <scheme val="minor"/>
      </rPr>
      <t>δ αν</t>
    </r>
    <r>
      <rPr>
        <sz val="11"/>
        <color theme="1"/>
        <rFont val="Calibri"/>
        <family val="2"/>
        <scheme val="minor"/>
      </rPr>
      <t xml:space="preserve"> τις</t>
    </r>
  </si>
  <si>
    <r>
      <t xml:space="preserve">ος αν </t>
    </r>
    <r>
      <rPr>
        <b/>
        <sz val="11"/>
        <color theme="1"/>
        <rFont val="Calibri"/>
        <family val="2"/>
        <scheme val="minor"/>
      </rPr>
      <t>δε</t>
    </r>
    <r>
      <rPr>
        <sz val="11"/>
        <color theme="1"/>
        <rFont val="Calibri"/>
        <family val="2"/>
        <scheme val="minor"/>
      </rPr>
      <t xml:space="preserve"> τις</t>
    </r>
  </si>
  <si>
    <r>
      <t xml:space="preserve">ος </t>
    </r>
    <r>
      <rPr>
        <b/>
        <sz val="11"/>
        <color theme="1"/>
        <rFont val="Calibri"/>
        <family val="2"/>
        <scheme val="minor"/>
      </rPr>
      <t>δ</t>
    </r>
    <r>
      <rPr>
        <sz val="11"/>
        <color theme="1"/>
        <rFont val="Calibri"/>
        <family val="2"/>
        <scheme val="minor"/>
      </rPr>
      <t xml:space="preserve"> αν τις</t>
    </r>
  </si>
  <si>
    <r>
      <rPr>
        <b/>
        <sz val="11"/>
        <color theme="1"/>
        <rFont val="Calibri"/>
        <family val="2"/>
        <scheme val="minor"/>
      </rPr>
      <t>αλλα</t>
    </r>
    <r>
      <rPr>
        <sz val="11"/>
        <color theme="1"/>
        <rFont val="Calibri"/>
        <family val="2"/>
        <scheme val="minor"/>
      </rPr>
      <t xml:space="preserve"> ενος εσται</t>
    </r>
  </si>
  <si>
    <r>
      <rPr>
        <b/>
        <sz val="11"/>
        <color theme="1"/>
        <rFont val="Calibri"/>
        <family val="2"/>
        <scheme val="minor"/>
      </rPr>
      <t>αλλ</t>
    </r>
    <r>
      <rPr>
        <sz val="11"/>
        <color theme="1"/>
        <rFont val="Calibri"/>
        <family val="2"/>
        <scheme val="minor"/>
      </rPr>
      <t xml:space="preserve"> ενοχος εσται</t>
    </r>
  </si>
  <si>
    <r>
      <t xml:space="preserve">αλλα </t>
    </r>
    <r>
      <rPr>
        <b/>
        <sz val="11"/>
        <color theme="1"/>
        <rFont val="Calibri"/>
        <family val="2"/>
        <scheme val="minor"/>
      </rPr>
      <t>ενος</t>
    </r>
    <r>
      <rPr>
        <sz val="11"/>
        <color theme="1"/>
        <rFont val="Calibri"/>
        <family val="2"/>
        <scheme val="minor"/>
      </rPr>
      <t xml:space="preserve"> εσται</t>
    </r>
  </si>
  <si>
    <r>
      <t xml:space="preserve">αλλ </t>
    </r>
    <r>
      <rPr>
        <b/>
        <sz val="11"/>
        <color theme="1"/>
        <rFont val="Calibri"/>
        <family val="2"/>
        <scheme val="minor"/>
      </rPr>
      <t>ενοχος</t>
    </r>
    <r>
      <rPr>
        <sz val="11"/>
        <color theme="1"/>
        <rFont val="Calibri"/>
        <family val="2"/>
        <scheme val="minor"/>
      </rPr>
      <t xml:space="preserve"> εσται</t>
    </r>
  </si>
  <si>
    <r>
      <t xml:space="preserve">καθημενους </t>
    </r>
    <r>
      <rPr>
        <b/>
        <sz val="11"/>
        <color theme="1"/>
        <rFont val="Calibri"/>
        <family val="2"/>
        <scheme val="minor"/>
      </rPr>
      <t>ειπεν</t>
    </r>
    <r>
      <rPr>
        <sz val="11"/>
        <color theme="1"/>
        <rFont val="Calibri"/>
        <family val="2"/>
        <scheme val="minor"/>
      </rPr>
      <t xml:space="preserve"> ιδου η μητηρ</t>
    </r>
  </si>
  <si>
    <r>
      <t xml:space="preserve">καθημενους </t>
    </r>
    <r>
      <rPr>
        <b/>
        <sz val="11"/>
        <color theme="1"/>
        <rFont val="Calibri"/>
        <family val="2"/>
        <scheme val="minor"/>
      </rPr>
      <t>λεγει</t>
    </r>
    <r>
      <rPr>
        <sz val="11"/>
        <color theme="1"/>
        <rFont val="Calibri"/>
        <family val="2"/>
        <scheme val="minor"/>
      </rPr>
      <t xml:space="preserve"> ιδε η μητηρ</t>
    </r>
  </si>
  <si>
    <r>
      <t xml:space="preserve">καθημενους ειπεν </t>
    </r>
    <r>
      <rPr>
        <b/>
        <sz val="11"/>
        <color theme="1"/>
        <rFont val="Calibri"/>
        <family val="2"/>
        <scheme val="minor"/>
      </rPr>
      <t>ιδου</t>
    </r>
    <r>
      <rPr>
        <sz val="11"/>
        <color theme="1"/>
        <rFont val="Calibri"/>
        <family val="2"/>
        <scheme val="minor"/>
      </rPr>
      <t xml:space="preserve"> η μητηρ</t>
    </r>
  </si>
  <si>
    <r>
      <t xml:space="preserve">καθημενους λεγει </t>
    </r>
    <r>
      <rPr>
        <b/>
        <sz val="11"/>
        <color theme="1"/>
        <rFont val="Calibri"/>
        <family val="2"/>
        <scheme val="minor"/>
      </rPr>
      <t>ιδε</t>
    </r>
    <r>
      <rPr>
        <sz val="11"/>
        <color theme="1"/>
        <rFont val="Calibri"/>
        <family val="2"/>
        <scheme val="minor"/>
      </rPr>
      <t xml:space="preserve"> η μητηρ</t>
    </r>
  </si>
  <si>
    <t>Bezae corrects to εξανετειλεν</t>
  </si>
  <si>
    <r>
      <rPr>
        <b/>
        <sz val="11"/>
        <color theme="1"/>
        <rFont val="Calibri"/>
        <family val="2"/>
        <scheme val="minor"/>
      </rPr>
      <t>και οτε ανετειλεν ο ηλιος</t>
    </r>
    <r>
      <rPr>
        <sz val="11"/>
        <color theme="1"/>
        <rFont val="Calibri"/>
        <family val="2"/>
        <scheme val="minor"/>
      </rPr>
      <t xml:space="preserve"> εκαυματισθησαν και δια</t>
    </r>
  </si>
  <si>
    <r>
      <rPr>
        <b/>
        <sz val="11"/>
        <color theme="1"/>
        <rFont val="Calibri"/>
        <family val="2"/>
        <scheme val="minor"/>
      </rPr>
      <t>ηλιου δε ανατειλαντος</t>
    </r>
    <r>
      <rPr>
        <sz val="11"/>
        <color theme="1"/>
        <rFont val="Calibri"/>
        <family val="2"/>
        <scheme val="minor"/>
      </rPr>
      <t xml:space="preserve"> εκαυματισθη και δια</t>
    </r>
  </si>
  <si>
    <r>
      <t xml:space="preserve">και οτε ανετειλεν ο ηλιος </t>
    </r>
    <r>
      <rPr>
        <b/>
        <sz val="11"/>
        <color theme="1"/>
        <rFont val="Calibri"/>
        <family val="2"/>
        <scheme val="minor"/>
      </rPr>
      <t>εκαυματισθησαν</t>
    </r>
    <r>
      <rPr>
        <sz val="11"/>
        <color theme="1"/>
        <rFont val="Calibri"/>
        <family val="2"/>
        <scheme val="minor"/>
      </rPr>
      <t xml:space="preserve"> και δια</t>
    </r>
  </si>
  <si>
    <r>
      <t xml:space="preserve">ηλιου δε ανατειλαντος </t>
    </r>
    <r>
      <rPr>
        <b/>
        <sz val="11"/>
        <color theme="1"/>
        <rFont val="Calibri"/>
        <family val="2"/>
        <scheme val="minor"/>
      </rPr>
      <t>εκαυματισθη</t>
    </r>
    <r>
      <rPr>
        <sz val="11"/>
        <color theme="1"/>
        <rFont val="Calibri"/>
        <family val="2"/>
        <scheme val="minor"/>
      </rPr>
      <t xml:space="preserve"> και δια</t>
    </r>
  </si>
  <si>
    <t>επεσεν επι τας ακανθας</t>
  </si>
  <si>
    <t>επεσεν εις τας ακανθας</t>
  </si>
  <si>
    <t>και οτε εγενετο</t>
  </si>
  <si>
    <t>οτε δε εγενετο</t>
  </si>
  <si>
    <t>αφεθησομαι αυτοις</t>
  </si>
  <si>
    <t>Bezae corrects to αφησω, B.10.3 does not follow</t>
  </si>
  <si>
    <t>λογον μετα χαρας</t>
  </si>
  <si>
    <t>λογον ευθεως μετα χαρας</t>
  </si>
  <si>
    <t>θλιψεως και διωγμου</t>
  </si>
  <si>
    <t>θλιψεως η διωγμου</t>
  </si>
  <si>
    <t>αι μεριμναις του βιου και απαται</t>
  </si>
  <si>
    <r>
      <t xml:space="preserve">αι </t>
    </r>
    <r>
      <rPr>
        <b/>
        <sz val="11"/>
        <color theme="1"/>
        <rFont val="Calibri"/>
        <family val="2"/>
        <scheme val="minor"/>
      </rPr>
      <t>μεριμναις</t>
    </r>
    <r>
      <rPr>
        <sz val="11"/>
        <color theme="1"/>
        <rFont val="Calibri"/>
        <family val="2"/>
        <scheme val="minor"/>
      </rPr>
      <t xml:space="preserve"> του βιου και απαται</t>
    </r>
  </si>
  <si>
    <r>
      <t xml:space="preserve">αι </t>
    </r>
    <r>
      <rPr>
        <b/>
        <sz val="11"/>
        <color theme="1"/>
        <rFont val="Calibri"/>
        <family val="2"/>
        <scheme val="minor"/>
      </rPr>
      <t>μεριμναι</t>
    </r>
    <r>
      <rPr>
        <sz val="11"/>
        <color theme="1"/>
        <rFont val="Calibri"/>
        <family val="2"/>
        <scheme val="minor"/>
      </rPr>
      <t xml:space="preserve"> του αιωνος και αι απαται</t>
    </r>
  </si>
  <si>
    <r>
      <t xml:space="preserve">αι μεριμναις του </t>
    </r>
    <r>
      <rPr>
        <b/>
        <sz val="11"/>
        <color theme="1"/>
        <rFont val="Calibri"/>
        <family val="2"/>
        <scheme val="minor"/>
      </rPr>
      <t>βιου</t>
    </r>
    <r>
      <rPr>
        <sz val="11"/>
        <color theme="1"/>
        <rFont val="Calibri"/>
        <family val="2"/>
        <scheme val="minor"/>
      </rPr>
      <t xml:space="preserve"> και απαται</t>
    </r>
  </si>
  <si>
    <r>
      <t xml:space="preserve">αι μεριμναι του </t>
    </r>
    <r>
      <rPr>
        <b/>
        <sz val="11"/>
        <color theme="1"/>
        <rFont val="Calibri"/>
        <family val="2"/>
        <scheme val="minor"/>
      </rPr>
      <t>αιωνος</t>
    </r>
    <r>
      <rPr>
        <sz val="11"/>
        <color theme="1"/>
        <rFont val="Calibri"/>
        <family val="2"/>
        <scheme val="minor"/>
      </rPr>
      <t xml:space="preserve"> και αι απαται</t>
    </r>
  </si>
  <si>
    <r>
      <t xml:space="preserve">αι μεριμναι του αιωνος και </t>
    </r>
    <r>
      <rPr>
        <b/>
        <sz val="11"/>
        <color theme="1"/>
        <rFont val="Calibri"/>
        <family val="2"/>
        <scheme val="minor"/>
      </rPr>
      <t>αι</t>
    </r>
    <r>
      <rPr>
        <sz val="11"/>
        <color theme="1"/>
        <rFont val="Calibri"/>
        <family val="2"/>
        <scheme val="minor"/>
      </rPr>
      <t xml:space="preserve"> απαται</t>
    </r>
  </si>
  <si>
    <t>μητι απτεται ο λυχνος ινα</t>
  </si>
  <si>
    <t>μητι ο λυχνος απτεται ινα</t>
  </si>
  <si>
    <t>ουχι ινα</t>
  </si>
  <si>
    <t>ουχ ινα</t>
  </si>
  <si>
    <t>βλαστα και</t>
  </si>
  <si>
    <t>βλαστανη και</t>
  </si>
  <si>
    <t>ομοια κοκκω</t>
  </si>
  <si>
    <t>ομοια εστιν κοκκω</t>
  </si>
  <si>
    <t>σιναπεως ο οτι αν σπαρη</t>
  </si>
  <si>
    <t>σιναπεως ως οταν σπαρη</t>
  </si>
  <si>
    <r>
      <t xml:space="preserve">σιναπεως </t>
    </r>
    <r>
      <rPr>
        <b/>
        <sz val="11"/>
        <color theme="1"/>
        <rFont val="Calibri"/>
        <family val="2"/>
        <scheme val="minor"/>
      </rPr>
      <t>ο</t>
    </r>
    <r>
      <rPr>
        <sz val="11"/>
        <color theme="1"/>
        <rFont val="Calibri"/>
        <family val="2"/>
        <scheme val="minor"/>
      </rPr>
      <t xml:space="preserve"> οτι αν σπαρη</t>
    </r>
  </si>
  <si>
    <r>
      <t xml:space="preserve">σιναπεως </t>
    </r>
    <r>
      <rPr>
        <b/>
        <sz val="11"/>
        <color theme="1"/>
        <rFont val="Calibri"/>
        <family val="2"/>
        <scheme val="minor"/>
      </rPr>
      <t>ως</t>
    </r>
    <r>
      <rPr>
        <sz val="11"/>
        <color theme="1"/>
        <rFont val="Calibri"/>
        <family val="2"/>
        <scheme val="minor"/>
      </rPr>
      <t xml:space="preserve"> οταν σπαρη</t>
    </r>
  </si>
  <si>
    <t>Bezae corrects to ος</t>
  </si>
  <si>
    <t>μεικροτερον εστιν</t>
  </si>
  <si>
    <t>μικροτερος εστιν</t>
  </si>
  <si>
    <t>Bezae corrects to μεικροτερος</t>
  </si>
  <si>
    <t>υπο την τον σκειαν</t>
  </si>
  <si>
    <t>υπο την σκειαν</t>
  </si>
  <si>
    <t>επελυε αυτας</t>
  </si>
  <si>
    <t>Bezae corrects to επελυεν</t>
  </si>
  <si>
    <t>και εγερθεις</t>
  </si>
  <si>
    <t>και διεγερθεις</t>
  </si>
  <si>
    <t>οτι και η θαλασσα και οι ανεμοι υπακουουσιν (5:1) και ηλθον</t>
  </si>
  <si>
    <r>
      <t xml:space="preserve">οτι </t>
    </r>
    <r>
      <rPr>
        <b/>
        <sz val="11"/>
        <color theme="1"/>
        <rFont val="Calibri"/>
        <family val="2"/>
        <scheme val="minor"/>
      </rPr>
      <t>και</t>
    </r>
    <r>
      <rPr>
        <sz val="11"/>
        <color theme="1"/>
        <rFont val="Calibri"/>
        <family val="2"/>
        <scheme val="minor"/>
      </rPr>
      <t xml:space="preserve"> </t>
    </r>
    <r>
      <rPr>
        <b/>
        <sz val="11"/>
        <color theme="1"/>
        <rFont val="Calibri"/>
        <family val="2"/>
        <scheme val="minor"/>
      </rPr>
      <t xml:space="preserve">η θαλασσα και οι ανεμοι </t>
    </r>
    <r>
      <rPr>
        <sz val="11"/>
        <color theme="1"/>
        <rFont val="Calibri"/>
        <family val="2"/>
        <scheme val="minor"/>
      </rPr>
      <t>υπακουουσιν (5:1) και ηλθον</t>
    </r>
  </si>
  <si>
    <r>
      <t xml:space="preserve">οτι </t>
    </r>
    <r>
      <rPr>
        <b/>
        <sz val="11"/>
        <color theme="1"/>
        <rFont val="Calibri"/>
        <family val="2"/>
        <scheme val="minor"/>
      </rPr>
      <t>και ο ανεμος και η θαλασσα</t>
    </r>
    <r>
      <rPr>
        <sz val="11"/>
        <color theme="1"/>
        <rFont val="Calibri"/>
        <family val="2"/>
        <scheme val="minor"/>
      </rPr>
      <t xml:space="preserve"> υπακουουσιν αυτω (5:1) και ηλθον</t>
    </r>
  </si>
  <si>
    <r>
      <t xml:space="preserve">οτι και η θαλασσα και </t>
    </r>
    <r>
      <rPr>
        <b/>
        <sz val="11"/>
        <color theme="1"/>
        <rFont val="Calibri"/>
        <family val="2"/>
        <scheme val="minor"/>
      </rPr>
      <t>οι ανεμοι</t>
    </r>
    <r>
      <rPr>
        <sz val="11"/>
        <color theme="1"/>
        <rFont val="Calibri"/>
        <family val="2"/>
        <scheme val="minor"/>
      </rPr>
      <t xml:space="preserve"> υπακουουσιν (5:1) και ηλθον</t>
    </r>
  </si>
  <si>
    <r>
      <t xml:space="preserve">οτι και </t>
    </r>
    <r>
      <rPr>
        <b/>
        <sz val="11"/>
        <color theme="1"/>
        <rFont val="Calibri"/>
        <family val="2"/>
        <scheme val="minor"/>
      </rPr>
      <t>ο ανεμος</t>
    </r>
    <r>
      <rPr>
        <sz val="11"/>
        <color theme="1"/>
        <rFont val="Calibri"/>
        <family val="2"/>
        <scheme val="minor"/>
      </rPr>
      <t xml:space="preserve"> και η θαλασσα υπακουουσιν αυτω (5:1) και ηλθον</t>
    </r>
  </si>
  <si>
    <r>
      <t xml:space="preserve">οτι και ο ανεμος και η θαλασσα υπακουουσιν </t>
    </r>
    <r>
      <rPr>
        <b/>
        <sz val="11"/>
        <color theme="1"/>
        <rFont val="Calibri"/>
        <family val="2"/>
        <scheme val="minor"/>
      </rPr>
      <t>αυτω</t>
    </r>
    <r>
      <rPr>
        <sz val="11"/>
        <color theme="1"/>
        <rFont val="Calibri"/>
        <family val="2"/>
        <scheme val="minor"/>
      </rPr>
      <t xml:space="preserve"> (5:1) και ηλθον</t>
    </r>
  </si>
  <si>
    <t>ευθεως υπηντησεν</t>
  </si>
  <si>
    <t>ευθεως απηντησεν</t>
  </si>
  <si>
    <t>ειχεν την κατοικησιν</t>
  </si>
  <si>
    <t>ειχεν κατοικησιν</t>
  </si>
  <si>
    <t>αλυσεσιν εν αις</t>
  </si>
  <si>
    <t>αλυσεσιν εν οις</t>
  </si>
  <si>
    <r>
      <t xml:space="preserve">και </t>
    </r>
    <r>
      <rPr>
        <b/>
        <sz val="11"/>
        <color theme="1"/>
        <rFont val="Calibri"/>
        <family val="2"/>
        <scheme val="minor"/>
      </rPr>
      <t>μηδενα</t>
    </r>
    <r>
      <rPr>
        <sz val="11"/>
        <color theme="1"/>
        <rFont val="Calibri"/>
        <family val="2"/>
        <scheme val="minor"/>
      </rPr>
      <t xml:space="preserve"> αυτον ισχυν δαμασαι</t>
    </r>
  </si>
  <si>
    <r>
      <t xml:space="preserve">και </t>
    </r>
    <r>
      <rPr>
        <b/>
        <sz val="11"/>
        <color theme="1"/>
        <rFont val="Calibri"/>
        <family val="2"/>
        <scheme val="minor"/>
      </rPr>
      <t>ουδεις</t>
    </r>
    <r>
      <rPr>
        <sz val="11"/>
        <color theme="1"/>
        <rFont val="Calibri"/>
        <family val="2"/>
        <scheme val="minor"/>
      </rPr>
      <t xml:space="preserve"> αυτον ισχυε δαμασαι</t>
    </r>
  </si>
  <si>
    <r>
      <t xml:space="preserve">και μηδενα αυτον </t>
    </r>
    <r>
      <rPr>
        <b/>
        <sz val="11"/>
        <color theme="1"/>
        <rFont val="Calibri"/>
        <family val="2"/>
        <scheme val="minor"/>
      </rPr>
      <t>ισχυν</t>
    </r>
    <r>
      <rPr>
        <sz val="11"/>
        <color theme="1"/>
        <rFont val="Calibri"/>
        <family val="2"/>
        <scheme val="minor"/>
      </rPr>
      <t xml:space="preserve"> δαμασαι</t>
    </r>
  </si>
  <si>
    <r>
      <t xml:space="preserve">και ουδεις αυτον </t>
    </r>
    <r>
      <rPr>
        <b/>
        <sz val="11"/>
        <color theme="1"/>
        <rFont val="Calibri"/>
        <family val="2"/>
        <scheme val="minor"/>
      </rPr>
      <t>ισχυε</t>
    </r>
    <r>
      <rPr>
        <sz val="11"/>
        <color theme="1"/>
        <rFont val="Calibri"/>
        <family val="2"/>
        <scheme val="minor"/>
      </rPr>
      <t xml:space="preserve"> δαμασαι</t>
    </r>
  </si>
  <si>
    <t>Bezae corrects to ισχυιν</t>
  </si>
  <si>
    <t>υιε του θυ του υπιστου</t>
  </si>
  <si>
    <t>υιε του υψιστου</t>
  </si>
  <si>
    <t>αυτω ο ιηυ εξελθε</t>
  </si>
  <si>
    <t>αυτω εξελθε</t>
  </si>
  <si>
    <t>Bezae corrects ιηυ -&gt; ιηυς</t>
  </si>
  <si>
    <t>ονομα εστιν και</t>
  </si>
  <si>
    <t>ονομα και</t>
  </si>
  <si>
    <t>χοιρων βοσκομενη</t>
  </si>
  <si>
    <t>χοιρων μεγαλη βοσκομενη</t>
  </si>
  <si>
    <r>
      <rPr>
        <b/>
        <sz val="11"/>
        <color theme="1"/>
        <rFont val="Calibri"/>
        <family val="2"/>
        <scheme val="minor"/>
      </rPr>
      <t>παρεκαλου</t>
    </r>
    <r>
      <rPr>
        <sz val="11"/>
        <color theme="1"/>
        <rFont val="Calibri"/>
        <family val="2"/>
        <scheme val="minor"/>
      </rPr>
      <t xml:space="preserve"> τον τα δαιμονια</t>
    </r>
  </si>
  <si>
    <r>
      <rPr>
        <b/>
        <sz val="11"/>
        <color theme="1"/>
        <rFont val="Calibri"/>
        <family val="2"/>
        <scheme val="minor"/>
      </rPr>
      <t>παρεκαλουν</t>
    </r>
    <r>
      <rPr>
        <sz val="11"/>
        <color theme="1"/>
        <rFont val="Calibri"/>
        <family val="2"/>
        <scheme val="minor"/>
      </rPr>
      <t xml:space="preserve"> αυτον τα δαιμονια</t>
    </r>
  </si>
  <si>
    <r>
      <t xml:space="preserve">παρεκαλουν </t>
    </r>
    <r>
      <rPr>
        <b/>
        <sz val="11"/>
        <color theme="1"/>
        <rFont val="Calibri"/>
        <family val="2"/>
        <scheme val="minor"/>
      </rPr>
      <t>αυτον</t>
    </r>
    <r>
      <rPr>
        <sz val="11"/>
        <color theme="1"/>
        <rFont val="Calibri"/>
        <family val="2"/>
        <scheme val="minor"/>
      </rPr>
      <t xml:space="preserve"> τα δαιμονια</t>
    </r>
  </si>
  <si>
    <r>
      <t xml:space="preserve">παρεκαλου </t>
    </r>
    <r>
      <rPr>
        <b/>
        <sz val="11"/>
        <color theme="1"/>
        <rFont val="Calibri"/>
        <family val="2"/>
        <scheme val="minor"/>
      </rPr>
      <t>τον</t>
    </r>
    <r>
      <rPr>
        <sz val="11"/>
        <color theme="1"/>
        <rFont val="Calibri"/>
        <family val="2"/>
        <scheme val="minor"/>
      </rPr>
      <t xml:space="preserve"> τα δαιμονια</t>
    </r>
  </si>
  <si>
    <t>επεμψεν αυτους εις τους χοιρους και εξελθοντα</t>
  </si>
  <si>
    <t>επεμψεν αυτους και εξελθοντα</t>
  </si>
  <si>
    <t>τα πνα</t>
  </si>
  <si>
    <t>τα πνευματα</t>
  </si>
  <si>
    <t>θαλασσαν ως δισχειλιοι</t>
  </si>
  <si>
    <t>θαλασσαν ησαν δε ως δισχειλιοι</t>
  </si>
  <si>
    <t>βοσκοντες αυτος</t>
  </si>
  <si>
    <t>βοσκοντες αυτους</t>
  </si>
  <si>
    <t>θεωρουσιν αυτον τον δαιμονιζομενον</t>
  </si>
  <si>
    <t>θεωρουσιν τον δαιμονιζομενον</t>
  </si>
  <si>
    <t>εγενετο αυτω τω δαιμονιζομενω</t>
  </si>
  <si>
    <t>εγενετο τω δαιμονιζομενω</t>
  </si>
  <si>
    <t>ο θεος εποιησεν</t>
  </si>
  <si>
    <t>ο κυριος εποιησεν</t>
  </si>
  <si>
    <t>ηλεησεν σε (20) και</t>
  </si>
  <si>
    <t>ηλεησεν (20) και</t>
  </si>
  <si>
    <t>(22) αυτου (23) παρακαλων</t>
  </si>
  <si>
    <t>(22) αυτου (23) και παρακαλων</t>
  </si>
  <si>
    <t>και υπηγεν μετ αυτου</t>
  </si>
  <si>
    <t>και απηλθεν μετ αυτου</t>
  </si>
  <si>
    <t>μαλλον επι το χειρον</t>
  </si>
  <si>
    <t>μαλλον εις το χειρον</t>
  </si>
  <si>
    <t>ακουσασα πε του ιηυ</t>
  </si>
  <si>
    <t>ακουσασα περι του ιησου</t>
  </si>
  <si>
    <t>οπισθεν και ηψατο</t>
  </si>
  <si>
    <t>ιματιου αυτου εν</t>
  </si>
  <si>
    <t>οπισθεν ηψατο</t>
  </si>
  <si>
    <t>ιματιου εν</t>
  </si>
  <si>
    <t>και ευθεως ο ιησους επιγνους την δυναμιν την εξεθλθουσαν</t>
  </si>
  <si>
    <t>και ευθεως επιγνους και ο ιης την δυναμιν εξελθουσαν</t>
  </si>
  <si>
    <r>
      <t xml:space="preserve">και ευθεως </t>
    </r>
    <r>
      <rPr>
        <b/>
        <sz val="11"/>
        <color theme="1"/>
        <rFont val="Calibri"/>
        <family val="2"/>
        <scheme val="minor"/>
      </rPr>
      <t>επιγνους</t>
    </r>
    <r>
      <rPr>
        <sz val="11"/>
        <color theme="1"/>
        <rFont val="Calibri"/>
        <family val="2"/>
        <scheme val="minor"/>
      </rPr>
      <t xml:space="preserve"> και </t>
    </r>
    <r>
      <rPr>
        <b/>
        <sz val="11"/>
        <color theme="1"/>
        <rFont val="Calibri"/>
        <family val="2"/>
        <scheme val="minor"/>
      </rPr>
      <t>ο ιης</t>
    </r>
    <r>
      <rPr>
        <sz val="11"/>
        <color theme="1"/>
        <rFont val="Calibri"/>
        <family val="2"/>
        <scheme val="minor"/>
      </rPr>
      <t xml:space="preserve"> την δυναμιν εξελθουσαν</t>
    </r>
  </si>
  <si>
    <r>
      <t xml:space="preserve">και ευθεως </t>
    </r>
    <r>
      <rPr>
        <b/>
        <sz val="11"/>
        <color theme="1"/>
        <rFont val="Calibri"/>
        <family val="2"/>
        <scheme val="minor"/>
      </rPr>
      <t>ο ιησους επιγνους</t>
    </r>
    <r>
      <rPr>
        <sz val="11"/>
        <color theme="1"/>
        <rFont val="Calibri"/>
        <family val="2"/>
        <scheme val="minor"/>
      </rPr>
      <t xml:space="preserve"> την δυναμιν την εξεθλθουσαν</t>
    </r>
  </si>
  <si>
    <r>
      <t xml:space="preserve">και ευθεως επιγνους </t>
    </r>
    <r>
      <rPr>
        <b/>
        <sz val="11"/>
        <color theme="1"/>
        <rFont val="Calibri"/>
        <family val="2"/>
        <scheme val="minor"/>
      </rPr>
      <t>και</t>
    </r>
    <r>
      <rPr>
        <sz val="11"/>
        <color theme="1"/>
        <rFont val="Calibri"/>
        <family val="2"/>
        <scheme val="minor"/>
      </rPr>
      <t xml:space="preserve"> ο ιης την δυναμιν εξελθουσαν</t>
    </r>
  </si>
  <si>
    <r>
      <t xml:space="preserve">και ευθεως ο ιησους επιγνους την δυναμιν </t>
    </r>
    <r>
      <rPr>
        <b/>
        <sz val="11"/>
        <color theme="1"/>
        <rFont val="Calibri"/>
        <family val="2"/>
        <scheme val="minor"/>
      </rPr>
      <t>την</t>
    </r>
    <r>
      <rPr>
        <sz val="11"/>
        <color theme="1"/>
        <rFont val="Calibri"/>
        <family val="2"/>
        <scheme val="minor"/>
      </rPr>
      <t xml:space="preserve"> εξεθλθουσαν</t>
    </r>
  </si>
  <si>
    <t>πεποιηκει λαθρα</t>
  </si>
  <si>
    <t>πεποιηκεν λαθρα</t>
  </si>
  <si>
    <t>γεγονεν επ αυτη</t>
  </si>
  <si>
    <t>γεγονεν αυτη</t>
  </si>
  <si>
    <t>ο δε ιης ειπεν</t>
  </si>
  <si>
    <t>ο δε ις ιησους ειπεν</t>
  </si>
  <si>
    <t>και σθι</t>
  </si>
  <si>
    <t>και ισθι</t>
  </si>
  <si>
    <t>λεγοντες αυτω οτι</t>
  </si>
  <si>
    <t>λεγοντες οτι</t>
  </si>
  <si>
    <t>ιης ακουσας</t>
  </si>
  <si>
    <t>ιης ταυτα ακουσας</t>
  </si>
  <si>
    <t>μετ αυτου και εισεπορευεται οπου</t>
  </si>
  <si>
    <r>
      <t xml:space="preserve">μετ αυτου </t>
    </r>
    <r>
      <rPr>
        <b/>
        <sz val="11"/>
        <color theme="1"/>
        <rFont val="Calibri"/>
        <family val="2"/>
        <scheme val="minor"/>
      </rPr>
      <t>οντας</t>
    </r>
    <r>
      <rPr>
        <sz val="11"/>
        <color theme="1"/>
        <rFont val="Calibri"/>
        <family val="2"/>
        <scheme val="minor"/>
      </rPr>
      <t xml:space="preserve"> και εισεπορευετο οπου</t>
    </r>
  </si>
  <si>
    <r>
      <t xml:space="preserve">μετ αυτου οντας και </t>
    </r>
    <r>
      <rPr>
        <b/>
        <sz val="11"/>
        <color theme="1"/>
        <rFont val="Calibri"/>
        <family val="2"/>
        <scheme val="minor"/>
      </rPr>
      <t>εισεπορευετο</t>
    </r>
    <r>
      <rPr>
        <sz val="11"/>
        <color theme="1"/>
        <rFont val="Calibri"/>
        <family val="2"/>
        <scheme val="minor"/>
      </rPr>
      <t xml:space="preserve"> οπου</t>
    </r>
  </si>
  <si>
    <r>
      <t xml:space="preserve">μετ αυτου και </t>
    </r>
    <r>
      <rPr>
        <b/>
        <sz val="11"/>
        <color theme="1"/>
        <rFont val="Calibri"/>
        <family val="2"/>
        <scheme val="minor"/>
      </rPr>
      <t>εισεπορευεται</t>
    </r>
    <r>
      <rPr>
        <sz val="11"/>
        <color theme="1"/>
        <rFont val="Calibri"/>
        <family val="2"/>
        <scheme val="minor"/>
      </rPr>
      <t xml:space="preserve"> οπου</t>
    </r>
  </si>
  <si>
    <r>
      <rPr>
        <b/>
        <sz val="11"/>
        <color theme="1"/>
        <rFont val="Calibri"/>
        <family val="2"/>
        <scheme val="minor"/>
      </rPr>
      <t>ημερα</t>
    </r>
    <r>
      <rPr>
        <sz val="11"/>
        <color theme="1"/>
        <rFont val="Calibri"/>
        <family val="2"/>
        <scheme val="minor"/>
      </rPr>
      <t xml:space="preserve"> σαββατων ηρξατο</t>
    </r>
  </si>
  <si>
    <r>
      <rPr>
        <b/>
        <sz val="11"/>
        <color theme="1"/>
        <rFont val="Calibri"/>
        <family val="2"/>
        <scheme val="minor"/>
      </rPr>
      <t>ημερας</t>
    </r>
    <r>
      <rPr>
        <sz val="11"/>
        <color theme="1"/>
        <rFont val="Calibri"/>
        <family val="2"/>
        <scheme val="minor"/>
      </rPr>
      <t xml:space="preserve"> σαββατου ηρξατο</t>
    </r>
  </si>
  <si>
    <r>
      <t xml:space="preserve">ημερα </t>
    </r>
    <r>
      <rPr>
        <b/>
        <sz val="11"/>
        <color theme="1"/>
        <rFont val="Calibri"/>
        <family val="2"/>
        <scheme val="minor"/>
      </rPr>
      <t>σαββατων</t>
    </r>
    <r>
      <rPr>
        <sz val="11"/>
        <color theme="1"/>
        <rFont val="Calibri"/>
        <family val="2"/>
        <scheme val="minor"/>
      </rPr>
      <t xml:space="preserve"> ηρξατο</t>
    </r>
  </si>
  <si>
    <r>
      <t xml:space="preserve">ημερας </t>
    </r>
    <r>
      <rPr>
        <b/>
        <sz val="11"/>
        <color theme="1"/>
        <rFont val="Calibri"/>
        <family val="2"/>
        <scheme val="minor"/>
      </rPr>
      <t>σαββατου</t>
    </r>
    <r>
      <rPr>
        <sz val="11"/>
        <color theme="1"/>
        <rFont val="Calibri"/>
        <family val="2"/>
        <scheme val="minor"/>
      </rPr>
      <t xml:space="preserve"> ηρξατο</t>
    </r>
  </si>
  <si>
    <t>ουκ ουτος</t>
  </si>
  <si>
    <t>ουχ ουτος</t>
  </si>
  <si>
    <t>ιωσητος και</t>
  </si>
  <si>
    <t>ιωση και</t>
  </si>
  <si>
    <t xml:space="preserve">και αι αδελφαι </t>
  </si>
  <si>
    <t xml:space="preserve">και αδελφαι </t>
  </si>
  <si>
    <t>εισιν και</t>
  </si>
  <si>
    <t>εισι και</t>
  </si>
  <si>
    <t>Bezae corrects to εν τοις συνγενευσιν και</t>
  </si>
  <si>
    <t>προσκαλεσαμενος τους ιβ</t>
  </si>
  <si>
    <t>προσκαλειται τους ιβ</t>
  </si>
  <si>
    <t>εινα μηδεν ερωσιν</t>
  </si>
  <si>
    <t>εινα μηδεν μηδεν ερωσιν</t>
  </si>
  <si>
    <t>ελεγοσαν οτι</t>
  </si>
  <si>
    <t>ελεγεν οτι</t>
  </si>
  <si>
    <t>ιωαννης βαπτιστης ηγειγερται</t>
  </si>
  <si>
    <r>
      <t xml:space="preserve">ιωαννης </t>
    </r>
    <r>
      <rPr>
        <b/>
        <sz val="11"/>
        <color theme="1"/>
        <rFont val="Calibri"/>
        <family val="2"/>
        <scheme val="minor"/>
      </rPr>
      <t>ο</t>
    </r>
    <r>
      <rPr>
        <sz val="11"/>
        <color theme="1"/>
        <rFont val="Calibri"/>
        <family val="2"/>
        <scheme val="minor"/>
      </rPr>
      <t xml:space="preserve"> βαπτιστης εγηγερται</t>
    </r>
  </si>
  <si>
    <r>
      <t xml:space="preserve">ιωαννης ο βαπτιστης </t>
    </r>
    <r>
      <rPr>
        <b/>
        <sz val="11"/>
        <color theme="1"/>
        <rFont val="Calibri"/>
        <family val="2"/>
        <scheme val="minor"/>
      </rPr>
      <t>εγηγερται</t>
    </r>
  </si>
  <si>
    <r>
      <t xml:space="preserve">ιωαννης βαπτιστης </t>
    </r>
    <r>
      <rPr>
        <b/>
        <sz val="11"/>
        <color theme="1"/>
        <rFont val="Calibri"/>
        <family val="2"/>
        <scheme val="minor"/>
      </rPr>
      <t>ηγειγερται</t>
    </r>
  </si>
  <si>
    <t>εις φυλακην</t>
  </si>
  <si>
    <t>εις την φυλακην</t>
  </si>
  <si>
    <t xml:space="preserve">γαρ ιωαννης </t>
  </si>
  <si>
    <t xml:space="preserve">γαρ ο ιωαννης </t>
  </si>
  <si>
    <t>ηρωδη ουκ εξεστιν</t>
  </si>
  <si>
    <t>ηρωδη οτι ουκ εξεστιν</t>
  </si>
  <si>
    <t>εχειν αυτην γυναικα</t>
  </si>
  <si>
    <t>εχειν την γυναικα</t>
  </si>
  <si>
    <r>
      <rPr>
        <b/>
        <sz val="11"/>
        <color theme="1"/>
        <rFont val="Calibri"/>
        <family val="2"/>
        <scheme val="minor"/>
      </rPr>
      <t>ηρωδιας</t>
    </r>
    <r>
      <rPr>
        <sz val="11"/>
        <color theme="1"/>
        <rFont val="Calibri"/>
        <family val="2"/>
        <scheme val="minor"/>
      </rPr>
      <t xml:space="preserve"> ηνιχεν αυτω</t>
    </r>
  </si>
  <si>
    <r>
      <rPr>
        <b/>
        <sz val="11"/>
        <color theme="1"/>
        <rFont val="Calibri"/>
        <family val="2"/>
        <scheme val="minor"/>
      </rPr>
      <t>ηρωδιαδας</t>
    </r>
    <r>
      <rPr>
        <sz val="11"/>
        <color theme="1"/>
        <rFont val="Calibri"/>
        <family val="2"/>
        <scheme val="minor"/>
      </rPr>
      <t xml:space="preserve"> ενειχεν αυτω</t>
    </r>
  </si>
  <si>
    <r>
      <t xml:space="preserve">ηρωδιας </t>
    </r>
    <r>
      <rPr>
        <b/>
        <sz val="11"/>
        <color theme="1"/>
        <rFont val="Calibri"/>
        <family val="2"/>
        <scheme val="minor"/>
      </rPr>
      <t>ηνιχεν</t>
    </r>
    <r>
      <rPr>
        <sz val="11"/>
        <color theme="1"/>
        <rFont val="Calibri"/>
        <family val="2"/>
        <scheme val="minor"/>
      </rPr>
      <t xml:space="preserve"> αυτω</t>
    </r>
  </si>
  <si>
    <r>
      <t xml:space="preserve">ηρωδιαδας </t>
    </r>
    <r>
      <rPr>
        <b/>
        <sz val="11"/>
        <color theme="1"/>
        <rFont val="Calibri"/>
        <family val="2"/>
        <scheme val="minor"/>
      </rPr>
      <t>ενειχεν</t>
    </r>
    <r>
      <rPr>
        <sz val="11"/>
        <color theme="1"/>
        <rFont val="Calibri"/>
        <family val="2"/>
        <scheme val="minor"/>
      </rPr>
      <t xml:space="preserve"> αυτω</t>
    </r>
  </si>
  <si>
    <r>
      <t xml:space="preserve">ηθελεν αποκτειναι αυτον και </t>
    </r>
    <r>
      <rPr>
        <b/>
        <sz val="11"/>
        <color theme="1"/>
        <rFont val="Calibri"/>
        <family val="2"/>
        <scheme val="minor"/>
      </rPr>
      <t>ουχ</t>
    </r>
    <r>
      <rPr>
        <sz val="11"/>
        <color theme="1"/>
        <rFont val="Calibri"/>
        <family val="2"/>
        <scheme val="minor"/>
      </rPr>
      <t xml:space="preserve"> ηδυνατο</t>
    </r>
  </si>
  <si>
    <r>
      <t xml:space="preserve">ηθελεν αυτον αποκτειναι και </t>
    </r>
    <r>
      <rPr>
        <b/>
        <sz val="11"/>
        <color theme="1"/>
        <rFont val="Calibri"/>
        <family val="2"/>
        <scheme val="minor"/>
      </rPr>
      <t>ουκ</t>
    </r>
    <r>
      <rPr>
        <sz val="11"/>
        <color theme="1"/>
        <rFont val="Calibri"/>
        <family val="2"/>
        <scheme val="minor"/>
      </rPr>
      <t xml:space="preserve"> ηδυνατο</t>
    </r>
  </si>
  <si>
    <r>
      <t xml:space="preserve">ηθελεν </t>
    </r>
    <r>
      <rPr>
        <b/>
        <sz val="11"/>
        <color theme="1"/>
        <rFont val="Calibri"/>
        <family val="2"/>
        <scheme val="minor"/>
      </rPr>
      <t>αποκτειναι αυτον</t>
    </r>
    <r>
      <rPr>
        <sz val="11"/>
        <color theme="1"/>
        <rFont val="Calibri"/>
        <family val="2"/>
        <scheme val="minor"/>
      </rPr>
      <t xml:space="preserve"> και ουχ ηδυνατο</t>
    </r>
  </si>
  <si>
    <r>
      <t xml:space="preserve">ηθελεν </t>
    </r>
    <r>
      <rPr>
        <b/>
        <sz val="11"/>
        <color theme="1"/>
        <rFont val="Calibri"/>
        <family val="2"/>
        <scheme val="minor"/>
      </rPr>
      <t>αυτον αποκτειναι</t>
    </r>
    <r>
      <rPr>
        <sz val="11"/>
        <color theme="1"/>
        <rFont val="Calibri"/>
        <family val="2"/>
        <scheme val="minor"/>
      </rPr>
      <t xml:space="preserve"> και ουκ ηδυνατο</t>
    </r>
  </si>
  <si>
    <t>γενομενης ημερας</t>
  </si>
  <si>
    <t>γενομενης δε ημερας</t>
  </si>
  <si>
    <t>ευκαιρου οτε ηρωδης</t>
  </si>
  <si>
    <t>ευκαιρου ηρωδης</t>
  </si>
  <si>
    <t>γενεθλιοις</t>
  </si>
  <si>
    <t>εποιησεν τοις μεγειστασιν</t>
  </si>
  <si>
    <t>εποιει τοις μεγειστασιν</t>
  </si>
  <si>
    <t xml:space="preserve">πολλα ει τι αν </t>
  </si>
  <si>
    <r>
      <t xml:space="preserve">πολλα </t>
    </r>
    <r>
      <rPr>
        <b/>
        <sz val="11"/>
        <color theme="1"/>
        <rFont val="Calibri"/>
        <family val="2"/>
        <scheme val="minor"/>
      </rPr>
      <t>ει τι</t>
    </r>
    <r>
      <rPr>
        <sz val="11"/>
        <color theme="1"/>
        <rFont val="Calibri"/>
        <family val="2"/>
        <scheme val="minor"/>
      </rPr>
      <t xml:space="preserve"> αν </t>
    </r>
  </si>
  <si>
    <r>
      <t xml:space="preserve">πολλα </t>
    </r>
    <r>
      <rPr>
        <b/>
        <sz val="11"/>
        <color theme="1"/>
        <rFont val="Calibri"/>
        <family val="2"/>
        <scheme val="minor"/>
      </rPr>
      <t>οτι</t>
    </r>
    <r>
      <rPr>
        <sz val="11"/>
        <color theme="1"/>
        <rFont val="Calibri"/>
        <family val="2"/>
        <scheme val="minor"/>
      </rPr>
      <t xml:space="preserve"> ο αν </t>
    </r>
  </si>
  <si>
    <r>
      <t xml:space="preserve">πολλα οτι </t>
    </r>
    <r>
      <rPr>
        <b/>
        <sz val="11"/>
        <color theme="1"/>
        <rFont val="Calibri"/>
        <family val="2"/>
        <scheme val="minor"/>
      </rPr>
      <t>ο</t>
    </r>
    <r>
      <rPr>
        <sz val="11"/>
        <color theme="1"/>
        <rFont val="Calibri"/>
        <family val="2"/>
        <scheme val="minor"/>
      </rPr>
      <t xml:space="preserve"> αν </t>
    </r>
  </si>
  <si>
    <t>αιτησωμαι</t>
  </si>
  <si>
    <t>σπεκολατοραν επεταξεν</t>
  </si>
  <si>
    <t>Bezae corrects σπεκολατοραν -&gt; σπεκολατορα</t>
  </si>
  <si>
    <t>ακουσαντες δε</t>
  </si>
  <si>
    <t>και ακουσαντες</t>
  </si>
  <si>
    <t>αυτοις ο ιης δευτε</t>
  </si>
  <si>
    <t>αυτοις δευτε</t>
  </si>
  <si>
    <t>ευκαιρως</t>
  </si>
  <si>
    <t>οχλον ιησους εσπλαγχνεισθη επ αυτοις οτι</t>
  </si>
  <si>
    <r>
      <t xml:space="preserve">οχλον </t>
    </r>
    <r>
      <rPr>
        <b/>
        <sz val="11"/>
        <color theme="1"/>
        <rFont val="Calibri"/>
        <family val="2"/>
        <scheme val="minor"/>
      </rPr>
      <t>ο</t>
    </r>
    <r>
      <rPr>
        <sz val="11"/>
        <color theme="1"/>
        <rFont val="Calibri"/>
        <family val="2"/>
        <scheme val="minor"/>
      </rPr>
      <t xml:space="preserve"> ιης επλαννισθη επ αυτους οτι</t>
    </r>
  </si>
  <si>
    <r>
      <t xml:space="preserve">οχλον ο ιης </t>
    </r>
    <r>
      <rPr>
        <b/>
        <sz val="11"/>
        <color theme="1"/>
        <rFont val="Calibri"/>
        <family val="2"/>
        <scheme val="minor"/>
      </rPr>
      <t>επλαννισθη</t>
    </r>
    <r>
      <rPr>
        <sz val="11"/>
        <color theme="1"/>
        <rFont val="Calibri"/>
        <family val="2"/>
        <scheme val="minor"/>
      </rPr>
      <t xml:space="preserve"> επ αυτους οτι</t>
    </r>
  </si>
  <si>
    <r>
      <t xml:space="preserve">οχλον ιησους </t>
    </r>
    <r>
      <rPr>
        <b/>
        <sz val="11"/>
        <color theme="1"/>
        <rFont val="Calibri"/>
        <family val="2"/>
        <scheme val="minor"/>
      </rPr>
      <t>εσπλαγχνεισθη</t>
    </r>
    <r>
      <rPr>
        <sz val="11"/>
        <color theme="1"/>
        <rFont val="Calibri"/>
        <family val="2"/>
        <scheme val="minor"/>
      </rPr>
      <t xml:space="preserve"> επ αυτοις οτι</t>
    </r>
  </si>
  <si>
    <r>
      <t xml:space="preserve">οχλον ο ιης επλαννισθη επ </t>
    </r>
    <r>
      <rPr>
        <b/>
        <sz val="11"/>
        <color theme="1"/>
        <rFont val="Calibri"/>
        <family val="2"/>
        <scheme val="minor"/>
      </rPr>
      <t>αυτους</t>
    </r>
    <r>
      <rPr>
        <sz val="11"/>
        <color theme="1"/>
        <rFont val="Calibri"/>
        <family val="2"/>
        <scheme val="minor"/>
      </rPr>
      <t xml:space="preserve"> οτι</t>
    </r>
  </si>
  <si>
    <r>
      <t xml:space="preserve">οχλον ιησους εσπλαγχνεισθη επ </t>
    </r>
    <r>
      <rPr>
        <b/>
        <sz val="11"/>
        <color theme="1"/>
        <rFont val="Calibri"/>
        <family val="2"/>
        <scheme val="minor"/>
      </rPr>
      <t>αυτοις</t>
    </r>
    <r>
      <rPr>
        <sz val="11"/>
        <color theme="1"/>
        <rFont val="Calibri"/>
        <family val="2"/>
        <scheme val="minor"/>
      </rPr>
      <t xml:space="preserve"> οτι</t>
    </r>
  </si>
  <si>
    <t>Bezae corrects to εσπλαγνισθη</t>
  </si>
  <si>
    <t>ποιμενα</t>
  </si>
  <si>
    <t>εστιν τοπος ηδη</t>
  </si>
  <si>
    <r>
      <t xml:space="preserve">εστιν </t>
    </r>
    <r>
      <rPr>
        <b/>
        <sz val="11"/>
        <color theme="1"/>
        <rFont val="Calibri"/>
        <family val="2"/>
        <scheme val="minor"/>
      </rPr>
      <t>ο</t>
    </r>
    <r>
      <rPr>
        <sz val="11"/>
        <color theme="1"/>
        <rFont val="Calibri"/>
        <family val="2"/>
        <scheme val="minor"/>
      </rPr>
      <t xml:space="preserve"> τοπος ηδη</t>
    </r>
  </si>
  <si>
    <r>
      <t xml:space="preserve">εστιν </t>
    </r>
    <r>
      <rPr>
        <b/>
        <sz val="11"/>
        <color theme="1"/>
        <rFont val="Calibri"/>
        <family val="2"/>
        <scheme val="minor"/>
      </rPr>
      <t>τοπος ηδη</t>
    </r>
  </si>
  <si>
    <r>
      <t xml:space="preserve">εστιν ο </t>
    </r>
    <r>
      <rPr>
        <b/>
        <sz val="11"/>
        <color theme="1"/>
        <rFont val="Calibri"/>
        <family val="2"/>
        <scheme val="minor"/>
      </rPr>
      <t>τοπος ηδη</t>
    </r>
  </si>
  <si>
    <t xml:space="preserve">κωμας ινα αγορασωσιν </t>
  </si>
  <si>
    <t xml:space="preserve">κωμας αγορασωσιν </t>
  </si>
  <si>
    <t>εχετες υπαγετε</t>
  </si>
  <si>
    <t>εχετε υπαγετε</t>
  </si>
  <si>
    <t>δυω ιχθυας</t>
  </si>
  <si>
    <t>δυο ιχθυας</t>
  </si>
  <si>
    <t>επι τω χλωρω</t>
  </si>
  <si>
    <t>εν τω χλωρω</t>
  </si>
  <si>
    <t>λαβων ε αρτους</t>
  </si>
  <si>
    <t>λαβων αρτους</t>
  </si>
  <si>
    <t>ευθεως εξεγερθεις ηναγκασεν</t>
  </si>
  <si>
    <t>ευθεως ηναγκασεν</t>
  </si>
  <si>
    <t>προαγειν</t>
  </si>
  <si>
    <t>βησσαιδαν</t>
  </si>
  <si>
    <t>και που αν</t>
  </si>
  <si>
    <t>και οπου αν</t>
  </si>
  <si>
    <t>πλατειαις</t>
  </si>
  <si>
    <t>αυτου κοινες</t>
  </si>
  <si>
    <t>πυκμη</t>
  </si>
  <si>
    <t>παραδοσιαν</t>
  </si>
  <si>
    <t>την τολην</t>
  </si>
  <si>
    <t>την εντολην</t>
  </si>
  <si>
    <t>υμων στησηται</t>
  </si>
  <si>
    <t>υμων τηρησηται</t>
  </si>
  <si>
    <t>μητερα και</t>
  </si>
  <si>
    <t>μητερα σου και</t>
  </si>
  <si>
    <t>ο αν μου ωφεληθης</t>
  </si>
  <si>
    <t>εν αφιεται</t>
  </si>
  <si>
    <t>παρομια τα αυτα πολλα</t>
  </si>
  <si>
    <t>παρομια τοιαυτα πολλα</t>
  </si>
  <si>
    <t>Bezae corrects to παρομια ται τα αυτα πολλα</t>
  </si>
  <si>
    <t>ουδ εστιν</t>
  </si>
  <si>
    <t>ουδεν εστιν</t>
  </si>
  <si>
    <t>ασυνετοι</t>
  </si>
  <si>
    <t>γαρ εισερχεται</t>
  </si>
  <si>
    <t>γαρ ερχεται</t>
  </si>
  <si>
    <t>καθαριζει παντα</t>
  </si>
  <si>
    <t>καθαριζον παντα</t>
  </si>
  <si>
    <t>εκεινα κοινοι</t>
  </si>
  <si>
    <t>εκεινο κοινοι</t>
  </si>
  <si>
    <t>διαλογισμοι κακοι</t>
  </si>
  <si>
    <t>πορνεια μοιχειαι κλεμματα φονος</t>
  </si>
  <si>
    <t>πορνεια κλεμματα μοιχειαι φονος</t>
  </si>
  <si>
    <t>ηθελε γνωναι</t>
  </si>
  <si>
    <t>ηθελεν γνωναι</t>
  </si>
  <si>
    <t>ευθεως ως ακουσασα</t>
  </si>
  <si>
    <t>ελθουσα και προσεπεσεν</t>
  </si>
  <si>
    <t>Bezae corrects by omitting και, B.10.3 follows</t>
  </si>
  <si>
    <t>Bezae corrects by omitting ως, B.10.3 does not follow</t>
  </si>
  <si>
    <t>φοινισσα</t>
  </si>
  <si>
    <t>ινα το δαιμονιον</t>
  </si>
  <si>
    <t>ινα δαιμονιον</t>
  </si>
  <si>
    <t>και λεγει αυτη αφες</t>
  </si>
  <si>
    <t>ου γαρ εστιν καλον λαβειν</t>
  </si>
  <si>
    <t>ου γαρ καλον εστιν λαβειν</t>
  </si>
  <si>
    <t>λεγουσα κυ αλλα και τα κυναρια</t>
  </si>
  <si>
    <r>
      <t xml:space="preserve">λεγουσα </t>
    </r>
    <r>
      <rPr>
        <b/>
        <sz val="11"/>
        <color theme="1"/>
        <rFont val="Calibri"/>
        <family val="2"/>
        <scheme val="minor"/>
      </rPr>
      <t>ναι</t>
    </r>
    <r>
      <rPr>
        <sz val="11"/>
        <color theme="1"/>
        <rFont val="Calibri"/>
        <family val="2"/>
        <scheme val="minor"/>
      </rPr>
      <t xml:space="preserve"> κε και γαρ τα κυναρια</t>
    </r>
  </si>
  <si>
    <r>
      <t xml:space="preserve">λεγουσα </t>
    </r>
    <r>
      <rPr>
        <b/>
        <sz val="11"/>
        <color theme="1"/>
        <rFont val="Calibri"/>
        <family val="2"/>
        <scheme val="minor"/>
      </rPr>
      <t>κυ</t>
    </r>
    <r>
      <rPr>
        <sz val="11"/>
        <color theme="1"/>
        <rFont val="Calibri"/>
        <family val="2"/>
        <scheme val="minor"/>
      </rPr>
      <t xml:space="preserve"> αλλα και τα κυναρια</t>
    </r>
  </si>
  <si>
    <r>
      <t xml:space="preserve">λεγουσα ναι </t>
    </r>
    <r>
      <rPr>
        <b/>
        <sz val="11"/>
        <color theme="1"/>
        <rFont val="Calibri"/>
        <family val="2"/>
        <scheme val="minor"/>
      </rPr>
      <t>κε</t>
    </r>
    <r>
      <rPr>
        <sz val="11"/>
        <color theme="1"/>
        <rFont val="Calibri"/>
        <family val="2"/>
        <scheme val="minor"/>
      </rPr>
      <t xml:space="preserve"> και γαρ τα κυναρια</t>
    </r>
  </si>
  <si>
    <r>
      <t xml:space="preserve">λεγουσα κυ </t>
    </r>
    <r>
      <rPr>
        <b/>
        <sz val="11"/>
        <color theme="1"/>
        <rFont val="Calibri"/>
        <family val="2"/>
        <scheme val="minor"/>
      </rPr>
      <t>αλλα και</t>
    </r>
    <r>
      <rPr>
        <sz val="11"/>
        <color theme="1"/>
        <rFont val="Calibri"/>
        <family val="2"/>
        <scheme val="minor"/>
      </rPr>
      <t xml:space="preserve"> τα κυναρια</t>
    </r>
  </si>
  <si>
    <r>
      <t xml:space="preserve">λεγουσα ναι κε </t>
    </r>
    <r>
      <rPr>
        <b/>
        <sz val="11"/>
        <color theme="1"/>
        <rFont val="Calibri"/>
        <family val="2"/>
        <scheme val="minor"/>
      </rPr>
      <t>και γαρ</t>
    </r>
    <r>
      <rPr>
        <sz val="11"/>
        <color theme="1"/>
        <rFont val="Calibri"/>
        <family val="2"/>
        <scheme val="minor"/>
      </rPr>
      <t xml:space="preserve"> τα κυναρια</t>
    </r>
  </si>
  <si>
    <t>τουτον τον λογον</t>
  </si>
  <si>
    <t>τουτον λογον</t>
  </si>
  <si>
    <t>εις οικον</t>
  </si>
  <si>
    <t>εις τον οικον</t>
  </si>
  <si>
    <t>θυγατεραν βεβλημενην</t>
  </si>
  <si>
    <t>θυγατερα βεβλημενην</t>
  </si>
  <si>
    <t>οριων της δεκαπολεως</t>
  </si>
  <si>
    <t>οριων δεκαπολεως</t>
  </si>
  <si>
    <t>παρακαλασιν ινα</t>
  </si>
  <si>
    <r>
      <rPr>
        <b/>
        <sz val="11"/>
        <color theme="1"/>
        <rFont val="Calibri"/>
        <family val="2"/>
        <scheme val="minor"/>
      </rPr>
      <t>παρακαλουσιν</t>
    </r>
    <r>
      <rPr>
        <sz val="11"/>
        <color theme="1"/>
        <rFont val="Calibri"/>
        <family val="2"/>
        <scheme val="minor"/>
      </rPr>
      <t xml:space="preserve"> αυτον ινα</t>
    </r>
  </si>
  <si>
    <r>
      <rPr>
        <b/>
        <sz val="11"/>
        <color theme="1"/>
        <rFont val="Calibri"/>
        <family val="2"/>
        <scheme val="minor"/>
      </rPr>
      <t>παρακαλασιν</t>
    </r>
    <r>
      <rPr>
        <sz val="11"/>
        <color theme="1"/>
        <rFont val="Calibri"/>
        <family val="2"/>
        <scheme val="minor"/>
      </rPr>
      <t xml:space="preserve"> ινα</t>
    </r>
  </si>
  <si>
    <r>
      <t xml:space="preserve">παρακαλουσιν </t>
    </r>
    <r>
      <rPr>
        <b/>
        <sz val="11"/>
        <color theme="1"/>
        <rFont val="Calibri"/>
        <family val="2"/>
        <scheme val="minor"/>
      </rPr>
      <t>αυτον</t>
    </r>
    <r>
      <rPr>
        <sz val="11"/>
        <color theme="1"/>
        <rFont val="Calibri"/>
        <family val="2"/>
        <scheme val="minor"/>
      </rPr>
      <t xml:space="preserve"> ινα</t>
    </r>
  </si>
  <si>
    <t>ειπωσιν οι δε αυτοι</t>
  </si>
  <si>
    <t>Bezae marks οι δε for deletion, Β.10.3 does not follow</t>
  </si>
  <si>
    <t>πεποιηκεν και τους</t>
  </si>
  <si>
    <t>πεποιηκεν και και τους</t>
  </si>
  <si>
    <t>ημεραις παλιν πολλου</t>
  </si>
  <si>
    <t>εχοντων αυτων τι φαγωσιν</t>
  </si>
  <si>
    <t>ημεραις πολλου</t>
  </si>
  <si>
    <t>εχοντων τι φαγωσιν</t>
  </si>
  <si>
    <t>αρτους ευχαριστησας</t>
  </si>
  <si>
    <t>αρτους και ευχαριστησας</t>
  </si>
  <si>
    <t>ορια μελεγαδα (11) και</t>
  </si>
  <si>
    <t>ορια δαλμανουθα (11) και</t>
  </si>
  <si>
    <t>λαβειν αρτους ει μη</t>
  </si>
  <si>
    <r>
      <t xml:space="preserve">λαβειν </t>
    </r>
    <r>
      <rPr>
        <b/>
        <sz val="11"/>
        <color theme="1"/>
        <rFont val="Calibri"/>
        <family val="2"/>
        <scheme val="minor"/>
      </rPr>
      <t>τους</t>
    </r>
    <r>
      <rPr>
        <sz val="11"/>
        <color theme="1"/>
        <rFont val="Calibri"/>
        <family val="2"/>
        <scheme val="minor"/>
      </rPr>
      <t xml:space="preserve"> αρτους και ει μη</t>
    </r>
  </si>
  <si>
    <r>
      <t xml:space="preserve">λαβειν τους αρτους </t>
    </r>
    <r>
      <rPr>
        <b/>
        <sz val="11"/>
        <color theme="1"/>
        <rFont val="Calibri"/>
        <family val="2"/>
        <scheme val="minor"/>
      </rPr>
      <t>και</t>
    </r>
    <r>
      <rPr>
        <sz val="11"/>
        <color theme="1"/>
        <rFont val="Calibri"/>
        <family val="2"/>
        <scheme val="minor"/>
      </rPr>
      <t xml:space="preserve"> ει μη</t>
    </r>
  </si>
  <si>
    <t>πεπωρωμενη</t>
  </si>
  <si>
    <t>ουκ ακουετε</t>
  </si>
  <si>
    <t>ουκ ακακουετε</t>
  </si>
  <si>
    <t>ακουετε ουδε μνημονευετε</t>
  </si>
  <si>
    <t>αρτους εκλασα</t>
  </si>
  <si>
    <t>αρτους τους εκλασα</t>
  </si>
  <si>
    <t>κλασματων ηρατε πληρεις λεγουσιν</t>
  </si>
  <si>
    <t>κλασματων πληρεις ηρατε λεγουσιν</t>
  </si>
  <si>
    <t>και λεγει αυτοις</t>
  </si>
  <si>
    <t>και ελεγεν αυτοις</t>
  </si>
  <si>
    <t>ουπω συννοειτε (22) και</t>
  </si>
  <si>
    <t>ου πω νοειτε (22) και</t>
  </si>
  <si>
    <t>παρακαλουσιν αυτον</t>
  </si>
  <si>
    <t>βλεπεις (24) και</t>
  </si>
  <si>
    <t>I'm not  sure that there is really a correction in Bezae</t>
  </si>
  <si>
    <t>λεγουσιν ειναι οι ανθρωποι</t>
  </si>
  <si>
    <t>λεγουσιν οι ανθρωποι ειναι</t>
  </si>
  <si>
    <t>συ ι ο χρς</t>
  </si>
  <si>
    <t>συ ει ο χριστος</t>
  </si>
  <si>
    <r>
      <t xml:space="preserve">επετειμησεν </t>
    </r>
    <r>
      <rPr>
        <b/>
        <sz val="11"/>
        <color theme="1"/>
        <rFont val="Calibri"/>
        <family val="2"/>
        <scheme val="minor"/>
      </rPr>
      <t>αυτω</t>
    </r>
    <r>
      <rPr>
        <sz val="11"/>
        <color theme="1"/>
        <rFont val="Calibri"/>
        <family val="2"/>
        <scheme val="minor"/>
      </rPr>
      <t xml:space="preserve"> ινα μηδενει ειπωσιν</t>
    </r>
  </si>
  <si>
    <r>
      <t xml:space="preserve">επετειμησεν </t>
    </r>
    <r>
      <rPr>
        <b/>
        <sz val="11"/>
        <color theme="1"/>
        <rFont val="Calibri"/>
        <family val="2"/>
        <scheme val="minor"/>
      </rPr>
      <t>αυτοις</t>
    </r>
    <r>
      <rPr>
        <sz val="11"/>
        <color theme="1"/>
        <rFont val="Calibri"/>
        <family val="2"/>
        <scheme val="minor"/>
      </rPr>
      <t xml:space="preserve"> ινα μηδενι ειπωσιν</t>
    </r>
  </si>
  <si>
    <r>
      <t xml:space="preserve">επετειμησεν αυτω ινα </t>
    </r>
    <r>
      <rPr>
        <b/>
        <sz val="11"/>
        <color theme="1"/>
        <rFont val="Calibri"/>
        <family val="2"/>
        <scheme val="minor"/>
      </rPr>
      <t>μηδενει</t>
    </r>
    <r>
      <rPr>
        <sz val="11"/>
        <color theme="1"/>
        <rFont val="Calibri"/>
        <family val="2"/>
        <scheme val="minor"/>
      </rPr>
      <t xml:space="preserve"> ειπωσιν</t>
    </r>
  </si>
  <si>
    <r>
      <t xml:space="preserve">επετειμησεν αυτοις ινα </t>
    </r>
    <r>
      <rPr>
        <b/>
        <sz val="11"/>
        <color theme="1"/>
        <rFont val="Calibri"/>
        <family val="2"/>
        <scheme val="minor"/>
      </rPr>
      <t>μηδενι</t>
    </r>
    <r>
      <rPr>
        <sz val="11"/>
        <color theme="1"/>
        <rFont val="Calibri"/>
        <family val="2"/>
        <scheme val="minor"/>
      </rPr>
      <t xml:space="preserve"> ειπωσιν</t>
    </r>
  </si>
  <si>
    <t>Not clearly a correction in Bezae</t>
  </si>
  <si>
    <t>αλλα των ανθρωπων</t>
  </si>
  <si>
    <t>αλλα τα των ανθρωπων</t>
  </si>
  <si>
    <t>ειπεν ει τεις</t>
  </si>
  <si>
    <t>ειπεν ει ει τεις</t>
  </si>
  <si>
    <t>ψυχην αυτου σωσαι</t>
  </si>
  <si>
    <t>Bezae corrects αυτου -&gt; εαυτου</t>
  </si>
  <si>
    <t>The extra material begins in Bezae with ος, not οι</t>
  </si>
  <si>
    <t>τι γαρ δωσει</t>
  </si>
  <si>
    <t>Bezae omits γαρ</t>
  </si>
  <si>
    <t>αυτου μετα των αγγελων</t>
  </si>
  <si>
    <t>αυτου κατα των αγγελων</t>
  </si>
  <si>
    <t>και τατεμορφωθη</t>
  </si>
  <si>
    <t>και κατεμορφωθη</t>
  </si>
  <si>
    <t>λευκα λιαν ως χιων</t>
  </si>
  <si>
    <t>λευκα λια ως χιων</t>
  </si>
  <si>
    <t>ως ου ναται</t>
  </si>
  <si>
    <t>ως ου δυναται</t>
  </si>
  <si>
    <t>πετρος ειπεν τω ιηυ</t>
  </si>
  <si>
    <t>πετρος λεγει τω ιηυ</t>
  </si>
  <si>
    <t>θελεις ποιησω</t>
  </si>
  <si>
    <t>θελω ποιησω</t>
  </si>
  <si>
    <t>λεγουσιν ηληλειαν</t>
  </si>
  <si>
    <t>λεγουσιν ηλειαν</t>
  </si>
  <si>
    <t>εληλυθε και</t>
  </si>
  <si>
    <t>εληλυθεν και</t>
  </si>
  <si>
    <t>I think the transcript reverses the direction of the correction in Bezae: the original reading seems to be εληλυθεν and the ν was erased</t>
  </si>
  <si>
    <t>προς μαθητας</t>
  </si>
  <si>
    <t>επηρωτησεν αυτους τι συνζητειτε</t>
  </si>
  <si>
    <t>επηρωτησεν τι αυτους συνζητειτε</t>
  </si>
  <si>
    <t>απεκριθη εκ του οχλου εις και ειπε διδασκαλε</t>
  </si>
  <si>
    <t>απεκριθη αυτω εις εκ του οχλου διδασκαλε</t>
  </si>
  <si>
    <r>
      <t xml:space="preserve">απεκριθη </t>
    </r>
    <r>
      <rPr>
        <b/>
        <sz val="11"/>
        <color theme="1"/>
        <rFont val="Calibri"/>
        <family val="2"/>
        <scheme val="minor"/>
      </rPr>
      <t>αυτω</t>
    </r>
    <r>
      <rPr>
        <sz val="11"/>
        <color theme="1"/>
        <rFont val="Calibri"/>
        <family val="2"/>
        <scheme val="minor"/>
      </rPr>
      <t xml:space="preserve"> εις εκ του οχλου διδασκαλε</t>
    </r>
  </si>
  <si>
    <r>
      <t xml:space="preserve">απεκριθη αυτω </t>
    </r>
    <r>
      <rPr>
        <b/>
        <sz val="11"/>
        <color theme="1"/>
        <rFont val="Calibri"/>
        <family val="2"/>
        <scheme val="minor"/>
      </rPr>
      <t>εις εκ του οχλου</t>
    </r>
    <r>
      <rPr>
        <sz val="11"/>
        <color theme="1"/>
        <rFont val="Calibri"/>
        <family val="2"/>
        <scheme val="minor"/>
      </rPr>
      <t xml:space="preserve"> διδασκαλε</t>
    </r>
  </si>
  <si>
    <r>
      <t xml:space="preserve">απεκριθη </t>
    </r>
    <r>
      <rPr>
        <b/>
        <sz val="11"/>
        <color theme="1"/>
        <rFont val="Calibri"/>
        <family val="2"/>
        <scheme val="minor"/>
      </rPr>
      <t>εκ του οχλου εις</t>
    </r>
    <r>
      <rPr>
        <sz val="11"/>
        <color theme="1"/>
        <rFont val="Calibri"/>
        <family val="2"/>
        <scheme val="minor"/>
      </rPr>
      <t xml:space="preserve"> και ειπε διδασκαλε</t>
    </r>
  </si>
  <si>
    <r>
      <t xml:space="preserve">απεκριθη εκ του οχλου εις </t>
    </r>
    <r>
      <rPr>
        <b/>
        <sz val="11"/>
        <color theme="1"/>
        <rFont val="Calibri"/>
        <family val="2"/>
        <scheme val="minor"/>
      </rPr>
      <t>και ειπε</t>
    </r>
    <r>
      <rPr>
        <sz val="11"/>
        <color theme="1"/>
        <rFont val="Calibri"/>
        <family val="2"/>
        <scheme val="minor"/>
      </rPr>
      <t xml:space="preserve"> διδασκαλε</t>
    </r>
  </si>
  <si>
    <t>ινα εκβαλωσιν αυτο και ουκ ισχυσαν (19) και απεκριθη αυτοις</t>
  </si>
  <si>
    <r>
      <t xml:space="preserve">ινα </t>
    </r>
    <r>
      <rPr>
        <b/>
        <sz val="11"/>
        <color theme="1"/>
        <rFont val="Calibri"/>
        <family val="2"/>
        <scheme val="minor"/>
      </rPr>
      <t>αυτο εκβαλωσιν</t>
    </r>
    <r>
      <rPr>
        <sz val="11"/>
        <color theme="1"/>
        <rFont val="Calibri"/>
        <family val="2"/>
        <scheme val="minor"/>
      </rPr>
      <t xml:space="preserve"> και ουκ ισχυσαν εκβαλειν αυτο (19) και αποκριθεις αυτοις</t>
    </r>
  </si>
  <si>
    <r>
      <t xml:space="preserve">ινα </t>
    </r>
    <r>
      <rPr>
        <b/>
        <sz val="11"/>
        <color theme="1"/>
        <rFont val="Calibri"/>
        <family val="2"/>
        <scheme val="minor"/>
      </rPr>
      <t>εκβαλωσιν αυτο</t>
    </r>
    <r>
      <rPr>
        <sz val="11"/>
        <color theme="1"/>
        <rFont val="Calibri"/>
        <family val="2"/>
        <scheme val="minor"/>
      </rPr>
      <t xml:space="preserve"> και ουκ ισχυσαν (19) και απεκριθη αυτοις</t>
    </r>
  </si>
  <si>
    <r>
      <t xml:space="preserve">ινα αυτο εκβαλωσιν και ουκ ισχυσαν </t>
    </r>
    <r>
      <rPr>
        <b/>
        <sz val="11"/>
        <color theme="1"/>
        <rFont val="Calibri"/>
        <family val="2"/>
        <scheme val="minor"/>
      </rPr>
      <t>εκβαλειν αυτο</t>
    </r>
    <r>
      <rPr>
        <sz val="11"/>
        <color theme="1"/>
        <rFont val="Calibri"/>
        <family val="2"/>
        <scheme val="minor"/>
      </rPr>
      <t xml:space="preserve"> (19) και αποκριθεις αυτοις</t>
    </r>
  </si>
  <si>
    <r>
      <t xml:space="preserve">ινα αυτο εκβαλωσιν και ουκ ισχυσαν εκβαλειν αυτο (19) και </t>
    </r>
    <r>
      <rPr>
        <b/>
        <sz val="11"/>
        <color theme="1"/>
        <rFont val="Calibri"/>
        <family val="2"/>
        <scheme val="minor"/>
      </rPr>
      <t>αποκριθεις</t>
    </r>
    <r>
      <rPr>
        <sz val="11"/>
        <color theme="1"/>
        <rFont val="Calibri"/>
        <family val="2"/>
        <scheme val="minor"/>
      </rPr>
      <t xml:space="preserve"> αυτοις</t>
    </r>
  </si>
  <si>
    <r>
      <t xml:space="preserve">ινα εκβαλωσιν αυτο και ουκ ισχυσαν (19) και </t>
    </r>
    <r>
      <rPr>
        <b/>
        <sz val="11"/>
        <color theme="1"/>
        <rFont val="Calibri"/>
        <family val="2"/>
        <scheme val="minor"/>
      </rPr>
      <t>απεκριθη</t>
    </r>
    <r>
      <rPr>
        <sz val="11"/>
        <color theme="1"/>
        <rFont val="Calibri"/>
        <family val="2"/>
        <scheme val="minor"/>
      </rPr>
      <t xml:space="preserve"> αυτοις</t>
    </r>
  </si>
  <si>
    <t>αυτοις λεγει</t>
  </si>
  <si>
    <t>αυτοις και λεγει</t>
  </si>
  <si>
    <t>αυτον εις πυρ και εις υδατα βαλλει ινα</t>
  </si>
  <si>
    <r>
      <t xml:space="preserve">αυτον </t>
    </r>
    <r>
      <rPr>
        <b/>
        <sz val="11"/>
        <color theme="1"/>
        <rFont val="Calibri"/>
        <family val="2"/>
        <scheme val="minor"/>
      </rPr>
      <t>και</t>
    </r>
    <r>
      <rPr>
        <sz val="11"/>
        <color theme="1"/>
        <rFont val="Calibri"/>
        <family val="2"/>
        <scheme val="minor"/>
      </rPr>
      <t xml:space="preserve"> εις πυρ βαλλει και εις υδατα ινα</t>
    </r>
  </si>
  <si>
    <r>
      <t xml:space="preserve">αυτον εις πυρ </t>
    </r>
    <r>
      <rPr>
        <b/>
        <sz val="11"/>
        <color theme="1"/>
        <rFont val="Calibri"/>
        <family val="2"/>
        <scheme val="minor"/>
      </rPr>
      <t>και εις υδατα βαλλει</t>
    </r>
    <r>
      <rPr>
        <sz val="11"/>
        <color theme="1"/>
        <rFont val="Calibri"/>
        <family val="2"/>
        <scheme val="minor"/>
      </rPr>
      <t xml:space="preserve"> ινα</t>
    </r>
  </si>
  <si>
    <r>
      <t xml:space="preserve">αυτον και εις πυρ </t>
    </r>
    <r>
      <rPr>
        <b/>
        <sz val="11"/>
        <color theme="1"/>
        <rFont val="Calibri"/>
        <family val="2"/>
        <scheme val="minor"/>
      </rPr>
      <t>βαλλει και εις υδατα</t>
    </r>
    <r>
      <rPr>
        <sz val="11"/>
        <color theme="1"/>
        <rFont val="Calibri"/>
        <family val="2"/>
        <scheme val="minor"/>
      </rPr>
      <t xml:space="preserve"> ινα</t>
    </r>
  </si>
  <si>
    <t>αλλα ει τι</t>
  </si>
  <si>
    <t>αλλ ει τι</t>
  </si>
  <si>
    <t>ημειν σπλαγχνισθεις</t>
  </si>
  <si>
    <t>ημειν κε σπλαγχνισθεις</t>
  </si>
  <si>
    <t>αυτω ει δυνη</t>
  </si>
  <si>
    <t>αυτω το ει δυνη</t>
  </si>
  <si>
    <t>δακρυων λεγει πιστευω</t>
  </si>
  <si>
    <t>δακρυων ελεγεν πιστευω</t>
  </si>
  <si>
    <t>και οτε ειδεν ιης οτι</t>
  </si>
  <si>
    <r>
      <rPr>
        <b/>
        <sz val="11"/>
        <color theme="1"/>
        <rFont val="Calibri"/>
        <family val="2"/>
        <scheme val="minor"/>
      </rPr>
      <t>και οτε ειδεν</t>
    </r>
    <r>
      <rPr>
        <sz val="11"/>
        <color theme="1"/>
        <rFont val="Calibri"/>
        <family val="2"/>
        <scheme val="minor"/>
      </rPr>
      <t xml:space="preserve"> ιης οτι</t>
    </r>
  </si>
  <si>
    <r>
      <rPr>
        <b/>
        <sz val="11"/>
        <color theme="1"/>
        <rFont val="Calibri"/>
        <family val="2"/>
        <scheme val="minor"/>
      </rPr>
      <t>ειδων δε</t>
    </r>
    <r>
      <rPr>
        <sz val="11"/>
        <color theme="1"/>
        <rFont val="Calibri"/>
        <family val="2"/>
        <scheme val="minor"/>
      </rPr>
      <t xml:space="preserve"> ο ιησους οτι</t>
    </r>
  </si>
  <si>
    <r>
      <t xml:space="preserve">ειδων δε </t>
    </r>
    <r>
      <rPr>
        <b/>
        <sz val="11"/>
        <color theme="1"/>
        <rFont val="Calibri"/>
        <family val="2"/>
        <scheme val="minor"/>
      </rPr>
      <t>ο</t>
    </r>
    <r>
      <rPr>
        <sz val="11"/>
        <color theme="1"/>
        <rFont val="Calibri"/>
        <family val="2"/>
        <scheme val="minor"/>
      </rPr>
      <t xml:space="preserve"> ιησους οτι</t>
    </r>
  </si>
  <si>
    <t>ακαθαρτω ειπων αυτω</t>
  </si>
  <si>
    <t>ακαθαρτω λεγων αυτω</t>
  </si>
  <si>
    <t>εξηλθεν απ αυτου</t>
  </si>
  <si>
    <t>εξηλθεν εξ αυτου</t>
  </si>
  <si>
    <t>ως νεκρος</t>
  </si>
  <si>
    <t>ωσει νεκρος</t>
  </si>
  <si>
    <t>κρατησας της χειρος αυτου ηγειρεν</t>
  </si>
  <si>
    <t>κρατησας αυτου της χειρος ηγειρεν</t>
  </si>
  <si>
    <t>κατ ιαν</t>
  </si>
  <si>
    <t>και ειπεν</t>
  </si>
  <si>
    <t>και και ειπεν</t>
  </si>
  <si>
    <t>εν ουδενι δυναται</t>
  </si>
  <si>
    <t>εν ουδεν δυναται</t>
  </si>
  <si>
    <t>οτι υιος</t>
  </si>
  <si>
    <t>Bezae seems to add ο before υιος</t>
  </si>
  <si>
    <t>επηρωτα αυτους τι</t>
  </si>
  <si>
    <t>επηρωτα αυτοις τι</t>
  </si>
  <si>
    <t>αυτον εν</t>
  </si>
  <si>
    <t>αυτο εν</t>
  </si>
  <si>
    <t>και ανακλισαμενος</t>
  </si>
  <si>
    <t>και εναγκαλισαμενος</t>
  </si>
  <si>
    <r>
      <rPr>
        <b/>
        <sz val="11"/>
        <color theme="1"/>
        <rFont val="Calibri"/>
        <family val="2"/>
        <scheme val="minor"/>
      </rPr>
      <t>περικειτο</t>
    </r>
    <r>
      <rPr>
        <sz val="11"/>
        <color theme="1"/>
        <rFont val="Calibri"/>
        <family val="2"/>
        <scheme val="minor"/>
      </rPr>
      <t xml:space="preserve"> λιθος επι</t>
    </r>
  </si>
  <si>
    <r>
      <t xml:space="preserve">περικειτο </t>
    </r>
    <r>
      <rPr>
        <b/>
        <sz val="11"/>
        <color theme="1"/>
        <rFont val="Calibri"/>
        <family val="2"/>
        <scheme val="minor"/>
      </rPr>
      <t>λιθος</t>
    </r>
    <r>
      <rPr>
        <sz val="11"/>
        <color theme="1"/>
        <rFont val="Calibri"/>
        <family val="2"/>
        <scheme val="minor"/>
      </rPr>
      <t xml:space="preserve"> επι</t>
    </r>
  </si>
  <si>
    <t>κυλλον εισελθειν εις</t>
  </si>
  <si>
    <r>
      <t xml:space="preserve">καλον </t>
    </r>
    <r>
      <rPr>
        <b/>
        <sz val="11"/>
        <color theme="1"/>
        <rFont val="Calibri"/>
        <family val="2"/>
        <scheme val="minor"/>
      </rPr>
      <t>σοι εστιν</t>
    </r>
    <r>
      <rPr>
        <sz val="11"/>
        <color theme="1"/>
        <rFont val="Calibri"/>
        <family val="2"/>
        <scheme val="minor"/>
      </rPr>
      <t xml:space="preserve"> χωλον εισελθειν εις την ζωην αιωνιον η τους </t>
    </r>
  </si>
  <si>
    <r>
      <t xml:space="preserve">καλον σοι εστιν </t>
    </r>
    <r>
      <rPr>
        <b/>
        <sz val="11"/>
        <color theme="1"/>
        <rFont val="Calibri"/>
        <family val="2"/>
        <scheme val="minor"/>
      </rPr>
      <t>χωλον</t>
    </r>
    <r>
      <rPr>
        <sz val="11"/>
        <color theme="1"/>
        <rFont val="Calibri"/>
        <family val="2"/>
        <scheme val="minor"/>
      </rPr>
      <t xml:space="preserve"> </t>
    </r>
    <r>
      <rPr>
        <b/>
        <sz val="11"/>
        <color theme="1"/>
        <rFont val="Calibri"/>
        <family val="2"/>
        <scheme val="minor"/>
      </rPr>
      <t>εισελθειν εις την ζωην αιωνιον</t>
    </r>
    <r>
      <rPr>
        <sz val="11"/>
        <color theme="1"/>
        <rFont val="Calibri"/>
        <family val="2"/>
        <scheme val="minor"/>
      </rPr>
      <t xml:space="preserve"> η τους </t>
    </r>
  </si>
  <si>
    <r>
      <t xml:space="preserve">καλον </t>
    </r>
    <r>
      <rPr>
        <b/>
        <sz val="11"/>
        <color theme="1"/>
        <rFont val="Calibri"/>
        <family val="2"/>
        <scheme val="minor"/>
      </rPr>
      <t>εστιν σοι</t>
    </r>
    <r>
      <rPr>
        <sz val="11"/>
        <color theme="1"/>
        <rFont val="Calibri"/>
        <family val="2"/>
        <scheme val="minor"/>
      </rPr>
      <t xml:space="preserve"> εισελθειν εις την ζωην αιωνιον χωλον η τους</t>
    </r>
  </si>
  <si>
    <r>
      <t xml:space="preserve">καλον εστιν σοι </t>
    </r>
    <r>
      <rPr>
        <b/>
        <sz val="11"/>
        <color theme="1"/>
        <rFont val="Calibri"/>
        <family val="2"/>
        <scheme val="minor"/>
      </rPr>
      <t>εισελθειν εις την ζωην αιωνιον χωλον</t>
    </r>
    <r>
      <rPr>
        <sz val="11"/>
        <color theme="1"/>
        <rFont val="Calibri"/>
        <family val="2"/>
        <scheme val="minor"/>
      </rPr>
      <t xml:space="preserve"> η τους</t>
    </r>
  </si>
  <si>
    <t>και ο οφθαλμος</t>
  </si>
  <si>
    <t>και εαν ο οφθαλμος</t>
  </si>
  <si>
    <t>σου ι σκανδαλιζει</t>
  </si>
  <si>
    <t>σου ει σκανδαλιζει</t>
  </si>
  <si>
    <t xml:space="preserve">καλον σοι εστιν μονοφθαλμον </t>
  </si>
  <si>
    <t xml:space="preserve">καλον εστιν σοι μονοφθαλμον </t>
  </si>
  <si>
    <t>γεεναν (48) οπου</t>
  </si>
  <si>
    <r>
      <rPr>
        <b/>
        <sz val="11"/>
        <color theme="1"/>
        <rFont val="Calibri"/>
        <family val="2"/>
        <scheme val="minor"/>
      </rPr>
      <t>γεεναν</t>
    </r>
    <r>
      <rPr>
        <sz val="11"/>
        <color theme="1"/>
        <rFont val="Calibri"/>
        <family val="2"/>
        <scheme val="minor"/>
      </rPr>
      <t xml:space="preserve"> (48) οπου</t>
    </r>
  </si>
  <si>
    <r>
      <rPr>
        <b/>
        <sz val="11"/>
        <color theme="1"/>
        <rFont val="Calibri"/>
        <family val="2"/>
        <scheme val="minor"/>
      </rPr>
      <t>γεενναν</t>
    </r>
    <r>
      <rPr>
        <sz val="11"/>
        <color theme="1"/>
        <rFont val="Calibri"/>
        <family val="2"/>
        <scheme val="minor"/>
      </rPr>
      <t xml:space="preserve"> του πυρος (48) οπου</t>
    </r>
  </si>
  <si>
    <r>
      <t xml:space="preserve">γεενναν </t>
    </r>
    <r>
      <rPr>
        <b/>
        <sz val="11"/>
        <color theme="1"/>
        <rFont val="Calibri"/>
        <family val="2"/>
        <scheme val="minor"/>
      </rPr>
      <t>του πυρος</t>
    </r>
    <r>
      <rPr>
        <sz val="11"/>
        <color theme="1"/>
        <rFont val="Calibri"/>
        <family val="2"/>
        <scheme val="minor"/>
      </rPr>
      <t xml:space="preserve"> (48) οπου</t>
    </r>
  </si>
  <si>
    <t>σκωλης αυτων</t>
  </si>
  <si>
    <t>σκωληξ αυτων</t>
  </si>
  <si>
    <t>εκειθεν αναστας</t>
  </si>
  <si>
    <t>εκειθεν αστας</t>
  </si>
  <si>
    <t>παλιν ο οχλος</t>
  </si>
  <si>
    <t>παλιν οχλος</t>
  </si>
  <si>
    <t>ως και ειωθι παλιν</t>
  </si>
  <si>
    <t>ως ειωθι και παλιν</t>
  </si>
  <si>
    <t>και παλιν εδιδασκεν αυτους γυναικα</t>
  </si>
  <si>
    <t xml:space="preserve">και επηρωτων αυτον ει εξεστιν ανδρι γυναικα </t>
  </si>
  <si>
    <r>
      <t xml:space="preserve">υμειν </t>
    </r>
    <r>
      <rPr>
        <b/>
        <sz val="11"/>
        <color theme="1"/>
        <rFont val="Calibri"/>
        <family val="2"/>
        <scheme val="minor"/>
      </rPr>
      <t>ετειλατο</t>
    </r>
    <r>
      <rPr>
        <sz val="11"/>
        <color theme="1"/>
        <rFont val="Calibri"/>
        <family val="2"/>
        <scheme val="minor"/>
      </rPr>
      <t xml:space="preserve"> υωυσης (4) οι δε</t>
    </r>
  </si>
  <si>
    <r>
      <t xml:space="preserve">υμειν ετειλατο </t>
    </r>
    <r>
      <rPr>
        <b/>
        <sz val="11"/>
        <color theme="1"/>
        <rFont val="Calibri"/>
        <family val="2"/>
        <scheme val="minor"/>
      </rPr>
      <t>υωυσης</t>
    </r>
    <r>
      <rPr>
        <sz val="11"/>
        <color theme="1"/>
        <rFont val="Calibri"/>
        <family val="2"/>
        <scheme val="minor"/>
      </rPr>
      <t xml:space="preserve"> (4) οι δε</t>
    </r>
  </si>
  <si>
    <t>και εις την οικιαν</t>
  </si>
  <si>
    <r>
      <t xml:space="preserve">και </t>
    </r>
    <r>
      <rPr>
        <b/>
        <sz val="11"/>
        <color theme="1"/>
        <rFont val="Calibri"/>
        <family val="2"/>
        <scheme val="minor"/>
      </rPr>
      <t>ει</t>
    </r>
    <r>
      <rPr>
        <sz val="11"/>
        <color theme="1"/>
        <rFont val="Calibri"/>
        <family val="2"/>
        <scheme val="minor"/>
      </rPr>
      <t xml:space="preserve"> εις τιν οικιαν</t>
    </r>
  </si>
  <si>
    <r>
      <t xml:space="preserve">και ει εις </t>
    </r>
    <r>
      <rPr>
        <b/>
        <sz val="11"/>
        <color theme="1"/>
        <rFont val="Calibri"/>
        <family val="2"/>
        <scheme val="minor"/>
      </rPr>
      <t>τιν</t>
    </r>
    <r>
      <rPr>
        <sz val="11"/>
        <color theme="1"/>
        <rFont val="Calibri"/>
        <family val="2"/>
        <scheme val="minor"/>
      </rPr>
      <t xml:space="preserve"> οικιαν</t>
    </r>
  </si>
  <si>
    <r>
      <t xml:space="preserve">και εις </t>
    </r>
    <r>
      <rPr>
        <b/>
        <sz val="11"/>
        <color theme="1"/>
        <rFont val="Calibri"/>
        <family val="2"/>
        <scheme val="minor"/>
      </rPr>
      <t>την</t>
    </r>
    <r>
      <rPr>
        <sz val="11"/>
        <color theme="1"/>
        <rFont val="Calibri"/>
        <family val="2"/>
        <scheme val="minor"/>
      </rPr>
      <t xml:space="preserve"> οικιαν</t>
    </r>
  </si>
  <si>
    <t>μαθηται αυτου επετειμων</t>
  </si>
  <si>
    <t>μαθηται επετειμων</t>
  </si>
  <si>
    <t>τα παιδαρια ερχεσθαι</t>
  </si>
  <si>
    <t>τα παιδια ερχεσθαι</t>
  </si>
  <si>
    <t>του ως παιδιον</t>
  </si>
  <si>
    <t>του θεου ως παιδιον</t>
  </si>
  <si>
    <t>γονυπετων αυτον διδασκαλε</t>
  </si>
  <si>
    <t>γονυπετων αυτον ηρωτα αυτον λεγων διδασκαλε</t>
  </si>
  <si>
    <t>εχοντες εις την βασιλειαν</t>
  </si>
  <si>
    <t>εχοντες την βασιλειαν</t>
  </si>
  <si>
    <t>λημψεται (31) πολλοι</t>
  </si>
  <si>
    <t>λημψαντες (31) πολλοι</t>
  </si>
  <si>
    <t>και τοις γραμματευσιν</t>
  </si>
  <si>
    <t>και γραμματευσιν</t>
  </si>
  <si>
    <t>αυτον θανατου και</t>
  </si>
  <si>
    <t>αυτον θανατω και</t>
  </si>
  <si>
    <t>ενπτυσουσιν</t>
  </si>
  <si>
    <t xml:space="preserve">καθισωμεν εν τη δοξη </t>
  </si>
  <si>
    <t xml:space="preserve">καθισωμεν τη δοξη </t>
  </si>
  <si>
    <t>λοιποι ι ηρξαντο</t>
  </si>
  <si>
    <t>λοιποι ηρξαντο</t>
  </si>
  <si>
    <r>
      <t xml:space="preserve">εθνων και </t>
    </r>
    <r>
      <rPr>
        <b/>
        <sz val="11"/>
        <color theme="1"/>
        <rFont val="Calibri"/>
        <family val="2"/>
        <scheme val="minor"/>
      </rPr>
      <t>κατακυριευσουσιν</t>
    </r>
    <r>
      <rPr>
        <sz val="11"/>
        <color theme="1"/>
        <rFont val="Calibri"/>
        <family val="2"/>
        <scheme val="minor"/>
      </rPr>
      <t xml:space="preserve"> αυτων και οι μεγαλοι αυτων κατεξουσιαζουσιν αυτων ( 43) ουχ ουτως</t>
    </r>
  </si>
  <si>
    <r>
      <t xml:space="preserve">εθνων </t>
    </r>
    <r>
      <rPr>
        <b/>
        <sz val="11"/>
        <color theme="1"/>
        <rFont val="Calibri"/>
        <family val="2"/>
        <scheme val="minor"/>
      </rPr>
      <t>κατακυριευουσιν</t>
    </r>
    <r>
      <rPr>
        <sz val="11"/>
        <color theme="1"/>
        <rFont val="Calibri"/>
        <family val="2"/>
        <scheme val="minor"/>
      </rPr>
      <t xml:space="preserve"> αυτων (43) ουκ ουτως</t>
    </r>
  </si>
  <si>
    <t>εθνων κατακυριευουσιν αυτων (43) ουκ ουτως</t>
  </si>
  <si>
    <r>
      <t xml:space="preserve">εθνων και κατακυριευσουσιν αυτων </t>
    </r>
    <r>
      <rPr>
        <b/>
        <sz val="11"/>
        <color theme="1"/>
        <rFont val="Calibri"/>
        <family val="2"/>
        <scheme val="minor"/>
      </rPr>
      <t>και οι μεγαλοι αυτων κατεξουσιαζουσιν αυτων</t>
    </r>
    <r>
      <rPr>
        <sz val="11"/>
        <color theme="1"/>
        <rFont val="Calibri"/>
        <family val="2"/>
        <scheme val="minor"/>
      </rPr>
      <t xml:space="preserve"> ( 43) ουχ ουτως</t>
    </r>
  </si>
  <si>
    <r>
      <t xml:space="preserve">εθνων και κατακυριευσουσιν αυτων και οι μεγαλοι αυτων κατεξουσιαζουσιν αυτων ( 43) </t>
    </r>
    <r>
      <rPr>
        <b/>
        <sz val="11"/>
        <color theme="1"/>
        <rFont val="Calibri"/>
        <family val="2"/>
        <scheme val="minor"/>
      </rPr>
      <t>ουχ</t>
    </r>
    <r>
      <rPr>
        <sz val="11"/>
        <color theme="1"/>
        <rFont val="Calibri"/>
        <family val="2"/>
        <scheme val="minor"/>
      </rPr>
      <t xml:space="preserve"> ουτως</t>
    </r>
  </si>
  <si>
    <r>
      <t xml:space="preserve">εθνων κατακυριευουσιν αυτων (43) </t>
    </r>
    <r>
      <rPr>
        <b/>
        <sz val="11"/>
        <color theme="1"/>
        <rFont val="Calibri"/>
        <family val="2"/>
        <scheme val="minor"/>
      </rPr>
      <t>ουκ</t>
    </r>
    <r>
      <rPr>
        <sz val="11"/>
        <color theme="1"/>
        <rFont val="Calibri"/>
        <family val="2"/>
        <scheme val="minor"/>
      </rPr>
      <t xml:space="preserve"> ουτως</t>
    </r>
  </si>
  <si>
    <r>
      <t xml:space="preserve">εθνων </t>
    </r>
    <r>
      <rPr>
        <b/>
        <sz val="11"/>
        <color theme="1"/>
        <rFont val="Calibri"/>
        <family val="2"/>
        <scheme val="minor"/>
      </rPr>
      <t>και</t>
    </r>
    <r>
      <rPr>
        <sz val="11"/>
        <color theme="1"/>
        <rFont val="Calibri"/>
        <family val="2"/>
        <scheme val="minor"/>
      </rPr>
      <t xml:space="preserve"> κατακυριευσουσιν αυτων και οι μεγαλοι αυτων κατεξουσιαζουσιν αυτων ( 43) ουχ ουτως</t>
    </r>
  </si>
  <si>
    <t>βαριτειμιας</t>
  </si>
  <si>
    <t>βαριτεμιας</t>
  </si>
  <si>
    <t>οδον επετων (47) και</t>
  </si>
  <si>
    <t>οδον προσετων (47) και</t>
  </si>
  <si>
    <t>λεγειν ο υιος δαυειδ</t>
  </si>
  <si>
    <t>λεγειν υιος δαυειδ</t>
  </si>
  <si>
    <t>ινα σιωπησεν ο δε πολλω μαλλον εκραξεν υιος δαυειδ</t>
  </si>
  <si>
    <t>ινα σιωπηση και επετειμων αυτων πολλοι υιος δαυειδ</t>
  </si>
  <si>
    <r>
      <t xml:space="preserve">ινα </t>
    </r>
    <r>
      <rPr>
        <b/>
        <sz val="11"/>
        <color theme="1"/>
        <rFont val="Calibri"/>
        <family val="2"/>
        <scheme val="minor"/>
      </rPr>
      <t>σιωπηση</t>
    </r>
    <r>
      <rPr>
        <sz val="11"/>
        <color theme="1"/>
        <rFont val="Calibri"/>
        <family val="2"/>
        <scheme val="minor"/>
      </rPr>
      <t xml:space="preserve"> και επετειμων αυτων πολλοι υιος δαυειδ</t>
    </r>
  </si>
  <si>
    <r>
      <t xml:space="preserve">ινα </t>
    </r>
    <r>
      <rPr>
        <b/>
        <sz val="11"/>
        <color theme="1"/>
        <rFont val="Calibri"/>
        <family val="2"/>
        <scheme val="minor"/>
      </rPr>
      <t>σιωπησεν</t>
    </r>
    <r>
      <rPr>
        <sz val="11"/>
        <color theme="1"/>
        <rFont val="Calibri"/>
        <family val="2"/>
        <scheme val="minor"/>
      </rPr>
      <t xml:space="preserve"> ο δε πολλω μαλλον εκραξεν υιος δαυειδ</t>
    </r>
  </si>
  <si>
    <t>λεγουσιν τω τυφλω θαρσει</t>
  </si>
  <si>
    <r>
      <t xml:space="preserve">λεγουσιν </t>
    </r>
    <r>
      <rPr>
        <b/>
        <sz val="11"/>
        <color theme="1"/>
        <rFont val="Calibri"/>
        <family val="2"/>
        <scheme val="minor"/>
      </rPr>
      <t>τω τυφλω</t>
    </r>
    <r>
      <rPr>
        <sz val="11"/>
        <color theme="1"/>
        <rFont val="Calibri"/>
        <family val="2"/>
        <scheme val="minor"/>
      </rPr>
      <t xml:space="preserve"> θαρσει</t>
    </r>
  </si>
  <si>
    <r>
      <t xml:space="preserve">λεγουσιν </t>
    </r>
    <r>
      <rPr>
        <b/>
        <sz val="11"/>
        <color theme="1"/>
        <rFont val="Calibri"/>
        <family val="2"/>
        <scheme val="minor"/>
      </rPr>
      <t>τον τυφλον</t>
    </r>
    <r>
      <rPr>
        <sz val="11"/>
        <color theme="1"/>
        <rFont val="Calibri"/>
        <family val="2"/>
        <scheme val="minor"/>
      </rPr>
      <t xml:space="preserve"> λεγοντες αυτω θαρσει</t>
    </r>
  </si>
  <si>
    <r>
      <t xml:space="preserve">λεγουσιν τον τυφλον </t>
    </r>
    <r>
      <rPr>
        <b/>
        <sz val="11"/>
        <color theme="1"/>
        <rFont val="Calibri"/>
        <family val="2"/>
        <scheme val="minor"/>
      </rPr>
      <t>λεγοντες αυτω</t>
    </r>
    <r>
      <rPr>
        <sz val="11"/>
        <color theme="1"/>
        <rFont val="Calibri"/>
        <family val="2"/>
        <scheme val="minor"/>
      </rPr>
      <t xml:space="preserve"> θαρσει</t>
    </r>
  </si>
  <si>
    <t>ιεροσολυμα και</t>
  </si>
  <si>
    <t>ιεροσολυμ και</t>
  </si>
  <si>
    <t>καικαθεικεν</t>
  </si>
  <si>
    <t>αυτον και αγαγετε</t>
  </si>
  <si>
    <t>Bezae marks και for deletion</t>
  </si>
  <si>
    <t xml:space="preserve">τις υμειν ειπη τι </t>
  </si>
  <si>
    <t xml:space="preserve">τις ειπη υμειν τι </t>
  </si>
  <si>
    <t>οτι ο κς</t>
  </si>
  <si>
    <t>οτι κυριος</t>
  </si>
  <si>
    <t>ευρον τον πωλον</t>
  </si>
  <si>
    <t>ευρον πωλον</t>
  </si>
  <si>
    <t>δε εστιβαδας</t>
  </si>
  <si>
    <t>Bezae corrects to δε στιβαδας</t>
  </si>
  <si>
    <t>(9) κυ (10) και ευλογημενη</t>
  </si>
  <si>
    <t>(9) κυριου (10) ευλογημενη</t>
  </si>
  <si>
    <t>ωσαννα</t>
  </si>
  <si>
    <t>εις εροσολυμα και εις το ιερον</t>
  </si>
  <si>
    <r>
      <t xml:space="preserve">εις </t>
    </r>
    <r>
      <rPr>
        <b/>
        <sz val="11"/>
        <color theme="1"/>
        <rFont val="Calibri"/>
        <family val="2"/>
        <scheme val="minor"/>
      </rPr>
      <t>εροσολυμα</t>
    </r>
    <r>
      <rPr>
        <sz val="11"/>
        <color theme="1"/>
        <rFont val="Calibri"/>
        <family val="2"/>
        <scheme val="minor"/>
      </rPr>
      <t xml:space="preserve"> και εις το ιερον</t>
    </r>
  </si>
  <si>
    <r>
      <t xml:space="preserve">εις </t>
    </r>
    <r>
      <rPr>
        <b/>
        <sz val="11"/>
        <color theme="1"/>
        <rFont val="Calibri"/>
        <family val="2"/>
        <scheme val="minor"/>
      </rPr>
      <t>ιεροσολυμα</t>
    </r>
    <r>
      <rPr>
        <sz val="11"/>
        <color theme="1"/>
        <rFont val="Calibri"/>
        <family val="2"/>
        <scheme val="minor"/>
      </rPr>
      <t xml:space="preserve"> ο ιησους και εις το ιερον</t>
    </r>
  </si>
  <si>
    <r>
      <t xml:space="preserve">εις ιεροσολυμα </t>
    </r>
    <r>
      <rPr>
        <b/>
        <sz val="11"/>
        <color theme="1"/>
        <rFont val="Calibri"/>
        <family val="2"/>
        <scheme val="minor"/>
      </rPr>
      <t>ο ιησους</t>
    </r>
    <r>
      <rPr>
        <sz val="11"/>
        <color theme="1"/>
        <rFont val="Calibri"/>
        <family val="2"/>
        <scheme val="minor"/>
      </rPr>
      <t xml:space="preserve"> και εις το ιερον</t>
    </r>
  </si>
  <si>
    <t>περιβλεψαμενος</t>
  </si>
  <si>
    <t>περιβλεψαμπεριβλεψαμενος</t>
  </si>
  <si>
    <t>ηδη ουσας ωρας εξηλθεν</t>
  </si>
  <si>
    <r>
      <t xml:space="preserve">ηδη </t>
    </r>
    <r>
      <rPr>
        <b/>
        <sz val="11"/>
        <color theme="1"/>
        <rFont val="Calibri"/>
        <family val="2"/>
        <scheme val="minor"/>
      </rPr>
      <t>ουσας</t>
    </r>
    <r>
      <rPr>
        <sz val="11"/>
        <color theme="1"/>
        <rFont val="Calibri"/>
        <family val="2"/>
        <scheme val="minor"/>
      </rPr>
      <t xml:space="preserve"> ωρας εξηλθεν</t>
    </r>
  </si>
  <si>
    <r>
      <t xml:space="preserve">ηδη </t>
    </r>
    <r>
      <rPr>
        <b/>
        <sz val="11"/>
        <color theme="1"/>
        <rFont val="Calibri"/>
        <family val="2"/>
        <scheme val="minor"/>
      </rPr>
      <t>ουσης</t>
    </r>
    <r>
      <rPr>
        <sz val="11"/>
        <color theme="1"/>
        <rFont val="Calibri"/>
        <family val="2"/>
        <scheme val="minor"/>
      </rPr>
      <t xml:space="preserve"> της ωρας εξηλθεν</t>
    </r>
  </si>
  <si>
    <r>
      <t xml:space="preserve">ηδη ουσης </t>
    </r>
    <r>
      <rPr>
        <b/>
        <sz val="11"/>
        <color theme="1"/>
        <rFont val="Calibri"/>
        <family val="2"/>
        <scheme val="minor"/>
      </rPr>
      <t>της</t>
    </r>
    <r>
      <rPr>
        <sz val="11"/>
        <color theme="1"/>
        <rFont val="Calibri"/>
        <family val="2"/>
        <scheme val="minor"/>
      </rPr>
      <t xml:space="preserve"> ωρας εξηλθεν</t>
    </r>
  </si>
  <si>
    <t>επαυριονον εξελθοντα</t>
  </si>
  <si>
    <t>επαυριον εξελθοντα</t>
  </si>
  <si>
    <t xml:space="preserve">ην ο καιρος </t>
  </si>
  <si>
    <t xml:space="preserve">ην καιρος </t>
  </si>
  <si>
    <t>αιωνα εξ ου μηδεις</t>
  </si>
  <si>
    <t>αιωνα εξ σου μηδεις</t>
  </si>
  <si>
    <t>Bezae corrects εξ ου -&gt; εκ σου</t>
  </si>
  <si>
    <t>διενεγκη σκευος δια</t>
  </si>
  <si>
    <t>διενεγκη τις δια</t>
  </si>
  <si>
    <t>Bezae correction not clear to me</t>
  </si>
  <si>
    <t>εποιησατε αυτον σπηλεον</t>
  </si>
  <si>
    <t>εποιησατε αυτην σπηλεον</t>
  </si>
  <si>
    <t>παραπορευομενοι πρωι ειδον την συκην</t>
  </si>
  <si>
    <r>
      <t xml:space="preserve">παραπορευομενοι </t>
    </r>
    <r>
      <rPr>
        <b/>
        <sz val="11"/>
        <color theme="1"/>
        <rFont val="Calibri"/>
        <family val="2"/>
        <scheme val="minor"/>
      </rPr>
      <t>το</t>
    </r>
    <r>
      <rPr>
        <sz val="11"/>
        <color theme="1"/>
        <rFont val="Calibri"/>
        <family val="2"/>
        <scheme val="minor"/>
      </rPr>
      <t xml:space="preserve"> πρωι ιδον την συκην</t>
    </r>
  </si>
  <si>
    <r>
      <t xml:space="preserve">παραπορευομενοι το πρωι </t>
    </r>
    <r>
      <rPr>
        <b/>
        <sz val="11"/>
        <color theme="1"/>
        <rFont val="Calibri"/>
        <family val="2"/>
        <scheme val="minor"/>
      </rPr>
      <t>ιδον</t>
    </r>
    <r>
      <rPr>
        <sz val="11"/>
        <color theme="1"/>
        <rFont val="Calibri"/>
        <family val="2"/>
        <scheme val="minor"/>
      </rPr>
      <t xml:space="preserve"> την συκην</t>
    </r>
  </si>
  <si>
    <r>
      <t xml:space="preserve">παραπορευομενοι πρωι </t>
    </r>
    <r>
      <rPr>
        <b/>
        <sz val="11"/>
        <color theme="1"/>
        <rFont val="Calibri"/>
        <family val="2"/>
        <scheme val="minor"/>
      </rPr>
      <t>ειδον</t>
    </r>
    <r>
      <rPr>
        <sz val="11"/>
        <color theme="1"/>
        <rFont val="Calibri"/>
        <family val="2"/>
        <scheme val="minor"/>
      </rPr>
      <t xml:space="preserve"> την συκην</t>
    </r>
  </si>
  <si>
    <t>διακριθης εν τη</t>
  </si>
  <si>
    <t>διακριθη εν τη</t>
  </si>
  <si>
    <t xml:space="preserve">οσα ετεισθαι προσευχομενοι πιστευεται </t>
  </si>
  <si>
    <r>
      <t xml:space="preserve">οσα προσευχεσθαι </t>
    </r>
    <r>
      <rPr>
        <b/>
        <sz val="11"/>
        <color theme="1"/>
        <rFont val="Calibri"/>
        <family val="2"/>
        <scheme val="minor"/>
      </rPr>
      <t>και</t>
    </r>
    <r>
      <rPr>
        <sz val="11"/>
        <color theme="1"/>
        <rFont val="Calibri"/>
        <family val="2"/>
        <scheme val="minor"/>
      </rPr>
      <t xml:space="preserve"> ετεισθαι πιστευεται</t>
    </r>
  </si>
  <si>
    <r>
      <t xml:space="preserve">οσα </t>
    </r>
    <r>
      <rPr>
        <b/>
        <sz val="11"/>
        <color theme="1"/>
        <rFont val="Calibri"/>
        <family val="2"/>
        <scheme val="minor"/>
      </rPr>
      <t>προσευχεσθαι</t>
    </r>
    <r>
      <rPr>
        <sz val="11"/>
        <color theme="1"/>
        <rFont val="Calibri"/>
        <family val="2"/>
        <scheme val="minor"/>
      </rPr>
      <t xml:space="preserve"> και </t>
    </r>
    <r>
      <rPr>
        <b/>
        <sz val="11"/>
        <color theme="1"/>
        <rFont val="Calibri"/>
        <family val="2"/>
        <scheme val="minor"/>
      </rPr>
      <t>ετεισθαι</t>
    </r>
    <r>
      <rPr>
        <sz val="11"/>
        <color theme="1"/>
        <rFont val="Calibri"/>
        <family val="2"/>
        <scheme val="minor"/>
      </rPr>
      <t xml:space="preserve"> πιστευεται</t>
    </r>
  </si>
  <si>
    <r>
      <t xml:space="preserve">οσα </t>
    </r>
    <r>
      <rPr>
        <b/>
        <sz val="11"/>
        <color theme="1"/>
        <rFont val="Calibri"/>
        <family val="2"/>
        <scheme val="minor"/>
      </rPr>
      <t>ετεισθαι προσευχομενοι</t>
    </r>
    <r>
      <rPr>
        <sz val="11"/>
        <color theme="1"/>
        <rFont val="Calibri"/>
        <family val="2"/>
        <scheme val="minor"/>
      </rPr>
      <t xml:space="preserve"> πιστευεται </t>
    </r>
  </si>
  <si>
    <r>
      <t xml:space="preserve">οσα </t>
    </r>
    <r>
      <rPr>
        <b/>
        <sz val="11"/>
        <color theme="1"/>
        <rFont val="Calibri"/>
        <family val="2"/>
        <scheme val="minor"/>
      </rPr>
      <t>προσευχεσθαι</t>
    </r>
    <r>
      <rPr>
        <sz val="11"/>
        <color theme="1"/>
        <rFont val="Calibri"/>
        <family val="2"/>
        <scheme val="minor"/>
      </rPr>
      <t xml:space="preserve"> και ετεισθαι πιστευεται</t>
    </r>
  </si>
  <si>
    <r>
      <t xml:space="preserve">οσα ετεισθαι </t>
    </r>
    <r>
      <rPr>
        <b/>
        <sz val="11"/>
        <color theme="1"/>
        <rFont val="Calibri"/>
        <family val="2"/>
        <scheme val="minor"/>
      </rPr>
      <t>προσευχομενοι</t>
    </r>
    <r>
      <rPr>
        <sz val="11"/>
        <color theme="1"/>
        <rFont val="Calibri"/>
        <family val="2"/>
        <scheme val="minor"/>
      </rPr>
      <t xml:space="preserve"> πιστευεται </t>
    </r>
  </si>
  <si>
    <t>περιπατουντος αυτου ερχονται</t>
  </si>
  <si>
    <t>περιπατουντος αυτου ερ αυτου ερχονται</t>
  </si>
  <si>
    <t>βαπτισμα το ιωαννου</t>
  </si>
  <si>
    <t>βαπτισμα του ιωαννου</t>
  </si>
  <si>
    <t>εξ ουρανων ην</t>
  </si>
  <si>
    <t>εξ ουρανου ην</t>
  </si>
  <si>
    <t>διελογιζοντο προς</t>
  </si>
  <si>
    <t>Bezae marks -το for deletion</t>
  </si>
  <si>
    <t>λεγει υμειν</t>
  </si>
  <si>
    <t>λεγει ημειν</t>
  </si>
  <si>
    <t>φοβουμεν τον λαον</t>
  </si>
  <si>
    <t>φοβουμεθα τον λαον</t>
  </si>
  <si>
    <t>αποκριθεις ο ιης</t>
  </si>
  <si>
    <t>αποκριθεις ιησους</t>
  </si>
  <si>
    <t>λεγει αυτοις</t>
  </si>
  <si>
    <t>λεγει αυτω ουδε</t>
  </si>
  <si>
    <t>λεγει αυτοις ουδε</t>
  </si>
  <si>
    <t>υμειν εν ποια εξουσια ποιω (12:1) και ηρξατο</t>
  </si>
  <si>
    <r>
      <t xml:space="preserve">υμειν </t>
    </r>
    <r>
      <rPr>
        <b/>
        <sz val="11"/>
        <color theme="1"/>
        <rFont val="Calibri"/>
        <family val="2"/>
        <scheme val="minor"/>
      </rPr>
      <t>εις ποιαν εξουσιαν</t>
    </r>
    <r>
      <rPr>
        <sz val="11"/>
        <color theme="1"/>
        <rFont val="Calibri"/>
        <family val="2"/>
        <scheme val="minor"/>
      </rPr>
      <t xml:space="preserve"> ταυτα ποιω (12:1) και ηρξατο</t>
    </r>
  </si>
  <si>
    <r>
      <t xml:space="preserve">υμειν </t>
    </r>
    <r>
      <rPr>
        <b/>
        <sz val="11"/>
        <color theme="1"/>
        <rFont val="Calibri"/>
        <family val="2"/>
        <scheme val="minor"/>
      </rPr>
      <t>εν ποια εξουσια</t>
    </r>
    <r>
      <rPr>
        <sz val="11"/>
        <color theme="1"/>
        <rFont val="Calibri"/>
        <family val="2"/>
        <scheme val="minor"/>
      </rPr>
      <t xml:space="preserve"> ποιω (12:1) και ηρξατο</t>
    </r>
  </si>
  <si>
    <r>
      <t xml:space="preserve">υμειν εις ποιαν εξουσιαν </t>
    </r>
    <r>
      <rPr>
        <b/>
        <sz val="11"/>
        <color theme="1"/>
        <rFont val="Calibri"/>
        <family val="2"/>
        <scheme val="minor"/>
      </rPr>
      <t>ταυτα</t>
    </r>
    <r>
      <rPr>
        <sz val="11"/>
        <color theme="1"/>
        <rFont val="Calibri"/>
        <family val="2"/>
        <scheme val="minor"/>
      </rPr>
      <t xml:space="preserve"> ποιω (12:1) και ηρξατο</t>
    </r>
  </si>
  <si>
    <t>καινον προς αυτον (4) και παλιν</t>
  </si>
  <si>
    <t>καινον (4) και παλιν</t>
  </si>
  <si>
    <t>και εκεινον</t>
  </si>
  <si>
    <t xml:space="preserve">αλλα επ αληθειας </t>
  </si>
  <si>
    <t xml:space="preserve">αλλ επ αληθειας </t>
  </si>
  <si>
    <t>ημειν ει εξεστιν ημας δουναι επικαιφαλαιον καισαρι η ου (15) ο δε</t>
  </si>
  <si>
    <t>ημειν εξεστι δουναι καισαρι επικεφαλαιον καισαρος η ου (15) ο δε</t>
  </si>
  <si>
    <r>
      <t xml:space="preserve">ημειν </t>
    </r>
    <r>
      <rPr>
        <b/>
        <sz val="11"/>
        <color theme="1"/>
        <rFont val="Calibri"/>
        <family val="2"/>
        <scheme val="minor"/>
      </rPr>
      <t>ει</t>
    </r>
    <r>
      <rPr>
        <sz val="11"/>
        <color theme="1"/>
        <rFont val="Calibri"/>
        <family val="2"/>
        <scheme val="minor"/>
      </rPr>
      <t xml:space="preserve"> εξεστιν ημας δουναι επικαιφαλαιον καισαρι η ου (15) ο δε</t>
    </r>
  </si>
  <si>
    <r>
      <t xml:space="preserve">ημειν ει εξεστιν </t>
    </r>
    <r>
      <rPr>
        <b/>
        <sz val="11"/>
        <color theme="1"/>
        <rFont val="Calibri"/>
        <family val="2"/>
        <scheme val="minor"/>
      </rPr>
      <t>ημας</t>
    </r>
    <r>
      <rPr>
        <sz val="11"/>
        <color theme="1"/>
        <rFont val="Calibri"/>
        <family val="2"/>
        <scheme val="minor"/>
      </rPr>
      <t xml:space="preserve"> δουναι επικαιφαλαιον καισαρι η ου (15) ο δε</t>
    </r>
  </si>
  <si>
    <r>
      <t xml:space="preserve">ημειν ει εξεστιν ημας δουναι </t>
    </r>
    <r>
      <rPr>
        <b/>
        <sz val="11"/>
        <color theme="1"/>
        <rFont val="Calibri"/>
        <family val="2"/>
        <scheme val="minor"/>
      </rPr>
      <t>επικαιφαλαιον καισαρι</t>
    </r>
    <r>
      <rPr>
        <sz val="11"/>
        <color theme="1"/>
        <rFont val="Calibri"/>
        <family val="2"/>
        <scheme val="minor"/>
      </rPr>
      <t xml:space="preserve"> η ου (15) ο δε</t>
    </r>
  </si>
  <si>
    <r>
      <t xml:space="preserve">ημειν εξεστι δουναι </t>
    </r>
    <r>
      <rPr>
        <b/>
        <sz val="11"/>
        <color theme="1"/>
        <rFont val="Calibri"/>
        <family val="2"/>
        <scheme val="minor"/>
      </rPr>
      <t>καισαρι επικεφαλαιον</t>
    </r>
    <r>
      <rPr>
        <sz val="11"/>
        <color theme="1"/>
        <rFont val="Calibri"/>
        <family val="2"/>
        <scheme val="minor"/>
      </rPr>
      <t xml:space="preserve"> καισαρος η ου (15) ο δε</t>
    </r>
  </si>
  <si>
    <r>
      <t xml:space="preserve">ημειν ει εξεστιν ημας δουναι </t>
    </r>
    <r>
      <rPr>
        <b/>
        <sz val="11"/>
        <color theme="1"/>
        <rFont val="Calibri"/>
        <family val="2"/>
        <scheme val="minor"/>
      </rPr>
      <t>επικαιφαλαιον</t>
    </r>
    <r>
      <rPr>
        <sz val="11"/>
        <color theme="1"/>
        <rFont val="Calibri"/>
        <family val="2"/>
        <scheme val="minor"/>
      </rPr>
      <t xml:space="preserve"> καισαρι η ου (15) ο δε</t>
    </r>
  </si>
  <si>
    <r>
      <t xml:space="preserve">ημειν εξεστι δουναι καισαρι </t>
    </r>
    <r>
      <rPr>
        <b/>
        <sz val="11"/>
        <color theme="1"/>
        <rFont val="Calibri"/>
        <family val="2"/>
        <scheme val="minor"/>
      </rPr>
      <t>επικεφαλαιον</t>
    </r>
    <r>
      <rPr>
        <sz val="11"/>
        <color theme="1"/>
        <rFont val="Calibri"/>
        <family val="2"/>
        <scheme val="minor"/>
      </rPr>
      <t xml:space="preserve"> καισαρος η ου (15) ο δε</t>
    </r>
  </si>
  <si>
    <r>
      <t xml:space="preserve">ημειν εξεστι δουναι καισαρι επικεφαλαιον </t>
    </r>
    <r>
      <rPr>
        <b/>
        <sz val="11"/>
        <color theme="1"/>
        <rFont val="Calibri"/>
        <family val="2"/>
        <scheme val="minor"/>
      </rPr>
      <t>καισαρος</t>
    </r>
    <r>
      <rPr>
        <sz val="11"/>
        <color theme="1"/>
        <rFont val="Calibri"/>
        <family val="2"/>
        <scheme val="minor"/>
      </rPr>
      <t xml:space="preserve"> η ου (15) ο δε</t>
    </r>
  </si>
  <si>
    <t>(16) καισαρος (17) αποκριθεις δε</t>
  </si>
  <si>
    <t>(16) καισαρος (17) και αποκριθεις δε</t>
  </si>
  <si>
    <t>δε not present in B.10.3</t>
  </si>
  <si>
    <t>αποδοτε τα καισαρος καισαρι</t>
  </si>
  <si>
    <r>
      <t xml:space="preserve">αποδοτε τα </t>
    </r>
    <r>
      <rPr>
        <b/>
        <sz val="11"/>
        <color theme="1"/>
        <rFont val="Calibri"/>
        <family val="2"/>
        <scheme val="minor"/>
      </rPr>
      <t>του</t>
    </r>
    <r>
      <rPr>
        <sz val="11"/>
        <color theme="1"/>
        <rFont val="Calibri"/>
        <family val="2"/>
        <scheme val="minor"/>
      </rPr>
      <t xml:space="preserve"> καισαρος τω καισαρι</t>
    </r>
  </si>
  <si>
    <r>
      <t xml:space="preserve">αποδοτε τα του καισαρος </t>
    </r>
    <r>
      <rPr>
        <b/>
        <sz val="11"/>
        <color theme="1"/>
        <rFont val="Calibri"/>
        <family val="2"/>
        <scheme val="minor"/>
      </rPr>
      <t>τω</t>
    </r>
    <r>
      <rPr>
        <sz val="11"/>
        <color theme="1"/>
        <rFont val="Calibri"/>
        <family val="2"/>
        <scheme val="minor"/>
      </rPr>
      <t xml:space="preserve"> καισαρι</t>
    </r>
  </si>
  <si>
    <t>εθαυμαζοντο επ αυτον</t>
  </si>
  <si>
    <t>εθαυμασαν το επ αυτον</t>
  </si>
  <si>
    <t>ησαν ζ αδελφοι ουν παρ ημειν και ο πρωτος</t>
  </si>
  <si>
    <t>ησαν ουν παρ ημειν ζ αδελφοι και ο πρωτος</t>
  </si>
  <si>
    <t>απεθανεν και</t>
  </si>
  <si>
    <t>απεθανε και</t>
  </si>
  <si>
    <t>σπερμα (22) και ωσαυτως ελαβον</t>
  </si>
  <si>
    <r>
      <t xml:space="preserve">σπερμα και </t>
    </r>
    <r>
      <rPr>
        <b/>
        <sz val="11"/>
        <color theme="1"/>
        <rFont val="Calibri"/>
        <family val="2"/>
        <scheme val="minor"/>
      </rPr>
      <t>ο τριτος</t>
    </r>
    <r>
      <rPr>
        <sz val="11"/>
        <color theme="1"/>
        <rFont val="Calibri"/>
        <family val="2"/>
        <scheme val="minor"/>
      </rPr>
      <t xml:space="preserve"> ωσαυτως (22) και ουκ ελαβον</t>
    </r>
  </si>
  <si>
    <r>
      <t xml:space="preserve">σπερμα και ο τριτος ωσαυτως (22) </t>
    </r>
    <r>
      <rPr>
        <b/>
        <sz val="11"/>
        <color theme="1"/>
        <rFont val="Calibri"/>
        <family val="2"/>
        <scheme val="minor"/>
      </rPr>
      <t>και ουκ</t>
    </r>
    <r>
      <rPr>
        <sz val="11"/>
        <color theme="1"/>
        <rFont val="Calibri"/>
        <family val="2"/>
        <scheme val="minor"/>
      </rPr>
      <t xml:space="preserve"> ελαβον</t>
    </r>
  </si>
  <si>
    <t>θυ οιδατε (25) οταν</t>
  </si>
  <si>
    <t>θεου (25) οταν</t>
  </si>
  <si>
    <t>Bezae corrects to αναστωσιν</t>
  </si>
  <si>
    <t>αλλα εισιν</t>
  </si>
  <si>
    <t>αλλ εισιν</t>
  </si>
  <si>
    <t>βυβλω μωυσεως επι</t>
  </si>
  <si>
    <t>βυβλω επι</t>
  </si>
  <si>
    <t>ακουσας αυτων συνζητουντων</t>
  </si>
  <si>
    <t>ακουσας αυτω συνζητουντων</t>
  </si>
  <si>
    <t>λεγων διδασκαλε ποια</t>
  </si>
  <si>
    <t>λεγων ποια</t>
  </si>
  <si>
    <t>ολης καρδιας</t>
  </si>
  <si>
    <t>ολης της καρδιας</t>
  </si>
  <si>
    <r>
      <t xml:space="preserve">γραμματευς </t>
    </r>
    <r>
      <rPr>
        <b/>
        <sz val="11"/>
        <color theme="1"/>
        <rFont val="Calibri"/>
        <family val="2"/>
        <scheme val="minor"/>
      </rPr>
      <t>καλως ειπες</t>
    </r>
    <r>
      <rPr>
        <sz val="11"/>
        <color theme="1"/>
        <rFont val="Calibri"/>
        <family val="2"/>
        <scheme val="minor"/>
      </rPr>
      <t xml:space="preserve"> διδασκαλε</t>
    </r>
  </si>
  <si>
    <r>
      <t xml:space="preserve">γραμματευς </t>
    </r>
    <r>
      <rPr>
        <b/>
        <sz val="11"/>
        <color theme="1"/>
        <rFont val="Calibri"/>
        <family val="2"/>
        <scheme val="minor"/>
      </rPr>
      <t>ειπας καλως</t>
    </r>
    <r>
      <rPr>
        <sz val="11"/>
        <color theme="1"/>
        <rFont val="Calibri"/>
        <family val="2"/>
        <scheme val="minor"/>
      </rPr>
      <t xml:space="preserve"> διδασκαλε</t>
    </r>
  </si>
  <si>
    <r>
      <t xml:space="preserve">γραμματευς καλως </t>
    </r>
    <r>
      <rPr>
        <b/>
        <sz val="11"/>
        <color theme="1"/>
        <rFont val="Calibri"/>
        <family val="2"/>
        <scheme val="minor"/>
      </rPr>
      <t>ειπες</t>
    </r>
    <r>
      <rPr>
        <sz val="11"/>
        <color theme="1"/>
        <rFont val="Calibri"/>
        <family val="2"/>
        <scheme val="minor"/>
      </rPr>
      <t xml:space="preserve"> διδασκαλε</t>
    </r>
  </si>
  <si>
    <r>
      <t xml:space="preserve">γραμματευς </t>
    </r>
    <r>
      <rPr>
        <b/>
        <sz val="11"/>
        <color theme="1"/>
        <rFont val="Calibri"/>
        <family val="2"/>
        <scheme val="minor"/>
      </rPr>
      <t>ειπας</t>
    </r>
    <r>
      <rPr>
        <sz val="11"/>
        <color theme="1"/>
        <rFont val="Calibri"/>
        <family val="2"/>
        <scheme val="minor"/>
      </rPr>
      <t xml:space="preserve"> καλως διδασκαλε</t>
    </r>
  </si>
  <si>
    <t>εως θωσω τους εκχθους σου</t>
  </si>
  <si>
    <r>
      <t xml:space="preserve">εως </t>
    </r>
    <r>
      <rPr>
        <b/>
        <sz val="11"/>
        <color theme="1"/>
        <rFont val="Calibri"/>
        <family val="2"/>
        <scheme val="minor"/>
      </rPr>
      <t>αν</t>
    </r>
    <r>
      <rPr>
        <sz val="11"/>
        <color theme="1"/>
        <rFont val="Calibri"/>
        <family val="2"/>
        <scheme val="minor"/>
      </rPr>
      <t xml:space="preserve"> θησω τους εχθρους σου</t>
    </r>
  </si>
  <si>
    <r>
      <t xml:space="preserve">εως </t>
    </r>
    <r>
      <rPr>
        <b/>
        <sz val="11"/>
        <color theme="1"/>
        <rFont val="Calibri"/>
        <family val="2"/>
        <scheme val="minor"/>
      </rPr>
      <t>θωσω</t>
    </r>
    <r>
      <rPr>
        <sz val="11"/>
        <color theme="1"/>
        <rFont val="Calibri"/>
        <family val="2"/>
        <scheme val="minor"/>
      </rPr>
      <t xml:space="preserve"> τους εκχθους σου</t>
    </r>
  </si>
  <si>
    <r>
      <t xml:space="preserve">εως αν </t>
    </r>
    <r>
      <rPr>
        <b/>
        <sz val="11"/>
        <color theme="1"/>
        <rFont val="Calibri"/>
        <family val="2"/>
        <scheme val="minor"/>
      </rPr>
      <t>θησω</t>
    </r>
    <r>
      <rPr>
        <sz val="11"/>
        <color theme="1"/>
        <rFont val="Calibri"/>
        <family val="2"/>
        <scheme val="minor"/>
      </rPr>
      <t xml:space="preserve"> τους εχθρους σου</t>
    </r>
  </si>
  <si>
    <r>
      <t xml:space="preserve">εως θωσω τους </t>
    </r>
    <r>
      <rPr>
        <b/>
        <sz val="11"/>
        <color theme="1"/>
        <rFont val="Calibri"/>
        <family val="2"/>
        <scheme val="minor"/>
      </rPr>
      <t>εκχθους</t>
    </r>
    <r>
      <rPr>
        <sz val="11"/>
        <color theme="1"/>
        <rFont val="Calibri"/>
        <family val="2"/>
        <scheme val="minor"/>
      </rPr>
      <t xml:space="preserve"> σου</t>
    </r>
  </si>
  <si>
    <r>
      <t xml:space="preserve">εως αν θησω τους </t>
    </r>
    <r>
      <rPr>
        <b/>
        <sz val="11"/>
        <color theme="1"/>
        <rFont val="Calibri"/>
        <family val="2"/>
        <scheme val="minor"/>
      </rPr>
      <t>εχθρους</t>
    </r>
    <r>
      <rPr>
        <sz val="11"/>
        <color theme="1"/>
        <rFont val="Calibri"/>
        <family val="2"/>
        <scheme val="minor"/>
      </rPr>
      <t xml:space="preserve"> σου</t>
    </r>
  </si>
  <si>
    <t>Bezae corrects to εχθους</t>
  </si>
  <si>
    <t>οχλος και ηδεως</t>
  </si>
  <si>
    <t>οχλος ηδεως</t>
  </si>
  <si>
    <t>κατεσθιουσιν τας οικειας</t>
  </si>
  <si>
    <t>κατεσθιουσιν οικειας</t>
  </si>
  <si>
    <t>ορφανων και προφασει</t>
  </si>
  <si>
    <t>ορφανων προφασει</t>
  </si>
  <si>
    <t>δε αμα χηρα</t>
  </si>
  <si>
    <t>δε μια χηρα</t>
  </si>
  <si>
    <t>ποδαποι λιθοι</t>
  </si>
  <si>
    <t>ποδαπαι οικοδομαι</t>
  </si>
  <si>
    <t>ποταποι λιθοι</t>
  </si>
  <si>
    <t>ποταπαι οικοδομαι</t>
  </si>
  <si>
    <t>επι λιθον ος</t>
  </si>
  <si>
    <t>επι λιθω ος</t>
  </si>
  <si>
    <t>ειπον ημειν</t>
  </si>
  <si>
    <r>
      <rPr>
        <b/>
        <sz val="11"/>
        <color theme="1"/>
        <rFont val="Calibri"/>
        <family val="2"/>
        <scheme val="minor"/>
      </rPr>
      <t>πολλου</t>
    </r>
    <r>
      <rPr>
        <sz val="11"/>
        <color theme="1"/>
        <rFont val="Calibri"/>
        <family val="2"/>
        <scheme val="minor"/>
      </rPr>
      <t xml:space="preserve"> πλανησουσιν (7) οταν</t>
    </r>
  </si>
  <si>
    <r>
      <rPr>
        <b/>
        <sz val="11"/>
        <color theme="1"/>
        <rFont val="Calibri"/>
        <family val="2"/>
        <scheme val="minor"/>
      </rPr>
      <t>πολλους</t>
    </r>
    <r>
      <rPr>
        <sz val="11"/>
        <color theme="1"/>
        <rFont val="Calibri"/>
        <family val="2"/>
        <scheme val="minor"/>
      </rPr>
      <t xml:space="preserve"> πλανησουσι (7) οταν</t>
    </r>
  </si>
  <si>
    <r>
      <t xml:space="preserve">πολλου </t>
    </r>
    <r>
      <rPr>
        <b/>
        <sz val="11"/>
        <color theme="1"/>
        <rFont val="Calibri"/>
        <family val="2"/>
        <scheme val="minor"/>
      </rPr>
      <t>πλανησουσιν</t>
    </r>
    <r>
      <rPr>
        <sz val="11"/>
        <color theme="1"/>
        <rFont val="Calibri"/>
        <family val="2"/>
        <scheme val="minor"/>
      </rPr>
      <t xml:space="preserve"> (7) οταν</t>
    </r>
  </si>
  <si>
    <r>
      <t xml:space="preserve">πολλους </t>
    </r>
    <r>
      <rPr>
        <b/>
        <sz val="11"/>
        <color theme="1"/>
        <rFont val="Calibri"/>
        <family val="2"/>
        <scheme val="minor"/>
      </rPr>
      <t>πλανησουσι</t>
    </r>
    <r>
      <rPr>
        <sz val="11"/>
        <color theme="1"/>
        <rFont val="Calibri"/>
        <family val="2"/>
        <scheme val="minor"/>
      </rPr>
      <t xml:space="preserve"> (7) οταν</t>
    </r>
  </si>
  <si>
    <t>αλλα ουπω</t>
  </si>
  <si>
    <t>επ εθνος</t>
  </si>
  <si>
    <t>επι εθνος</t>
  </si>
  <si>
    <t>παντα εθνη</t>
  </si>
  <si>
    <t>παντα τα εθνη</t>
  </si>
  <si>
    <t>αλλα ο αν</t>
  </si>
  <si>
    <t>αλλ ο αν</t>
  </si>
  <si>
    <t>ωρα αυτο λαλειτε</t>
  </si>
  <si>
    <t>ωρα τουτο λαλειτε</t>
  </si>
  <si>
    <t>επιστρεψατω</t>
  </si>
  <si>
    <t>προσευχεσθαι δε ινα</t>
  </si>
  <si>
    <t>προσευχεσθαι ινα</t>
  </si>
  <si>
    <t>τοτε αν</t>
  </si>
  <si>
    <t>τοτε εαν</t>
  </si>
  <si>
    <t>ειπη ιδου</t>
  </si>
  <si>
    <t>ειπη ειδου</t>
  </si>
  <si>
    <t>ειδε εκει</t>
  </si>
  <si>
    <t>ειδου εκει</t>
  </si>
  <si>
    <t>ποιησουσιν σημεια</t>
  </si>
  <si>
    <t>ποιησουσι σημεια</t>
  </si>
  <si>
    <t>βλεπετε ιδου</t>
  </si>
  <si>
    <t>βλεπετε ειδου</t>
  </si>
  <si>
    <t>αλλα εν</t>
  </si>
  <si>
    <t>αλλ εν</t>
  </si>
  <si>
    <t>δυναμις των ουρανων σαλευθησονται</t>
  </si>
  <si>
    <t>δυναμις του ουρανου σαλευθησονται</t>
  </si>
  <si>
    <t>αυτη μεχρεις παντα</t>
  </si>
  <si>
    <t>αυτη εως ου παντα</t>
  </si>
  <si>
    <t>ου παρελθωσιν</t>
  </si>
  <si>
    <t>ου μη παρελθωσιν</t>
  </si>
  <si>
    <t>ουν αγρυπνιτε ουκ</t>
  </si>
  <si>
    <r>
      <t xml:space="preserve">ουν </t>
    </r>
    <r>
      <rPr>
        <b/>
        <sz val="11"/>
        <color theme="1"/>
        <rFont val="Calibri"/>
        <family val="2"/>
        <scheme val="minor"/>
      </rPr>
      <t>και</t>
    </r>
    <r>
      <rPr>
        <sz val="11"/>
        <color theme="1"/>
        <rFont val="Calibri"/>
        <family val="2"/>
        <scheme val="minor"/>
      </rPr>
      <t xml:space="preserve"> αγρυπνειται ουκ</t>
    </r>
  </si>
  <si>
    <r>
      <t xml:space="preserve">ουν και </t>
    </r>
    <r>
      <rPr>
        <b/>
        <sz val="11"/>
        <color theme="1"/>
        <rFont val="Calibri"/>
        <family val="2"/>
        <scheme val="minor"/>
      </rPr>
      <t>αγρυπνειται</t>
    </r>
    <r>
      <rPr>
        <sz val="11"/>
        <color theme="1"/>
        <rFont val="Calibri"/>
        <family val="2"/>
        <scheme val="minor"/>
      </rPr>
      <t xml:space="preserve"> ουκ</t>
    </r>
  </si>
  <si>
    <r>
      <t xml:space="preserve">ουν </t>
    </r>
    <r>
      <rPr>
        <b/>
        <sz val="11"/>
        <color theme="1"/>
        <rFont val="Calibri"/>
        <family val="2"/>
        <scheme val="minor"/>
      </rPr>
      <t>αγρυπνιτε</t>
    </r>
    <r>
      <rPr>
        <sz val="11"/>
        <color theme="1"/>
        <rFont val="Calibri"/>
        <family val="2"/>
        <scheme val="minor"/>
      </rPr>
      <t xml:space="preserve"> ουκ</t>
    </r>
  </si>
  <si>
    <t>κρατησαντες και αποκτεινωσιν</t>
  </si>
  <si>
    <t>εορτη εσται θορυβος του λαου</t>
  </si>
  <si>
    <t>εορτη θορυβος εσται του λαου</t>
  </si>
  <si>
    <t>B.10.3 (and Bezae's correction) = γυνη</t>
  </si>
  <si>
    <t xml:space="preserve">επανω δηναριων τ και </t>
  </si>
  <si>
    <r>
      <t xml:space="preserve">επανω </t>
    </r>
    <r>
      <rPr>
        <b/>
        <sz val="11"/>
        <color theme="1"/>
        <rFont val="Calibri"/>
        <family val="2"/>
        <scheme val="minor"/>
      </rPr>
      <t>δηναριων τ</t>
    </r>
    <r>
      <rPr>
        <sz val="11"/>
        <color theme="1"/>
        <rFont val="Calibri"/>
        <family val="2"/>
        <scheme val="minor"/>
      </rPr>
      <t xml:space="preserve"> και </t>
    </r>
  </si>
  <si>
    <r>
      <t xml:space="preserve">επανω </t>
    </r>
    <r>
      <rPr>
        <b/>
        <sz val="11"/>
        <color theme="1"/>
        <rFont val="Calibri"/>
        <family val="2"/>
        <scheme val="minor"/>
      </rPr>
      <t>των</t>
    </r>
    <r>
      <rPr>
        <sz val="11"/>
        <color theme="1"/>
        <rFont val="Calibri"/>
        <family val="2"/>
        <scheme val="minor"/>
      </rPr>
      <t xml:space="preserve"> τριακοσιων δηναριων και</t>
    </r>
  </si>
  <si>
    <t>ενεβριμωντο εν αυτη</t>
  </si>
  <si>
    <t>Bezae omits εν</t>
  </si>
  <si>
    <r>
      <t xml:space="preserve">δυνασθαι </t>
    </r>
    <r>
      <rPr>
        <b/>
        <sz val="11"/>
        <color theme="1"/>
        <rFont val="Calibri"/>
        <family val="2"/>
        <scheme val="minor"/>
      </rPr>
      <t>αυτοις</t>
    </r>
    <r>
      <rPr>
        <sz val="11"/>
        <color theme="1"/>
        <rFont val="Calibri"/>
        <family val="2"/>
        <scheme val="minor"/>
      </rPr>
      <t xml:space="preserve"> ευ ποιειν εμε</t>
    </r>
  </si>
  <si>
    <r>
      <t xml:space="preserve">δυνασθαι </t>
    </r>
    <r>
      <rPr>
        <b/>
        <sz val="11"/>
        <color theme="1"/>
        <rFont val="Calibri"/>
        <family val="2"/>
        <scheme val="minor"/>
      </rPr>
      <t>αυτους</t>
    </r>
    <r>
      <rPr>
        <sz val="11"/>
        <color theme="1"/>
        <rFont val="Calibri"/>
        <family val="2"/>
        <scheme val="minor"/>
      </rPr>
      <t xml:space="preserve"> ευ ποιησαι εμε</t>
    </r>
  </si>
  <si>
    <r>
      <t xml:space="preserve">δυνασθαι αυτοις ευ </t>
    </r>
    <r>
      <rPr>
        <b/>
        <sz val="11"/>
        <color theme="1"/>
        <rFont val="Calibri"/>
        <family val="2"/>
        <scheme val="minor"/>
      </rPr>
      <t>ποιειν</t>
    </r>
    <r>
      <rPr>
        <sz val="11"/>
        <color theme="1"/>
        <rFont val="Calibri"/>
        <family val="2"/>
        <scheme val="minor"/>
      </rPr>
      <t xml:space="preserve"> εμε</t>
    </r>
  </si>
  <si>
    <r>
      <t xml:space="preserve">δυνασθαι αυτους ευ </t>
    </r>
    <r>
      <rPr>
        <b/>
        <sz val="11"/>
        <color theme="1"/>
        <rFont val="Calibri"/>
        <family val="2"/>
        <scheme val="minor"/>
      </rPr>
      <t>ποιησαι</t>
    </r>
    <r>
      <rPr>
        <sz val="11"/>
        <color theme="1"/>
        <rFont val="Calibri"/>
        <family val="2"/>
        <scheme val="minor"/>
      </rPr>
      <t xml:space="preserve"> εμε</t>
    </r>
  </si>
  <si>
    <t>Not sure if this is a correction</t>
  </si>
  <si>
    <r>
      <rPr>
        <b/>
        <sz val="11"/>
        <color theme="1"/>
        <rFont val="Calibri"/>
        <family val="2"/>
        <scheme val="minor"/>
      </rPr>
      <t>εχεται</t>
    </r>
    <r>
      <rPr>
        <sz val="11"/>
        <color theme="1"/>
        <rFont val="Calibri"/>
        <family val="2"/>
        <scheme val="minor"/>
      </rPr>
      <t xml:space="preserve"> (8) ο εσχεν</t>
    </r>
  </si>
  <si>
    <r>
      <rPr>
        <b/>
        <sz val="11"/>
        <color theme="1"/>
        <rFont val="Calibri"/>
        <family val="2"/>
        <scheme val="minor"/>
      </rPr>
      <t>εχετε</t>
    </r>
    <r>
      <rPr>
        <sz val="11"/>
        <color theme="1"/>
        <rFont val="Calibri"/>
        <family val="2"/>
        <scheme val="minor"/>
      </rPr>
      <t xml:space="preserve"> (8) ο ειχεν</t>
    </r>
  </si>
  <si>
    <r>
      <t xml:space="preserve">εχεται (8) ο </t>
    </r>
    <r>
      <rPr>
        <b/>
        <sz val="11"/>
        <color theme="1"/>
        <rFont val="Calibri"/>
        <family val="2"/>
        <scheme val="minor"/>
      </rPr>
      <t>εσχεν</t>
    </r>
  </si>
  <si>
    <r>
      <t xml:space="preserve">εχετε (8) ο </t>
    </r>
    <r>
      <rPr>
        <b/>
        <sz val="11"/>
        <color theme="1"/>
        <rFont val="Calibri"/>
        <family val="2"/>
        <scheme val="minor"/>
      </rPr>
      <t>ειχεν</t>
    </r>
  </si>
  <si>
    <t>αμην λεγω</t>
  </si>
  <si>
    <t>αμην δε λεγω</t>
  </si>
  <si>
    <t>λεγων υπαγε εις</t>
  </si>
  <si>
    <r>
      <t xml:space="preserve">λεγων </t>
    </r>
    <r>
      <rPr>
        <b/>
        <sz val="11"/>
        <color theme="1"/>
        <rFont val="Calibri"/>
        <family val="2"/>
        <scheme val="minor"/>
      </rPr>
      <t>αυτοις</t>
    </r>
    <r>
      <rPr>
        <sz val="11"/>
        <color theme="1"/>
        <rFont val="Calibri"/>
        <family val="2"/>
        <scheme val="minor"/>
      </rPr>
      <t xml:space="preserve"> υπαγετε εις</t>
    </r>
  </si>
  <si>
    <r>
      <t xml:space="preserve">λεγων αυτοις </t>
    </r>
    <r>
      <rPr>
        <b/>
        <sz val="11"/>
        <color theme="1"/>
        <rFont val="Calibri"/>
        <family val="2"/>
        <scheme val="minor"/>
      </rPr>
      <t>υπαγετε</t>
    </r>
    <r>
      <rPr>
        <sz val="11"/>
        <color theme="1"/>
        <rFont val="Calibri"/>
        <family val="2"/>
        <scheme val="minor"/>
      </rPr>
      <t xml:space="preserve"> εις</t>
    </r>
  </si>
  <si>
    <r>
      <t xml:space="preserve">λεγων </t>
    </r>
    <r>
      <rPr>
        <b/>
        <sz val="11"/>
        <color theme="1"/>
        <rFont val="Calibri"/>
        <family val="2"/>
        <scheme val="minor"/>
      </rPr>
      <t>υπαγε</t>
    </r>
    <r>
      <rPr>
        <sz val="11"/>
        <color theme="1"/>
        <rFont val="Calibri"/>
        <family val="2"/>
        <scheme val="minor"/>
      </rPr>
      <t xml:space="preserve"> εις</t>
    </r>
  </si>
  <si>
    <t>πολιν και απαντησει</t>
  </si>
  <si>
    <t>πολιν και και απαντησει</t>
  </si>
  <si>
    <t>αυτος δειξει υμειν αναγαιον</t>
  </si>
  <si>
    <t>αυτος υμειν δειξει αναγαιον</t>
  </si>
  <si>
    <t>(19) εγω (20) ο δε λεγει αυτοις</t>
  </si>
  <si>
    <t>(19) εγω (20) λεγει αυτοις</t>
  </si>
  <si>
    <t>ιβ ο ενβαπτιζομενος</t>
  </si>
  <si>
    <t>ιβ ενβαπτιζομενος</t>
  </si>
  <si>
    <t>τρυβλιον</t>
  </si>
  <si>
    <t>καθως γεγραπτι περι αυτου</t>
  </si>
  <si>
    <t>καθως εστιν γεγραμμενον περι αυτου</t>
  </si>
  <si>
    <t>μου το της διαθηκης</t>
  </si>
  <si>
    <t>Bezae marks το for deletion, B.10.3 does not follow</t>
  </si>
  <si>
    <t>γεννηματος του αμπελωνος εως</t>
  </si>
  <si>
    <t>γεννηματος της αμπελου εως</t>
  </si>
  <si>
    <t>αλλ ουκ εγω ου σκανδαλισθησομαι (30) και λεγει</t>
  </si>
  <si>
    <t>αλλ ουκ εγω (30) και λεγει</t>
  </si>
  <si>
    <t>Bezae does mark ου for deletion, but not σκανδαλισθησομαι</t>
  </si>
  <si>
    <t>δε εκπερισσως</t>
  </si>
  <si>
    <t>δε περισσως</t>
  </si>
  <si>
    <t>εαν μη δεη συναποθανειν</t>
  </si>
  <si>
    <t>εαν με δεη συναποθανειν</t>
  </si>
  <si>
    <t>Bezae corrects to εαν δεη με συναποθανειν</t>
  </si>
  <si>
    <t>μη απαρνησομαι</t>
  </si>
  <si>
    <t>μη σε απαρνησομαι</t>
  </si>
  <si>
    <t>δε και παντες</t>
  </si>
  <si>
    <t>δε παντες</t>
  </si>
  <si>
    <t>γεσαμανει</t>
  </si>
  <si>
    <t>Bezae corrects to αδημονειν</t>
  </si>
  <si>
    <t xml:space="preserve">προσηυχετο ει δυνατον </t>
  </si>
  <si>
    <r>
      <rPr>
        <b/>
        <sz val="11"/>
        <color theme="1"/>
        <rFont val="Calibri"/>
        <family val="2"/>
        <scheme val="minor"/>
      </rPr>
      <t>προσηυχετο</t>
    </r>
    <r>
      <rPr>
        <sz val="11"/>
        <color theme="1"/>
        <rFont val="Calibri"/>
        <family val="2"/>
        <scheme val="minor"/>
      </rPr>
      <t xml:space="preserve"> ει δυνατον </t>
    </r>
  </si>
  <si>
    <r>
      <rPr>
        <b/>
        <sz val="11"/>
        <color theme="1"/>
        <rFont val="Calibri"/>
        <family val="2"/>
        <scheme val="minor"/>
      </rPr>
      <t>προηυχετο</t>
    </r>
    <r>
      <rPr>
        <sz val="11"/>
        <color theme="1"/>
        <rFont val="Calibri"/>
        <family val="2"/>
        <scheme val="minor"/>
      </rPr>
      <t xml:space="preserve"> ινα ει δυνατον </t>
    </r>
  </si>
  <si>
    <r>
      <t xml:space="preserve">προηυχετο </t>
    </r>
    <r>
      <rPr>
        <b/>
        <sz val="11"/>
        <color theme="1"/>
        <rFont val="Calibri"/>
        <family val="2"/>
        <scheme val="minor"/>
      </rPr>
      <t>ινα</t>
    </r>
    <r>
      <rPr>
        <sz val="11"/>
        <color theme="1"/>
        <rFont val="Calibri"/>
        <family val="2"/>
        <scheme val="minor"/>
      </rPr>
      <t xml:space="preserve"> ει δυνατον </t>
    </r>
  </si>
  <si>
    <t>και αναπαεσθαι</t>
  </si>
  <si>
    <t>και αναπαυεσθαι</t>
  </si>
  <si>
    <t>καθευδετε λοιπον</t>
  </si>
  <si>
    <t>καθευδετε το λοιπον</t>
  </si>
  <si>
    <t>και απο των γραμματεων</t>
  </si>
  <si>
    <t>και μετα των γραμματεων</t>
  </si>
  <si>
    <t>προσελθων αυτω λεγει ραββει</t>
  </si>
  <si>
    <t>προσελθων λεγει αυτω ραββει</t>
  </si>
  <si>
    <t>σπασαμενος μαχαιραν πεσεν τον δουλον</t>
  </si>
  <si>
    <r>
      <t xml:space="preserve">σπασαμενος </t>
    </r>
    <r>
      <rPr>
        <b/>
        <sz val="11"/>
        <color theme="1"/>
        <rFont val="Calibri"/>
        <family val="2"/>
        <scheme val="minor"/>
      </rPr>
      <t>την</t>
    </r>
    <r>
      <rPr>
        <sz val="11"/>
        <color theme="1"/>
        <rFont val="Calibri"/>
        <family val="2"/>
        <scheme val="minor"/>
      </rPr>
      <t xml:space="preserve"> μαχαιραν επεσεν τον δουλον</t>
    </r>
  </si>
  <si>
    <r>
      <t xml:space="preserve">σπασαμενος μαχαιραν </t>
    </r>
    <r>
      <rPr>
        <b/>
        <sz val="11"/>
        <color theme="1"/>
        <rFont val="Calibri"/>
        <family val="2"/>
        <scheme val="minor"/>
      </rPr>
      <t>πεσεν</t>
    </r>
    <r>
      <rPr>
        <sz val="11"/>
        <color theme="1"/>
        <rFont val="Calibri"/>
        <family val="2"/>
        <scheme val="minor"/>
      </rPr>
      <t xml:space="preserve"> τον δουλον</t>
    </r>
  </si>
  <si>
    <r>
      <t xml:space="preserve">σπασαμενος την μαχαιραν </t>
    </r>
    <r>
      <rPr>
        <b/>
        <sz val="11"/>
        <color theme="1"/>
        <rFont val="Calibri"/>
        <family val="2"/>
        <scheme val="minor"/>
      </rPr>
      <t>επεσεν</t>
    </r>
    <r>
      <rPr>
        <sz val="11"/>
        <color theme="1"/>
        <rFont val="Calibri"/>
        <family val="2"/>
        <scheme val="minor"/>
      </rPr>
      <t xml:space="preserve"> τον δουλον</t>
    </r>
  </si>
  <si>
    <t xml:space="preserve">και αφιλεν αυτου </t>
  </si>
  <si>
    <t xml:space="preserve">και αφιλεν αφιλεν αυτου </t>
  </si>
  <si>
    <t>και ο ιησους ειπεν</t>
  </si>
  <si>
    <r>
      <t xml:space="preserve">ηκολουθει </t>
    </r>
    <r>
      <rPr>
        <b/>
        <sz val="11"/>
        <color theme="1"/>
        <rFont val="Calibri"/>
        <family val="2"/>
        <scheme val="minor"/>
      </rPr>
      <t>αυτους</t>
    </r>
    <r>
      <rPr>
        <sz val="11"/>
        <color theme="1"/>
        <rFont val="Calibri"/>
        <family val="2"/>
        <scheme val="minor"/>
      </rPr>
      <t xml:space="preserve"> περιβεβλημενος συνδονα επι</t>
    </r>
  </si>
  <si>
    <r>
      <t xml:space="preserve">ηκολουθει </t>
    </r>
    <r>
      <rPr>
        <b/>
        <sz val="11"/>
        <color theme="1"/>
        <rFont val="Calibri"/>
        <family val="2"/>
        <scheme val="minor"/>
      </rPr>
      <t>αυτω</t>
    </r>
    <r>
      <rPr>
        <sz val="11"/>
        <color theme="1"/>
        <rFont val="Calibri"/>
        <family val="2"/>
        <scheme val="minor"/>
      </rPr>
      <t xml:space="preserve"> περιβεβλημενος σινδονα επι</t>
    </r>
  </si>
  <si>
    <r>
      <t xml:space="preserve">ηκολουθει αυτω περιβεβλημενος </t>
    </r>
    <r>
      <rPr>
        <b/>
        <sz val="11"/>
        <color theme="1"/>
        <rFont val="Calibri"/>
        <family val="2"/>
        <scheme val="minor"/>
      </rPr>
      <t>σινδονα</t>
    </r>
    <r>
      <rPr>
        <sz val="11"/>
        <color theme="1"/>
        <rFont val="Calibri"/>
        <family val="2"/>
        <scheme val="minor"/>
      </rPr>
      <t xml:space="preserve"> επι</t>
    </r>
  </si>
  <si>
    <r>
      <t xml:space="preserve">ηκολουθει αυτους περιβεβλημενος </t>
    </r>
    <r>
      <rPr>
        <b/>
        <sz val="11"/>
        <color theme="1"/>
        <rFont val="Calibri"/>
        <family val="2"/>
        <scheme val="minor"/>
      </rPr>
      <t>συνδονα</t>
    </r>
    <r>
      <rPr>
        <sz val="11"/>
        <color theme="1"/>
        <rFont val="Calibri"/>
        <family val="2"/>
        <scheme val="minor"/>
      </rPr>
      <t xml:space="preserve"> επι</t>
    </r>
  </si>
  <si>
    <t>εψευδομαρτυρουν κατ αυτου</t>
  </si>
  <si>
    <t>εψευδομαρτυρουν ελεγον κατ αυτου</t>
  </si>
  <si>
    <t>απεκριθη και λεγει</t>
  </si>
  <si>
    <t>απεκρινατο και λεγει</t>
  </si>
  <si>
    <t>ις ειπεν εγω ειμι</t>
  </si>
  <si>
    <t>καθημενον της δυναμεως</t>
  </si>
  <si>
    <t>καθημενον δυναμεως</t>
  </si>
  <si>
    <t>χιτωνας αυτου λεγει</t>
  </si>
  <si>
    <r>
      <rPr>
        <b/>
        <sz val="11"/>
        <color theme="1"/>
        <rFont val="Calibri"/>
        <family val="2"/>
        <scheme val="minor"/>
      </rPr>
      <t>χειτωνας</t>
    </r>
    <r>
      <rPr>
        <sz val="11"/>
        <color theme="1"/>
        <rFont val="Calibri"/>
        <family val="2"/>
        <scheme val="minor"/>
      </rPr>
      <t xml:space="preserve"> αυτου και λεγει</t>
    </r>
  </si>
  <si>
    <r>
      <rPr>
        <b/>
        <sz val="11"/>
        <color theme="1"/>
        <rFont val="Calibri"/>
        <family val="2"/>
        <scheme val="minor"/>
      </rPr>
      <t>χιτωνας</t>
    </r>
    <r>
      <rPr>
        <sz val="11"/>
        <color theme="1"/>
        <rFont val="Calibri"/>
        <family val="2"/>
        <scheme val="minor"/>
      </rPr>
      <t xml:space="preserve"> αυτου λεγει</t>
    </r>
  </si>
  <si>
    <r>
      <t xml:space="preserve">χειτωνας αυτου </t>
    </r>
    <r>
      <rPr>
        <b/>
        <sz val="11"/>
        <color theme="1"/>
        <rFont val="Calibri"/>
        <family val="2"/>
        <scheme val="minor"/>
      </rPr>
      <t>και</t>
    </r>
    <r>
      <rPr>
        <sz val="11"/>
        <color theme="1"/>
        <rFont val="Calibri"/>
        <family val="2"/>
        <scheme val="minor"/>
      </rPr>
      <t xml:space="preserve"> λεγει</t>
    </r>
  </si>
  <si>
    <t>κατεκριναν αυτον ενοχον</t>
  </si>
  <si>
    <t>κατεκριναν αυτω ενοχον</t>
  </si>
  <si>
    <t>ενπτυειν τω προσωπω</t>
  </si>
  <si>
    <r>
      <rPr>
        <b/>
        <sz val="11"/>
        <color theme="1"/>
        <rFont val="Calibri"/>
        <family val="2"/>
        <scheme val="minor"/>
      </rPr>
      <t>ενπτυειν</t>
    </r>
    <r>
      <rPr>
        <sz val="11"/>
        <color theme="1"/>
        <rFont val="Calibri"/>
        <family val="2"/>
        <scheme val="minor"/>
      </rPr>
      <t xml:space="preserve"> τω προσωπω</t>
    </r>
  </si>
  <si>
    <r>
      <rPr>
        <b/>
        <sz val="11"/>
        <color theme="1"/>
        <rFont val="Calibri"/>
        <family val="2"/>
        <scheme val="minor"/>
      </rPr>
      <t>εμπτυειν</t>
    </r>
    <r>
      <rPr>
        <sz val="11"/>
        <color theme="1"/>
        <rFont val="Calibri"/>
        <family val="2"/>
        <scheme val="minor"/>
      </rPr>
      <t xml:space="preserve"> αυτω και περικαλυπτειν τω προσωπω</t>
    </r>
  </si>
  <si>
    <r>
      <t xml:space="preserve">εμπτυειν </t>
    </r>
    <r>
      <rPr>
        <b/>
        <sz val="11"/>
        <color theme="1"/>
        <rFont val="Calibri"/>
        <family val="2"/>
        <scheme val="minor"/>
      </rPr>
      <t>αυτω και περικαλυπτειν</t>
    </r>
    <r>
      <rPr>
        <sz val="11"/>
        <color theme="1"/>
        <rFont val="Calibri"/>
        <family val="2"/>
        <scheme val="minor"/>
      </rPr>
      <t xml:space="preserve"> τω προσωπω</t>
    </r>
  </si>
  <si>
    <t>προφητευσον και και ραπισμασιν</t>
  </si>
  <si>
    <t>προφητευσον και ραπισμασιν</t>
  </si>
  <si>
    <t>ουτε ηπισσαμαι</t>
  </si>
  <si>
    <t>ουτε επισταμαι</t>
  </si>
  <si>
    <t>Bezae corrects to ουτε ηπισταμαι</t>
  </si>
  <si>
    <t>ειδουσα η παιδισκη αυτον ο δε</t>
  </si>
  <si>
    <t>ειδουσα αυτον η παιδισκη ο δε</t>
  </si>
  <si>
    <t>οτι ουτος εξ αυτων</t>
  </si>
  <si>
    <r>
      <t xml:space="preserve">οτι </t>
    </r>
    <r>
      <rPr>
        <b/>
        <sz val="11"/>
        <color theme="1"/>
        <rFont val="Calibri"/>
        <family val="2"/>
        <scheme val="minor"/>
      </rPr>
      <t>και</t>
    </r>
    <r>
      <rPr>
        <sz val="11"/>
        <color theme="1"/>
        <rFont val="Calibri"/>
        <family val="2"/>
        <scheme val="minor"/>
      </rPr>
      <t xml:space="preserve"> αυτος εξ αυτων</t>
    </r>
  </si>
  <si>
    <r>
      <t xml:space="preserve">οτι και </t>
    </r>
    <r>
      <rPr>
        <b/>
        <sz val="11"/>
        <color theme="1"/>
        <rFont val="Calibri"/>
        <family val="2"/>
        <scheme val="minor"/>
      </rPr>
      <t>αυτος</t>
    </r>
    <r>
      <rPr>
        <sz val="11"/>
        <color theme="1"/>
        <rFont val="Calibri"/>
        <family val="2"/>
        <scheme val="minor"/>
      </rPr>
      <t xml:space="preserve"> εξ αυτων</t>
    </r>
  </si>
  <si>
    <r>
      <t xml:space="preserve">οτι </t>
    </r>
    <r>
      <rPr>
        <b/>
        <sz val="11"/>
        <color theme="1"/>
        <rFont val="Calibri"/>
        <family val="2"/>
        <scheme val="minor"/>
      </rPr>
      <t>ουτος</t>
    </r>
    <r>
      <rPr>
        <sz val="11"/>
        <color theme="1"/>
        <rFont val="Calibri"/>
        <family val="2"/>
        <scheme val="minor"/>
      </rPr>
      <t xml:space="preserve"> εξ αυτων</t>
    </r>
  </si>
  <si>
    <t>ανθρωπον ον λεγεται</t>
  </si>
  <si>
    <t>ανθρωπον τουτον ον λεγεται</t>
  </si>
  <si>
    <t>ο ειπεν ιην και ηρξατο</t>
  </si>
  <si>
    <t>ο ειπεν ιησους και ηρξατο</t>
  </si>
  <si>
    <t>Bezae corrects ιην -&gt; ο ιης</t>
  </si>
  <si>
    <t>απελυεν αυτοις δεσμειον</t>
  </si>
  <si>
    <r>
      <rPr>
        <b/>
        <sz val="11"/>
        <color theme="1"/>
        <rFont val="Calibri"/>
        <family val="2"/>
        <scheme val="minor"/>
      </rPr>
      <t>απεαυεν</t>
    </r>
    <r>
      <rPr>
        <sz val="11"/>
        <color theme="1"/>
        <rFont val="Calibri"/>
        <family val="2"/>
        <scheme val="minor"/>
      </rPr>
      <t xml:space="preserve"> αυτοις ενα δεσμειον</t>
    </r>
  </si>
  <si>
    <r>
      <rPr>
        <b/>
        <sz val="11"/>
        <color theme="1"/>
        <rFont val="Calibri"/>
        <family val="2"/>
        <scheme val="minor"/>
      </rPr>
      <t>απελυεν</t>
    </r>
    <r>
      <rPr>
        <sz val="11"/>
        <color theme="1"/>
        <rFont val="Calibri"/>
        <family val="2"/>
        <scheme val="minor"/>
      </rPr>
      <t xml:space="preserve"> αυτοις δεσμειον</t>
    </r>
  </si>
  <si>
    <r>
      <t xml:space="preserve">απεαυεν αυτοις </t>
    </r>
    <r>
      <rPr>
        <b/>
        <sz val="11"/>
        <color theme="1"/>
        <rFont val="Calibri"/>
        <family val="2"/>
        <scheme val="minor"/>
      </rPr>
      <t>ενα</t>
    </r>
    <r>
      <rPr>
        <sz val="11"/>
        <color theme="1"/>
        <rFont val="Calibri"/>
        <family val="2"/>
        <scheme val="minor"/>
      </rPr>
      <t xml:space="preserve"> δεσμειον</t>
    </r>
  </si>
  <si>
    <t>αιτεισθαι καθως αιει εποιει</t>
  </si>
  <si>
    <r>
      <t xml:space="preserve">αιτεισθαι </t>
    </r>
    <r>
      <rPr>
        <b/>
        <sz val="11"/>
        <color theme="1"/>
        <rFont val="Calibri"/>
        <family val="2"/>
        <scheme val="minor"/>
      </rPr>
      <t>αυτον</t>
    </r>
    <r>
      <rPr>
        <sz val="11"/>
        <color theme="1"/>
        <rFont val="Calibri"/>
        <family val="2"/>
        <scheme val="minor"/>
      </rPr>
      <t xml:space="preserve"> καθως αει εποιει</t>
    </r>
  </si>
  <si>
    <r>
      <t xml:space="preserve">αιτεισθαι αυτον καθως </t>
    </r>
    <r>
      <rPr>
        <b/>
        <sz val="11"/>
        <color theme="1"/>
        <rFont val="Calibri"/>
        <family val="2"/>
        <scheme val="minor"/>
      </rPr>
      <t>αει</t>
    </r>
    <r>
      <rPr>
        <sz val="11"/>
        <color theme="1"/>
        <rFont val="Calibri"/>
        <family val="2"/>
        <scheme val="minor"/>
      </rPr>
      <t xml:space="preserve"> εποιει</t>
    </r>
  </si>
  <si>
    <r>
      <t xml:space="preserve">αιτεισθαι καθως </t>
    </r>
    <r>
      <rPr>
        <b/>
        <sz val="11"/>
        <color theme="1"/>
        <rFont val="Calibri"/>
        <family val="2"/>
        <scheme val="minor"/>
      </rPr>
      <t>αιει</t>
    </r>
    <r>
      <rPr>
        <sz val="11"/>
        <color theme="1"/>
        <rFont val="Calibri"/>
        <family val="2"/>
        <scheme val="minor"/>
      </rPr>
      <t xml:space="preserve"> εποιει</t>
    </r>
  </si>
  <si>
    <t>επεισαν τω οχλω ινα</t>
  </si>
  <si>
    <t>Bezae corrects τω οχλω -&gt; τον οχλον</t>
  </si>
  <si>
    <t>ποιησω βασιλει</t>
  </si>
  <si>
    <t>ποιησω τω βασιλει</t>
  </si>
  <si>
    <t>παλιν σταυρωσον</t>
  </si>
  <si>
    <t>παλιν λεγοντες στρν</t>
  </si>
  <si>
    <t>αυτοις τι τι γαρ</t>
  </si>
  <si>
    <t>αυτοις τι γαρ</t>
  </si>
  <si>
    <t>(19) αυτω (20) και οτε εξεδυσαν αυτον την πορφυραν και ενεδυσαν</t>
  </si>
  <si>
    <t>(19) αυτω (20) και ενεδυσαν</t>
  </si>
  <si>
    <t>απο αγρου</t>
  </si>
  <si>
    <t>απ αγρου</t>
  </si>
  <si>
    <t>και αγουσιν αυτον</t>
  </si>
  <si>
    <t>και φερουσιν αυτον</t>
  </si>
  <si>
    <t xml:space="preserve">ην δε επιγραφη </t>
  </si>
  <si>
    <t>Bezae corrects ην -&gt; η</t>
  </si>
  <si>
    <t>β λησται ενα</t>
  </si>
  <si>
    <t>Bezae corrects to ληστας</t>
  </si>
  <si>
    <t xml:space="preserve">ουα ο καταλυων </t>
  </si>
  <si>
    <t xml:space="preserve">ουαι ο καταλυων </t>
  </si>
  <si>
    <t>σεαυτον και καταβα απο</t>
  </si>
  <si>
    <t>σεαυτον καταβας απο</t>
  </si>
  <si>
    <t>και γενομενης ωρας</t>
  </si>
  <si>
    <t>γενομενης δε ωρας</t>
  </si>
  <si>
    <t>ωρα εφωνησεν</t>
  </si>
  <si>
    <t>ωρα φωνησεν</t>
  </si>
  <si>
    <t>οξους επιθεις καλαμω</t>
  </si>
  <si>
    <t>οξους περιθεις καλαμω</t>
  </si>
  <si>
    <t>και το καταπετασμα</t>
  </si>
  <si>
    <t>και και το καταπετασμα</t>
  </si>
  <si>
    <t>απο ανωθεν</t>
  </si>
  <si>
    <t>απ ανωθεν</t>
  </si>
  <si>
    <r>
      <t xml:space="preserve">παρεστηκως εκι </t>
    </r>
    <r>
      <rPr>
        <b/>
        <sz val="11"/>
        <color theme="1"/>
        <rFont val="Calibri"/>
        <family val="2"/>
        <scheme val="minor"/>
      </rPr>
      <t>ουτως αυτον κραξαντα και</t>
    </r>
    <r>
      <rPr>
        <sz val="11"/>
        <color theme="1"/>
        <rFont val="Calibri"/>
        <family val="2"/>
        <scheme val="minor"/>
      </rPr>
      <t xml:space="preserve"> εξεπνευσεν αληθως</t>
    </r>
  </si>
  <si>
    <r>
      <t xml:space="preserve">παρεστηκως εκι </t>
    </r>
    <r>
      <rPr>
        <b/>
        <sz val="11"/>
        <color theme="1"/>
        <rFont val="Calibri"/>
        <family val="2"/>
        <scheme val="minor"/>
      </rPr>
      <t>οτι ουτω κραξας</t>
    </r>
    <r>
      <rPr>
        <sz val="11"/>
        <color theme="1"/>
        <rFont val="Calibri"/>
        <family val="2"/>
        <scheme val="minor"/>
      </rPr>
      <t xml:space="preserve"> εξεπνευσεν ειπεν αληθως</t>
    </r>
  </si>
  <si>
    <t>παρεστηκως εκι ουτως αυτον κραξαντα και εξεπνευσεν αληθως</t>
  </si>
  <si>
    <r>
      <t xml:space="preserve">παρεστηκως εκι οτι ουτω κραξας εξεπνευσεν </t>
    </r>
    <r>
      <rPr>
        <b/>
        <sz val="11"/>
        <color theme="1"/>
        <rFont val="Calibri"/>
        <family val="2"/>
        <scheme val="minor"/>
      </rPr>
      <t>ειπεν</t>
    </r>
    <r>
      <rPr>
        <sz val="11"/>
        <color theme="1"/>
        <rFont val="Calibri"/>
        <family val="2"/>
        <scheme val="minor"/>
      </rPr>
      <t xml:space="preserve"> αληθως</t>
    </r>
  </si>
  <si>
    <t>ηκολουθησαν αυτω και αλλαι πολαι αι συναναβασαι</t>
  </si>
  <si>
    <t>ηκολουθησαν αυτω και διηκονουν αυτω και αλλαι αι συναναβασαι</t>
  </si>
  <si>
    <r>
      <t>ηκολουθησαν αυτω</t>
    </r>
    <r>
      <rPr>
        <b/>
        <sz val="11"/>
        <color theme="1"/>
        <rFont val="Calibri"/>
        <family val="2"/>
        <scheme val="minor"/>
      </rPr>
      <t xml:space="preserve"> και διηκονουν αυτω</t>
    </r>
    <r>
      <rPr>
        <sz val="11"/>
        <color theme="1"/>
        <rFont val="Calibri"/>
        <family val="2"/>
        <scheme val="minor"/>
      </rPr>
      <t xml:space="preserve"> και αλλαι αι συναναβασαι</t>
    </r>
  </si>
  <si>
    <r>
      <t xml:space="preserve">ηκολουθησαν αυτω και αλλαι </t>
    </r>
    <r>
      <rPr>
        <b/>
        <sz val="11"/>
        <color theme="1"/>
        <rFont val="Calibri"/>
        <family val="2"/>
        <scheme val="minor"/>
      </rPr>
      <t>πολαι</t>
    </r>
    <r>
      <rPr>
        <sz val="11"/>
        <color theme="1"/>
        <rFont val="Calibri"/>
        <family val="2"/>
        <scheme val="minor"/>
      </rPr>
      <t xml:space="preserve"> αι συναναβασαι</t>
    </r>
  </si>
  <si>
    <t>B.10.3 omits πο(λ)λαι altogether</t>
  </si>
  <si>
    <t>ος ην και αυτος προσδεχομενος</t>
  </si>
  <si>
    <t>ος και αυτος ην προσδεχομενος</t>
  </si>
  <si>
    <t>και ετησατο</t>
  </si>
  <si>
    <t>και ητησατο</t>
  </si>
  <si>
    <t>πτωτου του ιηυ</t>
  </si>
  <si>
    <t>εθαυμαζεν ει ηδει τεθνηκει</t>
  </si>
  <si>
    <r>
      <t xml:space="preserve">εθαυμαζεν ει </t>
    </r>
    <r>
      <rPr>
        <b/>
        <sz val="11"/>
        <color theme="1"/>
        <rFont val="Calibri"/>
        <family val="2"/>
        <scheme val="minor"/>
      </rPr>
      <t>ηδη</t>
    </r>
    <r>
      <rPr>
        <sz val="11"/>
        <color theme="1"/>
        <rFont val="Calibri"/>
        <family val="2"/>
        <scheme val="minor"/>
      </rPr>
      <t xml:space="preserve"> ει τεθνηκει</t>
    </r>
  </si>
  <si>
    <r>
      <t xml:space="preserve">εθαυμαζεν ει </t>
    </r>
    <r>
      <rPr>
        <b/>
        <sz val="11"/>
        <color theme="1"/>
        <rFont val="Calibri"/>
        <family val="2"/>
        <scheme val="minor"/>
      </rPr>
      <t>ηδει</t>
    </r>
    <r>
      <rPr>
        <sz val="11"/>
        <color theme="1"/>
        <rFont val="Calibri"/>
        <family val="2"/>
        <scheme val="minor"/>
      </rPr>
      <t xml:space="preserve"> τεθνηκει</t>
    </r>
  </si>
  <si>
    <r>
      <t xml:space="preserve">εθαυμαζεν ει ηδη </t>
    </r>
    <r>
      <rPr>
        <b/>
        <sz val="11"/>
        <color theme="1"/>
        <rFont val="Calibri"/>
        <family val="2"/>
        <scheme val="minor"/>
      </rPr>
      <t>ει</t>
    </r>
    <r>
      <rPr>
        <sz val="11"/>
        <color theme="1"/>
        <rFont val="Calibri"/>
        <family val="2"/>
        <scheme val="minor"/>
      </rPr>
      <t xml:space="preserve"> τεθνηκει</t>
    </r>
  </si>
  <si>
    <t>σινδονα και λαβων</t>
  </si>
  <si>
    <t>σινδονα λαβων</t>
  </si>
  <si>
    <r>
      <t xml:space="preserve">εθεασαντο </t>
    </r>
    <r>
      <rPr>
        <b/>
        <sz val="11"/>
        <color theme="1"/>
        <rFont val="Calibri"/>
        <family val="2"/>
        <scheme val="minor"/>
      </rPr>
      <t>τον</t>
    </r>
    <r>
      <rPr>
        <sz val="11"/>
        <color theme="1"/>
        <rFont val="Calibri"/>
        <family val="2"/>
        <scheme val="minor"/>
      </rPr>
      <t xml:space="preserve"> τοπον οπου τεθειται (16:1) και</t>
    </r>
  </si>
  <si>
    <t>εθεασαντο τοπον που τειθεται (16:1) και</t>
  </si>
  <si>
    <r>
      <t xml:space="preserve">εθεασαντο τον τοπον </t>
    </r>
    <r>
      <rPr>
        <b/>
        <sz val="11"/>
        <color theme="1"/>
        <rFont val="Calibri"/>
        <family val="2"/>
        <scheme val="minor"/>
      </rPr>
      <t>οπου</t>
    </r>
    <r>
      <rPr>
        <sz val="11"/>
        <color theme="1"/>
        <rFont val="Calibri"/>
        <family val="2"/>
        <scheme val="minor"/>
      </rPr>
      <t xml:space="preserve"> τεθειται (16:1) και</t>
    </r>
  </si>
  <si>
    <r>
      <t xml:space="preserve">εθεασαντο τοπον </t>
    </r>
    <r>
      <rPr>
        <b/>
        <sz val="11"/>
        <color theme="1"/>
        <rFont val="Calibri"/>
        <family val="2"/>
        <scheme val="minor"/>
      </rPr>
      <t>που</t>
    </r>
    <r>
      <rPr>
        <sz val="11"/>
        <color theme="1"/>
        <rFont val="Calibri"/>
        <family val="2"/>
        <scheme val="minor"/>
      </rPr>
      <t xml:space="preserve"> τειθεται (16:1) και</t>
    </r>
  </si>
  <si>
    <r>
      <t xml:space="preserve">εθεασαντο τον τοπον οπου </t>
    </r>
    <r>
      <rPr>
        <b/>
        <sz val="11"/>
        <color theme="1"/>
        <rFont val="Calibri"/>
        <family val="2"/>
        <scheme val="minor"/>
      </rPr>
      <t>τεθειται</t>
    </r>
    <r>
      <rPr>
        <sz val="11"/>
        <color theme="1"/>
        <rFont val="Calibri"/>
        <family val="2"/>
        <scheme val="minor"/>
      </rPr>
      <t xml:space="preserve"> (16:1) και</t>
    </r>
  </si>
  <si>
    <r>
      <t xml:space="preserve">εθεασαντο τοπον που </t>
    </r>
    <r>
      <rPr>
        <b/>
        <sz val="11"/>
        <color theme="1"/>
        <rFont val="Calibri"/>
        <family val="2"/>
        <scheme val="minor"/>
      </rPr>
      <t>τειθεται</t>
    </r>
    <r>
      <rPr>
        <sz val="11"/>
        <color theme="1"/>
        <rFont val="Calibri"/>
        <family val="2"/>
        <scheme val="minor"/>
      </rPr>
      <t xml:space="preserve"> (16:1) και</t>
    </r>
  </si>
  <si>
    <t>πορευθεισαι αρωματα</t>
  </si>
  <si>
    <t>πορευθεισαι ηγορασαν αρωματα</t>
  </si>
  <si>
    <t>μιας σαββατου επι</t>
  </si>
  <si>
    <t>μιας σαββατων επι</t>
  </si>
  <si>
    <t>εαυτους τι σημιον αποκαλυψ[ει] τον λιθον</t>
  </si>
  <si>
    <t>εαυτους τις αποκυλισει ημειν τον λιθον</t>
  </si>
  <si>
    <t>λεγει αυταις</t>
  </si>
  <si>
    <t>ωδε ειδετε</t>
  </si>
  <si>
    <t>ωδε ιδετε</t>
  </si>
  <si>
    <t>εκει τοπον αυτου (7) αλλ υπαγεται</t>
  </si>
  <si>
    <r>
      <t xml:space="preserve">εκει τοπον αυτου </t>
    </r>
    <r>
      <rPr>
        <b/>
        <sz val="11"/>
        <color theme="1"/>
        <rFont val="Calibri"/>
        <family val="2"/>
        <scheme val="minor"/>
      </rPr>
      <t>οπου εθηκαν αυτον</t>
    </r>
    <r>
      <rPr>
        <sz val="11"/>
        <color theme="1"/>
        <rFont val="Calibri"/>
        <family val="2"/>
        <scheme val="minor"/>
      </rPr>
      <t xml:space="preserve"> (7) αλλα υπαγεται</t>
    </r>
  </si>
  <si>
    <r>
      <t xml:space="preserve">εκει τοπον αυτου οπου εθηκαν αυτον (7) </t>
    </r>
    <r>
      <rPr>
        <b/>
        <sz val="11"/>
        <color theme="1"/>
        <rFont val="Calibri"/>
        <family val="2"/>
        <scheme val="minor"/>
      </rPr>
      <t>αλλα</t>
    </r>
    <r>
      <rPr>
        <sz val="11"/>
        <color theme="1"/>
        <rFont val="Calibri"/>
        <family val="2"/>
        <scheme val="minor"/>
      </rPr>
      <t xml:space="preserve"> υπαγεται</t>
    </r>
  </si>
  <si>
    <r>
      <t xml:space="preserve">εκει τοπον αυτου (7) </t>
    </r>
    <r>
      <rPr>
        <b/>
        <sz val="11"/>
        <color theme="1"/>
        <rFont val="Calibri"/>
        <family val="2"/>
        <scheme val="minor"/>
      </rPr>
      <t>αλλα</t>
    </r>
    <r>
      <rPr>
        <sz val="11"/>
        <color theme="1"/>
        <rFont val="Calibri"/>
        <family val="2"/>
        <scheme val="minor"/>
      </rPr>
      <t xml:space="preserve"> υπαγεται</t>
    </r>
  </si>
  <si>
    <t>B.10.3 = αλλ υπαγεται</t>
  </si>
  <si>
    <t>ειπαται τοις μαθηταις</t>
  </si>
  <si>
    <t>ειπατε τοις μαθηταις</t>
  </si>
  <si>
    <t>καθως υμειν ειρηκα (8) και</t>
  </si>
  <si>
    <t>καθως ειρηκα υμειν (8) και</t>
  </si>
  <si>
    <t xml:space="preserve">αυτας φοβος και </t>
  </si>
  <si>
    <t xml:space="preserve">αυτας τρομος και </t>
  </si>
  <si>
    <t>ουδεν ιπαν</t>
  </si>
  <si>
    <t>ουδεν ειπαν</t>
  </si>
  <si>
    <t xml:space="preserve">εφανερωσεν πρωτοις μαρια </t>
  </si>
  <si>
    <t xml:space="preserve">εφανερωσεν πρωτον μαρια </t>
  </si>
  <si>
    <t>απηγγειλεν αυτοις τοις μετ αυτου</t>
  </si>
  <si>
    <t>απηγγειλεν τοις μετ αυτου</t>
  </si>
  <si>
    <t>επιστευσαν (12) μετα δε ταυτα</t>
  </si>
  <si>
    <r>
      <t xml:space="preserve">επιστευσαν </t>
    </r>
    <r>
      <rPr>
        <b/>
        <sz val="11"/>
        <color theme="1"/>
        <rFont val="Calibri"/>
        <family val="2"/>
        <scheme val="minor"/>
      </rPr>
      <t>αυτω</t>
    </r>
    <r>
      <rPr>
        <sz val="11"/>
        <color theme="1"/>
        <rFont val="Calibri"/>
        <family val="2"/>
        <scheme val="minor"/>
      </rPr>
      <t xml:space="preserve"> (12) και μετα δε ταυτα</t>
    </r>
  </si>
  <si>
    <r>
      <t xml:space="preserve">επιστευσαν αυτω (12) </t>
    </r>
    <r>
      <rPr>
        <b/>
        <sz val="11"/>
        <color theme="1"/>
        <rFont val="Calibri"/>
        <family val="2"/>
        <scheme val="minor"/>
      </rPr>
      <t>και</t>
    </r>
    <r>
      <rPr>
        <sz val="11"/>
        <color theme="1"/>
        <rFont val="Calibri"/>
        <family val="2"/>
        <scheme val="minor"/>
      </rPr>
      <t xml:space="preserve"> μετα δε ταυτα</t>
    </r>
  </si>
  <si>
    <t>Bezae corrects to αυτη</t>
  </si>
  <si>
    <t>(15) κτισει (16) οτι ο πιστευσας</t>
  </si>
  <si>
    <t>(15) κτισει (16) ο πιστευσας</t>
  </si>
  <si>
    <t>skipps 1 line (348v.1.3; visual cues present)</t>
  </si>
  <si>
    <t>δε τεις πιστευσασειν</t>
  </si>
  <si>
    <t>δε τoις πιστευσασειν</t>
  </si>
  <si>
    <r>
      <rPr>
        <b/>
        <sz val="11"/>
        <color theme="1"/>
        <rFont val="Calibri"/>
        <family val="2"/>
        <scheme val="minor"/>
      </rPr>
      <t>εκβαλλουσι</t>
    </r>
    <r>
      <rPr>
        <sz val="11"/>
        <color theme="1"/>
        <rFont val="Calibri"/>
        <family val="2"/>
        <scheme val="minor"/>
      </rPr>
      <t xml:space="preserve"> γλωσσεις λαλησωσιν καινεις (18) οφεις</t>
    </r>
  </si>
  <si>
    <r>
      <rPr>
        <b/>
        <sz val="11"/>
        <color theme="1"/>
        <rFont val="Calibri"/>
        <family val="2"/>
        <scheme val="minor"/>
      </rPr>
      <t>εκβαλουσιν</t>
    </r>
    <r>
      <rPr>
        <sz val="11"/>
        <color theme="1"/>
        <rFont val="Calibri"/>
        <family val="2"/>
        <scheme val="minor"/>
      </rPr>
      <t xml:space="preserve"> γλωσσης λαλησωσι καινες (18) οφεις</t>
    </r>
  </si>
  <si>
    <r>
      <t xml:space="preserve">εκβαλλουσι </t>
    </r>
    <r>
      <rPr>
        <b/>
        <sz val="11"/>
        <color theme="1"/>
        <rFont val="Calibri"/>
        <family val="2"/>
        <scheme val="minor"/>
      </rPr>
      <t>γλωσσεις</t>
    </r>
    <r>
      <rPr>
        <sz val="11"/>
        <color theme="1"/>
        <rFont val="Calibri"/>
        <family val="2"/>
        <scheme val="minor"/>
      </rPr>
      <t xml:space="preserve"> λαλησωσιν καινεις (18) οφεις</t>
    </r>
  </si>
  <si>
    <r>
      <t xml:space="preserve">εκβαλουσιν </t>
    </r>
    <r>
      <rPr>
        <b/>
        <sz val="11"/>
        <color theme="1"/>
        <rFont val="Calibri"/>
        <family val="2"/>
        <scheme val="minor"/>
      </rPr>
      <t>γλωσσης</t>
    </r>
    <r>
      <rPr>
        <sz val="11"/>
        <color theme="1"/>
        <rFont val="Calibri"/>
        <family val="2"/>
        <scheme val="minor"/>
      </rPr>
      <t xml:space="preserve"> λαλησωσι καινες (18) οφεις</t>
    </r>
  </si>
  <si>
    <r>
      <t xml:space="preserve">εκβαλλουσι γλωσσεις </t>
    </r>
    <r>
      <rPr>
        <b/>
        <sz val="11"/>
        <color theme="1"/>
        <rFont val="Calibri"/>
        <family val="2"/>
        <scheme val="minor"/>
      </rPr>
      <t>λαλησωσιν</t>
    </r>
    <r>
      <rPr>
        <sz val="11"/>
        <color theme="1"/>
        <rFont val="Calibri"/>
        <family val="2"/>
        <scheme val="minor"/>
      </rPr>
      <t xml:space="preserve"> καινεις (18) οφεις</t>
    </r>
  </si>
  <si>
    <r>
      <t xml:space="preserve">εκβαλουσιν γλωσσης </t>
    </r>
    <r>
      <rPr>
        <b/>
        <sz val="11"/>
        <color theme="1"/>
        <rFont val="Calibri"/>
        <family val="2"/>
        <scheme val="minor"/>
      </rPr>
      <t>λαλησωσι</t>
    </r>
    <r>
      <rPr>
        <sz val="11"/>
        <color theme="1"/>
        <rFont val="Calibri"/>
        <family val="2"/>
        <scheme val="minor"/>
      </rPr>
      <t xml:space="preserve"> καινες (18) οφεις</t>
    </r>
  </si>
  <si>
    <r>
      <t xml:space="preserve">εκβαλουσιν γλωσσης λαλησωσι </t>
    </r>
    <r>
      <rPr>
        <b/>
        <sz val="11"/>
        <color theme="1"/>
        <rFont val="Calibri"/>
        <family val="2"/>
        <scheme val="minor"/>
      </rPr>
      <t>καινες</t>
    </r>
    <r>
      <rPr>
        <sz val="11"/>
        <color theme="1"/>
        <rFont val="Calibri"/>
        <family val="2"/>
        <scheme val="minor"/>
      </rPr>
      <t xml:space="preserve"> (18) οφεις</t>
    </r>
  </si>
  <si>
    <r>
      <t xml:space="preserve">εκβαλλουσι γλωσσεις λαλησωσιν </t>
    </r>
    <r>
      <rPr>
        <b/>
        <sz val="11"/>
        <color theme="1"/>
        <rFont val="Calibri"/>
        <family val="2"/>
        <scheme val="minor"/>
      </rPr>
      <t>καινεις</t>
    </r>
    <r>
      <rPr>
        <sz val="11"/>
        <color theme="1"/>
        <rFont val="Calibri"/>
        <family val="2"/>
        <scheme val="minor"/>
      </rPr>
      <t xml:space="preserve"> (18) οφεις</t>
    </r>
  </si>
  <si>
    <t>πιωσιν</t>
  </si>
  <si>
    <t>Bezae corrects to επιθησουσιν</t>
  </si>
  <si>
    <t>καθα παρεδοσαν</t>
  </si>
  <si>
    <t>καθας παρεδοσαν</t>
  </si>
  <si>
    <t>περι των κατηχηθης</t>
  </si>
  <si>
    <t>περι ων κατηχηθης</t>
  </si>
  <si>
    <t>καθοτι ην στειρα η ελισαβεθ και</t>
  </si>
  <si>
    <t>καθοτι ην η ελισαβεθ στειρα και</t>
  </si>
  <si>
    <t>αμφοτεροι προβεβηκοτες ησαν εν ταις</t>
  </si>
  <si>
    <t>αμφοτεροι ησαν προβεβηκοτες εν ταις</t>
  </si>
  <si>
    <t>το εθος</t>
  </si>
  <si>
    <t>το ηθος</t>
  </si>
  <si>
    <t>ζαχαριας ιδων</t>
  </si>
  <si>
    <t>ζαχαριας ειδων</t>
  </si>
  <si>
    <t>ειπεν ο αγγελος προς αυτον μη φοβου</t>
  </si>
  <si>
    <t>ειπεν προς αυτον ο αγγελος μη φοβου</t>
  </si>
  <si>
    <t>εσται χαρα σοι και</t>
  </si>
  <si>
    <t>εσται σοι χαρα και</t>
  </si>
  <si>
    <t>εστε γαρ με γαρ ενωπιον</t>
  </si>
  <si>
    <t>εστε γαρ μεγας ενωπιον</t>
  </si>
  <si>
    <t>τουτο εγω</t>
  </si>
  <si>
    <t>τουτω εγω</t>
  </si>
  <si>
    <t xml:space="preserve">εθαυμαζον επι τω χρονιζειν </t>
  </si>
  <si>
    <t xml:space="preserve">εθαυμαζον εν τω χρονιζειν </t>
  </si>
  <si>
    <t>οικον αυτον (24) και μετα</t>
  </si>
  <si>
    <t>οικον αυτου (24) και μετα</t>
  </si>
  <si>
    <t>μετα τας ταυτας ημερας συνελαβεν</t>
  </si>
  <si>
    <t>μετα τας ημερας ταυτας συνελαβεν</t>
  </si>
  <si>
    <t>ελισαβεδ η γυνη</t>
  </si>
  <si>
    <t>ελισαβετ η γυνη</t>
  </si>
  <si>
    <t>πεποιηκεν κς</t>
  </si>
  <si>
    <t>πεποιηκεν ο κυριος</t>
  </si>
  <si>
    <t>εν δε τω εκτω μηνι απεσταλη</t>
  </si>
  <si>
    <t>(28) γυναιξιν (29) ην δε επι</t>
  </si>
  <si>
    <t>(28) γυναιξιν (29) η δε επι</t>
  </si>
  <si>
    <t>διελογιζετο ποταπος αν ειη</t>
  </si>
  <si>
    <r>
      <t xml:space="preserve">διελογιζετο </t>
    </r>
    <r>
      <rPr>
        <b/>
        <sz val="11"/>
        <color theme="1"/>
        <rFont val="Calibri"/>
        <family val="2"/>
        <scheme val="minor"/>
      </rPr>
      <t>εν εαυτη</t>
    </r>
    <r>
      <rPr>
        <sz val="11"/>
        <color theme="1"/>
        <rFont val="Calibri"/>
        <family val="2"/>
        <scheme val="minor"/>
      </rPr>
      <t xml:space="preserve"> ποδαπος αν ειη</t>
    </r>
  </si>
  <si>
    <r>
      <t xml:space="preserve">διελογιζετο εν εαυτη </t>
    </r>
    <r>
      <rPr>
        <b/>
        <sz val="11"/>
        <color theme="1"/>
        <rFont val="Calibri"/>
        <family val="2"/>
        <scheme val="minor"/>
      </rPr>
      <t>ποδαπος</t>
    </r>
    <r>
      <rPr>
        <sz val="11"/>
        <color theme="1"/>
        <rFont val="Calibri"/>
        <family val="2"/>
        <scheme val="minor"/>
      </rPr>
      <t xml:space="preserve"> αν ειη</t>
    </r>
  </si>
  <si>
    <r>
      <t xml:space="preserve">διελογιζετο </t>
    </r>
    <r>
      <rPr>
        <b/>
        <sz val="11"/>
        <color theme="1"/>
        <rFont val="Calibri"/>
        <family val="2"/>
        <scheme val="minor"/>
      </rPr>
      <t>ποταπος</t>
    </r>
    <r>
      <rPr>
        <sz val="11"/>
        <color theme="1"/>
        <rFont val="Calibri"/>
        <family val="2"/>
        <scheme val="minor"/>
      </rPr>
      <t xml:space="preserve"> αν ειη</t>
    </r>
  </si>
  <si>
    <t>μαρια προς</t>
  </si>
  <si>
    <t>μαριαμ προς</t>
  </si>
  <si>
    <t>επισκιασι σοι διο</t>
  </si>
  <si>
    <t>επισκιασι σε διο</t>
  </si>
  <si>
    <t xml:space="preserve">ουτος μην εκτος </t>
  </si>
  <si>
    <t xml:space="preserve">ουτος μεν εκτος </t>
  </si>
  <si>
    <t>αυτη τη καλουμενη</t>
  </si>
  <si>
    <t>αυτη καλουμενη</t>
  </si>
  <si>
    <t>ελισαβεδ εσκιρτησεν</t>
  </si>
  <si>
    <t>ελισαβεθ εσκιρτησεν</t>
  </si>
  <si>
    <t>κοιλεια της ελισαβεδ</t>
  </si>
  <si>
    <t xml:space="preserve">βρεφος αυτης και </t>
  </si>
  <si>
    <t>βρεφος και</t>
  </si>
  <si>
    <t>μαρια μεγαλυνει</t>
  </si>
  <si>
    <t>μαριαμ μεγαλυνει</t>
  </si>
  <si>
    <t>γενεας</t>
  </si>
  <si>
    <t>ελαλησεν προς</t>
  </si>
  <si>
    <t>ελαλησε προς</t>
  </si>
  <si>
    <t>εγενετο τη ημερα</t>
  </si>
  <si>
    <t>εγενετο εν τη ημερα</t>
  </si>
  <si>
    <t>πατρι αυτου το τι αν θελοι</t>
  </si>
  <si>
    <t>πατρι αυτου οτι ο αν θελοι</t>
  </si>
  <si>
    <t>ελυθη η γλωσσα</t>
  </si>
  <si>
    <t>ελυθη γλωσσα</t>
  </si>
  <si>
    <t xml:space="preserve">αυτων λεγοντες τι </t>
  </si>
  <si>
    <t xml:space="preserve">αυτων λεγοντες λεγοντες τι </t>
  </si>
  <si>
    <t>κς ο θς</t>
  </si>
  <si>
    <t>κυριος θεος</t>
  </si>
  <si>
    <t>εν οικω δαυειδ παιδος</t>
  </si>
  <si>
    <t>χειρος εκθρων</t>
  </si>
  <si>
    <t>χειρος των εκθρων</t>
  </si>
  <si>
    <t>η[]ξανετο και</t>
  </si>
  <si>
    <t>ηυξανε και</t>
  </si>
  <si>
    <t>καισαρος αυγουστου απογραφεσθαι</t>
  </si>
  <si>
    <t>καισαρος απογραφεσθαι</t>
  </si>
  <si>
    <r>
      <rPr>
        <b/>
        <sz val="11"/>
        <color theme="1"/>
        <rFont val="Calibri"/>
        <family val="2"/>
        <scheme val="minor"/>
      </rPr>
      <t>καλειτε</t>
    </r>
    <r>
      <rPr>
        <sz val="11"/>
        <color theme="1"/>
        <rFont val="Calibri"/>
        <family val="2"/>
        <scheme val="minor"/>
      </rPr>
      <t xml:space="preserve"> βηθλεεμ (5) απογραφεσθαι</t>
    </r>
  </si>
  <si>
    <r>
      <rPr>
        <b/>
        <sz val="11"/>
        <color theme="1"/>
        <rFont val="Calibri"/>
        <family val="2"/>
        <scheme val="minor"/>
      </rPr>
      <t>καλειται</t>
    </r>
    <r>
      <rPr>
        <sz val="11"/>
        <color theme="1"/>
        <rFont val="Calibri"/>
        <family val="2"/>
        <scheme val="minor"/>
      </rPr>
      <t xml:space="preserve"> βηθλεεμ δια το ειναι αυτον εξ οικου και πατριας δαυειδ (5) απογραφεσθαι</t>
    </r>
  </si>
  <si>
    <t>τη εμνηστευμενη</t>
  </si>
  <si>
    <t>τη μεμνηστευμενη</t>
  </si>
  <si>
    <t>εγκυω (6) ως δε</t>
  </si>
  <si>
    <r>
      <rPr>
        <b/>
        <sz val="11"/>
        <color theme="1"/>
        <rFont val="Calibri"/>
        <family val="2"/>
        <scheme val="minor"/>
      </rPr>
      <t>ενκυω</t>
    </r>
    <r>
      <rPr>
        <sz val="11"/>
        <color theme="1"/>
        <rFont val="Calibri"/>
        <family val="2"/>
        <scheme val="minor"/>
      </rPr>
      <t xml:space="preserve"> δια το ειναι αυτον εξ οικου και πατριας δαυειδ (6) ως δε</t>
    </r>
  </si>
  <si>
    <r>
      <rPr>
        <b/>
        <sz val="11"/>
        <color theme="1"/>
        <rFont val="Calibri"/>
        <family val="2"/>
        <scheme val="minor"/>
      </rPr>
      <t>εγκυω</t>
    </r>
    <r>
      <rPr>
        <sz val="11"/>
        <color theme="1"/>
        <rFont val="Calibri"/>
        <family val="2"/>
        <scheme val="minor"/>
      </rPr>
      <t xml:space="preserve"> (6) ως δε</t>
    </r>
  </si>
  <si>
    <r>
      <t xml:space="preserve">ενκυω </t>
    </r>
    <r>
      <rPr>
        <b/>
        <sz val="11"/>
        <color theme="1"/>
        <rFont val="Calibri"/>
        <family val="2"/>
        <scheme val="minor"/>
      </rPr>
      <t>δια το ειναι αυτον εξ οικου και πατριας δαυειδ</t>
    </r>
    <r>
      <rPr>
        <sz val="11"/>
        <color theme="1"/>
        <rFont val="Calibri"/>
        <family val="2"/>
        <scheme val="minor"/>
      </rPr>
      <t xml:space="preserve"> (6) ως δε</t>
    </r>
  </si>
  <si>
    <t>εν τη φατνη</t>
  </si>
  <si>
    <t>εν φατνη</t>
  </si>
  <si>
    <r>
      <t xml:space="preserve">τη </t>
    </r>
    <r>
      <rPr>
        <b/>
        <sz val="11"/>
        <color theme="1"/>
        <rFont val="Calibri"/>
        <family val="2"/>
        <scheme val="minor"/>
      </rPr>
      <t>χαρα</t>
    </r>
    <r>
      <rPr>
        <sz val="11"/>
        <color theme="1"/>
        <rFont val="Calibri"/>
        <family val="2"/>
        <scheme val="minor"/>
      </rPr>
      <t xml:space="preserve"> ταυτη αγραυλουντες</t>
    </r>
  </si>
  <si>
    <r>
      <t xml:space="preserve">εν τη </t>
    </r>
    <r>
      <rPr>
        <b/>
        <sz val="11"/>
        <color theme="1"/>
        <rFont val="Calibri"/>
        <family val="2"/>
        <scheme val="minor"/>
      </rPr>
      <t>χωρα</t>
    </r>
    <r>
      <rPr>
        <sz val="11"/>
        <color theme="1"/>
        <rFont val="Calibri"/>
        <family val="2"/>
        <scheme val="minor"/>
      </rPr>
      <t xml:space="preserve"> τη αυτη</t>
    </r>
  </si>
  <si>
    <r>
      <t xml:space="preserve">τη χαρα </t>
    </r>
    <r>
      <rPr>
        <b/>
        <sz val="11"/>
        <color theme="1"/>
        <rFont val="Calibri"/>
        <family val="2"/>
        <scheme val="minor"/>
      </rPr>
      <t>ταυτη</t>
    </r>
    <r>
      <rPr>
        <sz val="11"/>
        <color theme="1"/>
        <rFont val="Calibri"/>
        <family val="2"/>
        <scheme val="minor"/>
      </rPr>
      <t xml:space="preserve"> αγραυλουντες</t>
    </r>
  </si>
  <si>
    <r>
      <t xml:space="preserve">εν τη χωρα </t>
    </r>
    <r>
      <rPr>
        <b/>
        <sz val="11"/>
        <color theme="1"/>
        <rFont val="Calibri"/>
        <family val="2"/>
        <scheme val="minor"/>
      </rPr>
      <t>τη αυτη</t>
    </r>
  </si>
  <si>
    <t>εσπαργανωμενον κειμενον εν φατνη</t>
  </si>
  <si>
    <t>εσπαργανωμενον εν φατνη</t>
  </si>
  <si>
    <r>
      <rPr>
        <b/>
        <sz val="11"/>
        <color theme="1"/>
        <rFont val="Calibri"/>
        <family val="2"/>
        <scheme val="minor"/>
      </rPr>
      <t>στρατειας</t>
    </r>
    <r>
      <rPr>
        <sz val="11"/>
        <color theme="1"/>
        <rFont val="Calibri"/>
        <family val="2"/>
        <scheme val="minor"/>
      </rPr>
      <t xml:space="preserve"> ουρανου αιτουντων τον θν</t>
    </r>
  </si>
  <si>
    <r>
      <rPr>
        <b/>
        <sz val="11"/>
        <color theme="1"/>
        <rFont val="Calibri"/>
        <family val="2"/>
        <scheme val="minor"/>
      </rPr>
      <t>στρατιας</t>
    </r>
    <r>
      <rPr>
        <sz val="11"/>
        <color theme="1"/>
        <rFont val="Calibri"/>
        <family val="2"/>
        <scheme val="minor"/>
      </rPr>
      <t xml:space="preserve"> ουρανιου αινουντων τον θεον</t>
    </r>
  </si>
  <si>
    <r>
      <t xml:space="preserve">στρατιας </t>
    </r>
    <r>
      <rPr>
        <b/>
        <sz val="11"/>
        <color theme="1"/>
        <rFont val="Calibri"/>
        <family val="2"/>
        <scheme val="minor"/>
      </rPr>
      <t>ουρανιου</t>
    </r>
    <r>
      <rPr>
        <sz val="11"/>
        <color theme="1"/>
        <rFont val="Calibri"/>
        <family val="2"/>
        <scheme val="minor"/>
      </rPr>
      <t xml:space="preserve"> αινουντων τον θεον</t>
    </r>
  </si>
  <si>
    <r>
      <t xml:space="preserve">στρατειας </t>
    </r>
    <r>
      <rPr>
        <b/>
        <sz val="11"/>
        <color theme="1"/>
        <rFont val="Calibri"/>
        <family val="2"/>
        <scheme val="minor"/>
      </rPr>
      <t>ουρανου</t>
    </r>
    <r>
      <rPr>
        <sz val="11"/>
        <color theme="1"/>
        <rFont val="Calibri"/>
        <family val="2"/>
        <scheme val="minor"/>
      </rPr>
      <t xml:space="preserve"> αιτουντων τον θν</t>
    </r>
  </si>
  <si>
    <r>
      <t xml:space="preserve">στρατειας ουρανου </t>
    </r>
    <r>
      <rPr>
        <b/>
        <sz val="11"/>
        <color theme="1"/>
        <rFont val="Calibri"/>
        <family val="2"/>
        <scheme val="minor"/>
      </rPr>
      <t>αιτουντων</t>
    </r>
    <r>
      <rPr>
        <sz val="11"/>
        <color theme="1"/>
        <rFont val="Calibri"/>
        <family val="2"/>
        <scheme val="minor"/>
      </rPr>
      <t xml:space="preserve"> τον θν</t>
    </r>
  </si>
  <si>
    <r>
      <t xml:space="preserve">στρατιας ουρανιου </t>
    </r>
    <r>
      <rPr>
        <b/>
        <sz val="11"/>
        <color theme="1"/>
        <rFont val="Calibri"/>
        <family val="2"/>
        <scheme val="minor"/>
      </rPr>
      <t>αινουντων</t>
    </r>
    <r>
      <rPr>
        <sz val="11"/>
        <color theme="1"/>
        <rFont val="Calibri"/>
        <family val="2"/>
        <scheme val="minor"/>
      </rPr>
      <t xml:space="preserve"> τον θεον</t>
    </r>
  </si>
  <si>
    <t>ως οι αγγελοι απηλθον απ αυτων</t>
  </si>
  <si>
    <t>ως απηλθον οι αγγελοι απ αυτων</t>
  </si>
  <si>
    <r>
      <t xml:space="preserve">το </t>
    </r>
    <r>
      <rPr>
        <b/>
        <sz val="11"/>
        <color theme="1"/>
        <rFont val="Calibri"/>
        <family val="2"/>
        <scheme val="minor"/>
      </rPr>
      <t>γεγονως</t>
    </r>
    <r>
      <rPr>
        <sz val="11"/>
        <color theme="1"/>
        <rFont val="Calibri"/>
        <family val="2"/>
        <scheme val="minor"/>
      </rPr>
      <t xml:space="preserve"> ο ο κς</t>
    </r>
  </si>
  <si>
    <r>
      <t xml:space="preserve">το </t>
    </r>
    <r>
      <rPr>
        <b/>
        <sz val="11"/>
        <color theme="1"/>
        <rFont val="Calibri"/>
        <family val="2"/>
        <scheme val="minor"/>
      </rPr>
      <t>γεγονος</t>
    </r>
    <r>
      <rPr>
        <sz val="11"/>
        <color theme="1"/>
        <rFont val="Calibri"/>
        <family val="2"/>
        <scheme val="minor"/>
      </rPr>
      <t xml:space="preserve"> ος ο κυριος</t>
    </r>
  </si>
  <si>
    <r>
      <t xml:space="preserve">το γεγονος </t>
    </r>
    <r>
      <rPr>
        <b/>
        <sz val="11"/>
        <color theme="1"/>
        <rFont val="Calibri"/>
        <family val="2"/>
        <scheme val="minor"/>
      </rPr>
      <t>ος</t>
    </r>
    <r>
      <rPr>
        <sz val="11"/>
        <color theme="1"/>
        <rFont val="Calibri"/>
        <family val="2"/>
        <scheme val="minor"/>
      </rPr>
      <t xml:space="preserve"> ο κυριος</t>
    </r>
  </si>
  <si>
    <r>
      <t xml:space="preserve">το γεγονως </t>
    </r>
    <r>
      <rPr>
        <b/>
        <sz val="11"/>
        <color theme="1"/>
        <rFont val="Calibri"/>
        <family val="2"/>
        <scheme val="minor"/>
      </rPr>
      <t>ο</t>
    </r>
    <r>
      <rPr>
        <sz val="11"/>
        <color theme="1"/>
        <rFont val="Calibri"/>
        <family val="2"/>
        <scheme val="minor"/>
      </rPr>
      <t xml:space="preserve"> ο κς</t>
    </r>
  </si>
  <si>
    <t>και ιδον</t>
  </si>
  <si>
    <t>και ειδον</t>
  </si>
  <si>
    <t>ιεροσολυμα κυριω</t>
  </si>
  <si>
    <t>αγιον τω κυριω</t>
  </si>
  <si>
    <t>προσδεχομενος</t>
  </si>
  <si>
    <t>υπο πνευματος</t>
  </si>
  <si>
    <t>υπο του πνς</t>
  </si>
  <si>
    <t>η ιδη</t>
  </si>
  <si>
    <t>Bezae corrects to η ειδη</t>
  </si>
  <si>
    <t>ο ητοιμασας</t>
  </si>
  <si>
    <t>ο ετοιμασας</t>
  </si>
  <si>
    <t>αποκαλυψιν και δοξαν</t>
  </si>
  <si>
    <t>αποκαλυψιν και και δοξαν</t>
  </si>
  <si>
    <t>και ο πατηρ αυτου ην και</t>
  </si>
  <si>
    <t>και ην ο πατηρ αυτου και</t>
  </si>
  <si>
    <t>οπως ανακαλυφθωσιν</t>
  </si>
  <si>
    <t>οπως αν αποκαλυφθωσιν</t>
  </si>
  <si>
    <r>
      <rPr>
        <b/>
        <sz val="11"/>
        <color theme="1"/>
        <rFont val="Calibri"/>
        <family val="2"/>
        <scheme val="minor"/>
      </rPr>
      <t>ανθωμολογιτο</t>
    </r>
    <r>
      <rPr>
        <sz val="11"/>
        <color theme="1"/>
        <rFont val="Calibri"/>
        <family val="2"/>
        <scheme val="minor"/>
      </rPr>
      <t xml:space="preserve"> τω θω και</t>
    </r>
  </si>
  <si>
    <r>
      <rPr>
        <b/>
        <sz val="11"/>
        <color theme="1"/>
        <rFont val="Calibri"/>
        <family val="2"/>
        <scheme val="minor"/>
      </rPr>
      <t>ανθωμολογειτο</t>
    </r>
    <r>
      <rPr>
        <sz val="11"/>
        <color theme="1"/>
        <rFont val="Calibri"/>
        <family val="2"/>
        <scheme val="minor"/>
      </rPr>
      <t xml:space="preserve"> τω κυριω και</t>
    </r>
  </si>
  <si>
    <r>
      <t xml:space="preserve">ανθωμολογειτο τω </t>
    </r>
    <r>
      <rPr>
        <b/>
        <sz val="11"/>
        <color theme="1"/>
        <rFont val="Calibri"/>
        <family val="2"/>
        <scheme val="minor"/>
      </rPr>
      <t>κυριω</t>
    </r>
    <r>
      <rPr>
        <sz val="11"/>
        <color theme="1"/>
        <rFont val="Calibri"/>
        <family val="2"/>
        <scheme val="minor"/>
      </rPr>
      <t xml:space="preserve"> και</t>
    </r>
  </si>
  <si>
    <r>
      <t xml:space="preserve">ανθωμολογιτο τω </t>
    </r>
    <r>
      <rPr>
        <b/>
        <sz val="11"/>
        <color theme="1"/>
        <rFont val="Calibri"/>
        <family val="2"/>
        <scheme val="minor"/>
      </rPr>
      <t>θω</t>
    </r>
    <r>
      <rPr>
        <sz val="11"/>
        <color theme="1"/>
        <rFont val="Calibri"/>
        <family val="2"/>
        <scheme val="minor"/>
      </rPr>
      <t xml:space="preserve"> και</t>
    </r>
  </si>
  <si>
    <t>πασιν τοις</t>
  </si>
  <si>
    <t>πασι τοις</t>
  </si>
  <si>
    <t>ερηθη</t>
  </si>
  <si>
    <t>παιδιον ιης εκραταιουτο</t>
  </si>
  <si>
    <t>παιδιον εκραταιουτο</t>
  </si>
  <si>
    <r>
      <rPr>
        <b/>
        <sz val="11"/>
        <color theme="1"/>
        <rFont val="Calibri"/>
        <family val="2"/>
        <scheme val="minor"/>
      </rPr>
      <t>ηυξανετο</t>
    </r>
    <r>
      <rPr>
        <sz val="11"/>
        <color theme="1"/>
        <rFont val="Calibri"/>
        <family val="2"/>
        <scheme val="minor"/>
      </rPr>
      <t xml:space="preserve"> πληρουμενον σοφια και χαρις</t>
    </r>
  </si>
  <si>
    <r>
      <rPr>
        <b/>
        <sz val="11"/>
        <color theme="1"/>
        <rFont val="Calibri"/>
        <family val="2"/>
        <scheme val="minor"/>
      </rPr>
      <t>ηυξανεν</t>
    </r>
    <r>
      <rPr>
        <sz val="11"/>
        <color theme="1"/>
        <rFont val="Calibri"/>
        <family val="2"/>
        <scheme val="minor"/>
      </rPr>
      <t xml:space="preserve"> πληρουμενον σοφιας και χαρις </t>
    </r>
  </si>
  <si>
    <r>
      <t xml:space="preserve">ηυξανετο πληρουμενον </t>
    </r>
    <r>
      <rPr>
        <b/>
        <sz val="11"/>
        <color theme="1"/>
        <rFont val="Calibri"/>
        <family val="2"/>
        <scheme val="minor"/>
      </rPr>
      <t>σοφια</t>
    </r>
    <r>
      <rPr>
        <sz val="11"/>
        <color theme="1"/>
        <rFont val="Calibri"/>
        <family val="2"/>
        <scheme val="minor"/>
      </rPr>
      <t xml:space="preserve"> και χαρις</t>
    </r>
  </si>
  <si>
    <r>
      <t xml:space="preserve">ηυξανεν πληρουμενον </t>
    </r>
    <r>
      <rPr>
        <b/>
        <sz val="11"/>
        <color theme="1"/>
        <rFont val="Calibri"/>
        <family val="2"/>
        <scheme val="minor"/>
      </rPr>
      <t>σοφιας</t>
    </r>
    <r>
      <rPr>
        <sz val="11"/>
        <color theme="1"/>
        <rFont val="Calibri"/>
        <family val="2"/>
        <scheme val="minor"/>
      </rPr>
      <t xml:space="preserve"> και χαρις </t>
    </r>
  </si>
  <si>
    <t>Bezae corrects to ηυξανε</t>
  </si>
  <si>
    <t>(40) αυτω (41) επορευοντο</t>
  </si>
  <si>
    <t>(40) αυτω (41) πορευοντο</t>
  </si>
  <si>
    <t>κατα ετος</t>
  </si>
  <si>
    <t>κατ ετος</t>
  </si>
  <si>
    <t>ιερουσαλημ εν τη εορτη</t>
  </si>
  <si>
    <t>ιερουσαλημ τη εορτη</t>
  </si>
  <si>
    <t>ετη ιβ</t>
  </si>
  <si>
    <t>ετων ιβ</t>
  </si>
  <si>
    <t>ευρισκοντες αυτον υπεστρεψαν</t>
  </si>
  <si>
    <t>ευρισκοντες υπεστρεψαν</t>
  </si>
  <si>
    <t xml:space="preserve">εγενετο μεθ ημερας </t>
  </si>
  <si>
    <t xml:space="preserve">εγενετο καθ ημερας </t>
  </si>
  <si>
    <t>εξεισταντο δε παντες</t>
  </si>
  <si>
    <t>εξεισταντο παντες</t>
  </si>
  <si>
    <t>εζητειτε ουκ οιδατε</t>
  </si>
  <si>
    <t>εζητειτε με ουκ οιδατε</t>
  </si>
  <si>
    <t>οτι εν τοις του πρς μου</t>
  </si>
  <si>
    <t>οτι εν τοις του εν τοις του πατρος μου</t>
  </si>
  <si>
    <t>και αυτοι ου συνηκαν</t>
  </si>
  <si>
    <t>αυτοι δε ου συνηκαν</t>
  </si>
  <si>
    <t>υποτασσομενος αυτοις η δε</t>
  </si>
  <si>
    <t>υποτασσομενος η δε</t>
  </si>
  <si>
    <t>προεκοπται ηλικια</t>
  </si>
  <si>
    <t>προεκοπτεν ηλικια</t>
  </si>
  <si>
    <t>και ανθρωποις</t>
  </si>
  <si>
    <t>και παρα ανθρωποις</t>
  </si>
  <si>
    <t xml:space="preserve">της ιουδαιας και τετραρχουντος της γαλιλαιας ηρωδου φιλιππου δε του αδελφου αυτου τετραρχουντος της ιτουραιας και τραχωνιτιδος χωρας και λυσανιου της αβιλιανης τετραρχουντος </t>
  </si>
  <si>
    <t>της ιουδαιας ηρωδου φιλιππου δε του αδελφου αυτου τετραρχουντος της ιτουραιας τετραρχουντος της ιουδαιας και τραχωνιτιδος χωρας και λυσανιου της αβιλλιανης τετραρχουντος</t>
  </si>
  <si>
    <r>
      <t xml:space="preserve">της ιουδαιας </t>
    </r>
    <r>
      <rPr>
        <b/>
        <sz val="11"/>
        <color theme="1"/>
        <rFont val="Calibri"/>
        <family val="2"/>
        <scheme val="minor"/>
      </rPr>
      <t>και τετραρχουντος της γαλιλαιας</t>
    </r>
    <r>
      <rPr>
        <sz val="11"/>
        <color theme="1"/>
        <rFont val="Calibri"/>
        <family val="2"/>
        <scheme val="minor"/>
      </rPr>
      <t xml:space="preserve"> ηρωδου φιλιππου δε του αδελφου αυτου τετραρχουντος της ιτουραιας και τραχωνιτιδος χωρας και λυσανιου της αβιλιανης τετραρχουντος </t>
    </r>
  </si>
  <si>
    <r>
      <t xml:space="preserve">της ιουδαιας ηρωδου φιλιππου δε του αδελφου αυτου τετραρχουντος της ιτουραιας </t>
    </r>
    <r>
      <rPr>
        <b/>
        <sz val="11"/>
        <color theme="1"/>
        <rFont val="Calibri"/>
        <family val="2"/>
        <scheme val="minor"/>
      </rPr>
      <t>τετραρχουντος της ιουδαιας</t>
    </r>
    <r>
      <rPr>
        <sz val="11"/>
        <color theme="1"/>
        <rFont val="Calibri"/>
        <family val="2"/>
        <scheme val="minor"/>
      </rPr>
      <t xml:space="preserve"> και τραχωνιτιδος χωρας και λυσανιου της αβιλλιανης τετραρχουντος</t>
    </r>
  </si>
  <si>
    <r>
      <t xml:space="preserve">της ιουδαιας και τετραρχουντος της γαλιλαιας ηρωδου φιλιππου δε του αδελφου αυτου τετραρχουντος της ιτουραιας και τραχωνιτιδος χωρας και λυσανιου της </t>
    </r>
    <r>
      <rPr>
        <b/>
        <sz val="11"/>
        <color theme="1"/>
        <rFont val="Calibri"/>
        <family val="2"/>
        <scheme val="minor"/>
      </rPr>
      <t>αβιλιανης</t>
    </r>
    <r>
      <rPr>
        <sz val="11"/>
        <color theme="1"/>
        <rFont val="Calibri"/>
        <family val="2"/>
        <scheme val="minor"/>
      </rPr>
      <t xml:space="preserve"> τετραρχουντος </t>
    </r>
  </si>
  <si>
    <r>
      <t xml:space="preserve">της ιουδαιας ηρωδου φιλιππου δε του αδελφου αυτου τετραρχουντος της ιτουραιας τετραρχουντος της ιουδαιας και τραχωνιτιδος χωρας και λυσανιου της </t>
    </r>
    <r>
      <rPr>
        <b/>
        <sz val="11"/>
        <color theme="1"/>
        <rFont val="Calibri"/>
        <family val="2"/>
        <scheme val="minor"/>
      </rPr>
      <t>αβιλλιανης</t>
    </r>
    <r>
      <rPr>
        <sz val="11"/>
        <color theme="1"/>
        <rFont val="Calibri"/>
        <family val="2"/>
        <scheme val="minor"/>
      </rPr>
      <t xml:space="preserve"> τετραρχουντος</t>
    </r>
  </si>
  <si>
    <t>Bezae corrects to αβιλλινης</t>
  </si>
  <si>
    <t xml:space="preserve">εγενετο ρημα </t>
  </si>
  <si>
    <t xml:space="preserve">εγενετο το ρημα </t>
  </si>
  <si>
    <t>ιωανην τον ζαχαριου</t>
  </si>
  <si>
    <r>
      <rPr>
        <b/>
        <sz val="11"/>
        <color theme="1"/>
        <rFont val="Calibri"/>
        <family val="2"/>
        <scheme val="minor"/>
      </rPr>
      <t>ιωανην</t>
    </r>
    <r>
      <rPr>
        <sz val="11"/>
        <color theme="1"/>
        <rFont val="Calibri"/>
        <family val="2"/>
        <scheme val="minor"/>
      </rPr>
      <t xml:space="preserve"> τον ζαχαριου</t>
    </r>
  </si>
  <si>
    <r>
      <rPr>
        <b/>
        <sz val="11"/>
        <color theme="1"/>
        <rFont val="Calibri"/>
        <family val="2"/>
        <scheme val="minor"/>
      </rPr>
      <t>ιωαννην</t>
    </r>
    <r>
      <rPr>
        <sz val="11"/>
        <color theme="1"/>
        <rFont val="Calibri"/>
        <family val="2"/>
        <scheme val="minor"/>
      </rPr>
      <t xml:space="preserve"> τον του ζαχαριου</t>
    </r>
  </si>
  <si>
    <r>
      <t xml:space="preserve">ιωαννην τον </t>
    </r>
    <r>
      <rPr>
        <b/>
        <sz val="11"/>
        <color theme="1"/>
        <rFont val="Calibri"/>
        <family val="2"/>
        <scheme val="minor"/>
      </rPr>
      <t>του</t>
    </r>
    <r>
      <rPr>
        <sz val="11"/>
        <color theme="1"/>
        <rFont val="Calibri"/>
        <family val="2"/>
        <scheme val="minor"/>
      </rPr>
      <t xml:space="preserve"> ζαχαριου</t>
    </r>
  </si>
  <si>
    <t>ευθειας και</t>
  </si>
  <si>
    <t>ευθειαν και</t>
  </si>
  <si>
    <t>σωτηριον του κυ</t>
  </si>
  <si>
    <t>σωτηριον κυ</t>
  </si>
  <si>
    <t>λεγειν αυτοις</t>
  </si>
  <si>
    <r>
      <t xml:space="preserve">λεγειν </t>
    </r>
    <r>
      <rPr>
        <b/>
        <sz val="11"/>
        <color theme="1"/>
        <rFont val="Calibri"/>
        <family val="2"/>
        <scheme val="minor"/>
      </rPr>
      <t>εν</t>
    </r>
    <r>
      <rPr>
        <sz val="11"/>
        <color theme="1"/>
        <rFont val="Calibri"/>
        <family val="2"/>
        <scheme val="minor"/>
      </rPr>
      <t xml:space="preserve"> εαυτοις</t>
    </r>
  </si>
  <si>
    <r>
      <t xml:space="preserve">λεγειν </t>
    </r>
    <r>
      <rPr>
        <b/>
        <sz val="11"/>
        <color theme="1"/>
        <rFont val="Calibri"/>
        <family val="2"/>
        <scheme val="minor"/>
      </rPr>
      <t>αυτοις</t>
    </r>
  </si>
  <si>
    <r>
      <t xml:space="preserve">λεγειν εν </t>
    </r>
    <r>
      <rPr>
        <b/>
        <sz val="11"/>
        <color theme="1"/>
        <rFont val="Calibri"/>
        <family val="2"/>
        <scheme val="minor"/>
      </rPr>
      <t>εαυτοις</t>
    </r>
  </si>
  <si>
    <t>ηλθον τε και</t>
  </si>
  <si>
    <t>ηλθον δε και</t>
  </si>
  <si>
    <t xml:space="preserve">ειπεν αυτοις μηδεν </t>
  </si>
  <si>
    <t>ειπεν προς αυτους μηδεν</t>
  </si>
  <si>
    <t>επηρωτησαν στρατευομενοι</t>
  </si>
  <si>
    <t>επηρωτησαν δε και στρατευομενοι</t>
  </si>
  <si>
    <t>ποιησωμεν ινα σωθωμεν</t>
  </si>
  <si>
    <t>ποιησωμεν ινα ινα σωθωμεν</t>
  </si>
  <si>
    <t>ειπεν αυτοις μηδενα</t>
  </si>
  <si>
    <t>ειπεν προς αυτους μηδενα</t>
  </si>
  <si>
    <t xml:space="preserve">εν τη χειρι </t>
  </si>
  <si>
    <t xml:space="preserve">εν χειρι </t>
  </si>
  <si>
    <t>βαπτισθεντος και και προσευχομενου</t>
  </si>
  <si>
    <t>βαπτισθεντος και προσευχομενου</t>
  </si>
  <si>
    <t>Note that the verse numbers do not match here: variant is in B.10.3's  v. 24</t>
  </si>
  <si>
    <t>γενωνται</t>
  </si>
  <si>
    <t>αποκριθεις o ιης</t>
  </si>
  <si>
    <t>γεγραπται οτι ουκ</t>
  </si>
  <si>
    <t>γεγραπται ουκ</t>
  </si>
  <si>
    <t>δωσω της εξουσιαν</t>
  </si>
  <si>
    <t>δωσω την εξουσιαν</t>
  </si>
  <si>
    <t>ενωπιον εμου</t>
  </si>
  <si>
    <t>ενωπιον μου</t>
  </si>
  <si>
    <t>ει τουτου θυ</t>
  </si>
  <si>
    <t>Bezae corrects to εδιδασκεν</t>
  </si>
  <si>
    <t>εις ναζαρεδ οπου</t>
  </si>
  <si>
    <r>
      <t xml:space="preserve">εις </t>
    </r>
    <r>
      <rPr>
        <b/>
        <sz val="11"/>
        <color theme="1"/>
        <rFont val="Calibri"/>
        <family val="2"/>
        <scheme val="minor"/>
      </rPr>
      <t>την</t>
    </r>
    <r>
      <rPr>
        <sz val="11"/>
        <color theme="1"/>
        <rFont val="Calibri"/>
        <family val="2"/>
        <scheme val="minor"/>
      </rPr>
      <t xml:space="preserve"> ναζαρεδ οπου</t>
    </r>
  </si>
  <si>
    <r>
      <t xml:space="preserve">εις </t>
    </r>
    <r>
      <rPr>
        <b/>
        <sz val="11"/>
        <color theme="1"/>
        <rFont val="Calibri"/>
        <family val="2"/>
        <scheme val="minor"/>
      </rPr>
      <t>ναζαρεδ</t>
    </r>
    <r>
      <rPr>
        <sz val="11"/>
        <color theme="1"/>
        <rFont val="Calibri"/>
        <family val="2"/>
        <scheme val="minor"/>
      </rPr>
      <t xml:space="preserve"> οπου</t>
    </r>
  </si>
  <si>
    <r>
      <t xml:space="preserve">εις την </t>
    </r>
    <r>
      <rPr>
        <b/>
        <sz val="11"/>
        <color theme="1"/>
        <rFont val="Calibri"/>
        <family val="2"/>
        <scheme val="minor"/>
      </rPr>
      <t>ναζαρεδ</t>
    </r>
    <r>
      <rPr>
        <sz val="11"/>
        <color theme="1"/>
        <rFont val="Calibri"/>
        <family val="2"/>
        <scheme val="minor"/>
      </rPr>
      <t xml:space="preserve"> οπου</t>
    </r>
  </si>
  <si>
    <t>και απτυξας</t>
  </si>
  <si>
    <t>και αναπτυξας</t>
  </si>
  <si>
    <t>πνα κυ επ εμε</t>
  </si>
  <si>
    <t>πτωχοις απεσταλμαι κηρυξαι</t>
  </si>
  <si>
    <t>πτωχοις απεσταλκεν με κηρυξαι</t>
  </si>
  <si>
    <t>Bezae corrects απεσταλμαι -&gt; απεσταλκεν μαι</t>
  </si>
  <si>
    <t>πτυξας</t>
  </si>
  <si>
    <t>ιωσηφ εστιν ουτος (23) και ειπεν</t>
  </si>
  <si>
    <t>ιωσηφ ουτος εστιν (23) και ειπεν</t>
  </si>
  <si>
    <t>γεινομενα εις καφαρναουμ</t>
  </si>
  <si>
    <t>αληθειας δε λεγω</t>
  </si>
  <si>
    <t>αληθειας λεγω</t>
  </si>
  <si>
    <t>ταις ημεραις</t>
  </si>
  <si>
    <t>ταις μεραις</t>
  </si>
  <si>
    <t>μηνα εξ</t>
  </si>
  <si>
    <t>μηνας εξ</t>
  </si>
  <si>
    <t>ναιμας ο συρος</t>
  </si>
  <si>
    <t>ναιμαν ο συρος</t>
  </si>
  <si>
    <t>εως της οφρυος</t>
  </si>
  <si>
    <t>εως του οφρυος</t>
  </si>
  <si>
    <t>ωστε κατακρημνισαι</t>
  </si>
  <si>
    <t>ωστε το κατακρημνισαι</t>
  </si>
  <si>
    <t>ναζωρηναι</t>
  </si>
  <si>
    <t>ημας απολεσαι ωδε οιδα</t>
  </si>
  <si>
    <t>ημας ωδε απολεσαι οιδα</t>
  </si>
  <si>
    <t>ρειψας αυτον</t>
  </si>
  <si>
    <t>ρειψαν αυτον</t>
  </si>
  <si>
    <t>ανακραυγαναν τε εξηλθεν</t>
  </si>
  <si>
    <t>ανακραυγασαντο εξηλθεν</t>
  </si>
  <si>
    <t>Bezae corrects to ανακραυγασαν τε εξηλθεν</t>
  </si>
  <si>
    <t>βλαψας αυτον</t>
  </si>
  <si>
    <t>βλαψαν αυτον</t>
  </si>
  <si>
    <t>πνευμασιν και</t>
  </si>
  <si>
    <t>πνευμασι και</t>
  </si>
  <si>
    <t>επισταθεις επανω</t>
  </si>
  <si>
    <t>επιστας εις επανω</t>
  </si>
  <si>
    <t>αναστασαν αυτον</t>
  </si>
  <si>
    <t>αναστασαν αυτην</t>
  </si>
  <si>
    <t>παντες οι ειχαν</t>
  </si>
  <si>
    <t>Bezae corrects οι -&gt; οσοι</t>
  </si>
  <si>
    <t>εφερον αυτοις</t>
  </si>
  <si>
    <t>εφερον αυτους</t>
  </si>
  <si>
    <t>και επειχον</t>
  </si>
  <si>
    <t>και κατειχον</t>
  </si>
  <si>
    <t>δει με εις</t>
  </si>
  <si>
    <t>δει με και εις</t>
  </si>
  <si>
    <t>τας αλλας πολεις</t>
  </si>
  <si>
    <t>τας ετερας πολεις</t>
  </si>
  <si>
    <t>ευαγγελισασθαι αυταις την βασιλιαν</t>
  </si>
  <si>
    <t>ευαγγελισασθαι την βασιλιαν</t>
  </si>
  <si>
    <t>εν των πλοιον</t>
  </si>
  <si>
    <t>εν πλοιον</t>
  </si>
  <si>
    <t>ηρωτησεν αυτον επαναγαγειν απο της γης οσον οσον και καθισας</t>
  </si>
  <si>
    <t xml:space="preserve">ηρωτησεν αυτον οσον οσον επαναγαγειν απο της γης και καθισας </t>
  </si>
  <si>
    <r>
      <t xml:space="preserve">ο δε σιμων </t>
    </r>
    <r>
      <rPr>
        <b/>
        <sz val="11"/>
        <color theme="1"/>
        <rFont val="Calibri"/>
        <family val="2"/>
        <scheme val="minor"/>
      </rPr>
      <t>αποκρεις</t>
    </r>
    <r>
      <rPr>
        <sz val="11"/>
        <color theme="1"/>
        <rFont val="Calibri"/>
        <family val="2"/>
        <scheme val="minor"/>
      </rPr>
      <t xml:space="preserve"> ειπεν αυτω</t>
    </r>
  </si>
  <si>
    <r>
      <t xml:space="preserve">και </t>
    </r>
    <r>
      <rPr>
        <b/>
        <sz val="11"/>
        <color theme="1"/>
        <rFont val="Calibri"/>
        <family val="2"/>
        <scheme val="minor"/>
      </rPr>
      <t>αποκριθεις</t>
    </r>
    <r>
      <rPr>
        <sz val="11"/>
        <color theme="1"/>
        <rFont val="Calibri"/>
        <family val="2"/>
        <scheme val="minor"/>
      </rPr>
      <t xml:space="preserve"> ειπεν αυτω</t>
    </r>
  </si>
  <si>
    <t>δε τω ρηματι</t>
  </si>
  <si>
    <t>δε τω τω ρηματι</t>
  </si>
  <si>
    <t>Bezae corrects to παρακουσομεν</t>
  </si>
  <si>
    <t>κατενευον τοις</t>
  </si>
  <si>
    <t>κατενευσαν τοις</t>
  </si>
  <si>
    <t>μετοχοις τοις εν ετερω πλοιω</t>
  </si>
  <si>
    <t>μετοχοις εν τω ετερω πλοιω</t>
  </si>
  <si>
    <r>
      <t xml:space="preserve">μετοχοις </t>
    </r>
    <r>
      <rPr>
        <b/>
        <sz val="11"/>
        <color theme="1"/>
        <rFont val="Calibri"/>
        <family val="2"/>
        <scheme val="minor"/>
      </rPr>
      <t>τοις</t>
    </r>
    <r>
      <rPr>
        <sz val="11"/>
        <color theme="1"/>
        <rFont val="Calibri"/>
        <family val="2"/>
        <scheme val="minor"/>
      </rPr>
      <t xml:space="preserve"> εν ετερω πλοιω</t>
    </r>
  </si>
  <si>
    <r>
      <t xml:space="preserve">μετοχοις εν </t>
    </r>
    <r>
      <rPr>
        <b/>
        <sz val="11"/>
        <color theme="1"/>
        <rFont val="Calibri"/>
        <family val="2"/>
        <scheme val="minor"/>
      </rPr>
      <t>τω</t>
    </r>
    <r>
      <rPr>
        <sz val="11"/>
        <color theme="1"/>
        <rFont val="Calibri"/>
        <family val="2"/>
        <scheme val="minor"/>
      </rPr>
      <t xml:space="preserve"> ετερω πλοιω</t>
    </r>
  </si>
  <si>
    <t>ελθοντες δε επλησαν</t>
  </si>
  <si>
    <t>ελθοντες ουν επλησαν</t>
  </si>
  <si>
    <t>πλοια ωτε παρα</t>
  </si>
  <si>
    <t>πλοια ωστε παρα</t>
  </si>
  <si>
    <t>ο σιμων ουν προσεπεσεν</t>
  </si>
  <si>
    <t>ο δε σιμων προσεπεσεν</t>
  </si>
  <si>
    <t>ειπεν αυτοις δευτε</t>
  </si>
  <si>
    <t>ειπεν δευτε</t>
  </si>
  <si>
    <t>της γης (12) και εγενετο</t>
  </si>
  <si>
    <t>της γης και ηκολουθησαν αυτω (12) και εγενετο</t>
  </si>
  <si>
    <t>μαρτυριον ην υμειν</t>
  </si>
  <si>
    <t>μαρτυριον η υμειν</t>
  </si>
  <si>
    <t>εν ερημοις τοποις</t>
  </si>
  <si>
    <t>εν ερημου τοποις</t>
  </si>
  <si>
    <t>εισενεγκειν</t>
  </si>
  <si>
    <t>κραβαττον συν τω παραλυτικω</t>
  </si>
  <si>
    <t>κραβαττον συν τω συν τω παραλυτικω</t>
  </si>
  <si>
    <t>παραλυτικω ανθρωπε</t>
  </si>
  <si>
    <t>παραλυτι ανθρωπε</t>
  </si>
  <si>
    <t xml:space="preserve">τι ουτος λαλει </t>
  </si>
  <si>
    <t>τι λαλει</t>
  </si>
  <si>
    <t>εις θς</t>
  </si>
  <si>
    <t>εις ο θεος</t>
  </si>
  <si>
    <t>αφαιωνται σου αι αμαρτιαι η ειπειν</t>
  </si>
  <si>
    <r>
      <t xml:space="preserve">αφαιωνται </t>
    </r>
    <r>
      <rPr>
        <b/>
        <sz val="11"/>
        <color theme="1"/>
        <rFont val="Calibri"/>
        <family val="2"/>
        <scheme val="minor"/>
      </rPr>
      <t>σου</t>
    </r>
    <r>
      <rPr>
        <sz val="11"/>
        <color theme="1"/>
        <rFont val="Calibri"/>
        <family val="2"/>
        <scheme val="minor"/>
      </rPr>
      <t xml:space="preserve"> αι αμαρτιαι η ειπειν</t>
    </r>
  </si>
  <si>
    <r>
      <t xml:space="preserve">αφαιωνται </t>
    </r>
    <r>
      <rPr>
        <b/>
        <sz val="11"/>
        <color theme="1"/>
        <rFont val="Calibri"/>
        <family val="2"/>
        <scheme val="minor"/>
      </rPr>
      <t>σοι</t>
    </r>
    <r>
      <rPr>
        <sz val="11"/>
        <color theme="1"/>
        <rFont val="Calibri"/>
        <family val="2"/>
        <scheme val="minor"/>
      </rPr>
      <t xml:space="preserve"> αι αμαρτιαι σου η ειπειν</t>
    </r>
  </si>
  <si>
    <r>
      <t xml:space="preserve">αφαιωνται σοι αι αμαρτιαι </t>
    </r>
    <r>
      <rPr>
        <b/>
        <sz val="11"/>
        <color theme="1"/>
        <rFont val="Calibri"/>
        <family val="2"/>
        <scheme val="minor"/>
      </rPr>
      <t>σου</t>
    </r>
    <r>
      <rPr>
        <sz val="11"/>
        <color theme="1"/>
        <rFont val="Calibri"/>
        <family val="2"/>
        <scheme val="minor"/>
      </rPr>
      <t xml:space="preserve"> η ειπειν</t>
    </r>
  </si>
  <si>
    <t>επι της αφιναι αμαρτιας</t>
  </si>
  <si>
    <r>
      <t xml:space="preserve">επι της </t>
    </r>
    <r>
      <rPr>
        <b/>
        <sz val="11"/>
        <color theme="1"/>
        <rFont val="Calibri"/>
        <family val="2"/>
        <scheme val="minor"/>
      </rPr>
      <t>γης</t>
    </r>
    <r>
      <rPr>
        <sz val="11"/>
        <color theme="1"/>
        <rFont val="Calibri"/>
        <family val="2"/>
        <scheme val="minor"/>
      </rPr>
      <t xml:space="preserve"> αφιεναι αμαρτιας</t>
    </r>
  </si>
  <si>
    <r>
      <t xml:space="preserve">επι της γης </t>
    </r>
    <r>
      <rPr>
        <b/>
        <sz val="11"/>
        <color theme="1"/>
        <rFont val="Calibri"/>
        <family val="2"/>
        <scheme val="minor"/>
      </rPr>
      <t>αφιεναι</t>
    </r>
    <r>
      <rPr>
        <sz val="11"/>
        <color theme="1"/>
        <rFont val="Calibri"/>
        <family val="2"/>
        <scheme val="minor"/>
      </rPr>
      <t xml:space="preserve"> αμαρτιας</t>
    </r>
  </si>
  <si>
    <r>
      <t xml:space="preserve">επι της </t>
    </r>
    <r>
      <rPr>
        <b/>
        <sz val="11"/>
        <color theme="1"/>
        <rFont val="Calibri"/>
        <family val="2"/>
        <scheme val="minor"/>
      </rPr>
      <t>αφιναι</t>
    </r>
    <r>
      <rPr>
        <sz val="11"/>
        <color theme="1"/>
        <rFont val="Calibri"/>
        <family val="2"/>
        <scheme val="minor"/>
      </rPr>
      <t xml:space="preserve"> αμαρτιας</t>
    </r>
  </si>
  <si>
    <t>θαμβου λεγοντες</t>
  </si>
  <si>
    <t>θαμβους λεγοντες</t>
  </si>
  <si>
    <t>και παραγων ειδεν</t>
  </si>
  <si>
    <t>και πορευων ειδεν</t>
  </si>
  <si>
    <r>
      <t xml:space="preserve">(29) ανακειμενων (30) </t>
    </r>
    <r>
      <rPr>
        <b/>
        <sz val="11"/>
        <color theme="1"/>
        <rFont val="Calibri"/>
        <family val="2"/>
        <scheme val="minor"/>
      </rPr>
      <t>και οι φαρισαιοι και οι γραμματεις εγονγυζον</t>
    </r>
    <r>
      <rPr>
        <sz val="11"/>
        <color theme="1"/>
        <rFont val="Calibri"/>
        <family val="2"/>
        <scheme val="minor"/>
      </rPr>
      <t xml:space="preserve"> προς τους</t>
    </r>
  </si>
  <si>
    <r>
      <t xml:space="preserve">(29) ανακειμενων (30) </t>
    </r>
    <r>
      <rPr>
        <b/>
        <sz val="11"/>
        <color theme="1"/>
        <rFont val="Calibri"/>
        <family val="2"/>
        <scheme val="minor"/>
      </rPr>
      <t>και οι γραμματεις εγογγυζον και οι φαρισαιοι</t>
    </r>
    <r>
      <rPr>
        <sz val="11"/>
        <color theme="1"/>
        <rFont val="Calibri"/>
        <family val="2"/>
        <scheme val="minor"/>
      </rPr>
      <t xml:space="preserve"> προς τους</t>
    </r>
  </si>
  <si>
    <r>
      <t xml:space="preserve">(29) ανακειμενων (30) και οι φαρισαιοι και οι γραμματεις </t>
    </r>
    <r>
      <rPr>
        <b/>
        <sz val="11"/>
        <color theme="1"/>
        <rFont val="Calibri"/>
        <family val="2"/>
        <scheme val="minor"/>
      </rPr>
      <t>εγονγυζον</t>
    </r>
    <r>
      <rPr>
        <sz val="11"/>
        <color theme="1"/>
        <rFont val="Calibri"/>
        <family val="2"/>
        <scheme val="minor"/>
      </rPr>
      <t xml:space="preserve"> προς τους</t>
    </r>
  </si>
  <si>
    <r>
      <t xml:space="preserve">(29) ανακειμενων (30) και οι γραμματεις </t>
    </r>
    <r>
      <rPr>
        <b/>
        <sz val="11"/>
        <color theme="1"/>
        <rFont val="Calibri"/>
        <family val="2"/>
        <scheme val="minor"/>
      </rPr>
      <t>εγογγυζον</t>
    </r>
    <r>
      <rPr>
        <sz val="11"/>
        <color theme="1"/>
        <rFont val="Calibri"/>
        <family val="2"/>
        <scheme val="minor"/>
      </rPr>
      <t xml:space="preserve"> και οι φαρισαιοι προς τους</t>
    </r>
  </si>
  <si>
    <t>μαθηται ιωανου</t>
  </si>
  <si>
    <r>
      <t xml:space="preserve">μαθηται </t>
    </r>
    <r>
      <rPr>
        <b/>
        <sz val="11"/>
        <color theme="1"/>
        <rFont val="Calibri"/>
        <family val="2"/>
        <scheme val="minor"/>
      </rPr>
      <t>του</t>
    </r>
    <r>
      <rPr>
        <sz val="11"/>
        <color theme="1"/>
        <rFont val="Calibri"/>
        <family val="2"/>
        <scheme val="minor"/>
      </rPr>
      <t xml:space="preserve"> ιωαννου</t>
    </r>
  </si>
  <si>
    <r>
      <t xml:space="preserve">μαθηται του </t>
    </r>
    <r>
      <rPr>
        <b/>
        <sz val="11"/>
        <color theme="1"/>
        <rFont val="Calibri"/>
        <family val="2"/>
        <scheme val="minor"/>
      </rPr>
      <t>ιωαννου</t>
    </r>
  </si>
  <si>
    <r>
      <t xml:space="preserve">μαθηται </t>
    </r>
    <r>
      <rPr>
        <b/>
        <sz val="11"/>
        <color theme="1"/>
        <rFont val="Calibri"/>
        <family val="2"/>
        <scheme val="minor"/>
      </rPr>
      <t>ιωανου</t>
    </r>
  </si>
  <si>
    <t>ο δε ειπεν</t>
  </si>
  <si>
    <t>καινου επιβλημα (37) και ουδεις</t>
  </si>
  <si>
    <t>καινου (37) και ουδεις</t>
  </si>
  <si>
    <t>ο οινος νεος</t>
  </si>
  <si>
    <t>ο οινος ο νεος</t>
  </si>
  <si>
    <t>τους ασκους και αυτος</t>
  </si>
  <si>
    <t>τους ασκους τους παλαιους και αυτος</t>
  </si>
  <si>
    <t>εν τω δευτεροπρωτω διαπορευεσθαι</t>
  </si>
  <si>
    <t>εν σαββατω δευτεροπρωτω διαπορευεσθαι</t>
  </si>
  <si>
    <t>οι δε μαθηται</t>
  </si>
  <si>
    <t>οι μαθηται</t>
  </si>
  <si>
    <t>δε ιησους</t>
  </si>
  <si>
    <t>κατηγορησαι αυτου</t>
  </si>
  <si>
    <t>κατηγοριαν αυτου</t>
  </si>
  <si>
    <t>αυτος δε γεινωσκων</t>
  </si>
  <si>
    <t>αυτος δε ευρισκων</t>
  </si>
  <si>
    <t>δε εσιωπων</t>
  </si>
  <si>
    <t>δε σιωπων</t>
  </si>
  <si>
    <t>αποστολους εκαλεσεν</t>
  </si>
  <si>
    <t>αποστολους καλεσεν</t>
  </si>
  <si>
    <t>ιωαννην και φιλιππον και βαρθολομαιον (15) και μαθθαιον και θωμαν τον αδελφον αυτου ου επωνομασεν βοανεργες ο εστιν υιοι βροντης και ιακωβον</t>
  </si>
  <si>
    <r>
      <t>ιωαννην και φιλιππον και βαρθολομαιον (15) και μαθθαιον και θωμαν τον</t>
    </r>
    <r>
      <rPr>
        <b/>
        <sz val="11"/>
        <color theme="1"/>
        <rFont val="Calibri"/>
        <family val="2"/>
        <scheme val="minor"/>
      </rPr>
      <t xml:space="preserve"> αδελφον αυτου ου επωνομασεν βοανεργες ο εστιν υιοι βροντης</t>
    </r>
    <r>
      <rPr>
        <sz val="11"/>
        <color theme="1"/>
        <rFont val="Calibri"/>
        <family val="2"/>
        <scheme val="minor"/>
      </rPr>
      <t xml:space="preserve"> και ιακωβον</t>
    </r>
  </si>
  <si>
    <r>
      <t xml:space="preserve">ιωαννην και φιλιππον και βαρθολομαιον (15) και μαθθαιον και θωμαν τον αδελφον αυτου </t>
    </r>
    <r>
      <rPr>
        <b/>
        <sz val="11"/>
        <color theme="1"/>
        <rFont val="Calibri"/>
        <family val="2"/>
        <scheme val="minor"/>
      </rPr>
      <t>ου</t>
    </r>
    <r>
      <rPr>
        <sz val="11"/>
        <color theme="1"/>
        <rFont val="Calibri"/>
        <family val="2"/>
        <scheme val="minor"/>
      </rPr>
      <t xml:space="preserve"> επωνομασεν βοανεργες ο εστιν υιοι βροντης και ιακωβον</t>
    </r>
  </si>
  <si>
    <r>
      <t xml:space="preserve">ιωαννην και φιλιππον και βαρθολομαιον (15) και μαθθαιον και θωμαν τον αδελφον αυτου ου επωνομασεν βοανεργες ο εστιν υιοι βροντης </t>
    </r>
    <r>
      <rPr>
        <b/>
        <sz val="11"/>
        <color theme="1"/>
        <rFont val="Calibri"/>
        <family val="2"/>
        <scheme val="minor"/>
      </rPr>
      <t>και</t>
    </r>
    <r>
      <rPr>
        <sz val="11"/>
        <color theme="1"/>
        <rFont val="Calibri"/>
        <family val="2"/>
        <scheme val="minor"/>
      </rPr>
      <t xml:space="preserve"> ιακωβον</t>
    </r>
  </si>
  <si>
    <t>Bezae omits this και, B.10.3 does not follow</t>
  </si>
  <si>
    <t>εις τας μαθητας</t>
  </si>
  <si>
    <t>εις τους μαθητας</t>
  </si>
  <si>
    <t>αφ ορισωσιν και ονιδισωσιν και εκβαλωσιν το ονομα</t>
  </si>
  <si>
    <t xml:space="preserve">αφορισωσιν και εκβαλωσιν και ονιδισωσιν το ονομα </t>
  </si>
  <si>
    <t>οτι υ μισθος</t>
  </si>
  <si>
    <t>οτι ο μισθος</t>
  </si>
  <si>
    <t>κατα τα αυτα εποιουν</t>
  </si>
  <si>
    <t>κατα ταυτα εποιουν</t>
  </si>
  <si>
    <t>εις την σιαγονα</t>
  </si>
  <si>
    <t>εις σιαγονα</t>
  </si>
  <si>
    <t>διδου και απο του</t>
  </si>
  <si>
    <t>διδου και και απο του</t>
  </si>
  <si>
    <t>και ει αγαπατε</t>
  </si>
  <si>
    <t>και ει αγαθοποιειτε</t>
  </si>
  <si>
    <t>και αγαπατε</t>
  </si>
  <si>
    <t>και αγαθοποιειτε</t>
  </si>
  <si>
    <t>καρφος το εν τω οφθαλμω</t>
  </si>
  <si>
    <t>καρφος εν τω οφθαλμω</t>
  </si>
  <si>
    <t>υποκειται υποκρειτα εκβαλε</t>
  </si>
  <si>
    <r>
      <t xml:space="preserve">υποκειται </t>
    </r>
    <r>
      <rPr>
        <b/>
        <sz val="11"/>
        <color theme="1"/>
        <rFont val="Calibri"/>
        <family val="2"/>
        <scheme val="minor"/>
      </rPr>
      <t>υποκρειτα</t>
    </r>
    <r>
      <rPr>
        <sz val="11"/>
        <color theme="1"/>
        <rFont val="Calibri"/>
        <family val="2"/>
        <scheme val="minor"/>
      </rPr>
      <t xml:space="preserve"> εκβαλε</t>
    </r>
  </si>
  <si>
    <r>
      <t xml:space="preserve">υποκειται </t>
    </r>
    <r>
      <rPr>
        <b/>
        <sz val="11"/>
        <color theme="1"/>
        <rFont val="Calibri"/>
        <family val="2"/>
        <scheme val="minor"/>
      </rPr>
      <t>υποκρειται</t>
    </r>
    <r>
      <rPr>
        <sz val="11"/>
        <color theme="1"/>
        <rFont val="Calibri"/>
        <family val="2"/>
        <scheme val="minor"/>
      </rPr>
      <t xml:space="preserve"> υποκρειται εκβαλε</t>
    </r>
  </si>
  <si>
    <r>
      <t xml:space="preserve">υποκειται υποκρειται </t>
    </r>
    <r>
      <rPr>
        <b/>
        <sz val="11"/>
        <color theme="1"/>
        <rFont val="Calibri"/>
        <family val="2"/>
        <scheme val="minor"/>
      </rPr>
      <t>υποκρειται</t>
    </r>
    <r>
      <rPr>
        <sz val="11"/>
        <color theme="1"/>
        <rFont val="Calibri"/>
        <family val="2"/>
        <scheme val="minor"/>
      </rPr>
      <t xml:space="preserve"> εκβαλε</t>
    </r>
  </si>
  <si>
    <t>ο δε αγαθος</t>
  </si>
  <si>
    <t>ο αγαθος</t>
  </si>
  <si>
    <t>περισσευματος καρδιας καλει</t>
  </si>
  <si>
    <r>
      <t xml:space="preserve">περισσευματος </t>
    </r>
    <r>
      <rPr>
        <b/>
        <sz val="11"/>
        <color theme="1"/>
        <rFont val="Calibri"/>
        <family val="2"/>
        <scheme val="minor"/>
      </rPr>
      <t>της</t>
    </r>
    <r>
      <rPr>
        <sz val="11"/>
        <color theme="1"/>
        <rFont val="Calibri"/>
        <family val="2"/>
        <scheme val="minor"/>
      </rPr>
      <t xml:space="preserve"> καρδιας λαλει</t>
    </r>
  </si>
  <si>
    <r>
      <t xml:space="preserve">περισσευματος της καρδιας </t>
    </r>
    <r>
      <rPr>
        <b/>
        <sz val="11"/>
        <color theme="1"/>
        <rFont val="Calibri"/>
        <family val="2"/>
        <scheme val="minor"/>
      </rPr>
      <t>λαλει</t>
    </r>
  </si>
  <si>
    <r>
      <t xml:space="preserve">περισσευματος καρδιας </t>
    </r>
    <r>
      <rPr>
        <b/>
        <sz val="11"/>
        <color theme="1"/>
        <rFont val="Calibri"/>
        <family val="2"/>
        <scheme val="minor"/>
      </rPr>
      <t>καλει</t>
    </r>
  </si>
  <si>
    <t>οικεια εκεινη</t>
  </si>
  <si>
    <t>οικεια κεινη</t>
  </si>
  <si>
    <t>το ρηγμα της οικειας εκεινης μεγα</t>
  </si>
  <si>
    <t>το ρηγμα της εκεινης οικειας μεγα</t>
  </si>
  <si>
    <t>τινος τις κακως</t>
  </si>
  <si>
    <t>τινος παις κακως</t>
  </si>
  <si>
    <t>αλλα ειπε</t>
  </si>
  <si>
    <t>αλλ ειπε</t>
  </si>
  <si>
    <t>ακολουθουντι αυτω οχλω</t>
  </si>
  <si>
    <t>ακολουθουντι οχλω</t>
  </si>
  <si>
    <t>εις τον οικον πεμφθεντες ευρον τον ασθενουντα δουλον υγιαινοντα</t>
  </si>
  <si>
    <t>εις οικον οι πεμφθεντες δουλοι ευρον τον ασθενουντα υγιαινοντα</t>
  </si>
  <si>
    <r>
      <t xml:space="preserve">εις </t>
    </r>
    <r>
      <rPr>
        <b/>
        <sz val="11"/>
        <color theme="1"/>
        <rFont val="Calibri"/>
        <family val="2"/>
        <scheme val="minor"/>
      </rPr>
      <t>τον</t>
    </r>
    <r>
      <rPr>
        <sz val="11"/>
        <color theme="1"/>
        <rFont val="Calibri"/>
        <family val="2"/>
        <scheme val="minor"/>
      </rPr>
      <t xml:space="preserve"> οικον πεμφθεντες ευρον τον ασθενουντα δουλον υγιαινοντα</t>
    </r>
  </si>
  <si>
    <r>
      <t xml:space="preserve">εις οικον </t>
    </r>
    <r>
      <rPr>
        <b/>
        <sz val="11"/>
        <color theme="1"/>
        <rFont val="Calibri"/>
        <family val="2"/>
        <scheme val="minor"/>
      </rPr>
      <t>οι</t>
    </r>
    <r>
      <rPr>
        <sz val="11"/>
        <color theme="1"/>
        <rFont val="Calibri"/>
        <family val="2"/>
        <scheme val="minor"/>
      </rPr>
      <t xml:space="preserve"> πεμφθεντες δουλοι ευρον τον ασθενουντα υγιαινοντα</t>
    </r>
  </si>
  <si>
    <r>
      <t xml:space="preserve">εις οικον οι πεμφθεντες </t>
    </r>
    <r>
      <rPr>
        <b/>
        <sz val="11"/>
        <color theme="1"/>
        <rFont val="Calibri"/>
        <family val="2"/>
        <scheme val="minor"/>
      </rPr>
      <t>δουλοι</t>
    </r>
    <r>
      <rPr>
        <sz val="11"/>
        <color theme="1"/>
        <rFont val="Calibri"/>
        <family val="2"/>
        <scheme val="minor"/>
      </rPr>
      <t xml:space="preserve"> ευρον τον ασθενουντα υγιαινοντα</t>
    </r>
  </si>
  <si>
    <r>
      <t xml:space="preserve">εις τον οικον πεμφθεντες ευρον τον ασθενουντα </t>
    </r>
    <r>
      <rPr>
        <b/>
        <sz val="11"/>
        <color theme="1"/>
        <rFont val="Calibri"/>
        <family val="2"/>
        <scheme val="minor"/>
      </rPr>
      <t>δουλον</t>
    </r>
    <r>
      <rPr>
        <sz val="11"/>
        <color theme="1"/>
        <rFont val="Calibri"/>
        <family val="2"/>
        <scheme val="minor"/>
      </rPr>
      <t xml:space="preserve"> υγιαινοντα</t>
    </r>
  </si>
  <si>
    <t>εγενετο δε ως ηγγιζεν</t>
  </si>
  <si>
    <t>εγενετο δε ηγγιζεν</t>
  </si>
  <si>
    <t>μητρι αυτου χηρα</t>
  </si>
  <si>
    <t>μητρι αυτου αυτου χηρα</t>
  </si>
  <si>
    <t>ο κυριος εσπλαγχνισθη</t>
  </si>
  <si>
    <t>ο ιης εσπλαγχνισθη</t>
  </si>
  <si>
    <t xml:space="preserve">ειπεν νεανισκε νεανισκε σοι </t>
  </si>
  <si>
    <t xml:space="preserve">ειπεν νεανισκε σοι </t>
  </si>
  <si>
    <t>και πνευματων πονηρων και τυφλους</t>
  </si>
  <si>
    <t>και πονηρων πνευματων και τυφλους</t>
  </si>
  <si>
    <t>εποιε βλεπειν</t>
  </si>
  <si>
    <t>Bezae corrects εποιε -&gt; εποιει, B.10.3 does not follow</t>
  </si>
  <si>
    <t>οι οφθι και</t>
  </si>
  <si>
    <t>οι οφθαλμοι και</t>
  </si>
  <si>
    <t>περι ιωανου</t>
  </si>
  <si>
    <t>περι ιωαννου</t>
  </si>
  <si>
    <r>
      <t xml:space="preserve">αγγελων </t>
    </r>
    <r>
      <rPr>
        <b/>
        <sz val="11"/>
        <color theme="1"/>
        <rFont val="Calibri"/>
        <family val="2"/>
        <scheme val="minor"/>
      </rPr>
      <t>ιωανου</t>
    </r>
    <r>
      <rPr>
        <sz val="11"/>
        <color theme="1"/>
        <rFont val="Calibri"/>
        <family val="2"/>
        <scheme val="minor"/>
      </rPr>
      <t xml:space="preserve"> ηρξατο λεγειν</t>
    </r>
  </si>
  <si>
    <r>
      <t xml:space="preserve">αγγελων </t>
    </r>
    <r>
      <rPr>
        <b/>
        <sz val="11"/>
        <color theme="1"/>
        <rFont val="Calibri"/>
        <family val="2"/>
        <scheme val="minor"/>
      </rPr>
      <t>ιωαννου</t>
    </r>
    <r>
      <rPr>
        <sz val="11"/>
        <color theme="1"/>
        <rFont val="Calibri"/>
        <family val="2"/>
        <scheme val="minor"/>
      </rPr>
      <t xml:space="preserve"> ηυξατο λεγειν</t>
    </r>
  </si>
  <si>
    <r>
      <t xml:space="preserve">αγγελων ιωανου </t>
    </r>
    <r>
      <rPr>
        <b/>
        <sz val="11"/>
        <color theme="1"/>
        <rFont val="Calibri"/>
        <family val="2"/>
        <scheme val="minor"/>
      </rPr>
      <t>ηρξατο</t>
    </r>
    <r>
      <rPr>
        <sz val="11"/>
        <color theme="1"/>
        <rFont val="Calibri"/>
        <family val="2"/>
        <scheme val="minor"/>
      </rPr>
      <t xml:space="preserve"> λεγειν</t>
    </r>
  </si>
  <si>
    <r>
      <t xml:space="preserve">αγγελων ιωαννου </t>
    </r>
    <r>
      <rPr>
        <b/>
        <sz val="11"/>
        <color theme="1"/>
        <rFont val="Calibri"/>
        <family val="2"/>
        <scheme val="minor"/>
      </rPr>
      <t>ηυξατο</t>
    </r>
    <r>
      <rPr>
        <sz val="11"/>
        <color theme="1"/>
        <rFont val="Calibri"/>
        <family val="2"/>
        <scheme val="minor"/>
      </rPr>
      <t xml:space="preserve"> λεγειν</t>
    </r>
  </si>
  <si>
    <t>εξηλθατε εις την</t>
  </si>
  <si>
    <t>εξεληλυθατε εις την</t>
  </si>
  <si>
    <t>οι ιματισμω</t>
  </si>
  <si>
    <t>οι εν ιματισμω</t>
  </si>
  <si>
    <t>ιδου εγω αποστελλω</t>
  </si>
  <si>
    <t>ιδου αποστελλω</t>
  </si>
  <si>
    <t>μεικροτερος εν τη</t>
  </si>
  <si>
    <t>μεικροτερος αυτου εν τη</t>
  </si>
  <si>
    <t>εδικαιωσαι τον θν</t>
  </si>
  <si>
    <t>εδικαιωσαν τον θεον</t>
  </si>
  <si>
    <t>βαπτισθεντες</t>
  </si>
  <si>
    <t>βαπτισθβαπτισθεντες</t>
  </si>
  <si>
    <t>εν τη αγορα</t>
  </si>
  <si>
    <t>εν αγορα</t>
  </si>
  <si>
    <t>και κεκλαυσατε</t>
  </si>
  <si>
    <r>
      <t xml:space="preserve">κλαιουσα </t>
    </r>
    <r>
      <rPr>
        <b/>
        <sz val="11"/>
        <color theme="1"/>
        <rFont val="Calibri"/>
        <family val="2"/>
        <scheme val="minor"/>
      </rPr>
      <t>τοις δακρυσι εβρεξε</t>
    </r>
    <r>
      <rPr>
        <sz val="11"/>
        <color theme="1"/>
        <rFont val="Calibri"/>
        <family val="2"/>
        <scheme val="minor"/>
      </rPr>
      <t xml:space="preserve"> τους ποδας</t>
    </r>
  </si>
  <si>
    <r>
      <t xml:space="preserve">κλαιουσα </t>
    </r>
    <r>
      <rPr>
        <b/>
        <sz val="11"/>
        <color theme="1"/>
        <rFont val="Calibri"/>
        <family val="2"/>
        <scheme val="minor"/>
      </rPr>
      <t>εβρεξε τοις δακρυσιν</t>
    </r>
    <r>
      <rPr>
        <sz val="11"/>
        <color theme="1"/>
        <rFont val="Calibri"/>
        <family val="2"/>
        <scheme val="minor"/>
      </rPr>
      <t xml:space="preserve"> τους ποδας</t>
    </r>
  </si>
  <si>
    <r>
      <t xml:space="preserve">κλαιουσα τοις </t>
    </r>
    <r>
      <rPr>
        <b/>
        <sz val="11"/>
        <color theme="1"/>
        <rFont val="Calibri"/>
        <family val="2"/>
        <scheme val="minor"/>
      </rPr>
      <t>δακρυσι</t>
    </r>
    <r>
      <rPr>
        <sz val="11"/>
        <color theme="1"/>
        <rFont val="Calibri"/>
        <family val="2"/>
        <scheme val="minor"/>
      </rPr>
      <t xml:space="preserve"> εβρεξε τους ποδας</t>
    </r>
  </si>
  <si>
    <r>
      <t xml:space="preserve">κλαιουσα εβρεξε τοις </t>
    </r>
    <r>
      <rPr>
        <b/>
        <sz val="11"/>
        <color theme="1"/>
        <rFont val="Calibri"/>
        <family val="2"/>
        <scheme val="minor"/>
      </rPr>
      <t>δακρυσιν</t>
    </r>
    <r>
      <rPr>
        <sz val="11"/>
        <color theme="1"/>
        <rFont val="Calibri"/>
        <family val="2"/>
        <scheme val="minor"/>
      </rPr>
      <t xml:space="preserve"> τους ποδας</t>
    </r>
  </si>
  <si>
    <t>ποταπη</t>
  </si>
  <si>
    <t>ετερος πεντηκοντα</t>
  </si>
  <si>
    <t>ετερος δηναρια πεντηκοντα</t>
  </si>
  <si>
    <t>οικειαν  υδωρ</t>
  </si>
  <si>
    <r>
      <t xml:space="preserve">οικιαν </t>
    </r>
    <r>
      <rPr>
        <b/>
        <sz val="11"/>
        <color theme="1"/>
        <rFont val="Calibri"/>
        <family val="2"/>
        <scheme val="minor"/>
      </rPr>
      <t>και</t>
    </r>
    <r>
      <rPr>
        <sz val="11"/>
        <color theme="1"/>
        <rFont val="Calibri"/>
        <family val="2"/>
        <scheme val="minor"/>
      </rPr>
      <t xml:space="preserve"> υδωρ</t>
    </r>
  </si>
  <si>
    <t>επι τους ποδας</t>
  </si>
  <si>
    <t>επι ποδας</t>
  </si>
  <si>
    <t>ειπεν δε προς</t>
  </si>
  <si>
    <t>ειπεν δε ειπεν δε προς</t>
  </si>
  <si>
    <t>εν ειρηνη</t>
  </si>
  <si>
    <t>ησα τεθεραπευμεναι</t>
  </si>
  <si>
    <t>ησαν τεθεραπευμεναι</t>
  </si>
  <si>
    <t>αιτινες διηκονουν αυτον εκ των</t>
  </si>
  <si>
    <r>
      <t xml:space="preserve">αιτινες </t>
    </r>
    <r>
      <rPr>
        <b/>
        <sz val="11"/>
        <color theme="1"/>
        <rFont val="Calibri"/>
        <family val="2"/>
        <scheme val="minor"/>
      </rPr>
      <t>και</t>
    </r>
    <r>
      <rPr>
        <sz val="11"/>
        <color theme="1"/>
        <rFont val="Calibri"/>
        <family val="2"/>
        <scheme val="minor"/>
      </rPr>
      <t xml:space="preserve"> διηκονουν αυτοις εκ των</t>
    </r>
  </si>
  <si>
    <r>
      <t xml:space="preserve">αιτινες και διηκονουν </t>
    </r>
    <r>
      <rPr>
        <b/>
        <sz val="11"/>
        <color theme="1"/>
        <rFont val="Calibri"/>
        <family val="2"/>
        <scheme val="minor"/>
      </rPr>
      <t>αυτοις</t>
    </r>
    <r>
      <rPr>
        <sz val="11"/>
        <color theme="1"/>
        <rFont val="Calibri"/>
        <family val="2"/>
        <scheme val="minor"/>
      </rPr>
      <t xml:space="preserve"> εκ των</t>
    </r>
  </si>
  <si>
    <r>
      <t xml:space="preserve">αιτινες διηκονουν </t>
    </r>
    <r>
      <rPr>
        <b/>
        <sz val="11"/>
        <color theme="1"/>
        <rFont val="Calibri"/>
        <family val="2"/>
        <scheme val="minor"/>
      </rPr>
      <t>αυτον</t>
    </r>
    <r>
      <rPr>
        <sz val="11"/>
        <color theme="1"/>
        <rFont val="Calibri"/>
        <family val="2"/>
        <scheme val="minor"/>
      </rPr>
      <t xml:space="preserve"> εκ των</t>
    </r>
  </si>
  <si>
    <t>ειπεν παραβολην (5) εξηλθεν</t>
  </si>
  <si>
    <t>ειπεν παραβολην τοιαυτην προς αυτους (5) εξηλθεν</t>
  </si>
  <si>
    <t>εχειν ικμαδα</t>
  </si>
  <si>
    <t>εχειν εικμαδα</t>
  </si>
  <si>
    <t>φυεν εποιησεν</t>
  </si>
  <si>
    <t>φυεν και εποιησεν</t>
  </si>
  <si>
    <t xml:space="preserve">αυτου το τις </t>
  </si>
  <si>
    <t>αυτου τις</t>
  </si>
  <si>
    <t>ακουσωσιν μετα</t>
  </si>
  <si>
    <t>ακουσωσι μετα</t>
  </si>
  <si>
    <t>πιστευουσι και</t>
  </si>
  <si>
    <t>πιστευουσιν και</t>
  </si>
  <si>
    <r>
      <rPr>
        <b/>
        <sz val="11"/>
        <color theme="1"/>
        <rFont val="Calibri"/>
        <family val="2"/>
        <scheme val="minor"/>
      </rPr>
      <t>αλλα</t>
    </r>
    <r>
      <rPr>
        <sz val="11"/>
        <color theme="1"/>
        <rFont val="Calibri"/>
        <family val="2"/>
        <scheme val="minor"/>
      </rPr>
      <t xml:space="preserve"> επι την λυχνιαν τιθι </t>
    </r>
  </si>
  <si>
    <r>
      <rPr>
        <b/>
        <sz val="11"/>
        <color theme="1"/>
        <rFont val="Calibri"/>
        <family val="2"/>
        <scheme val="minor"/>
      </rPr>
      <t>αλλ</t>
    </r>
    <r>
      <rPr>
        <sz val="11"/>
        <color theme="1"/>
        <rFont val="Calibri"/>
        <family val="2"/>
        <scheme val="minor"/>
      </rPr>
      <t xml:space="preserve"> επι της λυχνιας τιθι</t>
    </r>
  </si>
  <si>
    <r>
      <t xml:space="preserve">αλλα επι </t>
    </r>
    <r>
      <rPr>
        <b/>
        <sz val="11"/>
        <color theme="1"/>
        <rFont val="Calibri"/>
        <family val="2"/>
        <scheme val="minor"/>
      </rPr>
      <t>την λυχνιαν</t>
    </r>
    <r>
      <rPr>
        <sz val="11"/>
        <color theme="1"/>
        <rFont val="Calibri"/>
        <family val="2"/>
        <scheme val="minor"/>
      </rPr>
      <t xml:space="preserve"> τιθι </t>
    </r>
  </si>
  <si>
    <r>
      <t xml:space="preserve">αλλ επι </t>
    </r>
    <r>
      <rPr>
        <b/>
        <sz val="11"/>
        <color theme="1"/>
        <rFont val="Calibri"/>
        <family val="2"/>
        <scheme val="minor"/>
      </rPr>
      <t>της λυχνιας</t>
    </r>
    <r>
      <rPr>
        <sz val="11"/>
        <color theme="1"/>
        <rFont val="Calibri"/>
        <family val="2"/>
        <scheme val="minor"/>
      </rPr>
      <t xml:space="preserve"> τιθι</t>
    </r>
  </si>
  <si>
    <t>βλεπωσι το φως</t>
  </si>
  <si>
    <t xml:space="preserve">βλεπωσιν το φως </t>
  </si>
  <si>
    <t>φανερον εσται ουδε</t>
  </si>
  <si>
    <t>φανερον γενησεται ουδε</t>
  </si>
  <si>
    <t xml:space="preserve">αλλα ινα </t>
  </si>
  <si>
    <t xml:space="preserve">αλλ ινα </t>
  </si>
  <si>
    <t>εχη και αρθησεται</t>
  </si>
  <si>
    <t>εχη αρθησεται</t>
  </si>
  <si>
    <t xml:space="preserve">αυτω οτι η μητηρ </t>
  </si>
  <si>
    <t xml:space="preserve">αυτω η μητηρ </t>
  </si>
  <si>
    <t xml:space="preserve">αυτοις η μητηρ </t>
  </si>
  <si>
    <t>αυτοις μητηρ</t>
  </si>
  <si>
    <t>και αδελφοι</t>
  </si>
  <si>
    <t>και οι αδελφοι</t>
  </si>
  <si>
    <t>αναβηναι αυτον εις πλοιον</t>
  </si>
  <si>
    <t>αναβηναι εις πλοιον</t>
  </si>
  <si>
    <t>και υδατι</t>
  </si>
  <si>
    <t>και τω υδατι</t>
  </si>
  <si>
    <t>αντιπεραν της γαλιλαιας</t>
  </si>
  <si>
    <t>αντιπερα της γαλιλαιας</t>
  </si>
  <si>
    <t xml:space="preserve">ος ειματιον </t>
  </si>
  <si>
    <t xml:space="preserve">ος και ειματιον </t>
  </si>
  <si>
    <t>ανεκραξεν φωνη μεγαλη ειπεν</t>
  </si>
  <si>
    <t>ανεκραξεν και ειπεν</t>
  </si>
  <si>
    <r>
      <t xml:space="preserve">ανεκραξεν </t>
    </r>
    <r>
      <rPr>
        <b/>
        <sz val="11"/>
        <color theme="1"/>
        <rFont val="Calibri"/>
        <family val="2"/>
        <scheme val="minor"/>
      </rPr>
      <t>φωνη μεγαλη</t>
    </r>
    <r>
      <rPr>
        <sz val="11"/>
        <color theme="1"/>
        <rFont val="Calibri"/>
        <family val="2"/>
        <scheme val="minor"/>
      </rPr>
      <t xml:space="preserve"> ειπεν</t>
    </r>
  </si>
  <si>
    <r>
      <t xml:space="preserve">ανεκραξεν </t>
    </r>
    <r>
      <rPr>
        <b/>
        <sz val="11"/>
        <color theme="1"/>
        <rFont val="Calibri"/>
        <family val="2"/>
        <scheme val="minor"/>
      </rPr>
      <t>και</t>
    </r>
    <r>
      <rPr>
        <sz val="11"/>
        <color theme="1"/>
        <rFont val="Calibri"/>
        <family val="2"/>
        <scheme val="minor"/>
      </rPr>
      <t xml:space="preserve"> ειπεν</t>
    </r>
  </si>
  <si>
    <t xml:space="preserve">υψιστου δαιομε σου </t>
  </si>
  <si>
    <t xml:space="preserve">υψιστου δαιομαι σου </t>
  </si>
  <si>
    <t>αυτον ο ιης</t>
  </si>
  <si>
    <t>αυτον ο ο ιησους</t>
  </si>
  <si>
    <t>Bezae corrects to λεγαιων</t>
  </si>
  <si>
    <t>ο δε πετρεψεν</t>
  </si>
  <si>
    <t>ο δε επετρεψεν</t>
  </si>
  <si>
    <t>απου ανθρωπου</t>
  </si>
  <si>
    <t>απο του ανθρωπου</t>
  </si>
  <si>
    <t>ωρμησαν εις τους</t>
  </si>
  <si>
    <t>ωρμησεν εις τους</t>
  </si>
  <si>
    <t>δαιμονιζομενον σωφρονουντα</t>
  </si>
  <si>
    <t>δαιμονιζομενον και σωφρονουντα</t>
  </si>
  <si>
    <t>αυτοις ειδοντες πως</t>
  </si>
  <si>
    <r>
      <t xml:space="preserve">αυτοις </t>
    </r>
    <r>
      <rPr>
        <b/>
        <sz val="11"/>
        <color theme="1"/>
        <rFont val="Calibri"/>
        <family val="2"/>
        <scheme val="minor"/>
      </rPr>
      <t>οι</t>
    </r>
    <r>
      <rPr>
        <sz val="11"/>
        <color theme="1"/>
        <rFont val="Calibri"/>
        <family val="2"/>
        <scheme val="minor"/>
      </rPr>
      <t xml:space="preserve"> ιδοντες πως</t>
    </r>
  </si>
  <si>
    <r>
      <t xml:space="preserve">αυτοις οι </t>
    </r>
    <r>
      <rPr>
        <b/>
        <sz val="11"/>
        <color theme="1"/>
        <rFont val="Calibri"/>
        <family val="2"/>
        <scheme val="minor"/>
      </rPr>
      <t>ιδοντες</t>
    </r>
    <r>
      <rPr>
        <sz val="11"/>
        <color theme="1"/>
        <rFont val="Calibri"/>
        <family val="2"/>
        <scheme val="minor"/>
      </rPr>
      <t xml:space="preserve"> πως</t>
    </r>
  </si>
  <si>
    <r>
      <t xml:space="preserve">αυτοις </t>
    </r>
    <r>
      <rPr>
        <b/>
        <sz val="11"/>
        <color theme="1"/>
        <rFont val="Calibri"/>
        <family val="2"/>
        <scheme val="minor"/>
      </rPr>
      <t>ειδοντες</t>
    </r>
    <r>
      <rPr>
        <sz val="11"/>
        <color theme="1"/>
        <rFont val="Calibri"/>
        <family val="2"/>
        <scheme val="minor"/>
      </rPr>
      <t xml:space="preserve"> πως</t>
    </r>
  </si>
  <si>
    <t>εσωθη ο λιων (37) ηρωτησαν</t>
  </si>
  <si>
    <r>
      <t>εσωθη ο δαιμονισθεις</t>
    </r>
    <r>
      <rPr>
        <b/>
        <sz val="11"/>
        <color theme="1"/>
        <rFont val="Calibri"/>
        <family val="2"/>
        <scheme val="minor"/>
      </rPr>
      <t xml:space="preserve"> </t>
    </r>
    <r>
      <rPr>
        <sz val="11"/>
        <color theme="1"/>
        <rFont val="Calibri"/>
        <family val="2"/>
        <scheme val="minor"/>
      </rPr>
      <t xml:space="preserve"> (37) ηρωτησαν</t>
    </r>
  </si>
  <si>
    <t>Bezae corrects λιων -&gt; ληγαιων</t>
  </si>
  <si>
    <t>εμβας</t>
  </si>
  <si>
    <t>εξεληλυθει τα δαιμονια</t>
  </si>
  <si>
    <t>εξεληλυθει δαιμονια</t>
  </si>
  <si>
    <t>οσα ο θεος σοι εποιησεν</t>
  </si>
  <si>
    <t>ελθων ανηρ της συναγωγης πεσων ουτος</t>
  </si>
  <si>
    <r>
      <t xml:space="preserve">ελθων </t>
    </r>
    <r>
      <rPr>
        <b/>
        <sz val="11"/>
        <color theme="1"/>
        <rFont val="Calibri"/>
        <family val="2"/>
        <scheme val="minor"/>
      </rPr>
      <t>ο</t>
    </r>
    <r>
      <rPr>
        <sz val="11"/>
        <color theme="1"/>
        <rFont val="Calibri"/>
        <family val="2"/>
        <scheme val="minor"/>
      </rPr>
      <t xml:space="preserve"> ανηρ ω ονομα ιαειρος και ουτος</t>
    </r>
  </si>
  <si>
    <r>
      <t xml:space="preserve">ελθων ανηρ </t>
    </r>
    <r>
      <rPr>
        <b/>
        <sz val="11"/>
        <color theme="1"/>
        <rFont val="Calibri"/>
        <family val="2"/>
        <scheme val="minor"/>
      </rPr>
      <t>της συναγωγης πεσων</t>
    </r>
    <r>
      <rPr>
        <sz val="11"/>
        <color theme="1"/>
        <rFont val="Calibri"/>
        <family val="2"/>
        <scheme val="minor"/>
      </rPr>
      <t xml:space="preserve"> ουτος</t>
    </r>
  </si>
  <si>
    <r>
      <t xml:space="preserve">ελθων ο ανηρ </t>
    </r>
    <r>
      <rPr>
        <b/>
        <sz val="11"/>
        <color theme="1"/>
        <rFont val="Calibri"/>
        <family val="2"/>
        <scheme val="minor"/>
      </rPr>
      <t>ω ονομα ιαειρος και</t>
    </r>
    <r>
      <rPr>
        <sz val="11"/>
        <color theme="1"/>
        <rFont val="Calibri"/>
        <family val="2"/>
        <scheme val="minor"/>
      </rPr>
      <t xml:space="preserve"> ουτος</t>
    </r>
  </si>
  <si>
    <t>οικειαν (42) ην γαρ</t>
  </si>
  <si>
    <r>
      <rPr>
        <b/>
        <sz val="11"/>
        <color theme="1"/>
        <rFont val="Calibri"/>
        <family val="2"/>
        <scheme val="minor"/>
      </rPr>
      <t>οικιαν</t>
    </r>
    <r>
      <rPr>
        <sz val="11"/>
        <color theme="1"/>
        <rFont val="Calibri"/>
        <family val="2"/>
        <scheme val="minor"/>
      </rPr>
      <t xml:space="preserve"> αυτου (42) ην γαρ</t>
    </r>
  </si>
  <si>
    <r>
      <rPr>
        <b/>
        <sz val="11"/>
        <color theme="1"/>
        <rFont val="Calibri"/>
        <family val="2"/>
        <scheme val="minor"/>
      </rPr>
      <t>οικειαν</t>
    </r>
    <r>
      <rPr>
        <sz val="11"/>
        <color theme="1"/>
        <rFont val="Calibri"/>
        <family val="2"/>
        <scheme val="minor"/>
      </rPr>
      <t xml:space="preserve"> (42) ην γαρ</t>
    </r>
  </si>
  <si>
    <r>
      <t xml:space="preserve">οικιαν </t>
    </r>
    <r>
      <rPr>
        <b/>
        <sz val="11"/>
        <color theme="1"/>
        <rFont val="Calibri"/>
        <family val="2"/>
        <scheme val="minor"/>
      </rPr>
      <t>αυτου</t>
    </r>
    <r>
      <rPr>
        <sz val="11"/>
        <color theme="1"/>
        <rFont val="Calibri"/>
        <family val="2"/>
        <scheme val="minor"/>
      </rPr>
      <t xml:space="preserve"> (42) ην γαρ</t>
    </r>
  </si>
  <si>
    <r>
      <rPr>
        <b/>
        <sz val="11"/>
        <color theme="1"/>
        <rFont val="Calibri"/>
        <family val="2"/>
        <scheme val="minor"/>
      </rPr>
      <t>αιτων</t>
    </r>
    <r>
      <rPr>
        <sz val="11"/>
        <color theme="1"/>
        <rFont val="Calibri"/>
        <family val="2"/>
        <scheme val="minor"/>
      </rPr>
      <t xml:space="preserve"> βι ην</t>
    </r>
  </si>
  <si>
    <r>
      <rPr>
        <b/>
        <sz val="11"/>
        <color theme="1"/>
        <rFont val="Calibri"/>
        <family val="2"/>
        <scheme val="minor"/>
      </rPr>
      <t>ατων</t>
    </r>
    <r>
      <rPr>
        <sz val="11"/>
        <color theme="1"/>
        <rFont val="Calibri"/>
        <family val="2"/>
        <scheme val="minor"/>
      </rPr>
      <t xml:space="preserve"> ιβ ην</t>
    </r>
  </si>
  <si>
    <r>
      <t xml:space="preserve">αιτων </t>
    </r>
    <r>
      <rPr>
        <b/>
        <sz val="11"/>
        <color theme="1"/>
        <rFont val="Calibri"/>
        <family val="2"/>
        <scheme val="minor"/>
      </rPr>
      <t>βι</t>
    </r>
    <r>
      <rPr>
        <sz val="11"/>
        <color theme="1"/>
        <rFont val="Calibri"/>
        <family val="2"/>
        <scheme val="minor"/>
      </rPr>
      <t xml:space="preserve"> ην</t>
    </r>
  </si>
  <si>
    <r>
      <t xml:space="preserve">ατων </t>
    </r>
    <r>
      <rPr>
        <b/>
        <sz val="11"/>
        <color theme="1"/>
        <rFont val="Calibri"/>
        <family val="2"/>
        <scheme val="minor"/>
      </rPr>
      <t>ιβ</t>
    </r>
    <r>
      <rPr>
        <sz val="11"/>
        <color theme="1"/>
        <rFont val="Calibri"/>
        <family val="2"/>
        <scheme val="minor"/>
      </rPr>
      <t xml:space="preserve"> ην</t>
    </r>
  </si>
  <si>
    <t>αποθλειβουσιν και</t>
  </si>
  <si>
    <t>αποθλειβουσι και</t>
  </si>
  <si>
    <t xml:space="preserve">εγνων δυναμιν εξελθουσαν </t>
  </si>
  <si>
    <t xml:space="preserve">εγνων δυναμιν δυναμιν εξελθουσαν </t>
  </si>
  <si>
    <t>ελαθεν εντρομος ουσα</t>
  </si>
  <si>
    <t>ελαθεν εκτρομοσουσα</t>
  </si>
  <si>
    <t>κλαιετε</t>
  </si>
  <si>
    <t>κατεγελουν</t>
  </si>
  <si>
    <t>φαγειν (56) οι δε γονεις αυτης</t>
  </si>
  <si>
    <t>φαγειν (56) γονεις δε αυτης</t>
  </si>
  <si>
    <t>αυτοις μηδενι ειπειν</t>
  </si>
  <si>
    <t>αυτοις μηδε ειπειν</t>
  </si>
  <si>
    <t>επι πασαν δαιμονιον</t>
  </si>
  <si>
    <t>επι παντα δαιμονιον</t>
  </si>
  <si>
    <t>κονιορτον τον των ποδων</t>
  </si>
  <si>
    <t>κονιορτον των ποδων</t>
  </si>
  <si>
    <t>κατα τας πολεις</t>
  </si>
  <si>
    <t>κατα πολεις</t>
  </si>
  <si>
    <t>γεινομενα ηπορειτο</t>
  </si>
  <si>
    <t>γεινομενα διηπορειτο</t>
  </si>
  <si>
    <t>εχοντας αυτου</t>
  </si>
  <si>
    <t>εχοντας θεραπειας αυτου</t>
  </si>
  <si>
    <t>αυτοις υμεις</t>
  </si>
  <si>
    <t>αυτοις υτοις υμεις</t>
  </si>
  <si>
    <t>ουρανον προσηυξατο</t>
  </si>
  <si>
    <t>ουρανον παρηυξατο</t>
  </si>
  <si>
    <t>ειπων τιδ δει</t>
  </si>
  <si>
    <t>ειπων οτι δει</t>
  </si>
  <si>
    <r>
      <rPr>
        <b/>
        <sz val="11"/>
        <color theme="1"/>
        <rFont val="Calibri"/>
        <family val="2"/>
        <scheme val="minor"/>
      </rPr>
      <t>ωφελει</t>
    </r>
    <r>
      <rPr>
        <sz val="11"/>
        <color theme="1"/>
        <rFont val="Calibri"/>
        <family val="2"/>
        <scheme val="minor"/>
      </rPr>
      <t xml:space="preserve"> ανθρωπον κερδησαι  τον κοσμον</t>
    </r>
  </si>
  <si>
    <r>
      <rPr>
        <b/>
        <sz val="11"/>
        <color theme="1"/>
        <rFont val="Calibri"/>
        <family val="2"/>
        <scheme val="minor"/>
      </rPr>
      <t>ωφελειται</t>
    </r>
    <r>
      <rPr>
        <sz val="11"/>
        <color theme="1"/>
        <rFont val="Calibri"/>
        <family val="2"/>
        <scheme val="minor"/>
      </rPr>
      <t xml:space="preserve"> ανθρωπος εαν κερδηση τον κοσμον</t>
    </r>
  </si>
  <si>
    <t>ωφελει ανθρωπον κερδησαι τον κοσμον</t>
  </si>
  <si>
    <r>
      <t xml:space="preserve">ωφελει </t>
    </r>
    <r>
      <rPr>
        <b/>
        <sz val="11"/>
        <color theme="1"/>
        <rFont val="Calibri"/>
        <family val="2"/>
        <scheme val="minor"/>
      </rPr>
      <t>ανθρωπον</t>
    </r>
    <r>
      <rPr>
        <sz val="11"/>
        <color theme="1"/>
        <rFont val="Calibri"/>
        <family val="2"/>
        <scheme val="minor"/>
      </rPr>
      <t xml:space="preserve"> κερδησαι τον κοσμον</t>
    </r>
  </si>
  <si>
    <r>
      <t xml:space="preserve">ωφελειται </t>
    </r>
    <r>
      <rPr>
        <b/>
        <sz val="11"/>
        <color theme="1"/>
        <rFont val="Calibri"/>
        <family val="2"/>
        <scheme val="minor"/>
      </rPr>
      <t>ανθρωπος</t>
    </r>
    <r>
      <rPr>
        <sz val="11"/>
        <color theme="1"/>
        <rFont val="Calibri"/>
        <family val="2"/>
        <scheme val="minor"/>
      </rPr>
      <t xml:space="preserve"> εαν κερδηση τον κοσμον</t>
    </r>
  </si>
  <si>
    <r>
      <t xml:space="preserve">ωφελειται ανθρωπος </t>
    </r>
    <r>
      <rPr>
        <b/>
        <sz val="11"/>
        <color theme="1"/>
        <rFont val="Calibri"/>
        <family val="2"/>
        <scheme val="minor"/>
      </rPr>
      <t>εαν</t>
    </r>
    <r>
      <rPr>
        <sz val="11"/>
        <color theme="1"/>
        <rFont val="Calibri"/>
        <family val="2"/>
        <scheme val="minor"/>
      </rPr>
      <t xml:space="preserve"> κερδηση τον κοσμον</t>
    </r>
  </si>
  <si>
    <r>
      <t xml:space="preserve">ωφελειται ανθρωπος εαν </t>
    </r>
    <r>
      <rPr>
        <b/>
        <sz val="11"/>
        <color theme="1"/>
        <rFont val="Calibri"/>
        <family val="2"/>
        <scheme val="minor"/>
      </rPr>
      <t>κερδηση</t>
    </r>
    <r>
      <rPr>
        <sz val="11"/>
        <color theme="1"/>
        <rFont val="Calibri"/>
        <family val="2"/>
        <scheme val="minor"/>
      </rPr>
      <t xml:space="preserve"> τον κοσμον</t>
    </r>
  </si>
  <si>
    <r>
      <t xml:space="preserve">ωφελει ανθρωπον </t>
    </r>
    <r>
      <rPr>
        <b/>
        <sz val="11"/>
        <color theme="1"/>
        <rFont val="Calibri"/>
        <family val="2"/>
        <scheme val="minor"/>
      </rPr>
      <t>κερδησαι</t>
    </r>
    <r>
      <rPr>
        <sz val="11"/>
        <color theme="1"/>
        <rFont val="Calibri"/>
        <family val="2"/>
        <scheme val="minor"/>
      </rPr>
      <t xml:space="preserve"> τον κοσμον</t>
    </r>
  </si>
  <si>
    <t>απολεσαι η ζημιωθηναι</t>
  </si>
  <si>
    <t>Bezae corrects απολεσαι -&gt; απολεση</t>
  </si>
  <si>
    <t>αν αιπεσχυνθη εμε</t>
  </si>
  <si>
    <t>αν επαισχυνθη με</t>
  </si>
  <si>
    <t>ιδου δυο ανδρες συνελαλουν</t>
  </si>
  <si>
    <t>ιδου ανδρες δυο συνελαλουν</t>
  </si>
  <si>
    <t xml:space="preserve">πληρουν εις ιερουσαλημ </t>
  </si>
  <si>
    <t xml:space="preserve">πληρουν εν ιερουσαλημ </t>
  </si>
  <si>
    <t>δοξαν αυτου και τους</t>
  </si>
  <si>
    <t>δοξαν του θεου και τους</t>
  </si>
  <si>
    <t>ποιησωμεν τρεις</t>
  </si>
  <si>
    <r>
      <rPr>
        <b/>
        <sz val="11"/>
        <color theme="1"/>
        <rFont val="Calibri"/>
        <family val="2"/>
        <scheme val="minor"/>
      </rPr>
      <t>ποιησω</t>
    </r>
    <r>
      <rPr>
        <sz val="11"/>
        <color theme="1"/>
        <rFont val="Calibri"/>
        <family val="2"/>
        <scheme val="minor"/>
      </rPr>
      <t xml:space="preserve"> ωδε τρεις</t>
    </r>
  </si>
  <si>
    <r>
      <rPr>
        <b/>
        <sz val="11"/>
        <color theme="1"/>
        <rFont val="Calibri"/>
        <family val="2"/>
        <scheme val="minor"/>
      </rPr>
      <t>ποιησωμεν</t>
    </r>
    <r>
      <rPr>
        <sz val="11"/>
        <color theme="1"/>
        <rFont val="Calibri"/>
        <family val="2"/>
        <scheme val="minor"/>
      </rPr>
      <t xml:space="preserve"> τρεις</t>
    </r>
  </si>
  <si>
    <r>
      <t xml:space="preserve">ποιησω </t>
    </r>
    <r>
      <rPr>
        <b/>
        <sz val="11"/>
        <color theme="1"/>
        <rFont val="Calibri"/>
        <family val="2"/>
        <scheme val="minor"/>
      </rPr>
      <t>ωδε</t>
    </r>
    <r>
      <rPr>
        <sz val="11"/>
        <color theme="1"/>
        <rFont val="Calibri"/>
        <family val="2"/>
        <scheme val="minor"/>
      </rPr>
      <t xml:space="preserve"> τρεις</t>
    </r>
  </si>
  <si>
    <r>
      <t xml:space="preserve">και </t>
    </r>
    <r>
      <rPr>
        <b/>
        <sz val="11"/>
        <color theme="1"/>
        <rFont val="Calibri"/>
        <family val="2"/>
        <scheme val="minor"/>
      </rPr>
      <t>μιαν μωυσει</t>
    </r>
    <r>
      <rPr>
        <sz val="11"/>
        <color theme="1"/>
        <rFont val="Calibri"/>
        <family val="2"/>
        <scheme val="minor"/>
      </rPr>
      <t xml:space="preserve"> και μιαν ηλεια</t>
    </r>
  </si>
  <si>
    <r>
      <t xml:space="preserve">και </t>
    </r>
    <r>
      <rPr>
        <b/>
        <sz val="11"/>
        <color theme="1"/>
        <rFont val="Calibri"/>
        <family val="2"/>
        <scheme val="minor"/>
      </rPr>
      <t>μωυσει μειαν</t>
    </r>
    <r>
      <rPr>
        <sz val="11"/>
        <color theme="1"/>
        <rFont val="Calibri"/>
        <family val="2"/>
        <scheme val="minor"/>
      </rPr>
      <t xml:space="preserve"> και μειαν ηλεια</t>
    </r>
  </si>
  <si>
    <r>
      <t xml:space="preserve">και </t>
    </r>
    <r>
      <rPr>
        <b/>
        <sz val="11"/>
        <color theme="1"/>
        <rFont val="Calibri"/>
        <family val="2"/>
        <scheme val="minor"/>
      </rPr>
      <t>μιαν</t>
    </r>
    <r>
      <rPr>
        <sz val="11"/>
        <color theme="1"/>
        <rFont val="Calibri"/>
        <family val="2"/>
        <scheme val="minor"/>
      </rPr>
      <t xml:space="preserve"> μωυσει και μιαν ηλεια</t>
    </r>
  </si>
  <si>
    <r>
      <t xml:space="preserve">και μωυσει </t>
    </r>
    <r>
      <rPr>
        <b/>
        <sz val="11"/>
        <color theme="1"/>
        <rFont val="Calibri"/>
        <family val="2"/>
        <scheme val="minor"/>
      </rPr>
      <t>μειαν</t>
    </r>
    <r>
      <rPr>
        <sz val="11"/>
        <color theme="1"/>
        <rFont val="Calibri"/>
        <family val="2"/>
        <scheme val="minor"/>
      </rPr>
      <t xml:space="preserve"> και μειαν ηλεια</t>
    </r>
  </si>
  <si>
    <r>
      <t xml:space="preserve">και μωυσει μειαν και </t>
    </r>
    <r>
      <rPr>
        <b/>
        <sz val="11"/>
        <color theme="1"/>
        <rFont val="Calibri"/>
        <family val="2"/>
        <scheme val="minor"/>
      </rPr>
      <t>μειαν</t>
    </r>
    <r>
      <rPr>
        <sz val="11"/>
        <color theme="1"/>
        <rFont val="Calibri"/>
        <family val="2"/>
        <scheme val="minor"/>
      </rPr>
      <t xml:space="preserve"> ηλεια</t>
    </r>
  </si>
  <si>
    <r>
      <t xml:space="preserve">και μιαν μωυσει και </t>
    </r>
    <r>
      <rPr>
        <b/>
        <sz val="11"/>
        <color theme="1"/>
        <rFont val="Calibri"/>
        <family val="2"/>
        <scheme val="minor"/>
      </rPr>
      <t>μιαν</t>
    </r>
    <r>
      <rPr>
        <sz val="11"/>
        <color theme="1"/>
        <rFont val="Calibri"/>
        <family val="2"/>
        <scheme val="minor"/>
      </rPr>
      <t xml:space="preserve"> ηλεια</t>
    </r>
  </si>
  <si>
    <t>αυτου λεγοντος εγενετο</t>
  </si>
  <si>
    <t>αυτου λαλουντος εγενετο</t>
  </si>
  <si>
    <t xml:space="preserve">εν ω ηυδοκησα </t>
  </si>
  <si>
    <t>εν ω ειυδοκησα</t>
  </si>
  <si>
    <t>εθεασαν (37) εγενετο</t>
  </si>
  <si>
    <t>εθεασαντο (37) εγενετο</t>
  </si>
  <si>
    <t>τον υιον μου</t>
  </si>
  <si>
    <t>τον υιον υιον μου</t>
  </si>
  <si>
    <t xml:space="preserve">σπαρασσει μετα αφρου </t>
  </si>
  <si>
    <t xml:space="preserve">σπαρασσει κατα αφρου </t>
  </si>
  <si>
    <t>και ουκ ηδυνηθησαν</t>
  </si>
  <si>
    <t>και ηδυνηθησαν</t>
  </si>
  <si>
    <t>αποκριθεις ιωαννης</t>
  </si>
  <si>
    <r>
      <t xml:space="preserve">αποκριθεις </t>
    </r>
    <r>
      <rPr>
        <b/>
        <sz val="11"/>
        <color theme="1"/>
        <rFont val="Calibri"/>
        <family val="2"/>
        <scheme val="minor"/>
      </rPr>
      <t>δε</t>
    </r>
    <r>
      <rPr>
        <sz val="11"/>
        <color theme="1"/>
        <rFont val="Calibri"/>
        <family val="2"/>
        <scheme val="minor"/>
      </rPr>
      <t xml:space="preserve"> ιωανης</t>
    </r>
  </si>
  <si>
    <r>
      <t xml:space="preserve">αποκριθεις δε </t>
    </r>
    <r>
      <rPr>
        <b/>
        <sz val="11"/>
        <color theme="1"/>
        <rFont val="Calibri"/>
        <family val="2"/>
        <scheme val="minor"/>
      </rPr>
      <t>ιωανης</t>
    </r>
  </si>
  <si>
    <r>
      <t xml:space="preserve">αποκριθεις </t>
    </r>
    <r>
      <rPr>
        <b/>
        <sz val="11"/>
        <color theme="1"/>
        <rFont val="Calibri"/>
        <family val="2"/>
        <scheme val="minor"/>
      </rPr>
      <t>ιωαννης</t>
    </r>
  </si>
  <si>
    <t xml:space="preserve">εκβαλλοντα δαιμονια </t>
  </si>
  <si>
    <t xml:space="preserve">εκβαλλοντα τα δαιμονια </t>
  </si>
  <si>
    <t>ειπεν δε ο ιης</t>
  </si>
  <si>
    <t>ειπε δε ο ιησους</t>
  </si>
  <si>
    <t>προ προσωπου αυτου</t>
  </si>
  <si>
    <t>προ προσωπον αυτου</t>
  </si>
  <si>
    <t>αναλωσαι αυτους</t>
  </si>
  <si>
    <t>αναλωσαι αυταυτους</t>
  </si>
  <si>
    <t>εχουσιν και</t>
  </si>
  <si>
    <t>εχουσι και</t>
  </si>
  <si>
    <t>επιτρεψον δε πρωτον μοι αποταξασθαι</t>
  </si>
  <si>
    <t>επιτρεψον δε μοι πρωτον αποταξασθαι</t>
  </si>
  <si>
    <t>δεηθητε του θυ του θερισμου</t>
  </si>
  <si>
    <t>δεηθητε του κυριου του θερισμου</t>
  </si>
  <si>
    <r>
      <rPr>
        <b/>
        <sz val="11"/>
        <color theme="1"/>
        <rFont val="Calibri"/>
        <family val="2"/>
        <scheme val="minor"/>
      </rPr>
      <t>ην</t>
    </r>
    <r>
      <rPr>
        <sz val="11"/>
        <color theme="1"/>
        <rFont val="Calibri"/>
        <family val="2"/>
        <scheme val="minor"/>
      </rPr>
      <t xml:space="preserve"> </t>
    </r>
    <r>
      <rPr>
        <b/>
        <sz val="11"/>
        <color theme="1"/>
        <rFont val="Calibri"/>
        <family val="2"/>
        <scheme val="minor"/>
      </rPr>
      <t>αν δε</t>
    </r>
    <r>
      <rPr>
        <sz val="11"/>
        <color theme="1"/>
        <rFont val="Calibri"/>
        <family val="2"/>
        <scheme val="minor"/>
      </rPr>
      <t xml:space="preserve"> εισελθητε πρωτον οικιαν λεγετε</t>
    </r>
  </si>
  <si>
    <r>
      <rPr>
        <b/>
        <sz val="11"/>
        <color theme="1"/>
        <rFont val="Calibri"/>
        <family val="2"/>
        <scheme val="minor"/>
      </rPr>
      <t>ην</t>
    </r>
    <r>
      <rPr>
        <sz val="11"/>
        <color theme="1"/>
        <rFont val="Calibri"/>
        <family val="2"/>
        <scheme val="minor"/>
      </rPr>
      <t xml:space="preserve"> </t>
    </r>
    <r>
      <rPr>
        <b/>
        <sz val="11"/>
        <color theme="1"/>
        <rFont val="Calibri"/>
        <family val="2"/>
        <scheme val="minor"/>
      </rPr>
      <t>αν δ αν</t>
    </r>
    <r>
      <rPr>
        <sz val="11"/>
        <color theme="1"/>
        <rFont val="Calibri"/>
        <family val="2"/>
        <scheme val="minor"/>
      </rPr>
      <t xml:space="preserve"> εισερχησθε οικιαν πρωτον λεγετε</t>
    </r>
  </si>
  <si>
    <r>
      <t xml:space="preserve">ην αν δε </t>
    </r>
    <r>
      <rPr>
        <b/>
        <sz val="11"/>
        <color theme="1"/>
        <rFont val="Calibri"/>
        <family val="2"/>
        <scheme val="minor"/>
      </rPr>
      <t>εισελθητε</t>
    </r>
    <r>
      <rPr>
        <sz val="11"/>
        <color theme="1"/>
        <rFont val="Calibri"/>
        <family val="2"/>
        <scheme val="minor"/>
      </rPr>
      <t xml:space="preserve"> πρωτον οικιαν λεγετε</t>
    </r>
  </si>
  <si>
    <r>
      <t xml:space="preserve">ην αν δ αν </t>
    </r>
    <r>
      <rPr>
        <b/>
        <sz val="11"/>
        <color theme="1"/>
        <rFont val="Calibri"/>
        <family val="2"/>
        <scheme val="minor"/>
      </rPr>
      <t>εισερχησθε</t>
    </r>
    <r>
      <rPr>
        <sz val="11"/>
        <color theme="1"/>
        <rFont val="Calibri"/>
        <family val="2"/>
        <scheme val="minor"/>
      </rPr>
      <t xml:space="preserve"> οικιαν πρωτον λεγετε</t>
    </r>
  </si>
  <si>
    <r>
      <t xml:space="preserve">ην αν δε εισελθητε </t>
    </r>
    <r>
      <rPr>
        <b/>
        <sz val="11"/>
        <color theme="1"/>
        <rFont val="Calibri"/>
        <family val="2"/>
        <scheme val="minor"/>
      </rPr>
      <t>πρωτον οικιαν</t>
    </r>
    <r>
      <rPr>
        <sz val="11"/>
        <color theme="1"/>
        <rFont val="Calibri"/>
        <family val="2"/>
        <scheme val="minor"/>
      </rPr>
      <t xml:space="preserve"> λεγετε</t>
    </r>
  </si>
  <si>
    <r>
      <t xml:space="preserve">ην αν δ αν εισερχησθε </t>
    </r>
    <r>
      <rPr>
        <b/>
        <sz val="11"/>
        <color theme="1"/>
        <rFont val="Calibri"/>
        <family val="2"/>
        <scheme val="minor"/>
      </rPr>
      <t>οικιαν πρωτον</t>
    </r>
    <r>
      <rPr>
        <sz val="11"/>
        <color theme="1"/>
        <rFont val="Calibri"/>
        <family val="2"/>
        <scheme val="minor"/>
      </rPr>
      <t xml:space="preserve"> λεγετε</t>
    </r>
  </si>
  <si>
    <t>καν η εκει</t>
  </si>
  <si>
    <t>και αν η εκει</t>
  </si>
  <si>
    <t>θεραπευετε ους εν αυτη</t>
  </si>
  <si>
    <t>θεραπευετε τους εν αυτη</t>
  </si>
  <si>
    <t>κολληθεντα ημειν</t>
  </si>
  <si>
    <t>Bezae corrects ημειν -&gt; υμειν</t>
  </si>
  <si>
    <t>λεγω δε υμειν οτι</t>
  </si>
  <si>
    <t>λεγω δε υμειν υμειν οτι</t>
  </si>
  <si>
    <t>εσται ημειν (15) και συ</t>
  </si>
  <si>
    <t>εσται η υμειν (15) και συ</t>
  </si>
  <si>
    <t>Bezae corrects to εσται υμειν</t>
  </si>
  <si>
    <t>εως του ουρανου</t>
  </si>
  <si>
    <t>εως ουρανου</t>
  </si>
  <si>
    <t>αγιω ο ιησους και ειπεν</t>
  </si>
  <si>
    <t>αγιω και ειπεν</t>
  </si>
  <si>
    <t>εγενετο η ευδοκια</t>
  </si>
  <si>
    <t>εγενετο ευδοκια</t>
  </si>
  <si>
    <t>πατρος μου και</t>
  </si>
  <si>
    <t>πατρος και</t>
  </si>
  <si>
    <t>ηθελησαν ειδειν</t>
  </si>
  <si>
    <t>ηθελησαν ιδειν</t>
  </si>
  <si>
    <t>τω ονομα γεγραπται</t>
  </si>
  <si>
    <t>τω νομω γεγραπται</t>
  </si>
  <si>
    <t>αγαπησεις τον κυριον τον θεον</t>
  </si>
  <si>
    <t>αγαπησεις κν τον θν</t>
  </si>
  <si>
    <t>θελων δικαιωσαι εαυτον ειπεν</t>
  </si>
  <si>
    <t>θελων εαυτον δικαιωσαι ειπεν</t>
  </si>
  <si>
    <t>ιην και τις</t>
  </si>
  <si>
    <t>ιησουν και και τις</t>
  </si>
  <si>
    <t>περιεπεσεν</t>
  </si>
  <si>
    <t>καταβαινων εν τη</t>
  </si>
  <si>
    <t>καταβαινω εν τη</t>
  </si>
  <si>
    <t>πανδοχει</t>
  </si>
  <si>
    <r>
      <rPr>
        <b/>
        <sz val="11"/>
        <color theme="1"/>
        <rFont val="Calibri"/>
        <family val="2"/>
        <scheme val="minor"/>
      </rPr>
      <t>προσδαπανησεις</t>
    </r>
    <r>
      <rPr>
        <sz val="11"/>
        <color theme="1"/>
        <rFont val="Calibri"/>
        <family val="2"/>
        <scheme val="minor"/>
      </rPr>
      <t xml:space="preserve"> εν τω</t>
    </r>
  </si>
  <si>
    <t>προσδαπανησεις εν τω</t>
  </si>
  <si>
    <r>
      <rPr>
        <b/>
        <sz val="11"/>
        <color theme="1"/>
        <rFont val="Calibri"/>
        <family val="2"/>
        <scheme val="minor"/>
      </rPr>
      <t>προσδαπανησει</t>
    </r>
    <r>
      <rPr>
        <sz val="11"/>
        <color theme="1"/>
        <rFont val="Calibri"/>
        <family val="2"/>
        <scheme val="minor"/>
      </rPr>
      <t xml:space="preserve"> εγω εν τω</t>
    </r>
  </si>
  <si>
    <r>
      <t xml:space="preserve">προσδαπανησει </t>
    </r>
    <r>
      <rPr>
        <b/>
        <sz val="11"/>
        <color theme="1"/>
        <rFont val="Calibri"/>
        <family val="2"/>
        <scheme val="minor"/>
      </rPr>
      <t>εγω</t>
    </r>
    <r>
      <rPr>
        <sz val="11"/>
        <color theme="1"/>
        <rFont val="Calibri"/>
        <family val="2"/>
        <scheme val="minor"/>
      </rPr>
      <t xml:space="preserve"> εν τω</t>
    </r>
  </si>
  <si>
    <t>δοκεις πλησιον</t>
  </si>
  <si>
    <t>δοκει πλησιον</t>
  </si>
  <si>
    <t>ειπεν ο ιησους</t>
  </si>
  <si>
    <t>αδελφη μου με μονην κατελιπεν διακονειν</t>
  </si>
  <si>
    <t>αδελφη μου κατελιπεν με μονην διακονειν</t>
  </si>
  <si>
    <t>μαρθα θορυβαζη·</t>
  </si>
  <si>
    <t>μαρθα τυρβαζη</t>
  </si>
  <si>
    <t>αφαιρεθησεται αυτης</t>
  </si>
  <si>
    <r>
      <rPr>
        <b/>
        <sz val="11"/>
        <color theme="1"/>
        <rFont val="Calibri"/>
        <family val="2"/>
        <scheme val="minor"/>
      </rPr>
      <t>αφαιρεθησεται</t>
    </r>
    <r>
      <rPr>
        <sz val="11"/>
        <color theme="1"/>
        <rFont val="Calibri"/>
        <family val="2"/>
        <scheme val="minor"/>
      </rPr>
      <t xml:space="preserve"> αυτης</t>
    </r>
  </si>
  <si>
    <r>
      <rPr>
        <b/>
        <sz val="11"/>
        <color theme="1"/>
        <rFont val="Calibri"/>
        <family val="2"/>
        <scheme val="minor"/>
      </rPr>
      <t>αφαιρηθησεται</t>
    </r>
    <r>
      <rPr>
        <sz val="11"/>
        <color theme="1"/>
        <rFont val="Calibri"/>
        <family val="2"/>
        <scheme val="minor"/>
      </rPr>
      <t xml:space="preserve"> απ αυτης</t>
    </r>
  </si>
  <si>
    <r>
      <t xml:space="preserve">αφαιρηθησεται </t>
    </r>
    <r>
      <rPr>
        <b/>
        <sz val="11"/>
        <color theme="1"/>
        <rFont val="Calibri"/>
        <family val="2"/>
        <scheme val="minor"/>
      </rPr>
      <t>απ</t>
    </r>
    <r>
      <rPr>
        <sz val="11"/>
        <color theme="1"/>
        <rFont val="Calibri"/>
        <family val="2"/>
        <scheme val="minor"/>
      </rPr>
      <t xml:space="preserve"> αυτης</t>
    </r>
  </si>
  <si>
    <t>προσευχομενον ως</t>
  </si>
  <si>
    <t>προσευχομενον και ως</t>
  </si>
  <si>
    <t>αυτου (2) ο δε ειπεν</t>
  </si>
  <si>
    <t>αυτου (2) ειπεν δε οταν</t>
  </si>
  <si>
    <t xml:space="preserve">πολυλογεια αυτων εισακουσθησονται </t>
  </si>
  <si>
    <t xml:space="preserve">πολυλογεια αυτων ωδε εισακουσθησονται </t>
  </si>
  <si>
    <r>
      <rPr>
        <b/>
        <sz val="11"/>
        <color theme="1"/>
        <rFont val="Calibri"/>
        <family val="2"/>
        <scheme val="minor"/>
      </rPr>
      <t>αφειομεν</t>
    </r>
    <r>
      <rPr>
        <sz val="11"/>
        <color theme="1"/>
        <rFont val="Calibri"/>
        <family val="2"/>
        <scheme val="minor"/>
      </rPr>
      <t xml:space="preserve"> τοις οφειλεταις </t>
    </r>
  </si>
  <si>
    <r>
      <rPr>
        <b/>
        <sz val="11"/>
        <color theme="1"/>
        <rFont val="Calibri"/>
        <family val="2"/>
        <scheme val="minor"/>
      </rPr>
      <t>αφιεμεν</t>
    </r>
    <r>
      <rPr>
        <sz val="11"/>
        <color theme="1"/>
        <rFont val="Calibri"/>
        <family val="2"/>
        <scheme val="minor"/>
      </rPr>
      <t xml:space="preserve"> ταις οφειλεταις</t>
    </r>
  </si>
  <si>
    <r>
      <t xml:space="preserve">αφιεμεν </t>
    </r>
    <r>
      <rPr>
        <b/>
        <sz val="11"/>
        <color theme="1"/>
        <rFont val="Calibri"/>
        <family val="2"/>
        <scheme val="minor"/>
      </rPr>
      <t>ταις</t>
    </r>
    <r>
      <rPr>
        <sz val="11"/>
        <color theme="1"/>
        <rFont val="Calibri"/>
        <family val="2"/>
        <scheme val="minor"/>
      </rPr>
      <t xml:space="preserve"> οφειλεταις</t>
    </r>
  </si>
  <si>
    <r>
      <t xml:space="preserve">αφειομεν </t>
    </r>
    <r>
      <rPr>
        <b/>
        <sz val="11"/>
        <color theme="1"/>
        <rFont val="Calibri"/>
        <family val="2"/>
        <scheme val="minor"/>
      </rPr>
      <t>τοις</t>
    </r>
    <r>
      <rPr>
        <sz val="11"/>
        <color theme="1"/>
        <rFont val="Calibri"/>
        <family val="2"/>
        <scheme val="minor"/>
      </rPr>
      <t xml:space="preserve"> οφειλεταις </t>
    </r>
  </si>
  <si>
    <t>απο του πονηρου</t>
  </si>
  <si>
    <t>απο πονηρου</t>
  </si>
  <si>
    <t>μεσονυκτιου</t>
  </si>
  <si>
    <t xml:space="preserve">παρεστιν απ αγρου </t>
  </si>
  <si>
    <t xml:space="preserve">παρεστιν εξ αγρου </t>
  </si>
  <si>
    <t>ηδη δε η θυρα</t>
  </si>
  <si>
    <t>ηδη η θυρα</t>
  </si>
  <si>
    <t xml:space="preserve">κοιτη εστιν ου δυναμαι </t>
  </si>
  <si>
    <t xml:space="preserve">κοιτη εισιν ου δυναμαι </t>
  </si>
  <si>
    <t>επιδωσει ει και</t>
  </si>
  <si>
    <t>επιδωσει η και</t>
  </si>
  <si>
    <t>προσφερετε αυτω</t>
  </si>
  <si>
    <t>προσφερετο αυτω</t>
  </si>
  <si>
    <t>αρχοντι των δαιμονιων</t>
  </si>
  <si>
    <t>αρχοντι δαιμονιων</t>
  </si>
  <si>
    <r>
      <rPr>
        <b/>
        <sz val="11"/>
        <color theme="1"/>
        <rFont val="Calibri"/>
        <family val="2"/>
        <scheme val="minor"/>
      </rPr>
      <t>σαναν</t>
    </r>
    <r>
      <rPr>
        <sz val="11"/>
        <color theme="1"/>
        <rFont val="Calibri"/>
        <family val="2"/>
        <scheme val="minor"/>
      </rPr>
      <t xml:space="preserve"> εκβαλειν</t>
    </r>
  </si>
  <si>
    <r>
      <rPr>
        <b/>
        <sz val="11"/>
        <color theme="1"/>
        <rFont val="Calibri"/>
        <family val="2"/>
        <scheme val="minor"/>
      </rPr>
      <t>σαταναν</t>
    </r>
    <r>
      <rPr>
        <sz val="11"/>
        <color theme="1"/>
        <rFont val="Calibri"/>
        <family val="2"/>
        <scheme val="minor"/>
      </rPr>
      <t xml:space="preserve"> εκβαλλειν</t>
    </r>
  </si>
  <si>
    <r>
      <t xml:space="preserve">σαναν </t>
    </r>
    <r>
      <rPr>
        <b/>
        <sz val="11"/>
        <color theme="1"/>
        <rFont val="Calibri"/>
        <family val="2"/>
        <scheme val="minor"/>
      </rPr>
      <t>εκβαλειν</t>
    </r>
  </si>
  <si>
    <r>
      <t xml:space="preserve">σαταναν </t>
    </r>
    <r>
      <rPr>
        <b/>
        <sz val="11"/>
        <color theme="1"/>
        <rFont val="Calibri"/>
        <family val="2"/>
        <scheme val="minor"/>
      </rPr>
      <t>εκβαλλειν</t>
    </r>
  </si>
  <si>
    <t xml:space="preserve">επ οικον </t>
  </si>
  <si>
    <t>επι οικον</t>
  </si>
  <si>
    <t>εν τι εκβαλλουσιν</t>
  </si>
  <si>
    <t>εν τινι εκβαλλουσιν</t>
  </si>
  <si>
    <t>των πρωτων·</t>
  </si>
  <si>
    <t>των προτερων</t>
  </si>
  <si>
    <t>εκ του του οχλου</t>
  </si>
  <si>
    <t>εκ του οχλου</t>
  </si>
  <si>
    <t>επαθροιζομενων</t>
  </si>
  <si>
    <t>τρεις νυκτας</t>
  </si>
  <si>
    <t>σωμα σου εσται σκοτινον (35) ει ουν</t>
  </si>
  <si>
    <t>Bezae corrects by omitting the first εστιν; B.10.3 omits the second occurance and replaces the first with εσται</t>
  </si>
  <si>
    <t xml:space="preserve">ουχ ο ποιησας </t>
  </si>
  <si>
    <t>ουκ ο ποιησας</t>
  </si>
  <si>
    <t>τα ενοντα δοτε</t>
  </si>
  <si>
    <t>τα ενοπια δοτε</t>
  </si>
  <si>
    <t>δυσβακτατα και</t>
  </si>
  <si>
    <t>δυσβακτα και</t>
  </si>
  <si>
    <r>
      <t xml:space="preserve">μαρτυρειτε </t>
    </r>
    <r>
      <rPr>
        <b/>
        <sz val="11"/>
        <color theme="1"/>
        <rFont val="Calibri"/>
        <family val="2"/>
        <scheme val="minor"/>
      </rPr>
      <t>μη</t>
    </r>
    <r>
      <rPr>
        <sz val="11"/>
        <color theme="1"/>
        <rFont val="Calibri"/>
        <family val="2"/>
        <scheme val="minor"/>
      </rPr>
      <t xml:space="preserve"> συνευδοκειν τοις εργοις</t>
    </r>
  </si>
  <si>
    <r>
      <t xml:space="preserve">μαρτυρειτε </t>
    </r>
    <r>
      <rPr>
        <b/>
        <sz val="11"/>
        <color theme="1"/>
        <rFont val="Calibri"/>
        <family val="2"/>
        <scheme val="minor"/>
      </rPr>
      <t>και</t>
    </r>
    <r>
      <rPr>
        <sz val="11"/>
        <color theme="1"/>
        <rFont val="Calibri"/>
        <family val="2"/>
        <scheme val="minor"/>
      </rPr>
      <t xml:space="preserve"> συνευδοκειτε τοις εργοις</t>
    </r>
  </si>
  <si>
    <r>
      <t xml:space="preserve">μαρτυρειτε μη </t>
    </r>
    <r>
      <rPr>
        <b/>
        <sz val="11"/>
        <color theme="1"/>
        <rFont val="Calibri"/>
        <family val="2"/>
        <scheme val="minor"/>
      </rPr>
      <t>συνευδοκειν</t>
    </r>
    <r>
      <rPr>
        <sz val="11"/>
        <color theme="1"/>
        <rFont val="Calibri"/>
        <family val="2"/>
        <scheme val="minor"/>
      </rPr>
      <t xml:space="preserve"> τοις εργοις</t>
    </r>
  </si>
  <si>
    <r>
      <t xml:space="preserve">μαρτυρειτε και </t>
    </r>
    <r>
      <rPr>
        <b/>
        <sz val="11"/>
        <color theme="1"/>
        <rFont val="Calibri"/>
        <family val="2"/>
        <scheme val="minor"/>
      </rPr>
      <t>συνευδοκειτε</t>
    </r>
    <r>
      <rPr>
        <sz val="11"/>
        <color theme="1"/>
        <rFont val="Calibri"/>
        <family val="2"/>
        <scheme val="minor"/>
      </rPr>
      <t xml:space="preserve"> τοις εργοις</t>
    </r>
  </si>
  <si>
    <t xml:space="preserve">μεσον του θυσιαστηριου </t>
  </si>
  <si>
    <t xml:space="preserve">μεσον θυσιαστηριου </t>
  </si>
  <si>
    <t>υμειν εζητησεται</t>
  </si>
  <si>
    <t>υμειν εκζητηθησεται</t>
  </si>
  <si>
    <t>There is a correction here in Bezae, but I'm not sure it's as extensive as reported (the added κ is clear, but not the θη)</t>
  </si>
  <si>
    <t>γνωσεως αυτοι</t>
  </si>
  <si>
    <t>γνωσεως και αυτοι</t>
  </si>
  <si>
    <t>ουκ ισηλθατε</t>
  </si>
  <si>
    <t>ουκ εισηλθετε</t>
  </si>
  <si>
    <r>
      <t xml:space="preserve">ζητουντες αφορμην τινα λαβειν αυτου ινα ευρωσιν </t>
    </r>
    <r>
      <rPr>
        <b/>
        <sz val="11"/>
        <color theme="1"/>
        <rFont val="Calibri"/>
        <family val="2"/>
        <scheme val="minor"/>
      </rPr>
      <t>κατηγορησαι</t>
    </r>
    <r>
      <rPr>
        <sz val="11"/>
        <color theme="1"/>
        <rFont val="Calibri"/>
        <family val="2"/>
        <scheme val="minor"/>
      </rPr>
      <t xml:space="preserve"> αυτου</t>
    </r>
  </si>
  <si>
    <r>
      <t xml:space="preserve">ζητουντες θερευσαι τι εκ του στοματος αυτου ινα </t>
    </r>
    <r>
      <rPr>
        <b/>
        <sz val="11"/>
        <color theme="1"/>
        <rFont val="Calibri"/>
        <family val="2"/>
        <scheme val="minor"/>
      </rPr>
      <t>κατηγορηωσιν</t>
    </r>
    <r>
      <rPr>
        <sz val="11"/>
        <color theme="1"/>
        <rFont val="Calibri"/>
        <family val="2"/>
        <scheme val="minor"/>
      </rPr>
      <t xml:space="preserve"> αυτον</t>
    </r>
  </si>
  <si>
    <r>
      <t xml:space="preserve">ζητουντες αφορμην τινα λαβειν αυτου ινα ευρωσιν κατηγορησαι </t>
    </r>
    <r>
      <rPr>
        <b/>
        <sz val="11"/>
        <color theme="1"/>
        <rFont val="Calibri"/>
        <family val="2"/>
        <scheme val="minor"/>
      </rPr>
      <t>αυτου</t>
    </r>
  </si>
  <si>
    <r>
      <t xml:space="preserve">ζητουντες θερευσαι τι εκ του στοματος αυτου ινα κατηγορηωσιν </t>
    </r>
    <r>
      <rPr>
        <b/>
        <sz val="11"/>
        <color theme="1"/>
        <rFont val="Calibri"/>
        <family val="2"/>
        <scheme val="minor"/>
      </rPr>
      <t>αυτον</t>
    </r>
  </si>
  <si>
    <t>φοβηθηται απο των</t>
  </si>
  <si>
    <t>φοβηθητε απο των</t>
  </si>
  <si>
    <t>μηδε εχοντων</t>
  </si>
  <si>
    <t>μη εχοντων</t>
  </si>
  <si>
    <t xml:space="preserve">τινα φοβηθητε τον μετα </t>
  </si>
  <si>
    <r>
      <t xml:space="preserve">τινα φοβηθητε φοβηθητε </t>
    </r>
    <r>
      <rPr>
        <b/>
        <sz val="11"/>
        <color theme="1"/>
        <rFont val="Calibri"/>
        <family val="2"/>
        <scheme val="minor"/>
      </rPr>
      <t>φοβηθητε</t>
    </r>
    <r>
      <rPr>
        <sz val="11"/>
        <color theme="1"/>
        <rFont val="Calibri"/>
        <family val="2"/>
        <scheme val="minor"/>
      </rPr>
      <t xml:space="preserve"> τον μετα </t>
    </r>
  </si>
  <si>
    <r>
      <t xml:space="preserve">τινα φοβηθητε </t>
    </r>
    <r>
      <rPr>
        <b/>
        <sz val="11"/>
        <color theme="1"/>
        <rFont val="Calibri"/>
        <family val="2"/>
        <scheme val="minor"/>
      </rPr>
      <t>φοβηθητε</t>
    </r>
    <r>
      <rPr>
        <sz val="11"/>
        <color theme="1"/>
        <rFont val="Calibri"/>
        <family val="2"/>
        <scheme val="minor"/>
      </rPr>
      <t xml:space="preserve"> φοβηθητε τον μετα </t>
    </r>
  </si>
  <si>
    <t>διαφερετε υμεις (8) λεγω</t>
  </si>
  <si>
    <t>διαφερετε (8) λεγω</t>
  </si>
  <si>
    <t xml:space="preserve">υμειν οτι πας </t>
  </si>
  <si>
    <t xml:space="preserve">υμειν πας </t>
  </si>
  <si>
    <t>εις δε πνευμα</t>
  </si>
  <si>
    <t>εις δε το πνα</t>
  </si>
  <si>
    <t>αδελφω μου μερισασθαι</t>
  </si>
  <si>
    <t>αδελφω εμου μερισασθαι</t>
  </si>
  <si>
    <t>απαιτουσιν απο σου την ψυχην σου α ουν</t>
  </si>
  <si>
    <t xml:space="preserve">απαιτουσιν την ψυχην σου απο σου α ουν </t>
  </si>
  <si>
    <t>δια τουτο υμειν</t>
  </si>
  <si>
    <t xml:space="preserve">δια τουτο λεγω υμειν </t>
  </si>
  <si>
    <t>πετεινα ουρανου</t>
  </si>
  <si>
    <t>πετεινα του ουρανου</t>
  </si>
  <si>
    <t>ουκ εστιν ουτε ταμειον</t>
  </si>
  <si>
    <t>ουκ εστιν ταμειον</t>
  </si>
  <si>
    <t xml:space="preserve">λοιπων τι μεριμνατε </t>
  </si>
  <si>
    <t xml:space="preserve">λοιπων μεριμνατε </t>
  </si>
  <si>
    <t>βασιλειαν του θεου και ταυτα</t>
  </si>
  <si>
    <t>βασιλειαν αυτου και ταυτα</t>
  </si>
  <si>
    <t>Bezae corrects to ανεκλιπτον</t>
  </si>
  <si>
    <t>εκει εσται και</t>
  </si>
  <si>
    <t>εκει εται και</t>
  </si>
  <si>
    <t>καρδια υμων</t>
  </si>
  <si>
    <t>καρδια ημων</t>
  </si>
  <si>
    <t>αυτων τοτε αναλυση</t>
  </si>
  <si>
    <t>αυτων ποτε αναλυση</t>
  </si>
  <si>
    <t>και τριτη</t>
  </si>
  <si>
    <t>και τη τριτη</t>
  </si>
  <si>
    <t>ουκ αν αφηκεν διορυζηναι τον οικον αυτου (40) και υμεις</t>
  </si>
  <si>
    <t>ουκ αν (40) και υμεις</t>
  </si>
  <si>
    <r>
      <t xml:space="preserve">οτι </t>
    </r>
    <r>
      <rPr>
        <b/>
        <sz val="11"/>
        <color theme="1"/>
        <rFont val="Calibri"/>
        <family val="2"/>
        <scheme val="minor"/>
      </rPr>
      <t>τη</t>
    </r>
    <r>
      <rPr>
        <sz val="11"/>
        <color theme="1"/>
        <rFont val="Calibri"/>
        <family val="2"/>
        <scheme val="minor"/>
      </rPr>
      <t xml:space="preserve"> ωρα η ου δοκειτε </t>
    </r>
  </si>
  <si>
    <r>
      <t xml:space="preserve">οτι </t>
    </r>
    <r>
      <rPr>
        <b/>
        <sz val="11"/>
        <color theme="1"/>
        <rFont val="Calibri"/>
        <family val="2"/>
        <scheme val="minor"/>
      </rPr>
      <t>η</t>
    </r>
    <r>
      <rPr>
        <sz val="11"/>
        <color theme="1"/>
        <rFont val="Calibri"/>
        <family val="2"/>
        <scheme val="minor"/>
      </rPr>
      <t xml:space="preserve"> ωρα η ου δοκειτε </t>
    </r>
  </si>
  <si>
    <t>επι την θεραπειαν αυτου</t>
  </si>
  <si>
    <t>επι της θεραπειας αυτου</t>
  </si>
  <si>
    <t xml:space="preserve">υμειν οτι επι </t>
  </si>
  <si>
    <t xml:space="preserve">υμειν οτι οτι επι </t>
  </si>
  <si>
    <t>πεινων μεθυσκομενος</t>
  </si>
  <si>
    <t>κυριος εν ημερα</t>
  </si>
  <si>
    <t>παντι δε εδωκαν</t>
  </si>
  <si>
    <t>παντι δε ω εδωκαν</t>
  </si>
  <si>
    <t>B.10.3 = παντι δε ο εδωκαν</t>
  </si>
  <si>
    <t xml:space="preserve">ζητησουσιν απ αυτου </t>
  </si>
  <si>
    <t xml:space="preserve">ζητησουσιν παρ αυτου </t>
  </si>
  <si>
    <t xml:space="preserve">επι την μητερα </t>
  </si>
  <si>
    <t xml:space="preserve">επι μητερα </t>
  </si>
  <si>
    <t>δοκειμαζειν τον καιρον</t>
  </si>
  <si>
    <t>δοκειμαζειν πλην τον καιρον</t>
  </si>
  <si>
    <t>εν τη οδω</t>
  </si>
  <si>
    <t>εν τω οδω</t>
  </si>
  <si>
    <t>οτι ουτοι οι γαλιλαιοι παρα παντας τους γαλιλαιους εγενοντο αμαρτωλοι</t>
  </si>
  <si>
    <t>οτι παρα παντας τους γαλιλαιους εγενοντο ουτοι οι γαλιλαιοι αμαρτωλοι</t>
  </si>
  <si>
    <t>3.0.5 transposition</t>
  </si>
  <si>
    <t>οτι ουτοις οφειλεται</t>
  </si>
  <si>
    <t>οτι οφειλεται</t>
  </si>
  <si>
    <t>ενοικουντας ιερουσαλημ</t>
  </si>
  <si>
    <t>ενοικουνταο ιερουσαλημ</t>
  </si>
  <si>
    <t xml:space="preserve">υμειν οτι εαν μη </t>
  </si>
  <si>
    <t>υμειν αλλα εαν μη</t>
  </si>
  <si>
    <t>και μη ευρων</t>
  </si>
  <si>
    <t>και ουχ ευρων</t>
  </si>
  <si>
    <r>
      <t xml:space="preserve">ιδου </t>
    </r>
    <r>
      <rPr>
        <b/>
        <sz val="11"/>
        <color theme="1"/>
        <rFont val="Calibri"/>
        <family val="2"/>
        <scheme val="minor"/>
      </rPr>
      <t>ετη τρια</t>
    </r>
    <r>
      <rPr>
        <sz val="11"/>
        <color theme="1"/>
        <rFont val="Calibri"/>
        <family val="2"/>
        <scheme val="minor"/>
      </rPr>
      <t xml:space="preserve"> αφ ου ερχομαι</t>
    </r>
  </si>
  <si>
    <r>
      <t xml:space="preserve">ιδου </t>
    </r>
    <r>
      <rPr>
        <b/>
        <sz val="11"/>
        <color theme="1"/>
        <rFont val="Calibri"/>
        <family val="2"/>
        <scheme val="minor"/>
      </rPr>
      <t>τρια ετη</t>
    </r>
    <r>
      <rPr>
        <sz val="11"/>
        <color theme="1"/>
        <rFont val="Calibri"/>
        <family val="2"/>
        <scheme val="minor"/>
      </rPr>
      <t xml:space="preserve"> εφ ου ερχομαι</t>
    </r>
  </si>
  <si>
    <r>
      <t xml:space="preserve">ιδου τρια ετη </t>
    </r>
    <r>
      <rPr>
        <b/>
        <sz val="11"/>
        <color theme="1"/>
        <rFont val="Calibri"/>
        <family val="2"/>
        <scheme val="minor"/>
      </rPr>
      <t>εφ</t>
    </r>
    <r>
      <rPr>
        <sz val="11"/>
        <color theme="1"/>
        <rFont val="Calibri"/>
        <family val="2"/>
        <scheme val="minor"/>
      </rPr>
      <t xml:space="preserve"> ου ερχομαι</t>
    </r>
  </si>
  <si>
    <r>
      <t xml:space="preserve">ιδου ετη τρια </t>
    </r>
    <r>
      <rPr>
        <b/>
        <sz val="11"/>
        <color theme="1"/>
        <rFont val="Calibri"/>
        <family val="2"/>
        <scheme val="minor"/>
      </rPr>
      <t>αφ</t>
    </r>
    <r>
      <rPr>
        <sz val="11"/>
        <color theme="1"/>
        <rFont val="Calibri"/>
        <family val="2"/>
        <scheme val="minor"/>
      </rPr>
      <t xml:space="preserve"> ου ερχομαι</t>
    </r>
  </si>
  <si>
    <t>ουχ ευρισκω</t>
  </si>
  <si>
    <t>ουκ ευρισκω</t>
  </si>
  <si>
    <t>εκκοψον ινα τι</t>
  </si>
  <si>
    <t>εκκοψον αυτην ινα τι</t>
  </si>
  <si>
    <t>κοφινον (9) και εαν</t>
  </si>
  <si>
    <t>κοφινον κοπριων (9) και εαν</t>
  </si>
  <si>
    <t>συναγωγων τω σαββατω</t>
  </si>
  <si>
    <t>συναγωγων σαββατω</t>
  </si>
  <si>
    <t>συνκαμπτουσα</t>
  </si>
  <si>
    <t>αγανακτων οτι τω σαββατω εθεραπευσεν ιησους ελεγεν τω οχλω εξ ημεραι</t>
  </si>
  <si>
    <t>αγανακτων ελεγεν τω οχλω οτι τω σαββατω εθεραπευσεν ιης εξ ημεραι</t>
  </si>
  <si>
    <t>απο των δεσμου</t>
  </si>
  <si>
    <t>απο του δεσμου</t>
  </si>
  <si>
    <t>και οι αντικειμενοι αυτω κατησχυνθησαν και πας</t>
  </si>
  <si>
    <t>και κατησχυνθησαν οι αντικειμενοι αυτω και πας</t>
  </si>
  <si>
    <t xml:space="preserve">αυτου και ηυξησεν </t>
  </si>
  <si>
    <t xml:space="preserve">αυτου και και ηυξησεν </t>
  </si>
  <si>
    <t>δενδρον μεγα και τα πετεινα</t>
  </si>
  <si>
    <t>δενδρον και τα πετεινα</t>
  </si>
  <si>
    <t>θεου η τινι</t>
  </si>
  <si>
    <t>θυ και τινι</t>
  </si>
  <si>
    <t>ομοιωσω (21) ομοια</t>
  </si>
  <si>
    <t>ομοιωσω αυτην (21) ομοια</t>
  </si>
  <si>
    <t>στενης πυλης οτι πολλοι</t>
  </si>
  <si>
    <t>στενης θυρας οτι πολλοι</t>
  </si>
  <si>
    <t>αφ οτου ουν ο οικοδεσποτης</t>
  </si>
  <si>
    <t>αφ οτου αν ο οικοδεσποτης</t>
  </si>
  <si>
    <t>λεγειν εφαγομεν</t>
  </si>
  <si>
    <t>λεγειν κε εφαγομεν</t>
  </si>
  <si>
    <t>εν τη βασιλεια</t>
  </si>
  <si>
    <t>εν βασιλεια</t>
  </si>
  <si>
    <t>και ηξουσιν</t>
  </si>
  <si>
    <t>και εξουσιν</t>
  </si>
  <si>
    <t>βασιλεια του θεου (30) (31) εν ταυτη</t>
  </si>
  <si>
    <t>βασιλεια του θυ (30) και ειδου εισιν εσχατοι οι εσονται πρωτοι και εισιν πρωτοι οι εσονται εσχατοι (31) εν ταυτη</t>
  </si>
  <si>
    <t>και αυριον και τριτη τη ημερα και τη τριτη τελειουμαι</t>
  </si>
  <si>
    <t>και αυριον και τη τριτη τελειουμαι</t>
  </si>
  <si>
    <t>απολεσθαι προφητην εξω</t>
  </si>
  <si>
    <t>απολεσθαι προτην εξω</t>
  </si>
  <si>
    <t>Bezae corrects προτην -&gt; προστην</t>
  </si>
  <si>
    <t xml:space="preserve">ορνιξ τα νοσσια </t>
  </si>
  <si>
    <t xml:space="preserve">ορνι τα νοσσια </t>
  </si>
  <si>
    <t xml:space="preserve">ουκ ηθελησατε </t>
  </si>
  <si>
    <t xml:space="preserve">ουκ εθελησατε </t>
  </si>
  <si>
    <t>μη με ιδητε</t>
  </si>
  <si>
    <t>μη με ειδητε</t>
  </si>
  <si>
    <t>φαρφαρισαιων</t>
  </si>
  <si>
    <t xml:space="preserve">ενπεσειται και τη ημερα του σαββατου ουκ ευθεως </t>
  </si>
  <si>
    <t xml:space="preserve">ενπεσειται τη ημερα του σαββατου και ουκ ευθεως </t>
  </si>
  <si>
    <t>αισχυνης τον εσχατον</t>
  </si>
  <si>
    <t>αισχυνης εσχατον</t>
  </si>
  <si>
    <t>αλλα οταν</t>
  </si>
  <si>
    <t>αλλ οταν</t>
  </si>
  <si>
    <t>(15) θυ (16) ου δε ειπεν</t>
  </si>
  <si>
    <t>(15) θεου (16) ο δε ειπεν</t>
  </si>
  <si>
    <t xml:space="preserve">δειπνον </t>
  </si>
  <si>
    <t xml:space="preserve">ειπεν αυτω αγρον </t>
  </si>
  <si>
    <t xml:space="preserve">ειπεν αγρον </t>
  </si>
  <si>
    <t xml:space="preserve">ελαβον και διο </t>
  </si>
  <si>
    <t xml:space="preserve">ελαβον διο </t>
  </si>
  <si>
    <t>ταυτα και οργεις ο οικοδεσποτης</t>
  </si>
  <si>
    <r>
      <t xml:space="preserve">ταυτα και </t>
    </r>
    <r>
      <rPr>
        <b/>
        <sz val="11"/>
        <color theme="1"/>
        <rFont val="Calibri"/>
        <family val="2"/>
        <scheme val="minor"/>
      </rPr>
      <t>και</t>
    </r>
    <r>
      <rPr>
        <sz val="11"/>
        <color theme="1"/>
        <rFont val="Calibri"/>
        <family val="2"/>
        <scheme val="minor"/>
      </rPr>
      <t xml:space="preserve"> οργεισθεις ο οικοδεσποτης</t>
    </r>
  </si>
  <si>
    <r>
      <t xml:space="preserve">ταυτα και </t>
    </r>
    <r>
      <rPr>
        <b/>
        <sz val="11"/>
        <color theme="1"/>
        <rFont val="Calibri"/>
        <family val="2"/>
        <scheme val="minor"/>
      </rPr>
      <t>οργεις</t>
    </r>
    <r>
      <rPr>
        <sz val="11"/>
        <color theme="1"/>
        <rFont val="Calibri"/>
        <family val="2"/>
        <scheme val="minor"/>
      </rPr>
      <t xml:space="preserve"> ο οικοδεσποτης</t>
    </r>
  </si>
  <si>
    <r>
      <t xml:space="preserve">ταυτα και και </t>
    </r>
    <r>
      <rPr>
        <b/>
        <sz val="11"/>
        <color theme="1"/>
        <rFont val="Calibri"/>
        <family val="2"/>
        <scheme val="minor"/>
      </rPr>
      <t>οργεισθεις</t>
    </r>
    <r>
      <rPr>
        <sz val="11"/>
        <color theme="1"/>
        <rFont val="Calibri"/>
        <family val="2"/>
        <scheme val="minor"/>
      </rPr>
      <t xml:space="preserve"> ο οικοδεσποτης</t>
    </r>
  </si>
  <si>
    <r>
      <t xml:space="preserve">ειπεν </t>
    </r>
    <r>
      <rPr>
        <b/>
        <sz val="11"/>
        <color theme="1"/>
        <rFont val="Calibri"/>
        <family val="2"/>
        <scheme val="minor"/>
      </rPr>
      <t>γεγον</t>
    </r>
    <r>
      <rPr>
        <sz val="11"/>
        <color theme="1"/>
        <rFont val="Calibri"/>
        <family val="2"/>
        <scheme val="minor"/>
      </rPr>
      <t xml:space="preserve"> o επεταξας </t>
    </r>
  </si>
  <si>
    <r>
      <t xml:space="preserve">ειπεν </t>
    </r>
    <r>
      <rPr>
        <b/>
        <sz val="11"/>
        <color theme="1"/>
        <rFont val="Calibri"/>
        <family val="2"/>
        <scheme val="minor"/>
      </rPr>
      <t>γεγονεν</t>
    </r>
    <r>
      <rPr>
        <sz val="11"/>
        <color theme="1"/>
        <rFont val="Calibri"/>
        <family val="2"/>
        <scheme val="minor"/>
      </rPr>
      <t xml:space="preserve"> α επεταξας </t>
    </r>
  </si>
  <si>
    <r>
      <t xml:space="preserve">ειπεν γεγον </t>
    </r>
    <r>
      <rPr>
        <b/>
        <sz val="11"/>
        <color theme="1"/>
        <rFont val="Calibri"/>
        <family val="2"/>
        <scheme val="minor"/>
      </rPr>
      <t>o</t>
    </r>
    <r>
      <rPr>
        <sz val="11"/>
        <color theme="1"/>
        <rFont val="Calibri"/>
        <family val="2"/>
        <scheme val="minor"/>
      </rPr>
      <t xml:space="preserve"> επεταξας </t>
    </r>
  </si>
  <si>
    <r>
      <t xml:space="preserve">ειπεν γεγονεν </t>
    </r>
    <r>
      <rPr>
        <b/>
        <sz val="11"/>
        <color theme="1"/>
        <rFont val="Calibri"/>
        <family val="2"/>
        <scheme val="minor"/>
      </rPr>
      <t>α</t>
    </r>
    <r>
      <rPr>
        <sz val="11"/>
        <color theme="1"/>
        <rFont val="Calibri"/>
        <family val="2"/>
        <scheme val="minor"/>
      </rPr>
      <t xml:space="preserve"> επεταξας </t>
    </r>
  </si>
  <si>
    <t xml:space="preserve">δουλον εξελθε </t>
  </si>
  <si>
    <t xml:space="preserve">δουλον αυτου εξελθε </t>
  </si>
  <si>
    <t xml:space="preserve">γεμισθη ο μου οικος </t>
  </si>
  <si>
    <t xml:space="preserve">γεμισθη μου o οικος </t>
  </si>
  <si>
    <t xml:space="preserve">ου μεισει </t>
  </si>
  <si>
    <t xml:space="preserve">ου πεισει </t>
  </si>
  <si>
    <t>λεγειν οτι ουτος</t>
  </si>
  <si>
    <t>λεγειν ουτος</t>
  </si>
  <si>
    <t xml:space="preserve">ουκ ευθεως </t>
  </si>
  <si>
    <t xml:space="preserve">ουχι ευθεως </t>
  </si>
  <si>
    <t xml:space="preserve">πορρω ουτος </t>
  </si>
  <si>
    <t xml:space="preserve">πορρω οντος </t>
  </si>
  <si>
    <t>βαλλουσιν αυτο ο εχων</t>
  </si>
  <si>
    <t>βαλλουσιν αυτον ο εχων</t>
  </si>
  <si>
    <t>οι τε φαρισαιοι</t>
  </si>
  <si>
    <t>οι φαρισαιοι</t>
  </si>
  <si>
    <r>
      <t xml:space="preserve">ουτος αμαρτωλους </t>
    </r>
    <r>
      <rPr>
        <b/>
        <sz val="11"/>
        <color theme="1"/>
        <rFont val="Calibri"/>
        <family val="2"/>
        <scheme val="minor"/>
      </rPr>
      <t>προσδεται</t>
    </r>
  </si>
  <si>
    <r>
      <t xml:space="preserve">ουτος αμαρτωλος </t>
    </r>
    <r>
      <rPr>
        <b/>
        <sz val="11"/>
        <color theme="1"/>
        <rFont val="Calibri"/>
        <family val="2"/>
        <scheme val="minor"/>
      </rPr>
      <t>προσδεχεται</t>
    </r>
  </si>
  <si>
    <r>
      <t xml:space="preserve">ουτος </t>
    </r>
    <r>
      <rPr>
        <b/>
        <sz val="11"/>
        <color theme="1"/>
        <rFont val="Calibri"/>
        <family val="2"/>
        <scheme val="minor"/>
      </rPr>
      <t>αμαρτωλους</t>
    </r>
    <r>
      <rPr>
        <sz val="11"/>
        <color theme="1"/>
        <rFont val="Calibri"/>
        <family val="2"/>
        <scheme val="minor"/>
      </rPr>
      <t xml:space="preserve"> προσδεται</t>
    </r>
  </si>
  <si>
    <r>
      <t xml:space="preserve">ουτος </t>
    </r>
    <r>
      <rPr>
        <b/>
        <sz val="11"/>
        <color theme="1"/>
        <rFont val="Calibri"/>
        <family val="2"/>
        <scheme val="minor"/>
      </rPr>
      <t>αμαρτωλος</t>
    </r>
    <r>
      <rPr>
        <sz val="11"/>
        <color theme="1"/>
        <rFont val="Calibri"/>
        <family val="2"/>
        <scheme val="minor"/>
      </rPr>
      <t xml:space="preserve"> προσδεχεται</t>
    </r>
  </si>
  <si>
    <t>αφιησιν τα ενενηκοντα</t>
  </si>
  <si>
    <t>αφιησι τα ενενηκοντα</t>
  </si>
  <si>
    <t>ελθω δε εις οικον</t>
  </si>
  <si>
    <r>
      <rPr>
        <b/>
        <sz val="11"/>
        <color theme="1"/>
        <rFont val="Calibri"/>
        <family val="2"/>
        <scheme val="minor"/>
      </rPr>
      <t>ελθω</t>
    </r>
    <r>
      <rPr>
        <sz val="11"/>
        <color theme="1"/>
        <rFont val="Calibri"/>
        <family val="2"/>
        <scheme val="minor"/>
      </rPr>
      <t xml:space="preserve"> δε εις οικον</t>
    </r>
  </si>
  <si>
    <r>
      <rPr>
        <b/>
        <sz val="11"/>
        <color theme="1"/>
        <rFont val="Calibri"/>
        <family val="2"/>
        <scheme val="minor"/>
      </rPr>
      <t>ελθων</t>
    </r>
    <r>
      <rPr>
        <sz val="11"/>
        <color theme="1"/>
        <rFont val="Calibri"/>
        <family val="2"/>
        <scheme val="minor"/>
      </rPr>
      <t xml:space="preserve"> δε εις τον οικον</t>
    </r>
  </si>
  <si>
    <r>
      <t xml:space="preserve">ελθων δε εις </t>
    </r>
    <r>
      <rPr>
        <b/>
        <sz val="11"/>
        <color theme="1"/>
        <rFont val="Calibri"/>
        <family val="2"/>
        <scheme val="minor"/>
      </rPr>
      <t>τον</t>
    </r>
    <r>
      <rPr>
        <sz val="11"/>
        <color theme="1"/>
        <rFont val="Calibri"/>
        <family val="2"/>
        <scheme val="minor"/>
      </rPr>
      <t xml:space="preserve"> οικον</t>
    </r>
  </si>
  <si>
    <t>και τους γειτονας</t>
  </si>
  <si>
    <t>και του γειτονας</t>
  </si>
  <si>
    <t>εχουσι χρειαν</t>
  </si>
  <si>
    <t>εχουσιν χρειαν</t>
  </si>
  <si>
    <t xml:space="preserve">γυνη δραχμας εχουσα δεκα </t>
  </si>
  <si>
    <t xml:space="preserve">γυνη εχουσα δραχμας δεκα </t>
  </si>
  <si>
    <t xml:space="preserve">και τας φιλας </t>
  </si>
  <si>
    <t xml:space="preserve">και φιλας </t>
  </si>
  <si>
    <t>εαυτου τον βιον ζων ασωτως</t>
  </si>
  <si>
    <t>εαυτου την ουσιαν των ασωτως</t>
  </si>
  <si>
    <t>εγενετο λειμος</t>
  </si>
  <si>
    <t>εγενετο δειμος</t>
  </si>
  <si>
    <r>
      <t xml:space="preserve">χοιρους (16) </t>
    </r>
    <r>
      <rPr>
        <b/>
        <sz val="11"/>
        <color theme="1"/>
        <rFont val="Calibri"/>
        <family val="2"/>
        <scheme val="minor"/>
      </rPr>
      <t>και επεθυμει</t>
    </r>
    <r>
      <rPr>
        <sz val="11"/>
        <color theme="1"/>
        <rFont val="Calibri"/>
        <family val="2"/>
        <scheme val="minor"/>
      </rPr>
      <t xml:space="preserve"> κορτασθηναι εκ των</t>
    </r>
  </si>
  <si>
    <r>
      <t xml:space="preserve">χοιρους (16) και επεθυμει </t>
    </r>
    <r>
      <rPr>
        <b/>
        <sz val="11"/>
        <color theme="1"/>
        <rFont val="Calibri"/>
        <family val="2"/>
        <scheme val="minor"/>
      </rPr>
      <t>κορτασθηναι</t>
    </r>
    <r>
      <rPr>
        <sz val="11"/>
        <color theme="1"/>
        <rFont val="Calibri"/>
        <family val="2"/>
        <scheme val="minor"/>
      </rPr>
      <t xml:space="preserve"> εκ των</t>
    </r>
  </si>
  <si>
    <r>
      <t xml:space="preserve">(15) χοιρους (16) καπεθυμει </t>
    </r>
    <r>
      <rPr>
        <b/>
        <sz val="11"/>
        <color theme="1"/>
        <rFont val="Calibri"/>
        <family val="2"/>
        <scheme val="minor"/>
      </rPr>
      <t>χορτασθηναι</t>
    </r>
    <r>
      <rPr>
        <sz val="11"/>
        <color theme="1"/>
        <rFont val="Calibri"/>
        <family val="2"/>
        <scheme val="minor"/>
      </rPr>
      <t xml:space="preserve"> εκ των</t>
    </r>
  </si>
  <si>
    <t xml:space="preserve">εδιδου αυτω (17)εις εαυτον </t>
  </si>
  <si>
    <t xml:space="preserve">εδιδου τω (17)εις εαυτον </t>
  </si>
  <si>
    <t xml:space="preserve">ηλθεν προς </t>
  </si>
  <si>
    <t xml:space="preserve">ηλθε προς </t>
  </si>
  <si>
    <t xml:space="preserve">αυτου και κατεφιλησεν </t>
  </si>
  <si>
    <t xml:space="preserve">αυτου κατεφιλησεν </t>
  </si>
  <si>
    <t>ενωπιον σου και ουκετι</t>
  </si>
  <si>
    <t>ενωπιον σου ουκετι</t>
  </si>
  <si>
    <t>εξενεγκατε στολην την πρωτην</t>
  </si>
  <si>
    <r>
      <t xml:space="preserve">εξενεγκατε </t>
    </r>
    <r>
      <rPr>
        <b/>
        <sz val="11"/>
        <color theme="1"/>
        <rFont val="Calibri"/>
        <family val="2"/>
        <scheme val="minor"/>
      </rPr>
      <t>την</t>
    </r>
    <r>
      <rPr>
        <sz val="11"/>
        <color theme="1"/>
        <rFont val="Calibri"/>
        <family val="2"/>
        <scheme val="minor"/>
      </rPr>
      <t xml:space="preserve"> στολην την στολην την πρωτην</t>
    </r>
  </si>
  <si>
    <r>
      <t xml:space="preserve">εξενεγκατε την στολην </t>
    </r>
    <r>
      <rPr>
        <b/>
        <sz val="11"/>
        <color theme="1"/>
        <rFont val="Calibri"/>
        <family val="2"/>
        <scheme val="minor"/>
      </rPr>
      <t>την στολην</t>
    </r>
    <r>
      <rPr>
        <sz val="11"/>
        <color theme="1"/>
        <rFont val="Calibri"/>
        <family val="2"/>
        <scheme val="minor"/>
      </rPr>
      <t xml:space="preserve"> την πρωτην</t>
    </r>
  </si>
  <si>
    <t xml:space="preserve">ετη δουλευω </t>
  </si>
  <si>
    <t xml:space="preserve">ετι δουλευω </t>
  </si>
  <si>
    <r>
      <t xml:space="preserve">εδωκας </t>
    </r>
    <r>
      <rPr>
        <b/>
        <sz val="11"/>
        <color theme="1"/>
        <rFont val="Calibri"/>
        <family val="2"/>
        <scheme val="minor"/>
      </rPr>
      <t>μοι εριφον</t>
    </r>
    <r>
      <rPr>
        <sz val="11"/>
        <color theme="1"/>
        <rFont val="Calibri"/>
        <family val="2"/>
        <scheme val="minor"/>
      </rPr>
      <t xml:space="preserve"> εξ αιγων </t>
    </r>
  </si>
  <si>
    <r>
      <t xml:space="preserve">εδωκας </t>
    </r>
    <r>
      <rPr>
        <b/>
        <sz val="11"/>
        <color theme="1"/>
        <rFont val="Calibri"/>
        <family val="2"/>
        <scheme val="minor"/>
      </rPr>
      <t>εριφον μοι</t>
    </r>
    <r>
      <rPr>
        <sz val="11"/>
        <color theme="1"/>
        <rFont val="Calibri"/>
        <family val="2"/>
        <scheme val="minor"/>
      </rPr>
      <t xml:space="preserve"> εξ αγρων </t>
    </r>
  </si>
  <si>
    <r>
      <t xml:space="preserve">εδωκας εριφον μοι εξ </t>
    </r>
    <r>
      <rPr>
        <b/>
        <sz val="11"/>
        <color theme="1"/>
        <rFont val="Calibri"/>
        <family val="2"/>
        <scheme val="minor"/>
      </rPr>
      <t>αγρων</t>
    </r>
    <r>
      <rPr>
        <sz val="11"/>
        <color theme="1"/>
        <rFont val="Calibri"/>
        <family val="2"/>
        <scheme val="minor"/>
      </rPr>
      <t xml:space="preserve"> </t>
    </r>
  </si>
  <si>
    <r>
      <t xml:space="preserve">εδωκας μοι εριφον εξ </t>
    </r>
    <r>
      <rPr>
        <b/>
        <sz val="11"/>
        <color theme="1"/>
        <rFont val="Calibri"/>
        <family val="2"/>
        <scheme val="minor"/>
      </rPr>
      <t>αιγων</t>
    </r>
    <r>
      <rPr>
        <sz val="11"/>
        <color theme="1"/>
        <rFont val="Calibri"/>
        <family val="2"/>
        <scheme val="minor"/>
      </rPr>
      <t xml:space="preserve"> </t>
    </r>
  </si>
  <si>
    <t>καφαγοντι παντα μετα των πορνων και ελθοντι</t>
  </si>
  <si>
    <t>εγνοιν τι ποιησω</t>
  </si>
  <si>
    <t>εγνων τι ποιησω</t>
  </si>
  <si>
    <r>
      <t xml:space="preserve">μετασταθω </t>
    </r>
    <r>
      <rPr>
        <b/>
        <sz val="11"/>
        <color theme="1"/>
        <rFont val="Calibri"/>
        <family val="2"/>
        <scheme val="minor"/>
      </rPr>
      <t>εκ</t>
    </r>
    <r>
      <rPr>
        <sz val="11"/>
        <color theme="1"/>
        <rFont val="Calibri"/>
        <family val="2"/>
        <scheme val="minor"/>
      </rPr>
      <t xml:space="preserve"> της οικονομιας</t>
    </r>
  </si>
  <si>
    <r>
      <t xml:space="preserve">μετασταθω </t>
    </r>
    <r>
      <rPr>
        <b/>
        <sz val="11"/>
        <color theme="1"/>
        <rFont val="Calibri"/>
        <family val="2"/>
        <scheme val="minor"/>
      </rPr>
      <t>εν</t>
    </r>
    <r>
      <rPr>
        <sz val="11"/>
        <color theme="1"/>
        <rFont val="Calibri"/>
        <family val="2"/>
        <scheme val="minor"/>
      </rPr>
      <t xml:space="preserve"> της ονκονομιαις</t>
    </r>
  </si>
  <si>
    <r>
      <t xml:space="preserve">μετασταθω εκ της </t>
    </r>
    <r>
      <rPr>
        <b/>
        <sz val="11"/>
        <color theme="1"/>
        <rFont val="Calibri"/>
        <family val="2"/>
        <scheme val="minor"/>
      </rPr>
      <t>οικονομιας</t>
    </r>
  </si>
  <si>
    <r>
      <t xml:space="preserve">μετασταθω εν της </t>
    </r>
    <r>
      <rPr>
        <b/>
        <sz val="11"/>
        <color theme="1"/>
        <rFont val="Calibri"/>
        <family val="2"/>
        <scheme val="minor"/>
      </rPr>
      <t>ονκονομιαις</t>
    </r>
  </si>
  <si>
    <t xml:space="preserve">καβους </t>
  </si>
  <si>
    <t>καγω υμειν λεγω ποιησατε</t>
  </si>
  <si>
    <t>καγω λεγω υμειν ποιησατε</t>
  </si>
  <si>
    <t xml:space="preserve">εκ του μαμωνα αδικου ινα οταν </t>
  </si>
  <si>
    <t xml:space="preserve">εκ του αδικου μαμωνα ινα οταν </t>
  </si>
  <si>
    <t xml:space="preserve">εκλιπη δεξωνται </t>
  </si>
  <si>
    <t xml:space="preserve">εκλιπητε δεξωνται </t>
  </si>
  <si>
    <t>υμας εις τας αιωνιους</t>
  </si>
  <si>
    <t>υμας εις εις τας αιωνιους</t>
  </si>
  <si>
    <t>απο τοτε η βασιλεια</t>
  </si>
  <si>
    <t>απο τε η βασιλεια</t>
  </si>
  <si>
    <r>
      <t xml:space="preserve">ανθρωπος </t>
    </r>
    <r>
      <rPr>
        <b/>
        <sz val="11"/>
        <color theme="1"/>
        <rFont val="Calibri"/>
        <family val="2"/>
        <scheme val="minor"/>
      </rPr>
      <t>δε</t>
    </r>
    <r>
      <rPr>
        <sz val="11"/>
        <color theme="1"/>
        <rFont val="Calibri"/>
        <family val="2"/>
        <scheme val="minor"/>
      </rPr>
      <t xml:space="preserve"> τις ην πλουσιος και ενιδυδισκετο </t>
    </r>
  </si>
  <si>
    <t xml:space="preserve">ανθρωπος τις ην πλουσιον και ενεδυδισκετο </t>
  </si>
  <si>
    <r>
      <t xml:space="preserve">ανθρωπος τις ην </t>
    </r>
    <r>
      <rPr>
        <b/>
        <sz val="11"/>
        <color theme="1"/>
        <rFont val="Calibri"/>
        <family val="2"/>
        <scheme val="minor"/>
      </rPr>
      <t>πλουσιον</t>
    </r>
    <r>
      <rPr>
        <sz val="11"/>
        <color theme="1"/>
        <rFont val="Calibri"/>
        <family val="2"/>
        <scheme val="minor"/>
      </rPr>
      <t xml:space="preserve"> και ενεδυδισκετο </t>
    </r>
  </si>
  <si>
    <r>
      <t xml:space="preserve">ανθρωπος δε τις ην </t>
    </r>
    <r>
      <rPr>
        <b/>
        <sz val="11"/>
        <color theme="1"/>
        <rFont val="Calibri"/>
        <family val="2"/>
        <scheme val="minor"/>
      </rPr>
      <t>πλουσιος</t>
    </r>
    <r>
      <rPr>
        <sz val="11"/>
        <color theme="1"/>
        <rFont val="Calibri"/>
        <family val="2"/>
        <scheme val="minor"/>
      </rPr>
      <t xml:space="preserve"> και ενιδυδισκετο </t>
    </r>
  </si>
  <si>
    <r>
      <t xml:space="preserve">ανθρωπος τις ην πλουσιον και </t>
    </r>
    <r>
      <rPr>
        <b/>
        <sz val="11"/>
        <color theme="1"/>
        <rFont val="Calibri"/>
        <family val="2"/>
        <scheme val="minor"/>
      </rPr>
      <t>ενεδυδισκετο</t>
    </r>
    <r>
      <rPr>
        <sz val="11"/>
        <color theme="1"/>
        <rFont val="Calibri"/>
        <family val="2"/>
        <scheme val="minor"/>
      </rPr>
      <t xml:space="preserve"> </t>
    </r>
  </si>
  <si>
    <r>
      <t xml:space="preserve">ανθρωπος δε τις ην πλουσιος και </t>
    </r>
    <r>
      <rPr>
        <b/>
        <sz val="11"/>
        <color theme="1"/>
        <rFont val="Calibri"/>
        <family val="2"/>
        <scheme val="minor"/>
      </rPr>
      <t>ενιδυδισκετο</t>
    </r>
    <r>
      <rPr>
        <sz val="11"/>
        <color theme="1"/>
        <rFont val="Calibri"/>
        <family val="2"/>
        <scheme val="minor"/>
      </rPr>
      <t xml:space="preserve"> </t>
    </r>
  </si>
  <si>
    <t xml:space="preserve">τις ην ονοματι </t>
  </si>
  <si>
    <t xml:space="preserve">τις ονοματι </t>
  </si>
  <si>
    <t xml:space="preserve">κολπον αβρααμ απεθανε δε </t>
  </si>
  <si>
    <r>
      <t xml:space="preserve">κολπον αβρααμ </t>
    </r>
    <r>
      <rPr>
        <b/>
        <sz val="11"/>
        <color theme="1"/>
        <rFont val="Calibri"/>
        <family val="2"/>
        <scheme val="minor"/>
      </rPr>
      <t>υπο των αγγελων</t>
    </r>
    <r>
      <rPr>
        <sz val="11"/>
        <color theme="1"/>
        <rFont val="Calibri"/>
        <family val="2"/>
        <scheme val="minor"/>
      </rPr>
      <t xml:space="preserve"> απεθανεν δε </t>
    </r>
  </si>
  <si>
    <r>
      <t xml:space="preserve">κολπον αβρααμ υπο των αγγελων </t>
    </r>
    <r>
      <rPr>
        <b/>
        <sz val="11"/>
        <color theme="1"/>
        <rFont val="Calibri"/>
        <family val="2"/>
        <scheme val="minor"/>
      </rPr>
      <t>απεθανεν</t>
    </r>
    <r>
      <rPr>
        <sz val="11"/>
        <color theme="1"/>
        <rFont val="Calibri"/>
        <family val="2"/>
        <scheme val="minor"/>
      </rPr>
      <t xml:space="preserve"> δε </t>
    </r>
  </si>
  <si>
    <r>
      <t xml:space="preserve">κολπον αβρααμ </t>
    </r>
    <r>
      <rPr>
        <b/>
        <sz val="11"/>
        <color theme="1"/>
        <rFont val="Calibri"/>
        <family val="2"/>
        <scheme val="minor"/>
      </rPr>
      <t>απεθανε</t>
    </r>
    <r>
      <rPr>
        <sz val="11"/>
        <color theme="1"/>
        <rFont val="Calibri"/>
        <family val="2"/>
        <scheme val="minor"/>
      </rPr>
      <t xml:space="preserve"> δε </t>
    </r>
  </si>
  <si>
    <t>αυτου υδατος και καταψυξη</t>
  </si>
  <si>
    <t>αυτου υδατον και καταψυξη</t>
  </si>
  <si>
    <t>οδυνασαι (26) και επι πασι</t>
  </si>
  <si>
    <t xml:space="preserve">πατερ αβρααμ ινα </t>
  </si>
  <si>
    <t xml:space="preserve">πατερ ινα </t>
  </si>
  <si>
    <t>εχουσι μωυσεα</t>
  </si>
  <si>
    <t>εχουσιν μωυσεα</t>
  </si>
  <si>
    <t xml:space="preserve">αλλ εαν τις πορευθη </t>
  </si>
  <si>
    <r>
      <rPr>
        <b/>
        <sz val="11"/>
        <color theme="1"/>
        <rFont val="Calibri"/>
        <family val="2"/>
        <scheme val="minor"/>
      </rPr>
      <t>αλλα</t>
    </r>
    <r>
      <rPr>
        <sz val="11"/>
        <color theme="1"/>
        <rFont val="Calibri"/>
        <family val="2"/>
        <scheme val="minor"/>
      </rPr>
      <t xml:space="preserve"> εαν τις εκ νεκρων πορευθη </t>
    </r>
  </si>
  <si>
    <r>
      <rPr>
        <b/>
        <sz val="11"/>
        <color theme="1"/>
        <rFont val="Calibri"/>
        <family val="2"/>
        <scheme val="minor"/>
      </rPr>
      <t>αλλ</t>
    </r>
    <r>
      <rPr>
        <sz val="11"/>
        <color theme="1"/>
        <rFont val="Calibri"/>
        <family val="2"/>
        <scheme val="minor"/>
      </rPr>
      <t xml:space="preserve"> εαν τις πορευθη </t>
    </r>
  </si>
  <si>
    <r>
      <t xml:space="preserve">αλλα εαν τις </t>
    </r>
    <r>
      <rPr>
        <b/>
        <sz val="11"/>
        <color theme="1"/>
        <rFont val="Calibri"/>
        <family val="2"/>
        <scheme val="minor"/>
      </rPr>
      <t>εκ νεκρων</t>
    </r>
    <r>
      <rPr>
        <sz val="11"/>
        <color theme="1"/>
        <rFont val="Calibri"/>
        <family val="2"/>
        <scheme val="minor"/>
      </rPr>
      <t xml:space="preserve"> πορευθη </t>
    </r>
  </si>
  <si>
    <r>
      <rPr>
        <b/>
        <sz val="11"/>
        <color theme="1"/>
        <rFont val="Calibri"/>
        <family val="2"/>
        <scheme val="minor"/>
      </rPr>
      <t>ακουουσιν</t>
    </r>
    <r>
      <rPr>
        <sz val="11"/>
        <color theme="1"/>
        <rFont val="Calibri"/>
        <family val="2"/>
        <scheme val="minor"/>
      </rPr>
      <t xml:space="preserve"> ουδ εαν</t>
    </r>
  </si>
  <si>
    <r>
      <rPr>
        <b/>
        <sz val="11"/>
        <color theme="1"/>
        <rFont val="Calibri"/>
        <family val="2"/>
        <scheme val="minor"/>
      </rPr>
      <t>ακουσουσιν</t>
    </r>
    <r>
      <rPr>
        <sz val="11"/>
        <color theme="1"/>
        <rFont val="Calibri"/>
        <family val="2"/>
        <scheme val="minor"/>
      </rPr>
      <t xml:space="preserve"> ουδε εαν</t>
    </r>
  </si>
  <si>
    <r>
      <t xml:space="preserve">ακουουσιν </t>
    </r>
    <r>
      <rPr>
        <b/>
        <sz val="11"/>
        <color theme="1"/>
        <rFont val="Calibri"/>
        <family val="2"/>
        <scheme val="minor"/>
      </rPr>
      <t>ουδ</t>
    </r>
    <r>
      <rPr>
        <sz val="11"/>
        <color theme="1"/>
        <rFont val="Calibri"/>
        <family val="2"/>
        <scheme val="minor"/>
      </rPr>
      <t xml:space="preserve"> εαν</t>
    </r>
  </si>
  <si>
    <r>
      <t xml:space="preserve">ακουσουσιν </t>
    </r>
    <r>
      <rPr>
        <b/>
        <sz val="11"/>
        <color theme="1"/>
        <rFont val="Calibri"/>
        <family val="2"/>
        <scheme val="minor"/>
      </rPr>
      <t>ουδε</t>
    </r>
    <r>
      <rPr>
        <sz val="11"/>
        <color theme="1"/>
        <rFont val="Calibri"/>
        <family val="2"/>
        <scheme val="minor"/>
      </rPr>
      <t xml:space="preserve"> εαν</t>
    </r>
  </si>
  <si>
    <t xml:space="preserve">ουαι δε δι ου </t>
  </si>
  <si>
    <t xml:space="preserve">ουαι δι ου </t>
  </si>
  <si>
    <t>εριπτο εις την</t>
  </si>
  <si>
    <t xml:space="preserve">εριπτετο εις την </t>
  </si>
  <si>
    <t>Bezae actually seems to correct to εριπτεπτο</t>
  </si>
  <si>
    <t>και επτακεις επιστρεψη</t>
  </si>
  <si>
    <r>
      <t xml:space="preserve">και </t>
    </r>
    <r>
      <rPr>
        <b/>
        <sz val="11"/>
        <color theme="1"/>
        <rFont val="Calibri"/>
        <family val="2"/>
        <scheme val="minor"/>
      </rPr>
      <t>το</t>
    </r>
    <r>
      <rPr>
        <sz val="11"/>
        <color theme="1"/>
        <rFont val="Calibri"/>
        <family val="2"/>
        <scheme val="minor"/>
      </rPr>
      <t xml:space="preserve"> επτακις επιστρεψη</t>
    </r>
  </si>
  <si>
    <r>
      <t xml:space="preserve">και το </t>
    </r>
    <r>
      <rPr>
        <b/>
        <sz val="11"/>
        <color theme="1"/>
        <rFont val="Calibri"/>
        <family val="2"/>
        <scheme val="minor"/>
      </rPr>
      <t>επτακις</t>
    </r>
    <r>
      <rPr>
        <sz val="11"/>
        <color theme="1"/>
        <rFont val="Calibri"/>
        <family val="2"/>
        <scheme val="minor"/>
      </rPr>
      <t xml:space="preserve"> επιστρεψη</t>
    </r>
  </si>
  <si>
    <r>
      <t xml:space="preserve">και </t>
    </r>
    <r>
      <rPr>
        <b/>
        <sz val="11"/>
        <color theme="1"/>
        <rFont val="Calibri"/>
        <family val="2"/>
        <scheme val="minor"/>
      </rPr>
      <t>επτακεις</t>
    </r>
    <r>
      <rPr>
        <sz val="11"/>
        <color theme="1"/>
        <rFont val="Calibri"/>
        <family val="2"/>
        <scheme val="minor"/>
      </rPr>
      <t xml:space="preserve"> επιστρεψη</t>
    </r>
  </si>
  <si>
    <t>μετανοησω αφες</t>
  </si>
  <si>
    <t xml:space="preserve">μετανοησω αφες </t>
  </si>
  <si>
    <t>Bezae corrects to μετανοω</t>
  </si>
  <si>
    <t>ειπεν ει εχετε</t>
  </si>
  <si>
    <r>
      <t xml:space="preserve">ειπεν </t>
    </r>
    <r>
      <rPr>
        <b/>
        <sz val="11"/>
        <color theme="1"/>
        <rFont val="Calibri"/>
        <family val="2"/>
        <scheme val="minor"/>
      </rPr>
      <t>αυτοις</t>
    </r>
    <r>
      <rPr>
        <sz val="11"/>
        <color theme="1"/>
        <rFont val="Calibri"/>
        <family val="2"/>
        <scheme val="minor"/>
      </rPr>
      <t xml:space="preserve"> ει ειχετε </t>
    </r>
  </si>
  <si>
    <r>
      <t xml:space="preserve">ειπεν αυτοις ει </t>
    </r>
    <r>
      <rPr>
        <b/>
        <sz val="11"/>
        <color theme="1"/>
        <rFont val="Calibri"/>
        <family val="2"/>
        <scheme val="minor"/>
      </rPr>
      <t>ειχετε</t>
    </r>
    <r>
      <rPr>
        <sz val="11"/>
        <color theme="1"/>
        <rFont val="Calibri"/>
        <family val="2"/>
        <scheme val="minor"/>
      </rPr>
      <t xml:space="preserve"> </t>
    </r>
  </si>
  <si>
    <r>
      <t xml:space="preserve">ειπεν ει </t>
    </r>
    <r>
      <rPr>
        <b/>
        <sz val="11"/>
        <color theme="1"/>
        <rFont val="Calibri"/>
        <family val="2"/>
        <scheme val="minor"/>
      </rPr>
      <t>εχετε</t>
    </r>
  </si>
  <si>
    <t>τις δε υμων εχων δουλον</t>
  </si>
  <si>
    <t>τις δε εχων υμων δουλον</t>
  </si>
  <si>
    <t xml:space="preserve">φαγεσαι και συ πιεσαι </t>
  </si>
  <si>
    <t xml:space="preserve">φαγεσαι συ και πιεσαι </t>
  </si>
  <si>
    <t>μη εχει χαριν τω δουλω οτι</t>
  </si>
  <si>
    <r>
      <t xml:space="preserve">μη </t>
    </r>
    <r>
      <rPr>
        <b/>
        <sz val="11"/>
        <color theme="1"/>
        <rFont val="Calibri"/>
        <family val="2"/>
        <scheme val="minor"/>
      </rPr>
      <t>εχει χαριν</t>
    </r>
    <r>
      <rPr>
        <sz val="11"/>
        <color theme="1"/>
        <rFont val="Calibri"/>
        <family val="2"/>
        <scheme val="minor"/>
      </rPr>
      <t xml:space="preserve"> τω δουλω οτι</t>
    </r>
  </si>
  <si>
    <r>
      <t xml:space="preserve">μη </t>
    </r>
    <r>
      <rPr>
        <b/>
        <sz val="11"/>
        <color theme="1"/>
        <rFont val="Calibri"/>
        <family val="2"/>
        <scheme val="minor"/>
      </rPr>
      <t>χαριν εχει</t>
    </r>
    <r>
      <rPr>
        <sz val="11"/>
        <color theme="1"/>
        <rFont val="Calibri"/>
        <family val="2"/>
        <scheme val="minor"/>
      </rPr>
      <t xml:space="preserve"> τω δουλω εκεινω οτι</t>
    </r>
  </si>
  <si>
    <r>
      <t xml:space="preserve">μη χαριν εχει τω δουλω </t>
    </r>
    <r>
      <rPr>
        <b/>
        <sz val="11"/>
        <color theme="1"/>
        <rFont val="Calibri"/>
        <family val="2"/>
        <scheme val="minor"/>
      </rPr>
      <t>εκεινω</t>
    </r>
    <r>
      <rPr>
        <sz val="11"/>
        <color theme="1"/>
        <rFont val="Calibri"/>
        <family val="2"/>
        <scheme val="minor"/>
      </rPr>
      <t xml:space="preserve"> οτι</t>
    </r>
  </si>
  <si>
    <t>ουτω και υμεις</t>
  </si>
  <si>
    <t>ουτως και υμεις</t>
  </si>
  <si>
    <t>πορρωθεν (13) και και εκραξαν</t>
  </si>
  <si>
    <t>πορρωθεν (13) και εκραξαν</t>
  </si>
  <si>
    <t>αυτοις τεθεραπευεσθε</t>
  </si>
  <si>
    <t xml:space="preserve">αυτοις τεραπευεσθε </t>
  </si>
  <si>
    <t>Bezae corrects to αυτοις τεθεραπευσθε</t>
  </si>
  <si>
    <t>ην δε σαμαριτης</t>
  </si>
  <si>
    <t>ην σαμαριτης</t>
  </si>
  <si>
    <t>αυτοις και ειπεν</t>
  </si>
  <si>
    <t>αυτοις ο ειπεν</t>
  </si>
  <si>
    <t>βασεια του θυ</t>
  </si>
  <si>
    <t>βασιλεια του θεου</t>
  </si>
  <si>
    <t>εκει ιδου</t>
  </si>
  <si>
    <t>εκει μη πιστευσητε ιδου</t>
  </si>
  <si>
    <t>ωδε η ιδου</t>
  </si>
  <si>
    <t>ωδε ιδου</t>
  </si>
  <si>
    <t>δε δει αυτον</t>
  </si>
  <si>
    <t>δε δι αυτον</t>
  </si>
  <si>
    <t>απο γενεας</t>
  </si>
  <si>
    <t>απο της γενεας</t>
  </si>
  <si>
    <t>εξηλθεν λωτ</t>
  </si>
  <si>
    <t>εξηλθε λωτ</t>
  </si>
  <si>
    <t>απωλεσε παντας</t>
  </si>
  <si>
    <t>απωλεσεν παντας</t>
  </si>
  <si>
    <t xml:space="preserve">μη επιστραφητω </t>
  </si>
  <si>
    <t xml:space="preserve">μη στραφητω </t>
  </si>
  <si>
    <t>θεληση σωσαι την ψυχην</t>
  </si>
  <si>
    <t xml:space="preserve">θεληση ζωογονησαι την ψυχην </t>
  </si>
  <si>
    <t>απολεση αυτην ζωογονησει</t>
  </si>
  <si>
    <t>δυο εγρω εις</t>
  </si>
  <si>
    <t>δυο εν αγρω εις</t>
  </si>
  <si>
    <t>The underlying reading is barely visible, but B.10.3 certainly follows the corrected form</t>
  </si>
  <si>
    <r>
      <t xml:space="preserve">(17:37) αετοι (18:1) </t>
    </r>
    <r>
      <rPr>
        <b/>
        <sz val="11"/>
        <color theme="1"/>
        <rFont val="Calibri"/>
        <family val="2"/>
        <scheme val="minor"/>
      </rPr>
      <t>εκει συναχθ[ησονται]</t>
    </r>
    <r>
      <rPr>
        <sz val="11"/>
        <color theme="1"/>
        <rFont val="Calibri"/>
        <family val="2"/>
        <scheme val="minor"/>
      </rPr>
      <t xml:space="preserve"> αυτοις προς το δειν παντοτε προσευχεσθαι</t>
    </r>
  </si>
  <si>
    <r>
      <t xml:space="preserve">(17:37) αετοι (18:1) </t>
    </r>
    <r>
      <rPr>
        <b/>
        <sz val="11"/>
        <color theme="1"/>
        <rFont val="Calibri"/>
        <family val="2"/>
        <scheme val="minor"/>
      </rPr>
      <t>ελεγεν δε και παραβολην</t>
    </r>
    <r>
      <rPr>
        <sz val="11"/>
        <color theme="1"/>
        <rFont val="Calibri"/>
        <family val="2"/>
        <scheme val="minor"/>
      </rPr>
      <t xml:space="preserve"> αυτοις οτι δει παντοτε προσευχεσθαι</t>
    </r>
  </si>
  <si>
    <r>
      <t xml:space="preserve">(17:37) αετοι (18:1) εκει συναχθ[ησονται] αυτοις </t>
    </r>
    <r>
      <rPr>
        <b/>
        <sz val="11"/>
        <color theme="1"/>
        <rFont val="Calibri"/>
        <family val="2"/>
        <scheme val="minor"/>
      </rPr>
      <t>προς το δειν</t>
    </r>
    <r>
      <rPr>
        <sz val="11"/>
        <color theme="1"/>
        <rFont val="Calibri"/>
        <family val="2"/>
        <scheme val="minor"/>
      </rPr>
      <t xml:space="preserve"> παντοτε προσευχεσθαι</t>
    </r>
  </si>
  <si>
    <r>
      <t>(17:37) αετοι (18:1) ελεγεν δε και παραβολην αυτοις</t>
    </r>
    <r>
      <rPr>
        <b/>
        <sz val="11"/>
        <color theme="1"/>
        <rFont val="Calibri"/>
        <family val="2"/>
        <scheme val="minor"/>
      </rPr>
      <t xml:space="preserve"> οτι δει</t>
    </r>
    <r>
      <rPr>
        <sz val="11"/>
        <color theme="1"/>
        <rFont val="Calibri"/>
        <family val="2"/>
        <scheme val="minor"/>
      </rPr>
      <t xml:space="preserve"> παντοτε προσευχεσθαι</t>
    </r>
  </si>
  <si>
    <t>θεος μη ποιησει</t>
  </si>
  <si>
    <r>
      <t xml:space="preserve">θς </t>
    </r>
    <r>
      <rPr>
        <b/>
        <sz val="11"/>
        <color theme="1"/>
        <rFont val="Calibri"/>
        <family val="2"/>
        <scheme val="minor"/>
      </rPr>
      <t>ου</t>
    </r>
    <r>
      <rPr>
        <sz val="11"/>
        <color theme="1"/>
        <rFont val="Calibri"/>
        <family val="2"/>
        <scheme val="minor"/>
      </rPr>
      <t xml:space="preserve"> μη ποιηση</t>
    </r>
  </si>
  <si>
    <r>
      <t xml:space="preserve">θς ου μη </t>
    </r>
    <r>
      <rPr>
        <b/>
        <sz val="11"/>
        <color theme="1"/>
        <rFont val="Calibri"/>
        <family val="2"/>
        <scheme val="minor"/>
      </rPr>
      <t>ποιηση</t>
    </r>
  </si>
  <si>
    <r>
      <t xml:space="preserve">θεος μη </t>
    </r>
    <r>
      <rPr>
        <b/>
        <sz val="11"/>
        <color theme="1"/>
        <rFont val="Calibri"/>
        <family val="2"/>
        <scheme val="minor"/>
      </rPr>
      <t>ποιησει</t>
    </r>
  </si>
  <si>
    <t>λοιπους τους ανθρωπους</t>
  </si>
  <si>
    <t>λοιπους ανθρωπους</t>
  </si>
  <si>
    <t xml:space="preserve">ως οι λοιποι </t>
  </si>
  <si>
    <t xml:space="preserve">ως λοιποι </t>
  </si>
  <si>
    <r>
      <rPr>
        <b/>
        <sz val="11"/>
        <color theme="1"/>
        <rFont val="Calibri"/>
        <family val="2"/>
        <scheme val="minor"/>
      </rPr>
      <t>αλλ</t>
    </r>
    <r>
      <rPr>
        <sz val="11"/>
        <color theme="1"/>
        <rFont val="Calibri"/>
        <family val="2"/>
        <scheme val="minor"/>
      </rPr>
      <t xml:space="preserve"> ετυπτε το στηθος</t>
    </r>
  </si>
  <si>
    <r>
      <rPr>
        <b/>
        <sz val="11"/>
        <color theme="1"/>
        <rFont val="Calibri"/>
        <family val="2"/>
        <scheme val="minor"/>
      </rPr>
      <t>αλλα</t>
    </r>
    <r>
      <rPr>
        <sz val="11"/>
        <color theme="1"/>
        <rFont val="Calibri"/>
        <family val="2"/>
        <scheme val="minor"/>
      </rPr>
      <t xml:space="preserve"> ετυπτεν το στηθος</t>
    </r>
  </si>
  <si>
    <r>
      <t xml:space="preserve">αλλ </t>
    </r>
    <r>
      <rPr>
        <b/>
        <sz val="11"/>
        <color theme="1"/>
        <rFont val="Calibri"/>
        <family val="2"/>
        <scheme val="minor"/>
      </rPr>
      <t>ετυπτε</t>
    </r>
    <r>
      <rPr>
        <sz val="11"/>
        <color theme="1"/>
        <rFont val="Calibri"/>
        <family val="2"/>
        <scheme val="minor"/>
      </rPr>
      <t xml:space="preserve"> το στηθος</t>
    </r>
  </si>
  <si>
    <r>
      <t xml:space="preserve">αλλα </t>
    </r>
    <r>
      <rPr>
        <b/>
        <sz val="11"/>
        <color theme="1"/>
        <rFont val="Calibri"/>
        <family val="2"/>
        <scheme val="minor"/>
      </rPr>
      <t>ετυπτεν</t>
    </r>
    <r>
      <rPr>
        <sz val="11"/>
        <color theme="1"/>
        <rFont val="Calibri"/>
        <family val="2"/>
        <scheme val="minor"/>
      </rPr>
      <t xml:space="preserve"> το στηθος</t>
    </r>
  </si>
  <si>
    <t xml:space="preserve">παρ αικεινον </t>
  </si>
  <si>
    <t>παρα εκεινον</t>
  </si>
  <si>
    <t>υψων εαυτον</t>
  </si>
  <si>
    <t>υψων αυτον</t>
  </si>
  <si>
    <t>αρχων λεγων διδασκαλε</t>
  </si>
  <si>
    <t>ποιησας ζωην</t>
  </si>
  <si>
    <t>ποιησαι ζωην</t>
  </si>
  <si>
    <t>κληρονομησω (19) ο δε</t>
  </si>
  <si>
    <t>κληρονομησα (19) ο δε</t>
  </si>
  <si>
    <t xml:space="preserve">ου μοιχευσεις μη φονευσεις μη ψευδομαρτυρησεις τειμα </t>
  </si>
  <si>
    <r>
      <t xml:space="preserve">ου μοιχευσεις </t>
    </r>
    <r>
      <rPr>
        <b/>
        <sz val="11"/>
        <color theme="1"/>
        <rFont val="Calibri"/>
        <family val="2"/>
        <scheme val="minor"/>
      </rPr>
      <t>μη</t>
    </r>
    <r>
      <rPr>
        <sz val="11"/>
        <color theme="1"/>
        <rFont val="Calibri"/>
        <family val="2"/>
        <scheme val="minor"/>
      </rPr>
      <t xml:space="preserve"> φονευσεις μη ψευδομαρτυρησεις τειμα </t>
    </r>
  </si>
  <si>
    <r>
      <t xml:space="preserve">ου μοιχευσεις </t>
    </r>
    <r>
      <rPr>
        <b/>
        <sz val="11"/>
        <color theme="1"/>
        <rFont val="Calibri"/>
        <family val="2"/>
        <scheme val="minor"/>
      </rPr>
      <t>ου</t>
    </r>
    <r>
      <rPr>
        <sz val="11"/>
        <color theme="1"/>
        <rFont val="Calibri"/>
        <family val="2"/>
        <scheme val="minor"/>
      </rPr>
      <t xml:space="preserve"> φονευσεις ου κλεψεις ου ψευδομαρτυρησεις τειμα </t>
    </r>
  </si>
  <si>
    <r>
      <t xml:space="preserve">ου μοιχευσεις ου φονευσεις </t>
    </r>
    <r>
      <rPr>
        <b/>
        <sz val="11"/>
        <color theme="1"/>
        <rFont val="Calibri"/>
        <family val="2"/>
        <scheme val="minor"/>
      </rPr>
      <t>ου κλεψεις</t>
    </r>
    <r>
      <rPr>
        <sz val="11"/>
        <color theme="1"/>
        <rFont val="Calibri"/>
        <family val="2"/>
        <scheme val="minor"/>
      </rPr>
      <t xml:space="preserve"> ου ψευδομαρτυρησεις τειμα </t>
    </r>
  </si>
  <si>
    <r>
      <t xml:space="preserve">ου μοιχευσεις ου φονευσεις ου κλεψεις </t>
    </r>
    <r>
      <rPr>
        <b/>
        <sz val="11"/>
        <color theme="1"/>
        <rFont val="Calibri"/>
        <family val="2"/>
        <scheme val="minor"/>
      </rPr>
      <t>ου</t>
    </r>
    <r>
      <rPr>
        <sz val="11"/>
        <color theme="1"/>
        <rFont val="Calibri"/>
        <family val="2"/>
        <scheme val="minor"/>
      </rPr>
      <t xml:space="preserve"> ψευδομαρτυρησεις τειμα </t>
    </r>
  </si>
  <si>
    <r>
      <t xml:space="preserve">ου μοιχευσεις μη φονευσεις </t>
    </r>
    <r>
      <rPr>
        <b/>
        <sz val="11"/>
        <color theme="1"/>
        <rFont val="Calibri"/>
        <family val="2"/>
        <scheme val="minor"/>
      </rPr>
      <t>μη</t>
    </r>
    <r>
      <rPr>
        <sz val="11"/>
        <color theme="1"/>
        <rFont val="Calibri"/>
        <family val="2"/>
        <scheme val="minor"/>
      </rPr>
      <t xml:space="preserve"> ψευδομαρτυρησεις τειμα </t>
    </r>
  </si>
  <si>
    <t>μητερα (21) ο δε</t>
  </si>
  <si>
    <t>μητερα σου (21) ο δε</t>
  </si>
  <si>
    <t>ειπεν αυτω ετι εν σοι</t>
  </si>
  <si>
    <t>ειπεν αυτω οτι εν σοι</t>
  </si>
  <si>
    <t>εν ουρανω και δευρο</t>
  </si>
  <si>
    <r>
      <t xml:space="preserve">εν </t>
    </r>
    <r>
      <rPr>
        <b/>
        <sz val="11"/>
        <color theme="1"/>
        <rFont val="Calibri"/>
        <family val="2"/>
        <scheme val="minor"/>
      </rPr>
      <t>τοις</t>
    </r>
    <r>
      <rPr>
        <sz val="11"/>
        <color theme="1"/>
        <rFont val="Calibri"/>
        <family val="2"/>
        <scheme val="minor"/>
      </rPr>
      <t xml:space="preserve"> ουρανοις και δευρο </t>
    </r>
  </si>
  <si>
    <r>
      <t xml:space="preserve">εν </t>
    </r>
    <r>
      <rPr>
        <b/>
        <sz val="11"/>
        <color theme="1"/>
        <rFont val="Calibri"/>
        <family val="2"/>
        <scheme val="minor"/>
      </rPr>
      <t>ουρανω</t>
    </r>
    <r>
      <rPr>
        <sz val="11"/>
        <color theme="1"/>
        <rFont val="Calibri"/>
        <family val="2"/>
        <scheme val="minor"/>
      </rPr>
      <t xml:space="preserve"> και δευρο</t>
    </r>
  </si>
  <si>
    <r>
      <t xml:space="preserve">εν </t>
    </r>
    <r>
      <rPr>
        <b/>
        <sz val="11"/>
        <color theme="1"/>
        <rFont val="Calibri"/>
        <family val="2"/>
        <scheme val="minor"/>
      </rPr>
      <t>τοις</t>
    </r>
    <r>
      <rPr>
        <sz val="11"/>
        <color theme="1"/>
        <rFont val="Calibri"/>
        <family val="2"/>
        <scheme val="minor"/>
      </rPr>
      <t xml:space="preserve"> </t>
    </r>
    <r>
      <rPr>
        <b/>
        <sz val="11"/>
        <color theme="1"/>
        <rFont val="Calibri"/>
        <family val="2"/>
        <scheme val="minor"/>
      </rPr>
      <t>ουρανοις</t>
    </r>
    <r>
      <rPr>
        <sz val="11"/>
        <color theme="1"/>
        <rFont val="Calibri"/>
        <family val="2"/>
        <scheme val="minor"/>
      </rPr>
      <t xml:space="preserve"> και δευρο </t>
    </r>
  </si>
  <si>
    <t>ακολουθι μοι</t>
  </si>
  <si>
    <t xml:space="preserve">πλουσιον εισελθειν </t>
  </si>
  <si>
    <t xml:space="preserve">πλουσιον ελθειν </t>
  </si>
  <si>
    <t>εαν απολαβη</t>
  </si>
  <si>
    <r>
      <t xml:space="preserve">εαν </t>
    </r>
    <r>
      <rPr>
        <b/>
        <sz val="11"/>
        <color theme="1"/>
        <rFont val="Calibri"/>
        <family val="2"/>
        <scheme val="minor"/>
      </rPr>
      <t>μη</t>
    </r>
    <r>
      <rPr>
        <sz val="11"/>
        <color theme="1"/>
        <rFont val="Calibri"/>
        <family val="2"/>
        <scheme val="minor"/>
      </rPr>
      <t xml:space="preserve"> λαβη </t>
    </r>
  </si>
  <si>
    <r>
      <t xml:space="preserve">εαν μη </t>
    </r>
    <r>
      <rPr>
        <b/>
        <sz val="11"/>
        <color theme="1"/>
        <rFont val="Calibri"/>
        <family val="2"/>
        <scheme val="minor"/>
      </rPr>
      <t>λαβη</t>
    </r>
    <r>
      <rPr>
        <sz val="11"/>
        <color theme="1"/>
        <rFont val="Calibri"/>
        <family val="2"/>
        <scheme val="minor"/>
      </rPr>
      <t xml:space="preserve"> </t>
    </r>
  </si>
  <si>
    <r>
      <t xml:space="preserve">εαν </t>
    </r>
    <r>
      <rPr>
        <b/>
        <sz val="11"/>
        <color theme="1"/>
        <rFont val="Calibri"/>
        <family val="2"/>
        <scheme val="minor"/>
      </rPr>
      <t>απολαβη</t>
    </r>
  </si>
  <si>
    <t>τοις εθνεσιν και</t>
  </si>
  <si>
    <t>τοις εταιεσιν και</t>
  </si>
  <si>
    <t>εκραζεν υιε δαυειδ</t>
  </si>
  <si>
    <t>εκραζεν υιος δαυειδ</t>
  </si>
  <si>
    <t>ειπε κε</t>
  </si>
  <si>
    <t>(18:43) θω (19:1) και και εισελθων</t>
  </si>
  <si>
    <t>ζακχαιος ου ην</t>
  </si>
  <si>
    <t>ζακχαιος ουτος ην</t>
  </si>
  <si>
    <t xml:space="preserve">διεγογγυζον οτι παρα </t>
  </si>
  <si>
    <t xml:space="preserve">διεγογγυζον λεγοντες οτι παρα </t>
  </si>
  <si>
    <t>εισηλθεν καταλυσαι</t>
  </si>
  <si>
    <t>εισηλθε καταλυσαι</t>
  </si>
  <si>
    <t>δε ο ζακχαιος</t>
  </si>
  <si>
    <t>δε ζακχαιος</t>
  </si>
  <si>
    <r>
      <t xml:space="preserve">τα </t>
    </r>
    <r>
      <rPr>
        <b/>
        <sz val="11"/>
        <color theme="1"/>
        <rFont val="Calibri"/>
        <family val="2"/>
        <scheme val="minor"/>
      </rPr>
      <t>ημυσοι</t>
    </r>
    <r>
      <rPr>
        <sz val="11"/>
        <color theme="1"/>
        <rFont val="Calibri"/>
        <family val="2"/>
        <scheme val="minor"/>
      </rPr>
      <t xml:space="preserve"> των υπαρχοντων μοι κε</t>
    </r>
  </si>
  <si>
    <r>
      <t xml:space="preserve">τα </t>
    </r>
    <r>
      <rPr>
        <b/>
        <sz val="11"/>
        <color theme="1"/>
        <rFont val="Calibri"/>
        <family val="2"/>
        <scheme val="minor"/>
      </rPr>
      <t>ημυσυ</t>
    </r>
    <r>
      <rPr>
        <sz val="11"/>
        <color theme="1"/>
        <rFont val="Calibri"/>
        <family val="2"/>
        <scheme val="minor"/>
      </rPr>
      <t xml:space="preserve"> των υπαρχοντων μου κυριε</t>
    </r>
  </si>
  <si>
    <r>
      <t xml:space="preserve">τα ημυσοι των υπαρχοντων </t>
    </r>
    <r>
      <rPr>
        <b/>
        <sz val="11"/>
        <color theme="1"/>
        <rFont val="Calibri"/>
        <family val="2"/>
        <scheme val="minor"/>
      </rPr>
      <t>μοι</t>
    </r>
    <r>
      <rPr>
        <sz val="11"/>
        <color theme="1"/>
        <rFont val="Calibri"/>
        <family val="2"/>
        <scheme val="minor"/>
      </rPr>
      <t xml:space="preserve"> κε</t>
    </r>
  </si>
  <si>
    <r>
      <t xml:space="preserve">τα ημυσυ των υπαρχοντων </t>
    </r>
    <r>
      <rPr>
        <b/>
        <sz val="11"/>
        <color theme="1"/>
        <rFont val="Calibri"/>
        <family val="2"/>
        <scheme val="minor"/>
      </rPr>
      <t>μου</t>
    </r>
    <r>
      <rPr>
        <sz val="11"/>
        <color theme="1"/>
        <rFont val="Calibri"/>
        <family val="2"/>
        <scheme val="minor"/>
      </rPr>
      <t xml:space="preserve"> κυριε</t>
    </r>
  </si>
  <si>
    <t>Bezae corrects to ημυση</t>
  </si>
  <si>
    <t xml:space="preserve">αβρααμ εστιν (10) ηλθεν </t>
  </si>
  <si>
    <t xml:space="preserve">αβρααμ (10) ηλθεν </t>
  </si>
  <si>
    <t xml:space="preserve">δια το ειναι </t>
  </si>
  <si>
    <t xml:space="preserve">δια ειναι </t>
  </si>
  <si>
    <t>ειπεν δε ανθρωπος</t>
  </si>
  <si>
    <t>ειπεν ουν ανθρωπος</t>
  </si>
  <si>
    <t xml:space="preserve">επορευετο εις χωραν </t>
  </si>
  <si>
    <t>επορευθη εις χωραν</t>
  </si>
  <si>
    <t>υποστρεψε</t>
  </si>
  <si>
    <t>και ενεπεμψαν</t>
  </si>
  <si>
    <t>Bezae corrects to και ενεπεμψαν</t>
  </si>
  <si>
    <t>ινα γνοι τι</t>
  </si>
  <si>
    <t>ινα γνω τι</t>
  </si>
  <si>
    <t>μνα σου εποιησεν πεντε μνας</t>
  </si>
  <si>
    <t>μνα σου πεντε εποιησεν μνας</t>
  </si>
  <si>
    <t>ηλθεν λεγων</t>
  </si>
  <si>
    <t>ηλθε λεγων</t>
  </si>
  <si>
    <t>ουκ εσπιρας</t>
  </si>
  <si>
    <t>ουκ εσπειρας</t>
  </si>
  <si>
    <t>παρεστωσι αρατε</t>
  </si>
  <si>
    <t>παρεστωσιν αρατε</t>
  </si>
  <si>
    <t>και τον αχρειον δουλον εκβαλετε</t>
  </si>
  <si>
    <t>και τον δουλον τον αχρειον εκβαλετε</t>
  </si>
  <si>
    <t>επορευετο ενπροσθεν αναβαινων εις ιερουσαλημ</t>
  </si>
  <si>
    <t>επορευτεο αναβαινων δε εις ιερουσαλημ</t>
  </si>
  <si>
    <r>
      <t xml:space="preserve">επορευετο </t>
    </r>
    <r>
      <rPr>
        <b/>
        <sz val="11"/>
        <color theme="1"/>
        <rFont val="Calibri"/>
        <family val="2"/>
        <scheme val="minor"/>
      </rPr>
      <t>ενπροσθεν</t>
    </r>
    <r>
      <rPr>
        <sz val="11"/>
        <color theme="1"/>
        <rFont val="Calibri"/>
        <family val="2"/>
        <scheme val="minor"/>
      </rPr>
      <t xml:space="preserve"> αναβαινων εις ιερουσαλημ</t>
    </r>
  </si>
  <si>
    <r>
      <t xml:space="preserve">επορευτεο αναβαινων </t>
    </r>
    <r>
      <rPr>
        <b/>
        <sz val="11"/>
        <color theme="1"/>
        <rFont val="Calibri"/>
        <family val="2"/>
        <scheme val="minor"/>
      </rPr>
      <t>δε</t>
    </r>
    <r>
      <rPr>
        <sz val="11"/>
        <color theme="1"/>
        <rFont val="Calibri"/>
        <family val="2"/>
        <scheme val="minor"/>
      </rPr>
      <t xml:space="preserve"> εις ιερουσαλημ</t>
    </r>
  </si>
  <si>
    <t>βηθανιαν προς</t>
  </si>
  <si>
    <t>βηθανια προς</t>
  </si>
  <si>
    <t>ευρησεται πωλον (31) και αν τις</t>
  </si>
  <si>
    <t>αυτου (30) ειπων υπαγεται</t>
  </si>
  <si>
    <t>αυτου (30) λεγων υπαγεται</t>
  </si>
  <si>
    <t>ευρησεται πωλον δεδεμενον εφ ον ουδεις ανθρωπων εκαθισεν και λυσαντες αγαγετε (31) και αν τις</t>
  </si>
  <si>
    <t>(32) απελθοντες (33) (34)απεκριθησαν οτι ο κς</t>
  </si>
  <si>
    <t>προς καταβασιν</t>
  </si>
  <si>
    <t>προς την καταβασιν</t>
  </si>
  <si>
    <r>
      <t xml:space="preserve">περι </t>
    </r>
    <r>
      <rPr>
        <b/>
        <sz val="11"/>
        <color theme="1"/>
        <rFont val="Calibri"/>
        <family val="2"/>
        <scheme val="minor"/>
      </rPr>
      <t>παντων</t>
    </r>
    <r>
      <rPr>
        <sz val="11"/>
        <color theme="1"/>
        <rFont val="Calibri"/>
        <family val="2"/>
        <scheme val="minor"/>
      </rPr>
      <t xml:space="preserve"> ων ειδον γεινομενων (38) λεγοντες</t>
    </r>
  </si>
  <si>
    <r>
      <t xml:space="preserve">περι </t>
    </r>
    <r>
      <rPr>
        <b/>
        <sz val="11"/>
        <color theme="1"/>
        <rFont val="Calibri"/>
        <family val="2"/>
        <scheme val="minor"/>
      </rPr>
      <t>πασων</t>
    </r>
    <r>
      <rPr>
        <sz val="11"/>
        <color theme="1"/>
        <rFont val="Calibri"/>
        <family val="2"/>
        <scheme val="minor"/>
      </rPr>
      <t xml:space="preserve"> ων ειδον γενομενων (38) λεγοντες</t>
    </r>
  </si>
  <si>
    <r>
      <t xml:space="preserve">περι παντων ων ειδον </t>
    </r>
    <r>
      <rPr>
        <b/>
        <sz val="11"/>
        <color theme="1"/>
        <rFont val="Calibri"/>
        <family val="2"/>
        <scheme val="minor"/>
      </rPr>
      <t>γεινομενων</t>
    </r>
    <r>
      <rPr>
        <sz val="11"/>
        <color theme="1"/>
        <rFont val="Calibri"/>
        <family val="2"/>
        <scheme val="minor"/>
      </rPr>
      <t xml:space="preserve"> (38) λεγοντες</t>
    </r>
  </si>
  <si>
    <r>
      <t xml:space="preserve">περι πασων ων ειδον </t>
    </r>
    <r>
      <rPr>
        <b/>
        <sz val="11"/>
        <color theme="1"/>
        <rFont val="Calibri"/>
        <family val="2"/>
        <scheme val="minor"/>
      </rPr>
      <t>γενομενων</t>
    </r>
    <r>
      <rPr>
        <sz val="11"/>
        <color theme="1"/>
        <rFont val="Calibri"/>
        <family val="2"/>
        <scheme val="minor"/>
      </rPr>
      <t xml:space="preserve"> (38) λεγοντες</t>
    </r>
  </si>
  <si>
    <t>ονοματι κυριου ειρηνη</t>
  </si>
  <si>
    <t>ονοματι κυ ευλογημενος ο βασιλευς ειρηνη</t>
  </si>
  <si>
    <t>απο των οφθαλμων</t>
  </si>
  <si>
    <t>απο οφθαλμων</t>
  </si>
  <si>
    <t xml:space="preserve">εδαφιουσιν σε </t>
  </si>
  <si>
    <t>εδαφιουσι σε</t>
  </si>
  <si>
    <t>επι λιθον εν ολη</t>
  </si>
  <si>
    <t>επι λιθω εν ολη</t>
  </si>
  <si>
    <t>οι αρχιερις</t>
  </si>
  <si>
    <t>οι ιερις</t>
  </si>
  <si>
    <t>λογον και ειπατε</t>
  </si>
  <si>
    <t>λογον ον ειπατε</t>
  </si>
  <si>
    <r>
      <t xml:space="preserve">βαπτισμα </t>
    </r>
    <r>
      <rPr>
        <b/>
        <sz val="11"/>
        <color theme="1"/>
        <rFont val="Calibri"/>
        <family val="2"/>
        <scheme val="minor"/>
      </rPr>
      <t>του</t>
    </r>
    <r>
      <rPr>
        <sz val="11"/>
        <color theme="1"/>
        <rFont val="Calibri"/>
        <family val="2"/>
        <scheme val="minor"/>
      </rPr>
      <t xml:space="preserve"> ιωαννου</t>
    </r>
  </si>
  <si>
    <r>
      <t xml:space="preserve">βαπτισμα </t>
    </r>
    <r>
      <rPr>
        <b/>
        <sz val="11"/>
        <color theme="1"/>
        <rFont val="Calibri"/>
        <family val="2"/>
        <scheme val="minor"/>
      </rPr>
      <t>το</t>
    </r>
    <r>
      <rPr>
        <sz val="11"/>
        <color theme="1"/>
        <rFont val="Calibri"/>
        <family val="2"/>
        <scheme val="minor"/>
      </rPr>
      <t xml:space="preserve"> ιωανου</t>
    </r>
  </si>
  <si>
    <r>
      <t xml:space="preserve">βαπτισμα το </t>
    </r>
    <r>
      <rPr>
        <b/>
        <sz val="11"/>
        <color theme="1"/>
        <rFont val="Calibri"/>
        <family val="2"/>
        <scheme val="minor"/>
      </rPr>
      <t>ιωανου</t>
    </r>
  </si>
  <si>
    <r>
      <t xml:space="preserve">βαπτισμα του </t>
    </r>
    <r>
      <rPr>
        <b/>
        <sz val="11"/>
        <color theme="1"/>
        <rFont val="Calibri"/>
        <family val="2"/>
        <scheme val="minor"/>
      </rPr>
      <t>ιωαννου</t>
    </r>
  </si>
  <si>
    <t xml:space="preserve">λαος απας </t>
  </si>
  <si>
    <t xml:space="preserve">λαος πας </t>
  </si>
  <si>
    <t>Bezae corrects to εξαπεστιλαν</t>
  </si>
  <si>
    <t>αυτους ειρηκεν την παραβολην ταυτην (20) και αποχωρησαντες</t>
  </si>
  <si>
    <t>αυτους την παραβολην ταυτην ειρηκεν (20) και αποχωρησαντες</t>
  </si>
  <si>
    <t>επιλαβωνται αυτου</t>
  </si>
  <si>
    <t>επιλαβωσιν αυτου</t>
  </si>
  <si>
    <t>λαμβανεις το προσωπον</t>
  </si>
  <si>
    <t>λαμβανεις προσωπον</t>
  </si>
  <si>
    <t>πειραζετε (24) δειξατε</t>
  </si>
  <si>
    <t>πειραζετε (24) επιδειξατε</t>
  </si>
  <si>
    <t>μοι νομισμα</t>
  </si>
  <si>
    <t>μοι το νομισμα</t>
  </si>
  <si>
    <t>αυτου (29) παρ ημειν επτα αδελφοι ησαν και</t>
  </si>
  <si>
    <t>αυτου (29) ησαν παρ ημειν επτα αδελφοι και</t>
  </si>
  <si>
    <t xml:space="preserve">εσται γυνη </t>
  </si>
  <si>
    <t xml:space="preserve">εσται η γυνη </t>
  </si>
  <si>
    <t>ειπεν οι προς αυτους υιοι</t>
  </si>
  <si>
    <t>ειπεν προς αυτους οι υιοι</t>
  </si>
  <si>
    <t>γεννωσιν γαμουνται και γαμουσιν (35) οι δε</t>
  </si>
  <si>
    <t>γεννωσιν γαμουσιν και γαμουνται (35) οι δε</t>
  </si>
  <si>
    <t xml:space="preserve">νεκροι μωυσης </t>
  </si>
  <si>
    <t>εως τιθω τους εχθρους</t>
  </si>
  <si>
    <t>εως τε θω τους εχθρους</t>
  </si>
  <si>
    <t>αυτον καλει πως</t>
  </si>
  <si>
    <t>αυτον λεγει πως</t>
  </si>
  <si>
    <t>μαθηταις αυτου (46) προσεχετε</t>
  </si>
  <si>
    <t>μαθηταις (46) προσεχετε</t>
  </si>
  <si>
    <t xml:space="preserve">λημψονται περισσοτερον </t>
  </si>
  <si>
    <t>λημψεται περισσοτερον</t>
  </si>
  <si>
    <t>ειδεν τους βαλλοντας</t>
  </si>
  <si>
    <t>ειδε τους βαλλοντας</t>
  </si>
  <si>
    <t>παντερ γαρ</t>
  </si>
  <si>
    <t>παντες γαρ</t>
  </si>
  <si>
    <t>ταυτα α θεωρειτε</t>
  </si>
  <si>
    <t>ταυτα θεωρειτε</t>
  </si>
  <si>
    <t>ωδε ως ου καταλυθησεται</t>
  </si>
  <si>
    <t>ωδε ος ου καταλυθησεται</t>
  </si>
  <si>
    <t>της σης ελευσεως</t>
  </si>
  <si>
    <t>της ελευσεως</t>
  </si>
  <si>
    <t xml:space="preserve">ενεκα του ονοματος </t>
  </si>
  <si>
    <t xml:space="preserve">ενεκεν του ονοματος </t>
  </si>
  <si>
    <t>υμειν ις μαρτυριον</t>
  </si>
  <si>
    <t>υμειν εις μαρτυριον</t>
  </si>
  <si>
    <t>εις τα ορη</t>
  </si>
  <si>
    <t>εις τ ορη</t>
  </si>
  <si>
    <t>και εν μεσω</t>
  </si>
  <si>
    <t>και οι εν μεσω</t>
  </si>
  <si>
    <t>εκχωεκχωρειτωσαν</t>
  </si>
  <si>
    <t>αποψυχοντων ανθρωπων</t>
  </si>
  <si>
    <t>αποψυχοντων των ανθρωπων</t>
  </si>
  <si>
    <t>δυναμει πολλη και δοξη</t>
  </si>
  <si>
    <t>δυναμει και πολλη δοξη</t>
  </si>
  <si>
    <t>κεφαλας υμων διοτι</t>
  </si>
  <si>
    <t>κεφαλας διοτι</t>
  </si>
  <si>
    <t>και ειπε παραβολην</t>
  </si>
  <si>
    <t>και ειπεν παραβολην</t>
  </si>
  <si>
    <r>
      <t xml:space="preserve">δενδρα (30) οταν προβαλωσιν τον καρπον αυτων </t>
    </r>
    <r>
      <rPr>
        <b/>
        <sz val="11"/>
        <color theme="1"/>
        <rFont val="Calibri"/>
        <family val="2"/>
        <scheme val="minor"/>
      </rPr>
      <t>γεινωσκεται</t>
    </r>
    <r>
      <rPr>
        <sz val="11"/>
        <color theme="1"/>
        <rFont val="Calibri"/>
        <family val="2"/>
        <scheme val="minor"/>
      </rPr>
      <t xml:space="preserve"> ηδη οτι εγγυς</t>
    </r>
  </si>
  <si>
    <r>
      <t>δενδρα</t>
    </r>
    <r>
      <rPr>
        <b/>
        <sz val="11"/>
        <color theme="1"/>
        <rFont val="Calibri"/>
        <family val="2"/>
        <scheme val="minor"/>
      </rPr>
      <t xml:space="preserve"> και καρπον αυτων </t>
    </r>
    <r>
      <rPr>
        <sz val="11"/>
        <color theme="1"/>
        <rFont val="Calibri"/>
        <family val="2"/>
        <scheme val="minor"/>
      </rPr>
      <t xml:space="preserve">(30) οταν προβαλωσιν γινωσκεται ηδη οτι εγγυς </t>
    </r>
  </si>
  <si>
    <r>
      <t xml:space="preserve">δενδρα και καρπον αυτων (30) οταν προβαλωσιν </t>
    </r>
    <r>
      <rPr>
        <b/>
        <sz val="11"/>
        <color theme="1"/>
        <rFont val="Calibri"/>
        <family val="2"/>
        <scheme val="minor"/>
      </rPr>
      <t>γινωσκεται</t>
    </r>
    <r>
      <rPr>
        <sz val="11"/>
        <color theme="1"/>
        <rFont val="Calibri"/>
        <family val="2"/>
        <scheme val="minor"/>
      </rPr>
      <t xml:space="preserve">  ηδη οτι εγγυς</t>
    </r>
  </si>
  <si>
    <t>υμας ενιφνιος ημερα</t>
  </si>
  <si>
    <t>υμας αιφνιδιος ημερα</t>
  </si>
  <si>
    <t>Bezae corrects ενιφνιος -&gt; εφνιος</t>
  </si>
  <si>
    <t>επισελευσεται επι</t>
  </si>
  <si>
    <t>επισελευσεται γαρ επι</t>
  </si>
  <si>
    <t>ταυτα παντα μελλοντα</t>
  </si>
  <si>
    <t>ταυτα παντα τα μελλοντα</t>
  </si>
  <si>
    <t>Bezae corrects to ηυληζετο</t>
  </si>
  <si>
    <t>γραμματεις εζητουν πως</t>
  </si>
  <si>
    <t>γραμματεις το πως</t>
  </si>
  <si>
    <t>εφοβουντο</t>
  </si>
  <si>
    <t>ισκαριωδ οντα</t>
  </si>
  <si>
    <t>ισκαριωθ οντα</t>
  </si>
  <si>
    <t>αριθμου εκ των ιβ</t>
  </si>
  <si>
    <t>Bezae marks εκ for deletion, B.10.3 does not follow</t>
  </si>
  <si>
    <t>αυτον (5) και εχαρησαν</t>
  </si>
  <si>
    <t>αυτον (5) και και εχαρησαν</t>
  </si>
  <si>
    <t>αργυριον δουναι (6) και</t>
  </si>
  <si>
    <t>αργυριον (6) και</t>
  </si>
  <si>
    <t>οικον μεγα εστρωμενον</t>
  </si>
  <si>
    <t>οικον εστρωμενον</t>
  </si>
  <si>
    <t>ειρηκει αυτος</t>
  </si>
  <si>
    <t>ειρηκει αυτοις</t>
  </si>
  <si>
    <t>ουκ ετι φαγομαι</t>
  </si>
  <si>
    <t>ουκετι μη φαγομαι</t>
  </si>
  <si>
    <t>υμειν ου μη πιω</t>
  </si>
  <si>
    <t>υμειν απο του νυν ου μη πιω</t>
  </si>
  <si>
    <t>εδωκεν αυτοις λεγων</t>
  </si>
  <si>
    <t>εδωκεν αυτον λεγων</t>
  </si>
  <si>
    <t>τις αν ιη μειζων (25) ο δε</t>
  </si>
  <si>
    <r>
      <t xml:space="preserve">τις αν </t>
    </r>
    <r>
      <rPr>
        <b/>
        <sz val="11"/>
        <color theme="1"/>
        <rFont val="Calibri"/>
        <family val="2"/>
        <scheme val="minor"/>
      </rPr>
      <t>ιη</t>
    </r>
    <r>
      <rPr>
        <sz val="11"/>
        <color theme="1"/>
        <rFont val="Calibri"/>
        <family val="2"/>
        <scheme val="minor"/>
      </rPr>
      <t xml:space="preserve"> μειζων (25) ο δε</t>
    </r>
  </si>
  <si>
    <r>
      <t xml:space="preserve">τις αν </t>
    </r>
    <r>
      <rPr>
        <b/>
        <sz val="11"/>
        <color theme="1"/>
        <rFont val="Calibri"/>
        <family val="2"/>
        <scheme val="minor"/>
      </rPr>
      <t>ειη</t>
    </r>
    <r>
      <rPr>
        <sz val="11"/>
        <color theme="1"/>
        <rFont val="Calibri"/>
        <family val="2"/>
        <scheme val="minor"/>
      </rPr>
      <t xml:space="preserve"> ο μειζων (25) ο δε</t>
    </r>
  </si>
  <si>
    <r>
      <t xml:space="preserve">τις αν ειη </t>
    </r>
    <r>
      <rPr>
        <b/>
        <sz val="11"/>
        <color theme="1"/>
        <rFont val="Calibri"/>
        <family val="2"/>
        <scheme val="minor"/>
      </rPr>
      <t>ο</t>
    </r>
    <r>
      <rPr>
        <sz val="11"/>
        <color theme="1"/>
        <rFont val="Calibri"/>
        <family val="2"/>
        <scheme val="minor"/>
      </rPr>
      <t xml:space="preserve"> μειζων (25) ο δε</t>
    </r>
  </si>
  <si>
    <t>ως μεικροτερος</t>
  </si>
  <si>
    <r>
      <t xml:space="preserve">ως </t>
    </r>
    <r>
      <rPr>
        <b/>
        <sz val="11"/>
        <color theme="1"/>
        <rFont val="Calibri"/>
        <family val="2"/>
        <scheme val="minor"/>
      </rPr>
      <t>ο</t>
    </r>
    <r>
      <rPr>
        <sz val="11"/>
        <color theme="1"/>
        <rFont val="Calibri"/>
        <family val="2"/>
        <scheme val="minor"/>
      </rPr>
      <t xml:space="preserve"> μικροτερος</t>
    </r>
  </si>
  <si>
    <r>
      <t xml:space="preserve">ως ο </t>
    </r>
    <r>
      <rPr>
        <b/>
        <sz val="11"/>
        <color theme="1"/>
        <rFont val="Calibri"/>
        <family val="2"/>
        <scheme val="minor"/>
      </rPr>
      <t>μικροτερος</t>
    </r>
  </si>
  <si>
    <r>
      <t xml:space="preserve">ως </t>
    </r>
    <r>
      <rPr>
        <b/>
        <sz val="11"/>
        <color theme="1"/>
        <rFont val="Calibri"/>
        <family val="2"/>
        <scheme val="minor"/>
      </rPr>
      <t>μεικροτερος</t>
    </r>
  </si>
  <si>
    <t>ηλθον ως</t>
  </si>
  <si>
    <t>ηλθον ουχ ως</t>
  </si>
  <si>
    <t>υμεις δε ηυξηθητε</t>
  </si>
  <si>
    <t>και υμεις ηυξηθητε</t>
  </si>
  <si>
    <t xml:space="preserve">διεθετο μοι ο πατηρ </t>
  </si>
  <si>
    <t xml:space="preserve">διεθετο μοι ο μοι ο πατηρ </t>
  </si>
  <si>
    <t>εσθιητε</t>
  </si>
  <si>
    <r>
      <t xml:space="preserve">επι </t>
    </r>
    <r>
      <rPr>
        <b/>
        <sz val="11"/>
        <color theme="1"/>
        <rFont val="Calibri"/>
        <family val="2"/>
        <scheme val="minor"/>
      </rPr>
      <t>ιβ θρονους</t>
    </r>
    <r>
      <rPr>
        <sz val="11"/>
        <color theme="1"/>
        <rFont val="Calibri"/>
        <family val="2"/>
        <scheme val="minor"/>
      </rPr>
      <t xml:space="preserve"> κρεινοντες</t>
    </r>
  </si>
  <si>
    <r>
      <t xml:space="preserve">επι </t>
    </r>
    <r>
      <rPr>
        <b/>
        <sz val="11"/>
        <color theme="1"/>
        <rFont val="Calibri"/>
        <family val="2"/>
        <scheme val="minor"/>
      </rPr>
      <t>θρονων ιβ</t>
    </r>
    <r>
      <rPr>
        <sz val="11"/>
        <color theme="1"/>
        <rFont val="Calibri"/>
        <family val="2"/>
        <scheme val="minor"/>
      </rPr>
      <t xml:space="preserve"> κρεινοντες</t>
    </r>
  </si>
  <si>
    <r>
      <t xml:space="preserve">επι ιβ </t>
    </r>
    <r>
      <rPr>
        <b/>
        <sz val="11"/>
        <color theme="1"/>
        <rFont val="Calibri"/>
        <family val="2"/>
        <scheme val="minor"/>
      </rPr>
      <t>θρονους</t>
    </r>
    <r>
      <rPr>
        <sz val="11"/>
        <color theme="1"/>
        <rFont val="Calibri"/>
        <family val="2"/>
        <scheme val="minor"/>
      </rPr>
      <t xml:space="preserve"> κρεινοντες</t>
    </r>
  </si>
  <si>
    <r>
      <t xml:space="preserve">επι </t>
    </r>
    <r>
      <rPr>
        <b/>
        <sz val="11"/>
        <color theme="1"/>
        <rFont val="Calibri"/>
        <family val="2"/>
        <scheme val="minor"/>
      </rPr>
      <t>θρονων</t>
    </r>
    <r>
      <rPr>
        <sz val="11"/>
        <color theme="1"/>
        <rFont val="Calibri"/>
        <family val="2"/>
        <scheme val="minor"/>
      </rPr>
      <t xml:space="preserve"> ιβ κρεινοντες</t>
    </r>
  </si>
  <si>
    <t xml:space="preserve">εκλιπη </t>
  </si>
  <si>
    <t xml:space="preserve">εκλειπη </t>
  </si>
  <si>
    <t>στηριξον αδελφους</t>
  </si>
  <si>
    <t>στηριξον τους αδελφους</t>
  </si>
  <si>
    <t>τρις απαρνηση</t>
  </si>
  <si>
    <t>τρις με απαρνηση</t>
  </si>
  <si>
    <t>ειπαν ιδου κε δυο</t>
  </si>
  <si>
    <t>ειπαν κε ιδου δυο</t>
  </si>
  <si>
    <t>μαθηται αυτου (40) γενομενος</t>
  </si>
  <si>
    <t>μαθηται (40) γενομενος</t>
  </si>
  <si>
    <t>λεγων πατερ μη το θελημα μου αλλα το σον γενεσθω ει βουλει παρενεγκε τουτο το ποτηριον απ εμου (43) ωφθη</t>
  </si>
  <si>
    <r>
      <t xml:space="preserve">λεγων πατερ </t>
    </r>
    <r>
      <rPr>
        <b/>
        <sz val="11"/>
        <color theme="1"/>
        <rFont val="Calibri"/>
        <family val="2"/>
        <scheme val="minor"/>
      </rPr>
      <t>μη το θελημα μου αλλα το σον γενεσθω ει βουλει παρενεγκε τουτο το ποτηριον απ εμου</t>
    </r>
    <r>
      <rPr>
        <sz val="11"/>
        <color theme="1"/>
        <rFont val="Calibri"/>
        <family val="2"/>
        <scheme val="minor"/>
      </rPr>
      <t xml:space="preserve"> (43) ωφθη</t>
    </r>
  </si>
  <si>
    <r>
      <t xml:space="preserve">λεγων πατερ </t>
    </r>
    <r>
      <rPr>
        <b/>
        <sz val="11"/>
        <color theme="1"/>
        <rFont val="Calibri"/>
        <family val="2"/>
        <scheme val="minor"/>
      </rPr>
      <t>ει βουλει τουτο το ποτηριον παρενεγκε απ εμου</t>
    </r>
    <r>
      <rPr>
        <sz val="11"/>
        <color theme="1"/>
        <rFont val="Calibri"/>
        <family val="2"/>
        <scheme val="minor"/>
      </rPr>
      <t xml:space="preserve"> πλην </t>
    </r>
    <r>
      <rPr>
        <b/>
        <sz val="11"/>
        <color theme="1"/>
        <rFont val="Calibri"/>
        <family val="2"/>
        <scheme val="minor"/>
      </rPr>
      <t>μη το θελημα μου αλλα το σον γενεσθω</t>
    </r>
    <r>
      <rPr>
        <sz val="11"/>
        <color theme="1"/>
        <rFont val="Calibri"/>
        <family val="2"/>
        <scheme val="minor"/>
      </rPr>
      <t xml:space="preserve"> (43) ωφθη</t>
    </r>
  </si>
  <si>
    <r>
      <t xml:space="preserve">λεγων πατερ ει βουλει τουτο το ποτηριον παρενεγκε απ εμου </t>
    </r>
    <r>
      <rPr>
        <b/>
        <sz val="11"/>
        <color theme="1"/>
        <rFont val="Calibri"/>
        <family val="2"/>
        <scheme val="minor"/>
      </rPr>
      <t>πλην</t>
    </r>
    <r>
      <rPr>
        <sz val="11"/>
        <color theme="1"/>
        <rFont val="Calibri"/>
        <family val="2"/>
        <scheme val="minor"/>
      </rPr>
      <t xml:space="preserve"> μη το θελημα μου αλλα το σον γενεσθω (43) ωφθη</t>
    </r>
  </si>
  <si>
    <t>καθευδετε ανασταντες προσευχεσθε</t>
  </si>
  <si>
    <t>καθευδετε ανασταντες ανασταντες προσευχεσθε</t>
  </si>
  <si>
    <r>
      <t xml:space="preserve">καλουμενου ιουδας </t>
    </r>
    <r>
      <rPr>
        <b/>
        <sz val="11"/>
        <color theme="1"/>
        <rFont val="Calibri"/>
        <family val="2"/>
        <scheme val="minor"/>
      </rPr>
      <t>ισκαριωθ</t>
    </r>
  </si>
  <si>
    <r>
      <t xml:space="preserve">καλουμενος ιουδας </t>
    </r>
    <r>
      <rPr>
        <b/>
        <sz val="11"/>
        <color theme="1"/>
        <rFont val="Calibri"/>
        <family val="2"/>
        <scheme val="minor"/>
      </rPr>
      <t>εισκαριωθ</t>
    </r>
  </si>
  <si>
    <t>και εγγισας εφιλησεν τον ιην τουτο γαρ</t>
  </si>
  <si>
    <r>
      <t xml:space="preserve">και </t>
    </r>
    <r>
      <rPr>
        <b/>
        <sz val="11"/>
        <color theme="1"/>
        <rFont val="Calibri"/>
        <family val="2"/>
        <scheme val="minor"/>
      </rPr>
      <t>εγγισας</t>
    </r>
    <r>
      <rPr>
        <sz val="11"/>
        <color theme="1"/>
        <rFont val="Calibri"/>
        <family val="2"/>
        <scheme val="minor"/>
      </rPr>
      <t xml:space="preserve"> εφιλησεν τον ιην τουτο γαρ</t>
    </r>
  </si>
  <si>
    <r>
      <t xml:space="preserve">και εγγισας </t>
    </r>
    <r>
      <rPr>
        <b/>
        <sz val="11"/>
        <color theme="1"/>
        <rFont val="Calibri"/>
        <family val="2"/>
        <scheme val="minor"/>
      </rPr>
      <t>εφιλησεν τον ιην</t>
    </r>
    <r>
      <rPr>
        <sz val="11"/>
        <color theme="1"/>
        <rFont val="Calibri"/>
        <family val="2"/>
        <scheme val="minor"/>
      </rPr>
      <t xml:space="preserve"> τουτο γαρ</t>
    </r>
  </si>
  <si>
    <r>
      <t xml:space="preserve">και εγγισας </t>
    </r>
    <r>
      <rPr>
        <b/>
        <sz val="11"/>
        <color theme="1"/>
        <rFont val="Calibri"/>
        <family val="2"/>
        <scheme val="minor"/>
      </rPr>
      <t>εφιλησεν</t>
    </r>
    <r>
      <rPr>
        <sz val="11"/>
        <color theme="1"/>
        <rFont val="Calibri"/>
        <family val="2"/>
        <scheme val="minor"/>
      </rPr>
      <t xml:space="preserve"> τον ιην τουτο γαρ</t>
    </r>
  </si>
  <si>
    <r>
      <t xml:space="preserve">και εγγισας εφιλησεν </t>
    </r>
    <r>
      <rPr>
        <b/>
        <sz val="11"/>
        <color theme="1"/>
        <rFont val="Calibri"/>
        <family val="2"/>
        <scheme val="minor"/>
      </rPr>
      <t>τον ιην</t>
    </r>
    <r>
      <rPr>
        <sz val="11"/>
        <color theme="1"/>
        <rFont val="Calibri"/>
        <family val="2"/>
        <scheme val="minor"/>
      </rPr>
      <t xml:space="preserve"> τουτο γαρ</t>
    </r>
  </si>
  <si>
    <r>
      <t xml:space="preserve">και </t>
    </r>
    <r>
      <rPr>
        <b/>
        <sz val="11"/>
        <color theme="1"/>
        <rFont val="Calibri"/>
        <family val="2"/>
        <scheme val="minor"/>
      </rPr>
      <t>ηγγισε</t>
    </r>
    <r>
      <rPr>
        <sz val="11"/>
        <color theme="1"/>
        <rFont val="Calibri"/>
        <family val="2"/>
        <scheme val="minor"/>
      </rPr>
      <t xml:space="preserve"> τω ιυ φιλησαι αυτον τουτο γαρ</t>
    </r>
  </si>
  <si>
    <r>
      <t xml:space="preserve">και ηγγισε </t>
    </r>
    <r>
      <rPr>
        <b/>
        <sz val="11"/>
        <color theme="1"/>
        <rFont val="Calibri"/>
        <family val="2"/>
        <scheme val="minor"/>
      </rPr>
      <t>τω ιυ φιλησαι</t>
    </r>
    <r>
      <rPr>
        <sz val="11"/>
        <color theme="1"/>
        <rFont val="Calibri"/>
        <family val="2"/>
        <scheme val="minor"/>
      </rPr>
      <t xml:space="preserve"> αυτον τουτο γαρ</t>
    </r>
  </si>
  <si>
    <r>
      <t xml:space="preserve">και ηγγισε τω ιυ </t>
    </r>
    <r>
      <rPr>
        <b/>
        <sz val="11"/>
        <color theme="1"/>
        <rFont val="Calibri"/>
        <family val="2"/>
        <scheme val="minor"/>
      </rPr>
      <t>φιλησαι</t>
    </r>
    <r>
      <rPr>
        <sz val="11"/>
        <color theme="1"/>
        <rFont val="Calibri"/>
        <family val="2"/>
        <scheme val="minor"/>
      </rPr>
      <t xml:space="preserve"> αυτον τουτο γαρ</t>
    </r>
  </si>
  <si>
    <r>
      <t xml:space="preserve">και ηγγισε </t>
    </r>
    <r>
      <rPr>
        <b/>
        <sz val="11"/>
        <color theme="1"/>
        <rFont val="Calibri"/>
        <family val="2"/>
        <scheme val="minor"/>
      </rPr>
      <t>τω ιυ</t>
    </r>
    <r>
      <rPr>
        <sz val="11"/>
        <color theme="1"/>
        <rFont val="Calibri"/>
        <family val="2"/>
        <scheme val="minor"/>
      </rPr>
      <t xml:space="preserve"> φιλησαι αυτον τουτο γαρ</t>
    </r>
  </si>
  <si>
    <r>
      <t xml:space="preserve">και ηγγισε τω ιυ φιλησαι </t>
    </r>
    <r>
      <rPr>
        <b/>
        <sz val="11"/>
        <color theme="1"/>
        <rFont val="Calibri"/>
        <family val="2"/>
        <scheme val="minor"/>
      </rPr>
      <t>αυτον</t>
    </r>
    <r>
      <rPr>
        <sz val="11"/>
        <color theme="1"/>
        <rFont val="Calibri"/>
        <family val="2"/>
        <scheme val="minor"/>
      </rPr>
      <t xml:space="preserve"> τουτο γαρ</t>
    </r>
  </si>
  <si>
    <t>ειπεν τω ιουδα φιληματι</t>
  </si>
  <si>
    <r>
      <t xml:space="preserve">ειπεν </t>
    </r>
    <r>
      <rPr>
        <b/>
        <sz val="11"/>
        <color theme="1"/>
        <rFont val="Calibri"/>
        <family val="2"/>
        <scheme val="minor"/>
      </rPr>
      <t>τω</t>
    </r>
    <r>
      <rPr>
        <sz val="11"/>
        <color theme="1"/>
        <rFont val="Calibri"/>
        <family val="2"/>
        <scheme val="minor"/>
      </rPr>
      <t xml:space="preserve"> ιουδα φιληματι</t>
    </r>
  </si>
  <si>
    <r>
      <t xml:space="preserve">ειπεν </t>
    </r>
    <r>
      <rPr>
        <b/>
        <sz val="11"/>
        <color theme="1"/>
        <rFont val="Calibri"/>
        <family val="2"/>
        <scheme val="minor"/>
      </rPr>
      <t>αυτω</t>
    </r>
    <r>
      <rPr>
        <sz val="11"/>
        <color theme="1"/>
        <rFont val="Calibri"/>
        <family val="2"/>
        <scheme val="minor"/>
      </rPr>
      <t xml:space="preserve"> ιουδα τω φιληματι</t>
    </r>
  </si>
  <si>
    <r>
      <t xml:space="preserve">ειπεν αυτω ιουδα </t>
    </r>
    <r>
      <rPr>
        <b/>
        <sz val="11"/>
        <color theme="1"/>
        <rFont val="Calibri"/>
        <family val="2"/>
        <scheme val="minor"/>
      </rPr>
      <t>τω</t>
    </r>
    <r>
      <rPr>
        <sz val="11"/>
        <color theme="1"/>
        <rFont val="Calibri"/>
        <family val="2"/>
        <scheme val="minor"/>
      </rPr>
      <t xml:space="preserve"> φιληματι</t>
    </r>
  </si>
  <si>
    <t>παταξομεν εν μαχαιρη</t>
  </si>
  <si>
    <t>παταξομεν μαχαιρη</t>
  </si>
  <si>
    <t xml:space="preserve">τις εξ αυτων </t>
  </si>
  <si>
    <t xml:space="preserve">τις εκ αυτων </t>
  </si>
  <si>
    <t>εξετινατε</t>
  </si>
  <si>
    <t xml:space="preserve">αλλα αυτη </t>
  </si>
  <si>
    <t xml:space="preserve">αλλ αυτη </t>
  </si>
  <si>
    <t>και εξουσια το σκοτος (54) συνλαβοντες</t>
  </si>
  <si>
    <r>
      <t xml:space="preserve">και </t>
    </r>
    <r>
      <rPr>
        <b/>
        <sz val="11"/>
        <color theme="1"/>
        <rFont val="Calibri"/>
        <family val="2"/>
        <scheme val="minor"/>
      </rPr>
      <t>η</t>
    </r>
    <r>
      <rPr>
        <sz val="11"/>
        <color theme="1"/>
        <rFont val="Calibri"/>
        <family val="2"/>
        <scheme val="minor"/>
      </rPr>
      <t xml:space="preserve"> εξουσια του σκοτους (54) συνλαβοντες</t>
    </r>
  </si>
  <si>
    <r>
      <t xml:space="preserve">και εξουσια </t>
    </r>
    <r>
      <rPr>
        <b/>
        <sz val="11"/>
        <color theme="1"/>
        <rFont val="Calibri"/>
        <family val="2"/>
        <scheme val="minor"/>
      </rPr>
      <t>το σκοτος</t>
    </r>
    <r>
      <rPr>
        <sz val="11"/>
        <color theme="1"/>
        <rFont val="Calibri"/>
        <family val="2"/>
        <scheme val="minor"/>
      </rPr>
      <t xml:space="preserve"> (54) συνλαβοντες</t>
    </r>
  </si>
  <si>
    <r>
      <t xml:space="preserve">και η εξουσια </t>
    </r>
    <r>
      <rPr>
        <b/>
        <sz val="11"/>
        <color theme="1"/>
        <rFont val="Calibri"/>
        <family val="2"/>
        <scheme val="minor"/>
      </rPr>
      <t>του σκοτους</t>
    </r>
    <r>
      <rPr>
        <sz val="11"/>
        <color theme="1"/>
        <rFont val="Calibri"/>
        <family val="2"/>
        <scheme val="minor"/>
      </rPr>
      <t xml:space="preserve"> (54) συνλαβοντες</t>
    </r>
  </si>
  <si>
    <t>(55) θερμαινομενος (56) ειδουσα δε αυτον</t>
  </si>
  <si>
    <t>(55) θερμαινομενος (56) ιδους δε αυτον</t>
  </si>
  <si>
    <t>ουτος ουν αυτω</t>
  </si>
  <si>
    <t>ουτος συν αυτω</t>
  </si>
  <si>
    <t>ηρνησατο αυτον λεγων</t>
  </si>
  <si>
    <t>Bezae omits αυτον, B.10.3 does not follow</t>
  </si>
  <si>
    <t>ετερος ιδων</t>
  </si>
  <si>
    <t>ετερος ειδων</t>
  </si>
  <si>
    <t>στραφεις δε ο κυριος</t>
  </si>
  <si>
    <t>στραφεις δε ο ιης</t>
  </si>
  <si>
    <t>τω πετρω και υπεμνησθη</t>
  </si>
  <si>
    <t>τω πετω πετρω υπεμνησθη</t>
  </si>
  <si>
    <r>
      <t xml:space="preserve">τω </t>
    </r>
    <r>
      <rPr>
        <b/>
        <sz val="11"/>
        <color theme="1"/>
        <rFont val="Calibri"/>
        <family val="2"/>
        <scheme val="minor"/>
      </rPr>
      <t>πετω</t>
    </r>
    <r>
      <rPr>
        <sz val="11"/>
        <color theme="1"/>
        <rFont val="Calibri"/>
        <family val="2"/>
        <scheme val="minor"/>
      </rPr>
      <t xml:space="preserve"> πετρω υπεμνησθη</t>
    </r>
  </si>
  <si>
    <r>
      <t xml:space="preserve">τω πετρω </t>
    </r>
    <r>
      <rPr>
        <b/>
        <sz val="11"/>
        <color theme="1"/>
        <rFont val="Calibri"/>
        <family val="2"/>
        <scheme val="minor"/>
      </rPr>
      <t>και</t>
    </r>
    <r>
      <rPr>
        <sz val="11"/>
        <color theme="1"/>
        <rFont val="Calibri"/>
        <family val="2"/>
        <scheme val="minor"/>
      </rPr>
      <t xml:space="preserve"> υπεμνησθη</t>
    </r>
  </si>
  <si>
    <t>τρεις απαρνηση (62) και εξελθων</t>
  </si>
  <si>
    <t>τρεις απαρνηση με μη ειδεναι με (62) και εξελθων</t>
  </si>
  <si>
    <t>και ως εγενετο ημερα συνηχθη</t>
  </si>
  <si>
    <t>και εγενετο ημερα ημερα συνηχθη</t>
  </si>
  <si>
    <r>
      <t xml:space="preserve">και </t>
    </r>
    <r>
      <rPr>
        <b/>
        <sz val="11"/>
        <color theme="1"/>
        <rFont val="Calibri"/>
        <family val="2"/>
        <scheme val="minor"/>
      </rPr>
      <t>ως</t>
    </r>
    <r>
      <rPr>
        <sz val="11"/>
        <color theme="1"/>
        <rFont val="Calibri"/>
        <family val="2"/>
        <scheme val="minor"/>
      </rPr>
      <t xml:space="preserve"> εγενετο ημερα συνηχθη</t>
    </r>
  </si>
  <si>
    <r>
      <t xml:space="preserve">και εγενετο ημερα </t>
    </r>
    <r>
      <rPr>
        <b/>
        <sz val="11"/>
        <color theme="1"/>
        <rFont val="Calibri"/>
        <family val="2"/>
        <scheme val="minor"/>
      </rPr>
      <t>ημερα</t>
    </r>
    <r>
      <rPr>
        <sz val="11"/>
        <color theme="1"/>
        <rFont val="Calibri"/>
        <family val="2"/>
        <scheme val="minor"/>
      </rPr>
      <t xml:space="preserve"> συνηχθη</t>
    </r>
  </si>
  <si>
    <t>απολυσητει (69) απο</t>
  </si>
  <si>
    <t>απολυσητε (69) απο</t>
  </si>
  <si>
    <t>ηγαγον αυτον αυτον επι πειλατον</t>
  </si>
  <si>
    <t>ηγαγον αυτον επι πειλατον</t>
  </si>
  <si>
    <t>τουτον ευρομεν διαστρεφοντα</t>
  </si>
  <si>
    <t>τουτον ευρον διαστρεφοντα</t>
  </si>
  <si>
    <t>πιλατος γαλιλαιαν</t>
  </si>
  <si>
    <r>
      <rPr>
        <b/>
        <sz val="11"/>
        <color theme="1"/>
        <rFont val="Calibri"/>
        <family val="2"/>
        <scheme val="minor"/>
      </rPr>
      <t>πειλατος</t>
    </r>
    <r>
      <rPr>
        <sz val="11"/>
        <color theme="1"/>
        <rFont val="Calibri"/>
        <family val="2"/>
        <scheme val="minor"/>
      </rPr>
      <t xml:space="preserve"> την γαλιλαιαν</t>
    </r>
  </si>
  <si>
    <r>
      <rPr>
        <b/>
        <sz val="11"/>
        <color theme="1"/>
        <rFont val="Calibri"/>
        <family val="2"/>
        <scheme val="minor"/>
      </rPr>
      <t>πιλατος</t>
    </r>
    <r>
      <rPr>
        <sz val="11"/>
        <color theme="1"/>
        <rFont val="Calibri"/>
        <family val="2"/>
        <scheme val="minor"/>
      </rPr>
      <t xml:space="preserve"> γαλιλαιαν</t>
    </r>
  </si>
  <si>
    <r>
      <t xml:space="preserve">πειλατος </t>
    </r>
    <r>
      <rPr>
        <b/>
        <sz val="11"/>
        <color theme="1"/>
        <rFont val="Calibri"/>
        <family val="2"/>
        <scheme val="minor"/>
      </rPr>
      <t>την</t>
    </r>
    <r>
      <rPr>
        <sz val="11"/>
        <color theme="1"/>
        <rFont val="Calibri"/>
        <family val="2"/>
        <scheme val="minor"/>
      </rPr>
      <t xml:space="preserve"> γαλιλαιαν</t>
    </r>
  </si>
  <si>
    <t>απο γαλιλαιας ανθρωπος</t>
  </si>
  <si>
    <r>
      <t xml:space="preserve">απο </t>
    </r>
    <r>
      <rPr>
        <b/>
        <sz val="11"/>
        <color theme="1"/>
        <rFont val="Calibri"/>
        <family val="2"/>
        <scheme val="minor"/>
      </rPr>
      <t>της</t>
    </r>
    <r>
      <rPr>
        <sz val="11"/>
        <color theme="1"/>
        <rFont val="Calibri"/>
        <family val="2"/>
        <scheme val="minor"/>
      </rPr>
      <t xml:space="preserve"> γαλιλαιας ο ανθρωπος</t>
    </r>
  </si>
  <si>
    <r>
      <t xml:space="preserve">απο της γαλιλαιας </t>
    </r>
    <r>
      <rPr>
        <b/>
        <sz val="11"/>
        <color theme="1"/>
        <rFont val="Calibri"/>
        <family val="2"/>
        <scheme val="minor"/>
      </rPr>
      <t>ο</t>
    </r>
    <r>
      <rPr>
        <sz val="11"/>
        <color theme="1"/>
        <rFont val="Calibri"/>
        <family val="2"/>
        <scheme val="minor"/>
      </rPr>
      <t xml:space="preserve"> ανθρωπος</t>
    </r>
  </si>
  <si>
    <t>γεινομενον</t>
  </si>
  <si>
    <t>συν τοις στρατευμασιν</t>
  </si>
  <si>
    <t>συν τοι στρατευμασιν</t>
  </si>
  <si>
    <t>αυτον εσθητα</t>
  </si>
  <si>
    <t>αυτον α εσθητα</t>
  </si>
  <si>
    <t>και ηρωδης</t>
  </si>
  <si>
    <t>και ο ηρωδης</t>
  </si>
  <si>
    <t>συνκαλεσας τους</t>
  </si>
  <si>
    <t>συνκαλεσαμενος τους</t>
  </si>
  <si>
    <t>αυτους κατηνεγκατε</t>
  </si>
  <si>
    <t>αυτους προσηνεγκατε</t>
  </si>
  <si>
    <t>πεπραγμενον εστιν εν αυτω (16) παιδευσας</t>
  </si>
  <si>
    <t>πεπραγμενον εν αυτω εστιν (16) παιδευσας</t>
  </si>
  <si>
    <t>σταυρου τον (22) ο δε</t>
  </si>
  <si>
    <t>σταυρου αυτον (22) ο δε</t>
  </si>
  <si>
    <t>και την αρχιερεων</t>
  </si>
  <si>
    <r>
      <t xml:space="preserve">και </t>
    </r>
    <r>
      <rPr>
        <b/>
        <sz val="11"/>
        <color theme="1"/>
        <rFont val="Calibri"/>
        <family val="2"/>
        <scheme val="minor"/>
      </rPr>
      <t>των</t>
    </r>
    <r>
      <rPr>
        <sz val="11"/>
        <color theme="1"/>
        <rFont val="Calibri"/>
        <family val="2"/>
        <scheme val="minor"/>
      </rPr>
      <t xml:space="preserve"> των αρχιερεων</t>
    </r>
  </si>
  <si>
    <r>
      <t xml:space="preserve">και </t>
    </r>
    <r>
      <rPr>
        <b/>
        <sz val="11"/>
        <color theme="1"/>
        <rFont val="Calibri"/>
        <family val="2"/>
        <scheme val="minor"/>
      </rPr>
      <t>την</t>
    </r>
    <r>
      <rPr>
        <sz val="11"/>
        <color theme="1"/>
        <rFont val="Calibri"/>
        <family val="2"/>
        <scheme val="minor"/>
      </rPr>
      <t xml:space="preserve"> αρχιερεων</t>
    </r>
  </si>
  <si>
    <r>
      <t xml:space="preserve">και των </t>
    </r>
    <r>
      <rPr>
        <b/>
        <sz val="11"/>
        <color theme="1"/>
        <rFont val="Calibri"/>
        <family val="2"/>
        <scheme val="minor"/>
      </rPr>
      <t>των</t>
    </r>
    <r>
      <rPr>
        <sz val="11"/>
        <color theme="1"/>
        <rFont val="Calibri"/>
        <family val="2"/>
        <scheme val="minor"/>
      </rPr>
      <t xml:space="preserve"> αρχιερεων</t>
    </r>
  </si>
  <si>
    <t>επεκρινεν ο πειλατος</t>
  </si>
  <si>
    <r>
      <rPr>
        <b/>
        <sz val="11"/>
        <color theme="1"/>
        <rFont val="Calibri"/>
        <family val="2"/>
        <scheme val="minor"/>
      </rPr>
      <t>επεκρεινεν</t>
    </r>
    <r>
      <rPr>
        <sz val="11"/>
        <color theme="1"/>
        <rFont val="Calibri"/>
        <family val="2"/>
        <scheme val="minor"/>
      </rPr>
      <t xml:space="preserve"> δε ο πειλατος</t>
    </r>
  </si>
  <si>
    <r>
      <rPr>
        <b/>
        <sz val="11"/>
        <color theme="1"/>
        <rFont val="Calibri"/>
        <family val="2"/>
        <scheme val="minor"/>
      </rPr>
      <t>επεκρινεν</t>
    </r>
    <r>
      <rPr>
        <sz val="11"/>
        <color theme="1"/>
        <rFont val="Calibri"/>
        <family val="2"/>
        <scheme val="minor"/>
      </rPr>
      <t xml:space="preserve"> ο πειλατος</t>
    </r>
  </si>
  <si>
    <r>
      <t xml:space="preserve">επεκρεινεν </t>
    </r>
    <r>
      <rPr>
        <b/>
        <sz val="11"/>
        <color theme="1"/>
        <rFont val="Calibri"/>
        <family val="2"/>
        <scheme val="minor"/>
      </rPr>
      <t>δε</t>
    </r>
    <r>
      <rPr>
        <sz val="11"/>
        <color theme="1"/>
        <rFont val="Calibri"/>
        <family val="2"/>
        <scheme val="minor"/>
      </rPr>
      <t xml:space="preserve"> ο πειλατος</t>
    </r>
  </si>
  <si>
    <t xml:space="preserve">θεληματι αυτων (26) ως </t>
  </si>
  <si>
    <t xml:space="preserve">δε το πληθος </t>
  </si>
  <si>
    <t>δε πληθος</t>
  </si>
  <si>
    <t>εθρηνουν αυτον (28) στραφεις</t>
  </si>
  <si>
    <t>εθρηνουν (28) στραφεις</t>
  </si>
  <si>
    <t xml:space="preserve">κλαιετε εμε </t>
  </si>
  <si>
    <t xml:space="preserve">κλαιετε με </t>
  </si>
  <si>
    <t xml:space="preserve">και κοιλιαι </t>
  </si>
  <si>
    <t xml:space="preserve">και αι κοιλιαι </t>
  </si>
  <si>
    <t>ουκ εγεννησαν</t>
  </si>
  <si>
    <t>μαστοι</t>
  </si>
  <si>
    <t>(33) αριστερων (34) διεμεριζοντο δε</t>
  </si>
  <si>
    <t>(33) αριστερων (34) ο δε ιησους ελεγεν πατερ αφες αυτοις ου γαρ οιδασιν τι ποιουσιν διεμεριζοντο δε</t>
  </si>
  <si>
    <t>ειστηκει δε ο λαος</t>
  </si>
  <si>
    <t>και ειστηκει ο λαος</t>
  </si>
  <si>
    <t xml:space="preserve">αλλους εσωσας </t>
  </si>
  <si>
    <t xml:space="preserve">αλλους σωσας </t>
  </si>
  <si>
    <t>επιγραφη γεγραμμενη</t>
  </si>
  <si>
    <t>επιγραφη επιγεγραμμενη</t>
  </si>
  <si>
    <t>κακουργων εφλασφημει</t>
  </si>
  <si>
    <t>κακουργων βλασφημει</t>
  </si>
  <si>
    <t>Bezae corrects εφλασφημει -&gt; εβλασφημει</t>
  </si>
  <si>
    <t>ημεις δικαιως</t>
  </si>
  <si>
    <t>ημεις μεν δικαιως</t>
  </si>
  <si>
    <t>αυτω θαρσει σημερον</t>
  </si>
  <si>
    <t>αυτω τω επλησοντι θαρσει σημερον</t>
  </si>
  <si>
    <t>Bezae corrects επλησοντι -&gt; επιπλησοντι</t>
  </si>
  <si>
    <t>εν παραδεισω</t>
  </si>
  <si>
    <t>εν τω παραδεισω</t>
  </si>
  <si>
    <t>ενατης</t>
  </si>
  <si>
    <t>Bezae corrects to παρατιθεμι</t>
  </si>
  <si>
    <t>θεωρειος οχλοι</t>
  </si>
  <si>
    <t>θεωρεια οχλοι</t>
  </si>
  <si>
    <t>γνωστοι αυτου απο μακροθεν</t>
  </si>
  <si>
    <t>δικδικαιος</t>
  </si>
  <si>
    <t>B.10.3 = συγκατατιθειμενος</t>
  </si>
  <si>
    <t>πραξη αυτων</t>
  </si>
  <si>
    <t>πραξει αυτων</t>
  </si>
  <si>
    <t>(51) θυ (52) προσελθων</t>
  </si>
  <si>
    <t xml:space="preserve">δε η ημερα </t>
  </si>
  <si>
    <t xml:space="preserve">δε ημερα </t>
  </si>
  <si>
    <t>συνεληλυθυιαι απο της αγαλιλαιας</t>
  </si>
  <si>
    <r>
      <t xml:space="preserve">συνεληλυθυιαι </t>
    </r>
    <r>
      <rPr>
        <b/>
        <sz val="11"/>
        <color theme="1"/>
        <rFont val="Calibri"/>
        <family val="2"/>
        <scheme val="minor"/>
      </rPr>
      <t>αυτω</t>
    </r>
    <r>
      <rPr>
        <sz val="11"/>
        <color theme="1"/>
        <rFont val="Calibri"/>
        <family val="2"/>
        <scheme val="minor"/>
      </rPr>
      <t xml:space="preserve"> απο της γαλιλαιας</t>
    </r>
  </si>
  <si>
    <r>
      <t xml:space="preserve">συνεληλυθυιαι αυτω απο της </t>
    </r>
    <r>
      <rPr>
        <b/>
        <sz val="11"/>
        <color theme="1"/>
        <rFont val="Calibri"/>
        <family val="2"/>
        <scheme val="minor"/>
      </rPr>
      <t>γαλιλαιας</t>
    </r>
  </si>
  <si>
    <r>
      <t xml:space="preserve">συνεληλυθυιαι απο της </t>
    </r>
    <r>
      <rPr>
        <b/>
        <sz val="11"/>
        <color theme="1"/>
        <rFont val="Calibri"/>
        <family val="2"/>
        <scheme val="minor"/>
      </rPr>
      <t>αγαλιλαιας</t>
    </r>
  </si>
  <si>
    <t>Bezae corrects to ητοιμασεν, B.10.3 does not follow</t>
  </si>
  <si>
    <t>(23:56) ησυχασαν (24:1) μια δε των σαββατων ορθρου</t>
  </si>
  <si>
    <t>(23:56) ησυχασαν (24:1) των δε σαββατων ορθρου</t>
  </si>
  <si>
    <t xml:space="preserve">επει το μνημα </t>
  </si>
  <si>
    <t xml:space="preserve">επι το μνημα </t>
  </si>
  <si>
    <t>αποκυλισει τον λιθον</t>
  </si>
  <si>
    <t>αποκαλυψεν τον λιθον</t>
  </si>
  <si>
    <t xml:space="preserve">ουχ ευρον </t>
  </si>
  <si>
    <t xml:space="preserve">ουκ ευρον </t>
  </si>
  <si>
    <t xml:space="preserve">τω απορεισθαι </t>
  </si>
  <si>
    <t>τω διαπορεισθαι</t>
  </si>
  <si>
    <t>επεστησαν εν εσθητι</t>
  </si>
  <si>
    <t>επεστησαν αυταις εν εσθητι</t>
  </si>
  <si>
    <t>μαρια δε η μαγδαληνη</t>
  </si>
  <si>
    <t>προς τους αποστολους</t>
  </si>
  <si>
    <t>προς αυτους αποστολους</t>
  </si>
  <si>
    <t>ιερουσαλημημ ονοματι</t>
  </si>
  <si>
    <t>ιερουσαλημ ονοματι</t>
  </si>
  <si>
    <t>παντων συνβεβηκοτων</t>
  </si>
  <si>
    <r>
      <t xml:space="preserve">παντων </t>
    </r>
    <r>
      <rPr>
        <b/>
        <sz val="11"/>
        <color theme="1"/>
        <rFont val="Calibri"/>
        <family val="2"/>
        <scheme val="minor"/>
      </rPr>
      <t>των</t>
    </r>
    <r>
      <rPr>
        <sz val="11"/>
        <color theme="1"/>
        <rFont val="Calibri"/>
        <family val="2"/>
        <scheme val="minor"/>
      </rPr>
      <t xml:space="preserve"> συμβεβηκοτων</t>
    </r>
  </si>
  <si>
    <r>
      <t xml:space="preserve">παντων των </t>
    </r>
    <r>
      <rPr>
        <b/>
        <sz val="11"/>
        <color theme="1"/>
        <rFont val="Calibri"/>
        <family val="2"/>
        <scheme val="minor"/>
      </rPr>
      <t>συμβεβηκοτων</t>
    </r>
  </si>
  <si>
    <r>
      <t xml:space="preserve">παντων </t>
    </r>
    <r>
      <rPr>
        <b/>
        <sz val="11"/>
        <color theme="1"/>
        <rFont val="Calibri"/>
        <family val="2"/>
        <scheme val="minor"/>
      </rPr>
      <t>συνβεβηκοτων</t>
    </r>
  </si>
  <si>
    <t>ειπεν προς αυτους τινες</t>
  </si>
  <si>
    <t>ειπεν τινες</t>
  </si>
  <si>
    <t>αποκριαποκριθεις</t>
  </si>
  <si>
    <t>συ μονον παροικεις</t>
  </si>
  <si>
    <t>συ μονος παροικεις</t>
  </si>
  <si>
    <t xml:space="preserve">ναζωραιου ος εγενετο </t>
  </si>
  <si>
    <t xml:space="preserve">ναζωραιου ως εγενετο </t>
  </si>
  <si>
    <t>ημεραν αγει</t>
  </si>
  <si>
    <t>ημεραν σημεραν αγει</t>
  </si>
  <si>
    <t>Β.10.3 corrects to ερμηνευσεν</t>
  </si>
  <si>
    <t>παρεβιασαντο</t>
  </si>
  <si>
    <t>λαβων δε</t>
  </si>
  <si>
    <t>λαβοντων δε</t>
  </si>
  <si>
    <t>Correction in Bezae not clear to me</t>
  </si>
  <si>
    <t xml:space="preserve">αυτων τον αρτον </t>
  </si>
  <si>
    <t xml:space="preserve">αυτων αρτον </t>
  </si>
  <si>
    <t>και αυτος αφαντος</t>
  </si>
  <si>
    <t>και αφαντος</t>
  </si>
  <si>
    <t>τη οδω και ως ηνυγεν</t>
  </si>
  <si>
    <t>τη οδω ως ηνυγεν</t>
  </si>
  <si>
    <t>ημειν η γραφ[η] (33) και</t>
  </si>
  <si>
    <t>ημειν τας γραφας (33) και</t>
  </si>
  <si>
    <t>και εινατι</t>
  </si>
  <si>
    <t>και ινα τι</t>
  </si>
  <si>
    <t>(38) υμων (39) ιδετε</t>
  </si>
  <si>
    <t>(38) υμων (39) ειδετε</t>
  </si>
  <si>
    <t>οτι αυτος εγω ειμι</t>
  </si>
  <si>
    <t xml:space="preserve">οτι εγω αυτος ειμι </t>
  </si>
  <si>
    <t xml:space="preserve">οστα ουκ εχει </t>
  </si>
  <si>
    <t xml:space="preserve">οστα ουκ ουκ εχει </t>
  </si>
  <si>
    <r>
      <t xml:space="preserve">καθως </t>
    </r>
    <r>
      <rPr>
        <b/>
        <sz val="11"/>
        <color theme="1"/>
        <rFont val="Calibri"/>
        <family val="2"/>
        <scheme val="minor"/>
      </rPr>
      <t>εμε</t>
    </r>
    <r>
      <rPr>
        <sz val="11"/>
        <color theme="1"/>
        <rFont val="Calibri"/>
        <family val="2"/>
        <scheme val="minor"/>
      </rPr>
      <t xml:space="preserve"> εβλεπετε</t>
    </r>
  </si>
  <si>
    <r>
      <t xml:space="preserve">καθως </t>
    </r>
    <r>
      <rPr>
        <b/>
        <sz val="11"/>
        <color theme="1"/>
        <rFont val="Calibri"/>
        <family val="2"/>
        <scheme val="minor"/>
      </rPr>
      <t>με</t>
    </r>
    <r>
      <rPr>
        <sz val="11"/>
        <color theme="1"/>
        <rFont val="Calibri"/>
        <family val="2"/>
        <scheme val="minor"/>
      </rPr>
      <t xml:space="preserve"> βλεπετε</t>
    </r>
  </si>
  <si>
    <r>
      <t xml:space="preserve">καθως εμε </t>
    </r>
    <r>
      <rPr>
        <b/>
        <sz val="11"/>
        <color theme="1"/>
        <rFont val="Calibri"/>
        <family val="2"/>
        <scheme val="minor"/>
      </rPr>
      <t>εβλεπετε</t>
    </r>
  </si>
  <si>
    <r>
      <t xml:space="preserve">καθως με </t>
    </r>
    <r>
      <rPr>
        <b/>
        <sz val="11"/>
        <color theme="1"/>
        <rFont val="Calibri"/>
        <family val="2"/>
        <scheme val="minor"/>
      </rPr>
      <t>βλεπετε</t>
    </r>
  </si>
  <si>
    <t>κα επεδωκαν</t>
  </si>
  <si>
    <t>και επεδωκαν</t>
  </si>
  <si>
    <t>δει πλησθηναι</t>
  </si>
  <si>
    <t>δει πληρωθηναι</t>
  </si>
  <si>
    <t>γεγραπται παθειν τον χριστον και</t>
  </si>
  <si>
    <t>γεγραπται τον χρν παθειν και</t>
  </si>
  <si>
    <t>ιερουσαλημ (48) υμεις εστε μαρτυρες</t>
  </si>
  <si>
    <r>
      <t xml:space="preserve">ιερουσαλημ (48) </t>
    </r>
    <r>
      <rPr>
        <b/>
        <sz val="11"/>
        <color theme="1"/>
        <rFont val="Calibri"/>
        <family val="2"/>
        <scheme val="minor"/>
      </rPr>
      <t>και</t>
    </r>
    <r>
      <rPr>
        <sz val="11"/>
        <color theme="1"/>
        <rFont val="Calibri"/>
        <family val="2"/>
        <scheme val="minor"/>
      </rPr>
      <t xml:space="preserve"> υμεις δε μαρτυρες</t>
    </r>
  </si>
  <si>
    <r>
      <t xml:space="preserve">ιερουσαλημ (48) και υμεις </t>
    </r>
    <r>
      <rPr>
        <b/>
        <sz val="11"/>
        <color theme="1"/>
        <rFont val="Calibri"/>
        <family val="2"/>
        <scheme val="minor"/>
      </rPr>
      <t>δε</t>
    </r>
    <r>
      <rPr>
        <sz val="11"/>
        <color theme="1"/>
        <rFont val="Calibri"/>
        <family val="2"/>
        <scheme val="minor"/>
      </rPr>
      <t xml:space="preserve"> μαρτυρες</t>
    </r>
  </si>
  <si>
    <r>
      <t xml:space="preserve">ιερουσαλημ (48) υμεις </t>
    </r>
    <r>
      <rPr>
        <b/>
        <sz val="11"/>
        <color theme="1"/>
        <rFont val="Calibri"/>
        <family val="2"/>
        <scheme val="minor"/>
      </rPr>
      <t>εστε</t>
    </r>
    <r>
      <rPr>
        <sz val="11"/>
        <color theme="1"/>
        <rFont val="Calibri"/>
        <family val="2"/>
        <scheme val="minor"/>
      </rPr>
      <t xml:space="preserve"> μαρτυρες</t>
    </r>
  </si>
  <si>
    <t>χειρας ηυλογησεν</t>
  </si>
  <si>
    <t>χειρας ευλογησεν</t>
  </si>
  <si>
    <t>δι αυτου</t>
  </si>
  <si>
    <t>Bezae corrects δι -&gt; δια</t>
  </si>
  <si>
    <t>εγενετο ου ο γεγονεν</t>
  </si>
  <si>
    <t>εγενετο ουδεν ο γεγονεν</t>
  </si>
  <si>
    <r>
      <t xml:space="preserve">παρα </t>
    </r>
    <r>
      <rPr>
        <b/>
        <sz val="11"/>
        <color theme="1"/>
        <rFont val="Calibri"/>
        <family val="2"/>
        <scheme val="minor"/>
      </rPr>
      <t>κυ</t>
    </r>
    <r>
      <rPr>
        <sz val="11"/>
        <color theme="1"/>
        <rFont val="Calibri"/>
        <family val="2"/>
        <scheme val="minor"/>
      </rPr>
      <t xml:space="preserve"> εν ονομα αυτω ιωαννην</t>
    </r>
  </si>
  <si>
    <r>
      <t xml:space="preserve">παρα </t>
    </r>
    <r>
      <rPr>
        <b/>
        <sz val="11"/>
        <color theme="1"/>
        <rFont val="Calibri"/>
        <family val="2"/>
        <scheme val="minor"/>
      </rPr>
      <t>θεου</t>
    </r>
    <r>
      <rPr>
        <sz val="11"/>
        <color theme="1"/>
        <rFont val="Calibri"/>
        <family val="2"/>
        <scheme val="minor"/>
      </rPr>
      <t xml:space="preserve"> ην ονομα αυτω ιωαννης</t>
    </r>
  </si>
  <si>
    <r>
      <t xml:space="preserve">παρα κυ </t>
    </r>
    <r>
      <rPr>
        <b/>
        <sz val="11"/>
        <color theme="1"/>
        <rFont val="Calibri"/>
        <family val="2"/>
        <scheme val="minor"/>
      </rPr>
      <t>εν</t>
    </r>
    <r>
      <rPr>
        <sz val="11"/>
        <color theme="1"/>
        <rFont val="Calibri"/>
        <family val="2"/>
        <scheme val="minor"/>
      </rPr>
      <t xml:space="preserve"> ονομα αυτω ιωαννην</t>
    </r>
  </si>
  <si>
    <r>
      <t xml:space="preserve">παρα θεου </t>
    </r>
    <r>
      <rPr>
        <b/>
        <sz val="11"/>
        <color theme="1"/>
        <rFont val="Calibri"/>
        <family val="2"/>
        <scheme val="minor"/>
      </rPr>
      <t>ην</t>
    </r>
    <r>
      <rPr>
        <sz val="11"/>
        <color theme="1"/>
        <rFont val="Calibri"/>
        <family val="2"/>
        <scheme val="minor"/>
      </rPr>
      <t xml:space="preserve"> ονομα αυτω ιωαννης</t>
    </r>
  </si>
  <si>
    <r>
      <t xml:space="preserve">παρα θεου ην ονομα αυτω </t>
    </r>
    <r>
      <rPr>
        <b/>
        <sz val="11"/>
        <color theme="1"/>
        <rFont val="Calibri"/>
        <family val="2"/>
        <scheme val="minor"/>
      </rPr>
      <t>ιωαννης</t>
    </r>
  </si>
  <si>
    <r>
      <t xml:space="preserve">παρα κυ εν ονομα αυτω </t>
    </r>
    <r>
      <rPr>
        <b/>
        <sz val="11"/>
        <color theme="1"/>
        <rFont val="Calibri"/>
        <family val="2"/>
        <scheme val="minor"/>
      </rPr>
      <t>ιωαννην</t>
    </r>
  </si>
  <si>
    <t>οσοι δε ελαβον</t>
  </si>
  <si>
    <t>οσοι ελαβον</t>
  </si>
  <si>
    <t>εδων αυτοις</t>
  </si>
  <si>
    <t>εδωκεν αυτοις</t>
  </si>
  <si>
    <t>(12) αυτου (13) ουκ εξ</t>
  </si>
  <si>
    <t>(12) αυτου (13) οι ουκ εξ</t>
  </si>
  <si>
    <t>πληρη χαριτος</t>
  </si>
  <si>
    <t>πληρης χαριτος</t>
  </si>
  <si>
    <t>κεκραγε ουτος</t>
  </si>
  <si>
    <t>κεκραγεν ουτος</t>
  </si>
  <si>
    <t>ειπον ο οπισω</t>
  </si>
  <si>
    <t>Bezae corrects to ειπον υμιν ο οπισω</t>
  </si>
  <si>
    <t>εκ του πληρωματος []</t>
  </si>
  <si>
    <t>εκ του πληρωματος αυτου ημεις παντες []</t>
  </si>
  <si>
    <t xml:space="preserve">ιδου ουτος </t>
  </si>
  <si>
    <t xml:space="preserve">ιδε ουτος </t>
  </si>
  <si>
    <r>
      <rPr>
        <b/>
        <sz val="11"/>
        <color theme="1"/>
        <rFont val="Calibri"/>
        <family val="2"/>
        <scheme val="minor"/>
      </rPr>
      <t>νυμιος</t>
    </r>
    <r>
      <rPr>
        <sz val="11"/>
        <color theme="1"/>
        <rFont val="Calibri"/>
        <family val="2"/>
        <scheme val="minor"/>
      </rPr>
      <t xml:space="preserve"> ετιν</t>
    </r>
  </si>
  <si>
    <r>
      <rPr>
        <b/>
        <sz val="11"/>
        <color theme="1"/>
        <rFont val="Calibri"/>
        <family val="2"/>
        <scheme val="minor"/>
      </rPr>
      <t>νυμφιος</t>
    </r>
    <r>
      <rPr>
        <sz val="11"/>
        <color theme="1"/>
        <rFont val="Calibri"/>
        <family val="2"/>
        <scheme val="minor"/>
      </rPr>
      <t xml:space="preserve"> εστιν</t>
    </r>
  </si>
  <si>
    <r>
      <t xml:space="preserve">νυμιος </t>
    </r>
    <r>
      <rPr>
        <b/>
        <sz val="11"/>
        <color theme="1"/>
        <rFont val="Calibri"/>
        <family val="2"/>
        <scheme val="minor"/>
      </rPr>
      <t>ετιν</t>
    </r>
  </si>
  <si>
    <r>
      <t xml:space="preserve">νυμφιος </t>
    </r>
    <r>
      <rPr>
        <b/>
        <sz val="11"/>
        <color theme="1"/>
        <rFont val="Calibri"/>
        <family val="2"/>
        <scheme val="minor"/>
      </rPr>
      <t>εστιν</t>
    </r>
  </si>
  <si>
    <t xml:space="preserve">ο ων απο της γης εκ της γης λαλει </t>
  </si>
  <si>
    <r>
      <t xml:space="preserve">ο </t>
    </r>
    <r>
      <rPr>
        <b/>
        <sz val="11"/>
        <color theme="1"/>
        <rFont val="Calibri"/>
        <family val="2"/>
        <scheme val="minor"/>
      </rPr>
      <t>δε</t>
    </r>
    <r>
      <rPr>
        <sz val="11"/>
        <color theme="1"/>
        <rFont val="Calibri"/>
        <family val="2"/>
        <scheme val="minor"/>
      </rPr>
      <t xml:space="preserve"> ων απο της γης εκ της γης εστιν και εκ της γης λαλει</t>
    </r>
  </si>
  <si>
    <t>ο δε λαβων</t>
  </si>
  <si>
    <t>ο λαβων</t>
  </si>
  <si>
    <t>(35) αυτου (36) ινα ο πιστευων</t>
  </si>
  <si>
    <t>(35) αυτου (36) ο πιστευων</t>
  </si>
  <si>
    <t xml:space="preserve">εχη ζωην </t>
  </si>
  <si>
    <t xml:space="preserve">εχει ζωην </t>
  </si>
  <si>
    <t>αιωνιον ο δε απειθων</t>
  </si>
  <si>
    <t>αιωνιον δ δε απειθων</t>
  </si>
  <si>
    <t xml:space="preserve">ουχ οψεται </t>
  </si>
  <si>
    <t xml:space="preserve">ουκ οψεται </t>
  </si>
  <si>
    <t>εγνω ο κυριος οτι</t>
  </si>
  <si>
    <t>εγνω ο ιης οτι</t>
  </si>
  <si>
    <t>οτι ις πλειονας</t>
  </si>
  <si>
    <t>οτι πλειονας</t>
  </si>
  <si>
    <t>ως εκτη</t>
  </si>
  <si>
    <t>ωσει εκτει</t>
  </si>
  <si>
    <t>αιτεις ουσης γυναικος</t>
  </si>
  <si>
    <t>αιτεις γυναικος</t>
  </si>
  <si>
    <r>
      <rPr>
        <b/>
        <sz val="11"/>
        <color theme="1"/>
        <rFont val="Calibri"/>
        <family val="2"/>
        <scheme val="minor"/>
      </rPr>
      <t>πειν</t>
    </r>
    <r>
      <rPr>
        <sz val="11"/>
        <color theme="1"/>
        <rFont val="Calibri"/>
        <family val="2"/>
        <scheme val="minor"/>
      </rPr>
      <t xml:space="preserve"> συνητησας αυτον</t>
    </r>
  </si>
  <si>
    <r>
      <rPr>
        <b/>
        <sz val="11"/>
        <color theme="1"/>
        <rFont val="Calibri"/>
        <family val="2"/>
        <scheme val="minor"/>
      </rPr>
      <t>πιειν</t>
    </r>
    <r>
      <rPr>
        <sz val="11"/>
        <color theme="1"/>
        <rFont val="Calibri"/>
        <family val="2"/>
        <scheme val="minor"/>
      </rPr>
      <t xml:space="preserve"> συ αν ητησας αυτον</t>
    </r>
  </si>
  <si>
    <r>
      <t xml:space="preserve">πειν </t>
    </r>
    <r>
      <rPr>
        <b/>
        <sz val="11"/>
        <color theme="1"/>
        <rFont val="Calibri"/>
        <family val="2"/>
        <scheme val="minor"/>
      </rPr>
      <t>συνητησας</t>
    </r>
    <r>
      <rPr>
        <sz val="11"/>
        <color theme="1"/>
        <rFont val="Calibri"/>
        <family val="2"/>
        <scheme val="minor"/>
      </rPr>
      <t xml:space="preserve"> αυτον</t>
    </r>
  </si>
  <si>
    <r>
      <t xml:space="preserve">πιειν </t>
    </r>
    <r>
      <rPr>
        <b/>
        <sz val="11"/>
        <color theme="1"/>
        <rFont val="Calibri"/>
        <family val="2"/>
        <scheme val="minor"/>
      </rPr>
      <t>συ αν ητησας</t>
    </r>
    <r>
      <rPr>
        <sz val="11"/>
        <color theme="1"/>
        <rFont val="Calibri"/>
        <family val="2"/>
        <scheme val="minor"/>
      </rPr>
      <t xml:space="preserve"> αυτον</t>
    </r>
  </si>
  <si>
    <t>εχεις υδωρ ζων</t>
  </si>
  <si>
    <r>
      <t xml:space="preserve">εχεις </t>
    </r>
    <r>
      <rPr>
        <b/>
        <sz val="11"/>
        <color theme="1"/>
        <rFont val="Calibri"/>
        <family val="2"/>
        <scheme val="minor"/>
      </rPr>
      <t>το</t>
    </r>
    <r>
      <rPr>
        <sz val="11"/>
        <color theme="1"/>
        <rFont val="Calibri"/>
        <family val="2"/>
        <scheme val="minor"/>
      </rPr>
      <t xml:space="preserve"> υδωρ το ζων</t>
    </r>
  </si>
  <si>
    <r>
      <t xml:space="preserve">εχεις το υδωρ </t>
    </r>
    <r>
      <rPr>
        <b/>
        <sz val="11"/>
        <color theme="1"/>
        <rFont val="Calibri"/>
        <family val="2"/>
        <scheme val="minor"/>
      </rPr>
      <t>το</t>
    </r>
    <r>
      <rPr>
        <sz val="11"/>
        <color theme="1"/>
        <rFont val="Calibri"/>
        <family val="2"/>
        <scheme val="minor"/>
      </rPr>
      <t xml:space="preserve"> ζων</t>
    </r>
  </si>
  <si>
    <t>ο δε αν πεινων</t>
  </si>
  <si>
    <t>ο δε πεινων</t>
  </si>
  <si>
    <t>ου μη δειψησει</t>
  </si>
  <si>
    <t>ου δειψησει</t>
  </si>
  <si>
    <t>δειψησω μηδε</t>
  </si>
  <si>
    <t>διψησω μηδε</t>
  </si>
  <si>
    <t>Bezae corrects to δειψω μηδε</t>
  </si>
  <si>
    <t>ειπεν ανδρα ουκ εχω</t>
  </si>
  <si>
    <t>ειπεν ουκ ανδρα εχω</t>
  </si>
  <si>
    <t xml:space="preserve">τοπος οπου </t>
  </si>
  <si>
    <t xml:space="preserve">τοπος απου </t>
  </si>
  <si>
    <t>τουτω τω ορει</t>
  </si>
  <si>
    <t>τουτω τωρει</t>
  </si>
  <si>
    <t>ουτε εν</t>
  </si>
  <si>
    <t>προσκυνησετε τω</t>
  </si>
  <si>
    <t>προσκυνησεται τω</t>
  </si>
  <si>
    <t>αλλα ερχεται</t>
  </si>
  <si>
    <t>αλλ ερχεται</t>
  </si>
  <si>
    <t>προσκυνουντας αυτον εν πνευματι</t>
  </si>
  <si>
    <t>προσκυνουντας εν πνι</t>
  </si>
  <si>
    <t>γυνη εαυτης την υδριαν και</t>
  </si>
  <si>
    <t>γυνη την υδριαν εαυτης και</t>
  </si>
  <si>
    <t xml:space="preserve">ειπεν μοι </t>
  </si>
  <si>
    <t xml:space="preserve">ειπε μοι </t>
  </si>
  <si>
    <t>μαθηται ηνεγκεν αυτω</t>
  </si>
  <si>
    <r>
      <t xml:space="preserve">μαθηται </t>
    </r>
    <r>
      <rPr>
        <b/>
        <sz val="11"/>
        <color theme="1"/>
        <rFont val="Calibri"/>
        <family val="2"/>
        <scheme val="minor"/>
      </rPr>
      <t>μη τις</t>
    </r>
    <r>
      <rPr>
        <sz val="11"/>
        <color theme="1"/>
        <rFont val="Calibri"/>
        <family val="2"/>
        <scheme val="minor"/>
      </rPr>
      <t xml:space="preserve"> ηνεγκε αυτω</t>
    </r>
  </si>
  <si>
    <r>
      <t xml:space="preserve">μαθηται μη τις </t>
    </r>
    <r>
      <rPr>
        <b/>
        <sz val="11"/>
        <color theme="1"/>
        <rFont val="Calibri"/>
        <family val="2"/>
        <scheme val="minor"/>
      </rPr>
      <t>ηνεγκε</t>
    </r>
    <r>
      <rPr>
        <sz val="11"/>
        <color theme="1"/>
        <rFont val="Calibri"/>
        <family val="2"/>
        <scheme val="minor"/>
      </rPr>
      <t xml:space="preserve"> αυτω</t>
    </r>
  </si>
  <si>
    <r>
      <t xml:space="preserve">μαθηται </t>
    </r>
    <r>
      <rPr>
        <b/>
        <sz val="11"/>
        <color theme="1"/>
        <rFont val="Calibri"/>
        <family val="2"/>
        <scheme val="minor"/>
      </rPr>
      <t>ηνεγκεν</t>
    </r>
    <r>
      <rPr>
        <sz val="11"/>
        <color theme="1"/>
        <rFont val="Calibri"/>
        <family val="2"/>
        <scheme val="minor"/>
      </rPr>
      <t xml:space="preserve"> αυτω</t>
    </r>
  </si>
  <si>
    <r>
      <t xml:space="preserve">εν γαρ τουτω </t>
    </r>
    <r>
      <rPr>
        <b/>
        <sz val="11"/>
        <color theme="1"/>
        <rFont val="Calibri"/>
        <family val="2"/>
        <scheme val="minor"/>
      </rPr>
      <t>εστιν ο λογος ο αληθεινος</t>
    </r>
    <r>
      <rPr>
        <sz val="11"/>
        <color theme="1"/>
        <rFont val="Calibri"/>
        <family val="2"/>
        <scheme val="minor"/>
      </rPr>
      <t xml:space="preserve"> οτι αλλος</t>
    </r>
  </si>
  <si>
    <r>
      <t xml:space="preserve">εν γαρ τουτω </t>
    </r>
    <r>
      <rPr>
        <b/>
        <sz val="11"/>
        <color theme="1"/>
        <rFont val="Calibri"/>
        <family val="2"/>
        <scheme val="minor"/>
      </rPr>
      <t>ο αληθινος εστιν ο λογος</t>
    </r>
    <r>
      <rPr>
        <sz val="11"/>
        <color theme="1"/>
        <rFont val="Calibri"/>
        <family val="2"/>
        <scheme val="minor"/>
      </rPr>
      <t xml:space="preserve"> οτι αλλος</t>
    </r>
  </si>
  <si>
    <r>
      <t xml:space="preserve">εν γαρ τουτω εστιν ο λογος ο </t>
    </r>
    <r>
      <rPr>
        <b/>
        <sz val="11"/>
        <color theme="1"/>
        <rFont val="Calibri"/>
        <family val="2"/>
        <scheme val="minor"/>
      </rPr>
      <t>αληθεινος</t>
    </r>
    <r>
      <rPr>
        <sz val="11"/>
        <color theme="1"/>
        <rFont val="Calibri"/>
        <family val="2"/>
        <scheme val="minor"/>
      </rPr>
      <t xml:space="preserve"> οτι αλλος</t>
    </r>
  </si>
  <si>
    <r>
      <t xml:space="preserve">εν γαρ τουτω ο </t>
    </r>
    <r>
      <rPr>
        <b/>
        <sz val="11"/>
        <color theme="1"/>
        <rFont val="Calibri"/>
        <family val="2"/>
        <scheme val="minor"/>
      </rPr>
      <t>αληθινος</t>
    </r>
    <r>
      <rPr>
        <sz val="11"/>
        <color theme="1"/>
        <rFont val="Calibri"/>
        <family val="2"/>
        <scheme val="minor"/>
      </rPr>
      <t xml:space="preserve"> εστιν ο λογος οτι αλλος</t>
    </r>
  </si>
  <si>
    <t>θεριζειν ουχ υμεις εκοπιασατε</t>
  </si>
  <si>
    <r>
      <t xml:space="preserve">θεριζειν </t>
    </r>
    <r>
      <rPr>
        <b/>
        <sz val="11"/>
        <color theme="1"/>
        <rFont val="Calibri"/>
        <family val="2"/>
        <scheme val="minor"/>
      </rPr>
      <t>ουχ</t>
    </r>
    <r>
      <rPr>
        <sz val="11"/>
        <color theme="1"/>
        <rFont val="Calibri"/>
        <family val="2"/>
        <scheme val="minor"/>
      </rPr>
      <t xml:space="preserve"> υμεις εκοπιασατε</t>
    </r>
  </si>
  <si>
    <r>
      <t xml:space="preserve">θεριζειν </t>
    </r>
    <r>
      <rPr>
        <b/>
        <sz val="11"/>
        <color theme="1"/>
        <rFont val="Calibri"/>
        <family val="2"/>
        <scheme val="minor"/>
      </rPr>
      <t>ο</t>
    </r>
    <r>
      <rPr>
        <sz val="11"/>
        <color theme="1"/>
        <rFont val="Calibri"/>
        <family val="2"/>
        <scheme val="minor"/>
      </rPr>
      <t xml:space="preserve"> ουκ υμεις κεκοπιασατε</t>
    </r>
  </si>
  <si>
    <r>
      <t xml:space="preserve">θεριζειν ο </t>
    </r>
    <r>
      <rPr>
        <b/>
        <sz val="11"/>
        <color theme="1"/>
        <rFont val="Calibri"/>
        <family val="2"/>
        <scheme val="minor"/>
      </rPr>
      <t>ουκ</t>
    </r>
    <r>
      <rPr>
        <sz val="11"/>
        <color theme="1"/>
        <rFont val="Calibri"/>
        <family val="2"/>
        <scheme val="minor"/>
      </rPr>
      <t xml:space="preserve"> υμεις κεκοπιασατε</t>
    </r>
  </si>
  <si>
    <r>
      <t xml:space="preserve">θεριζειν ουχ υμεις </t>
    </r>
    <r>
      <rPr>
        <b/>
        <sz val="11"/>
        <color theme="1"/>
        <rFont val="Calibri"/>
        <family val="2"/>
        <scheme val="minor"/>
      </rPr>
      <t>εκοπιασατε</t>
    </r>
  </si>
  <si>
    <r>
      <t xml:space="preserve">θεριζειν ο ουκ υμεις </t>
    </r>
    <r>
      <rPr>
        <b/>
        <sz val="11"/>
        <color theme="1"/>
        <rFont val="Calibri"/>
        <family val="2"/>
        <scheme val="minor"/>
      </rPr>
      <t>κεκοπιασατε</t>
    </r>
  </si>
  <si>
    <t xml:space="preserve">αλλοι εκοπιασαν </t>
  </si>
  <si>
    <t>αλλοι κεκοπιασαν</t>
  </si>
  <si>
    <t xml:space="preserve">προς αυτον </t>
  </si>
  <si>
    <t xml:space="preserve">προς αυτων </t>
  </si>
  <si>
    <t xml:space="preserve">πιστευομεν αυτου γαρ </t>
  </si>
  <si>
    <t xml:space="preserve">πιστευομεν αυτοι γαρ </t>
  </si>
  <si>
    <t>την ορτην</t>
  </si>
  <si>
    <t>την εορτην</t>
  </si>
  <si>
    <t>τερατα ιδητε</t>
  </si>
  <si>
    <t>Bezae corrects ιδητε -&gt; ειδητε</t>
  </si>
  <si>
    <t>It looks to me like Bezae corrects βασιλισκος -&gt; βασιλικος</t>
  </si>
  <si>
    <r>
      <rPr>
        <b/>
        <sz val="11"/>
        <color theme="1"/>
        <rFont val="Calibri"/>
        <family val="2"/>
        <scheme val="minor"/>
      </rPr>
      <t>βασιλικκος</t>
    </r>
    <r>
      <rPr>
        <sz val="11"/>
        <color theme="1"/>
        <rFont val="Calibri"/>
        <family val="2"/>
        <scheme val="minor"/>
      </rPr>
      <t xml:space="preserve"> και καταβηθι</t>
    </r>
  </si>
  <si>
    <r>
      <rPr>
        <b/>
        <sz val="11"/>
        <color theme="1"/>
        <rFont val="Calibri"/>
        <family val="2"/>
        <scheme val="minor"/>
      </rPr>
      <t>βασιλικος</t>
    </r>
    <r>
      <rPr>
        <sz val="11"/>
        <color theme="1"/>
        <rFont val="Calibri"/>
        <family val="2"/>
        <scheme val="minor"/>
      </rPr>
      <t xml:space="preserve"> κυριε καταβηθι</t>
    </r>
  </si>
  <si>
    <r>
      <t xml:space="preserve">βασιλικκος </t>
    </r>
    <r>
      <rPr>
        <b/>
        <sz val="11"/>
        <color theme="1"/>
        <rFont val="Calibri"/>
        <family val="2"/>
        <scheme val="minor"/>
      </rPr>
      <t>και</t>
    </r>
    <r>
      <rPr>
        <sz val="11"/>
        <color theme="1"/>
        <rFont val="Calibri"/>
        <family val="2"/>
        <scheme val="minor"/>
      </rPr>
      <t xml:space="preserve"> καταβηθι</t>
    </r>
  </si>
  <si>
    <r>
      <t xml:space="preserve">βασιλικος </t>
    </r>
    <r>
      <rPr>
        <b/>
        <sz val="11"/>
        <color theme="1"/>
        <rFont val="Calibri"/>
        <family val="2"/>
        <scheme val="minor"/>
      </rPr>
      <t>κυριε</t>
    </r>
    <r>
      <rPr>
        <sz val="11"/>
        <color theme="1"/>
        <rFont val="Calibri"/>
        <family val="2"/>
        <scheme val="minor"/>
      </rPr>
      <t xml:space="preserve"> καταβηθι</t>
    </r>
  </si>
  <si>
    <t>αυτω οτι ο υιος σου</t>
  </si>
  <si>
    <r>
      <t xml:space="preserve">αυτω </t>
    </r>
    <r>
      <rPr>
        <b/>
        <sz val="11"/>
        <color theme="1"/>
        <rFont val="Calibri"/>
        <family val="2"/>
        <scheme val="minor"/>
      </rPr>
      <t>λεγοντες</t>
    </r>
    <r>
      <rPr>
        <sz val="11"/>
        <color theme="1"/>
        <rFont val="Calibri"/>
        <family val="2"/>
        <scheme val="minor"/>
      </rPr>
      <t xml:space="preserve"> οτι ο παις σου</t>
    </r>
  </si>
  <si>
    <r>
      <t xml:space="preserve">αυτω οτι ο </t>
    </r>
    <r>
      <rPr>
        <b/>
        <sz val="11"/>
        <color theme="1"/>
        <rFont val="Calibri"/>
        <family val="2"/>
        <scheme val="minor"/>
      </rPr>
      <t>υιος</t>
    </r>
    <r>
      <rPr>
        <sz val="11"/>
        <color theme="1"/>
        <rFont val="Calibri"/>
        <family val="2"/>
        <scheme val="minor"/>
      </rPr>
      <t xml:space="preserve"> σου</t>
    </r>
  </si>
  <si>
    <r>
      <t xml:space="preserve">αυτω λεγοντες οτι ο </t>
    </r>
    <r>
      <rPr>
        <b/>
        <sz val="11"/>
        <color theme="1"/>
        <rFont val="Calibri"/>
        <family val="2"/>
        <scheme val="minor"/>
      </rPr>
      <t>παις</t>
    </r>
    <r>
      <rPr>
        <sz val="11"/>
        <color theme="1"/>
        <rFont val="Calibri"/>
        <family val="2"/>
        <scheme val="minor"/>
      </rPr>
      <t xml:space="preserve"> σου</t>
    </r>
  </si>
  <si>
    <t>οτι εχθες</t>
  </si>
  <si>
    <t>οτι χθες</t>
  </si>
  <si>
    <t>ολη (54) τουτο παλιν</t>
  </si>
  <si>
    <t>ολη (54) του παλιν</t>
  </si>
  <si>
    <t>ταυταις κατεκειτο</t>
  </si>
  <si>
    <r>
      <t xml:space="preserve">ταυταις </t>
    </r>
    <r>
      <rPr>
        <b/>
        <sz val="11"/>
        <color theme="1"/>
        <rFont val="Calibri"/>
        <family val="2"/>
        <scheme val="minor"/>
      </rPr>
      <t>ουν</t>
    </r>
    <r>
      <rPr>
        <sz val="11"/>
        <color theme="1"/>
        <rFont val="Calibri"/>
        <family val="2"/>
        <scheme val="minor"/>
      </rPr>
      <t xml:space="preserve"> κατεκειντο</t>
    </r>
  </si>
  <si>
    <r>
      <t xml:space="preserve">ταυταις ουν </t>
    </r>
    <r>
      <rPr>
        <b/>
        <sz val="11"/>
        <color theme="1"/>
        <rFont val="Calibri"/>
        <family val="2"/>
        <scheme val="minor"/>
      </rPr>
      <t>κατεκειντο</t>
    </r>
  </si>
  <si>
    <r>
      <t xml:space="preserve">ταυταις </t>
    </r>
    <r>
      <rPr>
        <b/>
        <sz val="11"/>
        <color theme="1"/>
        <rFont val="Calibri"/>
        <family val="2"/>
        <scheme val="minor"/>
      </rPr>
      <t>κατεκειτο</t>
    </r>
  </si>
  <si>
    <t>τουτον ειδων</t>
  </si>
  <si>
    <t>τουτον ιδων</t>
  </si>
  <si>
    <t>εγειρε και αρον</t>
  </si>
  <si>
    <t>εγειρε αρον</t>
  </si>
  <si>
    <t>ιης ενευσεν</t>
  </si>
  <si>
    <t>ις εξενευσεν</t>
  </si>
  <si>
    <t>ελυε το σαββατον</t>
  </si>
  <si>
    <t>ελεγε τον θν</t>
  </si>
  <si>
    <t>ελεγε τον θεον</t>
  </si>
  <si>
    <t>Bezae corrects ελυε -&gt; ελυεν</t>
  </si>
  <si>
    <t>Bezae corrects ελεγε -&gt; ελεγεν</t>
  </si>
  <si>
    <t>βλεπη ποιουντα τον πατερα</t>
  </si>
  <si>
    <t>βλεπη τον ποιουντα πατερα</t>
  </si>
  <si>
    <t>εκεινος ποιηση ταυτα</t>
  </si>
  <si>
    <t>εκεινος ποιει ταυτα</t>
  </si>
  <si>
    <t xml:space="preserve">ουτως και ο υιος </t>
  </si>
  <si>
    <t xml:space="preserve">ουτω και ο υιος </t>
  </si>
  <si>
    <t>τειμωσι τον πατερα</t>
  </si>
  <si>
    <t>εις την ζωην</t>
  </si>
  <si>
    <t>εις ζωην</t>
  </si>
  <si>
    <t>ωσπερ γαρ ο πατηρ ζων</t>
  </si>
  <si>
    <r>
      <rPr>
        <b/>
        <sz val="11"/>
        <color theme="1"/>
        <rFont val="Calibri"/>
        <family val="2"/>
        <scheme val="minor"/>
      </rPr>
      <t>ως</t>
    </r>
    <r>
      <rPr>
        <sz val="11"/>
        <color theme="1"/>
        <rFont val="Calibri"/>
        <family val="2"/>
        <scheme val="minor"/>
      </rPr>
      <t xml:space="preserve"> γαρ ο πατηρ ο ζων</t>
    </r>
  </si>
  <si>
    <r>
      <rPr>
        <b/>
        <sz val="11"/>
        <color theme="1"/>
        <rFont val="Calibri"/>
        <family val="2"/>
        <scheme val="minor"/>
      </rPr>
      <t>ωσπερ</t>
    </r>
    <r>
      <rPr>
        <sz val="11"/>
        <color theme="1"/>
        <rFont val="Calibri"/>
        <family val="2"/>
        <scheme val="minor"/>
      </rPr>
      <t xml:space="preserve"> γαρ ο πατηρ ζων</t>
    </r>
  </si>
  <si>
    <r>
      <t xml:space="preserve">ως γαρ ο πατηρ </t>
    </r>
    <r>
      <rPr>
        <b/>
        <sz val="11"/>
        <color theme="1"/>
        <rFont val="Calibri"/>
        <family val="2"/>
        <scheme val="minor"/>
      </rPr>
      <t>ο</t>
    </r>
    <r>
      <rPr>
        <sz val="11"/>
        <color theme="1"/>
        <rFont val="Calibri"/>
        <family val="2"/>
        <scheme val="minor"/>
      </rPr>
      <t xml:space="preserve"> ζων</t>
    </r>
  </si>
  <si>
    <t>οι δε τα φαυλα</t>
  </si>
  <si>
    <t>οι δε φαυλα</t>
  </si>
  <si>
    <t>εγω ποιειν απ εμαυτου ουδεν</t>
  </si>
  <si>
    <t>εγω απ εμαυτου ποιειν ουδεν</t>
  </si>
  <si>
    <t>μαρτυρια αυτου ην</t>
  </si>
  <si>
    <t>μαρτυρια μου ην</t>
  </si>
  <si>
    <r>
      <rPr>
        <b/>
        <sz val="11"/>
        <color theme="1"/>
        <rFont val="Calibri"/>
        <family val="2"/>
        <scheme val="minor"/>
      </rPr>
      <t>ανθρωπων</t>
    </r>
    <r>
      <rPr>
        <sz val="11"/>
        <color theme="1"/>
        <rFont val="Calibri"/>
        <family val="2"/>
        <scheme val="minor"/>
      </rPr>
      <t xml:space="preserve"> την μαρτυρειαν</t>
    </r>
  </si>
  <si>
    <r>
      <t xml:space="preserve">ανθρωπων την </t>
    </r>
    <r>
      <rPr>
        <b/>
        <sz val="11"/>
        <color theme="1"/>
        <rFont val="Calibri"/>
        <family val="2"/>
        <scheme val="minor"/>
      </rPr>
      <t>μαρτυρειαν</t>
    </r>
  </si>
  <si>
    <r>
      <rPr>
        <b/>
        <sz val="11"/>
        <color theme="1"/>
        <rFont val="Calibri"/>
        <family val="2"/>
        <scheme val="minor"/>
      </rPr>
      <t>ανθρωπου</t>
    </r>
    <r>
      <rPr>
        <sz val="11"/>
        <color theme="1"/>
        <rFont val="Calibri"/>
        <family val="2"/>
        <scheme val="minor"/>
      </rPr>
      <t xml:space="preserve"> την μαρτυριαν</t>
    </r>
  </si>
  <si>
    <r>
      <t xml:space="preserve">ανθρωπου την </t>
    </r>
    <r>
      <rPr>
        <b/>
        <sz val="11"/>
        <color theme="1"/>
        <rFont val="Calibri"/>
        <family val="2"/>
        <scheme val="minor"/>
      </rPr>
      <t>μαρτυριαν</t>
    </r>
  </si>
  <si>
    <t>λυχλος ο καιομενος</t>
  </si>
  <si>
    <t>λυχλον ο καιομενος</t>
  </si>
  <si>
    <t>(35) αυτου (36) εγω δε εχω την μαρτυριαν</t>
  </si>
  <si>
    <t>(35) αυτου (36) εχω δε εγω την μαρτυριαν</t>
  </si>
  <si>
    <t>απεστιλεν (37) και ο πεμψας</t>
  </si>
  <si>
    <t>απεσταλκεν (37) και ο πεμψας</t>
  </si>
  <si>
    <t>εκεινος μαρτυρει</t>
  </si>
  <si>
    <r>
      <t xml:space="preserve">εκεινος </t>
    </r>
    <r>
      <rPr>
        <b/>
        <sz val="11"/>
        <color theme="1"/>
        <rFont val="Calibri"/>
        <family val="2"/>
        <scheme val="minor"/>
      </rPr>
      <t>αυτος</t>
    </r>
    <r>
      <rPr>
        <sz val="11"/>
        <color theme="1"/>
        <rFont val="Calibri"/>
        <family val="2"/>
        <scheme val="minor"/>
      </rPr>
      <t xml:space="preserve"> μαρτυρι</t>
    </r>
  </si>
  <si>
    <r>
      <t xml:space="preserve">εκεινος αυτος </t>
    </r>
    <r>
      <rPr>
        <b/>
        <sz val="11"/>
        <color theme="1"/>
        <rFont val="Calibri"/>
        <family val="2"/>
        <scheme val="minor"/>
      </rPr>
      <t>μαρτυρι</t>
    </r>
  </si>
  <si>
    <r>
      <t xml:space="preserve">εκεινος </t>
    </r>
    <r>
      <rPr>
        <b/>
        <sz val="11"/>
        <color theme="1"/>
        <rFont val="Calibri"/>
        <family val="2"/>
        <scheme val="minor"/>
      </rPr>
      <t>μαρτυρει</t>
    </r>
  </si>
  <si>
    <r>
      <t xml:space="preserve">αυτου </t>
    </r>
    <r>
      <rPr>
        <b/>
        <sz val="11"/>
        <color theme="1"/>
        <rFont val="Calibri"/>
        <family val="2"/>
        <scheme val="minor"/>
      </rPr>
      <t>πωποτε ακηκοατε</t>
    </r>
    <r>
      <rPr>
        <sz val="11"/>
        <color theme="1"/>
        <rFont val="Calibri"/>
        <family val="2"/>
        <scheme val="minor"/>
      </rPr>
      <t xml:space="preserve"> ουτε ειδος</t>
    </r>
  </si>
  <si>
    <r>
      <t xml:space="preserve">αυτου </t>
    </r>
    <r>
      <rPr>
        <b/>
        <sz val="11"/>
        <color theme="1"/>
        <rFont val="Calibri"/>
        <family val="2"/>
        <scheme val="minor"/>
      </rPr>
      <t>ακηκοατε πωποτε</t>
    </r>
    <r>
      <rPr>
        <sz val="11"/>
        <color theme="1"/>
        <rFont val="Calibri"/>
        <family val="2"/>
        <scheme val="minor"/>
      </rPr>
      <t xml:space="preserve"> ουδε ειδος</t>
    </r>
  </si>
  <si>
    <r>
      <t xml:space="preserve">αυτου πωποτε ακηκοατε </t>
    </r>
    <r>
      <rPr>
        <b/>
        <sz val="11"/>
        <color theme="1"/>
        <rFont val="Calibri"/>
        <family val="2"/>
        <scheme val="minor"/>
      </rPr>
      <t>ουτε</t>
    </r>
    <r>
      <rPr>
        <sz val="11"/>
        <color theme="1"/>
        <rFont val="Calibri"/>
        <family val="2"/>
        <scheme val="minor"/>
      </rPr>
      <t xml:space="preserve"> ειδος</t>
    </r>
  </si>
  <si>
    <r>
      <t xml:space="preserve">αυτου ακηκοατε πωποτε </t>
    </r>
    <r>
      <rPr>
        <b/>
        <sz val="11"/>
        <color theme="1"/>
        <rFont val="Calibri"/>
        <family val="2"/>
        <scheme val="minor"/>
      </rPr>
      <t>ουδε</t>
    </r>
    <r>
      <rPr>
        <sz val="11"/>
        <color theme="1"/>
        <rFont val="Calibri"/>
        <family val="2"/>
        <scheme val="minor"/>
      </rPr>
      <t xml:space="preserve"> ειδος</t>
    </r>
  </si>
  <si>
    <t>απεσταλκεν εκεινος</t>
  </si>
  <si>
    <t>απεστειλεν εκεινος</t>
  </si>
  <si>
    <t>Bezae corrects απεσταικεν -&gt; απεσταλκεν</t>
  </si>
  <si>
    <t>εισιν αμαρτανουσαι</t>
  </si>
  <si>
    <t>εισιν αι μαρτυρουσαι</t>
  </si>
  <si>
    <t xml:space="preserve">παρ αλληλων </t>
  </si>
  <si>
    <t>παρα αλληλων</t>
  </si>
  <si>
    <t>κατηγορησω υμων προς</t>
  </si>
  <si>
    <t>κατηγορησω υμας προς</t>
  </si>
  <si>
    <t>πιστευετε πος τοις</t>
  </si>
  <si>
    <t>πιστευετε πως τοις</t>
  </si>
  <si>
    <t>ρημασιν πιστευσητε</t>
  </si>
  <si>
    <t>ρημασιν πιστευσετε</t>
  </si>
  <si>
    <t>οτι εθεωρουν τα σημεια</t>
  </si>
  <si>
    <r>
      <t xml:space="preserve">οτι </t>
    </r>
    <r>
      <rPr>
        <b/>
        <sz val="11"/>
        <color theme="1"/>
        <rFont val="Calibri"/>
        <family val="2"/>
        <scheme val="minor"/>
      </rPr>
      <t>εθεωρουν</t>
    </r>
    <r>
      <rPr>
        <sz val="11"/>
        <color theme="1"/>
        <rFont val="Calibri"/>
        <family val="2"/>
        <scheme val="minor"/>
      </rPr>
      <t xml:space="preserve"> τα σημεια</t>
    </r>
  </si>
  <si>
    <r>
      <t xml:space="preserve">οτι </t>
    </r>
    <r>
      <rPr>
        <b/>
        <sz val="11"/>
        <color theme="1"/>
        <rFont val="Calibri"/>
        <family val="2"/>
        <scheme val="minor"/>
      </rPr>
      <t>θεωρουν</t>
    </r>
    <r>
      <rPr>
        <sz val="11"/>
        <color theme="1"/>
        <rFont val="Calibri"/>
        <family val="2"/>
        <scheme val="minor"/>
      </rPr>
      <t xml:space="preserve"> αυτου τα σημεια</t>
    </r>
  </si>
  <si>
    <r>
      <t xml:space="preserve">οτι θεωρουν </t>
    </r>
    <r>
      <rPr>
        <b/>
        <sz val="11"/>
        <color theme="1"/>
        <rFont val="Calibri"/>
        <family val="2"/>
        <scheme val="minor"/>
      </rPr>
      <t>αυτου</t>
    </r>
    <r>
      <rPr>
        <sz val="11"/>
        <color theme="1"/>
        <rFont val="Calibri"/>
        <family val="2"/>
        <scheme val="minor"/>
      </rPr>
      <t xml:space="preserve"> τα σημεια</t>
    </r>
  </si>
  <si>
    <t xml:space="preserve">τι ημελλεν </t>
  </si>
  <si>
    <t>τι εμελλεν</t>
  </si>
  <si>
    <t>βραχυ τι λαβη</t>
  </si>
  <si>
    <t>βραχυ λαβη</t>
  </si>
  <si>
    <t>ωδε ο εχει</t>
  </si>
  <si>
    <t>ωδε ος εχει</t>
  </si>
  <si>
    <t>ταυτα τι εστιν</t>
  </si>
  <si>
    <t>ταυτα εστιν</t>
  </si>
  <si>
    <t>ωσει πεντακισχιλιοι</t>
  </si>
  <si>
    <t>ως πεντακισχιλιοι</t>
  </si>
  <si>
    <t xml:space="preserve">ομοιως δε και </t>
  </si>
  <si>
    <t xml:space="preserve">ομοιως και </t>
  </si>
  <si>
    <t xml:space="preserve">ελεγον οτι ουτος </t>
  </si>
  <si>
    <t xml:space="preserve">ελεγον ουτος </t>
  </si>
  <si>
    <t>μονος κακει προσηυχετο (16) ως δε</t>
  </si>
  <si>
    <t>μονος (16) ως δε</t>
  </si>
  <si>
    <t>θαλασσης εις καφαρναουμ</t>
  </si>
  <si>
    <t>θαλασσης ις καφαρναουμ</t>
  </si>
  <si>
    <t xml:space="preserve">και ουπω εληλυθει </t>
  </si>
  <si>
    <t xml:space="preserve">και ουτε εληλυθει </t>
  </si>
  <si>
    <t xml:space="preserve">ωσει εικοσι </t>
  </si>
  <si>
    <t xml:space="preserve">ως εικοσι </t>
  </si>
  <si>
    <t>αυτοις εγω ειμι μη φοβισθε</t>
  </si>
  <si>
    <r>
      <t xml:space="preserve">αυτοις εγω ειμι </t>
    </r>
    <r>
      <rPr>
        <b/>
        <sz val="11"/>
        <color theme="1"/>
        <rFont val="Calibri"/>
        <family val="2"/>
        <scheme val="minor"/>
      </rPr>
      <t>εγω ειμι</t>
    </r>
    <r>
      <rPr>
        <sz val="11"/>
        <color theme="1"/>
        <rFont val="Calibri"/>
        <family val="2"/>
        <scheme val="minor"/>
      </rPr>
      <t xml:space="preserve"> μη φοβεισθε</t>
    </r>
  </si>
  <si>
    <r>
      <t xml:space="preserve">αυτοις εγω ειμι εγω ειμι μη </t>
    </r>
    <r>
      <rPr>
        <b/>
        <sz val="11"/>
        <color theme="1"/>
        <rFont val="Calibri"/>
        <family val="2"/>
        <scheme val="minor"/>
      </rPr>
      <t>φοβεισθε</t>
    </r>
  </si>
  <si>
    <r>
      <t xml:space="preserve">αυτοις εγω ειμι μη </t>
    </r>
    <r>
      <rPr>
        <b/>
        <sz val="11"/>
        <color theme="1"/>
        <rFont val="Calibri"/>
        <family val="2"/>
        <scheme val="minor"/>
      </rPr>
      <t>φοβισθε</t>
    </r>
  </si>
  <si>
    <t>αλλο ουκ</t>
  </si>
  <si>
    <t>αλλα ουκ</t>
  </si>
  <si>
    <t>οι μαθηται αυτου ιυ</t>
  </si>
  <si>
    <t>οι μαθηται αυτου ιηυ</t>
  </si>
  <si>
    <t>Bezae corrects αυτου -&gt; του</t>
  </si>
  <si>
    <t>συνεισηλθεν τοις μαθηταις</t>
  </si>
  <si>
    <t>συνεισηλθε τοις μαθηταις</t>
  </si>
  <si>
    <t>ιησους εις το πλοιον</t>
  </si>
  <si>
    <t>ιης ις το πλοιον</t>
  </si>
  <si>
    <t>ελαβον εαυτοις πλοιαρια</t>
  </si>
  <si>
    <r>
      <t xml:space="preserve">ελαβον </t>
    </r>
    <r>
      <rPr>
        <b/>
        <sz val="11"/>
        <color theme="1"/>
        <rFont val="Calibri"/>
        <family val="2"/>
        <scheme val="minor"/>
      </rPr>
      <t>εαυτοις</t>
    </r>
    <r>
      <rPr>
        <sz val="11"/>
        <color theme="1"/>
        <rFont val="Calibri"/>
        <family val="2"/>
        <scheme val="minor"/>
      </rPr>
      <t xml:space="preserve"> πλοιαρια</t>
    </r>
  </si>
  <si>
    <r>
      <t xml:space="preserve">ελαβον </t>
    </r>
    <r>
      <rPr>
        <b/>
        <sz val="11"/>
        <color theme="1"/>
        <rFont val="Calibri"/>
        <family val="2"/>
        <scheme val="minor"/>
      </rPr>
      <t>εαυτους</t>
    </r>
    <r>
      <rPr>
        <sz val="11"/>
        <color theme="1"/>
        <rFont val="Calibri"/>
        <family val="2"/>
        <scheme val="minor"/>
      </rPr>
      <t xml:space="preserve"> εις τα πλοιαρια</t>
    </r>
  </si>
  <si>
    <r>
      <t xml:space="preserve">ελαβον εαυτους </t>
    </r>
    <r>
      <rPr>
        <b/>
        <sz val="11"/>
        <color theme="1"/>
        <rFont val="Calibri"/>
        <family val="2"/>
        <scheme val="minor"/>
      </rPr>
      <t>εις τα</t>
    </r>
    <r>
      <rPr>
        <sz val="11"/>
        <color theme="1"/>
        <rFont val="Calibri"/>
        <family val="2"/>
        <scheme val="minor"/>
      </rPr>
      <t xml:space="preserve"> πλοιαρια</t>
    </r>
  </si>
  <si>
    <t>ειδατε τερατα</t>
  </si>
  <si>
    <t>ειδατε σημεια και τερατα</t>
  </si>
  <si>
    <t>απολλυμενην αλλα</t>
  </si>
  <si>
    <t>απολλυμην αλλα</t>
  </si>
  <si>
    <t>τι ερσωμεθα</t>
  </si>
  <si>
    <t>τι εργαζωμεθα</t>
  </si>
  <si>
    <t>Bezae corrects to τι εργασωμεθα</t>
  </si>
  <si>
    <t>εργα (29) απεκριθη</t>
  </si>
  <si>
    <r>
      <t xml:space="preserve">εργα </t>
    </r>
    <r>
      <rPr>
        <b/>
        <sz val="11"/>
        <color theme="1"/>
        <rFont val="Calibri"/>
        <family val="2"/>
        <scheme val="minor"/>
      </rPr>
      <t>του θυ</t>
    </r>
    <r>
      <rPr>
        <sz val="11"/>
        <color theme="1"/>
        <rFont val="Calibri"/>
        <family val="2"/>
        <scheme val="minor"/>
      </rPr>
      <t xml:space="preserve"> (29) απεκριθη</t>
    </r>
  </si>
  <si>
    <r>
      <t xml:space="preserve">(28) εργα του θυ (29) </t>
    </r>
    <r>
      <rPr>
        <b/>
        <sz val="11"/>
        <color theme="1"/>
        <rFont val="Calibri"/>
        <family val="2"/>
        <scheme val="minor"/>
      </rPr>
      <t>απεκριθη</t>
    </r>
  </si>
  <si>
    <t>πιστευσηται εις</t>
  </si>
  <si>
    <t>πιστευσητε εις</t>
  </si>
  <si>
    <t>τι ουν συ ποιεις</t>
  </si>
  <si>
    <t>τι ουν σοι ποιεις</t>
  </si>
  <si>
    <t>καθως γεγραμμενον</t>
  </si>
  <si>
    <t>καθως εστιν γεγραμμενον</t>
  </si>
  <si>
    <t>διδωσιν υμειν</t>
  </si>
  <si>
    <t>διδωσιν υμιν</t>
  </si>
  <si>
    <t>διδως τω κοσμω</t>
  </si>
  <si>
    <t>διδους τω κοσμω</t>
  </si>
  <si>
    <t>εκβαλω εξω (38) οτι</t>
  </si>
  <si>
    <t>εκβαλω (38) οτι</t>
  </si>
  <si>
    <t>με πατρος (39) τουτο</t>
  </si>
  <si>
    <t>με (39) τουτο</t>
  </si>
  <si>
    <t>εστιν πατρος το θελημα</t>
  </si>
  <si>
    <t>εστιν το θελημα</t>
  </si>
  <si>
    <t>ινα απαν</t>
  </si>
  <si>
    <t>ινα παν</t>
  </si>
  <si>
    <t>αυτον τη εσχατη</t>
  </si>
  <si>
    <t>αυτον εν τη εσχατη</t>
  </si>
  <si>
    <t>εγογγυζον ουν οι ιουδαιοι</t>
  </si>
  <si>
    <t>εγογγυζον δε οι ιουδαιοι</t>
  </si>
  <si>
    <t>ουτος ιησους</t>
  </si>
  <si>
    <t>ουτος εστιν ιης</t>
  </si>
  <si>
    <t>λεγει εαυτον</t>
  </si>
  <si>
    <t>λεγει αυτον</t>
  </si>
  <si>
    <t>αρτος εκ του ουρανου καταβαινων ινα τις</t>
  </si>
  <si>
    <r>
      <t xml:space="preserve">αρτος </t>
    </r>
    <r>
      <rPr>
        <b/>
        <sz val="11"/>
        <color theme="1"/>
        <rFont val="Calibri"/>
        <family val="2"/>
        <scheme val="minor"/>
      </rPr>
      <t>ο</t>
    </r>
    <r>
      <rPr>
        <sz val="11"/>
        <color theme="1"/>
        <rFont val="Calibri"/>
        <family val="2"/>
        <scheme val="minor"/>
      </rPr>
      <t xml:space="preserve"> εκ του ουρανου και καταβαινων ινα τις</t>
    </r>
  </si>
  <si>
    <r>
      <t xml:space="preserve">αρτος ο εκ του ουρανου </t>
    </r>
    <r>
      <rPr>
        <b/>
        <sz val="11"/>
        <color theme="1"/>
        <rFont val="Calibri"/>
        <family val="2"/>
        <scheme val="minor"/>
      </rPr>
      <t>και</t>
    </r>
    <r>
      <rPr>
        <sz val="11"/>
        <color theme="1"/>
        <rFont val="Calibri"/>
        <family val="2"/>
        <scheme val="minor"/>
      </rPr>
      <t xml:space="preserve"> καταβαινων ινα τις</t>
    </r>
  </si>
  <si>
    <r>
      <t xml:space="preserve">αρτος ο εκ του ουρανου και καταβαινων </t>
    </r>
    <r>
      <rPr>
        <b/>
        <sz val="11"/>
        <color theme="1"/>
        <rFont val="Calibri"/>
        <family val="2"/>
        <scheme val="minor"/>
      </rPr>
      <t>ινα τις</t>
    </r>
  </si>
  <si>
    <r>
      <t xml:space="preserve">αρτος εκ του ουρανου καταβαινων </t>
    </r>
    <r>
      <rPr>
        <b/>
        <sz val="11"/>
        <color theme="1"/>
        <rFont val="Calibri"/>
        <family val="2"/>
        <scheme val="minor"/>
      </rPr>
      <t>ινα τις</t>
    </r>
  </si>
  <si>
    <t>Bezae corrects to ινα εαν τις</t>
  </si>
  <si>
    <t>εκ τουτου του αρτου ζησει</t>
  </si>
  <si>
    <t>εκ του αρτου τουτου ζησει</t>
  </si>
  <si>
    <t>εμαχοντο ουν προς αλληλους οι ιουδαιοι προς αλληλους λεγοντες</t>
  </si>
  <si>
    <t>εμαχοντο ουν οι ιουδαιοι προς αλληλους λεγοντες</t>
  </si>
  <si>
    <t xml:space="preserve">μαθητων αυτου ακουσαντες ειπαν σκληρος </t>
  </si>
  <si>
    <t xml:space="preserve">μαθητων ακουσαντες αυτου ειπαν σκληρος </t>
  </si>
  <si>
    <r>
      <t xml:space="preserve">εγω </t>
    </r>
    <r>
      <rPr>
        <b/>
        <sz val="11"/>
        <color theme="1"/>
        <rFont val="Calibri"/>
        <family val="2"/>
        <scheme val="minor"/>
      </rPr>
      <t>λελαληκα υμειν</t>
    </r>
    <r>
      <rPr>
        <sz val="11"/>
        <color theme="1"/>
        <rFont val="Calibri"/>
        <family val="2"/>
        <scheme val="minor"/>
      </rPr>
      <t xml:space="preserve"> πνα</t>
    </r>
  </si>
  <si>
    <r>
      <t xml:space="preserve">εγω </t>
    </r>
    <r>
      <rPr>
        <b/>
        <sz val="11"/>
        <color theme="1"/>
        <rFont val="Calibri"/>
        <family val="2"/>
        <scheme val="minor"/>
      </rPr>
      <t>υμειν λελαληκα</t>
    </r>
    <r>
      <rPr>
        <sz val="11"/>
        <color theme="1"/>
        <rFont val="Calibri"/>
        <family val="2"/>
        <scheme val="minor"/>
      </rPr>
      <t xml:space="preserve"> πευμα</t>
    </r>
  </si>
  <si>
    <r>
      <t xml:space="preserve">εγω υμειν λελαληκα </t>
    </r>
    <r>
      <rPr>
        <b/>
        <sz val="11"/>
        <color theme="1"/>
        <rFont val="Calibri"/>
        <family val="2"/>
        <scheme val="minor"/>
      </rPr>
      <t>πευμα</t>
    </r>
  </si>
  <si>
    <r>
      <t xml:space="preserve">εγω λελαληκα υμειν </t>
    </r>
    <r>
      <rPr>
        <b/>
        <sz val="11"/>
        <color theme="1"/>
        <rFont val="Calibri"/>
        <family val="2"/>
        <scheme val="minor"/>
      </rPr>
      <t>πνα</t>
    </r>
  </si>
  <si>
    <t>εστιν και ζωη</t>
  </si>
  <si>
    <t>εστιν ζωη</t>
  </si>
  <si>
    <t>υμων τινες εισιν οι</t>
  </si>
  <si>
    <t>υμων εισιν τινες οι</t>
  </si>
  <si>
    <t>αρχης τινες εισιν</t>
  </si>
  <si>
    <t>αρχης ο ιης τινες εισιν</t>
  </si>
  <si>
    <t>παραδιδους αυτον</t>
  </si>
  <si>
    <t>πατρος μου (66) εκ τουτου</t>
  </si>
  <si>
    <t>προς (66) εκ τουτου</t>
  </si>
  <si>
    <t>προς here is an abbreviation</t>
  </si>
  <si>
    <t>ιησους τοις τοις δωδεκα</t>
  </si>
  <si>
    <t>ειπεν δε αυτω σιμων</t>
  </si>
  <si>
    <t>ειπεν δε σιμων</t>
  </si>
  <si>
    <t>εγνωκαμεν οτι</t>
  </si>
  <si>
    <t>εγνωκαμεν σε οτι</t>
  </si>
  <si>
    <t>(69) θυ (70) απεκριθη ο ιης λεγων ουκ εγω</t>
  </si>
  <si>
    <t>(69) θεου του ζωντος (70) απεκρειθη λεγω ουκ εγω</t>
  </si>
  <si>
    <r>
      <t xml:space="preserve">(69) θεου </t>
    </r>
    <r>
      <rPr>
        <b/>
        <sz val="11"/>
        <color theme="1"/>
        <rFont val="Calibri"/>
        <family val="2"/>
        <scheme val="minor"/>
      </rPr>
      <t>του ζωντος</t>
    </r>
    <r>
      <rPr>
        <sz val="11"/>
        <color theme="1"/>
        <rFont val="Calibri"/>
        <family val="2"/>
        <scheme val="minor"/>
      </rPr>
      <t xml:space="preserve"> (70) απεκρειθη λεγω ουκ εγω</t>
    </r>
  </si>
  <si>
    <r>
      <t xml:space="preserve">(69) θυ (70) απεκριθη </t>
    </r>
    <r>
      <rPr>
        <b/>
        <sz val="11"/>
        <color theme="1"/>
        <rFont val="Calibri"/>
        <family val="2"/>
        <scheme val="minor"/>
      </rPr>
      <t>ο ιης</t>
    </r>
    <r>
      <rPr>
        <sz val="11"/>
        <color theme="1"/>
        <rFont val="Calibri"/>
        <family val="2"/>
        <scheme val="minor"/>
      </rPr>
      <t xml:space="preserve"> λεγων ουκ εγω</t>
    </r>
  </si>
  <si>
    <r>
      <t xml:space="preserve">(69) θυ (70) </t>
    </r>
    <r>
      <rPr>
        <b/>
        <sz val="11"/>
        <color theme="1"/>
        <rFont val="Calibri"/>
        <family val="2"/>
        <scheme val="minor"/>
      </rPr>
      <t>απεκριθη</t>
    </r>
    <r>
      <rPr>
        <sz val="11"/>
        <color theme="1"/>
        <rFont val="Calibri"/>
        <family val="2"/>
        <scheme val="minor"/>
      </rPr>
      <t xml:space="preserve"> ο ιης λεγων ουκ εγω</t>
    </r>
  </si>
  <si>
    <r>
      <t xml:space="preserve">(69) θεου του ζωντος (70) </t>
    </r>
    <r>
      <rPr>
        <b/>
        <sz val="11"/>
        <color theme="1"/>
        <rFont val="Calibri"/>
        <family val="2"/>
        <scheme val="minor"/>
      </rPr>
      <t>απεκρειθη</t>
    </r>
    <r>
      <rPr>
        <sz val="11"/>
        <color theme="1"/>
        <rFont val="Calibri"/>
        <family val="2"/>
        <scheme val="minor"/>
      </rPr>
      <t xml:space="preserve"> λεγω ουκ εγω</t>
    </r>
  </si>
  <si>
    <r>
      <t xml:space="preserve">(69) θυ (70) απεκριθη ο ιης </t>
    </r>
    <r>
      <rPr>
        <b/>
        <sz val="11"/>
        <color theme="1"/>
        <rFont val="Calibri"/>
        <family val="2"/>
        <scheme val="minor"/>
      </rPr>
      <t>λεγων</t>
    </r>
    <r>
      <rPr>
        <sz val="11"/>
        <color theme="1"/>
        <rFont val="Calibri"/>
        <family val="2"/>
        <scheme val="minor"/>
      </rPr>
      <t xml:space="preserve"> ουκ εγω</t>
    </r>
  </si>
  <si>
    <r>
      <t xml:space="preserve">(69) θεου του ζωντος (70) απεκρειθη </t>
    </r>
    <r>
      <rPr>
        <b/>
        <sz val="11"/>
        <color theme="1"/>
        <rFont val="Calibri"/>
        <family val="2"/>
        <scheme val="minor"/>
      </rPr>
      <t>λεγω</t>
    </r>
    <r>
      <rPr>
        <sz val="11"/>
        <color theme="1"/>
        <rFont val="Calibri"/>
        <family val="2"/>
        <scheme val="minor"/>
      </rPr>
      <t xml:space="preserve"> ουκ εγω</t>
    </r>
  </si>
  <si>
    <t>σκαριωθ ουτος</t>
  </si>
  <si>
    <t>σκαριωτην ουτος</t>
  </si>
  <si>
    <t>εις την ιουδαιαν ινα</t>
  </si>
  <si>
    <t>εις την γαλιλαιαν ινα</t>
  </si>
  <si>
    <t>εργα σου α ποιεις</t>
  </si>
  <si>
    <t>εργα α ποιεις</t>
  </si>
  <si>
    <r>
      <t xml:space="preserve">εν </t>
    </r>
    <r>
      <rPr>
        <b/>
        <sz val="11"/>
        <color theme="1"/>
        <rFont val="Calibri"/>
        <family val="2"/>
        <scheme val="minor"/>
      </rPr>
      <t>παρησια</t>
    </r>
    <r>
      <rPr>
        <sz val="11"/>
        <color theme="1"/>
        <rFont val="Calibri"/>
        <family val="2"/>
        <scheme val="minor"/>
      </rPr>
      <t xml:space="preserve"> αυτο ειναι</t>
    </r>
  </si>
  <si>
    <r>
      <t xml:space="preserve">εν </t>
    </r>
    <r>
      <rPr>
        <b/>
        <sz val="11"/>
        <color theme="1"/>
        <rFont val="Calibri"/>
        <family val="2"/>
        <scheme val="minor"/>
      </rPr>
      <t>παρρησια</t>
    </r>
    <r>
      <rPr>
        <sz val="11"/>
        <color theme="1"/>
        <rFont val="Calibri"/>
        <family val="2"/>
        <scheme val="minor"/>
      </rPr>
      <t xml:space="preserve"> αυτος ειναι</t>
    </r>
  </si>
  <si>
    <r>
      <t xml:space="preserve">εν παρησια </t>
    </r>
    <r>
      <rPr>
        <b/>
        <sz val="11"/>
        <color theme="1"/>
        <rFont val="Calibri"/>
        <family val="2"/>
        <scheme val="minor"/>
      </rPr>
      <t>αυτο</t>
    </r>
    <r>
      <rPr>
        <sz val="11"/>
        <color theme="1"/>
        <rFont val="Calibri"/>
        <family val="2"/>
        <scheme val="minor"/>
      </rPr>
      <t xml:space="preserve"> ειναι</t>
    </r>
  </si>
  <si>
    <r>
      <t xml:space="preserve">εν παρρησια </t>
    </r>
    <r>
      <rPr>
        <b/>
        <sz val="11"/>
        <color theme="1"/>
        <rFont val="Calibri"/>
        <family val="2"/>
        <scheme val="minor"/>
      </rPr>
      <t>αυτος</t>
    </r>
    <r>
      <rPr>
        <sz val="11"/>
        <color theme="1"/>
        <rFont val="Calibri"/>
        <family val="2"/>
        <scheme val="minor"/>
      </rPr>
      <t xml:space="preserve"> ειναι</t>
    </r>
  </si>
  <si>
    <t>(4) κοσμω (5) οι δε γαρ οι αδελφοι</t>
  </si>
  <si>
    <t>(4) κοσμω (5) ουδε γαρ οι αδελφοι</t>
  </si>
  <si>
    <t>ταυτα δε ειπων αυτοις</t>
  </si>
  <si>
    <t>ταυτα ειπων αυτος</t>
  </si>
  <si>
    <r>
      <rPr>
        <b/>
        <sz val="11"/>
        <color theme="1"/>
        <rFont val="Calibri"/>
        <family val="2"/>
        <scheme val="minor"/>
      </rPr>
      <t>μωυσης</t>
    </r>
    <r>
      <rPr>
        <sz val="11"/>
        <color theme="1"/>
        <rFont val="Calibri"/>
        <family val="2"/>
        <scheme val="minor"/>
      </rPr>
      <t xml:space="preserve"> εδωκεν υμειν</t>
    </r>
  </si>
  <si>
    <r>
      <rPr>
        <b/>
        <sz val="11"/>
        <color theme="1"/>
        <rFont val="Calibri"/>
        <family val="2"/>
        <scheme val="minor"/>
      </rPr>
      <t>μωσης</t>
    </r>
    <r>
      <rPr>
        <sz val="11"/>
        <color theme="1"/>
        <rFont val="Calibri"/>
        <family val="2"/>
        <scheme val="minor"/>
      </rPr>
      <t xml:space="preserve"> δεδωκεν υμιν</t>
    </r>
  </si>
  <si>
    <r>
      <t xml:space="preserve">μωσης </t>
    </r>
    <r>
      <rPr>
        <b/>
        <sz val="11"/>
        <color theme="1"/>
        <rFont val="Calibri"/>
        <family val="2"/>
        <scheme val="minor"/>
      </rPr>
      <t>δεδωκεν</t>
    </r>
    <r>
      <rPr>
        <sz val="11"/>
        <color theme="1"/>
        <rFont val="Calibri"/>
        <family val="2"/>
        <scheme val="minor"/>
      </rPr>
      <t xml:space="preserve"> υμιν</t>
    </r>
  </si>
  <si>
    <r>
      <t xml:space="preserve">μωσης δεδωκεν </t>
    </r>
    <r>
      <rPr>
        <b/>
        <sz val="11"/>
        <color theme="1"/>
        <rFont val="Calibri"/>
        <family val="2"/>
        <scheme val="minor"/>
      </rPr>
      <t>υμιν</t>
    </r>
  </si>
  <si>
    <r>
      <t xml:space="preserve">μωυσης εδωκεν </t>
    </r>
    <r>
      <rPr>
        <b/>
        <sz val="11"/>
        <color theme="1"/>
        <rFont val="Calibri"/>
        <family val="2"/>
        <scheme val="minor"/>
      </rPr>
      <t>υμειν</t>
    </r>
  </si>
  <si>
    <r>
      <t xml:space="preserve">μωυσης </t>
    </r>
    <r>
      <rPr>
        <b/>
        <sz val="11"/>
        <color theme="1"/>
        <rFont val="Calibri"/>
        <family val="2"/>
        <scheme val="minor"/>
      </rPr>
      <t>εδωκεν</t>
    </r>
    <r>
      <rPr>
        <sz val="11"/>
        <color theme="1"/>
        <rFont val="Calibri"/>
        <family val="2"/>
        <scheme val="minor"/>
      </rPr>
      <t xml:space="preserve"> υμειν</t>
    </r>
  </si>
  <si>
    <t>απεκριθη ο οχλος</t>
  </si>
  <si>
    <t>απεκριθη οχλος</t>
  </si>
  <si>
    <t xml:space="preserve">και υμεις θαυμαζεται </t>
  </si>
  <si>
    <t xml:space="preserve">και παντες θαυμαζεται </t>
  </si>
  <si>
    <t xml:space="preserve">αλλα εκ των </t>
  </si>
  <si>
    <t xml:space="preserve">αλλ εκ των </t>
  </si>
  <si>
    <t>κρισιν κρεινετε</t>
  </si>
  <si>
    <t>κρισιν κρινετε</t>
  </si>
  <si>
    <t>και λεγεν καμε</t>
  </si>
  <si>
    <t>και λεγων καμε</t>
  </si>
  <si>
    <t>αλλ εστιν</t>
  </si>
  <si>
    <t>αλλα εστιν</t>
  </si>
  <si>
    <t>υμεις ουδατε (29) εγω δε</t>
  </si>
  <si>
    <t>μη πλεονα</t>
  </si>
  <si>
    <t>μητι πλεονα</t>
  </si>
  <si>
    <r>
      <t xml:space="preserve">απεστειλαν </t>
    </r>
    <r>
      <rPr>
        <b/>
        <sz val="11"/>
        <color theme="1"/>
        <rFont val="Calibri"/>
        <family val="2"/>
        <scheme val="minor"/>
      </rPr>
      <t>υπηρετας</t>
    </r>
    <r>
      <rPr>
        <sz val="11"/>
        <color theme="1"/>
        <rFont val="Calibri"/>
        <family val="2"/>
        <scheme val="minor"/>
      </rPr>
      <t xml:space="preserve"> οι αρχειερεις και οι φαρισαιοι ινα </t>
    </r>
  </si>
  <si>
    <t xml:space="preserve">απεστειλαν υπηρετας οι αρχειερεις και οι φαρισαιοι ινα </t>
  </si>
  <si>
    <r>
      <t xml:space="preserve">απεστειλαν οι οι αρχειερεις και οι φαρισαιοι </t>
    </r>
    <r>
      <rPr>
        <b/>
        <sz val="11"/>
        <color theme="1"/>
        <rFont val="Calibri"/>
        <family val="2"/>
        <scheme val="minor"/>
      </rPr>
      <t>υπηρετας</t>
    </r>
    <r>
      <rPr>
        <sz val="11"/>
        <color theme="1"/>
        <rFont val="Calibri"/>
        <family val="2"/>
        <scheme val="minor"/>
      </rPr>
      <t xml:space="preserve"> ινα </t>
    </r>
  </si>
  <si>
    <r>
      <t xml:space="preserve">απεστειλαν οι </t>
    </r>
    <r>
      <rPr>
        <b/>
        <sz val="11"/>
        <color theme="1"/>
        <rFont val="Calibri"/>
        <family val="2"/>
        <scheme val="minor"/>
      </rPr>
      <t>οι</t>
    </r>
    <r>
      <rPr>
        <sz val="11"/>
        <color theme="1"/>
        <rFont val="Calibri"/>
        <family val="2"/>
        <scheme val="minor"/>
      </rPr>
      <t xml:space="preserve"> αρχειερεις και οι φαρισαιοι υπηρετας ινα </t>
    </r>
  </si>
  <si>
    <t xml:space="preserve">ουν οι ιουδαιοι </t>
  </si>
  <si>
    <t xml:space="preserve">ουν ιουδαιοι </t>
  </si>
  <si>
    <t xml:space="preserve">μη εις διασποραν </t>
  </si>
  <si>
    <r>
      <rPr>
        <b/>
        <sz val="11"/>
        <color theme="1"/>
        <rFont val="Calibri"/>
        <family val="2"/>
        <scheme val="minor"/>
      </rPr>
      <t>μητι</t>
    </r>
    <r>
      <rPr>
        <sz val="11"/>
        <color theme="1"/>
        <rFont val="Calibri"/>
        <family val="2"/>
        <scheme val="minor"/>
      </rPr>
      <t xml:space="preserve"> εις την διασποραν </t>
    </r>
  </si>
  <si>
    <r>
      <rPr>
        <b/>
        <sz val="11"/>
        <color theme="1"/>
        <rFont val="Calibri"/>
        <family val="2"/>
        <scheme val="minor"/>
      </rPr>
      <t>μη</t>
    </r>
    <r>
      <rPr>
        <sz val="11"/>
        <color theme="1"/>
        <rFont val="Calibri"/>
        <family val="2"/>
        <scheme val="minor"/>
      </rPr>
      <t xml:space="preserve"> εις διασποραν </t>
    </r>
  </si>
  <si>
    <r>
      <t xml:space="preserve">μητι εις </t>
    </r>
    <r>
      <rPr>
        <b/>
        <sz val="11"/>
        <color theme="1"/>
        <rFont val="Calibri"/>
        <family val="2"/>
        <scheme val="minor"/>
      </rPr>
      <t>την</t>
    </r>
    <r>
      <rPr>
        <sz val="11"/>
        <color theme="1"/>
        <rFont val="Calibri"/>
        <family val="2"/>
        <scheme val="minor"/>
      </rPr>
      <t xml:space="preserve"> διασποραν </t>
    </r>
  </si>
  <si>
    <t>ειπε ζητησετε</t>
  </si>
  <si>
    <t>ειπεν ζητησετε</t>
  </si>
  <si>
    <t>εν τη εσχατη ημερα μεγαλη της εορτης</t>
  </si>
  <si>
    <r>
      <t xml:space="preserve">εν </t>
    </r>
    <r>
      <rPr>
        <b/>
        <sz val="11"/>
        <color theme="1"/>
        <rFont val="Calibri"/>
        <family val="2"/>
        <scheme val="minor"/>
      </rPr>
      <t>δε</t>
    </r>
    <r>
      <rPr>
        <sz val="11"/>
        <color theme="1"/>
        <rFont val="Calibri"/>
        <family val="2"/>
        <scheme val="minor"/>
      </rPr>
      <t xml:space="preserve"> τη ημερα τη μεγαλη τη εσχατη της εορτης</t>
    </r>
  </si>
  <si>
    <r>
      <t xml:space="preserve">εν </t>
    </r>
    <r>
      <rPr>
        <b/>
        <sz val="11"/>
        <color theme="1"/>
        <rFont val="Calibri"/>
        <family val="2"/>
        <scheme val="minor"/>
      </rPr>
      <t>τη εσχατη</t>
    </r>
    <r>
      <rPr>
        <sz val="11"/>
        <color theme="1"/>
        <rFont val="Calibri"/>
        <family val="2"/>
        <scheme val="minor"/>
      </rPr>
      <t xml:space="preserve"> ημερα μεγαλη της εορτης</t>
    </r>
  </si>
  <si>
    <r>
      <t xml:space="preserve">εν δε τη ημερα τη μεγαλη </t>
    </r>
    <r>
      <rPr>
        <b/>
        <sz val="11"/>
        <color theme="1"/>
        <rFont val="Calibri"/>
        <family val="2"/>
        <scheme val="minor"/>
      </rPr>
      <t>τη εσχατη</t>
    </r>
    <r>
      <rPr>
        <sz val="11"/>
        <color theme="1"/>
        <rFont val="Calibri"/>
        <family val="2"/>
        <scheme val="minor"/>
      </rPr>
      <t xml:space="preserve"> της εορτης</t>
    </r>
  </si>
  <si>
    <r>
      <t xml:space="preserve">εν δε </t>
    </r>
    <r>
      <rPr>
        <b/>
        <sz val="11"/>
        <color theme="1"/>
        <rFont val="Calibri"/>
        <family val="2"/>
        <scheme val="minor"/>
      </rPr>
      <t>τη</t>
    </r>
    <r>
      <rPr>
        <sz val="11"/>
        <color theme="1"/>
        <rFont val="Calibri"/>
        <family val="2"/>
        <scheme val="minor"/>
      </rPr>
      <t xml:space="preserve"> ημερα τη μεγαλη τη εσχατη της εορτης</t>
    </r>
  </si>
  <si>
    <r>
      <t xml:space="preserve">εν δε τη ημερα </t>
    </r>
    <r>
      <rPr>
        <b/>
        <sz val="11"/>
        <color theme="1"/>
        <rFont val="Calibri"/>
        <family val="2"/>
        <scheme val="minor"/>
      </rPr>
      <t>τη</t>
    </r>
    <r>
      <rPr>
        <sz val="11"/>
        <color theme="1"/>
        <rFont val="Calibri"/>
        <family val="2"/>
        <scheme val="minor"/>
      </rPr>
      <t xml:space="preserve"> μεγαλη τη εσχατη της εορτης</t>
    </r>
  </si>
  <si>
    <t xml:space="preserve">εορτης ιστηκει </t>
  </si>
  <si>
    <t xml:space="preserve">εορτης ειστηκει </t>
  </si>
  <si>
    <t>πνα αγιον επ αυτοις</t>
  </si>
  <si>
    <r>
      <t xml:space="preserve">πνευμα </t>
    </r>
    <r>
      <rPr>
        <b/>
        <sz val="11"/>
        <color theme="1"/>
        <rFont val="Calibri"/>
        <family val="2"/>
        <scheme val="minor"/>
      </rPr>
      <t>το</t>
    </r>
    <r>
      <rPr>
        <sz val="11"/>
        <color theme="1"/>
        <rFont val="Calibri"/>
        <family val="2"/>
        <scheme val="minor"/>
      </rPr>
      <t xml:space="preserve"> αγιον επ αυτους</t>
    </r>
  </si>
  <si>
    <r>
      <t xml:space="preserve">πνευμα το αγιον επ </t>
    </r>
    <r>
      <rPr>
        <b/>
        <sz val="11"/>
        <color theme="1"/>
        <rFont val="Calibri"/>
        <family val="2"/>
        <scheme val="minor"/>
      </rPr>
      <t>αυτους</t>
    </r>
  </si>
  <si>
    <r>
      <t xml:space="preserve">πνα αγιον επ </t>
    </r>
    <r>
      <rPr>
        <b/>
        <sz val="11"/>
        <color theme="1"/>
        <rFont val="Calibri"/>
        <family val="2"/>
        <scheme val="minor"/>
      </rPr>
      <t>αυτοις</t>
    </r>
  </si>
  <si>
    <t>ακουσαντες των λογων</t>
  </si>
  <si>
    <t>ακουσαντες αυτου των λογων</t>
  </si>
  <si>
    <t>ουτος εστιν αληθως ο προφητης</t>
  </si>
  <si>
    <t>ουτος ο προφητης</t>
  </si>
  <si>
    <t>ελεγαν μη γαρ</t>
  </si>
  <si>
    <t>ελεγον μη γαρ</t>
  </si>
  <si>
    <t>απο βηθλεεμ ο χριστος</t>
  </si>
  <si>
    <t>απο βηθλεεμ της κωμης ο χρς</t>
  </si>
  <si>
    <t>απεκριθησαν ουν αυτοις</t>
  </si>
  <si>
    <t>απεκριθησαν αυτοις</t>
  </si>
  <si>
    <t>πεπλανησθαι (48) μη τις</t>
  </si>
  <si>
    <t>πεπλανησθε (48) μη τις</t>
  </si>
  <si>
    <r>
      <rPr>
        <b/>
        <sz val="11"/>
        <color theme="1"/>
        <rFont val="Calibri"/>
        <family val="2"/>
        <scheme val="minor"/>
      </rPr>
      <t>επικαταρατοι</t>
    </r>
    <r>
      <rPr>
        <sz val="11"/>
        <color theme="1"/>
        <rFont val="Calibri"/>
        <family val="2"/>
        <scheme val="minor"/>
      </rPr>
      <t xml:space="preserve"> εισιν (50) λεγει</t>
    </r>
  </si>
  <si>
    <r>
      <rPr>
        <b/>
        <sz val="11"/>
        <color theme="1"/>
        <rFont val="Calibri"/>
        <family val="2"/>
        <scheme val="minor"/>
      </rPr>
      <t>επικαταρατι</t>
    </r>
    <r>
      <rPr>
        <sz val="11"/>
        <color theme="1"/>
        <rFont val="Calibri"/>
        <family val="2"/>
        <scheme val="minor"/>
      </rPr>
      <t xml:space="preserve"> εισι (50) λεγει</t>
    </r>
  </si>
  <si>
    <r>
      <t xml:space="preserve">επικαταρατοι </t>
    </r>
    <r>
      <rPr>
        <b/>
        <sz val="11"/>
        <color theme="1"/>
        <rFont val="Calibri"/>
        <family val="2"/>
        <scheme val="minor"/>
      </rPr>
      <t>εισιν</t>
    </r>
    <r>
      <rPr>
        <sz val="11"/>
        <color theme="1"/>
        <rFont val="Calibri"/>
        <family val="2"/>
        <scheme val="minor"/>
      </rPr>
      <t xml:space="preserve"> (50) λεγει</t>
    </r>
  </si>
  <si>
    <r>
      <t xml:space="preserve">επικαταρατι </t>
    </r>
    <r>
      <rPr>
        <b/>
        <sz val="11"/>
        <color theme="1"/>
        <rFont val="Calibri"/>
        <family val="2"/>
        <scheme val="minor"/>
      </rPr>
      <t>εισι</t>
    </r>
    <r>
      <rPr>
        <sz val="11"/>
        <color theme="1"/>
        <rFont val="Calibri"/>
        <family val="2"/>
        <scheme val="minor"/>
      </rPr>
      <t xml:space="preserve"> (50) λεγει</t>
    </r>
  </si>
  <si>
    <t>ελθων προς αυτον νυκτος το πρωτον (51) μη ο νομος</t>
  </si>
  <si>
    <t>ελθων νυκτος το πρωτον προς αυτον (51) μη ο νομος</t>
  </si>
  <si>
    <t>πρωτον παρ αυτου</t>
  </si>
  <si>
    <t>προτερον παρ αυτου</t>
  </si>
  <si>
    <t>και σοι εκ της</t>
  </si>
  <si>
    <t>και συ εκ της</t>
  </si>
  <si>
    <t xml:space="preserve">ερευνησον και ιδε τας γραφας οτι προφητης </t>
  </si>
  <si>
    <t xml:space="preserve">ερευνησον τας γραφας και ιδε οτι προφητης </t>
  </si>
  <si>
    <r>
      <t xml:space="preserve">φαρισαιοι </t>
    </r>
    <r>
      <rPr>
        <b/>
        <sz val="11"/>
        <color theme="1"/>
        <rFont val="Calibri"/>
        <family val="2"/>
        <scheme val="minor"/>
      </rPr>
      <t>επι αμαρτεια γυναικα ειλημμενην</t>
    </r>
    <r>
      <rPr>
        <sz val="11"/>
        <color theme="1"/>
        <rFont val="Calibri"/>
        <family val="2"/>
        <scheme val="minor"/>
      </rPr>
      <t xml:space="preserve"> και στησαντες </t>
    </r>
  </si>
  <si>
    <r>
      <t xml:space="preserve">φαρισαιοι </t>
    </r>
    <r>
      <rPr>
        <b/>
        <sz val="11"/>
        <color theme="1"/>
        <rFont val="Calibri"/>
        <family val="2"/>
        <scheme val="minor"/>
      </rPr>
      <t>κατειλημμενην επι αμαρτεια γυναικα</t>
    </r>
    <r>
      <rPr>
        <sz val="11"/>
        <color theme="1"/>
        <rFont val="Calibri"/>
        <family val="2"/>
        <scheme val="minor"/>
      </rPr>
      <t xml:space="preserve"> και στησαντες </t>
    </r>
  </si>
  <si>
    <r>
      <t xml:space="preserve">φαρισαιοι επι αμαρτεια γυναικα </t>
    </r>
    <r>
      <rPr>
        <b/>
        <sz val="11"/>
        <color theme="1"/>
        <rFont val="Calibri"/>
        <family val="2"/>
        <scheme val="minor"/>
      </rPr>
      <t>ειλημμενην</t>
    </r>
    <r>
      <rPr>
        <sz val="11"/>
        <color theme="1"/>
        <rFont val="Calibri"/>
        <family val="2"/>
        <scheme val="minor"/>
      </rPr>
      <t xml:space="preserve"> και στησαντες </t>
    </r>
  </si>
  <si>
    <r>
      <t xml:space="preserve">φαρισαιοι </t>
    </r>
    <r>
      <rPr>
        <b/>
        <sz val="11"/>
        <color theme="1"/>
        <rFont val="Calibri"/>
        <family val="2"/>
        <scheme val="minor"/>
      </rPr>
      <t>κατειλημμενην</t>
    </r>
    <r>
      <rPr>
        <sz val="11"/>
        <color theme="1"/>
        <rFont val="Calibri"/>
        <family val="2"/>
        <scheme val="minor"/>
      </rPr>
      <t xml:space="preserve"> επι αμαρτεια γυναικα και στησαντες </t>
    </r>
  </si>
  <si>
    <t xml:space="preserve">αυτον οι ιερεις ινα </t>
  </si>
  <si>
    <t xml:space="preserve">αυτον ινα </t>
  </si>
  <si>
    <t>μωυσης δε εν τω</t>
  </si>
  <si>
    <t xml:space="preserve">συ δε νυν </t>
  </si>
  <si>
    <t>μωυσης εν τω</t>
  </si>
  <si>
    <t xml:space="preserve">συ νυν </t>
  </si>
  <si>
    <t>αυτην λιθον βαλετω (8) και παλιν</t>
  </si>
  <si>
    <t>αυτην βαλετω λιθον (8) και παλιν</t>
  </si>
  <si>
    <t>κατακυψας κατεγραφεν</t>
  </si>
  <si>
    <t>κατακυψας τω δακτυλω κατεγραφεν</t>
  </si>
  <si>
    <t>γυναικει ουδεις</t>
  </si>
  <si>
    <t>γυναικει που εισιν ουδεις</t>
  </si>
  <si>
    <t>ελαλησεν αυτοις ο ιης λεγων</t>
  </si>
  <si>
    <t>ελαλησεν ο ις αυτοις λεγων</t>
  </si>
  <si>
    <t>περιπατησει εν τη</t>
  </si>
  <si>
    <t>περιπατηση εν τη</t>
  </si>
  <si>
    <t xml:space="preserve">αλλα εξει </t>
  </si>
  <si>
    <t xml:space="preserve">αλλ εξει </t>
  </si>
  <si>
    <t xml:space="preserve">και που υπαγω υμεις δε ουκ οιδατε ποθεν ερχομαι η που υπαγω (15) υμεις κατα </t>
  </si>
  <si>
    <t xml:space="preserve">και που υπαγω υμεις (15) υμεις κατα </t>
  </si>
  <si>
    <t xml:space="preserve">αλλα εγω </t>
  </si>
  <si>
    <t xml:space="preserve">αλλ εγω </t>
  </si>
  <si>
    <t>τω υμετερω γεγραπται</t>
  </si>
  <si>
    <t>τω ημετερω γεγραπται</t>
  </si>
  <si>
    <t>μαρτυρι περι</t>
  </si>
  <si>
    <t>μαρτυρη περι</t>
  </si>
  <si>
    <t>απεκριθη ιης</t>
  </si>
  <si>
    <r>
      <rPr>
        <b/>
        <sz val="11"/>
        <color theme="1"/>
        <rFont val="Calibri"/>
        <family val="2"/>
        <scheme val="minor"/>
      </rPr>
      <t>απεκριθη</t>
    </r>
    <r>
      <rPr>
        <sz val="11"/>
        <color theme="1"/>
        <rFont val="Calibri"/>
        <family val="2"/>
        <scheme val="minor"/>
      </rPr>
      <t xml:space="preserve"> ιης</t>
    </r>
  </si>
  <si>
    <r>
      <rPr>
        <b/>
        <sz val="11"/>
        <color theme="1"/>
        <rFont val="Calibri"/>
        <family val="2"/>
        <scheme val="minor"/>
      </rPr>
      <t>απεκρειθη</t>
    </r>
    <r>
      <rPr>
        <sz val="11"/>
        <color theme="1"/>
        <rFont val="Calibri"/>
        <family val="2"/>
        <scheme val="minor"/>
      </rPr>
      <t xml:space="preserve"> ο ις</t>
    </r>
  </si>
  <si>
    <r>
      <t xml:space="preserve">απεκρειθη </t>
    </r>
    <r>
      <rPr>
        <b/>
        <sz val="11"/>
        <color theme="1"/>
        <rFont val="Calibri"/>
        <family val="2"/>
        <scheme val="minor"/>
      </rPr>
      <t>ο</t>
    </r>
    <r>
      <rPr>
        <sz val="11"/>
        <color theme="1"/>
        <rFont val="Calibri"/>
        <family val="2"/>
        <scheme val="minor"/>
      </rPr>
      <t xml:space="preserve"> ις</t>
    </r>
  </si>
  <si>
    <t>ουτε τον πατερα μου ει εμε ηδειτε και τον πατερα μου ηδειτε (20) ταυτα τα</t>
  </si>
  <si>
    <t>ουτε τον πατερα μου ηδειτε (20) ταυτα τα</t>
  </si>
  <si>
    <t>αυτοις ο ιησους εγω</t>
  </si>
  <si>
    <t>αυτοις εγω</t>
  </si>
  <si>
    <t>και ζητησετε με</t>
  </si>
  <si>
    <t>και ζησετε με</t>
  </si>
  <si>
    <t>αποκτενει εαυτον</t>
  </si>
  <si>
    <t>αποκτενει αυτον</t>
  </si>
  <si>
    <t>ταυτα λεγω εις τον κοσμον</t>
  </si>
  <si>
    <t>ταυτα λαλω εις τον κοσμον</t>
  </si>
  <si>
    <t>τον πατερα αυτου λεγει</t>
  </si>
  <si>
    <t>τον πατερ αυτου λεγει</t>
  </si>
  <si>
    <t>πατηρ μου ταυτα</t>
  </si>
  <si>
    <t>πατηρ ταυτα</t>
  </si>
  <si>
    <t>εστε (32) και γνωσεσθαι την αληθειαν</t>
  </si>
  <si>
    <t>εστε (32) και γνωσεσθαι και γνωσεσθαι την αληθειαν</t>
  </si>
  <si>
    <t>δεδουλευκαμεν ουδενι πωποτε</t>
  </si>
  <si>
    <t>δεδουλευκαμεν πωποτε</t>
  </si>
  <si>
    <t>ελευθερωσει οντως</t>
  </si>
  <si>
    <t>ελευθερωση οντως</t>
  </si>
  <si>
    <t>χωρει εμειν</t>
  </si>
  <si>
    <r>
      <t xml:space="preserve">εγω </t>
    </r>
    <r>
      <rPr>
        <b/>
        <sz val="11"/>
        <color theme="1"/>
        <rFont val="Calibri"/>
        <family val="2"/>
        <scheme val="minor"/>
      </rPr>
      <t>α</t>
    </r>
    <r>
      <rPr>
        <sz val="11"/>
        <color theme="1"/>
        <rFont val="Calibri"/>
        <family val="2"/>
        <scheme val="minor"/>
      </rPr>
      <t xml:space="preserve"> ωρακα</t>
    </r>
  </si>
  <si>
    <r>
      <t xml:space="preserve">εγω </t>
    </r>
    <r>
      <rPr>
        <b/>
        <sz val="11"/>
        <color theme="1"/>
        <rFont val="Calibri"/>
        <family val="2"/>
        <scheme val="minor"/>
      </rPr>
      <t>ο</t>
    </r>
    <r>
      <rPr>
        <sz val="11"/>
        <color theme="1"/>
        <rFont val="Calibri"/>
        <family val="2"/>
        <scheme val="minor"/>
      </rPr>
      <t xml:space="preserve"> εωρακα</t>
    </r>
  </si>
  <si>
    <r>
      <t xml:space="preserve">εγω α </t>
    </r>
    <r>
      <rPr>
        <b/>
        <sz val="11"/>
        <color theme="1"/>
        <rFont val="Calibri"/>
        <family val="2"/>
        <scheme val="minor"/>
      </rPr>
      <t>ωρακα</t>
    </r>
  </si>
  <si>
    <r>
      <t xml:space="preserve">εγω ο </t>
    </r>
    <r>
      <rPr>
        <b/>
        <sz val="11"/>
        <color theme="1"/>
        <rFont val="Calibri"/>
        <family val="2"/>
        <scheme val="minor"/>
      </rPr>
      <t>εωρακα</t>
    </r>
  </si>
  <si>
    <t>ηκουσεν παρα του</t>
  </si>
  <si>
    <t>ηκουσα παρα του</t>
  </si>
  <si>
    <t xml:space="preserve">ειπεν ουν αυτοις </t>
  </si>
  <si>
    <t xml:space="preserve">ειπεν αυτοις </t>
  </si>
  <si>
    <t>ηκω ουδε γαρ</t>
  </si>
  <si>
    <t>ηκω ου γαρ</t>
  </si>
  <si>
    <t>αλλα εκεινος</t>
  </si>
  <si>
    <t>αλλ εκεινος</t>
  </si>
  <si>
    <t>την λαλειαν την εμην</t>
  </si>
  <si>
    <t>την αληθειαν την εμην</t>
  </si>
  <si>
    <t>ουκ εστηκεν οτι</t>
  </si>
  <si>
    <t>ουκ εστιν οτι</t>
  </si>
  <si>
    <t>ατειμαζετε με</t>
  </si>
  <si>
    <t>τηρηση θανατον</t>
  </si>
  <si>
    <t>τηρησει θανατον</t>
  </si>
  <si>
    <t>και συ λεγεις</t>
  </si>
  <si>
    <t>και λεγεις</t>
  </si>
  <si>
    <t>εαν μου τις τον λογον τηρησει ου μη</t>
  </si>
  <si>
    <t>εαν τις τηρησει μου τον λογον ου μη</t>
  </si>
  <si>
    <t>1.1.2.1:b.d.a.c transposition</t>
  </si>
  <si>
    <t>Bezae corrects to απεθανον</t>
  </si>
  <si>
    <t>σεαυτον συ ποιεις</t>
  </si>
  <si>
    <t>σεαυτον ποιεις</t>
  </si>
  <si>
    <t>ουδεν εστιν ο πατηρ</t>
  </si>
  <si>
    <t>ουδεν εστιν εστιν ο πατηρ</t>
  </si>
  <si>
    <t xml:space="preserve">αλλα οιδα </t>
  </si>
  <si>
    <t xml:space="preserve">αλλ οιδα </t>
  </si>
  <si>
    <t>ινα ειδη</t>
  </si>
  <si>
    <t>ινα ιδη</t>
  </si>
  <si>
    <t>ειπεν ουν αυτοις</t>
  </si>
  <si>
    <t>ειπεν αυτοις</t>
  </si>
  <si>
    <t>υμειν αβρααμ</t>
  </si>
  <si>
    <t>υμειν πριν αβρααμ</t>
  </si>
  <si>
    <r>
      <t xml:space="preserve">και </t>
    </r>
    <r>
      <rPr>
        <b/>
        <sz val="11"/>
        <color theme="1"/>
        <rFont val="Calibri"/>
        <family val="2"/>
        <scheme val="minor"/>
      </rPr>
      <t>παραγων</t>
    </r>
    <r>
      <rPr>
        <sz val="11"/>
        <color theme="1"/>
        <rFont val="Calibri"/>
        <family val="2"/>
        <scheme val="minor"/>
      </rPr>
      <t xml:space="preserve"> ιδεν </t>
    </r>
  </si>
  <si>
    <r>
      <t xml:space="preserve">και </t>
    </r>
    <r>
      <rPr>
        <b/>
        <sz val="11"/>
        <color theme="1"/>
        <rFont val="Calibri"/>
        <family val="2"/>
        <scheme val="minor"/>
      </rPr>
      <t>παγων</t>
    </r>
    <r>
      <rPr>
        <sz val="11"/>
        <color theme="1"/>
        <rFont val="Calibri"/>
        <family val="2"/>
        <scheme val="minor"/>
      </rPr>
      <t xml:space="preserve"> ειδεν</t>
    </r>
  </si>
  <si>
    <r>
      <t xml:space="preserve">και παραγων </t>
    </r>
    <r>
      <rPr>
        <b/>
        <sz val="11"/>
        <color theme="1"/>
        <rFont val="Calibri"/>
        <family val="2"/>
        <scheme val="minor"/>
      </rPr>
      <t>ιδεν</t>
    </r>
    <r>
      <rPr>
        <sz val="11"/>
        <color theme="1"/>
        <rFont val="Calibri"/>
        <family val="2"/>
        <scheme val="minor"/>
      </rPr>
      <t xml:space="preserve"> </t>
    </r>
  </si>
  <si>
    <r>
      <t xml:space="preserve">και παγων </t>
    </r>
    <r>
      <rPr>
        <b/>
        <sz val="11"/>
        <color theme="1"/>
        <rFont val="Calibri"/>
        <family val="2"/>
        <scheme val="minor"/>
      </rPr>
      <t>ειδεν</t>
    </r>
  </si>
  <si>
    <t>γενετης (2) και ηρωτησαν</t>
  </si>
  <si>
    <t>γενετης καθημενον (2) και ηρωτησαν</t>
  </si>
  <si>
    <t>μαθηται ραββει</t>
  </si>
  <si>
    <r>
      <t xml:space="preserve">μαθηται </t>
    </r>
    <r>
      <rPr>
        <b/>
        <sz val="11"/>
        <color theme="1"/>
        <rFont val="Calibri"/>
        <family val="2"/>
        <scheme val="minor"/>
      </rPr>
      <t>αυτου λεγοντες</t>
    </r>
    <r>
      <rPr>
        <sz val="11"/>
        <color theme="1"/>
        <rFont val="Calibri"/>
        <family val="2"/>
        <scheme val="minor"/>
      </rPr>
      <t xml:space="preserve"> ραββι</t>
    </r>
  </si>
  <si>
    <r>
      <t xml:space="preserve">μαθηται </t>
    </r>
    <r>
      <rPr>
        <b/>
        <sz val="11"/>
        <color theme="1"/>
        <rFont val="Calibri"/>
        <family val="2"/>
        <scheme val="minor"/>
      </rPr>
      <t>ραββει</t>
    </r>
  </si>
  <si>
    <r>
      <t xml:space="preserve">μαθηται αυτου λεγοντες </t>
    </r>
    <r>
      <rPr>
        <b/>
        <sz val="11"/>
        <color theme="1"/>
        <rFont val="Calibri"/>
        <family val="2"/>
        <scheme val="minor"/>
      </rPr>
      <t>ραββι</t>
    </r>
  </si>
  <si>
    <t>(3) εν αυτω εμε (4) δει εργαζεσθαι</t>
  </si>
  <si>
    <r>
      <t xml:space="preserve">(3) εν αυτω </t>
    </r>
    <r>
      <rPr>
        <b/>
        <sz val="11"/>
        <color theme="1"/>
        <rFont val="Calibri"/>
        <family val="2"/>
        <scheme val="minor"/>
      </rPr>
      <t>εμε</t>
    </r>
    <r>
      <rPr>
        <sz val="11"/>
        <color theme="1"/>
        <rFont val="Calibri"/>
        <family val="2"/>
        <scheme val="minor"/>
      </rPr>
      <t xml:space="preserve"> (4) δει εργαζεσθαι</t>
    </r>
  </si>
  <si>
    <r>
      <t xml:space="preserve">(3) εν αυτω εμε (4) </t>
    </r>
    <r>
      <rPr>
        <b/>
        <sz val="11"/>
        <color theme="1"/>
        <rFont val="Calibri"/>
        <family val="2"/>
        <scheme val="minor"/>
      </rPr>
      <t>δει</t>
    </r>
    <r>
      <rPr>
        <sz val="11"/>
        <color theme="1"/>
        <rFont val="Calibri"/>
        <family val="2"/>
        <scheme val="minor"/>
      </rPr>
      <t xml:space="preserve"> εργαζεσθαι</t>
    </r>
  </si>
  <si>
    <r>
      <t xml:space="preserve">(3) εν αυτω (4) </t>
    </r>
    <r>
      <rPr>
        <b/>
        <sz val="11"/>
        <color theme="1"/>
        <rFont val="Calibri"/>
        <family val="2"/>
        <scheme val="minor"/>
      </rPr>
      <t xml:space="preserve">δι </t>
    </r>
    <r>
      <rPr>
        <sz val="11"/>
        <color theme="1"/>
        <rFont val="Calibri"/>
        <family val="2"/>
        <scheme val="minor"/>
      </rPr>
      <t>ημας εργαζεσθαι</t>
    </r>
  </si>
  <si>
    <t>(3) εν αυτω (4) δι ημας εργαζεσθαι</t>
  </si>
  <si>
    <r>
      <t xml:space="preserve">(3) εν αυτω (4) δι </t>
    </r>
    <r>
      <rPr>
        <b/>
        <sz val="11"/>
        <color theme="1"/>
        <rFont val="Calibri"/>
        <family val="2"/>
        <scheme val="minor"/>
      </rPr>
      <t>ημας</t>
    </r>
    <r>
      <rPr>
        <sz val="11"/>
        <color theme="1"/>
        <rFont val="Calibri"/>
        <family val="2"/>
        <scheme val="minor"/>
      </rPr>
      <t xml:space="preserve"> εργαζεσθαι</t>
    </r>
  </si>
  <si>
    <r>
      <t xml:space="preserve">οταν </t>
    </r>
    <r>
      <rPr>
        <b/>
        <sz val="11"/>
        <color theme="1"/>
        <rFont val="Calibri"/>
        <family val="2"/>
        <scheme val="minor"/>
      </rPr>
      <t>ω</t>
    </r>
    <r>
      <rPr>
        <sz val="11"/>
        <color theme="1"/>
        <rFont val="Calibri"/>
        <family val="2"/>
        <scheme val="minor"/>
      </rPr>
      <t xml:space="preserve"> εν τω κοσμω φως</t>
    </r>
  </si>
  <si>
    <r>
      <t xml:space="preserve">οταν εν τω κοσμω </t>
    </r>
    <r>
      <rPr>
        <b/>
        <sz val="11"/>
        <color theme="1"/>
        <rFont val="Calibri"/>
        <family val="2"/>
        <scheme val="minor"/>
      </rPr>
      <t>ω</t>
    </r>
    <r>
      <rPr>
        <sz val="11"/>
        <color theme="1"/>
        <rFont val="Calibri"/>
        <family val="2"/>
        <scheme val="minor"/>
      </rPr>
      <t xml:space="preserve"> φως</t>
    </r>
  </si>
  <si>
    <t>αυτω τον πηλον</t>
  </si>
  <si>
    <t>αυτω πηλον</t>
  </si>
  <si>
    <t>ηλθεν βλεπων</t>
  </si>
  <si>
    <t>ηλθε βλεπων</t>
  </si>
  <si>
    <t xml:space="preserve">εστιν ετεροι δε </t>
  </si>
  <si>
    <t xml:space="preserve">εστιν αλλοι δε </t>
  </si>
  <si>
    <t>πως ανεωχθησαν</t>
  </si>
  <si>
    <r>
      <t xml:space="preserve">πως </t>
    </r>
    <r>
      <rPr>
        <b/>
        <sz val="11"/>
        <color theme="1"/>
        <rFont val="Calibri"/>
        <family val="2"/>
        <scheme val="minor"/>
      </rPr>
      <t>ουν</t>
    </r>
    <r>
      <rPr>
        <sz val="11"/>
        <color theme="1"/>
        <rFont val="Calibri"/>
        <family val="2"/>
        <scheme val="minor"/>
      </rPr>
      <t xml:space="preserve"> ηνεωχθησαν</t>
    </r>
  </si>
  <si>
    <r>
      <t xml:space="preserve">πως ουν </t>
    </r>
    <r>
      <rPr>
        <b/>
        <sz val="11"/>
        <color theme="1"/>
        <rFont val="Calibri"/>
        <family val="2"/>
        <scheme val="minor"/>
      </rPr>
      <t>ηνεωχθησαν</t>
    </r>
  </si>
  <si>
    <r>
      <t xml:space="preserve">πως </t>
    </r>
    <r>
      <rPr>
        <b/>
        <sz val="11"/>
        <color theme="1"/>
        <rFont val="Calibri"/>
        <family val="2"/>
        <scheme val="minor"/>
      </rPr>
      <t>ανεωχθησαν</t>
    </r>
  </si>
  <si>
    <t>σου οι οφθαλμοι</t>
  </si>
  <si>
    <t>σου οι οι οφθαλμοι</t>
  </si>
  <si>
    <t>νιψαι και απηλθον</t>
  </si>
  <si>
    <t>νιψαι απηλθον</t>
  </si>
  <si>
    <t xml:space="preserve">λεγει αυτοις ουκ </t>
  </si>
  <si>
    <t>λεγει ουκ</t>
  </si>
  <si>
    <t>ουτος παρα θυ ο ανθρωπος οτι</t>
  </si>
  <si>
    <r>
      <t xml:space="preserve">ουτος </t>
    </r>
    <r>
      <rPr>
        <b/>
        <sz val="11"/>
        <color theme="1"/>
        <rFont val="Calibri"/>
        <family val="2"/>
        <scheme val="minor"/>
      </rPr>
      <t>παρα θυ ο ανθρωπος</t>
    </r>
    <r>
      <rPr>
        <sz val="11"/>
        <color theme="1"/>
        <rFont val="Calibri"/>
        <family val="2"/>
        <scheme val="minor"/>
      </rPr>
      <t xml:space="preserve"> οτι</t>
    </r>
  </si>
  <si>
    <r>
      <t xml:space="preserve">ουτος </t>
    </r>
    <r>
      <rPr>
        <b/>
        <sz val="11"/>
        <color theme="1"/>
        <rFont val="Calibri"/>
        <family val="2"/>
        <scheme val="minor"/>
      </rPr>
      <t>ο ανθρωπος παρα του θεου</t>
    </r>
    <r>
      <rPr>
        <sz val="11"/>
        <color theme="1"/>
        <rFont val="Calibri"/>
        <family val="2"/>
        <scheme val="minor"/>
      </rPr>
      <t xml:space="preserve"> οτι</t>
    </r>
  </si>
  <si>
    <r>
      <t xml:space="preserve">ουτος ο ανθρωπος παρα </t>
    </r>
    <r>
      <rPr>
        <b/>
        <sz val="11"/>
        <color theme="1"/>
        <rFont val="Calibri"/>
        <family val="2"/>
        <scheme val="minor"/>
      </rPr>
      <t>του</t>
    </r>
    <r>
      <rPr>
        <sz val="11"/>
        <color theme="1"/>
        <rFont val="Calibri"/>
        <family val="2"/>
        <scheme val="minor"/>
      </rPr>
      <t xml:space="preserve"> θεου οτι</t>
    </r>
  </si>
  <si>
    <t xml:space="preserve">αλλοι δε ελεγαν </t>
  </si>
  <si>
    <t>αλλοι ελεγαν</t>
  </si>
  <si>
    <t>εγεννηθηθη πως</t>
  </si>
  <si>
    <t>εγεννηθη πως</t>
  </si>
  <si>
    <t>ιουδαιοι ινι εαν</t>
  </si>
  <si>
    <t>ιουδαιοι ιν εαν</t>
  </si>
  <si>
    <t>εφωνησαν ουν αυτον εκ δευτερου</t>
  </si>
  <si>
    <t>εφωνησαν αυ τον ανθρωπον εκ δευτερου</t>
  </si>
  <si>
    <r>
      <t xml:space="preserve">εφωνησαν </t>
    </r>
    <r>
      <rPr>
        <b/>
        <sz val="11"/>
        <color theme="1"/>
        <rFont val="Calibri"/>
        <family val="2"/>
        <scheme val="minor"/>
      </rPr>
      <t>ουν</t>
    </r>
    <r>
      <rPr>
        <sz val="11"/>
        <color theme="1"/>
        <rFont val="Calibri"/>
        <family val="2"/>
        <scheme val="minor"/>
      </rPr>
      <t xml:space="preserve"> αυτον εκ δευτερου</t>
    </r>
  </si>
  <si>
    <r>
      <t xml:space="preserve">εφωνησαν αυ τον </t>
    </r>
    <r>
      <rPr>
        <b/>
        <sz val="11"/>
        <color theme="1"/>
        <rFont val="Calibri"/>
        <family val="2"/>
        <scheme val="minor"/>
      </rPr>
      <t>ανθρωπον</t>
    </r>
    <r>
      <rPr>
        <sz val="11"/>
        <color theme="1"/>
        <rFont val="Calibri"/>
        <family val="2"/>
        <scheme val="minor"/>
      </rPr>
      <t xml:space="preserve"> εκ δευτερου</t>
    </r>
  </si>
  <si>
    <t>εποιησε σοι πως</t>
  </si>
  <si>
    <r>
      <rPr>
        <b/>
        <sz val="11"/>
        <color theme="1"/>
        <rFont val="Calibri"/>
        <family val="2"/>
        <scheme val="minor"/>
      </rPr>
      <t>εποιησεν</t>
    </r>
    <r>
      <rPr>
        <sz val="11"/>
        <color theme="1"/>
        <rFont val="Calibri"/>
        <family val="2"/>
        <scheme val="minor"/>
      </rPr>
      <t xml:space="preserve"> σοι και πως</t>
    </r>
  </si>
  <si>
    <r>
      <rPr>
        <b/>
        <sz val="11"/>
        <color theme="1"/>
        <rFont val="Calibri"/>
        <family val="2"/>
        <scheme val="minor"/>
      </rPr>
      <t>εποιησε</t>
    </r>
    <r>
      <rPr>
        <sz val="11"/>
        <color theme="1"/>
        <rFont val="Calibri"/>
        <family val="2"/>
        <scheme val="minor"/>
      </rPr>
      <t xml:space="preserve"> σοι πως</t>
    </r>
  </si>
  <si>
    <r>
      <t xml:space="preserve">εποιησεν σοι </t>
    </r>
    <r>
      <rPr>
        <b/>
        <sz val="11"/>
        <color theme="1"/>
        <rFont val="Calibri"/>
        <family val="2"/>
        <scheme val="minor"/>
      </rPr>
      <t>και</t>
    </r>
    <r>
      <rPr>
        <sz val="11"/>
        <color theme="1"/>
        <rFont val="Calibri"/>
        <family val="2"/>
        <scheme val="minor"/>
      </rPr>
      <t xml:space="preserve"> πως</t>
    </r>
  </si>
  <si>
    <t>ειπεν αυτοις ειπον</t>
  </si>
  <si>
    <t>ειπεν ειπον</t>
  </si>
  <si>
    <t>μωυσει λελαληκεν</t>
  </si>
  <si>
    <t>μωυση λελαληκεν</t>
  </si>
  <si>
    <t>οτι ο θεος</t>
  </si>
  <si>
    <t>οτι θς</t>
  </si>
  <si>
    <t>ειπεν αυτοις εν τουτω</t>
  </si>
  <si>
    <t>ειπεν εν τουτω</t>
  </si>
  <si>
    <t>ποθεν τιν και</t>
  </si>
  <si>
    <t>ποθεν εστιν και</t>
  </si>
  <si>
    <t>ηνυξε μου</t>
  </si>
  <si>
    <t>ηνυξεν μου</t>
  </si>
  <si>
    <t>ηνυξε τις</t>
  </si>
  <si>
    <t>ηνυξεν τις</t>
  </si>
  <si>
    <t>μη παρα θεου ουτος ην</t>
  </si>
  <si>
    <t>μη ουτος παρα θυ ην</t>
  </si>
  <si>
    <r>
      <t xml:space="preserve">απεκριθησαν </t>
    </r>
    <r>
      <rPr>
        <b/>
        <sz val="11"/>
        <color theme="1"/>
        <rFont val="Calibri"/>
        <family val="2"/>
        <scheme val="minor"/>
      </rPr>
      <t>αυτω και</t>
    </r>
    <r>
      <rPr>
        <sz val="11"/>
        <color theme="1"/>
        <rFont val="Calibri"/>
        <family val="2"/>
        <scheme val="minor"/>
      </rPr>
      <t xml:space="preserve"> ειπαν εν αμαρτιαις</t>
    </r>
  </si>
  <si>
    <r>
      <t xml:space="preserve">απεκριθησαν </t>
    </r>
    <r>
      <rPr>
        <b/>
        <sz val="11"/>
        <color theme="1"/>
        <rFont val="Calibri"/>
        <family val="2"/>
        <scheme val="minor"/>
      </rPr>
      <t>και αυτω</t>
    </r>
    <r>
      <rPr>
        <sz val="11"/>
        <color theme="1"/>
        <rFont val="Calibri"/>
        <family val="2"/>
        <scheme val="minor"/>
      </rPr>
      <t xml:space="preserve"> ειπον εν αμαρτιαις</t>
    </r>
  </si>
  <si>
    <r>
      <t xml:space="preserve">απεκριθησαν αυτω και </t>
    </r>
    <r>
      <rPr>
        <b/>
        <sz val="11"/>
        <color theme="1"/>
        <rFont val="Calibri"/>
        <family val="2"/>
        <scheme val="minor"/>
      </rPr>
      <t>ειπαν</t>
    </r>
    <r>
      <rPr>
        <sz val="11"/>
        <color theme="1"/>
        <rFont val="Calibri"/>
        <family val="2"/>
        <scheme val="minor"/>
      </rPr>
      <t xml:space="preserve"> εν αμαρτιαις</t>
    </r>
  </si>
  <si>
    <r>
      <t xml:space="preserve">απεκριθησαν και αυτω </t>
    </r>
    <r>
      <rPr>
        <b/>
        <sz val="11"/>
        <color theme="1"/>
        <rFont val="Calibri"/>
        <family val="2"/>
        <scheme val="minor"/>
      </rPr>
      <t>ειπον</t>
    </r>
    <r>
      <rPr>
        <sz val="11"/>
        <color theme="1"/>
        <rFont val="Calibri"/>
        <family val="2"/>
        <scheme val="minor"/>
      </rPr>
      <t xml:space="preserve"> εν αμαρτιαις</t>
    </r>
  </si>
  <si>
    <t>ανθρωπου (36) απεκριθη</t>
  </si>
  <si>
    <t>ανθρωπου (36) και απεκριθη</t>
  </si>
  <si>
    <t xml:space="preserve">και ο μετα σου λαλων </t>
  </si>
  <si>
    <t xml:space="preserve">και μετα σου ο λαλων </t>
  </si>
  <si>
    <t>προσεκυνησεν αυτω (39) και ειπεν</t>
  </si>
  <si>
    <t>προσεκυνησεν αυτον (39) και ειπεν</t>
  </si>
  <si>
    <t>εγω εις κριμα ηλθον εις τον κοσμον</t>
  </si>
  <si>
    <t>εγω ηλθον εις κριμα εις τον κοσμον</t>
  </si>
  <si>
    <t>βλεπωσιν και οι</t>
  </si>
  <si>
    <t>βλεπωση και οι</t>
  </si>
  <si>
    <r>
      <t xml:space="preserve">εκ φαρισαιων </t>
    </r>
    <r>
      <rPr>
        <b/>
        <sz val="11"/>
        <color theme="1"/>
        <rFont val="Calibri"/>
        <family val="2"/>
        <scheme val="minor"/>
      </rPr>
      <t>μεθ</t>
    </r>
    <r>
      <rPr>
        <sz val="11"/>
        <color theme="1"/>
        <rFont val="Calibri"/>
        <family val="2"/>
        <scheme val="minor"/>
      </rPr>
      <t xml:space="preserve"> αυτου οι οντες</t>
    </r>
  </si>
  <si>
    <r>
      <t xml:space="preserve">εκ των φαρισαιων οι </t>
    </r>
    <r>
      <rPr>
        <b/>
        <sz val="11"/>
        <color theme="1"/>
        <rFont val="Calibri"/>
        <family val="2"/>
        <scheme val="minor"/>
      </rPr>
      <t>μετ</t>
    </r>
    <r>
      <rPr>
        <sz val="11"/>
        <color theme="1"/>
        <rFont val="Calibri"/>
        <family val="2"/>
        <scheme val="minor"/>
      </rPr>
      <t xml:space="preserve"> αυτου οντες</t>
    </r>
  </si>
  <si>
    <r>
      <t xml:space="preserve">εκ </t>
    </r>
    <r>
      <rPr>
        <b/>
        <sz val="11"/>
        <color theme="1"/>
        <rFont val="Calibri"/>
        <family val="2"/>
        <scheme val="minor"/>
      </rPr>
      <t>των</t>
    </r>
    <r>
      <rPr>
        <sz val="11"/>
        <color theme="1"/>
        <rFont val="Calibri"/>
        <family val="2"/>
        <scheme val="minor"/>
      </rPr>
      <t xml:space="preserve"> φαρισαιων οι μετ αυτου οντες</t>
    </r>
  </si>
  <si>
    <t>εκ φαρισαιων μεθ αυτου οι οντες</t>
  </si>
  <si>
    <t>βλεπομεν αμαρτιαι</t>
  </si>
  <si>
    <t>βλεπομεν αι αμαρτιαι</t>
  </si>
  <si>
    <t>θυρας εστιν αυτος ο ποιμην</t>
  </si>
  <si>
    <t>θυρας αυτος εστιν ο ποιμην</t>
  </si>
  <si>
    <t>της φωνης αυτου ακουει</t>
  </si>
  <si>
    <t>της αυτου φωνης ακουει</t>
  </si>
  <si>
    <t>ιδια προβατα εκβαλη</t>
  </si>
  <si>
    <t>ιδια παντα εκβαλη</t>
  </si>
  <si>
    <t xml:space="preserve">οιδασιν αυτου την φωνην </t>
  </si>
  <si>
    <t xml:space="preserve">οιδασιν την αυτου φωνην </t>
  </si>
  <si>
    <t xml:space="preserve">αλλα ουκ ηκουσαν </t>
  </si>
  <si>
    <t>αλλ ουκ ηκουσαν</t>
  </si>
  <si>
    <t>ο μισθωτος δε και ουκ</t>
  </si>
  <si>
    <t>ο δε μισθωτος και ουκ</t>
  </si>
  <si>
    <r>
      <rPr>
        <b/>
        <sz val="11"/>
        <color theme="1"/>
        <rFont val="Calibri"/>
        <family val="2"/>
        <scheme val="minor"/>
      </rPr>
      <t>γεινωσιν</t>
    </r>
    <r>
      <rPr>
        <sz val="11"/>
        <color theme="1"/>
        <rFont val="Calibri"/>
        <family val="2"/>
        <scheme val="minor"/>
      </rPr>
      <t xml:space="preserve"> εμε</t>
    </r>
  </si>
  <si>
    <r>
      <rPr>
        <b/>
        <sz val="11"/>
        <color theme="1"/>
        <rFont val="Calibri"/>
        <family val="2"/>
        <scheme val="minor"/>
      </rPr>
      <t>γεινωσκουσιν</t>
    </r>
    <r>
      <rPr>
        <sz val="11"/>
        <color theme="1"/>
        <rFont val="Calibri"/>
        <family val="2"/>
        <scheme val="minor"/>
      </rPr>
      <t xml:space="preserve"> με</t>
    </r>
  </si>
  <si>
    <r>
      <t xml:space="preserve">γεινωσιν </t>
    </r>
    <r>
      <rPr>
        <b/>
        <sz val="11"/>
        <color theme="1"/>
        <rFont val="Calibri"/>
        <family val="2"/>
        <scheme val="minor"/>
      </rPr>
      <t>εμε</t>
    </r>
  </si>
  <si>
    <r>
      <t xml:space="preserve">γεινωσκουσιν </t>
    </r>
    <r>
      <rPr>
        <b/>
        <sz val="11"/>
        <color theme="1"/>
        <rFont val="Calibri"/>
        <family val="2"/>
        <scheme val="minor"/>
      </rPr>
      <t>με</t>
    </r>
  </si>
  <si>
    <t>ψυχην μου διδωμι</t>
  </si>
  <si>
    <t>ψυχην διδωμι</t>
  </si>
  <si>
    <t>πατρος μου (19) σχισμα</t>
  </si>
  <si>
    <t>πατρος (19) σχισμα</t>
  </si>
  <si>
    <t>εστι τα ρηματα</t>
  </si>
  <si>
    <t>εστις τα ρηματα</t>
  </si>
  <si>
    <t>ταυτα του δαιμονιζομενου</t>
  </si>
  <si>
    <t>ταυτα δαιμονιζομενου</t>
  </si>
  <si>
    <t>απεκριθη αυτοις ο ιησους</t>
  </si>
  <si>
    <t>απεκριθη ο ιης</t>
  </si>
  <si>
    <t xml:space="preserve">αλλ υμεις </t>
  </si>
  <si>
    <t>αλλα υμεις</t>
  </si>
  <si>
    <t xml:space="preserve">απεκριθησαν αυτω λεγοντες </t>
  </si>
  <si>
    <r>
      <rPr>
        <b/>
        <sz val="11"/>
        <color theme="1"/>
        <rFont val="Calibri"/>
        <family val="2"/>
        <scheme val="minor"/>
      </rPr>
      <t>απεκριθης</t>
    </r>
    <r>
      <rPr>
        <sz val="11"/>
        <color theme="1"/>
        <rFont val="Calibri"/>
        <family val="2"/>
        <scheme val="minor"/>
      </rPr>
      <t xml:space="preserve"> αυτω οι ιουδαιοι λεγοντες</t>
    </r>
  </si>
  <si>
    <r>
      <rPr>
        <b/>
        <sz val="11"/>
        <color theme="1"/>
        <rFont val="Calibri"/>
        <family val="2"/>
        <scheme val="minor"/>
      </rPr>
      <t>απεκριθησαν</t>
    </r>
    <r>
      <rPr>
        <sz val="11"/>
        <color theme="1"/>
        <rFont val="Calibri"/>
        <family val="2"/>
        <scheme val="minor"/>
      </rPr>
      <t xml:space="preserve"> αυτω λεγοντες </t>
    </r>
  </si>
  <si>
    <r>
      <t xml:space="preserve">απεκριθης αυτω </t>
    </r>
    <r>
      <rPr>
        <b/>
        <sz val="11"/>
        <color theme="1"/>
        <rFont val="Calibri"/>
        <family val="2"/>
        <scheme val="minor"/>
      </rPr>
      <t>οι ιουδαιοι</t>
    </r>
    <r>
      <rPr>
        <sz val="11"/>
        <color theme="1"/>
        <rFont val="Calibri"/>
        <family val="2"/>
        <scheme val="minor"/>
      </rPr>
      <t xml:space="preserve"> λεγοντες</t>
    </r>
  </si>
  <si>
    <t>βλασφημιας οτι</t>
  </si>
  <si>
    <t>βλασφημιας και οτι</t>
  </si>
  <si>
    <t>ων ποιεις σεαυτον</t>
  </si>
  <si>
    <t>ων ποις σεαυτον</t>
  </si>
  <si>
    <t>του θεου και ου δυναται</t>
  </si>
  <si>
    <t>του και ου δυναται</t>
  </si>
  <si>
    <t>υιος του θεου</t>
  </si>
  <si>
    <t>υιος θεου</t>
  </si>
  <si>
    <r>
      <t xml:space="preserve">πατρι (39) </t>
    </r>
    <r>
      <rPr>
        <b/>
        <sz val="11"/>
        <color theme="1"/>
        <rFont val="Calibri"/>
        <family val="2"/>
        <scheme val="minor"/>
      </rPr>
      <t>και</t>
    </r>
    <r>
      <rPr>
        <sz val="11"/>
        <color theme="1"/>
        <rFont val="Calibri"/>
        <family val="2"/>
        <scheme val="minor"/>
      </rPr>
      <t xml:space="preserve"> εζητουν αυτον</t>
    </r>
  </si>
  <si>
    <r>
      <t xml:space="preserve">πατρι (39) εζητουν </t>
    </r>
    <r>
      <rPr>
        <b/>
        <sz val="11"/>
        <color theme="1"/>
        <rFont val="Calibri"/>
        <family val="2"/>
        <scheme val="minor"/>
      </rPr>
      <t>ουν</t>
    </r>
    <r>
      <rPr>
        <sz val="11"/>
        <color theme="1"/>
        <rFont val="Calibri"/>
        <family val="2"/>
        <scheme val="minor"/>
      </rPr>
      <t xml:space="preserve"> αυτον</t>
    </r>
  </si>
  <si>
    <t>επιστευσαν εις αυτον εκει (11:1) ην δε</t>
  </si>
  <si>
    <t>επιστευσαν εκει εις αυτον (11:1) ην δε</t>
  </si>
  <si>
    <t>μαριας και μαρθας</t>
  </si>
  <si>
    <t>μαριας και της μαρθας</t>
  </si>
  <si>
    <t xml:space="preserve">αδελφαι αυτου προς </t>
  </si>
  <si>
    <t xml:space="preserve">αδελφαι προς </t>
  </si>
  <si>
    <t>ινα δοξασθη ο υιος του θυ δι αυτης (5) εφιλει</t>
  </si>
  <si>
    <t>ινα δοξασθη (5) εφιλει</t>
  </si>
  <si>
    <t>εμεινεν επι τω τοπω</t>
  </si>
  <si>
    <t>εμεινεν ο ιης επι τω τοπω</t>
  </si>
  <si>
    <r>
      <t xml:space="preserve">μαθηταις </t>
    </r>
    <r>
      <rPr>
        <b/>
        <sz val="11"/>
        <color theme="1"/>
        <rFont val="Calibri"/>
        <family val="2"/>
        <scheme val="minor"/>
      </rPr>
      <t>αυτου</t>
    </r>
    <r>
      <rPr>
        <sz val="11"/>
        <color theme="1"/>
        <rFont val="Calibri"/>
        <family val="2"/>
        <scheme val="minor"/>
      </rPr>
      <t xml:space="preserve"> αγωμεν ις την ιουδαιαν</t>
    </r>
  </si>
  <si>
    <r>
      <t xml:space="preserve">μαθηταις </t>
    </r>
    <r>
      <rPr>
        <b/>
        <sz val="11"/>
        <color theme="1"/>
        <rFont val="Calibri"/>
        <family val="2"/>
        <scheme val="minor"/>
      </rPr>
      <t>ο ιησους</t>
    </r>
    <r>
      <rPr>
        <sz val="11"/>
        <color theme="1"/>
        <rFont val="Calibri"/>
        <family val="2"/>
        <scheme val="minor"/>
      </rPr>
      <t xml:space="preserve"> αγωμεν εις την ιουδαιαν</t>
    </r>
  </si>
  <si>
    <r>
      <t xml:space="preserve">μαθηταις αγωμεν </t>
    </r>
    <r>
      <rPr>
        <b/>
        <sz val="11"/>
        <color theme="1"/>
        <rFont val="Calibri"/>
        <family val="2"/>
        <scheme val="minor"/>
      </rPr>
      <t>ις</t>
    </r>
    <r>
      <rPr>
        <sz val="11"/>
        <color theme="1"/>
        <rFont val="Calibri"/>
        <family val="2"/>
        <scheme val="minor"/>
      </rPr>
      <t xml:space="preserve"> την ιουδαιαν</t>
    </r>
  </si>
  <si>
    <r>
      <t xml:space="preserve">μαθηταις ο ιησους αγωμεν </t>
    </r>
    <r>
      <rPr>
        <b/>
        <sz val="11"/>
        <color theme="1"/>
        <rFont val="Calibri"/>
        <family val="2"/>
        <scheme val="minor"/>
      </rPr>
      <t>εις</t>
    </r>
    <r>
      <rPr>
        <sz val="11"/>
        <color theme="1"/>
        <rFont val="Calibri"/>
        <family val="2"/>
        <scheme val="minor"/>
      </rPr>
      <t xml:space="preserve"> την ιουδαιαν</t>
    </r>
  </si>
  <si>
    <t>εν αυτη (11) ταυτα</t>
  </si>
  <si>
    <t>Bezae corrects αυτη -&gt; αυτω</t>
  </si>
  <si>
    <t>ειπε και</t>
  </si>
  <si>
    <t>ειπεν και</t>
  </si>
  <si>
    <t>ει κοιμαται</t>
  </si>
  <si>
    <t>Bezae corrects to ει κεκοιμαται</t>
  </si>
  <si>
    <t xml:space="preserve">αλλα αγωμεν </t>
  </si>
  <si>
    <t>αλλ αγωμεν</t>
  </si>
  <si>
    <t>συνμαθηταις αγωμεν</t>
  </si>
  <si>
    <t>συνμαθηταις αυτου αγωμεν</t>
  </si>
  <si>
    <t>οικω εκαθεζετο</t>
  </si>
  <si>
    <t>οικεα εκαθεζετο</t>
  </si>
  <si>
    <t>ουκ αν απεθανεν ο αδελφος μου (22) αλλα</t>
  </si>
  <si>
    <t>ουκ αν ο αδελφος μου απεθανεν (22) αλλα</t>
  </si>
  <si>
    <r>
      <t xml:space="preserve">ιησους </t>
    </r>
    <r>
      <rPr>
        <b/>
        <sz val="11"/>
        <color theme="1"/>
        <rFont val="Calibri"/>
        <family val="2"/>
        <scheme val="minor"/>
      </rPr>
      <t>ο αδελφος σου αναστησεται</t>
    </r>
    <r>
      <rPr>
        <sz val="11"/>
        <color theme="1"/>
        <rFont val="Calibri"/>
        <family val="2"/>
        <scheme val="minor"/>
      </rPr>
      <t xml:space="preserve"> (24) λεγει</t>
    </r>
  </si>
  <si>
    <r>
      <t xml:space="preserve">ιησους ο αδελφος σου </t>
    </r>
    <r>
      <rPr>
        <b/>
        <sz val="11"/>
        <color theme="1"/>
        <rFont val="Calibri"/>
        <family val="2"/>
        <scheme val="minor"/>
      </rPr>
      <t>αναστησεται</t>
    </r>
    <r>
      <rPr>
        <sz val="11"/>
        <color theme="1"/>
        <rFont val="Calibri"/>
        <family val="2"/>
        <scheme val="minor"/>
      </rPr>
      <t xml:space="preserve"> (24) λεγει</t>
    </r>
  </si>
  <si>
    <r>
      <t xml:space="preserve">ιης </t>
    </r>
    <r>
      <rPr>
        <b/>
        <sz val="11"/>
        <color theme="1"/>
        <rFont val="Calibri"/>
        <family val="2"/>
        <scheme val="minor"/>
      </rPr>
      <t>αναστησαιται σου ο αδελφος</t>
    </r>
    <r>
      <rPr>
        <sz val="11"/>
        <color theme="1"/>
        <rFont val="Calibri"/>
        <family val="2"/>
        <scheme val="minor"/>
      </rPr>
      <t xml:space="preserve"> (24) λεγει</t>
    </r>
  </si>
  <si>
    <r>
      <t xml:space="preserve">ιης </t>
    </r>
    <r>
      <rPr>
        <b/>
        <sz val="11"/>
        <color theme="1"/>
        <rFont val="Calibri"/>
        <family val="2"/>
        <scheme val="minor"/>
      </rPr>
      <t>αναστησαιται</t>
    </r>
    <r>
      <rPr>
        <sz val="11"/>
        <color theme="1"/>
        <rFont val="Calibri"/>
        <family val="2"/>
        <scheme val="minor"/>
      </rPr>
      <t xml:space="preserve"> σου ο αδελφος (24) λεγει</t>
    </r>
  </si>
  <si>
    <t>αποθανη εις εις τον αιωνα</t>
  </si>
  <si>
    <t>αποθανη εις τον αιωνα</t>
  </si>
  <si>
    <t>εις τον κοσμον ερχομενος</t>
  </si>
  <si>
    <t>εις τον κοσμος ερχομενος</t>
  </si>
  <si>
    <t>εφωνησεν μαριαμ την αδελφην αυτης σιωπη</t>
  </si>
  <si>
    <t>εφωνησεν την αδελφην αυτης μαριαμ σιωπη</t>
  </si>
  <si>
    <t xml:space="preserve">οτι ο διδασκαλος </t>
  </si>
  <si>
    <t xml:space="preserve">οτι διδασκαλος </t>
  </si>
  <si>
    <t>ηκουσεν ηγερθη</t>
  </si>
  <si>
    <t>ηκουσεν εγερθη</t>
  </si>
  <si>
    <t>ου γαρ ιης εληλυθει εις</t>
  </si>
  <si>
    <r>
      <t xml:space="preserve">ου γαρ </t>
    </r>
    <r>
      <rPr>
        <b/>
        <sz val="11"/>
        <color theme="1"/>
        <rFont val="Calibri"/>
        <family val="2"/>
        <scheme val="minor"/>
      </rPr>
      <t>ιης εληλυθει</t>
    </r>
    <r>
      <rPr>
        <sz val="11"/>
        <color theme="1"/>
        <rFont val="Calibri"/>
        <family val="2"/>
        <scheme val="minor"/>
      </rPr>
      <t xml:space="preserve"> εις</t>
    </r>
  </si>
  <si>
    <r>
      <t xml:space="preserve">ου γαρ </t>
    </r>
    <r>
      <rPr>
        <b/>
        <sz val="11"/>
        <color theme="1"/>
        <rFont val="Calibri"/>
        <family val="2"/>
        <scheme val="minor"/>
      </rPr>
      <t>εληλυθει ο ιησους</t>
    </r>
    <r>
      <rPr>
        <sz val="11"/>
        <color theme="1"/>
        <rFont val="Calibri"/>
        <family val="2"/>
        <scheme val="minor"/>
      </rPr>
      <t xml:space="preserve"> εις</t>
    </r>
  </si>
  <si>
    <r>
      <t xml:space="preserve">ου γαρ εληλυθει </t>
    </r>
    <r>
      <rPr>
        <b/>
        <sz val="11"/>
        <color theme="1"/>
        <rFont val="Calibri"/>
        <family val="2"/>
        <scheme val="minor"/>
      </rPr>
      <t>ο</t>
    </r>
    <r>
      <rPr>
        <sz val="11"/>
        <color theme="1"/>
        <rFont val="Calibri"/>
        <family val="2"/>
        <scheme val="minor"/>
      </rPr>
      <t xml:space="preserve"> ιησους εις</t>
    </r>
  </si>
  <si>
    <t>αλλα ην</t>
  </si>
  <si>
    <t>αλλ ην</t>
  </si>
  <si>
    <t>οικια και παραμυθουμενοι</t>
  </si>
  <si>
    <t>οικια παραμυθουμενοι</t>
  </si>
  <si>
    <t>αυτη λεγοντες οτι</t>
  </si>
  <si>
    <t>αυτη δοξαντες οτι</t>
  </si>
  <si>
    <r>
      <t xml:space="preserve">ιδουσα </t>
    </r>
    <r>
      <rPr>
        <b/>
        <sz val="11"/>
        <color theme="1"/>
        <rFont val="Calibri"/>
        <family val="2"/>
        <scheme val="minor"/>
      </rPr>
      <t>προς τους ποδας αυτου επεσεν</t>
    </r>
    <r>
      <rPr>
        <sz val="11"/>
        <color theme="1"/>
        <rFont val="Calibri"/>
        <family val="2"/>
        <scheme val="minor"/>
      </rPr>
      <t xml:space="preserve"> λεγουσα</t>
    </r>
  </si>
  <si>
    <t xml:space="preserve">και τους συνεληλυθοτας μεθ αυτης ιουδαιους κλαιοντας (34) εταραχθη </t>
  </si>
  <si>
    <r>
      <t xml:space="preserve">και </t>
    </r>
    <r>
      <rPr>
        <b/>
        <sz val="11"/>
        <color theme="1"/>
        <rFont val="Calibri"/>
        <family val="2"/>
        <scheme val="minor"/>
      </rPr>
      <t>τους συνεληλυθοτας μεθ αυτης ιουδαιους κλαιοντας</t>
    </r>
    <r>
      <rPr>
        <sz val="11"/>
        <color theme="1"/>
        <rFont val="Calibri"/>
        <family val="2"/>
        <scheme val="minor"/>
      </rPr>
      <t xml:space="preserve"> (34) εταραχθη </t>
    </r>
  </si>
  <si>
    <r>
      <t xml:space="preserve">και τους συνεληλυθοτας μεθ αυτης </t>
    </r>
    <r>
      <rPr>
        <b/>
        <sz val="11"/>
        <color theme="1"/>
        <rFont val="Calibri"/>
        <family val="2"/>
        <scheme val="minor"/>
      </rPr>
      <t>ιουδαιους</t>
    </r>
    <r>
      <rPr>
        <sz val="11"/>
        <color theme="1"/>
        <rFont val="Calibri"/>
        <family val="2"/>
        <scheme val="minor"/>
      </rPr>
      <t xml:space="preserve"> κλαιοντας (34) εταραχθη </t>
    </r>
  </si>
  <si>
    <r>
      <t xml:space="preserve">και </t>
    </r>
    <r>
      <rPr>
        <b/>
        <sz val="11"/>
        <color theme="1"/>
        <rFont val="Calibri"/>
        <family val="2"/>
        <scheme val="minor"/>
      </rPr>
      <t>τους ιδειους κλαιοντας τους συνεληλυθοτας μετ αυτης</t>
    </r>
    <r>
      <rPr>
        <sz val="11"/>
        <color theme="1"/>
        <rFont val="Calibri"/>
        <family val="2"/>
        <scheme val="minor"/>
      </rPr>
      <t xml:space="preserve">  (34) εταραχθη </t>
    </r>
  </si>
  <si>
    <r>
      <t xml:space="preserve">και τους </t>
    </r>
    <r>
      <rPr>
        <b/>
        <sz val="11"/>
        <color theme="1"/>
        <rFont val="Calibri"/>
        <family val="2"/>
        <scheme val="minor"/>
      </rPr>
      <t>ιδειους</t>
    </r>
    <r>
      <rPr>
        <sz val="11"/>
        <color theme="1"/>
        <rFont val="Calibri"/>
        <family val="2"/>
        <scheme val="minor"/>
      </rPr>
      <t xml:space="preserve"> κλαιοντας τους συνεληλυθοτας μετ αυτης  (34) εταραχθη </t>
    </r>
  </si>
  <si>
    <r>
      <t xml:space="preserve">και </t>
    </r>
    <r>
      <rPr>
        <b/>
        <sz val="11"/>
        <color theme="1"/>
        <rFont val="Calibri"/>
        <family val="2"/>
        <scheme val="minor"/>
      </rPr>
      <t>τους</t>
    </r>
    <r>
      <rPr>
        <sz val="11"/>
        <color theme="1"/>
        <rFont val="Calibri"/>
        <family val="2"/>
        <scheme val="minor"/>
      </rPr>
      <t xml:space="preserve"> ιδειους κλαιοντας τους συνεληλυθοτας μετ αυτης  (34) εταραχθη </t>
    </r>
  </si>
  <si>
    <r>
      <t xml:space="preserve">και τους ιδειους κλαιοντας τους συνεληλυθοτας </t>
    </r>
    <r>
      <rPr>
        <b/>
        <sz val="11"/>
        <color theme="1"/>
        <rFont val="Calibri"/>
        <family val="2"/>
        <scheme val="minor"/>
      </rPr>
      <t>μετ</t>
    </r>
    <r>
      <rPr>
        <sz val="11"/>
        <color theme="1"/>
        <rFont val="Calibri"/>
        <family val="2"/>
        <scheme val="minor"/>
      </rPr>
      <t xml:space="preserve"> αυτης  (34) εταραχθη </t>
    </r>
  </si>
  <si>
    <r>
      <t xml:space="preserve">και τους συνεληλυθοτας </t>
    </r>
    <r>
      <rPr>
        <b/>
        <sz val="11"/>
        <color theme="1"/>
        <rFont val="Calibri"/>
        <family val="2"/>
        <scheme val="minor"/>
      </rPr>
      <t>μεθ</t>
    </r>
    <r>
      <rPr>
        <sz val="11"/>
        <color theme="1"/>
        <rFont val="Calibri"/>
        <family val="2"/>
        <scheme val="minor"/>
      </rPr>
      <t xml:space="preserve"> αυτης ιουδαιους κλαιοντας (34) εταραχθη </t>
    </r>
  </si>
  <si>
    <t>λεγουσιν αυτω κε ερχου</t>
  </si>
  <si>
    <t>λεγουσιν αυτω και ερχου</t>
  </si>
  <si>
    <t>ουν ιουδαιοι ιδε πως εφιλει αυτον</t>
  </si>
  <si>
    <r>
      <t xml:space="preserve">ουν </t>
    </r>
    <r>
      <rPr>
        <b/>
        <sz val="11"/>
        <color theme="1"/>
        <rFont val="Calibri"/>
        <family val="2"/>
        <scheme val="minor"/>
      </rPr>
      <t>οι</t>
    </r>
    <r>
      <rPr>
        <sz val="11"/>
        <color theme="1"/>
        <rFont val="Calibri"/>
        <family val="2"/>
        <scheme val="minor"/>
      </rPr>
      <t xml:space="preserve"> ιουδαιοι ειδε πω εφειλει αυτον</t>
    </r>
  </si>
  <si>
    <r>
      <t xml:space="preserve">ουν οι ιουδαιοι </t>
    </r>
    <r>
      <rPr>
        <b/>
        <sz val="11"/>
        <color theme="1"/>
        <rFont val="Calibri"/>
        <family val="2"/>
        <scheme val="minor"/>
      </rPr>
      <t>ειδε</t>
    </r>
    <r>
      <rPr>
        <sz val="11"/>
        <color theme="1"/>
        <rFont val="Calibri"/>
        <family val="2"/>
        <scheme val="minor"/>
      </rPr>
      <t xml:space="preserve"> πω εφειλει αυτον</t>
    </r>
  </si>
  <si>
    <r>
      <t xml:space="preserve">ουν ιουδαιοι </t>
    </r>
    <r>
      <rPr>
        <b/>
        <sz val="11"/>
        <color theme="1"/>
        <rFont val="Calibri"/>
        <family val="2"/>
        <scheme val="minor"/>
      </rPr>
      <t>ιδε</t>
    </r>
    <r>
      <rPr>
        <sz val="11"/>
        <color theme="1"/>
        <rFont val="Calibri"/>
        <family val="2"/>
        <scheme val="minor"/>
      </rPr>
      <t xml:space="preserve"> πως εφιλει αυτον</t>
    </r>
  </si>
  <si>
    <r>
      <t xml:space="preserve">ουν ιουδαιοι ιδε </t>
    </r>
    <r>
      <rPr>
        <b/>
        <sz val="11"/>
        <color theme="1"/>
        <rFont val="Calibri"/>
        <family val="2"/>
        <scheme val="minor"/>
      </rPr>
      <t>πως</t>
    </r>
    <r>
      <rPr>
        <sz val="11"/>
        <color theme="1"/>
        <rFont val="Calibri"/>
        <family val="2"/>
        <scheme val="minor"/>
      </rPr>
      <t xml:space="preserve"> εφιλει αυτον</t>
    </r>
  </si>
  <si>
    <r>
      <t xml:space="preserve">ουν οι ιουδαιοι ειδε </t>
    </r>
    <r>
      <rPr>
        <b/>
        <sz val="11"/>
        <color theme="1"/>
        <rFont val="Calibri"/>
        <family val="2"/>
        <scheme val="minor"/>
      </rPr>
      <t>πω</t>
    </r>
    <r>
      <rPr>
        <sz val="11"/>
        <color theme="1"/>
        <rFont val="Calibri"/>
        <family val="2"/>
        <scheme val="minor"/>
      </rPr>
      <t xml:space="preserve"> εφειλει αυτον</t>
    </r>
  </si>
  <si>
    <r>
      <t xml:space="preserve">ουν οι ιουδαιοι ειδε πω </t>
    </r>
    <r>
      <rPr>
        <b/>
        <sz val="11"/>
        <color theme="1"/>
        <rFont val="Calibri"/>
        <family val="2"/>
        <scheme val="minor"/>
      </rPr>
      <t>εφειλει</t>
    </r>
    <r>
      <rPr>
        <sz val="11"/>
        <color theme="1"/>
        <rFont val="Calibri"/>
        <family val="2"/>
        <scheme val="minor"/>
      </rPr>
      <t xml:space="preserve"> αυτον</t>
    </r>
  </si>
  <si>
    <r>
      <t xml:space="preserve">ουν ιουδαιοι ιδε πως </t>
    </r>
    <r>
      <rPr>
        <b/>
        <sz val="11"/>
        <color theme="1"/>
        <rFont val="Calibri"/>
        <family val="2"/>
        <scheme val="minor"/>
      </rPr>
      <t>εφιλει</t>
    </r>
    <r>
      <rPr>
        <sz val="11"/>
        <color theme="1"/>
        <rFont val="Calibri"/>
        <family val="2"/>
        <scheme val="minor"/>
      </rPr>
      <t xml:space="preserve"> αυτον</t>
    </r>
  </si>
  <si>
    <t>εξ αυτων</t>
  </si>
  <si>
    <t>εξ ων</t>
  </si>
  <si>
    <t>ουκ εδυνατο</t>
  </si>
  <si>
    <t>ουκ ηδυνατο</t>
  </si>
  <si>
    <t>αυτω μαρθα</t>
  </si>
  <si>
    <t>αυτω η μαρθα</t>
  </si>
  <si>
    <t>τεταρταιος γαρ εστιν</t>
  </si>
  <si>
    <t>τεταρταιος εστιν</t>
  </si>
  <si>
    <t>οτε ηραν ουν τον λιθον</t>
  </si>
  <si>
    <t>οτε ουν ηραν τον λιθον</t>
  </si>
  <si>
    <t>αυτου ανω και ειπεν</t>
  </si>
  <si>
    <t>αυτου και ειπεν</t>
  </si>
  <si>
    <t>περιεδεδετο</t>
  </si>
  <si>
    <t>δε εξ αυτων</t>
  </si>
  <si>
    <t>δε εξ εξ αυτων</t>
  </si>
  <si>
    <t>ειπαν αυτω ο εποιησεν</t>
  </si>
  <si>
    <t>ειπαν αυτοις ο εποιησεν</t>
  </si>
  <si>
    <t>ιησους μελλεν</t>
  </si>
  <si>
    <t>θεου εσκορπισμενα</t>
  </si>
  <si>
    <t>μετ αλληλων</t>
  </si>
  <si>
    <t>μεθ αλληλων</t>
  </si>
  <si>
    <t>τω ιερω τι δοκει υμειν οτι</t>
  </si>
  <si>
    <t>τω ιερω εστωτες τι δοκειτε οτι</t>
  </si>
  <si>
    <r>
      <t xml:space="preserve">τω ιερω </t>
    </r>
    <r>
      <rPr>
        <b/>
        <sz val="11"/>
        <color theme="1"/>
        <rFont val="Calibri"/>
        <family val="2"/>
        <scheme val="minor"/>
      </rPr>
      <t>εστωτες</t>
    </r>
    <r>
      <rPr>
        <sz val="11"/>
        <color theme="1"/>
        <rFont val="Calibri"/>
        <family val="2"/>
        <scheme val="minor"/>
      </rPr>
      <t xml:space="preserve"> τι δοκειτε οτι</t>
    </r>
  </si>
  <si>
    <r>
      <t xml:space="preserve">τω ιερω εστωτες τι </t>
    </r>
    <r>
      <rPr>
        <b/>
        <sz val="11"/>
        <color theme="1"/>
        <rFont val="Calibri"/>
        <family val="2"/>
        <scheme val="minor"/>
      </rPr>
      <t>δοκειτε</t>
    </r>
    <r>
      <rPr>
        <sz val="11"/>
        <color theme="1"/>
        <rFont val="Calibri"/>
        <family val="2"/>
        <scheme val="minor"/>
      </rPr>
      <t xml:space="preserve"> οτι</t>
    </r>
  </si>
  <si>
    <r>
      <t xml:space="preserve">τω ιερω τι δοκει </t>
    </r>
    <r>
      <rPr>
        <b/>
        <sz val="11"/>
        <color theme="1"/>
        <rFont val="Calibri"/>
        <family val="2"/>
        <scheme val="minor"/>
      </rPr>
      <t>υμειν</t>
    </r>
    <r>
      <rPr>
        <sz val="11"/>
        <color theme="1"/>
        <rFont val="Calibri"/>
        <family val="2"/>
        <scheme val="minor"/>
      </rPr>
      <t xml:space="preserve"> οτι</t>
    </r>
  </si>
  <si>
    <t>γνω που</t>
  </si>
  <si>
    <t>γνοι που</t>
  </si>
  <si>
    <t>μηνυση οπως πιασωσιν</t>
  </si>
  <si>
    <t>μηνυση οπω πιασωσιν</t>
  </si>
  <si>
    <t>ηλειψεν τους ποδας</t>
  </si>
  <si>
    <t>ηλειψε τους ποδας</t>
  </si>
  <si>
    <t xml:space="preserve">εξεμαξε ταις θριξιν </t>
  </si>
  <si>
    <t xml:space="preserve">εξεμαξεν ταις θριξιν </t>
  </si>
  <si>
    <t xml:space="preserve">εδοθη τοις πτωχοις </t>
  </si>
  <si>
    <t xml:space="preserve">εδοθη πτωχοις </t>
  </si>
  <si>
    <t xml:space="preserve">αλλ οτι </t>
  </si>
  <si>
    <t xml:space="preserve">αλλα οτι </t>
  </si>
  <si>
    <t>εχων τα βαλλομενα εβασταζεν</t>
  </si>
  <si>
    <r>
      <t xml:space="preserve">εχων </t>
    </r>
    <r>
      <rPr>
        <b/>
        <sz val="11"/>
        <color theme="1"/>
        <rFont val="Calibri"/>
        <family val="2"/>
        <scheme val="minor"/>
      </rPr>
      <t>τα βαλλ</t>
    </r>
    <r>
      <rPr>
        <sz val="11"/>
        <color theme="1"/>
        <rFont val="Calibri"/>
        <family val="2"/>
        <scheme val="minor"/>
      </rPr>
      <t xml:space="preserve"> τα βαλλομενα εβαστασεν</t>
    </r>
  </si>
  <si>
    <r>
      <t xml:space="preserve">εχων τα βαλλ τα βαλλομενα </t>
    </r>
    <r>
      <rPr>
        <b/>
        <sz val="11"/>
        <color theme="1"/>
        <rFont val="Calibri"/>
        <family val="2"/>
        <scheme val="minor"/>
      </rPr>
      <t>εβαστασεν</t>
    </r>
  </si>
  <si>
    <r>
      <t xml:space="preserve">εχων τα βαλλομενα </t>
    </r>
    <r>
      <rPr>
        <b/>
        <sz val="11"/>
        <color theme="1"/>
        <rFont val="Calibri"/>
        <family val="2"/>
        <scheme val="minor"/>
      </rPr>
      <t>εβασταζεν</t>
    </r>
  </si>
  <si>
    <t xml:space="preserve">αυτην ινα εις </t>
  </si>
  <si>
    <t xml:space="preserve">αυτην εις </t>
  </si>
  <si>
    <t>ενταφιασμου μου τηρηση</t>
  </si>
  <si>
    <t>ενταφιασμου τηρηση</t>
  </si>
  <si>
    <t>ινα τον λαζαρον</t>
  </si>
  <si>
    <t>ινα και τον λαζαρον</t>
  </si>
  <si>
    <t>την εορτην ακουσαντες</t>
  </si>
  <si>
    <t>την εορτην εορτην ακουσαντες</t>
  </si>
  <si>
    <t>ερχεται ο ιησους</t>
  </si>
  <si>
    <t xml:space="preserve">συναντησιν αυτου και </t>
  </si>
  <si>
    <t xml:space="preserve">συναντησιν αυτω και </t>
  </si>
  <si>
    <t>λεγοντες ωσσανα</t>
  </si>
  <si>
    <t>λεγοντες οσσανα</t>
  </si>
  <si>
    <t>αυτω οι οχλοι</t>
  </si>
  <si>
    <t>αυτω οχλοι</t>
  </si>
  <si>
    <t xml:space="preserve">οτι ηκουσαν τουτο </t>
  </si>
  <si>
    <t xml:space="preserve">οτι τουτο </t>
  </si>
  <si>
    <t>ανδρεα και παλιν</t>
  </si>
  <si>
    <t>ανδρεα παλιν</t>
  </si>
  <si>
    <t>εαν μοι τις διακονη</t>
  </si>
  <si>
    <t>εαν τις μοι διακονη</t>
  </si>
  <si>
    <t>οπου αν εγω ειμι</t>
  </si>
  <si>
    <t>οπου εγω ειμι</t>
  </si>
  <si>
    <t>ο διακος ο εμος</t>
  </si>
  <si>
    <t>ο διακονος ο εμος</t>
  </si>
  <si>
    <t>εσται αν τις εμοι</t>
  </si>
  <si>
    <t>εσται εαν τις εμοι</t>
  </si>
  <si>
    <t>νυν δε η ψυχη</t>
  </si>
  <si>
    <t>νυν η ψυχη</t>
  </si>
  <si>
    <t>δοξα η ειχον</t>
  </si>
  <si>
    <t>δοξη η ειχον</t>
  </si>
  <si>
    <t>σοι πριν του</t>
  </si>
  <si>
    <t>σοι προ του</t>
  </si>
  <si>
    <t>ουρανου λεγουσα και εδοξασα</t>
  </si>
  <si>
    <t>ουρανου και εδοξασα</t>
  </si>
  <si>
    <t>εστηκως και ακουσας</t>
  </si>
  <si>
    <t>εστηκως ακουσας</t>
  </si>
  <si>
    <t>ελεγον οτι αγγελος</t>
  </si>
  <si>
    <t>ελεγον οτι οτι αγγελος</t>
  </si>
  <si>
    <t>απεκριθη ο ιησους</t>
  </si>
  <si>
    <r>
      <rPr>
        <b/>
        <sz val="11"/>
        <color theme="1"/>
        <rFont val="Calibri"/>
        <family val="2"/>
        <scheme val="minor"/>
      </rPr>
      <t>απεκριθη</t>
    </r>
    <r>
      <rPr>
        <sz val="11"/>
        <color theme="1"/>
        <rFont val="Calibri"/>
        <family val="2"/>
        <scheme val="minor"/>
      </rPr>
      <t xml:space="preserve"> ο ιησους</t>
    </r>
  </si>
  <si>
    <r>
      <t xml:space="preserve">απεκριθη </t>
    </r>
    <r>
      <rPr>
        <b/>
        <sz val="11"/>
        <color theme="1"/>
        <rFont val="Calibri"/>
        <family val="2"/>
        <scheme val="minor"/>
      </rPr>
      <t>ο</t>
    </r>
    <r>
      <rPr>
        <sz val="11"/>
        <color theme="1"/>
        <rFont val="Calibri"/>
        <family val="2"/>
        <scheme val="minor"/>
      </rPr>
      <t xml:space="preserve"> ιησους</t>
    </r>
  </si>
  <si>
    <t>κοσμου τουτου νυν</t>
  </si>
  <si>
    <t>κοσμου νυν</t>
  </si>
  <si>
    <t>παντας προς</t>
  </si>
  <si>
    <t>παντα προς</t>
  </si>
  <si>
    <t>θανατω εμελλεν</t>
  </si>
  <si>
    <t>θανατω ημελλεν</t>
  </si>
  <si>
    <t>εστιν ουτος</t>
  </si>
  <si>
    <t>εστιν ουν ουτος</t>
  </si>
  <si>
    <t>ινα μη σκοτια υμας καταλαβη</t>
  </si>
  <si>
    <t>ινα μη υμας σκοτια καταλαβη</t>
  </si>
  <si>
    <t xml:space="preserve">οιδεν που </t>
  </si>
  <si>
    <t xml:space="preserve">οιδε που </t>
  </si>
  <si>
    <t>τη ακοη και</t>
  </si>
  <si>
    <t>τη ακοη ημων και</t>
  </si>
  <si>
    <r>
      <t xml:space="preserve">πιστευειν </t>
    </r>
    <r>
      <rPr>
        <b/>
        <sz val="11"/>
        <color theme="1"/>
        <rFont val="Calibri"/>
        <family val="2"/>
        <scheme val="minor"/>
      </rPr>
      <t>και</t>
    </r>
    <r>
      <rPr>
        <sz val="11"/>
        <color theme="1"/>
        <rFont val="Calibri"/>
        <family val="2"/>
        <scheme val="minor"/>
      </rPr>
      <t xml:space="preserve"> γαρ ειπεν </t>
    </r>
  </si>
  <si>
    <r>
      <t xml:space="preserve">πιστευειν </t>
    </r>
    <r>
      <rPr>
        <b/>
        <sz val="11"/>
        <color theme="1"/>
        <rFont val="Calibri"/>
        <family val="2"/>
        <scheme val="minor"/>
      </rPr>
      <t>οτι</t>
    </r>
    <r>
      <rPr>
        <sz val="11"/>
        <color theme="1"/>
        <rFont val="Calibri"/>
        <family val="2"/>
        <scheme val="minor"/>
      </rPr>
      <t xml:space="preserve"> παλιν ειπεν </t>
    </r>
  </si>
  <si>
    <r>
      <t xml:space="preserve">πιστευειν οτι </t>
    </r>
    <r>
      <rPr>
        <b/>
        <sz val="11"/>
        <color theme="1"/>
        <rFont val="Calibri"/>
        <family val="2"/>
        <scheme val="minor"/>
      </rPr>
      <t>παλιν</t>
    </r>
    <r>
      <rPr>
        <sz val="11"/>
        <color theme="1"/>
        <rFont val="Calibri"/>
        <family val="2"/>
        <scheme val="minor"/>
      </rPr>
      <t xml:space="preserve"> ειπεν </t>
    </r>
  </si>
  <si>
    <r>
      <t xml:space="preserve">πιστευειν και </t>
    </r>
    <r>
      <rPr>
        <b/>
        <sz val="11"/>
        <color theme="1"/>
        <rFont val="Calibri"/>
        <family val="2"/>
        <scheme val="minor"/>
      </rPr>
      <t>γαρ</t>
    </r>
    <r>
      <rPr>
        <sz val="11"/>
        <color theme="1"/>
        <rFont val="Calibri"/>
        <family val="2"/>
        <scheme val="minor"/>
      </rPr>
      <t xml:space="preserve"> ειπεν </t>
    </r>
  </si>
  <si>
    <t>αυτων την καρδιαν</t>
  </si>
  <si>
    <t>αυτων καρδιαν</t>
  </si>
  <si>
    <t>ινα μη ειδωσιν</t>
  </si>
  <si>
    <t>ινα μη ιδωσιν</t>
  </si>
  <si>
    <t>και επιστραφωσιν</t>
  </si>
  <si>
    <t>και στραφωσιν</t>
  </si>
  <si>
    <t xml:space="preserve">οτε ειδεν </t>
  </si>
  <si>
    <t xml:space="preserve">οτι ειδεν </t>
  </si>
  <si>
    <t>δοξαν θεου και</t>
  </si>
  <si>
    <r>
      <t xml:space="preserve">δοξαν </t>
    </r>
    <r>
      <rPr>
        <b/>
        <sz val="11"/>
        <color theme="1"/>
        <rFont val="Calibri"/>
        <family val="2"/>
        <scheme val="minor"/>
      </rPr>
      <t>του</t>
    </r>
    <r>
      <rPr>
        <sz val="11"/>
        <color theme="1"/>
        <rFont val="Calibri"/>
        <family val="2"/>
        <scheme val="minor"/>
      </rPr>
      <t xml:space="preserve"> θυ αυτου και</t>
    </r>
  </si>
  <si>
    <r>
      <t xml:space="preserve">δοξαν του θυ </t>
    </r>
    <r>
      <rPr>
        <b/>
        <sz val="11"/>
        <color theme="1"/>
        <rFont val="Calibri"/>
        <family val="2"/>
        <scheme val="minor"/>
      </rPr>
      <t>αυτου</t>
    </r>
    <r>
      <rPr>
        <sz val="11"/>
        <color theme="1"/>
        <rFont val="Calibri"/>
        <family val="2"/>
        <scheme val="minor"/>
      </rPr>
      <t xml:space="preserve"> και</t>
    </r>
  </si>
  <si>
    <t xml:space="preserve">ουχ ωμολογουν </t>
  </si>
  <si>
    <t xml:space="preserve">ου ωμολογουν </t>
  </si>
  <si>
    <t>αλλ εις τον</t>
  </si>
  <si>
    <t>αλλα εις τον</t>
  </si>
  <si>
    <t>κοσμον αλλα σωσω</t>
  </si>
  <si>
    <r>
      <t xml:space="preserve">κοσμον αλλ </t>
    </r>
    <r>
      <rPr>
        <b/>
        <sz val="11"/>
        <color theme="1"/>
        <rFont val="Calibri"/>
        <family val="2"/>
        <scheme val="minor"/>
      </rPr>
      <t>ινα</t>
    </r>
    <r>
      <rPr>
        <sz val="11"/>
        <color theme="1"/>
        <rFont val="Calibri"/>
        <family val="2"/>
        <scheme val="minor"/>
      </rPr>
      <t xml:space="preserve"> σωσω</t>
    </r>
  </si>
  <si>
    <t>αιωνιος ζωη εστιν α ουν</t>
  </si>
  <si>
    <t>αιωνιος εστιν ζωη α ουν</t>
  </si>
  <si>
    <t>λαλω καθως ειρηκεν μοι</t>
  </si>
  <si>
    <r>
      <t xml:space="preserve">λαλω </t>
    </r>
    <r>
      <rPr>
        <b/>
        <sz val="11"/>
        <color theme="1"/>
        <rFont val="Calibri"/>
        <family val="2"/>
        <scheme val="minor"/>
      </rPr>
      <t>εγω</t>
    </r>
    <r>
      <rPr>
        <sz val="11"/>
        <color theme="1"/>
        <rFont val="Calibri"/>
        <family val="2"/>
        <scheme val="minor"/>
      </rPr>
      <t xml:space="preserve"> καθως ειρηκε μοι</t>
    </r>
  </si>
  <si>
    <r>
      <t xml:space="preserve">λαλω εγω καθως </t>
    </r>
    <r>
      <rPr>
        <b/>
        <sz val="11"/>
        <color theme="1"/>
        <rFont val="Calibri"/>
        <family val="2"/>
        <scheme val="minor"/>
      </rPr>
      <t>ειρηκε</t>
    </r>
    <r>
      <rPr>
        <sz val="11"/>
        <color theme="1"/>
        <rFont val="Calibri"/>
        <family val="2"/>
        <scheme val="minor"/>
      </rPr>
      <t xml:space="preserve"> μοι</t>
    </r>
  </si>
  <si>
    <r>
      <t xml:space="preserve">λαλω καθως </t>
    </r>
    <r>
      <rPr>
        <b/>
        <sz val="11"/>
        <color theme="1"/>
        <rFont val="Calibri"/>
        <family val="2"/>
        <scheme val="minor"/>
      </rPr>
      <t>ειρηκεν</t>
    </r>
    <r>
      <rPr>
        <sz val="11"/>
        <color theme="1"/>
        <rFont val="Calibri"/>
        <family val="2"/>
        <scheme val="minor"/>
      </rPr>
      <t xml:space="preserve"> μοι</t>
    </r>
  </si>
  <si>
    <t>λαλω ηψη (13:1) προ δε</t>
  </si>
  <si>
    <t>λαλω (13:1) προ δε</t>
  </si>
  <si>
    <t>βεβληκοτος εις την</t>
  </si>
  <si>
    <t>βεβληκοτος ις την</t>
  </si>
  <si>
    <t>παραδω αυτον</t>
  </si>
  <si>
    <t>παραδοι αυτον</t>
  </si>
  <si>
    <t>και προς τον θεον</t>
  </si>
  <si>
    <t>τιθησιν τα ιματια</t>
  </si>
  <si>
    <t>τιθησι τα ιματια</t>
  </si>
  <si>
    <t>υδωρ βαλλει εις τον</t>
  </si>
  <si>
    <t>υδωρ εις τον</t>
  </si>
  <si>
    <t>προς σιμωνα πετρον και λεγει</t>
  </si>
  <si>
    <t>προς τον πετρον σιμωνα λεγει</t>
  </si>
  <si>
    <r>
      <t xml:space="preserve">προς τον </t>
    </r>
    <r>
      <rPr>
        <b/>
        <sz val="11"/>
        <color theme="1"/>
        <rFont val="Calibri"/>
        <family val="2"/>
        <scheme val="minor"/>
      </rPr>
      <t>πετρον σιμωνα</t>
    </r>
    <r>
      <rPr>
        <sz val="11"/>
        <color theme="1"/>
        <rFont val="Calibri"/>
        <family val="2"/>
        <scheme val="minor"/>
      </rPr>
      <t xml:space="preserve"> λεγει</t>
    </r>
  </si>
  <si>
    <r>
      <t xml:space="preserve">προς </t>
    </r>
    <r>
      <rPr>
        <b/>
        <sz val="11"/>
        <color theme="1"/>
        <rFont val="Calibri"/>
        <family val="2"/>
        <scheme val="minor"/>
      </rPr>
      <t>σιμωνα πετρον</t>
    </r>
    <r>
      <rPr>
        <sz val="11"/>
        <color theme="1"/>
        <rFont val="Calibri"/>
        <family val="2"/>
        <scheme val="minor"/>
      </rPr>
      <t xml:space="preserve"> και λεγει</t>
    </r>
  </si>
  <si>
    <r>
      <t xml:space="preserve">προς </t>
    </r>
    <r>
      <rPr>
        <b/>
        <sz val="11"/>
        <color theme="1"/>
        <rFont val="Calibri"/>
        <family val="2"/>
        <scheme val="minor"/>
      </rPr>
      <t>τον</t>
    </r>
    <r>
      <rPr>
        <sz val="11"/>
        <color theme="1"/>
        <rFont val="Calibri"/>
        <family val="2"/>
        <scheme val="minor"/>
      </rPr>
      <t xml:space="preserve"> πετρον σιμωνα λεγει</t>
    </r>
  </si>
  <si>
    <r>
      <t xml:space="preserve">προς σιμωνα πετρον </t>
    </r>
    <r>
      <rPr>
        <b/>
        <sz val="11"/>
        <color theme="1"/>
        <rFont val="Calibri"/>
        <family val="2"/>
        <scheme val="minor"/>
      </rPr>
      <t>και</t>
    </r>
    <r>
      <rPr>
        <sz val="11"/>
        <color theme="1"/>
        <rFont val="Calibri"/>
        <family val="2"/>
        <scheme val="minor"/>
      </rPr>
      <t xml:space="preserve"> λεγει</t>
    </r>
  </si>
  <si>
    <t>πετρος ου μη νιψεις</t>
  </si>
  <si>
    <r>
      <t xml:space="preserve">πετρος </t>
    </r>
    <r>
      <rPr>
        <b/>
        <sz val="11"/>
        <color theme="1"/>
        <rFont val="Calibri"/>
        <family val="2"/>
        <scheme val="minor"/>
      </rPr>
      <t>κε</t>
    </r>
    <r>
      <rPr>
        <sz val="11"/>
        <color theme="1"/>
        <rFont val="Calibri"/>
        <family val="2"/>
        <scheme val="minor"/>
      </rPr>
      <t xml:space="preserve"> ου μη μου νιψεις</t>
    </r>
  </si>
  <si>
    <r>
      <t xml:space="preserve">πετρος κε ου μη </t>
    </r>
    <r>
      <rPr>
        <b/>
        <sz val="11"/>
        <color theme="1"/>
        <rFont val="Calibri"/>
        <family val="2"/>
        <scheme val="minor"/>
      </rPr>
      <t>μου</t>
    </r>
    <r>
      <rPr>
        <sz val="11"/>
        <color theme="1"/>
        <rFont val="Calibri"/>
        <family val="2"/>
        <scheme val="minor"/>
      </rPr>
      <t xml:space="preserve"> νιψεις</t>
    </r>
  </si>
  <si>
    <t>πετρος μη μονον</t>
  </si>
  <si>
    <t>πετρος κε μη μονον</t>
  </si>
  <si>
    <t>αλλα και τας χειρας και την καιφαλην</t>
  </si>
  <si>
    <r>
      <t xml:space="preserve">αλλα και τας χειρας </t>
    </r>
    <r>
      <rPr>
        <b/>
        <sz val="11"/>
        <color theme="1"/>
        <rFont val="Calibri"/>
        <family val="2"/>
        <scheme val="minor"/>
      </rPr>
      <t>και τας χειρας</t>
    </r>
    <r>
      <rPr>
        <sz val="11"/>
        <color theme="1"/>
        <rFont val="Calibri"/>
        <family val="2"/>
        <scheme val="minor"/>
      </rPr>
      <t xml:space="preserve"> και την κεφαλην</t>
    </r>
  </si>
  <si>
    <r>
      <t xml:space="preserve">αλλα και τας χειρας και την </t>
    </r>
    <r>
      <rPr>
        <b/>
        <sz val="11"/>
        <color theme="1"/>
        <rFont val="Calibri"/>
        <family val="2"/>
        <scheme val="minor"/>
      </rPr>
      <t>καιφαλην</t>
    </r>
  </si>
  <si>
    <r>
      <t xml:space="preserve">αλλα και τας χειρας και τας χειρας και την </t>
    </r>
    <r>
      <rPr>
        <b/>
        <sz val="11"/>
        <color theme="1"/>
        <rFont val="Calibri"/>
        <family val="2"/>
        <scheme val="minor"/>
      </rPr>
      <t>κεφαλην</t>
    </r>
  </si>
  <si>
    <t>ιησους λελουμενος</t>
  </si>
  <si>
    <t>κεφαλην ει μη τους ποδας μονον νιψασθαι εστιν</t>
  </si>
  <si>
    <t>κεφαλην νιψασθαι ει μη τους ποδας μονον εστιν</t>
  </si>
  <si>
    <r>
      <rPr>
        <b/>
        <sz val="11"/>
        <color theme="1"/>
        <rFont val="Calibri"/>
        <family val="2"/>
        <scheme val="minor"/>
      </rPr>
      <t>αλλ</t>
    </r>
    <r>
      <rPr>
        <sz val="11"/>
        <color theme="1"/>
        <rFont val="Calibri"/>
        <family val="2"/>
        <scheme val="minor"/>
      </rPr>
      <t xml:space="preserve"> ουχι παντες </t>
    </r>
  </si>
  <si>
    <r>
      <rPr>
        <b/>
        <sz val="11"/>
        <color theme="1"/>
        <rFont val="Calibri"/>
        <family val="2"/>
        <scheme val="minor"/>
      </rPr>
      <t>αλλα</t>
    </r>
    <r>
      <rPr>
        <sz val="11"/>
        <color theme="1"/>
        <rFont val="Calibri"/>
        <family val="2"/>
        <scheme val="minor"/>
      </rPr>
      <t xml:space="preserve"> ουχει παντες </t>
    </r>
  </si>
  <si>
    <r>
      <t xml:space="preserve">αλλα </t>
    </r>
    <r>
      <rPr>
        <b/>
        <sz val="11"/>
        <color theme="1"/>
        <rFont val="Calibri"/>
        <family val="2"/>
        <scheme val="minor"/>
      </rPr>
      <t>ουχει</t>
    </r>
    <r>
      <rPr>
        <sz val="11"/>
        <color theme="1"/>
        <rFont val="Calibri"/>
        <family val="2"/>
        <scheme val="minor"/>
      </rPr>
      <t xml:space="preserve"> παντες </t>
    </r>
  </si>
  <si>
    <r>
      <t xml:space="preserve">αλλ </t>
    </r>
    <r>
      <rPr>
        <b/>
        <sz val="11"/>
        <color theme="1"/>
        <rFont val="Calibri"/>
        <family val="2"/>
        <scheme val="minor"/>
      </rPr>
      <t>ουχι</t>
    </r>
    <r>
      <rPr>
        <sz val="11"/>
        <color theme="1"/>
        <rFont val="Calibri"/>
        <family val="2"/>
        <scheme val="minor"/>
      </rPr>
      <t xml:space="preserve"> παντες </t>
    </r>
  </si>
  <si>
    <t>ελαβεν τα ιματια αναπεσων</t>
  </si>
  <si>
    <r>
      <rPr>
        <b/>
        <sz val="11"/>
        <color theme="1"/>
        <rFont val="Calibri"/>
        <family val="2"/>
        <scheme val="minor"/>
      </rPr>
      <t>ελαβε</t>
    </r>
    <r>
      <rPr>
        <sz val="11"/>
        <color theme="1"/>
        <rFont val="Calibri"/>
        <family val="2"/>
        <scheme val="minor"/>
      </rPr>
      <t xml:space="preserve"> τα ιματια αυτου αναπεσων</t>
    </r>
  </si>
  <si>
    <r>
      <rPr>
        <b/>
        <sz val="11"/>
        <color theme="1"/>
        <rFont val="Calibri"/>
        <family val="2"/>
        <scheme val="minor"/>
      </rPr>
      <t>ελαβεν</t>
    </r>
    <r>
      <rPr>
        <sz val="11"/>
        <color theme="1"/>
        <rFont val="Calibri"/>
        <family val="2"/>
        <scheme val="minor"/>
      </rPr>
      <t xml:space="preserve"> τα ιματια αναπεσων</t>
    </r>
  </si>
  <si>
    <r>
      <t xml:space="preserve">ελαβε τα ιματια </t>
    </r>
    <r>
      <rPr>
        <b/>
        <sz val="11"/>
        <color theme="1"/>
        <rFont val="Calibri"/>
        <family val="2"/>
        <scheme val="minor"/>
      </rPr>
      <t>αυτου</t>
    </r>
    <r>
      <rPr>
        <sz val="11"/>
        <color theme="1"/>
        <rFont val="Calibri"/>
        <family val="2"/>
        <scheme val="minor"/>
      </rPr>
      <t xml:space="preserve"> αναπεσων</t>
    </r>
  </si>
  <si>
    <t>γεινωσκεται τι</t>
  </si>
  <si>
    <t>γεινωσκετε τι</t>
  </si>
  <si>
    <t>υμεις αλληλων</t>
  </si>
  <si>
    <t>υμεις οφειλετε αλληλων</t>
  </si>
  <si>
    <t>λαμβανει και ο λαμβανων</t>
  </si>
  <si>
    <t>λαμβανει ο λαμβανων</t>
  </si>
  <si>
    <t>εις εκ των μαθητων</t>
  </si>
  <si>
    <t>εις των μαθητων</t>
  </si>
  <si>
    <r>
      <rPr>
        <b/>
        <sz val="11"/>
        <color theme="1"/>
        <rFont val="Calibri"/>
        <family val="2"/>
        <scheme val="minor"/>
      </rPr>
      <t>εκεινον σατανας</t>
    </r>
    <r>
      <rPr>
        <sz val="11"/>
        <color theme="1"/>
        <rFont val="Calibri"/>
        <family val="2"/>
        <scheme val="minor"/>
      </rPr>
      <t xml:space="preserve"> κ λεγει</t>
    </r>
  </si>
  <si>
    <r>
      <rPr>
        <b/>
        <sz val="11"/>
        <color theme="1"/>
        <rFont val="Calibri"/>
        <family val="2"/>
        <scheme val="minor"/>
      </rPr>
      <t>εκεινον σατανας</t>
    </r>
    <r>
      <rPr>
        <sz val="11"/>
        <color theme="1"/>
        <rFont val="Calibri"/>
        <family val="2"/>
        <scheme val="minor"/>
      </rPr>
      <t xml:space="preserve"> και λεγει</t>
    </r>
  </si>
  <si>
    <t>Bezae corrects to εκεινον ο σατανας, B.10.3 does not follow</t>
  </si>
  <si>
    <r>
      <t xml:space="preserve">εκεινον σατανας </t>
    </r>
    <r>
      <rPr>
        <b/>
        <sz val="11"/>
        <color theme="1"/>
        <rFont val="Calibri"/>
        <family val="2"/>
        <scheme val="minor"/>
      </rPr>
      <t>κ</t>
    </r>
    <r>
      <rPr>
        <sz val="11"/>
        <color theme="1"/>
        <rFont val="Calibri"/>
        <family val="2"/>
        <scheme val="minor"/>
      </rPr>
      <t xml:space="preserve"> λεγει</t>
    </r>
  </si>
  <si>
    <r>
      <t xml:space="preserve">εκεινον σατανας </t>
    </r>
    <r>
      <rPr>
        <b/>
        <sz val="11"/>
        <color theme="1"/>
        <rFont val="Calibri"/>
        <family val="2"/>
        <scheme val="minor"/>
      </rPr>
      <t>και</t>
    </r>
    <r>
      <rPr>
        <sz val="11"/>
        <color theme="1"/>
        <rFont val="Calibri"/>
        <family val="2"/>
        <scheme val="minor"/>
      </rPr>
      <t xml:space="preserve"> λεγει</t>
    </r>
  </si>
  <si>
    <t>ο ποιεις ποιησον ταχειον</t>
  </si>
  <si>
    <t>ο ποιεις ποιης ταχειον</t>
  </si>
  <si>
    <t>εγνω των ανακειμενων</t>
  </si>
  <si>
    <t>εγνοι των ανακειμενων</t>
  </si>
  <si>
    <t>αυτω ο ιησους αγορασον</t>
  </si>
  <si>
    <t>αυτω ο ιουδας αγορασον</t>
  </si>
  <si>
    <t xml:space="preserve">τι δοι (30) λαβων </t>
  </si>
  <si>
    <t xml:space="preserve">τι δω (30) λαβων </t>
  </si>
  <si>
    <t>οτε ουν εξηλθεν</t>
  </si>
  <si>
    <t>οτε εξηλθεν</t>
  </si>
  <si>
    <t>ευθυς δοξασει αυτον</t>
  </si>
  <si>
    <t>ευθυς και συ ε δοξασει αυτον</t>
  </si>
  <si>
    <t>υμεις αγαπατε αλληλους</t>
  </si>
  <si>
    <t>υμεις αλλαπατε αλληλους</t>
  </si>
  <si>
    <t>λεγω σοι οτι</t>
  </si>
  <si>
    <t>λεγω σου οτι</t>
  </si>
  <si>
    <t>φωνησει εως</t>
  </si>
  <si>
    <t>φωνησες εως</t>
  </si>
  <si>
    <r>
      <rPr>
        <b/>
        <sz val="11"/>
        <color theme="1"/>
        <rFont val="Calibri"/>
        <family val="2"/>
        <scheme val="minor"/>
      </rPr>
      <t>ετοιμασαι</t>
    </r>
    <r>
      <rPr>
        <sz val="11"/>
        <color theme="1"/>
        <rFont val="Calibri"/>
        <family val="2"/>
        <scheme val="minor"/>
      </rPr>
      <t xml:space="preserve"> τοπον υμειν</t>
    </r>
  </si>
  <si>
    <r>
      <rPr>
        <b/>
        <sz val="11"/>
        <color theme="1"/>
        <rFont val="Calibri"/>
        <family val="2"/>
        <scheme val="minor"/>
      </rPr>
      <t>ετοιμασα</t>
    </r>
    <r>
      <rPr>
        <sz val="11"/>
        <color theme="1"/>
        <rFont val="Calibri"/>
        <family val="2"/>
        <scheme val="minor"/>
      </rPr>
      <t xml:space="preserve"> τοπον υμιν</t>
    </r>
  </si>
  <si>
    <r>
      <t xml:space="preserve">ετοιμασαι τοπον </t>
    </r>
    <r>
      <rPr>
        <b/>
        <sz val="11"/>
        <color theme="1"/>
        <rFont val="Calibri"/>
        <family val="2"/>
        <scheme val="minor"/>
      </rPr>
      <t>υμειν</t>
    </r>
  </si>
  <si>
    <r>
      <t xml:space="preserve">ετοιμασα τοπον </t>
    </r>
    <r>
      <rPr>
        <b/>
        <sz val="11"/>
        <color theme="1"/>
        <rFont val="Calibri"/>
        <family val="2"/>
        <scheme val="minor"/>
      </rPr>
      <t>υμιν</t>
    </r>
  </si>
  <si>
    <t>ετοιμασαι τοπον</t>
  </si>
  <si>
    <t>ετοιμασω τοπον</t>
  </si>
  <si>
    <t>υμεις εσθαι</t>
  </si>
  <si>
    <t>υμεις ησθαι</t>
  </si>
  <si>
    <t>διδυμος κε ουκ οιδαμεν</t>
  </si>
  <si>
    <t>διδυμος ουκ οιδαμεν</t>
  </si>
  <si>
    <t>Bezae corrects to εγνωκιτε</t>
  </si>
  <si>
    <t>πατερα μου γνωσεσθαι</t>
  </si>
  <si>
    <t>πατερα μου εγι[] γνωσεσθαι</t>
  </si>
  <si>
    <t xml:space="preserve">απ αρτι γεινωσκετε </t>
  </si>
  <si>
    <t xml:space="preserve">απ αρτι γειγεινωσκετε </t>
  </si>
  <si>
    <t xml:space="preserve">εωρακως εμε </t>
  </si>
  <si>
    <t xml:space="preserve">εωρακως με </t>
  </si>
  <si>
    <t>συ λεγεις δειξον</t>
  </si>
  <si>
    <t>συ λεις δειξον</t>
  </si>
  <si>
    <t>Bezae corrects λεγεις -&gt; λεγις</t>
  </si>
  <si>
    <t>μενων ποιει τα εργα</t>
  </si>
  <si>
    <t>μενων ποιε τα εργα</t>
  </si>
  <si>
    <t xml:space="preserve">εις εμε τα εργα </t>
  </si>
  <si>
    <t>εις τα εργα</t>
  </si>
  <si>
    <t>υμων (17) το πνευμα</t>
  </si>
  <si>
    <t>θεωρει ουδε</t>
  </si>
  <si>
    <t>θεωρει αυτον ουδε</t>
  </si>
  <si>
    <t>Bezae corrects αυτον -&gt; αυτο</t>
  </si>
  <si>
    <t>γεινωσκει αυτο υμεις</t>
  </si>
  <si>
    <t>γεινωσκει αυτον υμεις</t>
  </si>
  <si>
    <t>γινωσκετε αυτο οτι</t>
  </si>
  <si>
    <t>γεινωσκετε αυτον οτι</t>
  </si>
  <si>
    <t>υμειν εστιν (18) ουκ αφησω</t>
  </si>
  <si>
    <t>Bezae seems to correct εστιν -&gt; εστε or εστεν</t>
  </si>
  <si>
    <t>γνωσεσθαι υμεις</t>
  </si>
  <si>
    <t>γνωσεσθε υμεις</t>
  </si>
  <si>
    <t>Bezae corrects to ενφανισω</t>
  </si>
  <si>
    <t>οτι μελλεις ημειν ενφανιζειν</t>
  </si>
  <si>
    <t>οτι ημειν μελλεις ενφανιζειν</t>
  </si>
  <si>
    <t>με πατρος (25) ταυτα</t>
  </si>
  <si>
    <t>με παπατρος (25) ταυτα</t>
  </si>
  <si>
    <t>παρ υμειν μενων</t>
  </si>
  <si>
    <t>παρ υμεν μενων</t>
  </si>
  <si>
    <t xml:space="preserve">ειπω υμειν </t>
  </si>
  <si>
    <t xml:space="preserve">ειπον υμειν </t>
  </si>
  <si>
    <t>ει ηγαπατε με</t>
  </si>
  <si>
    <t>ει αγαπατε με</t>
  </si>
  <si>
    <t xml:space="preserve">ουδεν ευρειν (31)αλλ ινα </t>
  </si>
  <si>
    <t xml:space="preserve">ουδεν (31)αλλ ινα </t>
  </si>
  <si>
    <t xml:space="preserve">ουτως ποιω </t>
  </si>
  <si>
    <t xml:space="preserve">ουτω ποιω </t>
  </si>
  <si>
    <t>αγωμεν εντευθεν (15:1) εγω ειμι</t>
  </si>
  <si>
    <t>αγωμεν (15:1) εγω ειμι</t>
  </si>
  <si>
    <t>εγω ειμι</t>
  </si>
  <si>
    <t>εγω γαρ ειμι</t>
  </si>
  <si>
    <t>μενων εμοι</t>
  </si>
  <si>
    <t>μενων εν εμοι</t>
  </si>
  <si>
    <t>ποιειν ουδεν (6) εαν</t>
  </si>
  <si>
    <t>ποιειν (6) εαν</t>
  </si>
  <si>
    <t>εμοι εβληθη εξω</t>
  </si>
  <si>
    <t>εμοι επληθη εξω</t>
  </si>
  <si>
    <t>Bezae is said to correct επληθη -&gt; εληθη; the initial reading does not seem clear to me</t>
  </si>
  <si>
    <t>πυρ βαλλουσιν και καιετε</t>
  </si>
  <si>
    <t>πυρ βαλλουσι κ και καιετε</t>
  </si>
  <si>
    <t>Bezae corrects βαλλουσι κ -&gt; βαλλουσιν; the transcript reports that Bezae's correction inserts a duplicate και, but I don't see it</t>
  </si>
  <si>
    <t xml:space="preserve">εαν θελητε </t>
  </si>
  <si>
    <t xml:space="preserve">εαν θελετε </t>
  </si>
  <si>
    <t>γενησεται (8) εν τουτω</t>
  </si>
  <si>
    <t>γενησεται υμειν (8) εν τουτω</t>
  </si>
  <si>
    <t>Bezae inserts υμιν after γενησεται</t>
  </si>
  <si>
    <t>γενησθαι μου μαθηται</t>
  </si>
  <si>
    <t>Bezae corrects μου -&gt; εμοι, B.10.3 does not follow</t>
  </si>
  <si>
    <t>καγω υμας ηγαπησα μεινατε</t>
  </si>
  <si>
    <t>Bezae indicates that υμας and ηγαπησα should be transposed</t>
  </si>
  <si>
    <t>ταυτα δε λελαληκα</t>
  </si>
  <si>
    <t>ταυτα δε λελλελαληκα</t>
  </si>
  <si>
    <t>υμειν μεινη και</t>
  </si>
  <si>
    <t>υμειν η και</t>
  </si>
  <si>
    <t>ινα τις την ψυχην</t>
  </si>
  <si>
    <t>ινα την ψυχην</t>
  </si>
  <si>
    <t>υμεις γαρ φιλοι</t>
  </si>
  <si>
    <t>Bezae marks γαρ for deletion</t>
  </si>
  <si>
    <t>ποιησητε α εγω</t>
  </si>
  <si>
    <t>παντα οσα ηκουσα</t>
  </si>
  <si>
    <t>Through deletion marks, Bezae corrects to οσα -&gt; α</t>
  </si>
  <si>
    <t>κοσμου ουκ ητε αλλ εγω</t>
  </si>
  <si>
    <t>κοσμου ητε αλλ εγω</t>
  </si>
  <si>
    <t>Bezae corrects ητε -&gt; ουκ εστε</t>
  </si>
  <si>
    <t>εστιν μου δουλος</t>
  </si>
  <si>
    <t>Bezae marks μου for deletion</t>
  </si>
  <si>
    <t>ποιησουσιν εις υμας δια το</t>
  </si>
  <si>
    <t>Bezae corrects εις υμας -&gt; υμιν</t>
  </si>
  <si>
    <t>Bezae corrects to ειχον</t>
  </si>
  <si>
    <t>εωρακασιν και μεμεισηκασιν</t>
  </si>
  <si>
    <t>Bezae corrects μεμεισηκασιν -&gt; εμε(ι)μεισηκασιν</t>
  </si>
  <si>
    <t>ο λογος ο εν τω νομω αυτων γεγραμμενος οτι</t>
  </si>
  <si>
    <t>ο λογος ο γεγραμμενος εν τω νομω αυτων οτι</t>
  </si>
  <si>
    <t>παρα του πατρος μου</t>
  </si>
  <si>
    <t>παρα του πρα μου</t>
  </si>
  <si>
    <t>εκπορευετε εκεινος</t>
  </si>
  <si>
    <t>εκπορευεται εκεινος</t>
  </si>
  <si>
    <t>εμε (4) αλλα ταυτα</t>
  </si>
  <si>
    <t>εμε (4) ταυτα</t>
  </si>
  <si>
    <t>μνημονευτε οτι</t>
  </si>
  <si>
    <t>μνημονευσητε οτι</t>
  </si>
  <si>
    <t>πατερα μου υπαγω</t>
  </si>
  <si>
    <t>πατερα υπαγω</t>
  </si>
  <si>
    <t>αλλα οσα ακουσει</t>
  </si>
  <si>
    <r>
      <rPr>
        <b/>
        <sz val="11"/>
        <color theme="1"/>
        <rFont val="Calibri"/>
        <family val="2"/>
        <scheme val="minor"/>
      </rPr>
      <t>αλλα</t>
    </r>
    <r>
      <rPr>
        <sz val="11"/>
        <color theme="1"/>
        <rFont val="Calibri"/>
        <family val="2"/>
        <scheme val="minor"/>
      </rPr>
      <t xml:space="preserve"> οσα ακουσει</t>
    </r>
  </si>
  <si>
    <r>
      <rPr>
        <b/>
        <sz val="11"/>
        <color theme="1"/>
        <rFont val="Calibri"/>
        <family val="2"/>
        <scheme val="minor"/>
      </rPr>
      <t>αλλ</t>
    </r>
    <r>
      <rPr>
        <sz val="11"/>
        <color theme="1"/>
        <rFont val="Calibri"/>
        <family val="2"/>
        <scheme val="minor"/>
      </rPr>
      <t xml:space="preserve"> οσα αν ακουσει</t>
    </r>
  </si>
  <si>
    <r>
      <t xml:space="preserve">αλλ οσα </t>
    </r>
    <r>
      <rPr>
        <b/>
        <sz val="11"/>
        <color theme="1"/>
        <rFont val="Calibri"/>
        <family val="2"/>
        <scheme val="minor"/>
      </rPr>
      <t>αν</t>
    </r>
    <r>
      <rPr>
        <sz val="11"/>
        <color theme="1"/>
        <rFont val="Calibri"/>
        <family val="2"/>
        <scheme val="minor"/>
      </rPr>
      <t xml:space="preserve"> ακουσει</t>
    </r>
  </si>
  <si>
    <t>τουτο λεγει</t>
  </si>
  <si>
    <t>τουτο ο λεγει</t>
  </si>
  <si>
    <t xml:space="preserve">και ουκετι οψεσθε </t>
  </si>
  <si>
    <t xml:space="preserve">και ουκ οψεσθε </t>
  </si>
  <si>
    <t>(17) πατερα (18) τι εστιν τουτο το μεικρον</t>
  </si>
  <si>
    <t>εγνω ουν ο ιησους οτι ηθελον</t>
  </si>
  <si>
    <t>εγνω ο ιης οτι οτι ηθελον</t>
  </si>
  <si>
    <r>
      <t xml:space="preserve">εγνω </t>
    </r>
    <r>
      <rPr>
        <b/>
        <sz val="11"/>
        <color theme="1"/>
        <rFont val="Calibri"/>
        <family val="2"/>
        <scheme val="minor"/>
      </rPr>
      <t>ουν</t>
    </r>
    <r>
      <rPr>
        <sz val="11"/>
        <color theme="1"/>
        <rFont val="Calibri"/>
        <family val="2"/>
        <scheme val="minor"/>
      </rPr>
      <t xml:space="preserve"> ο ιησους οτι ηθελον</t>
    </r>
  </si>
  <si>
    <t>ο δε κοσμος χαρησεται</t>
  </si>
  <si>
    <t>ο δε κοσμος κοσμος χαρησεται</t>
  </si>
  <si>
    <t xml:space="preserve">αλλα η λυπη </t>
  </si>
  <si>
    <t xml:space="preserve">αλλ η λυπη </t>
  </si>
  <si>
    <t>αιρει</t>
  </si>
  <si>
    <t>υμειν οτι εαν</t>
  </si>
  <si>
    <t>υμειν εαν</t>
  </si>
  <si>
    <t>υμειν αλλ ερχεται</t>
  </si>
  <si>
    <t>υμειν ερχεται</t>
  </si>
  <si>
    <t>παρα του θεου εξηλθον</t>
  </si>
  <si>
    <t>παρα του πατρος εξηλθον</t>
  </si>
  <si>
    <t>και νυν εληλυθεν</t>
  </si>
  <si>
    <t>και εληλυθεν</t>
  </si>
  <si>
    <t>εκαστος εις τα</t>
  </si>
  <si>
    <t>εκαστος ις τα</t>
  </si>
  <si>
    <t>η αιωνιος ινα γεινωγεινωσκουσιν</t>
  </si>
  <si>
    <r>
      <t xml:space="preserve">η αιωνιος </t>
    </r>
    <r>
      <rPr>
        <b/>
        <sz val="11"/>
        <color theme="1"/>
        <rFont val="Calibri"/>
        <family val="2"/>
        <scheme val="minor"/>
      </rPr>
      <t>ζωη</t>
    </r>
    <r>
      <rPr>
        <sz val="11"/>
        <color theme="1"/>
        <rFont val="Calibri"/>
        <family val="2"/>
        <scheme val="minor"/>
      </rPr>
      <t xml:space="preserve"> ινα γεινωσκουσιν</t>
    </r>
  </si>
  <si>
    <r>
      <t xml:space="preserve">η αιωνιος ινα </t>
    </r>
    <r>
      <rPr>
        <b/>
        <sz val="11"/>
        <color theme="1"/>
        <rFont val="Calibri"/>
        <family val="2"/>
        <scheme val="minor"/>
      </rPr>
      <t>γεινωγεινωσκουσιν</t>
    </r>
  </si>
  <si>
    <r>
      <t xml:space="preserve">η αιωνιος ζωη ινα </t>
    </r>
    <r>
      <rPr>
        <b/>
        <sz val="11"/>
        <color theme="1"/>
        <rFont val="Calibri"/>
        <family val="2"/>
        <scheme val="minor"/>
      </rPr>
      <t>γεινωσκουσιν</t>
    </r>
  </si>
  <si>
    <t xml:space="preserve">ιησουν χριστον εις τουτον </t>
  </si>
  <si>
    <t>εγω εδοξασα σε επι</t>
  </si>
  <si>
    <t>εγω σε εδοξασα επι</t>
  </si>
  <si>
    <t>της γης το εργον</t>
  </si>
  <si>
    <t>της γης και το εργον</t>
  </si>
  <si>
    <t>ο εδωκας</t>
  </si>
  <si>
    <t>ο δεδωκας</t>
  </si>
  <si>
    <t>συ πατερ παρα</t>
  </si>
  <si>
    <t>συ πατηρ παρα</t>
  </si>
  <si>
    <r>
      <t xml:space="preserve">η ειχον </t>
    </r>
    <r>
      <rPr>
        <b/>
        <sz val="11"/>
        <color theme="1"/>
        <rFont val="Calibri"/>
        <family val="2"/>
        <scheme val="minor"/>
      </rPr>
      <t>παρα σοι</t>
    </r>
    <r>
      <rPr>
        <sz val="11"/>
        <color theme="1"/>
        <rFont val="Calibri"/>
        <family val="2"/>
        <scheme val="minor"/>
      </rPr>
      <t xml:space="preserve"> προ του γενεσθαι τον κοσμον (6) εφανερωσα</t>
    </r>
  </si>
  <si>
    <r>
      <t xml:space="preserve">η ειχον προ του γενεσθαι τον κοσμον </t>
    </r>
    <r>
      <rPr>
        <b/>
        <sz val="11"/>
        <color theme="1"/>
        <rFont val="Calibri"/>
        <family val="2"/>
        <scheme val="minor"/>
      </rPr>
      <t>παρα σοι</t>
    </r>
    <r>
      <rPr>
        <sz val="11"/>
        <color theme="1"/>
        <rFont val="Calibri"/>
        <family val="2"/>
        <scheme val="minor"/>
      </rPr>
      <t xml:space="preserve"> (6) εφανερωσα</t>
    </r>
  </si>
  <si>
    <r>
      <t>η ειχον παρα σοι προ του</t>
    </r>
    <r>
      <rPr>
        <b/>
        <sz val="11"/>
        <color theme="1"/>
        <rFont val="Calibri"/>
        <family val="2"/>
        <scheme val="minor"/>
      </rPr>
      <t xml:space="preserve"> γενεσθαι τον κοσμον</t>
    </r>
    <r>
      <rPr>
        <sz val="11"/>
        <color theme="1"/>
        <rFont val="Calibri"/>
        <family val="2"/>
        <scheme val="minor"/>
      </rPr>
      <t xml:space="preserve"> (6) εφανερωσα</t>
    </r>
  </si>
  <si>
    <r>
      <t>η ειχον προ του</t>
    </r>
    <r>
      <rPr>
        <b/>
        <sz val="11"/>
        <color theme="1"/>
        <rFont val="Calibri"/>
        <family val="2"/>
        <scheme val="minor"/>
      </rPr>
      <t xml:space="preserve"> γενεσθαι τον κοσμον</t>
    </r>
    <r>
      <rPr>
        <sz val="11"/>
        <color theme="1"/>
        <rFont val="Calibri"/>
        <family val="2"/>
        <scheme val="minor"/>
      </rPr>
      <t xml:space="preserve"> παρα σοι (6) εφανερωσα</t>
    </r>
  </si>
  <si>
    <t>Bezae marks a needed transposition -&gt; τον κοσμον γενεσθαι, B.10.3 does not follow</t>
  </si>
  <si>
    <t>ρηματα σου α εδωκας</t>
  </si>
  <si>
    <t>ρηματα α εδωκας</t>
  </si>
  <si>
    <t xml:space="preserve">ων εδωκας </t>
  </si>
  <si>
    <t xml:space="preserve">ων δεδωκας </t>
  </si>
  <si>
    <t>εδοξασας με</t>
  </si>
  <si>
    <r>
      <t xml:space="preserve">εν </t>
    </r>
    <r>
      <rPr>
        <b/>
        <sz val="11"/>
        <color theme="1"/>
        <rFont val="Calibri"/>
        <family val="2"/>
        <scheme val="minor"/>
      </rPr>
      <t>τουτω</t>
    </r>
    <r>
      <rPr>
        <sz val="11"/>
        <color theme="1"/>
        <rFont val="Calibri"/>
        <family val="2"/>
        <scheme val="minor"/>
      </rPr>
      <t xml:space="preserve"> τω κοσμω και</t>
    </r>
  </si>
  <si>
    <r>
      <t xml:space="preserve">εν ω κοσμω </t>
    </r>
    <r>
      <rPr>
        <b/>
        <sz val="11"/>
        <color theme="1"/>
        <rFont val="Calibri"/>
        <family val="2"/>
        <scheme val="minor"/>
      </rPr>
      <t>τουτω</t>
    </r>
    <r>
      <rPr>
        <sz val="11"/>
        <color theme="1"/>
        <rFont val="Calibri"/>
        <family val="2"/>
        <scheme val="minor"/>
      </rPr>
      <t xml:space="preserve"> και</t>
    </r>
  </si>
  <si>
    <r>
      <t xml:space="preserve">εν τουτω </t>
    </r>
    <r>
      <rPr>
        <b/>
        <sz val="11"/>
        <color theme="1"/>
        <rFont val="Calibri"/>
        <family val="2"/>
        <scheme val="minor"/>
      </rPr>
      <t>τω</t>
    </r>
    <r>
      <rPr>
        <sz val="11"/>
        <color theme="1"/>
        <rFont val="Calibri"/>
        <family val="2"/>
        <scheme val="minor"/>
      </rPr>
      <t xml:space="preserve"> κοσμω και</t>
    </r>
  </si>
  <si>
    <r>
      <t xml:space="preserve">εν </t>
    </r>
    <r>
      <rPr>
        <b/>
        <sz val="11"/>
        <color theme="1"/>
        <rFont val="Calibri"/>
        <family val="2"/>
        <scheme val="minor"/>
      </rPr>
      <t>ω</t>
    </r>
    <r>
      <rPr>
        <sz val="11"/>
        <color theme="1"/>
        <rFont val="Calibri"/>
        <family val="2"/>
        <scheme val="minor"/>
      </rPr>
      <t xml:space="preserve"> κοσμω τουτω και</t>
    </r>
  </si>
  <si>
    <r>
      <t xml:space="preserve">τηρησον αυτους εν τω ονοματι σου και οτε ημην μετ αυτων εγω ετηρουν αυτους εν τω ονοματι σου </t>
    </r>
    <r>
      <rPr>
        <b/>
        <sz val="11"/>
        <color theme="1"/>
        <rFont val="Calibri"/>
        <family val="2"/>
        <scheme val="minor"/>
      </rPr>
      <t>ο</t>
    </r>
    <r>
      <rPr>
        <sz val="11"/>
        <color theme="1"/>
        <rFont val="Calibri"/>
        <family val="2"/>
        <scheme val="minor"/>
      </rPr>
      <t xml:space="preserve"> δεδωκας μοι</t>
    </r>
  </si>
  <si>
    <r>
      <t xml:space="preserve">τηρησον αυτους εν τω ονοματι σου </t>
    </r>
    <r>
      <rPr>
        <b/>
        <sz val="11"/>
        <color theme="1"/>
        <rFont val="Calibri"/>
        <family val="2"/>
        <scheme val="minor"/>
      </rPr>
      <t>ους</t>
    </r>
    <r>
      <rPr>
        <sz val="11"/>
        <color theme="1"/>
        <rFont val="Calibri"/>
        <family val="2"/>
        <scheme val="minor"/>
      </rPr>
      <t xml:space="preserve"> δεδωκας μοι</t>
    </r>
  </si>
  <si>
    <t>ινα και ωσιν αυτοι</t>
  </si>
  <si>
    <t>ινα ωσιν και αυτοι</t>
  </si>
  <si>
    <t>πιστευσοντων</t>
  </si>
  <si>
    <t>δοξαν ην εδωκας</t>
  </si>
  <si>
    <t>δοξαν ην δε ην εδωκας</t>
  </si>
  <si>
    <t>ηγαπησα αυτους</t>
  </si>
  <si>
    <t>ηγαπησας αυτους</t>
  </si>
  <si>
    <t>πατερ ους δεδωκας</t>
  </si>
  <si>
    <t>πατερ ο δεδωκας</t>
  </si>
  <si>
    <t>θεωρωσιν την δοξαν</t>
  </si>
  <si>
    <t>θεωρωσι την δοξαν</t>
  </si>
  <si>
    <t xml:space="preserve">κοσμος τουτος </t>
  </si>
  <si>
    <t xml:space="preserve">κοσμος ουτος </t>
  </si>
  <si>
    <t>εγω δε εγνωκα</t>
  </si>
  <si>
    <t>εγω δε σε εγνωκα</t>
  </si>
  <si>
    <t>εν αυτοις η καγω εν αυτοις (18:1) ταυτα</t>
  </si>
  <si>
    <t>εν αυτοις η (18:1) ταυτα</t>
  </si>
  <si>
    <t>εξηλθεν και λεγει</t>
  </si>
  <si>
    <t>ναζαρηνον</t>
  </si>
  <si>
    <t>εξηλθεν λεγει</t>
  </si>
  <si>
    <t>ειμι ιστηκει</t>
  </si>
  <si>
    <t>ειμι ειστηκει</t>
  </si>
  <si>
    <t>επηρωτησεν λεγων τινα</t>
  </si>
  <si>
    <t>επηρωτησεν τινα</t>
  </si>
  <si>
    <t>εδωκας μοι εξ αυτων ουδενα απωλεσα (10) τοτε σιμων</t>
  </si>
  <si>
    <t>εδωκας μοι ουδενα απωλεσα εξ αυτων (10) τοτε σιμων</t>
  </si>
  <si>
    <t>ην δε ονομα</t>
  </si>
  <si>
    <t>ην δε το νομα</t>
  </si>
  <si>
    <t>Bezae corrects το νομα -&gt; το ονομα</t>
  </si>
  <si>
    <t>ηγαγον προς ανναν</t>
  </si>
  <si>
    <r>
      <t xml:space="preserve">ηγαγον </t>
    </r>
    <r>
      <rPr>
        <b/>
        <sz val="11"/>
        <color theme="1"/>
        <rFont val="Calibri"/>
        <family val="2"/>
        <scheme val="minor"/>
      </rPr>
      <t>αυτον</t>
    </r>
    <r>
      <rPr>
        <sz val="11"/>
        <color theme="1"/>
        <rFont val="Calibri"/>
        <family val="2"/>
        <scheme val="minor"/>
      </rPr>
      <t xml:space="preserve"> προς αναν</t>
    </r>
  </si>
  <si>
    <r>
      <t xml:space="preserve">ηγαγον αυτον προς </t>
    </r>
    <r>
      <rPr>
        <b/>
        <sz val="11"/>
        <color theme="1"/>
        <rFont val="Calibri"/>
        <family val="2"/>
        <scheme val="minor"/>
      </rPr>
      <t>αναν</t>
    </r>
  </si>
  <si>
    <r>
      <t xml:space="preserve">ηγαγον προς </t>
    </r>
    <r>
      <rPr>
        <b/>
        <sz val="11"/>
        <color theme="1"/>
        <rFont val="Calibri"/>
        <family val="2"/>
        <scheme val="minor"/>
      </rPr>
      <t>ανναν</t>
    </r>
  </si>
  <si>
    <t>εκεινου (14) ην δε</t>
  </si>
  <si>
    <t>εκεινου (14) εν δε</t>
  </si>
  <si>
    <t xml:space="preserve">συμφερει εν ανθρωπον </t>
  </si>
  <si>
    <t xml:space="preserve">συμφερει ενα ανθρωπον </t>
  </si>
  <si>
    <t>εκεινος ην γνωστος</t>
  </si>
  <si>
    <t>εκεινος εν γνωστος</t>
  </si>
  <si>
    <t>αυτω ις εγω ραρρησια ελαλησα</t>
  </si>
  <si>
    <r>
      <t xml:space="preserve">αυτω </t>
    </r>
    <r>
      <rPr>
        <b/>
        <sz val="11"/>
        <color theme="1"/>
        <rFont val="Calibri"/>
        <family val="2"/>
        <scheme val="minor"/>
      </rPr>
      <t>ο</t>
    </r>
    <r>
      <rPr>
        <sz val="11"/>
        <color theme="1"/>
        <rFont val="Calibri"/>
        <family val="2"/>
        <scheme val="minor"/>
      </rPr>
      <t xml:space="preserve"> ιησους εγω παρρησια ελαλησα</t>
    </r>
  </si>
  <si>
    <r>
      <t xml:space="preserve">αυτω ις εγω </t>
    </r>
    <r>
      <rPr>
        <b/>
        <sz val="11"/>
        <color theme="1"/>
        <rFont val="Calibri"/>
        <family val="2"/>
        <scheme val="minor"/>
      </rPr>
      <t>ραρρησια</t>
    </r>
    <r>
      <rPr>
        <sz val="11"/>
        <color theme="1"/>
        <rFont val="Calibri"/>
        <family val="2"/>
        <scheme val="minor"/>
      </rPr>
      <t xml:space="preserve"> ελαλησα</t>
    </r>
  </si>
  <si>
    <r>
      <t xml:space="preserve">αυτω ο ιησους εγω </t>
    </r>
    <r>
      <rPr>
        <b/>
        <sz val="11"/>
        <color theme="1"/>
        <rFont val="Calibri"/>
        <family val="2"/>
        <scheme val="minor"/>
      </rPr>
      <t>παρρησια</t>
    </r>
    <r>
      <rPr>
        <sz val="11"/>
        <color theme="1"/>
        <rFont val="Calibri"/>
        <family val="2"/>
        <scheme val="minor"/>
      </rPr>
      <t xml:space="preserve"> ελαλησα</t>
    </r>
  </si>
  <si>
    <t xml:space="preserve">και ε κρυπτω </t>
  </si>
  <si>
    <t xml:space="preserve">και εν κρυπτω </t>
  </si>
  <si>
    <t>αυτοις ιδε</t>
  </si>
  <si>
    <t>αυτοις ειδε</t>
  </si>
  <si>
    <t xml:space="preserve">εδωκεν ραπισμα </t>
  </si>
  <si>
    <t xml:space="preserve">εδωκε ραπισμα </t>
  </si>
  <si>
    <t xml:space="preserve">σε ιδον εν τω </t>
  </si>
  <si>
    <t xml:space="preserve">σε ειπον εν τω </t>
  </si>
  <si>
    <t>αλλα φαγωσιν</t>
  </si>
  <si>
    <r>
      <t xml:space="preserve">αλλ </t>
    </r>
    <r>
      <rPr>
        <b/>
        <sz val="11"/>
        <color theme="1"/>
        <rFont val="Calibri"/>
        <family val="2"/>
        <scheme val="minor"/>
      </rPr>
      <t>ινα</t>
    </r>
    <r>
      <rPr>
        <sz val="11"/>
        <color theme="1"/>
        <rFont val="Calibri"/>
        <family val="2"/>
        <scheme val="minor"/>
      </rPr>
      <t xml:space="preserve"> φαγωσιν</t>
    </r>
  </si>
  <si>
    <t>και οι αρχιερεις</t>
  </si>
  <si>
    <t>και αρχιερεις</t>
  </si>
  <si>
    <t>εμη η βασιλεια</t>
  </si>
  <si>
    <t>εμη βασιλεια</t>
  </si>
  <si>
    <t xml:space="preserve">εμι ουκ εστιν </t>
  </si>
  <si>
    <t xml:space="preserve">εμη ουκ εστιν </t>
  </si>
  <si>
    <t>ουδεμιαν εν αυτω αιτιαν ευρισκω</t>
  </si>
  <si>
    <t>ουδεμιαν αιτιαν εν αυτω ευρισκω</t>
  </si>
  <si>
    <t xml:space="preserve">γνωτε ωτι εν </t>
  </si>
  <si>
    <t xml:space="preserve">γνωτε οτι εν </t>
  </si>
  <si>
    <t xml:space="preserve">αυτω ουδεμιαν </t>
  </si>
  <si>
    <t xml:space="preserve">αυτω ουδουδεμιαν </t>
  </si>
  <si>
    <t>σταυρωσαται εγω</t>
  </si>
  <si>
    <t>σταυρωσατε εγω</t>
  </si>
  <si>
    <t xml:space="preserve">ουν εκουσεν </t>
  </si>
  <si>
    <t xml:space="preserve">ουν ηκουσεν </t>
  </si>
  <si>
    <t>εις το πραιτωριον</t>
  </si>
  <si>
    <t>εις τω πραιτωριον</t>
  </si>
  <si>
    <t>λεγει ιησου</t>
  </si>
  <si>
    <t>λεγει τω ιυ</t>
  </si>
  <si>
    <t xml:space="preserve">ουκ εχεις εξουσιαν </t>
  </si>
  <si>
    <t xml:space="preserve">ουκ ειχες εξουσιαν </t>
  </si>
  <si>
    <t>αμαρτιαν εχει (12) οι δε ιουδαιοι</t>
  </si>
  <si>
    <t>αμαρτιαν εχει (12) εκ τουτου εξηται ο πειλατος απολυσαι αυτον οι δε ιουδαιοι</t>
  </si>
  <si>
    <t xml:space="preserve">ωρα ην οσει </t>
  </si>
  <si>
    <t xml:space="preserve">ωρα ην ωσει </t>
  </si>
  <si>
    <t>εκραυγαζον</t>
  </si>
  <si>
    <t xml:space="preserve">αλλους τευθεν </t>
  </si>
  <si>
    <t xml:space="preserve">αλλους εντευθεν </t>
  </si>
  <si>
    <t>εγγυς ειν ο τοπος</t>
  </si>
  <si>
    <t>εγγυς ην ο τοπος</t>
  </si>
  <si>
    <t>ην γεγραμμενον εβραισται</t>
  </si>
  <si>
    <t>ην γεγραμμενον γεγραμμενον εβραισται</t>
  </si>
  <si>
    <t>ελεγον ου τω πειλατω</t>
  </si>
  <si>
    <t>ελεγον ουν τω πειλατω</t>
  </si>
  <si>
    <t>ειπεν βασιλευς ειμι</t>
  </si>
  <si>
    <t>ειπεν βασιλευ ειμι</t>
  </si>
  <si>
    <t xml:space="preserve">χιτων αραφος </t>
  </si>
  <si>
    <t>χιτον αραφος</t>
  </si>
  <si>
    <t xml:space="preserve">ινα ε γραφη </t>
  </si>
  <si>
    <t xml:space="preserve">ινα η γραφη </t>
  </si>
  <si>
    <t xml:space="preserve">τα ιματια </t>
  </si>
  <si>
    <t xml:space="preserve">τα ειματια </t>
  </si>
  <si>
    <t>και η αδελφη</t>
  </si>
  <si>
    <t>και αδελφη</t>
  </si>
  <si>
    <t>ουν ιδων</t>
  </si>
  <si>
    <t>ουν ειδων</t>
  </si>
  <si>
    <t xml:space="preserve">ηδην παντα </t>
  </si>
  <si>
    <t xml:space="preserve">ηδη παντα </t>
  </si>
  <si>
    <t xml:space="preserve">μινητ επι </t>
  </si>
  <si>
    <t xml:space="preserve">μινη επι </t>
  </si>
  <si>
    <t xml:space="preserve">παρασκευι ην γαρ </t>
  </si>
  <si>
    <t xml:space="preserve">παρασκευη ην γαρ </t>
  </si>
  <si>
    <t>αρτωσιν</t>
  </si>
  <si>
    <t xml:space="preserve">ως ιδον </t>
  </si>
  <si>
    <t xml:space="preserve">ως ειδον </t>
  </si>
  <si>
    <t>αλλα εις των</t>
  </si>
  <si>
    <t>αλλ εις των</t>
  </si>
  <si>
    <t>και εωρακως</t>
  </si>
  <si>
    <r>
      <t xml:space="preserve">και </t>
    </r>
    <r>
      <rPr>
        <b/>
        <sz val="11"/>
        <color theme="1"/>
        <rFont val="Calibri"/>
        <family val="2"/>
        <scheme val="minor"/>
      </rPr>
      <t>ο</t>
    </r>
    <r>
      <rPr>
        <sz val="11"/>
        <color theme="1"/>
        <rFont val="Calibri"/>
        <family val="2"/>
        <scheme val="minor"/>
      </rPr>
      <t xml:space="preserve"> εορακως</t>
    </r>
  </si>
  <si>
    <r>
      <t xml:space="preserve">και </t>
    </r>
    <r>
      <rPr>
        <b/>
        <sz val="11"/>
        <color theme="1"/>
        <rFont val="Calibri"/>
        <family val="2"/>
        <scheme val="minor"/>
      </rPr>
      <t>εωρακως</t>
    </r>
  </si>
  <si>
    <r>
      <t xml:space="preserve">και ο </t>
    </r>
    <r>
      <rPr>
        <b/>
        <sz val="11"/>
        <color theme="1"/>
        <rFont val="Calibri"/>
        <family val="2"/>
        <scheme val="minor"/>
      </rPr>
      <t>εορακως</t>
    </r>
  </si>
  <si>
    <t xml:space="preserve">λεγει οψονται εις </t>
  </si>
  <si>
    <t xml:space="preserve">λεγει οψονται οψονται εις </t>
  </si>
  <si>
    <t>ηρωτησεν τον πιλατον</t>
  </si>
  <si>
    <t>ηρωτησε τον πιλατον</t>
  </si>
  <si>
    <t>ιωσηφ ο απο</t>
  </si>
  <si>
    <t>ιωσηφ απο</t>
  </si>
  <si>
    <t xml:space="preserve">μιγμα ζμυρνης </t>
  </si>
  <si>
    <t xml:space="preserve">μιγμα σμυρνης </t>
  </si>
  <si>
    <t xml:space="preserve">ως λιτρας </t>
  </si>
  <si>
    <t xml:space="preserve">ωσει λιτρας </t>
  </si>
  <si>
    <t>εν τω τοπω</t>
  </si>
  <si>
    <t>εν τοπω</t>
  </si>
  <si>
    <t>εσταυρωθη κηκηπος</t>
  </si>
  <si>
    <t>εσταυρωθη κηπος</t>
  </si>
  <si>
    <t xml:space="preserve">και ερχοντο </t>
  </si>
  <si>
    <t xml:space="preserve">και ηρχοντο </t>
  </si>
  <si>
    <t>πρωτος το μνημιον</t>
  </si>
  <si>
    <t>Bezae corrects -&gt; πρωτος εις το μνημιον, B.10.3 follows correction</t>
  </si>
  <si>
    <t xml:space="preserve">και ιδεν </t>
  </si>
  <si>
    <t xml:space="preserve">και ειδεν </t>
  </si>
  <si>
    <t xml:space="preserve">γραφην ωτι </t>
  </si>
  <si>
    <t xml:space="preserve">γραφην οτι </t>
  </si>
  <si>
    <t xml:space="preserve">προς το μνημιω κλαιουσα </t>
  </si>
  <si>
    <t xml:space="preserve">προς το μνημιον κλαιουσα </t>
  </si>
  <si>
    <t>ποδιν</t>
  </si>
  <si>
    <t>λελεγει</t>
  </si>
  <si>
    <t xml:space="preserve">ηρες αυτον </t>
  </si>
  <si>
    <t xml:space="preserve">ηρας αυτον </t>
  </si>
  <si>
    <t>αυτη ο ιησους</t>
  </si>
  <si>
    <t>μαθηται συνηγμενοι δια τον</t>
  </si>
  <si>
    <t>μαθηται δια τον</t>
  </si>
  <si>
    <t>καγω αποστελλω υμας</t>
  </si>
  <si>
    <t>Bezae marks for correction αποστελλω -&gt; πεμπω</t>
  </si>
  <si>
    <t>αγιον (23) αν τινων</t>
  </si>
  <si>
    <t>αγιον (23) εαν τινων</t>
  </si>
  <si>
    <t>τινων κρατητε κεκρατηντε</t>
  </si>
  <si>
    <t>τινων κρατησετε κεκρατηντε</t>
  </si>
  <si>
    <t>Bezae corrects κρατησετε -&gt; κρατησητε</t>
  </si>
  <si>
    <t>των ηλων (26) και μεθ</t>
  </si>
  <si>
    <t>των ηλων ου μη πιστευσω (26) και μεθ</t>
  </si>
  <si>
    <t>και θωμας</t>
  </si>
  <si>
    <t>και ο θωμας</t>
  </si>
  <si>
    <t>κς μου και θεος μου</t>
  </si>
  <si>
    <t>κς και ο θς μου</t>
  </si>
  <si>
    <r>
      <t xml:space="preserve">κς </t>
    </r>
    <r>
      <rPr>
        <b/>
        <sz val="11"/>
        <color theme="1"/>
        <rFont val="Calibri"/>
        <family val="2"/>
        <scheme val="minor"/>
      </rPr>
      <t>μου</t>
    </r>
    <r>
      <rPr>
        <sz val="11"/>
        <color theme="1"/>
        <rFont val="Calibri"/>
        <family val="2"/>
        <scheme val="minor"/>
      </rPr>
      <t xml:space="preserve"> και θεος μου</t>
    </r>
  </si>
  <si>
    <r>
      <t xml:space="preserve">κς και </t>
    </r>
    <r>
      <rPr>
        <b/>
        <sz val="11"/>
        <color theme="1"/>
        <rFont val="Calibri"/>
        <family val="2"/>
        <scheme val="minor"/>
      </rPr>
      <t>ο</t>
    </r>
    <r>
      <rPr>
        <sz val="11"/>
        <color theme="1"/>
        <rFont val="Calibri"/>
        <family val="2"/>
        <scheme val="minor"/>
      </rPr>
      <t xml:space="preserve"> θς μου</t>
    </r>
  </si>
  <si>
    <t>ταυτα δε γεγραπται</t>
  </si>
  <si>
    <r>
      <t xml:space="preserve">ταυτα δε </t>
    </r>
    <r>
      <rPr>
        <b/>
        <sz val="11"/>
        <color theme="1"/>
        <rFont val="Calibri"/>
        <family val="2"/>
        <scheme val="minor"/>
      </rPr>
      <t>δε</t>
    </r>
    <r>
      <rPr>
        <sz val="11"/>
        <color theme="1"/>
        <rFont val="Calibri"/>
        <family val="2"/>
        <scheme val="minor"/>
      </rPr>
      <t xml:space="preserve"> γεγραπτι</t>
    </r>
  </si>
  <si>
    <r>
      <t xml:space="preserve">ταυτα δε δε </t>
    </r>
    <r>
      <rPr>
        <b/>
        <sz val="11"/>
        <color theme="1"/>
        <rFont val="Calibri"/>
        <family val="2"/>
        <scheme val="minor"/>
      </rPr>
      <t>γεγραπτι</t>
    </r>
  </si>
  <si>
    <r>
      <t xml:space="preserve">ταυτα δε </t>
    </r>
    <r>
      <rPr>
        <b/>
        <sz val="11"/>
        <color theme="1"/>
        <rFont val="Calibri"/>
        <family val="2"/>
        <scheme val="minor"/>
      </rPr>
      <t>γεγραπται</t>
    </r>
  </si>
  <si>
    <t>οτι ο ιησους</t>
  </si>
  <si>
    <t>οτι ιης</t>
  </si>
  <si>
    <t>μαθητων αυτου δυο</t>
  </si>
  <si>
    <t>μαθητων αυτουτου δυο</t>
  </si>
  <si>
    <t>εστη ο ιησους</t>
  </si>
  <si>
    <t>εστη ιης</t>
  </si>
  <si>
    <t>ηδεισαν οι μαθηται</t>
  </si>
  <si>
    <t>ηδεισαν μαθηται</t>
  </si>
  <si>
    <t>λεγει ουν αυτοις</t>
  </si>
  <si>
    <t>λεγει ου αυτοις</t>
  </si>
  <si>
    <t>και ηλλατο εις</t>
  </si>
  <si>
    <t>και ηλατο εις</t>
  </si>
  <si>
    <r>
      <t xml:space="preserve">μεστον </t>
    </r>
    <r>
      <rPr>
        <b/>
        <sz val="11"/>
        <color theme="1"/>
        <rFont val="Calibri"/>
        <family val="2"/>
        <scheme val="minor"/>
      </rPr>
      <t>επι την γην μεγων ιχθυων ρνγ</t>
    </r>
    <r>
      <rPr>
        <sz val="11"/>
        <color theme="1"/>
        <rFont val="Calibri"/>
        <family val="2"/>
        <scheme val="minor"/>
      </rPr>
      <t xml:space="preserve"> και τοσουτων </t>
    </r>
  </si>
  <si>
    <r>
      <t xml:space="preserve">μεστον </t>
    </r>
    <r>
      <rPr>
        <b/>
        <sz val="11"/>
        <color theme="1"/>
        <rFont val="Calibri"/>
        <family val="2"/>
        <scheme val="minor"/>
      </rPr>
      <t>μεγαλων ιχθυων ρνγ επι την γην</t>
    </r>
    <r>
      <rPr>
        <sz val="11"/>
        <color theme="1"/>
        <rFont val="Calibri"/>
        <family val="2"/>
        <scheme val="minor"/>
      </rPr>
      <t xml:space="preserve"> και τοσουτων </t>
    </r>
  </si>
  <si>
    <t>3.0.3 transposition</t>
  </si>
  <si>
    <r>
      <t xml:space="preserve">μεστον επι την γην </t>
    </r>
    <r>
      <rPr>
        <b/>
        <sz val="11"/>
        <color theme="1"/>
        <rFont val="Calibri"/>
        <family val="2"/>
        <scheme val="minor"/>
      </rPr>
      <t>μεγων</t>
    </r>
    <r>
      <rPr>
        <sz val="11"/>
        <color theme="1"/>
        <rFont val="Calibri"/>
        <family val="2"/>
        <scheme val="minor"/>
      </rPr>
      <t xml:space="preserve"> ιχθυων ρνγ και τοσουτων </t>
    </r>
  </si>
  <si>
    <r>
      <t xml:space="preserve">μεστον </t>
    </r>
    <r>
      <rPr>
        <b/>
        <sz val="11"/>
        <color theme="1"/>
        <rFont val="Calibri"/>
        <family val="2"/>
        <scheme val="minor"/>
      </rPr>
      <t>μεγαλων</t>
    </r>
    <r>
      <rPr>
        <sz val="11"/>
        <color theme="1"/>
        <rFont val="Calibri"/>
        <family val="2"/>
        <scheme val="minor"/>
      </rPr>
      <t xml:space="preserve"> ιχθυων ρνγ επι την γην και τοσουτων </t>
    </r>
  </si>
  <si>
    <t>αυτω ποιμενε μου τα προβατα</t>
  </si>
  <si>
    <t>αυτω μου ποιμενε μου τα προβατα</t>
  </si>
  <si>
    <t>αυτω το τριτον φιλεις</t>
  </si>
  <si>
    <t>αυτω φιλεις</t>
  </si>
  <si>
    <t>τας χειρας σου</t>
  </si>
  <si>
    <t>τας χιρας σου</t>
  </si>
  <si>
    <t>και απαγουσιν σε</t>
  </si>
  <si>
    <t>και επογουσιν σε</t>
  </si>
  <si>
    <t>συ ου θελεις</t>
  </si>
  <si>
    <t>συ θελεις</t>
  </si>
  <si>
    <t>τουτον ουν ειδων</t>
  </si>
  <si>
    <t>τουτο ουν ειδων</t>
  </si>
  <si>
    <t>λεγει αυτω ιηυ</t>
  </si>
  <si>
    <t>ειπεν αυτω ο ιησους</t>
  </si>
  <si>
    <t>ειπεν αυτο ο ιης</t>
  </si>
  <si>
    <r>
      <rPr>
        <b/>
        <sz val="11"/>
        <color theme="1"/>
        <rFont val="Calibri"/>
        <family val="2"/>
        <scheme val="minor"/>
      </rPr>
      <t>αποθνησκεις</t>
    </r>
    <r>
      <rPr>
        <sz val="11"/>
        <color theme="1"/>
        <rFont val="Calibri"/>
        <family val="2"/>
        <scheme val="minor"/>
      </rPr>
      <t xml:space="preserve"> αλλα εαν</t>
    </r>
  </si>
  <si>
    <r>
      <rPr>
        <b/>
        <sz val="11"/>
        <color theme="1"/>
        <rFont val="Calibri"/>
        <family val="2"/>
        <scheme val="minor"/>
      </rPr>
      <t>αποθνησκει</t>
    </r>
    <r>
      <rPr>
        <sz val="11"/>
        <color theme="1"/>
        <rFont val="Calibri"/>
        <family val="2"/>
        <scheme val="minor"/>
      </rPr>
      <t xml:space="preserve"> αλλ εαν</t>
    </r>
  </si>
  <si>
    <r>
      <t xml:space="preserve">αποθνησκει </t>
    </r>
    <r>
      <rPr>
        <b/>
        <sz val="11"/>
        <color theme="1"/>
        <rFont val="Calibri"/>
        <family val="2"/>
        <scheme val="minor"/>
      </rPr>
      <t>αλλ</t>
    </r>
    <r>
      <rPr>
        <sz val="11"/>
        <color theme="1"/>
        <rFont val="Calibri"/>
        <family val="2"/>
        <scheme val="minor"/>
      </rPr>
      <t xml:space="preserve"> εαν</t>
    </r>
  </si>
  <si>
    <r>
      <t xml:space="preserve">αποθνησκεις </t>
    </r>
    <r>
      <rPr>
        <b/>
        <sz val="11"/>
        <color theme="1"/>
        <rFont val="Calibri"/>
        <family val="2"/>
        <scheme val="minor"/>
      </rPr>
      <t>αλλα</t>
    </r>
    <r>
      <rPr>
        <sz val="11"/>
        <color theme="1"/>
        <rFont val="Calibri"/>
        <family val="2"/>
        <scheme val="minor"/>
      </rPr>
      <t xml:space="preserve"> εαν</t>
    </r>
  </si>
  <si>
    <t>ερχομαι τι προς σε</t>
  </si>
  <si>
    <t>ερχομαι προς σε</t>
  </si>
  <si>
    <t>ουτος εστιν</t>
  </si>
  <si>
    <t>οτος εστιν</t>
  </si>
  <si>
    <t>βιβλεια αμην [end]</t>
  </si>
  <si>
    <t>βιβλεια [end]</t>
  </si>
  <si>
    <t>τεκμηριοις τεσσερακοντα ημερων οπτανομενοις αυτοις και λεγων</t>
  </si>
  <si>
    <r>
      <t xml:space="preserve">τεκμηριοις </t>
    </r>
    <r>
      <rPr>
        <b/>
        <sz val="11"/>
        <color theme="1"/>
        <rFont val="Calibri"/>
        <family val="2"/>
        <scheme val="minor"/>
      </rPr>
      <t>δια</t>
    </r>
    <r>
      <rPr>
        <sz val="11"/>
        <color theme="1"/>
        <rFont val="Calibri"/>
        <family val="2"/>
        <scheme val="minor"/>
      </rPr>
      <t xml:space="preserve"> τεσσερακοντα ημερων οπτανομενος αυτοις και λεγων</t>
    </r>
  </si>
  <si>
    <r>
      <t xml:space="preserve">τεκμηριοις τεσσερακοντα ημερων </t>
    </r>
    <r>
      <rPr>
        <b/>
        <sz val="11"/>
        <color theme="1"/>
        <rFont val="Calibri"/>
        <family val="2"/>
        <scheme val="minor"/>
      </rPr>
      <t>οπτανομενοις</t>
    </r>
    <r>
      <rPr>
        <sz val="11"/>
        <color theme="1"/>
        <rFont val="Calibri"/>
        <family val="2"/>
        <scheme val="minor"/>
      </rPr>
      <t xml:space="preserve"> αυτοις και λεγων</t>
    </r>
  </si>
  <si>
    <r>
      <t xml:space="preserve">τεκμηριοις δια τεσσερακοντα ημερων </t>
    </r>
    <r>
      <rPr>
        <b/>
        <sz val="11"/>
        <color theme="1"/>
        <rFont val="Calibri"/>
        <family val="2"/>
        <scheme val="minor"/>
      </rPr>
      <t>οπτανομενος</t>
    </r>
    <r>
      <rPr>
        <sz val="11"/>
        <color theme="1"/>
        <rFont val="Calibri"/>
        <family val="2"/>
        <scheme val="minor"/>
      </rPr>
      <t xml:space="preserve"> αυτοις και λεγων</t>
    </r>
  </si>
  <si>
    <t>Bezae's correction adds δι</t>
  </si>
  <si>
    <t>λεγων τα περι</t>
  </si>
  <si>
    <t>λεγων τας περι</t>
  </si>
  <si>
    <t>συναλισγομενος</t>
  </si>
  <si>
    <r>
      <rPr>
        <b/>
        <sz val="11"/>
        <color theme="1"/>
        <rFont val="Calibri"/>
        <family val="2"/>
        <scheme val="minor"/>
      </rPr>
      <t>ηκουσα</t>
    </r>
    <r>
      <rPr>
        <sz val="11"/>
        <color theme="1"/>
        <rFont val="Calibri"/>
        <family val="2"/>
        <scheme val="minor"/>
      </rPr>
      <t xml:space="preserve"> φησιν δια του στοματος μου</t>
    </r>
  </si>
  <si>
    <r>
      <rPr>
        <b/>
        <sz val="11"/>
        <color theme="1"/>
        <rFont val="Calibri"/>
        <family val="2"/>
        <scheme val="minor"/>
      </rPr>
      <t>ηκουσατε</t>
    </r>
    <r>
      <rPr>
        <sz val="11"/>
        <color theme="1"/>
        <rFont val="Calibri"/>
        <family val="2"/>
        <scheme val="minor"/>
      </rPr>
      <t xml:space="preserve"> φησιν δια του στοματος μου</t>
    </r>
  </si>
  <si>
    <r>
      <t xml:space="preserve">ηκουσα </t>
    </r>
    <r>
      <rPr>
        <b/>
        <sz val="11"/>
        <color theme="1"/>
        <rFont val="Calibri"/>
        <family val="2"/>
        <scheme val="minor"/>
      </rPr>
      <t>φησιν δια του στοματος</t>
    </r>
    <r>
      <rPr>
        <sz val="11"/>
        <color theme="1"/>
        <rFont val="Calibri"/>
        <family val="2"/>
        <scheme val="minor"/>
      </rPr>
      <t xml:space="preserve"> μου</t>
    </r>
  </si>
  <si>
    <r>
      <t xml:space="preserve">ηκουσατε </t>
    </r>
    <r>
      <rPr>
        <b/>
        <sz val="11"/>
        <color theme="1"/>
        <rFont val="Calibri"/>
        <family val="2"/>
        <scheme val="minor"/>
      </rPr>
      <t>φησιν δια του στοματος</t>
    </r>
    <r>
      <rPr>
        <sz val="11"/>
        <color theme="1"/>
        <rFont val="Calibri"/>
        <family val="2"/>
        <scheme val="minor"/>
      </rPr>
      <t xml:space="preserve"> μου</t>
    </r>
  </si>
  <si>
    <t>Bezae marks this material for deletion, B.10.3 does not follow</t>
  </si>
  <si>
    <t>εβαπτισεν εν υδατι</t>
  </si>
  <si>
    <t>εβαπτισεν υδατι</t>
  </si>
  <si>
    <r>
      <t xml:space="preserve">βαπτισθησεσθαι </t>
    </r>
    <r>
      <rPr>
        <b/>
        <sz val="11"/>
        <color theme="1"/>
        <rFont val="Calibri"/>
        <family val="2"/>
        <scheme val="minor"/>
      </rPr>
      <t>και ο μελλεται λαμβανειν ου</t>
    </r>
    <r>
      <rPr>
        <sz val="11"/>
        <color theme="1"/>
        <rFont val="Calibri"/>
        <family val="2"/>
        <scheme val="minor"/>
      </rPr>
      <t xml:space="preserve"> μετα</t>
    </r>
  </si>
  <si>
    <t>Bezae is said to mark this material for deletion (though I haven't seen these particular deletion marks before), B.10.3 does not follow</t>
  </si>
  <si>
    <r>
      <t xml:space="preserve">πολλας </t>
    </r>
    <r>
      <rPr>
        <b/>
        <sz val="11"/>
        <color theme="1"/>
        <rFont val="Calibri"/>
        <family val="2"/>
        <scheme val="minor"/>
      </rPr>
      <t>ταυτας</t>
    </r>
    <r>
      <rPr>
        <sz val="11"/>
        <color theme="1"/>
        <rFont val="Calibri"/>
        <family val="2"/>
        <scheme val="minor"/>
      </rPr>
      <t xml:space="preserve"> ημερας εως της πεντηκοστης (6) οι μεν</t>
    </r>
  </si>
  <si>
    <r>
      <t xml:space="preserve">πολλας </t>
    </r>
    <r>
      <rPr>
        <b/>
        <sz val="11"/>
        <color theme="1"/>
        <rFont val="Calibri"/>
        <family val="2"/>
        <scheme val="minor"/>
      </rPr>
      <t>τας</t>
    </r>
    <r>
      <rPr>
        <sz val="11"/>
        <color theme="1"/>
        <rFont val="Calibri"/>
        <family val="2"/>
        <scheme val="minor"/>
      </rPr>
      <t xml:space="preserve"> ημερας εως της πεντηκοστης (6) οι μεν</t>
    </r>
  </si>
  <si>
    <r>
      <t xml:space="preserve">πολλας ταυτας ημερας </t>
    </r>
    <r>
      <rPr>
        <b/>
        <sz val="11"/>
        <color theme="1"/>
        <rFont val="Calibri"/>
        <family val="2"/>
        <scheme val="minor"/>
      </rPr>
      <t>εως της πεντηκοστης</t>
    </r>
    <r>
      <rPr>
        <sz val="11"/>
        <color theme="1"/>
        <rFont val="Calibri"/>
        <family val="2"/>
        <scheme val="minor"/>
      </rPr>
      <t xml:space="preserve"> (6) οι μεν</t>
    </r>
  </si>
  <si>
    <r>
      <t xml:space="preserve">πολλας τας ημερας </t>
    </r>
    <r>
      <rPr>
        <b/>
        <sz val="11"/>
        <color theme="1"/>
        <rFont val="Calibri"/>
        <family val="2"/>
        <scheme val="minor"/>
      </rPr>
      <t>εως της πεντηκοστης</t>
    </r>
    <r>
      <rPr>
        <sz val="11"/>
        <color theme="1"/>
        <rFont val="Calibri"/>
        <family val="2"/>
        <scheme val="minor"/>
      </rPr>
      <t xml:space="preserve"> (6) οι μεν</t>
    </r>
  </si>
  <si>
    <t>αποκαταστανεις την βασιλειαν του ισραηλ</t>
  </si>
  <si>
    <r>
      <t xml:space="preserve">αποκαταστανεις </t>
    </r>
    <r>
      <rPr>
        <b/>
        <sz val="11"/>
        <color theme="1"/>
        <rFont val="Calibri"/>
        <family val="2"/>
        <scheme val="minor"/>
      </rPr>
      <t>εις</t>
    </r>
    <r>
      <rPr>
        <sz val="11"/>
        <color theme="1"/>
        <rFont val="Calibri"/>
        <family val="2"/>
        <scheme val="minor"/>
      </rPr>
      <t xml:space="preserve"> την βασιλειαν του ισραηλ</t>
    </r>
  </si>
  <si>
    <r>
      <t xml:space="preserve">αποκαταστανεις εις την βασιλειαν </t>
    </r>
    <r>
      <rPr>
        <b/>
        <sz val="11"/>
        <color theme="1"/>
        <rFont val="Calibri"/>
        <family val="2"/>
        <scheme val="minor"/>
      </rPr>
      <t>του</t>
    </r>
    <r>
      <rPr>
        <sz val="11"/>
        <color theme="1"/>
        <rFont val="Calibri"/>
        <family val="2"/>
        <scheme val="minor"/>
      </rPr>
      <t xml:space="preserve"> ισραηλ</t>
    </r>
  </si>
  <si>
    <r>
      <t xml:space="preserve">αποκαταστανεις την βασιλειαν </t>
    </r>
    <r>
      <rPr>
        <b/>
        <sz val="11"/>
        <color theme="1"/>
        <rFont val="Calibri"/>
        <family val="2"/>
        <scheme val="minor"/>
      </rPr>
      <t>του</t>
    </r>
    <r>
      <rPr>
        <sz val="11"/>
        <color theme="1"/>
        <rFont val="Calibri"/>
        <family val="2"/>
        <scheme val="minor"/>
      </rPr>
      <t xml:space="preserve"> ισραηλ</t>
    </r>
  </si>
  <si>
    <t>Bezae corrects -&gt; τω, B.10.3 does not follow</t>
  </si>
  <si>
    <t xml:space="preserve">πατηρ εθετο </t>
  </si>
  <si>
    <t xml:space="preserve">πατηρ θετο </t>
  </si>
  <si>
    <r>
      <t xml:space="preserve">γης (9) </t>
    </r>
    <r>
      <rPr>
        <b/>
        <sz val="11"/>
        <color theme="1"/>
        <rFont val="Calibri"/>
        <family val="2"/>
        <scheme val="minor"/>
      </rPr>
      <t>καυτα</t>
    </r>
    <r>
      <rPr>
        <sz val="11"/>
        <color theme="1"/>
        <rFont val="Calibri"/>
        <family val="2"/>
        <scheme val="minor"/>
      </rPr>
      <t xml:space="preserve"> ειποντος</t>
    </r>
  </si>
  <si>
    <t>Bezae corrects to αιπηρθη</t>
  </si>
  <si>
    <t>πορευομενου και ειδου</t>
  </si>
  <si>
    <r>
      <t xml:space="preserve">πορευομενου </t>
    </r>
    <r>
      <rPr>
        <b/>
        <sz val="11"/>
        <color theme="1"/>
        <rFont val="Calibri"/>
        <family val="2"/>
        <scheme val="minor"/>
      </rPr>
      <t>αυτου</t>
    </r>
    <r>
      <rPr>
        <sz val="11"/>
        <color theme="1"/>
        <rFont val="Calibri"/>
        <family val="2"/>
        <scheme val="minor"/>
      </rPr>
      <t xml:space="preserve"> και ιδου</t>
    </r>
  </si>
  <si>
    <r>
      <t xml:space="preserve">πορευομενου και </t>
    </r>
    <r>
      <rPr>
        <b/>
        <sz val="11"/>
        <color theme="1"/>
        <rFont val="Calibri"/>
        <family val="2"/>
        <scheme val="minor"/>
      </rPr>
      <t>ειδου</t>
    </r>
  </si>
  <si>
    <r>
      <t xml:space="preserve">πορευομενου αυτου και </t>
    </r>
    <r>
      <rPr>
        <b/>
        <sz val="11"/>
        <color theme="1"/>
        <rFont val="Calibri"/>
        <family val="2"/>
        <scheme val="minor"/>
      </rPr>
      <t>ιδου</t>
    </r>
  </si>
  <si>
    <t>ανεβησαν εις το υπερωον</t>
  </si>
  <si>
    <t>ανεβησαν ει το υπερωον</t>
  </si>
  <si>
    <t>αλφαιου και σιμων</t>
  </si>
  <si>
    <t>αλφαιου σιμων</t>
  </si>
  <si>
    <t>προσευχη συν ταις γυναιξιν</t>
  </si>
  <si>
    <r>
      <t xml:space="preserve">προσευχη </t>
    </r>
    <r>
      <rPr>
        <b/>
        <sz val="11"/>
        <color theme="1"/>
        <rFont val="Calibri"/>
        <family val="2"/>
        <scheme val="minor"/>
      </rPr>
      <t>και</t>
    </r>
    <r>
      <rPr>
        <sz val="11"/>
        <color theme="1"/>
        <rFont val="Calibri"/>
        <family val="2"/>
        <scheme val="minor"/>
      </rPr>
      <t xml:space="preserve"> συν ταις γυναιξιν</t>
    </r>
  </si>
  <si>
    <r>
      <t xml:space="preserve">προσευχη και συν </t>
    </r>
    <r>
      <rPr>
        <b/>
        <sz val="11"/>
        <color theme="1"/>
        <rFont val="Calibri"/>
        <family val="2"/>
        <scheme val="minor"/>
      </rPr>
      <t>ταις</t>
    </r>
    <r>
      <rPr>
        <sz val="11"/>
        <color theme="1"/>
        <rFont val="Calibri"/>
        <family val="2"/>
        <scheme val="minor"/>
      </rPr>
      <t xml:space="preserve"> γυναιξιν</t>
    </r>
  </si>
  <si>
    <r>
      <t xml:space="preserve">προσευχη συν </t>
    </r>
    <r>
      <rPr>
        <b/>
        <sz val="11"/>
        <color theme="1"/>
        <rFont val="Calibri"/>
        <family val="2"/>
        <scheme val="minor"/>
      </rPr>
      <t>ταις</t>
    </r>
    <r>
      <rPr>
        <sz val="11"/>
        <color theme="1"/>
        <rFont val="Calibri"/>
        <family val="2"/>
        <scheme val="minor"/>
      </rPr>
      <t xml:space="preserve"> γυναιξιν</t>
    </r>
  </si>
  <si>
    <t>Bezae marks ταις for deletion, B.10.3 does not follow</t>
  </si>
  <si>
    <t>μαρια τη μητρι</t>
  </si>
  <si>
    <t>μαρια μητρι</t>
  </si>
  <si>
    <t>πετρος εν μεσω</t>
  </si>
  <si>
    <t>πετρος εν εν μεσω</t>
  </si>
  <si>
    <t>ην δε ο οχλος</t>
  </si>
  <si>
    <t>ην γαρ ο οχλος</t>
  </si>
  <si>
    <t>αδελφοι εδει πληρωθηναι</t>
  </si>
  <si>
    <t>αδελφοι δει πληρωθηναι</t>
  </si>
  <si>
    <r>
      <rPr>
        <b/>
        <sz val="11"/>
        <color theme="1"/>
        <rFont val="Calibri"/>
        <family val="2"/>
        <scheme val="minor"/>
      </rPr>
      <t>ημιν</t>
    </r>
    <r>
      <rPr>
        <sz val="11"/>
        <color theme="1"/>
        <rFont val="Calibri"/>
        <family val="2"/>
        <scheme val="minor"/>
      </rPr>
      <t xml:space="preserve"> ος ελαχε τον κληρον</t>
    </r>
  </si>
  <si>
    <r>
      <rPr>
        <b/>
        <sz val="11"/>
        <color theme="1"/>
        <rFont val="Calibri"/>
        <family val="2"/>
        <scheme val="minor"/>
      </rPr>
      <t>ημειν</t>
    </r>
    <r>
      <rPr>
        <sz val="11"/>
        <color theme="1"/>
        <rFont val="Calibri"/>
        <family val="2"/>
        <scheme val="minor"/>
      </rPr>
      <t xml:space="preserve"> και ελαχεν τον κληρον</t>
    </r>
  </si>
  <si>
    <r>
      <t xml:space="preserve">ημειν </t>
    </r>
    <r>
      <rPr>
        <b/>
        <sz val="11"/>
        <color theme="1"/>
        <rFont val="Calibri"/>
        <family val="2"/>
        <scheme val="minor"/>
      </rPr>
      <t>και</t>
    </r>
    <r>
      <rPr>
        <sz val="11"/>
        <color theme="1"/>
        <rFont val="Calibri"/>
        <family val="2"/>
        <scheme val="minor"/>
      </rPr>
      <t xml:space="preserve"> ελαχεν τον κληρον</t>
    </r>
  </si>
  <si>
    <r>
      <t xml:space="preserve">ημιν </t>
    </r>
    <r>
      <rPr>
        <b/>
        <sz val="11"/>
        <color theme="1"/>
        <rFont val="Calibri"/>
        <family val="2"/>
        <scheme val="minor"/>
      </rPr>
      <t>ος</t>
    </r>
    <r>
      <rPr>
        <sz val="11"/>
        <color theme="1"/>
        <rFont val="Calibri"/>
        <family val="2"/>
        <scheme val="minor"/>
      </rPr>
      <t xml:space="preserve"> ελαχε τον κληρον</t>
    </r>
  </si>
  <si>
    <r>
      <t xml:space="preserve">ημιν ος </t>
    </r>
    <r>
      <rPr>
        <b/>
        <sz val="11"/>
        <color theme="1"/>
        <rFont val="Calibri"/>
        <family val="2"/>
        <scheme val="minor"/>
      </rPr>
      <t>ελαχε</t>
    </r>
    <r>
      <rPr>
        <sz val="11"/>
        <color theme="1"/>
        <rFont val="Calibri"/>
        <family val="2"/>
        <scheme val="minor"/>
      </rPr>
      <t xml:space="preserve"> τον κληρον</t>
    </r>
  </si>
  <si>
    <r>
      <t xml:space="preserve">ημειν και </t>
    </r>
    <r>
      <rPr>
        <b/>
        <sz val="11"/>
        <color theme="1"/>
        <rFont val="Calibri"/>
        <family val="2"/>
        <scheme val="minor"/>
      </rPr>
      <t>ελαχεν</t>
    </r>
    <r>
      <rPr>
        <sz val="11"/>
        <color theme="1"/>
        <rFont val="Calibri"/>
        <family val="2"/>
        <scheme val="minor"/>
      </rPr>
      <t xml:space="preserve"> τον κληρον</t>
    </r>
  </si>
  <si>
    <t>ο δε γνωστον</t>
  </si>
  <si>
    <t>ο και γνωστον</t>
  </si>
  <si>
    <t>ακελδαιμαχ τουτ</t>
  </si>
  <si>
    <t>ακελδαιμα τουτ</t>
  </si>
  <si>
    <t>γενηθητω η επαυλις</t>
  </si>
  <si>
    <t>γενηθητων επαυλις</t>
  </si>
  <si>
    <t>μη εστω ο κατοικων</t>
  </si>
  <si>
    <t>μη η ο κατοικων</t>
  </si>
  <si>
    <t>συνελθοντων των ημειν</t>
  </si>
  <si>
    <t>συνελθοντων ημειν</t>
  </si>
  <si>
    <t>ιησους (22) αρξαμενος</t>
  </si>
  <si>
    <t>ιης χρς (22) αρξαμενος</t>
  </si>
  <si>
    <r>
      <t xml:space="preserve">και </t>
    </r>
    <r>
      <rPr>
        <b/>
        <sz val="11"/>
        <color theme="1"/>
        <rFont val="Calibri"/>
        <family val="2"/>
        <scheme val="minor"/>
      </rPr>
      <t>εστησεν</t>
    </r>
    <r>
      <rPr>
        <sz val="11"/>
        <color theme="1"/>
        <rFont val="Calibri"/>
        <family val="2"/>
        <scheme val="minor"/>
      </rPr>
      <t xml:space="preserve"> δυο ιωσηφ</t>
    </r>
  </si>
  <si>
    <r>
      <t xml:space="preserve">και </t>
    </r>
    <r>
      <rPr>
        <b/>
        <sz val="11"/>
        <color theme="1"/>
        <rFont val="Calibri"/>
        <family val="2"/>
        <scheme val="minor"/>
      </rPr>
      <t>εστησαν</t>
    </r>
    <r>
      <rPr>
        <sz val="11"/>
        <color theme="1"/>
        <rFont val="Calibri"/>
        <family val="2"/>
        <scheme val="minor"/>
      </rPr>
      <t xml:space="preserve"> δυω ιωσηφ</t>
    </r>
  </si>
  <si>
    <r>
      <t xml:space="preserve">και εστησαν </t>
    </r>
    <r>
      <rPr>
        <b/>
        <sz val="11"/>
        <color theme="1"/>
        <rFont val="Calibri"/>
        <family val="2"/>
        <scheme val="minor"/>
      </rPr>
      <t>δυω</t>
    </r>
    <r>
      <rPr>
        <sz val="11"/>
        <color theme="1"/>
        <rFont val="Calibri"/>
        <family val="2"/>
        <scheme val="minor"/>
      </rPr>
      <t xml:space="preserve"> ιωσηφ</t>
    </r>
  </si>
  <si>
    <r>
      <t xml:space="preserve">και εστησεν </t>
    </r>
    <r>
      <rPr>
        <b/>
        <sz val="11"/>
        <color theme="1"/>
        <rFont val="Calibri"/>
        <family val="2"/>
        <scheme val="minor"/>
      </rPr>
      <t>δυο</t>
    </r>
    <r>
      <rPr>
        <sz val="11"/>
        <color theme="1"/>
        <rFont val="Calibri"/>
        <family val="2"/>
        <scheme val="minor"/>
      </rPr>
      <t xml:space="preserve"> ιωσηφ</t>
    </r>
  </si>
  <si>
    <t>αναδειξον εκ τουτων</t>
  </si>
  <si>
    <t>αναδειξον ον εξε[λε]ξω εκ τουτων</t>
  </si>
  <si>
    <t>(24) δυο ενα (25) λαβειν τοπον</t>
  </si>
  <si>
    <t>(24) δυο (25) αναλαβειν λαβειν τοπον</t>
  </si>
  <si>
    <t>This and the next might be just 1 error (α -&gt; ε), and it certainly relates to 1 correction</t>
  </si>
  <si>
    <r>
      <t xml:space="preserve">(24) δυο </t>
    </r>
    <r>
      <rPr>
        <b/>
        <sz val="11"/>
        <color theme="1"/>
        <rFont val="Calibri"/>
        <family val="2"/>
        <scheme val="minor"/>
      </rPr>
      <t>ενα</t>
    </r>
    <r>
      <rPr>
        <sz val="11"/>
        <color theme="1"/>
        <rFont val="Calibri"/>
        <family val="2"/>
        <scheme val="minor"/>
      </rPr>
      <t xml:space="preserve"> (25) λαβειν τοπον</t>
    </r>
  </si>
  <si>
    <r>
      <t xml:space="preserve">(24) δυο (25) </t>
    </r>
    <r>
      <rPr>
        <b/>
        <sz val="11"/>
        <color theme="1"/>
        <rFont val="Calibri"/>
        <family val="2"/>
        <scheme val="minor"/>
      </rPr>
      <t>αναλαβειν</t>
    </r>
    <r>
      <rPr>
        <sz val="11"/>
        <color theme="1"/>
        <rFont val="Calibri"/>
        <family val="2"/>
        <scheme val="minor"/>
      </rPr>
      <t xml:space="preserve"> λαβειν τοπον</t>
    </r>
  </si>
  <si>
    <r>
      <t xml:space="preserve">(24) δυο ενα (25) </t>
    </r>
    <r>
      <rPr>
        <b/>
        <sz val="11"/>
        <color theme="1"/>
        <rFont val="Calibri"/>
        <family val="2"/>
        <scheme val="minor"/>
      </rPr>
      <t>λαβειν</t>
    </r>
    <r>
      <rPr>
        <sz val="11"/>
        <color theme="1"/>
        <rFont val="Calibri"/>
        <family val="2"/>
        <scheme val="minor"/>
      </rPr>
      <t xml:space="preserve"> τοπον</t>
    </r>
  </si>
  <si>
    <r>
      <t xml:space="preserve">(24) δυο (25) αναλαβειν </t>
    </r>
    <r>
      <rPr>
        <b/>
        <sz val="11"/>
        <color theme="1"/>
        <rFont val="Calibri"/>
        <family val="2"/>
        <scheme val="minor"/>
      </rPr>
      <t>λαβειν</t>
    </r>
    <r>
      <rPr>
        <sz val="11"/>
        <color theme="1"/>
        <rFont val="Calibri"/>
        <family val="2"/>
        <scheme val="minor"/>
      </rPr>
      <t xml:space="preserve"> τοπον</t>
    </r>
  </si>
  <si>
    <t>The λαβειν is not really duplicated; was probably misreported to to a single correction impacting where the verse should be divided</t>
  </si>
  <si>
    <t>κληρους αυτων και επεσεν</t>
  </si>
  <si>
    <t>Bezae corrects αυτων -&gt; αυτοις</t>
  </si>
  <si>
    <t>επεσεν ο κληρος</t>
  </si>
  <si>
    <t>επεσεν κληρος</t>
  </si>
  <si>
    <t>πυρος εκαθισαν</t>
  </si>
  <si>
    <t>πυρος και εκαθισαν</t>
  </si>
  <si>
    <t xml:space="preserve">ευλαβεις </t>
  </si>
  <si>
    <t xml:space="preserve">ευευλαβεις </t>
  </si>
  <si>
    <t xml:space="preserve">συνηλθε το πληθος </t>
  </si>
  <si>
    <t xml:space="preserve">συνηλθεν το πληθος </t>
  </si>
  <si>
    <r>
      <rPr>
        <b/>
        <sz val="11"/>
        <color theme="1"/>
        <rFont val="Calibri"/>
        <family val="2"/>
        <scheme val="minor"/>
      </rPr>
      <t>ουχ</t>
    </r>
    <r>
      <rPr>
        <sz val="11"/>
        <color theme="1"/>
        <rFont val="Calibri"/>
        <family val="2"/>
        <scheme val="minor"/>
      </rPr>
      <t xml:space="preserve"> ιδου απαντες </t>
    </r>
  </si>
  <si>
    <r>
      <rPr>
        <b/>
        <sz val="11"/>
        <color theme="1"/>
        <rFont val="Calibri"/>
        <family val="2"/>
        <scheme val="minor"/>
      </rPr>
      <t>ουκ</t>
    </r>
    <r>
      <rPr>
        <sz val="11"/>
        <color theme="1"/>
        <rFont val="Calibri"/>
        <family val="2"/>
        <scheme val="minor"/>
      </rPr>
      <t xml:space="preserve"> ιδου παντες </t>
    </r>
  </si>
  <si>
    <r>
      <t xml:space="preserve">ουχ ιδου </t>
    </r>
    <r>
      <rPr>
        <b/>
        <sz val="11"/>
        <color theme="1"/>
        <rFont val="Calibri"/>
        <family val="2"/>
        <scheme val="minor"/>
      </rPr>
      <t>απαντες</t>
    </r>
    <r>
      <rPr>
        <sz val="11"/>
        <color theme="1"/>
        <rFont val="Calibri"/>
        <family val="2"/>
        <scheme val="minor"/>
      </rPr>
      <t xml:space="preserve"> </t>
    </r>
  </si>
  <si>
    <r>
      <t xml:space="preserve">ουκ ιδου </t>
    </r>
    <r>
      <rPr>
        <b/>
        <sz val="11"/>
        <color theme="1"/>
        <rFont val="Calibri"/>
        <family val="2"/>
        <scheme val="minor"/>
      </rPr>
      <t>παντες</t>
    </r>
    <r>
      <rPr>
        <sz val="11"/>
        <color theme="1"/>
        <rFont val="Calibri"/>
        <family val="2"/>
        <scheme val="minor"/>
      </rPr>
      <t xml:space="preserve"> </t>
    </r>
  </si>
  <si>
    <t>εκαστος την διαλεκτον ημων</t>
  </si>
  <si>
    <r>
      <t xml:space="preserve">εκαστος </t>
    </r>
    <r>
      <rPr>
        <b/>
        <sz val="11"/>
        <color theme="1"/>
        <rFont val="Calibri"/>
        <family val="2"/>
        <scheme val="minor"/>
      </rPr>
      <t>την διαλεκτον</t>
    </r>
    <r>
      <rPr>
        <sz val="11"/>
        <color theme="1"/>
        <rFont val="Calibri"/>
        <family val="2"/>
        <scheme val="minor"/>
      </rPr>
      <t xml:space="preserve"> ημων</t>
    </r>
  </si>
  <si>
    <r>
      <t xml:space="preserve">εκαστος </t>
    </r>
    <r>
      <rPr>
        <b/>
        <sz val="11"/>
        <color theme="1"/>
        <rFont val="Calibri"/>
        <family val="2"/>
        <scheme val="minor"/>
      </rPr>
      <t>τη</t>
    </r>
    <r>
      <rPr>
        <sz val="11"/>
        <color theme="1"/>
        <rFont val="Calibri"/>
        <family val="2"/>
        <scheme val="minor"/>
      </rPr>
      <t xml:space="preserve"> ιδια </t>
    </r>
    <r>
      <rPr>
        <b/>
        <sz val="11"/>
        <color theme="1"/>
        <rFont val="Calibri"/>
        <family val="2"/>
        <scheme val="minor"/>
      </rPr>
      <t>διαλεκτω</t>
    </r>
    <r>
      <rPr>
        <sz val="11"/>
        <color theme="1"/>
        <rFont val="Calibri"/>
        <family val="2"/>
        <scheme val="minor"/>
      </rPr>
      <t xml:space="preserve"> διαλεκτω ημων</t>
    </r>
  </si>
  <si>
    <r>
      <t xml:space="preserve">εκαστος τη </t>
    </r>
    <r>
      <rPr>
        <b/>
        <sz val="11"/>
        <color theme="1"/>
        <rFont val="Calibri"/>
        <family val="2"/>
        <scheme val="minor"/>
      </rPr>
      <t>ιδια</t>
    </r>
    <r>
      <rPr>
        <sz val="11"/>
        <color theme="1"/>
        <rFont val="Calibri"/>
        <family val="2"/>
        <scheme val="minor"/>
      </rPr>
      <t xml:space="preserve"> διαλεκτω διαλεκτω ημων</t>
    </r>
  </si>
  <si>
    <r>
      <t xml:space="preserve">εκαστος τη ιδια διαλεκτω </t>
    </r>
    <r>
      <rPr>
        <b/>
        <sz val="11"/>
        <color theme="1"/>
        <rFont val="Calibri"/>
        <family val="2"/>
        <scheme val="minor"/>
      </rPr>
      <t>διαλεκτω</t>
    </r>
    <r>
      <rPr>
        <sz val="11"/>
        <color theme="1"/>
        <rFont val="Calibri"/>
        <family val="2"/>
        <scheme val="minor"/>
      </rPr>
      <t xml:space="preserve"> ημων</t>
    </r>
  </si>
  <si>
    <t>ελαμειται οι κατοικουντες</t>
  </si>
  <si>
    <r>
      <rPr>
        <b/>
        <sz val="11"/>
        <color theme="1"/>
        <rFont val="Calibri"/>
        <family val="2"/>
        <scheme val="minor"/>
      </rPr>
      <t>ελαμειται</t>
    </r>
    <r>
      <rPr>
        <sz val="11"/>
        <color theme="1"/>
        <rFont val="Calibri"/>
        <family val="2"/>
        <scheme val="minor"/>
      </rPr>
      <t xml:space="preserve"> οι κατοικουντες</t>
    </r>
  </si>
  <si>
    <r>
      <rPr>
        <b/>
        <sz val="11"/>
        <color theme="1"/>
        <rFont val="Calibri"/>
        <family val="2"/>
        <scheme val="minor"/>
      </rPr>
      <t>ελαμιται</t>
    </r>
    <r>
      <rPr>
        <sz val="11"/>
        <color theme="1"/>
        <rFont val="Calibri"/>
        <family val="2"/>
        <scheme val="minor"/>
      </rPr>
      <t xml:space="preserve"> και οι κατοικουντες</t>
    </r>
  </si>
  <si>
    <r>
      <t xml:space="preserve">ελαμιται </t>
    </r>
    <r>
      <rPr>
        <b/>
        <sz val="11"/>
        <color theme="1"/>
        <rFont val="Calibri"/>
        <family val="2"/>
        <scheme val="minor"/>
      </rPr>
      <t>και</t>
    </r>
    <r>
      <rPr>
        <sz val="11"/>
        <color theme="1"/>
        <rFont val="Calibri"/>
        <family val="2"/>
        <scheme val="minor"/>
      </rPr>
      <t xml:space="preserve"> οι κατοικουντες</t>
    </r>
  </si>
  <si>
    <t>ιουδαιαν τε και καππαδοκιαν</t>
  </si>
  <si>
    <t>ιουδαιαν και καππαδοκιαν</t>
  </si>
  <si>
    <t>φρυγιαν και παμφυλιαν αιγυπτον τε και</t>
  </si>
  <si>
    <r>
      <t xml:space="preserve">φρυγιαν </t>
    </r>
    <r>
      <rPr>
        <b/>
        <sz val="11"/>
        <color theme="1"/>
        <rFont val="Calibri"/>
        <family val="2"/>
        <scheme val="minor"/>
      </rPr>
      <t>τε</t>
    </r>
    <r>
      <rPr>
        <sz val="11"/>
        <color theme="1"/>
        <rFont val="Calibri"/>
        <family val="2"/>
        <scheme val="minor"/>
      </rPr>
      <t xml:space="preserve"> και πανφυλιαν αγυπτον τε και</t>
    </r>
  </si>
  <si>
    <r>
      <t xml:space="preserve">φρυγιαν τε και </t>
    </r>
    <r>
      <rPr>
        <b/>
        <sz val="11"/>
        <color theme="1"/>
        <rFont val="Calibri"/>
        <family val="2"/>
        <scheme val="minor"/>
      </rPr>
      <t>πανφυλιαν</t>
    </r>
    <r>
      <rPr>
        <sz val="11"/>
        <color theme="1"/>
        <rFont val="Calibri"/>
        <family val="2"/>
        <scheme val="minor"/>
      </rPr>
      <t xml:space="preserve"> αγυπτον τε και</t>
    </r>
  </si>
  <si>
    <r>
      <t xml:space="preserve">φρυγιαν και </t>
    </r>
    <r>
      <rPr>
        <b/>
        <sz val="11"/>
        <color theme="1"/>
        <rFont val="Calibri"/>
        <family val="2"/>
        <scheme val="minor"/>
      </rPr>
      <t>παμφυλιαν</t>
    </r>
    <r>
      <rPr>
        <sz val="11"/>
        <color theme="1"/>
        <rFont val="Calibri"/>
        <family val="2"/>
        <scheme val="minor"/>
      </rPr>
      <t xml:space="preserve"> αιγυπτον τε και</t>
    </r>
  </si>
  <si>
    <r>
      <t xml:space="preserve">φρυγιαν και παμφυλιαν </t>
    </r>
    <r>
      <rPr>
        <b/>
        <sz val="11"/>
        <color theme="1"/>
        <rFont val="Calibri"/>
        <family val="2"/>
        <scheme val="minor"/>
      </rPr>
      <t>αιγυπτον</t>
    </r>
    <r>
      <rPr>
        <sz val="11"/>
        <color theme="1"/>
        <rFont val="Calibri"/>
        <family val="2"/>
        <scheme val="minor"/>
      </rPr>
      <t xml:space="preserve"> τε και</t>
    </r>
  </si>
  <si>
    <r>
      <t xml:space="preserve">φρυγιαν τε και πανφυλιαν </t>
    </r>
    <r>
      <rPr>
        <b/>
        <sz val="11"/>
        <color theme="1"/>
        <rFont val="Calibri"/>
        <family val="2"/>
        <scheme val="minor"/>
      </rPr>
      <t>αγυπτον</t>
    </r>
    <r>
      <rPr>
        <sz val="11"/>
        <color theme="1"/>
        <rFont val="Calibri"/>
        <family val="2"/>
        <scheme val="minor"/>
      </rPr>
      <t xml:space="preserve"> τε και</t>
    </r>
  </si>
  <si>
    <t>της λιβυης</t>
  </si>
  <si>
    <t>της λιβουης</t>
  </si>
  <si>
    <t>κρηταις</t>
  </si>
  <si>
    <t>αραβες</t>
  </si>
  <si>
    <t>γεγονοτι λεγοντες</t>
  </si>
  <si>
    <t>γεγονοτι και λεγοντες</t>
  </si>
  <si>
    <t>εισιν (14) σταθεις</t>
  </si>
  <si>
    <t>εισιν (14) τοτε σταθεις</t>
  </si>
  <si>
    <r>
      <t xml:space="preserve">πετρος </t>
    </r>
    <r>
      <rPr>
        <b/>
        <sz val="11"/>
        <color theme="1"/>
        <rFont val="Calibri"/>
        <family val="2"/>
        <scheme val="minor"/>
      </rPr>
      <t>συν</t>
    </r>
    <r>
      <rPr>
        <sz val="11"/>
        <color theme="1"/>
        <rFont val="Calibri"/>
        <family val="2"/>
        <scheme val="minor"/>
      </rPr>
      <t xml:space="preserve"> τοις δεκα</t>
    </r>
  </si>
  <si>
    <r>
      <t xml:space="preserve">πετρος </t>
    </r>
    <r>
      <rPr>
        <b/>
        <sz val="11"/>
        <color theme="1"/>
        <rFont val="Calibri"/>
        <family val="2"/>
        <scheme val="minor"/>
      </rPr>
      <t>ουν</t>
    </r>
    <r>
      <rPr>
        <sz val="11"/>
        <color theme="1"/>
        <rFont val="Calibri"/>
        <family val="2"/>
        <scheme val="minor"/>
      </rPr>
      <t xml:space="preserve"> τοις ενδεκα</t>
    </r>
  </si>
  <si>
    <r>
      <t xml:space="preserve">πετρος ουν τοις </t>
    </r>
    <r>
      <rPr>
        <b/>
        <sz val="11"/>
        <color theme="1"/>
        <rFont val="Calibri"/>
        <family val="2"/>
        <scheme val="minor"/>
      </rPr>
      <t>ενδεκα</t>
    </r>
    <r>
      <rPr>
        <sz val="11"/>
        <color theme="1"/>
        <rFont val="Calibri"/>
        <family val="2"/>
        <scheme val="minor"/>
      </rPr>
      <t xml:space="preserve"> επηρεν αποστολοις την φωνην</t>
    </r>
  </si>
  <si>
    <r>
      <t xml:space="preserve">πετρος συν τοις </t>
    </r>
    <r>
      <rPr>
        <b/>
        <sz val="11"/>
        <color theme="1"/>
        <rFont val="Calibri"/>
        <family val="2"/>
        <scheme val="minor"/>
      </rPr>
      <t>δεκα</t>
    </r>
    <r>
      <rPr>
        <sz val="11"/>
        <color theme="1"/>
        <rFont val="Calibri"/>
        <family val="2"/>
        <scheme val="minor"/>
      </rPr>
      <t xml:space="preserve"> αποστολοις επηρεν πρωτος την φωνην</t>
    </r>
  </si>
  <si>
    <t>πετρος ουν τοις ενδεκα επηρεν αποστολοις την φωνην</t>
  </si>
  <si>
    <r>
      <t xml:space="preserve">πετρος συν τοις δεκα </t>
    </r>
    <r>
      <rPr>
        <b/>
        <sz val="11"/>
        <color theme="1"/>
        <rFont val="Calibri"/>
        <family val="2"/>
        <scheme val="minor"/>
      </rPr>
      <t>αποστολοις επηρεν</t>
    </r>
    <r>
      <rPr>
        <sz val="11"/>
        <color theme="1"/>
        <rFont val="Calibri"/>
        <family val="2"/>
        <scheme val="minor"/>
      </rPr>
      <t xml:space="preserve"> πρωτος την φωνην</t>
    </r>
  </si>
  <si>
    <r>
      <t xml:space="preserve">πετρος ουν τοις ενδεκα </t>
    </r>
    <r>
      <rPr>
        <b/>
        <sz val="11"/>
        <color theme="1"/>
        <rFont val="Calibri"/>
        <family val="2"/>
        <scheme val="minor"/>
      </rPr>
      <t>επηρεν αποστολοις</t>
    </r>
    <r>
      <rPr>
        <sz val="11"/>
        <color theme="1"/>
        <rFont val="Calibri"/>
        <family val="2"/>
        <scheme val="minor"/>
      </rPr>
      <t xml:space="preserve"> την φωνην</t>
    </r>
  </si>
  <si>
    <r>
      <t xml:space="preserve">πετρος συν τοις δεκα αποστολοις επηρεν </t>
    </r>
    <r>
      <rPr>
        <b/>
        <sz val="11"/>
        <color theme="1"/>
        <rFont val="Calibri"/>
        <family val="2"/>
        <scheme val="minor"/>
      </rPr>
      <t>πρωτος</t>
    </r>
    <r>
      <rPr>
        <sz val="11"/>
        <color theme="1"/>
        <rFont val="Calibri"/>
        <family val="2"/>
        <scheme val="minor"/>
      </rPr>
      <t xml:space="preserve"> την φωνην</t>
    </r>
  </si>
  <si>
    <t>τουτο υμειν</t>
  </si>
  <si>
    <t>τουτο ημειν</t>
  </si>
  <si>
    <t>Bezae corrects to ενωτισαθε</t>
  </si>
  <si>
    <r>
      <t xml:space="preserve">μεθουσιν </t>
    </r>
    <r>
      <rPr>
        <b/>
        <sz val="11"/>
        <color theme="1"/>
        <rFont val="Calibri"/>
        <family val="2"/>
        <scheme val="minor"/>
      </rPr>
      <t>ουσης ωρας</t>
    </r>
    <r>
      <rPr>
        <sz val="11"/>
        <color theme="1"/>
        <rFont val="Calibri"/>
        <family val="2"/>
        <scheme val="minor"/>
      </rPr>
      <t xml:space="preserve"> της ημερας γ (16) αλλα τουτο</t>
    </r>
  </si>
  <si>
    <r>
      <t xml:space="preserve">μεθουσιν ουσης ωρας </t>
    </r>
    <r>
      <rPr>
        <b/>
        <sz val="11"/>
        <color theme="1"/>
        <rFont val="Calibri"/>
        <family val="2"/>
        <scheme val="minor"/>
      </rPr>
      <t>της ημερας γ</t>
    </r>
    <r>
      <rPr>
        <sz val="11"/>
        <color theme="1"/>
        <rFont val="Calibri"/>
        <family val="2"/>
        <scheme val="minor"/>
      </rPr>
      <t xml:space="preserve"> (16) αλλα τουτο</t>
    </r>
  </si>
  <si>
    <r>
      <t xml:space="preserve">μεθουσιν εστιν γαρ ωρα </t>
    </r>
    <r>
      <rPr>
        <b/>
        <sz val="11"/>
        <color theme="1"/>
        <rFont val="Calibri"/>
        <family val="2"/>
        <scheme val="minor"/>
      </rPr>
      <t>γ της ημερας</t>
    </r>
    <r>
      <rPr>
        <sz val="11"/>
        <color theme="1"/>
        <rFont val="Calibri"/>
        <family val="2"/>
        <scheme val="minor"/>
      </rPr>
      <t xml:space="preserve"> (16) αλλα τουτο</t>
    </r>
  </si>
  <si>
    <t>προφητου ιωηλ (17) εσται</t>
  </si>
  <si>
    <t>προφητου (17) εσται</t>
  </si>
  <si>
    <t>λεγει κς εκχεω</t>
  </si>
  <si>
    <t>επι πασαν σαρκα και</t>
  </si>
  <si>
    <t>επι πασας σαρκας και</t>
  </si>
  <si>
    <t>και αι θυγατερες</t>
  </si>
  <si>
    <t>και θυγατερες</t>
  </si>
  <si>
    <t>ορασει οψονται</t>
  </si>
  <si>
    <t>ορασεις οψονται</t>
  </si>
  <si>
    <t>πρεσβυτεροι ενυπνιοις ενυπνιασθησονται</t>
  </si>
  <si>
    <t>πρεσβυτεροι ενυπνιασθησονται</t>
  </si>
  <si>
    <t>και γε επι</t>
  </si>
  <si>
    <t>και εγω επι</t>
  </si>
  <si>
    <t>του πνευματος μου</t>
  </si>
  <si>
    <t>του πνα μου</t>
  </si>
  <si>
    <t>μεταστραφισται</t>
  </si>
  <si>
    <t>ει σκοτος</t>
  </si>
  <si>
    <t>εις σκοτος</t>
  </si>
  <si>
    <t>πριν η ελθειν</t>
  </si>
  <si>
    <t>πριν ελθειν</t>
  </si>
  <si>
    <t>ονομα κυ</t>
  </si>
  <si>
    <t>ονομα του κυ</t>
  </si>
  <si>
    <r>
      <t xml:space="preserve">ιην τον </t>
    </r>
    <r>
      <rPr>
        <b/>
        <sz val="11"/>
        <color theme="1"/>
        <rFont val="Calibri"/>
        <family val="2"/>
        <scheme val="minor"/>
      </rPr>
      <t>ναζοραιον</t>
    </r>
    <r>
      <rPr>
        <sz val="11"/>
        <color theme="1"/>
        <rFont val="Calibri"/>
        <family val="2"/>
        <scheme val="minor"/>
      </rPr>
      <t xml:space="preserve"> ανδρα απο του θυ δεδοκιμασμενον εις ημας δυναμεσει</t>
    </r>
  </si>
  <si>
    <r>
      <t xml:space="preserve">ιησουν τον </t>
    </r>
    <r>
      <rPr>
        <b/>
        <sz val="11"/>
        <color theme="1"/>
        <rFont val="Calibri"/>
        <family val="2"/>
        <scheme val="minor"/>
      </rPr>
      <t>ναζωραιον</t>
    </r>
    <r>
      <rPr>
        <sz val="11"/>
        <color theme="1"/>
        <rFont val="Calibri"/>
        <family val="2"/>
        <scheme val="minor"/>
      </rPr>
      <t xml:space="preserve"> ανδρα απο του θεου αποδεδεμενον εις υμας δυναμεσει</t>
    </r>
  </si>
  <si>
    <r>
      <t xml:space="preserve">ιην τον ναζοραιον ανδρα απο του θυ </t>
    </r>
    <r>
      <rPr>
        <b/>
        <sz val="11"/>
        <color theme="1"/>
        <rFont val="Calibri"/>
        <family val="2"/>
        <scheme val="minor"/>
      </rPr>
      <t>δεδοκιμασμενον</t>
    </r>
    <r>
      <rPr>
        <sz val="11"/>
        <color theme="1"/>
        <rFont val="Calibri"/>
        <family val="2"/>
        <scheme val="minor"/>
      </rPr>
      <t xml:space="preserve"> εις ημας δυναμεσει</t>
    </r>
  </si>
  <si>
    <r>
      <t xml:space="preserve">ιησουν τον ναζωραιον ανδρα απο του θεου </t>
    </r>
    <r>
      <rPr>
        <b/>
        <sz val="11"/>
        <color theme="1"/>
        <rFont val="Calibri"/>
        <family val="2"/>
        <scheme val="minor"/>
      </rPr>
      <t>αποδεδεμενον</t>
    </r>
    <r>
      <rPr>
        <sz val="11"/>
        <color theme="1"/>
        <rFont val="Calibri"/>
        <family val="2"/>
        <scheme val="minor"/>
      </rPr>
      <t xml:space="preserve"> εις υμας δυναμεσει</t>
    </r>
  </si>
  <si>
    <r>
      <t xml:space="preserve">ιην τον ναζοραιον ανδρα απο του θυ δεδοκιμασμενον εις </t>
    </r>
    <r>
      <rPr>
        <b/>
        <sz val="11"/>
        <color theme="1"/>
        <rFont val="Calibri"/>
        <family val="2"/>
        <scheme val="minor"/>
      </rPr>
      <t>ημας</t>
    </r>
    <r>
      <rPr>
        <sz val="11"/>
        <color theme="1"/>
        <rFont val="Calibri"/>
        <family val="2"/>
        <scheme val="minor"/>
      </rPr>
      <t xml:space="preserve"> δυναμεσει</t>
    </r>
  </si>
  <si>
    <r>
      <t xml:space="preserve">ιησουν τον ναζωραιον ανδρα απο του θεου αποδεδεμενον εις </t>
    </r>
    <r>
      <rPr>
        <b/>
        <sz val="11"/>
        <color theme="1"/>
        <rFont val="Calibri"/>
        <family val="2"/>
        <scheme val="minor"/>
      </rPr>
      <t>υμας</t>
    </r>
    <r>
      <rPr>
        <sz val="11"/>
        <color theme="1"/>
        <rFont val="Calibri"/>
        <family val="2"/>
        <scheme val="minor"/>
      </rPr>
      <t xml:space="preserve"> δυναμεσει</t>
    </r>
  </si>
  <si>
    <t>σημιοις οις εποιησεν</t>
  </si>
  <si>
    <t>σημιοις οσα εποιησεν</t>
  </si>
  <si>
    <t>προγνωσει τη του θεου</t>
  </si>
  <si>
    <t>λεγει εις αυτον</t>
  </si>
  <si>
    <t>λεγει ει αυτον</t>
  </si>
  <si>
    <t>οτι εκ δεξιων</t>
  </si>
  <si>
    <t>οτι ε δεξιων</t>
  </si>
  <si>
    <t>τουτο ηυφρανθη</t>
  </si>
  <si>
    <t>τουτο ευφρανθη</t>
  </si>
  <si>
    <t>σαρξ μου εφ ελπιδει</t>
  </si>
  <si>
    <t>σαρξ μου κατασκηνωσει εφ ελπιδει</t>
  </si>
  <si>
    <t>σου ειδειν</t>
  </si>
  <si>
    <t>σου ιδειν</t>
  </si>
  <si>
    <t>διαφθοραν (28) εγνωρισας</t>
  </si>
  <si>
    <t>διαφθοραν (28) γνωρισας</t>
  </si>
  <si>
    <t>μνημιον αυτου</t>
  </si>
  <si>
    <t>μνημα αυτου</t>
  </si>
  <si>
    <r>
      <rPr>
        <b/>
        <sz val="11"/>
        <color theme="1"/>
        <rFont val="Calibri"/>
        <family val="2"/>
        <scheme val="minor"/>
      </rPr>
      <t>ημιν</t>
    </r>
    <r>
      <rPr>
        <sz val="11"/>
        <color theme="1"/>
        <rFont val="Calibri"/>
        <family val="2"/>
        <scheme val="minor"/>
      </rPr>
      <t xml:space="preserve"> αχρι της ημερας</t>
    </r>
  </si>
  <si>
    <r>
      <rPr>
        <b/>
        <sz val="11"/>
        <color theme="1"/>
        <rFont val="Calibri"/>
        <family val="2"/>
        <scheme val="minor"/>
      </rPr>
      <t>ημειν</t>
    </r>
    <r>
      <rPr>
        <sz val="11"/>
        <color theme="1"/>
        <rFont val="Calibri"/>
        <family val="2"/>
        <scheme val="minor"/>
      </rPr>
      <t xml:space="preserve"> μεχρι της ημερας</t>
    </r>
  </si>
  <si>
    <r>
      <t xml:space="preserve">ημιν </t>
    </r>
    <r>
      <rPr>
        <b/>
        <sz val="11"/>
        <color theme="1"/>
        <rFont val="Calibri"/>
        <family val="2"/>
        <scheme val="minor"/>
      </rPr>
      <t>αχρι</t>
    </r>
    <r>
      <rPr>
        <sz val="11"/>
        <color theme="1"/>
        <rFont val="Calibri"/>
        <family val="2"/>
        <scheme val="minor"/>
      </rPr>
      <t xml:space="preserve"> της ημερας</t>
    </r>
  </si>
  <si>
    <r>
      <t xml:space="preserve">ημειν </t>
    </r>
    <r>
      <rPr>
        <b/>
        <sz val="11"/>
        <color theme="1"/>
        <rFont val="Calibri"/>
        <family val="2"/>
        <scheme val="minor"/>
      </rPr>
      <t>μεχρι</t>
    </r>
    <r>
      <rPr>
        <sz val="11"/>
        <color theme="1"/>
        <rFont val="Calibri"/>
        <family val="2"/>
        <scheme val="minor"/>
      </rPr>
      <t xml:space="preserve"> της ημερας</t>
    </r>
  </si>
  <si>
    <t>και ειδως οτι</t>
  </si>
  <si>
    <t>και ειδων οτι</t>
  </si>
  <si>
    <t>ορκω ωμοσεν αυτω</t>
  </si>
  <si>
    <t>ορκω ωμασεν αυτω</t>
  </si>
  <si>
    <r>
      <t xml:space="preserve">της </t>
    </r>
    <r>
      <rPr>
        <b/>
        <sz val="11"/>
        <color theme="1"/>
        <rFont val="Calibri"/>
        <family val="2"/>
        <scheme val="minor"/>
      </rPr>
      <t>οσφυος</t>
    </r>
    <r>
      <rPr>
        <sz val="11"/>
        <color theme="1"/>
        <rFont val="Calibri"/>
        <family val="2"/>
        <scheme val="minor"/>
      </rPr>
      <t xml:space="preserve"> αυτου κατα σαρκα αναστησειν τον χριστον και καθισαι </t>
    </r>
  </si>
  <si>
    <r>
      <t xml:space="preserve">της οσφυος αυτου </t>
    </r>
    <r>
      <rPr>
        <b/>
        <sz val="11"/>
        <color theme="1"/>
        <rFont val="Calibri"/>
        <family val="2"/>
        <scheme val="minor"/>
      </rPr>
      <t>κατα σαρκα αναστησειν τον χριστον</t>
    </r>
    <r>
      <rPr>
        <sz val="11"/>
        <color theme="1"/>
        <rFont val="Calibri"/>
        <family val="2"/>
        <scheme val="minor"/>
      </rPr>
      <t xml:space="preserve"> και καθισαι </t>
    </r>
  </si>
  <si>
    <t>Bezae marks this material for deletion</t>
  </si>
  <si>
    <r>
      <t xml:space="preserve">της καρδιας αυτου </t>
    </r>
    <r>
      <rPr>
        <b/>
        <sz val="11"/>
        <color theme="1"/>
        <rFont val="Calibri"/>
        <family val="2"/>
        <scheme val="minor"/>
      </rPr>
      <t>κατα σαρκα αναστησαι τον χρν</t>
    </r>
    <r>
      <rPr>
        <sz val="11"/>
        <color theme="1"/>
        <rFont val="Calibri"/>
        <family val="2"/>
        <scheme val="minor"/>
      </rPr>
      <t xml:space="preserve"> και καθισαι </t>
    </r>
  </si>
  <si>
    <r>
      <t xml:space="preserve">της καρδιας αυτου κατα σαρκα </t>
    </r>
    <r>
      <rPr>
        <b/>
        <sz val="11"/>
        <color theme="1"/>
        <rFont val="Calibri"/>
        <family val="2"/>
        <scheme val="minor"/>
      </rPr>
      <t>αναστησαι</t>
    </r>
    <r>
      <rPr>
        <sz val="11"/>
        <color theme="1"/>
        <rFont val="Calibri"/>
        <family val="2"/>
        <scheme val="minor"/>
      </rPr>
      <t xml:space="preserve"> τον χρν και καθισαι </t>
    </r>
  </si>
  <si>
    <r>
      <t xml:space="preserve">της οσφυος αυτου κατα σαρκα </t>
    </r>
    <r>
      <rPr>
        <b/>
        <sz val="11"/>
        <color theme="1"/>
        <rFont val="Calibri"/>
        <family val="2"/>
        <scheme val="minor"/>
      </rPr>
      <t>αναστησειν</t>
    </r>
    <r>
      <rPr>
        <sz val="11"/>
        <color theme="1"/>
        <rFont val="Calibri"/>
        <family val="2"/>
        <scheme val="minor"/>
      </rPr>
      <t xml:space="preserve"> τον χριστον και καθισαι </t>
    </r>
  </si>
  <si>
    <t>(30) αυτου (31) αναστασεως</t>
  </si>
  <si>
    <t>(30) αυτου (31) προειδων ελαλησεν περι της αναστασεως</t>
  </si>
  <si>
    <t>αδου ουτε</t>
  </si>
  <si>
    <t>αδου ουδε</t>
  </si>
  <si>
    <t>τουτον ουν ιην</t>
  </si>
  <si>
    <t>τουτον τον ιησουν</t>
  </si>
  <si>
    <t>εξεχεεν τουτο ο υμεις και βλεπετε</t>
  </si>
  <si>
    <t>εξεχεεν υμειν ο και βλεπετε</t>
  </si>
  <si>
    <r>
      <t xml:space="preserve">εως </t>
    </r>
    <r>
      <rPr>
        <b/>
        <sz val="11"/>
        <color theme="1"/>
        <rFont val="Calibri"/>
        <family val="2"/>
        <scheme val="minor"/>
      </rPr>
      <t>αν</t>
    </r>
    <r>
      <rPr>
        <sz val="11"/>
        <color theme="1"/>
        <rFont val="Calibri"/>
        <family val="2"/>
        <scheme val="minor"/>
      </rPr>
      <t xml:space="preserve"> θω τους εχθρους μου</t>
    </r>
  </si>
  <si>
    <r>
      <t xml:space="preserve">εως αν θω </t>
    </r>
    <r>
      <rPr>
        <b/>
        <sz val="11"/>
        <color theme="1"/>
        <rFont val="Calibri"/>
        <family val="2"/>
        <scheme val="minor"/>
      </rPr>
      <t>τους</t>
    </r>
    <r>
      <rPr>
        <sz val="11"/>
        <color theme="1"/>
        <rFont val="Calibri"/>
        <family val="2"/>
        <scheme val="minor"/>
      </rPr>
      <t xml:space="preserve"> εχθρους μου</t>
    </r>
  </si>
  <si>
    <r>
      <t xml:space="preserve">εως αν θω τους </t>
    </r>
    <r>
      <rPr>
        <b/>
        <sz val="11"/>
        <color theme="1"/>
        <rFont val="Calibri"/>
        <family val="2"/>
        <scheme val="minor"/>
      </rPr>
      <t>εχθρους</t>
    </r>
    <r>
      <rPr>
        <sz val="11"/>
        <color theme="1"/>
        <rFont val="Calibri"/>
        <family val="2"/>
        <scheme val="minor"/>
      </rPr>
      <t xml:space="preserve"> μου</t>
    </r>
  </si>
  <si>
    <t>εως θω του εκθρους σου</t>
  </si>
  <si>
    <r>
      <t xml:space="preserve">εως θω </t>
    </r>
    <r>
      <rPr>
        <b/>
        <sz val="11"/>
        <color theme="1"/>
        <rFont val="Calibri"/>
        <family val="2"/>
        <scheme val="minor"/>
      </rPr>
      <t>του</t>
    </r>
    <r>
      <rPr>
        <sz val="11"/>
        <color theme="1"/>
        <rFont val="Calibri"/>
        <family val="2"/>
        <scheme val="minor"/>
      </rPr>
      <t xml:space="preserve"> εκθρους σου</t>
    </r>
  </si>
  <si>
    <r>
      <t xml:space="preserve">εως θω του </t>
    </r>
    <r>
      <rPr>
        <b/>
        <sz val="11"/>
        <color theme="1"/>
        <rFont val="Calibri"/>
        <family val="2"/>
        <scheme val="minor"/>
      </rPr>
      <t>εκθρους</t>
    </r>
    <r>
      <rPr>
        <sz val="11"/>
        <color theme="1"/>
        <rFont val="Calibri"/>
        <family val="2"/>
        <scheme val="minor"/>
      </rPr>
      <t xml:space="preserve"> σου</t>
    </r>
  </si>
  <si>
    <r>
      <t xml:space="preserve">εως θω του εκθρους </t>
    </r>
    <r>
      <rPr>
        <b/>
        <sz val="11"/>
        <color theme="1"/>
        <rFont val="Calibri"/>
        <family val="2"/>
        <scheme val="minor"/>
      </rPr>
      <t>σου</t>
    </r>
  </si>
  <si>
    <r>
      <t xml:space="preserve">εως αν θω τους εχθρους </t>
    </r>
    <r>
      <rPr>
        <b/>
        <sz val="11"/>
        <color theme="1"/>
        <rFont val="Calibri"/>
        <family val="2"/>
        <scheme val="minor"/>
      </rPr>
      <t>μου</t>
    </r>
  </si>
  <si>
    <t>ασφαλως γεινωσκετω</t>
  </si>
  <si>
    <t>ασφαλως ουν γεινωσκετω</t>
  </si>
  <si>
    <t>οτι και κν και χρν ο θς</t>
  </si>
  <si>
    <r>
      <t xml:space="preserve">οτι </t>
    </r>
    <r>
      <rPr>
        <b/>
        <sz val="11"/>
        <color theme="1"/>
        <rFont val="Calibri"/>
        <family val="2"/>
        <scheme val="minor"/>
      </rPr>
      <t>και</t>
    </r>
    <r>
      <rPr>
        <sz val="11"/>
        <color theme="1"/>
        <rFont val="Calibri"/>
        <family val="2"/>
        <scheme val="minor"/>
      </rPr>
      <t xml:space="preserve"> κν και χρν ο θς</t>
    </r>
  </si>
  <si>
    <r>
      <t xml:space="preserve">οτι </t>
    </r>
    <r>
      <rPr>
        <b/>
        <sz val="11"/>
        <color theme="1"/>
        <rFont val="Calibri"/>
        <family val="2"/>
        <scheme val="minor"/>
      </rPr>
      <t>κς</t>
    </r>
    <r>
      <rPr>
        <sz val="11"/>
        <color theme="1"/>
        <rFont val="Calibri"/>
        <family val="2"/>
        <scheme val="minor"/>
      </rPr>
      <t xml:space="preserve"> κν και χριστον αυτον ο θεος</t>
    </r>
  </si>
  <si>
    <r>
      <t xml:space="preserve">οτι κς κν και χριστον </t>
    </r>
    <r>
      <rPr>
        <b/>
        <sz val="11"/>
        <color theme="1"/>
        <rFont val="Calibri"/>
        <family val="2"/>
        <scheme val="minor"/>
      </rPr>
      <t>αυτον</t>
    </r>
    <r>
      <rPr>
        <sz val="11"/>
        <color theme="1"/>
        <rFont val="Calibri"/>
        <family val="2"/>
        <scheme val="minor"/>
      </rPr>
      <t xml:space="preserve"> ο θεος</t>
    </r>
  </si>
  <si>
    <t>Bezae inserts αυτον between κν and και</t>
  </si>
  <si>
    <t>τουτον ιην</t>
  </si>
  <si>
    <t>(36) εσταυρωσατε (37) ακουσαντες</t>
  </si>
  <si>
    <t>(36) εσταυρωσατε (37) τοτε παντες οι συνελθοντες και ακουσαντες</t>
  </si>
  <si>
    <t>ακουσαντες δε κατενυγησαν</t>
  </si>
  <si>
    <t>ακουσαντες κατενυγησαν</t>
  </si>
  <si>
    <t>καρδια ειπον τε προς τον πετρον</t>
  </si>
  <si>
    <r>
      <t xml:space="preserve">καρδια </t>
    </r>
    <r>
      <rPr>
        <b/>
        <sz val="11"/>
        <color theme="1"/>
        <rFont val="Calibri"/>
        <family val="2"/>
        <scheme val="minor"/>
      </rPr>
      <t>και τινες εξ αυτων</t>
    </r>
    <r>
      <rPr>
        <sz val="11"/>
        <color theme="1"/>
        <rFont val="Calibri"/>
        <family val="2"/>
        <scheme val="minor"/>
      </rPr>
      <t xml:space="preserve"> ειπαν προς τον πετρον</t>
    </r>
  </si>
  <si>
    <r>
      <t xml:space="preserve">καρδια και τινες εξ αυτων </t>
    </r>
    <r>
      <rPr>
        <b/>
        <sz val="11"/>
        <color theme="1"/>
        <rFont val="Calibri"/>
        <family val="2"/>
        <scheme val="minor"/>
      </rPr>
      <t>ειπαν</t>
    </r>
    <r>
      <rPr>
        <sz val="11"/>
        <color theme="1"/>
        <rFont val="Calibri"/>
        <family val="2"/>
        <scheme val="minor"/>
      </rPr>
      <t xml:space="preserve"> προς τον πετρον</t>
    </r>
  </si>
  <si>
    <r>
      <t xml:space="preserve">καρδια </t>
    </r>
    <r>
      <rPr>
        <b/>
        <sz val="11"/>
        <color theme="1"/>
        <rFont val="Calibri"/>
        <family val="2"/>
        <scheme val="minor"/>
      </rPr>
      <t>ειπον τε</t>
    </r>
    <r>
      <rPr>
        <sz val="11"/>
        <color theme="1"/>
        <rFont val="Calibri"/>
        <family val="2"/>
        <scheme val="minor"/>
      </rPr>
      <t xml:space="preserve"> προς τον πετρον</t>
    </r>
  </si>
  <si>
    <t>τους λοιπους αποστολους</t>
  </si>
  <si>
    <t>τους αποστολους</t>
  </si>
  <si>
    <t>αδελφοι (38) πετρος δε</t>
  </si>
  <si>
    <t>αδελφοι υποδειξατε ημειν (38) πετρος δε</t>
  </si>
  <si>
    <t>υμων επι τω</t>
  </si>
  <si>
    <t>υμων εν τω</t>
  </si>
  <si>
    <t>πασι τοις εις</t>
  </si>
  <si>
    <t>πασι τοι εις</t>
  </si>
  <si>
    <t>τρεισχειλειαι (42) ησαν</t>
  </si>
  <si>
    <t>τρεισχειλειαι (42) και ησαν</t>
  </si>
  <si>
    <t>κοινωνια και τη κλασι</t>
  </si>
  <si>
    <t>κοινωνια τη κλασι</t>
  </si>
  <si>
    <t>πολλα τε τερατα</t>
  </si>
  <si>
    <t>πολλα τερατα</t>
  </si>
  <si>
    <t xml:space="preserve">διεμεριζον αυτα καθ ημεραν </t>
  </si>
  <si>
    <t xml:space="preserve">διεμεριζον καθ ημεραν </t>
  </si>
  <si>
    <t>πασι καθοτι αν τις</t>
  </si>
  <si>
    <t>πασι τοις αν τις</t>
  </si>
  <si>
    <t>ειχεν (46) καθ ημεραν παντες</t>
  </si>
  <si>
    <t>ειχεν (46) παντες</t>
  </si>
  <si>
    <t>Bezae corrects to κατοικους</t>
  </si>
  <si>
    <t>αυτο τη εκκλησια</t>
  </si>
  <si>
    <t>αυτο αν τη εκκλησια</t>
  </si>
  <si>
    <r>
      <t xml:space="preserve">(1) ωραν </t>
    </r>
    <r>
      <rPr>
        <b/>
        <sz val="11"/>
        <color theme="1"/>
        <rFont val="Calibri"/>
        <family val="2"/>
        <scheme val="minor"/>
      </rPr>
      <t>ενατη</t>
    </r>
    <r>
      <rPr>
        <sz val="11"/>
        <color theme="1"/>
        <rFont val="Calibri"/>
        <family val="2"/>
        <scheme val="minor"/>
      </rPr>
      <t xml:space="preserve"> τη προσευχη (2) και ιδου τις</t>
    </r>
  </si>
  <si>
    <r>
      <t xml:space="preserve">(1) ωραν </t>
    </r>
    <r>
      <rPr>
        <b/>
        <sz val="11"/>
        <color theme="1"/>
        <rFont val="Calibri"/>
        <family val="2"/>
        <scheme val="minor"/>
      </rPr>
      <t>εννατην</t>
    </r>
    <r>
      <rPr>
        <sz val="11"/>
        <color theme="1"/>
        <rFont val="Calibri"/>
        <family val="2"/>
        <scheme val="minor"/>
      </rPr>
      <t xml:space="preserve"> της προσευχης (2) και ιδου τις</t>
    </r>
  </si>
  <si>
    <r>
      <t xml:space="preserve">(1) ωραν ενατη </t>
    </r>
    <r>
      <rPr>
        <b/>
        <sz val="11"/>
        <color theme="1"/>
        <rFont val="Calibri"/>
        <family val="2"/>
        <scheme val="minor"/>
      </rPr>
      <t>τη προσευχη</t>
    </r>
    <r>
      <rPr>
        <sz val="11"/>
        <color theme="1"/>
        <rFont val="Calibri"/>
        <family val="2"/>
        <scheme val="minor"/>
      </rPr>
      <t xml:space="preserve"> (2) και ιδου τις</t>
    </r>
  </si>
  <si>
    <r>
      <t xml:space="preserve">(1) ωραν εννατην </t>
    </r>
    <r>
      <rPr>
        <b/>
        <sz val="11"/>
        <color theme="1"/>
        <rFont val="Calibri"/>
        <family val="2"/>
        <scheme val="minor"/>
      </rPr>
      <t>της προσευχης</t>
    </r>
    <r>
      <rPr>
        <sz val="11"/>
        <color theme="1"/>
        <rFont val="Calibri"/>
        <family val="2"/>
        <scheme val="minor"/>
      </rPr>
      <t xml:space="preserve"> (2) και ιδου τις</t>
    </r>
  </si>
  <si>
    <r>
      <t xml:space="preserve">(1) ωραν </t>
    </r>
    <r>
      <rPr>
        <b/>
        <sz val="11"/>
        <color theme="1"/>
        <rFont val="Calibri"/>
        <family val="2"/>
        <scheme val="minor"/>
      </rPr>
      <t>ενατη τη προσευχη</t>
    </r>
    <r>
      <rPr>
        <sz val="11"/>
        <color theme="1"/>
        <rFont val="Calibri"/>
        <family val="2"/>
        <scheme val="minor"/>
      </rPr>
      <t xml:space="preserve"> (2) και ιδου τις</t>
    </r>
  </si>
  <si>
    <r>
      <t xml:space="preserve">(1) ωραν </t>
    </r>
    <r>
      <rPr>
        <b/>
        <sz val="11"/>
        <color theme="1"/>
        <rFont val="Calibri"/>
        <family val="2"/>
        <scheme val="minor"/>
      </rPr>
      <t>εννατην της προσευχης</t>
    </r>
    <r>
      <rPr>
        <sz val="11"/>
        <color theme="1"/>
        <rFont val="Calibri"/>
        <family val="2"/>
        <scheme val="minor"/>
      </rPr>
      <t xml:space="preserve"> (2) και ιδου τις</t>
    </r>
  </si>
  <si>
    <r>
      <t xml:space="preserve">(1) ωραν ενατη τη προσευχη (2) και </t>
    </r>
    <r>
      <rPr>
        <b/>
        <sz val="11"/>
        <color theme="1"/>
        <rFont val="Calibri"/>
        <family val="2"/>
        <scheme val="minor"/>
      </rPr>
      <t>ιδου</t>
    </r>
    <r>
      <rPr>
        <sz val="11"/>
        <color theme="1"/>
        <rFont val="Calibri"/>
        <family val="2"/>
        <scheme val="minor"/>
      </rPr>
      <t xml:space="preserve"> τις</t>
    </r>
  </si>
  <si>
    <r>
      <t xml:space="preserve">(1) ωραν εννατην της προσευχης (2) και </t>
    </r>
    <r>
      <rPr>
        <b/>
        <sz val="11"/>
        <color theme="1"/>
        <rFont val="Calibri"/>
        <family val="2"/>
        <scheme val="minor"/>
      </rPr>
      <t>ιδου</t>
    </r>
    <r>
      <rPr>
        <sz val="11"/>
        <color theme="1"/>
        <rFont val="Calibri"/>
        <family val="2"/>
        <scheme val="minor"/>
      </rPr>
      <t xml:space="preserve"> τις</t>
    </r>
  </si>
  <si>
    <t>Bezae marks for deletion, B.10.3 does not follow</t>
  </si>
  <si>
    <r>
      <t xml:space="preserve">ελεημοσυνην </t>
    </r>
    <r>
      <rPr>
        <b/>
        <sz val="11"/>
        <color theme="1"/>
        <rFont val="Calibri"/>
        <family val="2"/>
        <scheme val="minor"/>
      </rPr>
      <t>παρ αυτων</t>
    </r>
    <r>
      <rPr>
        <sz val="11"/>
        <color theme="1"/>
        <rFont val="Calibri"/>
        <family val="2"/>
        <scheme val="minor"/>
      </rPr>
      <t xml:space="preserve"> εισπορευομενων αυτων εις το ιερον</t>
    </r>
  </si>
  <si>
    <r>
      <t xml:space="preserve">ελεημοσυνην </t>
    </r>
    <r>
      <rPr>
        <b/>
        <sz val="11"/>
        <color theme="1"/>
        <rFont val="Calibri"/>
        <family val="2"/>
        <scheme val="minor"/>
      </rPr>
      <t>παρα των</t>
    </r>
    <r>
      <rPr>
        <sz val="11"/>
        <color theme="1"/>
        <rFont val="Calibri"/>
        <family val="2"/>
        <scheme val="minor"/>
      </rPr>
      <t xml:space="preserve"> εισπορευομενων αυτων εις το ιερον</t>
    </r>
  </si>
  <si>
    <r>
      <t xml:space="preserve">ελεημοσυνην παρ αυτων εισπορευομενων </t>
    </r>
    <r>
      <rPr>
        <b/>
        <sz val="11"/>
        <color theme="1"/>
        <rFont val="Calibri"/>
        <family val="2"/>
        <scheme val="minor"/>
      </rPr>
      <t>αυτων</t>
    </r>
    <r>
      <rPr>
        <sz val="11"/>
        <color theme="1"/>
        <rFont val="Calibri"/>
        <family val="2"/>
        <scheme val="minor"/>
      </rPr>
      <t xml:space="preserve"> εις το ιερον</t>
    </r>
  </si>
  <si>
    <r>
      <t xml:space="preserve">ελεημοσυνην παρα των εισπορευομενων </t>
    </r>
    <r>
      <rPr>
        <b/>
        <sz val="11"/>
        <color theme="1"/>
        <rFont val="Calibri"/>
        <family val="2"/>
        <scheme val="minor"/>
      </rPr>
      <t>αυτων</t>
    </r>
    <r>
      <rPr>
        <sz val="11"/>
        <color theme="1"/>
        <rFont val="Calibri"/>
        <family val="2"/>
        <scheme val="minor"/>
      </rPr>
      <t xml:space="preserve"> εις το ιερον</t>
    </r>
  </si>
  <si>
    <t>(2) ιερον (3) και ιδων</t>
  </si>
  <si>
    <r>
      <t xml:space="preserve">(2) ιερον (3) </t>
    </r>
    <r>
      <rPr>
        <b/>
        <sz val="11"/>
        <color theme="1"/>
        <rFont val="Calibri"/>
        <family val="2"/>
        <scheme val="minor"/>
      </rPr>
      <t>ουτος ατενισας τοις οφθαλμοις αυτου</t>
    </r>
    <r>
      <rPr>
        <sz val="11"/>
        <color theme="1"/>
        <rFont val="Calibri"/>
        <family val="2"/>
        <scheme val="minor"/>
      </rPr>
      <t xml:space="preserve"> και ιδων</t>
    </r>
  </si>
  <si>
    <t>skips 1 line (423v.1.28; obvious visual cues not present</t>
  </si>
  <si>
    <r>
      <t xml:space="preserve">(2) ιερον (3) ουτος ατενισας τοις οφθαλμοις αυτου και </t>
    </r>
    <r>
      <rPr>
        <b/>
        <sz val="11"/>
        <color theme="1"/>
        <rFont val="Calibri"/>
        <family val="2"/>
        <scheme val="minor"/>
      </rPr>
      <t>ιδων</t>
    </r>
  </si>
  <si>
    <r>
      <t xml:space="preserve">(2) ιερον (3) και </t>
    </r>
    <r>
      <rPr>
        <b/>
        <sz val="11"/>
        <color theme="1"/>
        <rFont val="Calibri"/>
        <family val="2"/>
        <scheme val="minor"/>
      </rPr>
      <t>ιδων</t>
    </r>
  </si>
  <si>
    <t>Bezae corrects to ειδων</t>
  </si>
  <si>
    <t>μελλοντας εισειναι</t>
  </si>
  <si>
    <t>μελλοντας ειναι</t>
  </si>
  <si>
    <t>(3) ελεημοσυνην (4) ο πετρος</t>
  </si>
  <si>
    <t>(3) ελεημοσυνην (4) εμβλεψας δε ο πετρος</t>
  </si>
  <si>
    <r>
      <t xml:space="preserve">συν </t>
    </r>
    <r>
      <rPr>
        <b/>
        <sz val="11"/>
        <color theme="1"/>
        <rFont val="Calibri"/>
        <family val="2"/>
        <scheme val="minor"/>
      </rPr>
      <t>ιωανην</t>
    </r>
    <r>
      <rPr>
        <sz val="11"/>
        <color theme="1"/>
        <rFont val="Calibri"/>
        <family val="2"/>
        <scheme val="minor"/>
      </rPr>
      <t xml:space="preserve"> και ειπεν ατενεισον εις</t>
    </r>
  </si>
  <si>
    <r>
      <t xml:space="preserve">συν ιωανην </t>
    </r>
    <r>
      <rPr>
        <b/>
        <sz val="11"/>
        <color theme="1"/>
        <rFont val="Calibri"/>
        <family val="2"/>
        <scheme val="minor"/>
      </rPr>
      <t>και</t>
    </r>
    <r>
      <rPr>
        <sz val="11"/>
        <color theme="1"/>
        <rFont val="Calibri"/>
        <family val="2"/>
        <scheme val="minor"/>
      </rPr>
      <t xml:space="preserve"> ειπεν ατενεισον εις</t>
    </r>
  </si>
  <si>
    <r>
      <t xml:space="preserve">συν </t>
    </r>
    <r>
      <rPr>
        <b/>
        <sz val="11"/>
        <color theme="1"/>
        <rFont val="Calibri"/>
        <family val="2"/>
        <scheme val="minor"/>
      </rPr>
      <t>ιωαννη</t>
    </r>
    <r>
      <rPr>
        <sz val="11"/>
        <color theme="1"/>
        <rFont val="Calibri"/>
        <family val="2"/>
        <scheme val="minor"/>
      </rPr>
      <t xml:space="preserve"> ειπεν ενβλεψας εις</t>
    </r>
  </si>
  <si>
    <t>συν ιωαννη ειπεν ενβλεψας εις</t>
  </si>
  <si>
    <r>
      <t xml:space="preserve">συν ιωανην και ειπεν </t>
    </r>
    <r>
      <rPr>
        <b/>
        <sz val="11"/>
        <color theme="1"/>
        <rFont val="Calibri"/>
        <family val="2"/>
        <scheme val="minor"/>
      </rPr>
      <t>ατενεισον</t>
    </r>
    <r>
      <rPr>
        <sz val="11"/>
        <color theme="1"/>
        <rFont val="Calibri"/>
        <family val="2"/>
        <scheme val="minor"/>
      </rPr>
      <t xml:space="preserve"> εις</t>
    </r>
  </si>
  <si>
    <r>
      <t xml:space="preserve">συν ιωαννη ειπεν </t>
    </r>
    <r>
      <rPr>
        <b/>
        <sz val="11"/>
        <color theme="1"/>
        <rFont val="Calibri"/>
        <family val="2"/>
        <scheme val="minor"/>
      </rPr>
      <t>ενβλεψας</t>
    </r>
    <r>
      <rPr>
        <sz val="11"/>
        <color theme="1"/>
        <rFont val="Calibri"/>
        <family val="2"/>
        <scheme val="minor"/>
      </rPr>
      <t xml:space="preserve"> εις</t>
    </r>
  </si>
  <si>
    <t>ατενεισας αυτοις</t>
  </si>
  <si>
    <t>ατενεισον αυτοις</t>
  </si>
  <si>
    <r>
      <rPr>
        <b/>
        <sz val="11"/>
        <color theme="1"/>
        <rFont val="Calibri"/>
        <family val="2"/>
        <scheme val="minor"/>
      </rPr>
      <t>ουκ</t>
    </r>
    <r>
      <rPr>
        <sz val="11"/>
        <color theme="1"/>
        <rFont val="Calibri"/>
        <family val="2"/>
        <scheme val="minor"/>
      </rPr>
      <t xml:space="preserve"> υπαρχει μοι</t>
    </r>
  </si>
  <si>
    <t>διδωμι σοι εν τω</t>
  </si>
  <si>
    <t>διδωμι εν τω</t>
  </si>
  <si>
    <t>ναζοραιου περιπατει</t>
  </si>
  <si>
    <t>ναζοραιου εσταθε και περιπατει</t>
  </si>
  <si>
    <t>περιεπατει και εισηλθον</t>
  </si>
  <si>
    <r>
      <t xml:space="preserve">περιεπατει </t>
    </r>
    <r>
      <rPr>
        <b/>
        <sz val="11"/>
        <color theme="1"/>
        <rFont val="Calibri"/>
        <family val="2"/>
        <scheme val="minor"/>
      </rPr>
      <t>χαιρομενος</t>
    </r>
    <r>
      <rPr>
        <sz val="11"/>
        <color theme="1"/>
        <rFont val="Calibri"/>
        <family val="2"/>
        <scheme val="minor"/>
      </rPr>
      <t xml:space="preserve"> και εισηλθεν</t>
    </r>
  </si>
  <si>
    <r>
      <t xml:space="preserve">περιεπατει χαιρομενος και </t>
    </r>
    <r>
      <rPr>
        <b/>
        <sz val="11"/>
        <color theme="1"/>
        <rFont val="Calibri"/>
        <family val="2"/>
        <scheme val="minor"/>
      </rPr>
      <t>εισηλθεν</t>
    </r>
  </si>
  <si>
    <r>
      <t xml:space="preserve">περιεπατει και </t>
    </r>
    <r>
      <rPr>
        <b/>
        <sz val="11"/>
        <color theme="1"/>
        <rFont val="Calibri"/>
        <family val="2"/>
        <scheme val="minor"/>
      </rPr>
      <t>εισηλθον</t>
    </r>
  </si>
  <si>
    <t xml:space="preserve">στοα τη καλουμενη σολομωντος (12) αποκριθεις </t>
  </si>
  <si>
    <r>
      <t xml:space="preserve">στοα </t>
    </r>
    <r>
      <rPr>
        <b/>
        <sz val="11"/>
        <color theme="1"/>
        <rFont val="Calibri"/>
        <family val="2"/>
        <scheme val="minor"/>
      </rPr>
      <t>τη</t>
    </r>
    <r>
      <rPr>
        <sz val="11"/>
        <color theme="1"/>
        <rFont val="Calibri"/>
        <family val="2"/>
        <scheme val="minor"/>
      </rPr>
      <t xml:space="preserve"> καλουμενη σολομωντος (12) αποκριθεις </t>
    </r>
  </si>
  <si>
    <r>
      <t xml:space="preserve">στοα </t>
    </r>
    <r>
      <rPr>
        <b/>
        <sz val="11"/>
        <color theme="1"/>
        <rFont val="Calibri"/>
        <family val="2"/>
        <scheme val="minor"/>
      </rPr>
      <t>η</t>
    </r>
    <r>
      <rPr>
        <sz val="11"/>
        <color theme="1"/>
        <rFont val="Calibri"/>
        <family val="2"/>
        <scheme val="minor"/>
      </rPr>
      <t xml:space="preserve"> καλουμενη σολομωνος εκθαμβοι (12) αποκριθεις </t>
    </r>
  </si>
  <si>
    <r>
      <t xml:space="preserve">στοα η καλουμενη </t>
    </r>
    <r>
      <rPr>
        <b/>
        <sz val="11"/>
        <color theme="1"/>
        <rFont val="Calibri"/>
        <family val="2"/>
        <scheme val="minor"/>
      </rPr>
      <t>σολομωνος</t>
    </r>
    <r>
      <rPr>
        <sz val="11"/>
        <color theme="1"/>
        <rFont val="Calibri"/>
        <family val="2"/>
        <scheme val="minor"/>
      </rPr>
      <t xml:space="preserve"> εκθαμβοι (12) αποκριθεις </t>
    </r>
  </si>
  <si>
    <r>
      <t xml:space="preserve">στοα τη καλουμενη </t>
    </r>
    <r>
      <rPr>
        <b/>
        <sz val="11"/>
        <color theme="1"/>
        <rFont val="Calibri"/>
        <family val="2"/>
        <scheme val="minor"/>
      </rPr>
      <t>σολομωντος</t>
    </r>
    <r>
      <rPr>
        <sz val="11"/>
        <color theme="1"/>
        <rFont val="Calibri"/>
        <family val="2"/>
        <scheme val="minor"/>
      </rPr>
      <t xml:space="preserve"> (12) αποκριθεις </t>
    </r>
  </si>
  <si>
    <r>
      <t xml:space="preserve">στοα η καλουμενη σολομωνος </t>
    </r>
    <r>
      <rPr>
        <b/>
        <sz val="11"/>
        <color theme="1"/>
        <rFont val="Calibri"/>
        <family val="2"/>
        <scheme val="minor"/>
      </rPr>
      <t>εκθαμβοι</t>
    </r>
    <r>
      <rPr>
        <sz val="11"/>
        <color theme="1"/>
        <rFont val="Calibri"/>
        <family val="2"/>
        <scheme val="minor"/>
      </rPr>
      <t xml:space="preserve"> (12) αποκριθεις </t>
    </r>
  </si>
  <si>
    <t>πεποιηκοτων του το περιπατειν</t>
  </si>
  <si>
    <t>πεποιηκοτων τουτο περιπατειν</t>
  </si>
  <si>
    <t>Bezae corrects τουτο -&gt; του</t>
  </si>
  <si>
    <t>ο θς αβρααμ</t>
  </si>
  <si>
    <t>ο θεος ο θεος αβρααμ</t>
  </si>
  <si>
    <t>και ισαακ</t>
  </si>
  <si>
    <t>ον υμεις</t>
  </si>
  <si>
    <t>ον ημεις</t>
  </si>
  <si>
    <r>
      <t xml:space="preserve">πειλατου </t>
    </r>
    <r>
      <rPr>
        <b/>
        <sz val="11"/>
        <color theme="1"/>
        <rFont val="Calibri"/>
        <family val="2"/>
        <scheme val="minor"/>
      </rPr>
      <t>του</t>
    </r>
    <r>
      <rPr>
        <sz val="11"/>
        <color theme="1"/>
        <rFont val="Calibri"/>
        <family val="2"/>
        <scheme val="minor"/>
      </rPr>
      <t xml:space="preserve"> κρειναντος</t>
    </r>
  </si>
  <si>
    <t>Bezae marks του for deletion</t>
  </si>
  <si>
    <t>αυτον θελοντος (14) υμεις</t>
  </si>
  <si>
    <t>Bezae marks θελοντος for deletion</t>
  </si>
  <si>
    <t>ου ημεις</t>
  </si>
  <si>
    <t>ου υμεις</t>
  </si>
  <si>
    <t>τουτον ον θεωρειτε</t>
  </si>
  <si>
    <t>τουτον θεωρειτε</t>
  </si>
  <si>
    <t>οιδατε εστερεωσεν</t>
  </si>
  <si>
    <t>οιδατε οτι εστερεωσεν</t>
  </si>
  <si>
    <t xml:space="preserve">νυν ανδρες αδελφοι </t>
  </si>
  <si>
    <t xml:space="preserve">νυν αδελφοι </t>
  </si>
  <si>
    <t>επραξατε πονηρον ωσπερ και</t>
  </si>
  <si>
    <t>επραξατε το πονηρον και</t>
  </si>
  <si>
    <r>
      <t xml:space="preserve">επραξατε </t>
    </r>
    <r>
      <rPr>
        <b/>
        <sz val="11"/>
        <color theme="1"/>
        <rFont val="Calibri"/>
        <family val="2"/>
        <scheme val="minor"/>
      </rPr>
      <t>το</t>
    </r>
    <r>
      <rPr>
        <sz val="11"/>
        <color theme="1"/>
        <rFont val="Calibri"/>
        <family val="2"/>
        <scheme val="minor"/>
      </rPr>
      <t xml:space="preserve"> πονηρον και</t>
    </r>
  </si>
  <si>
    <r>
      <t xml:space="preserve">επραξατε πονηρον </t>
    </r>
    <r>
      <rPr>
        <b/>
        <sz val="11"/>
        <color theme="1"/>
        <rFont val="Calibri"/>
        <family val="2"/>
        <scheme val="minor"/>
      </rPr>
      <t>ωσπερ</t>
    </r>
    <r>
      <rPr>
        <sz val="11"/>
        <color theme="1"/>
        <rFont val="Calibri"/>
        <family val="2"/>
        <scheme val="minor"/>
      </rPr>
      <t xml:space="preserve"> και</t>
    </r>
  </si>
  <si>
    <t>αχρι χρονων αποκαταστασεως</t>
  </si>
  <si>
    <t>αχρι χρονον αποκαταστασεως</t>
  </si>
  <si>
    <t>αυτου προφητων</t>
  </si>
  <si>
    <t>αυτου των προφητων</t>
  </si>
  <si>
    <t>προφητης υμειν</t>
  </si>
  <si>
    <t>προφητην υμειν</t>
  </si>
  <si>
    <t>θεος ημων</t>
  </si>
  <si>
    <t>ως εμε αυτου</t>
  </si>
  <si>
    <t>ως εμου αυτου</t>
  </si>
  <si>
    <r>
      <rPr>
        <b/>
        <sz val="11"/>
        <color theme="1"/>
        <rFont val="Calibri"/>
        <family val="2"/>
        <scheme val="minor"/>
      </rPr>
      <t>κατεξης</t>
    </r>
    <r>
      <rPr>
        <sz val="11"/>
        <color theme="1"/>
        <rFont val="Calibri"/>
        <family val="2"/>
        <scheme val="minor"/>
      </rPr>
      <t xml:space="preserve"> ο ελαλησεν και</t>
    </r>
  </si>
  <si>
    <r>
      <rPr>
        <b/>
        <sz val="11"/>
        <color theme="1"/>
        <rFont val="Calibri"/>
        <family val="2"/>
        <scheme val="minor"/>
      </rPr>
      <t>καθεξης</t>
    </r>
    <r>
      <rPr>
        <sz val="11"/>
        <color theme="1"/>
        <rFont val="Calibri"/>
        <family val="2"/>
        <scheme val="minor"/>
      </rPr>
      <t xml:space="preserve"> οι ελαλησαν και</t>
    </r>
  </si>
  <si>
    <r>
      <t xml:space="preserve">καθεξης </t>
    </r>
    <r>
      <rPr>
        <b/>
        <sz val="11"/>
        <color theme="1"/>
        <rFont val="Calibri"/>
        <family val="2"/>
        <scheme val="minor"/>
      </rPr>
      <t>οι</t>
    </r>
    <r>
      <rPr>
        <sz val="11"/>
        <color theme="1"/>
        <rFont val="Calibri"/>
        <family val="2"/>
        <scheme val="minor"/>
      </rPr>
      <t xml:space="preserve"> ελαλησαν και</t>
    </r>
  </si>
  <si>
    <r>
      <t xml:space="preserve">κατεξης </t>
    </r>
    <r>
      <rPr>
        <b/>
        <sz val="11"/>
        <color theme="1"/>
        <rFont val="Calibri"/>
        <family val="2"/>
        <scheme val="minor"/>
      </rPr>
      <t>ο</t>
    </r>
    <r>
      <rPr>
        <sz val="11"/>
        <color theme="1"/>
        <rFont val="Calibri"/>
        <family val="2"/>
        <scheme val="minor"/>
      </rPr>
      <t xml:space="preserve"> ελαλησεν και</t>
    </r>
  </si>
  <si>
    <r>
      <t xml:space="preserve">κατεξης ο </t>
    </r>
    <r>
      <rPr>
        <b/>
        <sz val="11"/>
        <color theme="1"/>
        <rFont val="Calibri"/>
        <family val="2"/>
        <scheme val="minor"/>
      </rPr>
      <t>ελαλησεν</t>
    </r>
    <r>
      <rPr>
        <sz val="11"/>
        <color theme="1"/>
        <rFont val="Calibri"/>
        <family val="2"/>
        <scheme val="minor"/>
      </rPr>
      <t xml:space="preserve"> και</t>
    </r>
  </si>
  <si>
    <r>
      <t xml:space="preserve">καθεξης οι </t>
    </r>
    <r>
      <rPr>
        <b/>
        <sz val="11"/>
        <color theme="1"/>
        <rFont val="Calibri"/>
        <family val="2"/>
        <scheme val="minor"/>
      </rPr>
      <t>ελαλησαν</t>
    </r>
    <r>
      <rPr>
        <sz val="11"/>
        <color theme="1"/>
        <rFont val="Calibri"/>
        <family val="2"/>
        <scheme val="minor"/>
      </rPr>
      <t xml:space="preserve"> και</t>
    </r>
  </si>
  <si>
    <r>
      <rPr>
        <b/>
        <sz val="11"/>
        <color theme="1"/>
        <rFont val="Calibri"/>
        <family val="2"/>
        <scheme val="minor"/>
      </rPr>
      <t>κατηνγειλαν</t>
    </r>
    <r>
      <rPr>
        <sz val="11"/>
        <color theme="1"/>
        <rFont val="Calibri"/>
        <family val="2"/>
        <scheme val="minor"/>
      </rPr>
      <t xml:space="preserve"> ταυ ημερας</t>
    </r>
  </si>
  <si>
    <r>
      <rPr>
        <b/>
        <sz val="11"/>
        <color theme="1"/>
        <rFont val="Calibri"/>
        <family val="2"/>
        <scheme val="minor"/>
      </rPr>
      <t>κατηγγειλαν</t>
    </r>
    <r>
      <rPr>
        <sz val="11"/>
        <color theme="1"/>
        <rFont val="Calibri"/>
        <family val="2"/>
        <scheme val="minor"/>
      </rPr>
      <t xml:space="preserve"> τας ημερας</t>
    </r>
  </si>
  <si>
    <r>
      <t xml:space="preserve">κατηνγειλαν </t>
    </r>
    <r>
      <rPr>
        <b/>
        <sz val="11"/>
        <color theme="1"/>
        <rFont val="Calibri"/>
        <family val="2"/>
        <scheme val="minor"/>
      </rPr>
      <t>ταυ</t>
    </r>
    <r>
      <rPr>
        <sz val="11"/>
        <color theme="1"/>
        <rFont val="Calibri"/>
        <family val="2"/>
        <scheme val="minor"/>
      </rPr>
      <t xml:space="preserve"> ημερας</t>
    </r>
  </si>
  <si>
    <r>
      <t xml:space="preserve">κατηγγειλαν </t>
    </r>
    <r>
      <rPr>
        <b/>
        <sz val="11"/>
        <color theme="1"/>
        <rFont val="Calibri"/>
        <family val="2"/>
        <scheme val="minor"/>
      </rPr>
      <t>τας</t>
    </r>
    <r>
      <rPr>
        <sz val="11"/>
        <color theme="1"/>
        <rFont val="Calibri"/>
        <family val="2"/>
        <scheme val="minor"/>
      </rPr>
      <t xml:space="preserve"> ημερας</t>
    </r>
  </si>
  <si>
    <t>διαθηκης ης ο θεος</t>
  </si>
  <si>
    <r>
      <t xml:space="preserve">εν </t>
    </r>
    <r>
      <rPr>
        <b/>
        <sz val="11"/>
        <color theme="1"/>
        <rFont val="Calibri"/>
        <family val="2"/>
        <scheme val="minor"/>
      </rPr>
      <t>τ</t>
    </r>
    <r>
      <rPr>
        <sz val="11"/>
        <color theme="1"/>
        <rFont val="Calibri"/>
        <family val="2"/>
        <scheme val="minor"/>
      </rPr>
      <t xml:space="preserve"> αποστρεφειν εκαστος εκ των πονηρων υμων</t>
    </r>
  </si>
  <si>
    <r>
      <t xml:space="preserve">εν </t>
    </r>
    <r>
      <rPr>
        <b/>
        <sz val="11"/>
        <color theme="1"/>
        <rFont val="Calibri"/>
        <family val="2"/>
        <scheme val="minor"/>
      </rPr>
      <t>τω</t>
    </r>
    <r>
      <rPr>
        <sz val="11"/>
        <color theme="1"/>
        <rFont val="Calibri"/>
        <family val="2"/>
        <scheme val="minor"/>
      </rPr>
      <t xml:space="preserve"> αποστρεφειν εκαστος εκ των πονηρων υμων</t>
    </r>
  </si>
  <si>
    <r>
      <t xml:space="preserve">εν τ αποστρεφειν </t>
    </r>
    <r>
      <rPr>
        <b/>
        <sz val="11"/>
        <color theme="1"/>
        <rFont val="Calibri"/>
        <family val="2"/>
        <scheme val="minor"/>
      </rPr>
      <t>εκαστος</t>
    </r>
    <r>
      <rPr>
        <sz val="11"/>
        <color theme="1"/>
        <rFont val="Calibri"/>
        <family val="2"/>
        <scheme val="minor"/>
      </rPr>
      <t xml:space="preserve"> εκ των πονηρων υμων</t>
    </r>
  </si>
  <si>
    <r>
      <t xml:space="preserve">εν τω αποστρεφειν </t>
    </r>
    <r>
      <rPr>
        <b/>
        <sz val="11"/>
        <color theme="1"/>
        <rFont val="Calibri"/>
        <family val="2"/>
        <scheme val="minor"/>
      </rPr>
      <t>εκαστος</t>
    </r>
    <r>
      <rPr>
        <sz val="11"/>
        <color theme="1"/>
        <rFont val="Calibri"/>
        <family val="2"/>
        <scheme val="minor"/>
      </rPr>
      <t xml:space="preserve"> εκ των πονηρων υμων</t>
    </r>
  </si>
  <si>
    <r>
      <t xml:space="preserve">εν τ αποστρεφειν εκαστος εκ των </t>
    </r>
    <r>
      <rPr>
        <b/>
        <sz val="11"/>
        <color theme="1"/>
        <rFont val="Calibri"/>
        <family val="2"/>
        <scheme val="minor"/>
      </rPr>
      <t>πονηρων</t>
    </r>
    <r>
      <rPr>
        <sz val="11"/>
        <color theme="1"/>
        <rFont val="Calibri"/>
        <family val="2"/>
        <scheme val="minor"/>
      </rPr>
      <t xml:space="preserve"> υμων</t>
    </r>
  </si>
  <si>
    <r>
      <t xml:space="preserve">εν τω αποστρεφειν εκαστος εκ των </t>
    </r>
    <r>
      <rPr>
        <b/>
        <sz val="11"/>
        <color theme="1"/>
        <rFont val="Calibri"/>
        <family val="2"/>
        <scheme val="minor"/>
      </rPr>
      <t>πονηρων</t>
    </r>
    <r>
      <rPr>
        <sz val="11"/>
        <color theme="1"/>
        <rFont val="Calibri"/>
        <family val="2"/>
        <scheme val="minor"/>
      </rPr>
      <t xml:space="preserve"> υμων</t>
    </r>
  </si>
  <si>
    <t>The correction reading εκαστον is clear, but not the underlying reading</t>
  </si>
  <si>
    <t>(1) σαδδουκαιοι (2) καταπονουμενοι δια το</t>
  </si>
  <si>
    <t>(1) σαδδουκαιοι (2) και απονουμενοι δια το</t>
  </si>
  <si>
    <t>και επειβαλοντες αυτοις</t>
  </si>
  <si>
    <r>
      <t xml:space="preserve">και </t>
    </r>
    <r>
      <rPr>
        <b/>
        <sz val="11"/>
        <color theme="1"/>
        <rFont val="Calibri"/>
        <family val="2"/>
        <scheme val="minor"/>
      </rPr>
      <t>και</t>
    </r>
    <r>
      <rPr>
        <sz val="11"/>
        <color theme="1"/>
        <rFont val="Calibri"/>
        <family val="2"/>
        <scheme val="minor"/>
      </rPr>
      <t xml:space="preserve"> επειβαλοντες αυτοις</t>
    </r>
  </si>
  <si>
    <r>
      <t xml:space="preserve">και και </t>
    </r>
    <r>
      <rPr>
        <b/>
        <sz val="11"/>
        <color theme="1"/>
        <rFont val="Calibri"/>
        <family val="2"/>
        <scheme val="minor"/>
      </rPr>
      <t>επειβαλοντες</t>
    </r>
    <r>
      <rPr>
        <sz val="11"/>
        <color theme="1"/>
        <rFont val="Calibri"/>
        <family val="2"/>
        <scheme val="minor"/>
      </rPr>
      <t xml:space="preserve"> αυτοις</t>
    </r>
  </si>
  <si>
    <r>
      <t xml:space="preserve">και </t>
    </r>
    <r>
      <rPr>
        <b/>
        <sz val="11"/>
        <color theme="1"/>
        <rFont val="Calibri"/>
        <family val="2"/>
        <scheme val="minor"/>
      </rPr>
      <t>επειβαλοντες</t>
    </r>
    <r>
      <rPr>
        <sz val="11"/>
        <color theme="1"/>
        <rFont val="Calibri"/>
        <family val="2"/>
        <scheme val="minor"/>
      </rPr>
      <t xml:space="preserve"> αυτοις</t>
    </r>
  </si>
  <si>
    <t>χειρας και εθεντο</t>
  </si>
  <si>
    <t>και is marked for deletion</t>
  </si>
  <si>
    <t>αριθμος τε εγενηθη</t>
  </si>
  <si>
    <t>τε is marked for deletion</t>
  </si>
  <si>
    <t>ως χιλιαδες</t>
  </si>
  <si>
    <t>ωσει χιλιαδες</t>
  </si>
  <si>
    <t>αυριον ημεραν συνηχθησαν</t>
  </si>
  <si>
    <t>ημεραν is marked for deletion</t>
  </si>
  <si>
    <t xml:space="preserve">αρχοντες και </t>
  </si>
  <si>
    <t xml:space="preserve">αρχοντε και </t>
  </si>
  <si>
    <t>γνωστον εστω</t>
  </si>
  <si>
    <t>γνων εστω</t>
  </si>
  <si>
    <t>υφ ημων</t>
  </si>
  <si>
    <t>υφ υμων</t>
  </si>
  <si>
    <t>B.10.3 corrects to match Bezae's corrected form (ο -&gt; το)</t>
  </si>
  <si>
    <t>δει σωθηναι</t>
  </si>
  <si>
    <t>δειν σωθηναι</t>
  </si>
  <si>
    <t>τον δε ανθρωπον</t>
  </si>
  <si>
    <t>τον ανθρωπον</t>
  </si>
  <si>
    <t>Bezae corrects to τον τε ανθρωπον</t>
  </si>
  <si>
    <t>συν αυτοις εστωτα</t>
  </si>
  <si>
    <t>συν αυτων εστωτα</t>
  </si>
  <si>
    <r>
      <t xml:space="preserve">γνωστον </t>
    </r>
    <r>
      <rPr>
        <b/>
        <sz val="11"/>
        <color theme="1"/>
        <rFont val="Calibri"/>
        <family val="2"/>
        <scheme val="minor"/>
      </rPr>
      <t>σημειω</t>
    </r>
    <r>
      <rPr>
        <sz val="11"/>
        <color theme="1"/>
        <rFont val="Calibri"/>
        <family val="2"/>
        <scheme val="minor"/>
      </rPr>
      <t xml:space="preserve"> γεγονεναι δι αυτων</t>
    </r>
  </si>
  <si>
    <r>
      <t xml:space="preserve">γνωστον </t>
    </r>
    <r>
      <rPr>
        <b/>
        <sz val="11"/>
        <color theme="1"/>
        <rFont val="Calibri"/>
        <family val="2"/>
        <scheme val="minor"/>
      </rPr>
      <t>σημειον</t>
    </r>
    <r>
      <rPr>
        <sz val="11"/>
        <color theme="1"/>
        <rFont val="Calibri"/>
        <family val="2"/>
        <scheme val="minor"/>
      </rPr>
      <t xml:space="preserve"> γεγονεν δι αυτων</t>
    </r>
  </si>
  <si>
    <r>
      <t xml:space="preserve">γνωστον σημειον </t>
    </r>
    <r>
      <rPr>
        <b/>
        <sz val="11"/>
        <color theme="1"/>
        <rFont val="Calibri"/>
        <family val="2"/>
        <scheme val="minor"/>
      </rPr>
      <t>γεγονεν</t>
    </r>
    <r>
      <rPr>
        <sz val="11"/>
        <color theme="1"/>
        <rFont val="Calibri"/>
        <family val="2"/>
        <scheme val="minor"/>
      </rPr>
      <t xml:space="preserve"> δι αυτων</t>
    </r>
  </si>
  <si>
    <r>
      <t xml:space="preserve">γνωστον σημειω </t>
    </r>
    <r>
      <rPr>
        <b/>
        <sz val="11"/>
        <color theme="1"/>
        <rFont val="Calibri"/>
        <family val="2"/>
        <scheme val="minor"/>
      </rPr>
      <t>γεγονεναι</t>
    </r>
    <r>
      <rPr>
        <sz val="11"/>
        <color theme="1"/>
        <rFont val="Calibri"/>
        <family val="2"/>
        <scheme val="minor"/>
      </rPr>
      <t xml:space="preserve"> δι αυτων</t>
    </r>
  </si>
  <si>
    <t>τον λαον επιλησομεθα ουν ουτοις μηκετι</t>
  </si>
  <si>
    <t>τον λαον απειλη απειλησωμεθα αυτοις μηκετι</t>
  </si>
  <si>
    <r>
      <t xml:space="preserve">τον λαον </t>
    </r>
    <r>
      <rPr>
        <b/>
        <sz val="11"/>
        <color theme="1"/>
        <rFont val="Calibri"/>
        <family val="2"/>
        <scheme val="minor"/>
      </rPr>
      <t>απειλη</t>
    </r>
    <r>
      <rPr>
        <sz val="11"/>
        <color theme="1"/>
        <rFont val="Calibri"/>
        <family val="2"/>
        <scheme val="minor"/>
      </rPr>
      <t xml:space="preserve"> απειλησωμεθα αυτοις μηκετι</t>
    </r>
  </si>
  <si>
    <r>
      <t xml:space="preserve">τον λαον </t>
    </r>
    <r>
      <rPr>
        <b/>
        <sz val="11"/>
        <color theme="1"/>
        <rFont val="Calibri"/>
        <family val="2"/>
        <scheme val="minor"/>
      </rPr>
      <t>επιλησομεθα</t>
    </r>
    <r>
      <rPr>
        <sz val="11"/>
        <color theme="1"/>
        <rFont val="Calibri"/>
        <family val="2"/>
        <scheme val="minor"/>
      </rPr>
      <t xml:space="preserve"> ουν ουτοις μηκετι</t>
    </r>
  </si>
  <si>
    <r>
      <t xml:space="preserve">τον λαον απειλη </t>
    </r>
    <r>
      <rPr>
        <b/>
        <sz val="11"/>
        <color theme="1"/>
        <rFont val="Calibri"/>
        <family val="2"/>
        <scheme val="minor"/>
      </rPr>
      <t>απειλησωμεθα</t>
    </r>
    <r>
      <rPr>
        <sz val="11"/>
        <color theme="1"/>
        <rFont val="Calibri"/>
        <family val="2"/>
        <scheme val="minor"/>
      </rPr>
      <t xml:space="preserve"> αυτοις μηκετι</t>
    </r>
  </si>
  <si>
    <r>
      <t xml:space="preserve">τον λαον επιλησομεθα </t>
    </r>
    <r>
      <rPr>
        <b/>
        <sz val="11"/>
        <color theme="1"/>
        <rFont val="Calibri"/>
        <family val="2"/>
        <scheme val="minor"/>
      </rPr>
      <t>ουν</t>
    </r>
    <r>
      <rPr>
        <sz val="11"/>
        <color theme="1"/>
        <rFont val="Calibri"/>
        <family val="2"/>
        <scheme val="minor"/>
      </rPr>
      <t xml:space="preserve"> ουτοις μηκετι</t>
    </r>
  </si>
  <si>
    <r>
      <t xml:space="preserve">τον λαον επιλησομεθα ουν </t>
    </r>
    <r>
      <rPr>
        <b/>
        <sz val="11"/>
        <color theme="1"/>
        <rFont val="Calibri"/>
        <family val="2"/>
        <scheme val="minor"/>
      </rPr>
      <t>ουτοις</t>
    </r>
    <r>
      <rPr>
        <sz val="11"/>
        <color theme="1"/>
        <rFont val="Calibri"/>
        <family val="2"/>
        <scheme val="minor"/>
      </rPr>
      <t xml:space="preserve"> μηκετι</t>
    </r>
  </si>
  <si>
    <r>
      <t xml:space="preserve">τον λαον απειλη απειλησωμεθα </t>
    </r>
    <r>
      <rPr>
        <b/>
        <sz val="11"/>
        <color theme="1"/>
        <rFont val="Calibri"/>
        <family val="2"/>
        <scheme val="minor"/>
      </rPr>
      <t>αυτοις</t>
    </r>
    <r>
      <rPr>
        <sz val="11"/>
        <color theme="1"/>
        <rFont val="Calibri"/>
        <family val="2"/>
        <scheme val="minor"/>
      </rPr>
      <t xml:space="preserve"> μηκετι</t>
    </r>
  </si>
  <si>
    <t>τη γνωμη παρηγγειλαντο αυτοις φωνησαντες αυτους το μη</t>
  </si>
  <si>
    <t>τη γνωμη φωνησαντες αυτους παρηγγειλαντο κατα το μη</t>
  </si>
  <si>
    <r>
      <t xml:space="preserve">τη γνωμη </t>
    </r>
    <r>
      <rPr>
        <b/>
        <sz val="11"/>
        <color theme="1"/>
        <rFont val="Calibri"/>
        <family val="2"/>
        <scheme val="minor"/>
      </rPr>
      <t>φωνησαντες αυτους παρηγγειλαντο</t>
    </r>
    <r>
      <rPr>
        <sz val="11"/>
        <color theme="1"/>
        <rFont val="Calibri"/>
        <family val="2"/>
        <scheme val="minor"/>
      </rPr>
      <t xml:space="preserve"> κατα το μη</t>
    </r>
  </si>
  <si>
    <r>
      <t xml:space="preserve">τη γνωμη </t>
    </r>
    <r>
      <rPr>
        <b/>
        <sz val="11"/>
        <color theme="1"/>
        <rFont val="Calibri"/>
        <family val="2"/>
        <scheme val="minor"/>
      </rPr>
      <t>παρηγγειλαντο αυτοις φωνησαντες αυτους</t>
    </r>
    <r>
      <rPr>
        <sz val="11"/>
        <color theme="1"/>
        <rFont val="Calibri"/>
        <family val="2"/>
        <scheme val="minor"/>
      </rPr>
      <t xml:space="preserve"> το μη</t>
    </r>
  </si>
  <si>
    <r>
      <t xml:space="preserve">τη γνωμη παρηγγειλαντο </t>
    </r>
    <r>
      <rPr>
        <b/>
        <sz val="11"/>
        <color theme="1"/>
        <rFont val="Calibri"/>
        <family val="2"/>
        <scheme val="minor"/>
      </rPr>
      <t>αυτοις</t>
    </r>
    <r>
      <rPr>
        <sz val="11"/>
        <color theme="1"/>
        <rFont val="Calibri"/>
        <family val="2"/>
        <scheme val="minor"/>
      </rPr>
      <t xml:space="preserve"> φωνησαντες αυτους το μη</t>
    </r>
  </si>
  <si>
    <r>
      <t xml:space="preserve">τη γνωμη φωνησαντες αυτους παρηγγειλαντο </t>
    </r>
    <r>
      <rPr>
        <b/>
        <sz val="11"/>
        <color theme="1"/>
        <rFont val="Calibri"/>
        <family val="2"/>
        <scheme val="minor"/>
      </rPr>
      <t>κατα</t>
    </r>
    <r>
      <rPr>
        <sz val="11"/>
        <color theme="1"/>
        <rFont val="Calibri"/>
        <family val="2"/>
        <scheme val="minor"/>
      </rPr>
      <t xml:space="preserve"> το μη</t>
    </r>
  </si>
  <si>
    <t>ηκουσαμεν λαλειν</t>
  </si>
  <si>
    <r>
      <t xml:space="preserve">ηκουσαμεν </t>
    </r>
    <r>
      <rPr>
        <b/>
        <sz val="11"/>
        <color theme="1"/>
        <rFont val="Calibri"/>
        <family val="2"/>
        <scheme val="minor"/>
      </rPr>
      <t>μη</t>
    </r>
    <r>
      <rPr>
        <sz val="11"/>
        <color theme="1"/>
        <rFont val="Calibri"/>
        <family val="2"/>
        <scheme val="minor"/>
      </rPr>
      <t xml:space="preserve"> λαλλαλειν</t>
    </r>
  </si>
  <si>
    <r>
      <t xml:space="preserve">ηκουσαμεν </t>
    </r>
    <r>
      <rPr>
        <b/>
        <sz val="11"/>
        <color theme="1"/>
        <rFont val="Calibri"/>
        <family val="2"/>
        <scheme val="minor"/>
      </rPr>
      <t>λαλειν</t>
    </r>
  </si>
  <si>
    <r>
      <t xml:space="preserve">ηκουσαμεν μη </t>
    </r>
    <r>
      <rPr>
        <b/>
        <sz val="11"/>
        <color theme="1"/>
        <rFont val="Calibri"/>
        <family val="2"/>
        <scheme val="minor"/>
      </rPr>
      <t>λαλλαλειν</t>
    </r>
  </si>
  <si>
    <t xml:space="preserve">αιτιαν το πως κολασωνται </t>
  </si>
  <si>
    <t xml:space="preserve">αιτιαν oπως κολασωνται </t>
  </si>
  <si>
    <t>της ειασεως</t>
  </si>
  <si>
    <t>της ιασεως</t>
  </si>
  <si>
    <t>αγιου στοματος του δαβιδ λαλησας παιδος</t>
  </si>
  <si>
    <r>
      <t xml:space="preserve">αγιου δια του στοματος </t>
    </r>
    <r>
      <rPr>
        <b/>
        <sz val="11"/>
        <color theme="1"/>
        <rFont val="Calibri"/>
        <family val="2"/>
        <scheme val="minor"/>
      </rPr>
      <t>λαλησας δαυειδ</t>
    </r>
    <r>
      <rPr>
        <sz val="11"/>
        <color theme="1"/>
        <rFont val="Calibri"/>
        <family val="2"/>
        <scheme val="minor"/>
      </rPr>
      <t xml:space="preserve"> παιδος</t>
    </r>
  </si>
  <si>
    <r>
      <t xml:space="preserve">αγιου δια του στοματος λαλησας </t>
    </r>
    <r>
      <rPr>
        <b/>
        <sz val="11"/>
        <color theme="1"/>
        <rFont val="Calibri"/>
        <family val="2"/>
        <scheme val="minor"/>
      </rPr>
      <t>δαυειδ</t>
    </r>
    <r>
      <rPr>
        <sz val="11"/>
        <color theme="1"/>
        <rFont val="Calibri"/>
        <family val="2"/>
        <scheme val="minor"/>
      </rPr>
      <t xml:space="preserve"> παιδος</t>
    </r>
  </si>
  <si>
    <r>
      <t xml:space="preserve">αγιου στοματος του </t>
    </r>
    <r>
      <rPr>
        <b/>
        <sz val="11"/>
        <color theme="1"/>
        <rFont val="Calibri"/>
        <family val="2"/>
        <scheme val="minor"/>
      </rPr>
      <t>δαβιδ</t>
    </r>
    <r>
      <rPr>
        <sz val="11"/>
        <color theme="1"/>
        <rFont val="Calibri"/>
        <family val="2"/>
        <scheme val="minor"/>
      </rPr>
      <t xml:space="preserve"> λαλησας παιδος</t>
    </r>
  </si>
  <si>
    <t>Bezae corrects to κενα</t>
  </si>
  <si>
    <t>τας απειλας αυτων</t>
  </si>
  <si>
    <t>τας αγιας αυτων</t>
  </si>
  <si>
    <t>Bezae corrects αγιας -&gt; απιλας</t>
  </si>
  <si>
    <t>εκτεινειν εις ιασιν</t>
  </si>
  <si>
    <t>εκτεινειν ις ιασιν</t>
  </si>
  <si>
    <t>Bezae corrects to γεινεσθαι</t>
  </si>
  <si>
    <t>απαντες του αγιου πνς</t>
  </si>
  <si>
    <t>απαντες αγιου του πνευματος</t>
  </si>
  <si>
    <t>ην η καρδια</t>
  </si>
  <si>
    <t>ην καρδια</t>
  </si>
  <si>
    <t>και ην</t>
  </si>
  <si>
    <t>και ουκ ην</t>
  </si>
  <si>
    <r>
      <t xml:space="preserve">και </t>
    </r>
    <r>
      <rPr>
        <b/>
        <sz val="11"/>
        <color theme="1"/>
        <rFont val="Calibri"/>
        <family val="2"/>
        <scheme val="minor"/>
      </rPr>
      <t>ουδεις</t>
    </r>
    <r>
      <rPr>
        <sz val="11"/>
        <color theme="1"/>
        <rFont val="Calibri"/>
        <family val="2"/>
        <scheme val="minor"/>
      </rPr>
      <t xml:space="preserve"> των υπαρχοντων αυτου ελεγεν</t>
    </r>
  </si>
  <si>
    <r>
      <t xml:space="preserve">και </t>
    </r>
    <r>
      <rPr>
        <b/>
        <sz val="11"/>
        <color theme="1"/>
        <rFont val="Calibri"/>
        <family val="2"/>
        <scheme val="minor"/>
      </rPr>
      <t>ουδε εις</t>
    </r>
    <r>
      <rPr>
        <sz val="11"/>
        <color theme="1"/>
        <rFont val="Calibri"/>
        <family val="2"/>
        <scheme val="minor"/>
      </rPr>
      <t xml:space="preserve"> των υπαρχοντων αυτω ελεγεν</t>
    </r>
  </si>
  <si>
    <r>
      <t xml:space="preserve">και ουδεις των υπαρχοντων </t>
    </r>
    <r>
      <rPr>
        <b/>
        <sz val="11"/>
        <color theme="1"/>
        <rFont val="Calibri"/>
        <family val="2"/>
        <scheme val="minor"/>
      </rPr>
      <t>αυτου</t>
    </r>
    <r>
      <rPr>
        <sz val="11"/>
        <color theme="1"/>
        <rFont val="Calibri"/>
        <family val="2"/>
        <scheme val="minor"/>
      </rPr>
      <t xml:space="preserve"> ελεγεν</t>
    </r>
  </si>
  <si>
    <r>
      <t xml:space="preserve">και ουδε εις των υπαρχοντων </t>
    </r>
    <r>
      <rPr>
        <b/>
        <sz val="11"/>
        <color theme="1"/>
        <rFont val="Calibri"/>
        <family val="2"/>
        <scheme val="minor"/>
      </rPr>
      <t>αυτω</t>
    </r>
    <r>
      <rPr>
        <sz val="11"/>
        <color theme="1"/>
        <rFont val="Calibri"/>
        <family val="2"/>
        <scheme val="minor"/>
      </rPr>
      <t xml:space="preserve"> ελεγεν</t>
    </r>
  </si>
  <si>
    <t xml:space="preserve">αλλα ην </t>
  </si>
  <si>
    <t xml:space="preserve">αλλ ην </t>
  </si>
  <si>
    <r>
      <t xml:space="preserve">οσοι γαρ </t>
    </r>
    <r>
      <rPr>
        <b/>
        <sz val="11"/>
        <color theme="1"/>
        <rFont val="Calibri"/>
        <family val="2"/>
        <scheme val="minor"/>
      </rPr>
      <t>κτητορες ησαν</t>
    </r>
    <r>
      <rPr>
        <sz val="11"/>
        <color theme="1"/>
        <rFont val="Calibri"/>
        <family val="2"/>
        <scheme val="minor"/>
      </rPr>
      <t xml:space="preserve"> χωριων</t>
    </r>
  </si>
  <si>
    <r>
      <t xml:space="preserve">οσοι γαρ </t>
    </r>
    <r>
      <rPr>
        <b/>
        <sz val="11"/>
        <color theme="1"/>
        <rFont val="Calibri"/>
        <family val="2"/>
        <scheme val="minor"/>
      </rPr>
      <t>ησαν κτητορες</t>
    </r>
    <r>
      <rPr>
        <sz val="11"/>
        <color theme="1"/>
        <rFont val="Calibri"/>
        <family val="2"/>
        <scheme val="minor"/>
      </rPr>
      <t xml:space="preserve"> χωρειων</t>
    </r>
  </si>
  <si>
    <r>
      <t xml:space="preserve">οσοι γαρ κτητορες ησαν </t>
    </r>
    <r>
      <rPr>
        <b/>
        <sz val="11"/>
        <color theme="1"/>
        <rFont val="Calibri"/>
        <family val="2"/>
        <scheme val="minor"/>
      </rPr>
      <t>χωριων</t>
    </r>
  </si>
  <si>
    <r>
      <t xml:space="preserve">οσοι γαρ ησαν κτητορες </t>
    </r>
    <r>
      <rPr>
        <b/>
        <sz val="11"/>
        <color theme="1"/>
        <rFont val="Calibri"/>
        <family val="2"/>
        <scheme val="minor"/>
      </rPr>
      <t>χωρειων</t>
    </r>
  </si>
  <si>
    <t>οικειων πωλουντες εφεροντας τιμας</t>
  </si>
  <si>
    <r>
      <t xml:space="preserve">οικειων </t>
    </r>
    <r>
      <rPr>
        <b/>
        <sz val="11"/>
        <color theme="1"/>
        <rFont val="Calibri"/>
        <family val="2"/>
        <scheme val="minor"/>
      </rPr>
      <t>υπηρχον</t>
    </r>
    <r>
      <rPr>
        <sz val="11"/>
        <color theme="1"/>
        <rFont val="Calibri"/>
        <family val="2"/>
        <scheme val="minor"/>
      </rPr>
      <t xml:space="preserve"> πωλουντες και φεροντες τειμας</t>
    </r>
  </si>
  <si>
    <r>
      <t xml:space="preserve">οικειων υπηρχον πωλουντες </t>
    </r>
    <r>
      <rPr>
        <b/>
        <sz val="11"/>
        <color theme="1"/>
        <rFont val="Calibri"/>
        <family val="2"/>
        <scheme val="minor"/>
      </rPr>
      <t>και</t>
    </r>
    <r>
      <rPr>
        <sz val="11"/>
        <color theme="1"/>
        <rFont val="Calibri"/>
        <family val="2"/>
        <scheme val="minor"/>
      </rPr>
      <t xml:space="preserve"> φεροντες τειμας</t>
    </r>
  </si>
  <si>
    <r>
      <t xml:space="preserve">οικειων υπηρχον πωλουντες και </t>
    </r>
    <r>
      <rPr>
        <b/>
        <sz val="11"/>
        <color theme="1"/>
        <rFont val="Calibri"/>
        <family val="2"/>
        <scheme val="minor"/>
      </rPr>
      <t>φεροντες</t>
    </r>
    <r>
      <rPr>
        <sz val="11"/>
        <color theme="1"/>
        <rFont val="Calibri"/>
        <family val="2"/>
        <scheme val="minor"/>
      </rPr>
      <t xml:space="preserve"> τειμας</t>
    </r>
  </si>
  <si>
    <r>
      <t xml:space="preserve">οικειων πωλουντες </t>
    </r>
    <r>
      <rPr>
        <b/>
        <sz val="11"/>
        <color theme="1"/>
        <rFont val="Calibri"/>
        <family val="2"/>
        <scheme val="minor"/>
      </rPr>
      <t>εφεροντας</t>
    </r>
    <r>
      <rPr>
        <sz val="11"/>
        <color theme="1"/>
        <rFont val="Calibri"/>
        <family val="2"/>
        <scheme val="minor"/>
      </rPr>
      <t xml:space="preserve"> τιμας</t>
    </r>
  </si>
  <si>
    <r>
      <t xml:space="preserve">οικειων υπηρχον πωλουντες και φεροντες </t>
    </r>
    <r>
      <rPr>
        <b/>
        <sz val="11"/>
        <color theme="1"/>
        <rFont val="Calibri"/>
        <family val="2"/>
        <scheme val="minor"/>
      </rPr>
      <t>τειμας</t>
    </r>
  </si>
  <si>
    <r>
      <t xml:space="preserve">οικειων πωλουντες εφεροντας </t>
    </r>
    <r>
      <rPr>
        <b/>
        <sz val="11"/>
        <color theme="1"/>
        <rFont val="Calibri"/>
        <family val="2"/>
        <scheme val="minor"/>
      </rPr>
      <t>τιμας</t>
    </r>
  </si>
  <si>
    <t>πιπρασκομενων (35) και</t>
  </si>
  <si>
    <t>πιπρασκοντων (35) και</t>
  </si>
  <si>
    <r>
      <t xml:space="preserve">αυτω </t>
    </r>
    <r>
      <rPr>
        <b/>
        <sz val="11"/>
        <color theme="1"/>
        <rFont val="Calibri"/>
        <family val="2"/>
        <scheme val="minor"/>
      </rPr>
      <t>χωριον</t>
    </r>
    <r>
      <rPr>
        <sz val="11"/>
        <color theme="1"/>
        <rFont val="Calibri"/>
        <family val="2"/>
        <scheme val="minor"/>
      </rPr>
      <t xml:space="preserve"> πωλησας ηνεγκε το χρημα</t>
    </r>
  </si>
  <si>
    <r>
      <t xml:space="preserve">αυτω </t>
    </r>
    <r>
      <rPr>
        <b/>
        <sz val="11"/>
        <color theme="1"/>
        <rFont val="Calibri"/>
        <family val="2"/>
        <scheme val="minor"/>
      </rPr>
      <t>χωριου</t>
    </r>
    <r>
      <rPr>
        <sz val="11"/>
        <color theme="1"/>
        <rFont val="Calibri"/>
        <family val="2"/>
        <scheme val="minor"/>
      </rPr>
      <t xml:space="preserve"> πωλησας ηνεγκεν το χρημα</t>
    </r>
  </si>
  <si>
    <r>
      <t xml:space="preserve">αυτω χωριου πωλησας </t>
    </r>
    <r>
      <rPr>
        <b/>
        <sz val="11"/>
        <color theme="1"/>
        <rFont val="Calibri"/>
        <family val="2"/>
        <scheme val="minor"/>
      </rPr>
      <t>ηνεγκεν</t>
    </r>
    <r>
      <rPr>
        <sz val="11"/>
        <color theme="1"/>
        <rFont val="Calibri"/>
        <family val="2"/>
        <scheme val="minor"/>
      </rPr>
      <t xml:space="preserve"> το χρημα</t>
    </r>
  </si>
  <si>
    <r>
      <t xml:space="preserve">αυτω χωριον πωλησας </t>
    </r>
    <r>
      <rPr>
        <b/>
        <sz val="11"/>
        <color theme="1"/>
        <rFont val="Calibri"/>
        <family val="2"/>
        <scheme val="minor"/>
      </rPr>
      <t>ηνεγκε</t>
    </r>
    <r>
      <rPr>
        <sz val="11"/>
        <color theme="1"/>
        <rFont val="Calibri"/>
        <family val="2"/>
        <scheme val="minor"/>
      </rPr>
      <t xml:space="preserve"> το χρημα</t>
    </r>
  </si>
  <si>
    <t>Bezae corrects to σαφφιρα</t>
  </si>
  <si>
    <t>επληρωσεν ο σατανας την καρδιαν</t>
  </si>
  <si>
    <t>επληρωσεν προς ανανιαν καρδιαν</t>
  </si>
  <si>
    <t>ουχι μεσον σοι</t>
  </si>
  <si>
    <t>ουχι μενον σοι</t>
  </si>
  <si>
    <t>τη ση εξουσια</t>
  </si>
  <si>
    <t>τη εξουσια</t>
  </si>
  <si>
    <t>ποιησαι το πονηρον</t>
  </si>
  <si>
    <t>ποιησαι πονηρον</t>
  </si>
  <si>
    <t>εψευσου ανθρωποις</t>
  </si>
  <si>
    <t>εψευσω ανθρωποις</t>
  </si>
  <si>
    <t>μη ιδυια</t>
  </si>
  <si>
    <t>μη ειδυια</t>
  </si>
  <si>
    <r>
      <rPr>
        <b/>
        <sz val="11"/>
        <color theme="1"/>
        <rFont val="Calibri"/>
        <family val="2"/>
        <scheme val="minor"/>
      </rPr>
      <t>απεδοσθε</t>
    </r>
    <r>
      <rPr>
        <sz val="11"/>
        <color theme="1"/>
        <rFont val="Calibri"/>
        <family val="2"/>
        <scheme val="minor"/>
      </rPr>
      <t xml:space="preserve"> η δη ειπεν ναι</t>
    </r>
  </si>
  <si>
    <r>
      <rPr>
        <b/>
        <sz val="11"/>
        <color theme="1"/>
        <rFont val="Calibri"/>
        <family val="2"/>
        <scheme val="minor"/>
      </rPr>
      <t>απεδοσθη</t>
    </r>
    <r>
      <rPr>
        <sz val="11"/>
        <color theme="1"/>
        <rFont val="Calibri"/>
        <family val="2"/>
        <scheme val="minor"/>
      </rPr>
      <t xml:space="preserve"> η δε ειπε ναι</t>
    </r>
  </si>
  <si>
    <r>
      <t xml:space="preserve">απεδοσθη η </t>
    </r>
    <r>
      <rPr>
        <b/>
        <sz val="11"/>
        <color theme="1"/>
        <rFont val="Calibri"/>
        <family val="2"/>
        <scheme val="minor"/>
      </rPr>
      <t>δε</t>
    </r>
    <r>
      <rPr>
        <sz val="11"/>
        <color theme="1"/>
        <rFont val="Calibri"/>
        <family val="2"/>
        <scheme val="minor"/>
      </rPr>
      <t xml:space="preserve"> ειπε ναι</t>
    </r>
  </si>
  <si>
    <r>
      <t xml:space="preserve">απεδοσθε η </t>
    </r>
    <r>
      <rPr>
        <b/>
        <sz val="11"/>
        <color theme="1"/>
        <rFont val="Calibri"/>
        <family val="2"/>
        <scheme val="minor"/>
      </rPr>
      <t>δη</t>
    </r>
    <r>
      <rPr>
        <sz val="11"/>
        <color theme="1"/>
        <rFont val="Calibri"/>
        <family val="2"/>
        <scheme val="minor"/>
      </rPr>
      <t xml:space="preserve"> ειπεν ναι</t>
    </r>
  </si>
  <si>
    <r>
      <t xml:space="preserve">απεδοσθε η δη </t>
    </r>
    <r>
      <rPr>
        <b/>
        <sz val="11"/>
        <color theme="1"/>
        <rFont val="Calibri"/>
        <family val="2"/>
        <scheme val="minor"/>
      </rPr>
      <t>ειπεν</t>
    </r>
    <r>
      <rPr>
        <sz val="11"/>
        <color theme="1"/>
        <rFont val="Calibri"/>
        <family val="2"/>
        <scheme val="minor"/>
      </rPr>
      <t xml:space="preserve"> ναι</t>
    </r>
  </si>
  <si>
    <r>
      <t xml:space="preserve">απεδοσθη η δε </t>
    </r>
    <r>
      <rPr>
        <b/>
        <sz val="11"/>
        <color theme="1"/>
        <rFont val="Calibri"/>
        <family val="2"/>
        <scheme val="minor"/>
      </rPr>
      <t>ειπε</t>
    </r>
    <r>
      <rPr>
        <sz val="11"/>
        <color theme="1"/>
        <rFont val="Calibri"/>
        <family val="2"/>
        <scheme val="minor"/>
      </rPr>
      <t xml:space="preserve"> ναι</t>
    </r>
  </si>
  <si>
    <t>πετρος προς αυτην</t>
  </si>
  <si>
    <t>πετρος αυτην</t>
  </si>
  <si>
    <t>εν τη στοα σολομωντος</t>
  </si>
  <si>
    <r>
      <t xml:space="preserve">εν τη στοα </t>
    </r>
    <r>
      <rPr>
        <b/>
        <sz val="11"/>
        <color theme="1"/>
        <rFont val="Calibri"/>
        <family val="2"/>
        <scheme val="minor"/>
      </rPr>
      <t>τη</t>
    </r>
    <r>
      <rPr>
        <sz val="11"/>
        <color theme="1"/>
        <rFont val="Calibri"/>
        <family val="2"/>
        <scheme val="minor"/>
      </rPr>
      <t xml:space="preserve"> σολομωνος</t>
    </r>
  </si>
  <si>
    <r>
      <t xml:space="preserve">εν τη στοα τη </t>
    </r>
    <r>
      <rPr>
        <b/>
        <sz val="11"/>
        <color theme="1"/>
        <rFont val="Calibri"/>
        <family val="2"/>
        <scheme val="minor"/>
      </rPr>
      <t>σολομωνος</t>
    </r>
  </si>
  <si>
    <r>
      <t xml:space="preserve">εν τη στοα </t>
    </r>
    <r>
      <rPr>
        <b/>
        <sz val="11"/>
        <color theme="1"/>
        <rFont val="Calibri"/>
        <family val="2"/>
        <scheme val="minor"/>
      </rPr>
      <t>σολομωντος</t>
    </r>
  </si>
  <si>
    <t>πληθη ανδρων</t>
  </si>
  <si>
    <t>πληθι ανδρων</t>
  </si>
  <si>
    <t>ωστε κατα τας πλατειας</t>
  </si>
  <si>
    <t>ωστε κατα πλατειας</t>
  </si>
  <si>
    <t>Bezae corrects to ωστε και εις τας πλατιεας</t>
  </si>
  <si>
    <t>δε και πληθος</t>
  </si>
  <si>
    <t>των περιξ πολεων</t>
  </si>
  <si>
    <t>των περι πολεων</t>
  </si>
  <si>
    <t xml:space="preserve">οχλουμενους απο πνευματων </t>
  </si>
  <si>
    <t xml:space="preserve">οχλουμενους υπο πνευματων </t>
  </si>
  <si>
    <t xml:space="preserve">και ειωντο </t>
  </si>
  <si>
    <t xml:space="preserve">και ιωντο </t>
  </si>
  <si>
    <t>σαδδουκαιων απεπλησθησαν</t>
  </si>
  <si>
    <t>και εθεντο αυτους</t>
  </si>
  <si>
    <t>και ηθεντο αυτους</t>
  </si>
  <si>
    <t>ανεωξεν</t>
  </si>
  <si>
    <t>ειπε (20) πορευεσθε</t>
  </si>
  <si>
    <t>ειπεν (20) πορευεσθε</t>
  </si>
  <si>
    <r>
      <t xml:space="preserve">αυτω </t>
    </r>
    <r>
      <rPr>
        <b/>
        <sz val="11"/>
        <color theme="1"/>
        <rFont val="Calibri"/>
        <family val="2"/>
        <scheme val="minor"/>
      </rPr>
      <t>εγερθεντες</t>
    </r>
    <r>
      <rPr>
        <sz val="11"/>
        <color theme="1"/>
        <rFont val="Calibri"/>
        <family val="2"/>
        <scheme val="minor"/>
      </rPr>
      <t xml:space="preserve"> το πρωι</t>
    </r>
  </si>
  <si>
    <r>
      <t xml:space="preserve">αυτω </t>
    </r>
    <r>
      <rPr>
        <b/>
        <sz val="11"/>
        <color theme="1"/>
        <rFont val="Calibri"/>
        <family val="2"/>
        <scheme val="minor"/>
      </rPr>
      <t>ηγερθεντες</t>
    </r>
    <r>
      <rPr>
        <sz val="11"/>
        <color theme="1"/>
        <rFont val="Calibri"/>
        <family val="2"/>
        <scheme val="minor"/>
      </rPr>
      <t xml:space="preserve"> τω πρωι</t>
    </r>
  </si>
  <si>
    <r>
      <t xml:space="preserve">αυτω εγερθεντες </t>
    </r>
    <r>
      <rPr>
        <b/>
        <sz val="11"/>
        <color theme="1"/>
        <rFont val="Calibri"/>
        <family val="2"/>
        <scheme val="minor"/>
      </rPr>
      <t>το</t>
    </r>
    <r>
      <rPr>
        <sz val="11"/>
        <color theme="1"/>
        <rFont val="Calibri"/>
        <family val="2"/>
        <scheme val="minor"/>
      </rPr>
      <t xml:space="preserve"> πρωι</t>
    </r>
  </si>
  <si>
    <r>
      <t xml:space="preserve">αυτω ηγερθεντες </t>
    </r>
    <r>
      <rPr>
        <b/>
        <sz val="11"/>
        <color theme="1"/>
        <rFont val="Calibri"/>
        <family val="2"/>
        <scheme val="minor"/>
      </rPr>
      <t>τω</t>
    </r>
    <r>
      <rPr>
        <sz val="11"/>
        <color theme="1"/>
        <rFont val="Calibri"/>
        <family val="2"/>
        <scheme val="minor"/>
      </rPr>
      <t xml:space="preserve"> πρωι</t>
    </r>
  </si>
  <si>
    <t>ουκ ευρον</t>
  </si>
  <si>
    <t>ουχ ευρον</t>
  </si>
  <si>
    <t>αναστρεψαντες δε απηγγειλαν</t>
  </si>
  <si>
    <t>αναστρεψαντες και απηγγειλαν</t>
  </si>
  <si>
    <t>το μεν δεσμωτηριον</t>
  </si>
  <si>
    <t>το δεσμωτηριον</t>
  </si>
  <si>
    <t>ευρομεν κεκλεισμενον</t>
  </si>
  <si>
    <t>ευρομεν ενκλεκλεισμενον</t>
  </si>
  <si>
    <t>τι αν γενοιτο τουτο</t>
  </si>
  <si>
    <t>τι αν γενηται τουτο</t>
  </si>
  <si>
    <t>απηγγειλεν αυτοις λεγων οτι</t>
  </si>
  <si>
    <t>απηγγειλεν αυτοις οτι</t>
  </si>
  <si>
    <t>οτι ιδου</t>
  </si>
  <si>
    <t>οτι ειδου</t>
  </si>
  <si>
    <t xml:space="preserve">υπηρεταις ηγαγον αυτους μετα βιας </t>
  </si>
  <si>
    <r>
      <t xml:space="preserve">υπηρεταις </t>
    </r>
    <r>
      <rPr>
        <b/>
        <sz val="11"/>
        <color theme="1"/>
        <rFont val="Calibri"/>
        <family val="2"/>
        <scheme val="minor"/>
      </rPr>
      <t>ηγαγον</t>
    </r>
    <r>
      <rPr>
        <sz val="11"/>
        <color theme="1"/>
        <rFont val="Calibri"/>
        <family val="2"/>
        <scheme val="minor"/>
      </rPr>
      <t xml:space="preserve"> αυτους μετα βιας </t>
    </r>
  </si>
  <si>
    <r>
      <t xml:space="preserve">υπηρεταις </t>
    </r>
    <r>
      <rPr>
        <b/>
        <sz val="11"/>
        <color theme="1"/>
        <rFont val="Calibri"/>
        <family val="2"/>
        <scheme val="minor"/>
      </rPr>
      <t>ηγαγεν</t>
    </r>
    <r>
      <rPr>
        <sz val="11"/>
        <color theme="1"/>
        <rFont val="Calibri"/>
        <family val="2"/>
        <scheme val="minor"/>
      </rPr>
      <t xml:space="preserve"> αυτους ου μετα βιας </t>
    </r>
  </si>
  <si>
    <r>
      <t xml:space="preserve">υπηρεταις ηγαγεν αυτους </t>
    </r>
    <r>
      <rPr>
        <b/>
        <sz val="11"/>
        <color theme="1"/>
        <rFont val="Calibri"/>
        <family val="2"/>
        <scheme val="minor"/>
      </rPr>
      <t>ου</t>
    </r>
    <r>
      <rPr>
        <sz val="11"/>
        <color theme="1"/>
        <rFont val="Calibri"/>
        <family val="2"/>
        <scheme val="minor"/>
      </rPr>
      <t xml:space="preserve"> μετα βιας </t>
    </r>
  </si>
  <si>
    <t>φοβουμενοι γαρ τον λαον μη λιθασθωσιν</t>
  </si>
  <si>
    <t>φοβουμενοι τον λαον ινα μη λιθασθωσιν</t>
  </si>
  <si>
    <r>
      <t xml:space="preserve">φοβουμενοι </t>
    </r>
    <r>
      <rPr>
        <b/>
        <sz val="11"/>
        <color theme="1"/>
        <rFont val="Calibri"/>
        <family val="2"/>
        <scheme val="minor"/>
      </rPr>
      <t>γαρ</t>
    </r>
    <r>
      <rPr>
        <sz val="11"/>
        <color theme="1"/>
        <rFont val="Calibri"/>
        <family val="2"/>
        <scheme val="minor"/>
      </rPr>
      <t xml:space="preserve"> τον λαον μη λιθασθωσιν</t>
    </r>
  </si>
  <si>
    <r>
      <t xml:space="preserve">φοβουμενοι τον λαον </t>
    </r>
    <r>
      <rPr>
        <b/>
        <sz val="11"/>
        <color theme="1"/>
        <rFont val="Calibri"/>
        <family val="2"/>
        <scheme val="minor"/>
      </rPr>
      <t>ινα</t>
    </r>
    <r>
      <rPr>
        <sz val="11"/>
        <color theme="1"/>
        <rFont val="Calibri"/>
        <family val="2"/>
        <scheme val="minor"/>
      </rPr>
      <t xml:space="preserve"> μη λιθασθωσιν</t>
    </r>
  </si>
  <si>
    <t>ο αρχιερευς</t>
  </si>
  <si>
    <t>ο ιερευς</t>
  </si>
  <si>
    <t>τουτω και ιδου</t>
  </si>
  <si>
    <t>τουτω ιδου</t>
  </si>
  <si>
    <r>
      <rPr>
        <b/>
        <sz val="11"/>
        <color theme="1"/>
        <rFont val="Calibri"/>
        <family val="2"/>
        <scheme val="minor"/>
      </rPr>
      <t>βουλεσθαι</t>
    </r>
    <r>
      <rPr>
        <sz val="11"/>
        <color theme="1"/>
        <rFont val="Calibri"/>
        <family val="2"/>
        <scheme val="minor"/>
      </rPr>
      <t xml:space="preserve"> εφαγαγειν εφ ημας</t>
    </r>
  </si>
  <si>
    <r>
      <rPr>
        <b/>
        <sz val="11"/>
        <color theme="1"/>
        <rFont val="Calibri"/>
        <family val="2"/>
        <scheme val="minor"/>
      </rPr>
      <t>βουλεσθε</t>
    </r>
    <r>
      <rPr>
        <sz val="11"/>
        <color theme="1"/>
        <rFont val="Calibri"/>
        <family val="2"/>
        <scheme val="minor"/>
      </rPr>
      <t xml:space="preserve"> επαγαγειν εφ ημας</t>
    </r>
  </si>
  <si>
    <r>
      <t xml:space="preserve">βουλεσθαι </t>
    </r>
    <r>
      <rPr>
        <b/>
        <sz val="11"/>
        <color theme="1"/>
        <rFont val="Calibri"/>
        <family val="2"/>
        <scheme val="minor"/>
      </rPr>
      <t>εφαγαγειν</t>
    </r>
    <r>
      <rPr>
        <sz val="11"/>
        <color theme="1"/>
        <rFont val="Calibri"/>
        <family val="2"/>
        <scheme val="minor"/>
      </rPr>
      <t xml:space="preserve"> εφ ημας</t>
    </r>
  </si>
  <si>
    <r>
      <t xml:space="preserve">βουλεσθε </t>
    </r>
    <r>
      <rPr>
        <b/>
        <sz val="11"/>
        <color theme="1"/>
        <rFont val="Calibri"/>
        <family val="2"/>
        <scheme val="minor"/>
      </rPr>
      <t>επαγαγειν</t>
    </r>
    <r>
      <rPr>
        <sz val="11"/>
        <color theme="1"/>
        <rFont val="Calibri"/>
        <family val="2"/>
        <scheme val="minor"/>
      </rPr>
      <t xml:space="preserve"> εφ ημας</t>
    </r>
  </si>
  <si>
    <r>
      <t xml:space="preserve">(28) ανθρωπου </t>
    </r>
    <r>
      <rPr>
        <b/>
        <sz val="11"/>
        <color theme="1"/>
        <rFont val="Calibri"/>
        <family val="2"/>
        <scheme val="minor"/>
      </rPr>
      <t>εκεινου</t>
    </r>
    <r>
      <rPr>
        <sz val="11"/>
        <color theme="1"/>
        <rFont val="Calibri"/>
        <family val="2"/>
        <scheme val="minor"/>
      </rPr>
      <t xml:space="preserve"> (29) πειθαρχειν δει θω μαλλον η ανθρωποις ο δε πετρος ειπεν προς αυτους  (30) τουτον ο θς</t>
    </r>
  </si>
  <si>
    <r>
      <t xml:space="preserve">(28) ανθρωπου </t>
    </r>
    <r>
      <rPr>
        <b/>
        <sz val="11"/>
        <color theme="1"/>
        <rFont val="Calibri"/>
        <family val="2"/>
        <scheme val="minor"/>
      </rPr>
      <t>τουτου</t>
    </r>
    <r>
      <rPr>
        <sz val="11"/>
        <color theme="1"/>
        <rFont val="Calibri"/>
        <family val="2"/>
        <scheme val="minor"/>
      </rPr>
      <t xml:space="preserve"> (29) πειθαρχειν δει θω μαλλον η ανθρωποις ο δε πετρος ειπεν προς αυτους  (30) ο θεος</t>
    </r>
  </si>
  <si>
    <r>
      <t xml:space="preserve">(28) ανθρωπου εκεινου (29) </t>
    </r>
    <r>
      <rPr>
        <b/>
        <sz val="11"/>
        <color theme="1"/>
        <rFont val="Calibri"/>
        <family val="2"/>
        <scheme val="minor"/>
      </rPr>
      <t>πειθαρχειν δει θω μαλλον η ανθρωποις ο δε πετρος ειπεν προς αυτους</t>
    </r>
    <r>
      <rPr>
        <sz val="11"/>
        <color theme="1"/>
        <rFont val="Calibri"/>
        <family val="2"/>
        <scheme val="minor"/>
      </rPr>
      <t xml:space="preserve">  (30) τουτον ο θς</t>
    </r>
  </si>
  <si>
    <r>
      <t xml:space="preserve">(28) ανθρωπου τουτου (29) </t>
    </r>
    <r>
      <rPr>
        <b/>
        <sz val="11"/>
        <color theme="1"/>
        <rFont val="Calibri"/>
        <family val="2"/>
        <scheme val="minor"/>
      </rPr>
      <t>πειθαρχειν δει θω μαλλον η ανθρωποις ο δε πετρος ειπεν προς αυτους</t>
    </r>
    <r>
      <rPr>
        <sz val="11"/>
        <color theme="1"/>
        <rFont val="Calibri"/>
        <family val="2"/>
        <scheme val="minor"/>
      </rPr>
      <t xml:space="preserve">  (30) ο θεος</t>
    </r>
  </si>
  <si>
    <t>A correction in Bezae transposes the order of πειθαρχειν ... ανθρωποις &lt;-&gt; ο δε ... αυτους, B.10.3 does not follow</t>
  </si>
  <si>
    <t>τη δεξια αυτου</t>
  </si>
  <si>
    <t>τη δοξη αυτου</t>
  </si>
  <si>
    <t xml:space="preserve">αφεσιν αμαρτιων εν αυτω (32) και ημεις </t>
  </si>
  <si>
    <r>
      <t xml:space="preserve">αφεσιν </t>
    </r>
    <r>
      <rPr>
        <b/>
        <sz val="11"/>
        <color theme="1"/>
        <rFont val="Calibri"/>
        <family val="2"/>
        <scheme val="minor"/>
      </rPr>
      <t>των</t>
    </r>
    <r>
      <rPr>
        <sz val="11"/>
        <color theme="1"/>
        <rFont val="Calibri"/>
        <family val="2"/>
        <scheme val="minor"/>
      </rPr>
      <t xml:space="preserve"> αμαρτιων εν αυτω (32) και ημεις </t>
    </r>
  </si>
  <si>
    <r>
      <t xml:space="preserve">αφεσιν των αμαρτιων </t>
    </r>
    <r>
      <rPr>
        <b/>
        <sz val="11"/>
        <color theme="1"/>
        <rFont val="Calibri"/>
        <family val="2"/>
        <scheme val="minor"/>
      </rPr>
      <t>εν αυτω</t>
    </r>
    <r>
      <rPr>
        <sz val="11"/>
        <color theme="1"/>
        <rFont val="Calibri"/>
        <family val="2"/>
        <scheme val="minor"/>
      </rPr>
      <t xml:space="preserve"> (32) και ημεις </t>
    </r>
  </si>
  <si>
    <r>
      <t xml:space="preserve">αφεσιν αμαρτιων </t>
    </r>
    <r>
      <rPr>
        <b/>
        <sz val="11"/>
        <color theme="1"/>
        <rFont val="Calibri"/>
        <family val="2"/>
        <scheme val="minor"/>
      </rPr>
      <t>εν αυτω</t>
    </r>
    <r>
      <rPr>
        <sz val="11"/>
        <color theme="1"/>
        <rFont val="Calibri"/>
        <family val="2"/>
        <scheme val="minor"/>
      </rPr>
      <t xml:space="preserve"> (32) και ημεις </t>
    </r>
  </si>
  <si>
    <t>Bezae marks these words for deletion, Β.10.3 does not follow</t>
  </si>
  <si>
    <t xml:space="preserve">εσμεν μαρτυρες παντων των ρηματων </t>
  </si>
  <si>
    <r>
      <t xml:space="preserve">εσμεν </t>
    </r>
    <r>
      <rPr>
        <b/>
        <sz val="11"/>
        <color theme="1"/>
        <rFont val="Calibri"/>
        <family val="2"/>
        <scheme val="minor"/>
      </rPr>
      <t>αυτου</t>
    </r>
    <r>
      <rPr>
        <sz val="11"/>
        <color theme="1"/>
        <rFont val="Calibri"/>
        <family val="2"/>
        <scheme val="minor"/>
      </rPr>
      <t xml:space="preserve"> μαρτυρες παντων των ρηματων </t>
    </r>
  </si>
  <si>
    <r>
      <t xml:space="preserve">εσμεν μαρτυρες </t>
    </r>
    <r>
      <rPr>
        <b/>
        <sz val="11"/>
        <color theme="1"/>
        <rFont val="Calibri"/>
        <family val="2"/>
        <scheme val="minor"/>
      </rPr>
      <t>παντων</t>
    </r>
    <r>
      <rPr>
        <sz val="11"/>
        <color theme="1"/>
        <rFont val="Calibri"/>
        <family val="2"/>
        <scheme val="minor"/>
      </rPr>
      <t xml:space="preserve"> των ρηματων </t>
    </r>
  </si>
  <si>
    <r>
      <t xml:space="preserve">εσμεν αυτου μαρτυρες </t>
    </r>
    <r>
      <rPr>
        <b/>
        <sz val="11"/>
        <color theme="1"/>
        <rFont val="Calibri"/>
        <family val="2"/>
        <scheme val="minor"/>
      </rPr>
      <t>παντων</t>
    </r>
    <r>
      <rPr>
        <sz val="11"/>
        <color theme="1"/>
        <rFont val="Calibri"/>
        <family val="2"/>
        <scheme val="minor"/>
      </rPr>
      <t xml:space="preserve"> των ρηματων </t>
    </r>
  </si>
  <si>
    <t>πνα το αγιον ον εδωκεν</t>
  </si>
  <si>
    <r>
      <t xml:space="preserve">πνευμα </t>
    </r>
    <r>
      <rPr>
        <b/>
        <sz val="11"/>
        <color theme="1"/>
        <rFont val="Calibri"/>
        <family val="2"/>
        <scheme val="minor"/>
      </rPr>
      <t>δε</t>
    </r>
    <r>
      <rPr>
        <sz val="11"/>
        <color theme="1"/>
        <rFont val="Calibri"/>
        <family val="2"/>
        <scheme val="minor"/>
      </rPr>
      <t xml:space="preserve"> το αγιον ο εδωκεν</t>
    </r>
  </si>
  <si>
    <r>
      <t xml:space="preserve">πνα το αγιον </t>
    </r>
    <r>
      <rPr>
        <b/>
        <sz val="11"/>
        <color theme="1"/>
        <rFont val="Calibri"/>
        <family val="2"/>
        <scheme val="minor"/>
      </rPr>
      <t>ον</t>
    </r>
    <r>
      <rPr>
        <sz val="11"/>
        <color theme="1"/>
        <rFont val="Calibri"/>
        <family val="2"/>
        <scheme val="minor"/>
      </rPr>
      <t xml:space="preserve"> εδωκεν</t>
    </r>
  </si>
  <si>
    <r>
      <t xml:space="preserve">πνευμα δε το αγιον </t>
    </r>
    <r>
      <rPr>
        <b/>
        <sz val="11"/>
        <color theme="1"/>
        <rFont val="Calibri"/>
        <family val="2"/>
        <scheme val="minor"/>
      </rPr>
      <t>ο</t>
    </r>
    <r>
      <rPr>
        <sz val="11"/>
        <color theme="1"/>
        <rFont val="Calibri"/>
        <family val="2"/>
        <scheme val="minor"/>
      </rPr>
      <t xml:space="preserve"> εδωκεν</t>
    </r>
  </si>
  <si>
    <t>προσεχεται εαυτοις επι</t>
  </si>
  <si>
    <t>προσεχεται εαυτους επι</t>
  </si>
  <si>
    <t>μελλεται πρασσειν</t>
  </si>
  <si>
    <t>μελλετε πρασσειν</t>
  </si>
  <si>
    <t>προσεκληθησαν αριθμος</t>
  </si>
  <si>
    <t>προσεκληθη αριθμος</t>
  </si>
  <si>
    <r>
      <t xml:space="preserve">ανδρων </t>
    </r>
    <r>
      <rPr>
        <b/>
        <sz val="11"/>
        <color theme="1"/>
        <rFont val="Calibri"/>
        <family val="2"/>
        <scheme val="minor"/>
      </rPr>
      <t>ως</t>
    </r>
    <r>
      <rPr>
        <sz val="11"/>
        <color theme="1"/>
        <rFont val="Calibri"/>
        <family val="2"/>
        <scheme val="minor"/>
      </rPr>
      <t xml:space="preserve"> τετρακοσιων ος διελυθη αυτος</t>
    </r>
  </si>
  <si>
    <r>
      <t xml:space="preserve">ανδρων </t>
    </r>
    <r>
      <rPr>
        <b/>
        <sz val="11"/>
        <color theme="1"/>
        <rFont val="Calibri"/>
        <family val="2"/>
        <scheme val="minor"/>
      </rPr>
      <t>ωσει</t>
    </r>
    <r>
      <rPr>
        <sz val="11"/>
        <color theme="1"/>
        <rFont val="Calibri"/>
        <family val="2"/>
        <scheme val="minor"/>
      </rPr>
      <t xml:space="preserve"> τετρακοσιων ως ανηρηθη αυτος</t>
    </r>
  </si>
  <si>
    <r>
      <t xml:space="preserve">ανδρων ως τετρακοσιων </t>
    </r>
    <r>
      <rPr>
        <b/>
        <sz val="11"/>
        <color theme="1"/>
        <rFont val="Calibri"/>
        <family val="2"/>
        <scheme val="minor"/>
      </rPr>
      <t>ος</t>
    </r>
    <r>
      <rPr>
        <sz val="11"/>
        <color theme="1"/>
        <rFont val="Calibri"/>
        <family val="2"/>
        <scheme val="minor"/>
      </rPr>
      <t xml:space="preserve"> διελυθη αυτος</t>
    </r>
  </si>
  <si>
    <r>
      <t xml:space="preserve">ανδρων ωσει τετρακοσιων </t>
    </r>
    <r>
      <rPr>
        <b/>
        <sz val="11"/>
        <color theme="1"/>
        <rFont val="Calibri"/>
        <family val="2"/>
        <scheme val="minor"/>
      </rPr>
      <t>ως</t>
    </r>
    <r>
      <rPr>
        <sz val="11"/>
        <color theme="1"/>
        <rFont val="Calibri"/>
        <family val="2"/>
        <scheme val="minor"/>
      </rPr>
      <t xml:space="preserve"> ανηρηθη αυτος</t>
    </r>
  </si>
  <si>
    <r>
      <t xml:space="preserve">ανδρων ως τετρακοσιων ος </t>
    </r>
    <r>
      <rPr>
        <b/>
        <sz val="11"/>
        <color theme="1"/>
        <rFont val="Calibri"/>
        <family val="2"/>
        <scheme val="minor"/>
      </rPr>
      <t>διελυθη</t>
    </r>
    <r>
      <rPr>
        <sz val="11"/>
        <color theme="1"/>
        <rFont val="Calibri"/>
        <family val="2"/>
        <scheme val="minor"/>
      </rPr>
      <t xml:space="preserve"> αυτος</t>
    </r>
  </si>
  <si>
    <r>
      <t xml:space="preserve">ανδρων ωσει τετρακοσιων ως </t>
    </r>
    <r>
      <rPr>
        <b/>
        <sz val="11"/>
        <color theme="1"/>
        <rFont val="Calibri"/>
        <family val="2"/>
        <scheme val="minor"/>
      </rPr>
      <t>ανηρηθη</t>
    </r>
    <r>
      <rPr>
        <sz val="11"/>
        <color theme="1"/>
        <rFont val="Calibri"/>
        <family val="2"/>
        <scheme val="minor"/>
      </rPr>
      <t xml:space="preserve"> αυτος</t>
    </r>
  </si>
  <si>
    <t>αυτω διελυθησαν και εγενοντο</t>
  </si>
  <si>
    <t>αυτω και εγενοντο</t>
  </si>
  <si>
    <t>εις ουθεν (37) μετα τουτον</t>
  </si>
  <si>
    <t>εις ουδεν (37) μετα τουτον</t>
  </si>
  <si>
    <t>νυν εισιν αδελφοι</t>
  </si>
  <si>
    <t>Bezae marks εισιν for deletion, B.10.3 does not follow</t>
  </si>
  <si>
    <r>
      <t xml:space="preserve">ει </t>
    </r>
    <r>
      <rPr>
        <b/>
        <sz val="11"/>
        <color theme="1"/>
        <rFont val="Calibri"/>
        <family val="2"/>
        <scheme val="minor"/>
      </rPr>
      <t>δε</t>
    </r>
    <r>
      <rPr>
        <sz val="11"/>
        <color theme="1"/>
        <rFont val="Calibri"/>
        <family val="2"/>
        <scheme val="minor"/>
      </rPr>
      <t xml:space="preserve"> εκ θυ εστιν ου δυνησεσθαι καλυσαι</t>
    </r>
  </si>
  <si>
    <t>ει εκ θυ ου δυνησεσθαι λυσαι</t>
  </si>
  <si>
    <r>
      <t xml:space="preserve">ει δε εκ θυ </t>
    </r>
    <r>
      <rPr>
        <b/>
        <sz val="11"/>
        <color theme="1"/>
        <rFont val="Calibri"/>
        <family val="2"/>
        <scheme val="minor"/>
      </rPr>
      <t>εστιν</t>
    </r>
    <r>
      <rPr>
        <sz val="11"/>
        <color theme="1"/>
        <rFont val="Calibri"/>
        <family val="2"/>
        <scheme val="minor"/>
      </rPr>
      <t xml:space="preserve"> ου δυνησεσθαι καλυσαι</t>
    </r>
  </si>
  <si>
    <r>
      <t xml:space="preserve">ει δε εκ θυ εστιν ου δυνησεσθαι </t>
    </r>
    <r>
      <rPr>
        <b/>
        <sz val="11"/>
        <color theme="1"/>
        <rFont val="Calibri"/>
        <family val="2"/>
        <scheme val="minor"/>
      </rPr>
      <t>καλυσαι</t>
    </r>
  </si>
  <si>
    <r>
      <t xml:space="preserve">ει εκ θυ ου δυνησεσθαι </t>
    </r>
    <r>
      <rPr>
        <b/>
        <sz val="11"/>
        <color theme="1"/>
        <rFont val="Calibri"/>
        <family val="2"/>
        <scheme val="minor"/>
      </rPr>
      <t>λυσαι</t>
    </r>
  </si>
  <si>
    <t>μηποτε θεομαχοι</t>
  </si>
  <si>
    <t>Bezae adds και between these words, B.10.3 does not follow</t>
  </si>
  <si>
    <t>επειστ[]ες δε αυτω</t>
  </si>
  <si>
    <t>επειθησαν δε αυτω</t>
  </si>
  <si>
    <t>παρηγγειλαν μη λαλειν</t>
  </si>
  <si>
    <t>παρηγγειλαν και προσκαλεσαμενοι μη λαλειν</t>
  </si>
  <si>
    <t xml:space="preserve">επει τω ονοματι </t>
  </si>
  <si>
    <t xml:space="preserve">επι τω ονοματι </t>
  </si>
  <si>
    <t>πασαν δε ημεραν</t>
  </si>
  <si>
    <t>πασαν τε ημεραν</t>
  </si>
  <si>
    <t>ευαγγελιζομενοι ιησουν τον χριστον (6:1) εν δε</t>
  </si>
  <si>
    <t>ευαγγελιζομενοι τον κν ιην χρν (6:1) εν δε</t>
  </si>
  <si>
    <r>
      <t xml:space="preserve">ευαγγελιζομενοι </t>
    </r>
    <r>
      <rPr>
        <b/>
        <sz val="11"/>
        <color theme="1"/>
        <rFont val="Calibri"/>
        <family val="2"/>
        <scheme val="minor"/>
      </rPr>
      <t>τον κν</t>
    </r>
    <r>
      <rPr>
        <sz val="11"/>
        <color theme="1"/>
        <rFont val="Calibri"/>
        <family val="2"/>
        <scheme val="minor"/>
      </rPr>
      <t xml:space="preserve"> ιην χρν (6:1) εν δε</t>
    </r>
  </si>
  <si>
    <r>
      <t xml:space="preserve">ευαγγελιζομενοι ιησουν </t>
    </r>
    <r>
      <rPr>
        <b/>
        <sz val="11"/>
        <color theme="1"/>
        <rFont val="Calibri"/>
        <family val="2"/>
        <scheme val="minor"/>
      </rPr>
      <t>τον</t>
    </r>
    <r>
      <rPr>
        <sz val="11"/>
        <color theme="1"/>
        <rFont val="Calibri"/>
        <family val="2"/>
        <scheme val="minor"/>
      </rPr>
      <t xml:space="preserve"> χριστον (6:1) εν δε</t>
    </r>
  </si>
  <si>
    <t>ταυταις ημεραις</t>
  </si>
  <si>
    <t>ταυταις ταις ημεραις</t>
  </si>
  <si>
    <r>
      <t xml:space="preserve">(1) παρεθεωρουντο εν τη διακονια </t>
    </r>
    <r>
      <rPr>
        <b/>
        <sz val="11"/>
        <color theme="1"/>
        <rFont val="Calibri"/>
        <family val="2"/>
        <scheme val="minor"/>
      </rPr>
      <t>τη</t>
    </r>
    <r>
      <rPr>
        <sz val="11"/>
        <color theme="1"/>
        <rFont val="Calibri"/>
        <family val="2"/>
        <scheme val="minor"/>
      </rPr>
      <t xml:space="preserve"> καθημερινη αι χηραι αυτων εν τη διακονια των εβραιων (2) προσκαλεσαμενοι δε οι δωδεκα</t>
    </r>
  </si>
  <si>
    <r>
      <t xml:space="preserve">(1) παρεθεωρουντο εν τη διακονια τη καθημερινη αι χηραι αυτων </t>
    </r>
    <r>
      <rPr>
        <b/>
        <sz val="11"/>
        <color theme="1"/>
        <rFont val="Calibri"/>
        <family val="2"/>
        <scheme val="minor"/>
      </rPr>
      <t>εν τη διακονια των εβραιων</t>
    </r>
    <r>
      <rPr>
        <sz val="11"/>
        <color theme="1"/>
        <rFont val="Calibri"/>
        <family val="2"/>
        <scheme val="minor"/>
      </rPr>
      <t xml:space="preserve"> (2) προσκαλεσαμενοι δε οι δωδεκα</t>
    </r>
  </si>
  <si>
    <r>
      <t xml:space="preserve">(1) παρεθεωρουντο εν τη διακονια τη καθημερινη αι χηραι αυτων εν τη διακονια των εβραιων (2) προσκαλεσαμενοι </t>
    </r>
    <r>
      <rPr>
        <b/>
        <sz val="11"/>
        <color theme="1"/>
        <rFont val="Calibri"/>
        <family val="2"/>
        <scheme val="minor"/>
      </rPr>
      <t>δε</t>
    </r>
    <r>
      <rPr>
        <sz val="11"/>
        <color theme="1"/>
        <rFont val="Calibri"/>
        <family val="2"/>
        <scheme val="minor"/>
      </rPr>
      <t xml:space="preserve"> οι δωδεκα</t>
    </r>
  </si>
  <si>
    <r>
      <rPr>
        <b/>
        <sz val="11"/>
        <color theme="1"/>
        <rFont val="Calibri"/>
        <family val="2"/>
        <scheme val="minor"/>
      </rPr>
      <t>χριας</t>
    </r>
    <r>
      <rPr>
        <sz val="11"/>
        <color theme="1"/>
        <rFont val="Calibri"/>
        <family val="2"/>
        <scheme val="minor"/>
      </rPr>
      <t xml:space="preserve"> αυτης (4) ημεις</t>
    </r>
  </si>
  <si>
    <r>
      <rPr>
        <b/>
        <sz val="11"/>
        <color theme="1"/>
        <rFont val="Calibri"/>
        <family val="2"/>
        <scheme val="minor"/>
      </rPr>
      <t>χρειας</t>
    </r>
    <r>
      <rPr>
        <sz val="11"/>
        <color theme="1"/>
        <rFont val="Calibri"/>
        <family val="2"/>
        <scheme val="minor"/>
      </rPr>
      <t xml:space="preserve"> ταυτης (4) ημεις</t>
    </r>
  </si>
  <si>
    <r>
      <t xml:space="preserve">χριας </t>
    </r>
    <r>
      <rPr>
        <b/>
        <sz val="11"/>
        <color theme="1"/>
        <rFont val="Calibri"/>
        <family val="2"/>
        <scheme val="minor"/>
      </rPr>
      <t>αυτης</t>
    </r>
    <r>
      <rPr>
        <sz val="11"/>
        <color theme="1"/>
        <rFont val="Calibri"/>
        <family val="2"/>
        <scheme val="minor"/>
      </rPr>
      <t xml:space="preserve"> (4) ημεις</t>
    </r>
  </si>
  <si>
    <r>
      <t xml:space="preserve">χρειας </t>
    </r>
    <r>
      <rPr>
        <b/>
        <sz val="11"/>
        <color theme="1"/>
        <rFont val="Calibri"/>
        <family val="2"/>
        <scheme val="minor"/>
      </rPr>
      <t>ταυτης</t>
    </r>
    <r>
      <rPr>
        <sz val="11"/>
        <color theme="1"/>
        <rFont val="Calibri"/>
        <family val="2"/>
        <scheme val="minor"/>
      </rPr>
      <t xml:space="preserve"> (4) ημεις</t>
    </r>
  </si>
  <si>
    <t>πληρης πιστεως</t>
  </si>
  <si>
    <t>πληρη πιστεως</t>
  </si>
  <si>
    <t>και παρμεναν και νικολαον</t>
  </si>
  <si>
    <t>και παρμενα και νικολαον</t>
  </si>
  <si>
    <t>λογος του θεου</t>
  </si>
  <si>
    <t>λογος του κυ</t>
  </si>
  <si>
    <t>υπηκουον τη πιστει</t>
  </si>
  <si>
    <r>
      <t xml:space="preserve">υπηκουον </t>
    </r>
    <r>
      <rPr>
        <b/>
        <sz val="11"/>
        <color theme="1"/>
        <rFont val="Calibri"/>
        <family val="2"/>
        <scheme val="minor"/>
      </rPr>
      <t>αν</t>
    </r>
    <r>
      <rPr>
        <sz val="11"/>
        <color theme="1"/>
        <rFont val="Calibri"/>
        <family val="2"/>
        <scheme val="minor"/>
      </rPr>
      <t xml:space="preserve"> τη πιστι</t>
    </r>
  </si>
  <si>
    <r>
      <t xml:space="preserve">υπηκουον αν τη </t>
    </r>
    <r>
      <rPr>
        <b/>
        <sz val="11"/>
        <color theme="1"/>
        <rFont val="Calibri"/>
        <family val="2"/>
        <scheme val="minor"/>
      </rPr>
      <t>πιστι</t>
    </r>
  </si>
  <si>
    <r>
      <t xml:space="preserve">υπηκουον τη </t>
    </r>
    <r>
      <rPr>
        <b/>
        <sz val="11"/>
        <color theme="1"/>
        <rFont val="Calibri"/>
        <family val="2"/>
        <scheme val="minor"/>
      </rPr>
      <t>πιστει</t>
    </r>
  </si>
  <si>
    <t>ανεστησαν</t>
  </si>
  <si>
    <t>απο κιλικιας συνζητουντες</t>
  </si>
  <si>
    <r>
      <t xml:space="preserve">απο </t>
    </r>
    <r>
      <rPr>
        <b/>
        <sz val="11"/>
        <color theme="1"/>
        <rFont val="Calibri"/>
        <family val="2"/>
        <scheme val="minor"/>
      </rPr>
      <t>της</t>
    </r>
    <r>
      <rPr>
        <sz val="11"/>
        <color theme="1"/>
        <rFont val="Calibri"/>
        <family val="2"/>
        <scheme val="minor"/>
      </rPr>
      <t xml:space="preserve"> κιλικιας και ασιας συνζητουντες</t>
    </r>
  </si>
  <si>
    <r>
      <t xml:space="preserve">απο της κιλικιας </t>
    </r>
    <r>
      <rPr>
        <b/>
        <sz val="11"/>
        <color theme="1"/>
        <rFont val="Calibri"/>
        <family val="2"/>
        <scheme val="minor"/>
      </rPr>
      <t>και ασιας</t>
    </r>
    <r>
      <rPr>
        <sz val="11"/>
        <color theme="1"/>
        <rFont val="Calibri"/>
        <family val="2"/>
        <scheme val="minor"/>
      </rPr>
      <t xml:space="preserve"> συνζητουντες</t>
    </r>
  </si>
  <si>
    <t>αγιω ω ελαλει</t>
  </si>
  <si>
    <t>αγιω τω ελαλει</t>
  </si>
  <si>
    <t>(10) ελεγχεσθαι αυτους υπ αυτου (11) τοτε υπεβαλεν</t>
  </si>
  <si>
    <r>
      <t xml:space="preserve">(10) ελεγχεσθαι αυτους </t>
    </r>
    <r>
      <rPr>
        <b/>
        <sz val="11"/>
        <color theme="1"/>
        <rFont val="Calibri"/>
        <family val="2"/>
        <scheme val="minor"/>
      </rPr>
      <t>επ</t>
    </r>
    <r>
      <rPr>
        <sz val="11"/>
        <color theme="1"/>
        <rFont val="Calibri"/>
        <family val="2"/>
        <scheme val="minor"/>
      </rPr>
      <t xml:space="preserve"> αυτου μετα πασης παρρησιας μη δυναμενοι ου αντοφθαλμειν τη αληθεια (11) τοτε υπεβαλον</t>
    </r>
  </si>
  <si>
    <r>
      <t xml:space="preserve">(10) ελεγχεσθαι αυτους </t>
    </r>
    <r>
      <rPr>
        <b/>
        <sz val="11"/>
        <color theme="1"/>
        <rFont val="Calibri"/>
        <family val="2"/>
        <scheme val="minor"/>
      </rPr>
      <t>υπ</t>
    </r>
    <r>
      <rPr>
        <sz val="11"/>
        <color theme="1"/>
        <rFont val="Calibri"/>
        <family val="2"/>
        <scheme val="minor"/>
      </rPr>
      <t xml:space="preserve"> αυτου (11) τοτε υπεβαλεν</t>
    </r>
  </si>
  <si>
    <r>
      <t xml:space="preserve">(10) ελεγχεσθαι αυτους επ αυτου </t>
    </r>
    <r>
      <rPr>
        <b/>
        <sz val="11"/>
        <color theme="1"/>
        <rFont val="Calibri"/>
        <family val="2"/>
        <scheme val="minor"/>
      </rPr>
      <t>μετα πασης παρρησιας μη δυναμενοι ου αντοφθαλμειν τη αληθεια</t>
    </r>
    <r>
      <rPr>
        <sz val="11"/>
        <color theme="1"/>
        <rFont val="Calibri"/>
        <family val="2"/>
        <scheme val="minor"/>
      </rPr>
      <t xml:space="preserve"> (11) τοτε υπεβαλον</t>
    </r>
  </si>
  <si>
    <r>
      <t xml:space="preserve">(10) ελεγχεσθαι αυτους επ αυτου μετα πασης παρρησιας μη δυναμενοι ου αντοφθαλμειν τη αληθεια (11) τοτε </t>
    </r>
    <r>
      <rPr>
        <b/>
        <sz val="11"/>
        <color theme="1"/>
        <rFont val="Calibri"/>
        <family val="2"/>
        <scheme val="minor"/>
      </rPr>
      <t>υπεβαλον</t>
    </r>
  </si>
  <si>
    <r>
      <t xml:space="preserve">(10) ελεγχεσθαι αυτους υπ αυτου (11) τοτε </t>
    </r>
    <r>
      <rPr>
        <b/>
        <sz val="11"/>
        <color theme="1"/>
        <rFont val="Calibri"/>
        <family val="2"/>
        <scheme val="minor"/>
      </rPr>
      <t>υπεβαλεν</t>
    </r>
  </si>
  <si>
    <t>καθ αυτου</t>
  </si>
  <si>
    <t>κατα αυτου</t>
  </si>
  <si>
    <t>Bezae corrects κατα -&gt; κατ</t>
  </si>
  <si>
    <t xml:space="preserve">αγιου και του </t>
  </si>
  <si>
    <t xml:space="preserve">αγιου τουτου και του </t>
  </si>
  <si>
    <t>ο ναζωραιος ουτος</t>
  </si>
  <si>
    <t>ο ναζοραιος ουτος</t>
  </si>
  <si>
    <t xml:space="preserve">παρεδωκεν ημειν </t>
  </si>
  <si>
    <t xml:space="preserve">παρεδωκεν υμειν </t>
  </si>
  <si>
    <r>
      <t xml:space="preserve">και </t>
    </r>
    <r>
      <rPr>
        <b/>
        <sz val="11"/>
        <color theme="1"/>
        <rFont val="Calibri"/>
        <family val="2"/>
        <scheme val="minor"/>
      </rPr>
      <t>ητνιζον δε αυτω</t>
    </r>
    <r>
      <rPr>
        <sz val="11"/>
        <color theme="1"/>
        <rFont val="Calibri"/>
        <family val="2"/>
        <scheme val="minor"/>
      </rPr>
      <t xml:space="preserve"> παντες οι καθημενοι</t>
    </r>
  </si>
  <si>
    <r>
      <t xml:space="preserve">και </t>
    </r>
    <r>
      <rPr>
        <b/>
        <sz val="11"/>
        <color theme="1"/>
        <rFont val="Calibri"/>
        <family val="2"/>
        <scheme val="minor"/>
      </rPr>
      <t>ατενισαντες εις αυτον</t>
    </r>
    <r>
      <rPr>
        <sz val="11"/>
        <color theme="1"/>
        <rFont val="Calibri"/>
        <family val="2"/>
        <scheme val="minor"/>
      </rPr>
      <t xml:space="preserve"> απαντες οι καθημενοι</t>
    </r>
  </si>
  <si>
    <r>
      <t xml:space="preserve">και ητνιζον δε αυτω </t>
    </r>
    <r>
      <rPr>
        <b/>
        <sz val="11"/>
        <color theme="1"/>
        <rFont val="Calibri"/>
        <family val="2"/>
        <scheme val="minor"/>
      </rPr>
      <t>παντες</t>
    </r>
    <r>
      <rPr>
        <sz val="11"/>
        <color theme="1"/>
        <rFont val="Calibri"/>
        <family val="2"/>
        <scheme val="minor"/>
      </rPr>
      <t xml:space="preserve"> οι καθημενοι</t>
    </r>
  </si>
  <si>
    <r>
      <t xml:space="preserve">και ατενισαντες εις αυτον </t>
    </r>
    <r>
      <rPr>
        <b/>
        <sz val="11"/>
        <color theme="1"/>
        <rFont val="Calibri"/>
        <family val="2"/>
        <scheme val="minor"/>
      </rPr>
      <t>απαντες</t>
    </r>
    <r>
      <rPr>
        <sz val="11"/>
        <color theme="1"/>
        <rFont val="Calibri"/>
        <family val="2"/>
        <scheme val="minor"/>
      </rPr>
      <t xml:space="preserve"> οι καθημενοι</t>
    </r>
  </si>
  <si>
    <t>συνεδριω ειδον</t>
  </si>
  <si>
    <t>συνεδριω και ειδον</t>
  </si>
  <si>
    <t xml:space="preserve">εστωτος εν μεσω </t>
  </si>
  <si>
    <t xml:space="preserve">εστωτο εν μεσω </t>
  </si>
  <si>
    <t>ειπε δε</t>
  </si>
  <si>
    <t>ειπεν δε</t>
  </si>
  <si>
    <t>ανδρες αδελφοι και</t>
  </si>
  <si>
    <t>ανδρες αδελφη και</t>
  </si>
  <si>
    <r>
      <rPr>
        <b/>
        <sz val="11"/>
        <color theme="1"/>
        <rFont val="Calibri"/>
        <family val="2"/>
        <scheme val="minor"/>
      </rPr>
      <t>εξηλθε</t>
    </r>
    <r>
      <rPr>
        <sz val="11"/>
        <color theme="1"/>
        <rFont val="Calibri"/>
        <family val="2"/>
        <scheme val="minor"/>
      </rPr>
      <t xml:space="preserve"> απο της γης</t>
    </r>
  </si>
  <si>
    <r>
      <rPr>
        <b/>
        <sz val="11"/>
        <color theme="1"/>
        <rFont val="Calibri"/>
        <family val="2"/>
        <scheme val="minor"/>
      </rPr>
      <t>εξελθε</t>
    </r>
    <r>
      <rPr>
        <sz val="11"/>
        <color theme="1"/>
        <rFont val="Calibri"/>
        <family val="2"/>
        <scheme val="minor"/>
      </rPr>
      <t xml:space="preserve"> εκ της γης</t>
    </r>
  </si>
  <si>
    <r>
      <t xml:space="preserve">εξελθε </t>
    </r>
    <r>
      <rPr>
        <b/>
        <sz val="11"/>
        <color theme="1"/>
        <rFont val="Calibri"/>
        <family val="2"/>
        <scheme val="minor"/>
      </rPr>
      <t>εκ</t>
    </r>
    <r>
      <rPr>
        <sz val="11"/>
        <color theme="1"/>
        <rFont val="Calibri"/>
        <family val="2"/>
        <scheme val="minor"/>
      </rPr>
      <t xml:space="preserve"> της γης</t>
    </r>
  </si>
  <si>
    <r>
      <t xml:space="preserve">εξηλθε </t>
    </r>
    <r>
      <rPr>
        <b/>
        <sz val="11"/>
        <color theme="1"/>
        <rFont val="Calibri"/>
        <family val="2"/>
        <scheme val="minor"/>
      </rPr>
      <t>απο</t>
    </r>
    <r>
      <rPr>
        <sz val="11"/>
        <color theme="1"/>
        <rFont val="Calibri"/>
        <family val="2"/>
        <scheme val="minor"/>
      </rPr>
      <t xml:space="preserve"> της γης</t>
    </r>
  </si>
  <si>
    <t xml:space="preserve">και της συνγενιας </t>
  </si>
  <si>
    <r>
      <t xml:space="preserve">και </t>
    </r>
    <r>
      <rPr>
        <b/>
        <sz val="11"/>
        <color theme="1"/>
        <rFont val="Calibri"/>
        <family val="2"/>
        <scheme val="minor"/>
      </rPr>
      <t>εκ</t>
    </r>
    <r>
      <rPr>
        <sz val="11"/>
        <color theme="1"/>
        <rFont val="Calibri"/>
        <family val="2"/>
        <scheme val="minor"/>
      </rPr>
      <t xml:space="preserve"> της συγγενειας </t>
    </r>
  </si>
  <si>
    <r>
      <t xml:space="preserve">και εκ της </t>
    </r>
    <r>
      <rPr>
        <b/>
        <sz val="11"/>
        <color theme="1"/>
        <rFont val="Calibri"/>
        <family val="2"/>
        <scheme val="minor"/>
      </rPr>
      <t>συγγενειας</t>
    </r>
    <r>
      <rPr>
        <sz val="11"/>
        <color theme="1"/>
        <rFont val="Calibri"/>
        <family val="2"/>
        <scheme val="minor"/>
      </rPr>
      <t xml:space="preserve"> </t>
    </r>
  </si>
  <si>
    <r>
      <t xml:space="preserve">και της </t>
    </r>
    <r>
      <rPr>
        <b/>
        <sz val="11"/>
        <color theme="1"/>
        <rFont val="Calibri"/>
        <family val="2"/>
        <scheme val="minor"/>
      </rPr>
      <t>συνγενιας</t>
    </r>
    <r>
      <rPr>
        <sz val="11"/>
        <color theme="1"/>
        <rFont val="Calibri"/>
        <family val="2"/>
        <scheme val="minor"/>
      </rPr>
      <t xml:space="preserve"> </t>
    </r>
  </si>
  <si>
    <t>δευρο εις γην</t>
  </si>
  <si>
    <r>
      <t xml:space="preserve">δευρο </t>
    </r>
    <r>
      <rPr>
        <b/>
        <sz val="11"/>
        <color theme="1"/>
        <rFont val="Calibri"/>
        <family val="2"/>
        <scheme val="minor"/>
      </rPr>
      <t>ει</t>
    </r>
    <r>
      <rPr>
        <sz val="11"/>
        <color theme="1"/>
        <rFont val="Calibri"/>
        <family val="2"/>
        <scheme val="minor"/>
      </rPr>
      <t xml:space="preserve"> εις την γην</t>
    </r>
  </si>
  <si>
    <t>Transcript indicates that Bezae marks ει for deletion, but I don't see it…</t>
  </si>
  <si>
    <t>χαλδαιων κατωκεσεν</t>
  </si>
  <si>
    <r>
      <t xml:space="preserve">χαλδαιων </t>
    </r>
    <r>
      <rPr>
        <b/>
        <sz val="11"/>
        <color theme="1"/>
        <rFont val="Calibri"/>
        <family val="2"/>
        <scheme val="minor"/>
      </rPr>
      <t>και</t>
    </r>
    <r>
      <rPr>
        <sz val="11"/>
        <color theme="1"/>
        <rFont val="Calibri"/>
        <family val="2"/>
        <scheme val="minor"/>
      </rPr>
      <t xml:space="preserve"> κατωκησεν</t>
    </r>
  </si>
  <si>
    <r>
      <t xml:space="preserve">χαλδαιων και </t>
    </r>
    <r>
      <rPr>
        <b/>
        <sz val="11"/>
        <color theme="1"/>
        <rFont val="Calibri"/>
        <family val="2"/>
        <scheme val="minor"/>
      </rPr>
      <t>κατωκησεν</t>
    </r>
  </si>
  <si>
    <r>
      <t xml:space="preserve">χαλδαιων </t>
    </r>
    <r>
      <rPr>
        <b/>
        <sz val="11"/>
        <color theme="1"/>
        <rFont val="Calibri"/>
        <family val="2"/>
        <scheme val="minor"/>
      </rPr>
      <t>κατωκεσεν</t>
    </r>
  </si>
  <si>
    <t>χαρραν κακειθεν μετα</t>
  </si>
  <si>
    <t>χαρραν κακει ην μετα</t>
  </si>
  <si>
    <r>
      <t xml:space="preserve">πατερα αυτου </t>
    </r>
    <r>
      <rPr>
        <b/>
        <sz val="11"/>
        <color theme="1"/>
        <rFont val="Calibri"/>
        <family val="2"/>
        <scheme val="minor"/>
      </rPr>
      <t>και</t>
    </r>
    <r>
      <rPr>
        <sz val="11"/>
        <color theme="1"/>
        <rFont val="Calibri"/>
        <family val="2"/>
        <scheme val="minor"/>
      </rPr>
      <t xml:space="preserve"> μετωκησεν αυτον</t>
    </r>
  </si>
  <si>
    <r>
      <t xml:space="preserve">πατερα αυτου </t>
    </r>
    <r>
      <rPr>
        <b/>
        <sz val="11"/>
        <color theme="1"/>
        <rFont val="Calibri"/>
        <family val="2"/>
        <scheme val="minor"/>
      </rPr>
      <t>και</t>
    </r>
    <r>
      <rPr>
        <sz val="11"/>
        <color theme="1"/>
        <rFont val="Calibri"/>
        <family val="2"/>
        <scheme val="minor"/>
      </rPr>
      <t xml:space="preserve"> μετωκισεν αυτον</t>
    </r>
  </si>
  <si>
    <r>
      <t xml:space="preserve">πατερα αυτου και </t>
    </r>
    <r>
      <rPr>
        <b/>
        <sz val="11"/>
        <color theme="1"/>
        <rFont val="Calibri"/>
        <family val="2"/>
        <scheme val="minor"/>
      </rPr>
      <t>μετωκησεν</t>
    </r>
    <r>
      <rPr>
        <sz val="11"/>
        <color theme="1"/>
        <rFont val="Calibri"/>
        <family val="2"/>
        <scheme val="minor"/>
      </rPr>
      <t xml:space="preserve"> αυτον</t>
    </r>
  </si>
  <si>
    <r>
      <t xml:space="preserve">πατερα αυτου και </t>
    </r>
    <r>
      <rPr>
        <b/>
        <sz val="11"/>
        <color theme="1"/>
        <rFont val="Calibri"/>
        <family val="2"/>
        <scheme val="minor"/>
      </rPr>
      <t>μετωκισεν</t>
    </r>
    <r>
      <rPr>
        <sz val="11"/>
        <color theme="1"/>
        <rFont val="Calibri"/>
        <family val="2"/>
        <scheme val="minor"/>
      </rPr>
      <t xml:space="preserve"> αυτον</t>
    </r>
  </si>
  <si>
    <t>Bezae corrects to μετωκεισεν</t>
  </si>
  <si>
    <t>κατοικειται και</t>
  </si>
  <si>
    <t>κατοικειτε και</t>
  </si>
  <si>
    <t xml:space="preserve">ουτως εγεννησεν </t>
  </si>
  <si>
    <t xml:space="preserve">ουτω εγεννησεν </t>
  </si>
  <si>
    <t>τον ισακ</t>
  </si>
  <si>
    <t>τον ισαακ</t>
  </si>
  <si>
    <t>και ο ισακ</t>
  </si>
  <si>
    <t>και ο ισαακ</t>
  </si>
  <si>
    <t>και ο ιακωβ</t>
  </si>
  <si>
    <t>και ιακωβ</t>
  </si>
  <si>
    <t>ιβ πατριαρχας</t>
  </si>
  <si>
    <t>δωδεκα τετριαρχας</t>
  </si>
  <si>
    <t>της γης αιγυπτου</t>
  </si>
  <si>
    <t>της αιγυπτου</t>
  </si>
  <si>
    <t>εξαπεστειλεν πρωτον τους πατερας ημων (13) και επι</t>
  </si>
  <si>
    <t>εξαπεστειλεν τους πατερας ημων πρωτον (13) και επι</t>
  </si>
  <si>
    <t>εγενετο τω φαραω</t>
  </si>
  <si>
    <t>εγενηθη τω φαραω</t>
  </si>
  <si>
    <r>
      <t xml:space="preserve">(14) συγγενειαν αυτου </t>
    </r>
    <r>
      <rPr>
        <b/>
        <sz val="11"/>
        <color theme="1"/>
        <rFont val="Calibri"/>
        <family val="2"/>
        <scheme val="minor"/>
      </rPr>
      <t>εν ψυχαις εβδομηκοντα και πεντε</t>
    </r>
    <r>
      <rPr>
        <sz val="11"/>
        <color theme="1"/>
        <rFont val="Calibri"/>
        <family val="2"/>
        <scheme val="minor"/>
      </rPr>
      <t xml:space="preserve"> (15) καταβη ιακωβ</t>
    </r>
  </si>
  <si>
    <t>3.0.1 transposition</t>
  </si>
  <si>
    <r>
      <t xml:space="preserve">(14) συγγενειαν αυτου εν ο και ε ψυχαις (15) </t>
    </r>
    <r>
      <rPr>
        <b/>
        <sz val="11"/>
        <color theme="1"/>
        <rFont val="Calibri"/>
        <family val="2"/>
        <scheme val="minor"/>
      </rPr>
      <t>κατεβη</t>
    </r>
    <r>
      <rPr>
        <sz val="11"/>
        <color theme="1"/>
        <rFont val="Calibri"/>
        <family val="2"/>
        <scheme val="minor"/>
      </rPr>
      <t xml:space="preserve"> ιακωβ</t>
    </r>
  </si>
  <si>
    <r>
      <t xml:space="preserve">(14) συγγενειαν αυτου εν ψυχαις εβδομηκοντα και πεντε (15) </t>
    </r>
    <r>
      <rPr>
        <b/>
        <sz val="11"/>
        <color theme="1"/>
        <rFont val="Calibri"/>
        <family val="2"/>
        <scheme val="minor"/>
      </rPr>
      <t>καταβη</t>
    </r>
    <r>
      <rPr>
        <sz val="11"/>
        <color theme="1"/>
        <rFont val="Calibri"/>
        <family val="2"/>
        <scheme val="minor"/>
      </rPr>
      <t xml:space="preserve"> ιακωβ</t>
    </r>
  </si>
  <si>
    <r>
      <t xml:space="preserve">τω </t>
    </r>
    <r>
      <rPr>
        <b/>
        <sz val="11"/>
        <color theme="1"/>
        <rFont val="Calibri"/>
        <family val="2"/>
        <scheme val="minor"/>
      </rPr>
      <t>μνηματι</t>
    </r>
    <r>
      <rPr>
        <sz val="11"/>
        <color theme="1"/>
        <rFont val="Calibri"/>
        <family val="2"/>
        <scheme val="minor"/>
      </rPr>
      <t xml:space="preserve"> ω ωνησατο</t>
    </r>
  </si>
  <si>
    <r>
      <t xml:space="preserve">τω </t>
    </r>
    <r>
      <rPr>
        <b/>
        <sz val="11"/>
        <color theme="1"/>
        <rFont val="Calibri"/>
        <family val="2"/>
        <scheme val="minor"/>
      </rPr>
      <t>ονοματι</t>
    </r>
    <r>
      <rPr>
        <sz val="11"/>
        <color theme="1"/>
        <rFont val="Calibri"/>
        <family val="2"/>
        <scheme val="minor"/>
      </rPr>
      <t xml:space="preserve"> ο ωνησατο</t>
    </r>
  </si>
  <si>
    <r>
      <t xml:space="preserve">τω ονοματι </t>
    </r>
    <r>
      <rPr>
        <b/>
        <sz val="11"/>
        <color theme="1"/>
        <rFont val="Calibri"/>
        <family val="2"/>
        <scheme val="minor"/>
      </rPr>
      <t>ο</t>
    </r>
    <r>
      <rPr>
        <sz val="11"/>
        <color theme="1"/>
        <rFont val="Calibri"/>
        <family val="2"/>
        <scheme val="minor"/>
      </rPr>
      <t xml:space="preserve"> ωνησατο</t>
    </r>
  </si>
  <si>
    <r>
      <t xml:space="preserve">τω μνηματι </t>
    </r>
    <r>
      <rPr>
        <b/>
        <sz val="11"/>
        <color theme="1"/>
        <rFont val="Calibri"/>
        <family val="2"/>
        <scheme val="minor"/>
      </rPr>
      <t>ω</t>
    </r>
    <r>
      <rPr>
        <sz val="11"/>
        <color theme="1"/>
        <rFont val="Calibri"/>
        <family val="2"/>
        <scheme val="minor"/>
      </rPr>
      <t xml:space="preserve"> ωνησατο</t>
    </r>
  </si>
  <si>
    <r>
      <t xml:space="preserve">(17) εν </t>
    </r>
    <r>
      <rPr>
        <b/>
        <sz val="11"/>
        <color theme="1"/>
        <rFont val="Calibri"/>
        <family val="2"/>
        <scheme val="minor"/>
      </rPr>
      <t>εγυπτω</t>
    </r>
    <r>
      <rPr>
        <sz val="11"/>
        <color theme="1"/>
        <rFont val="Calibri"/>
        <family val="2"/>
        <scheme val="minor"/>
      </rPr>
      <t xml:space="preserve"> (18) αχρι ου ανεστη</t>
    </r>
  </si>
  <si>
    <r>
      <t xml:space="preserve">(17) εν </t>
    </r>
    <r>
      <rPr>
        <b/>
        <sz val="11"/>
        <color theme="1"/>
        <rFont val="Calibri"/>
        <family val="2"/>
        <scheme val="minor"/>
      </rPr>
      <t>αιγυπτω</t>
    </r>
    <r>
      <rPr>
        <sz val="11"/>
        <color theme="1"/>
        <rFont val="Calibri"/>
        <family val="2"/>
        <scheme val="minor"/>
      </rPr>
      <t xml:space="preserve"> (18) αχρις ου ανεστη</t>
    </r>
  </si>
  <si>
    <r>
      <t xml:space="preserve">(17) εν εγυπτω (18) </t>
    </r>
    <r>
      <rPr>
        <b/>
        <sz val="11"/>
        <color theme="1"/>
        <rFont val="Calibri"/>
        <family val="2"/>
        <scheme val="minor"/>
      </rPr>
      <t>αχρι</t>
    </r>
    <r>
      <rPr>
        <sz val="11"/>
        <color theme="1"/>
        <rFont val="Calibri"/>
        <family val="2"/>
        <scheme val="minor"/>
      </rPr>
      <t xml:space="preserve"> ου ανεστη</t>
    </r>
  </si>
  <si>
    <r>
      <t xml:space="preserve">(17) εν αιγυπτω (18) </t>
    </r>
    <r>
      <rPr>
        <b/>
        <sz val="11"/>
        <color theme="1"/>
        <rFont val="Calibri"/>
        <family val="2"/>
        <scheme val="minor"/>
      </rPr>
      <t>αχρις</t>
    </r>
    <r>
      <rPr>
        <sz val="11"/>
        <color theme="1"/>
        <rFont val="Calibri"/>
        <family val="2"/>
        <scheme val="minor"/>
      </rPr>
      <t xml:space="preserve"> ου ανεστη</t>
    </r>
  </si>
  <si>
    <t>εμνησθη του ιωσηφ</t>
  </si>
  <si>
    <t>εμνησθη τον ιωσηφ</t>
  </si>
  <si>
    <t>γενος ημων του ποιειν</t>
  </si>
  <si>
    <t>γενος ημων εκακωσεν τους πατερας του ποιειν</t>
  </si>
  <si>
    <t>φαραω ανεθρεψατο αυτη εις υιον</t>
  </si>
  <si>
    <r>
      <t xml:space="preserve">φαραω </t>
    </r>
    <r>
      <rPr>
        <b/>
        <sz val="11"/>
        <color theme="1"/>
        <rFont val="Calibri"/>
        <family val="2"/>
        <scheme val="minor"/>
      </rPr>
      <t>και</t>
    </r>
    <r>
      <rPr>
        <sz val="11"/>
        <color theme="1"/>
        <rFont val="Calibri"/>
        <family val="2"/>
        <scheme val="minor"/>
      </rPr>
      <t xml:space="preserve"> ανεθρεψατο αυτον εαυτη εις υιον</t>
    </r>
  </si>
  <si>
    <t>μωυσης παση σοφια αιγυπτιων  </t>
  </si>
  <si>
    <t xml:space="preserve">ην τε δυνατος </t>
  </si>
  <si>
    <t xml:space="preserve">ην δε δυνατος </t>
  </si>
  <si>
    <t>επληρουτο ετη σαυτω</t>
  </si>
  <si>
    <r>
      <t xml:space="preserve">επληρουτο </t>
    </r>
    <r>
      <rPr>
        <b/>
        <sz val="11"/>
        <color theme="1"/>
        <rFont val="Calibri"/>
        <family val="2"/>
        <scheme val="minor"/>
      </rPr>
      <t>μ</t>
    </r>
    <r>
      <rPr>
        <sz val="11"/>
        <color theme="1"/>
        <rFont val="Calibri"/>
        <family val="2"/>
        <scheme val="minor"/>
      </rPr>
      <t xml:space="preserve"> ετης αυτω</t>
    </r>
  </si>
  <si>
    <t>και ιδων τινα</t>
  </si>
  <si>
    <t>και ιδων ιδων τινα</t>
  </si>
  <si>
    <t>γενους ημυνατο και</t>
  </si>
  <si>
    <t>γενους ημυνετο και</t>
  </si>
  <si>
    <t>(24) αμμω (25) συνιεναι</t>
  </si>
  <si>
    <t>(24) αμμω (25) ενομιζον δε συνιεναι</t>
  </si>
  <si>
    <t>οι δε συνηκαν</t>
  </si>
  <si>
    <t>Bezae's correction and B.10.3 both add ου before συνηκαν</t>
  </si>
  <si>
    <t>τη τε επιουση</t>
  </si>
  <si>
    <t>τοτε επιουση</t>
  </si>
  <si>
    <r>
      <t xml:space="preserve">αυτοις </t>
    </r>
    <r>
      <rPr>
        <b/>
        <sz val="11"/>
        <color theme="1"/>
        <rFont val="Calibri"/>
        <family val="2"/>
        <scheme val="minor"/>
      </rPr>
      <t>μαχομενος</t>
    </r>
    <r>
      <rPr>
        <sz val="11"/>
        <color theme="1"/>
        <rFont val="Calibri"/>
        <family val="2"/>
        <scheme val="minor"/>
      </rPr>
      <t xml:space="preserve"> και ειδεν αυτους αδικουντας και συνηλλασσεν αυτους</t>
    </r>
  </si>
  <si>
    <r>
      <t xml:space="preserve">αυτοις </t>
    </r>
    <r>
      <rPr>
        <b/>
        <sz val="11"/>
        <color theme="1"/>
        <rFont val="Calibri"/>
        <family val="2"/>
        <scheme val="minor"/>
      </rPr>
      <t>μαχομενοις</t>
    </r>
    <r>
      <rPr>
        <sz val="11"/>
        <color theme="1"/>
        <rFont val="Calibri"/>
        <family val="2"/>
        <scheme val="minor"/>
      </rPr>
      <t xml:space="preserve"> και ιδεν αυτους αδικουντας και συνηλασεν αυτους </t>
    </r>
  </si>
  <si>
    <r>
      <t xml:space="preserve">αυτοις μαχομενος και </t>
    </r>
    <r>
      <rPr>
        <b/>
        <sz val="11"/>
        <color theme="1"/>
        <rFont val="Calibri"/>
        <family val="2"/>
        <scheme val="minor"/>
      </rPr>
      <t>ειδεν</t>
    </r>
    <r>
      <rPr>
        <sz val="11"/>
        <color theme="1"/>
        <rFont val="Calibri"/>
        <family val="2"/>
        <scheme val="minor"/>
      </rPr>
      <t xml:space="preserve"> αυτους αδικουντας και συνηλλασσεν αυτους</t>
    </r>
  </si>
  <si>
    <r>
      <t xml:space="preserve">αυτοις μαχομενοις και </t>
    </r>
    <r>
      <rPr>
        <b/>
        <sz val="11"/>
        <color theme="1"/>
        <rFont val="Calibri"/>
        <family val="2"/>
        <scheme val="minor"/>
      </rPr>
      <t>ιδεν</t>
    </r>
    <r>
      <rPr>
        <sz val="11"/>
        <color theme="1"/>
        <rFont val="Calibri"/>
        <family val="2"/>
        <scheme val="minor"/>
      </rPr>
      <t xml:space="preserve"> αυτους αδικουντας και συνηλασεν αυτους </t>
    </r>
  </si>
  <si>
    <r>
      <t xml:space="preserve">αυτοις μαχομενος </t>
    </r>
    <r>
      <rPr>
        <b/>
        <sz val="11"/>
        <color theme="1"/>
        <rFont val="Calibri"/>
        <family val="2"/>
        <scheme val="minor"/>
      </rPr>
      <t>και ειδεν αυτους αδικουντας</t>
    </r>
    <r>
      <rPr>
        <sz val="11"/>
        <color theme="1"/>
        <rFont val="Calibri"/>
        <family val="2"/>
        <scheme val="minor"/>
      </rPr>
      <t xml:space="preserve"> και συνηλλασσεν αυτους</t>
    </r>
  </si>
  <si>
    <r>
      <t xml:space="preserve">αυτοις μαχομενοις </t>
    </r>
    <r>
      <rPr>
        <b/>
        <sz val="11"/>
        <color theme="1"/>
        <rFont val="Calibri"/>
        <family val="2"/>
        <scheme val="minor"/>
      </rPr>
      <t>και ιδεν αυτους αδικουντας</t>
    </r>
    <r>
      <rPr>
        <sz val="11"/>
        <color theme="1"/>
        <rFont val="Calibri"/>
        <family val="2"/>
        <scheme val="minor"/>
      </rPr>
      <t xml:space="preserve"> και συνηλασεν αυτους </t>
    </r>
  </si>
  <si>
    <r>
      <t xml:space="preserve">αυτοις μαχομενος και ειδεν αυτους αδικουντας και </t>
    </r>
    <r>
      <rPr>
        <b/>
        <sz val="11"/>
        <color theme="1"/>
        <rFont val="Calibri"/>
        <family val="2"/>
        <scheme val="minor"/>
      </rPr>
      <t>συνηλλασσεν</t>
    </r>
    <r>
      <rPr>
        <sz val="11"/>
        <color theme="1"/>
        <rFont val="Calibri"/>
        <family val="2"/>
        <scheme val="minor"/>
      </rPr>
      <t xml:space="preserve"> αυτους</t>
    </r>
  </si>
  <si>
    <r>
      <t xml:space="preserve">αυτοις μαχομενοις και ιδεν αυτους αδικουντας και </t>
    </r>
    <r>
      <rPr>
        <b/>
        <sz val="11"/>
        <color theme="1"/>
        <rFont val="Calibri"/>
        <family val="2"/>
        <scheme val="minor"/>
      </rPr>
      <t>συνηλασεν</t>
    </r>
    <r>
      <rPr>
        <sz val="11"/>
        <color theme="1"/>
        <rFont val="Calibri"/>
        <family val="2"/>
        <scheme val="minor"/>
      </rPr>
      <t xml:space="preserve"> αυτους </t>
    </r>
  </si>
  <si>
    <t>αδικειτε αλληλους</t>
  </si>
  <si>
    <r>
      <rPr>
        <b/>
        <sz val="11"/>
        <color theme="1"/>
        <rFont val="Calibri"/>
        <family val="2"/>
        <scheme val="minor"/>
      </rPr>
      <t>αδεικειται</t>
    </r>
    <r>
      <rPr>
        <sz val="11"/>
        <color theme="1"/>
        <rFont val="Calibri"/>
        <family val="2"/>
        <scheme val="minor"/>
      </rPr>
      <t xml:space="preserve"> εις αλληλους</t>
    </r>
  </si>
  <si>
    <r>
      <rPr>
        <b/>
        <sz val="11"/>
        <color theme="1"/>
        <rFont val="Calibri"/>
        <family val="2"/>
        <scheme val="minor"/>
      </rPr>
      <t>αδικειτε</t>
    </r>
    <r>
      <rPr>
        <sz val="11"/>
        <color theme="1"/>
        <rFont val="Calibri"/>
        <family val="2"/>
        <scheme val="minor"/>
      </rPr>
      <t xml:space="preserve"> αλληλους</t>
    </r>
  </si>
  <si>
    <r>
      <t xml:space="preserve">αδεικειται </t>
    </r>
    <r>
      <rPr>
        <b/>
        <sz val="11"/>
        <color theme="1"/>
        <rFont val="Calibri"/>
        <family val="2"/>
        <scheme val="minor"/>
      </rPr>
      <t>εις</t>
    </r>
    <r>
      <rPr>
        <sz val="11"/>
        <color theme="1"/>
        <rFont val="Calibri"/>
        <family val="2"/>
        <scheme val="minor"/>
      </rPr>
      <t xml:space="preserve"> αλληλους</t>
    </r>
  </si>
  <si>
    <t>αιγυπτιον (29) εφυγεν δε μωυσης</t>
  </si>
  <si>
    <t>αιγυπτιον (29) ουτως και εφυγαδευσεν μωυσης</t>
  </si>
  <si>
    <t>Bezae corrects to δυο, B.10.3 does not follow</t>
  </si>
  <si>
    <t>ταυτα πληρωθεντων ετων τεσσαρακοντα</t>
  </si>
  <si>
    <r>
      <t xml:space="preserve">ταυτα </t>
    </r>
    <r>
      <rPr>
        <b/>
        <sz val="11"/>
        <color theme="1"/>
        <rFont val="Calibri"/>
        <family val="2"/>
        <scheme val="minor"/>
      </rPr>
      <t>πλησθεντων</t>
    </r>
    <r>
      <rPr>
        <sz val="11"/>
        <color theme="1"/>
        <rFont val="Calibri"/>
        <family val="2"/>
        <scheme val="minor"/>
      </rPr>
      <t xml:space="preserve"> αυτω ετη μ</t>
    </r>
  </si>
  <si>
    <r>
      <t xml:space="preserve">ταυτα </t>
    </r>
    <r>
      <rPr>
        <b/>
        <sz val="11"/>
        <color theme="1"/>
        <rFont val="Calibri"/>
        <family val="2"/>
        <scheme val="minor"/>
      </rPr>
      <t>πληρωθεντων</t>
    </r>
    <r>
      <rPr>
        <sz val="11"/>
        <color theme="1"/>
        <rFont val="Calibri"/>
        <family val="2"/>
        <scheme val="minor"/>
      </rPr>
      <t xml:space="preserve"> ετων τεσσαρακοντα</t>
    </r>
  </si>
  <si>
    <r>
      <t xml:space="preserve">ταυτα πλησθεντων </t>
    </r>
    <r>
      <rPr>
        <b/>
        <sz val="11"/>
        <color theme="1"/>
        <rFont val="Calibri"/>
        <family val="2"/>
        <scheme val="minor"/>
      </rPr>
      <t>αυτω</t>
    </r>
    <r>
      <rPr>
        <sz val="11"/>
        <color theme="1"/>
        <rFont val="Calibri"/>
        <family val="2"/>
        <scheme val="minor"/>
      </rPr>
      <t xml:space="preserve"> ετη μ</t>
    </r>
  </si>
  <si>
    <r>
      <t xml:space="preserve">ταυτα πλησθεντων αυτω </t>
    </r>
    <r>
      <rPr>
        <b/>
        <sz val="11"/>
        <color theme="1"/>
        <rFont val="Calibri"/>
        <family val="2"/>
        <scheme val="minor"/>
      </rPr>
      <t>ετη</t>
    </r>
    <r>
      <rPr>
        <sz val="11"/>
        <color theme="1"/>
        <rFont val="Calibri"/>
        <family val="2"/>
        <scheme val="minor"/>
      </rPr>
      <t xml:space="preserve"> μ</t>
    </r>
  </si>
  <si>
    <r>
      <t xml:space="preserve">ταυτα πληρωθεντων </t>
    </r>
    <r>
      <rPr>
        <b/>
        <sz val="11"/>
        <color theme="1"/>
        <rFont val="Calibri"/>
        <family val="2"/>
        <scheme val="minor"/>
      </rPr>
      <t>ετων</t>
    </r>
    <r>
      <rPr>
        <sz val="11"/>
        <color theme="1"/>
        <rFont val="Calibri"/>
        <family val="2"/>
        <scheme val="minor"/>
      </rPr>
      <t xml:space="preserve"> τεσσαρακοντα</t>
    </r>
  </si>
  <si>
    <r>
      <t xml:space="preserve">του </t>
    </r>
    <r>
      <rPr>
        <b/>
        <sz val="11"/>
        <color theme="1"/>
        <rFont val="Calibri"/>
        <family val="2"/>
        <scheme val="minor"/>
      </rPr>
      <t>ορου</t>
    </r>
    <r>
      <rPr>
        <sz val="11"/>
        <color theme="1"/>
        <rFont val="Calibri"/>
        <family val="2"/>
        <scheme val="minor"/>
      </rPr>
      <t xml:space="preserve"> σεινα αγγελος</t>
    </r>
  </si>
  <si>
    <r>
      <t xml:space="preserve">του </t>
    </r>
    <r>
      <rPr>
        <b/>
        <sz val="11"/>
        <color theme="1"/>
        <rFont val="Calibri"/>
        <family val="2"/>
        <scheme val="minor"/>
      </rPr>
      <t>ορους</t>
    </r>
    <r>
      <rPr>
        <sz val="11"/>
        <color theme="1"/>
        <rFont val="Calibri"/>
        <family val="2"/>
        <scheme val="minor"/>
      </rPr>
      <t xml:space="preserve"> οκια αγγελος</t>
    </r>
  </si>
  <si>
    <r>
      <t xml:space="preserve">του ορου </t>
    </r>
    <r>
      <rPr>
        <b/>
        <sz val="11"/>
        <color theme="1"/>
        <rFont val="Calibri"/>
        <family val="2"/>
        <scheme val="minor"/>
      </rPr>
      <t>σεινα</t>
    </r>
    <r>
      <rPr>
        <sz val="11"/>
        <color theme="1"/>
        <rFont val="Calibri"/>
        <family val="2"/>
        <scheme val="minor"/>
      </rPr>
      <t xml:space="preserve"> αγγελος</t>
    </r>
  </si>
  <si>
    <r>
      <t xml:space="preserve">του ορους </t>
    </r>
    <r>
      <rPr>
        <b/>
        <sz val="11"/>
        <color theme="1"/>
        <rFont val="Calibri"/>
        <family val="2"/>
        <scheme val="minor"/>
      </rPr>
      <t>οκια</t>
    </r>
    <r>
      <rPr>
        <sz val="11"/>
        <color theme="1"/>
        <rFont val="Calibri"/>
        <family val="2"/>
        <scheme val="minor"/>
      </rPr>
      <t xml:space="preserve"> αγγελος</t>
    </r>
  </si>
  <si>
    <t xml:space="preserve">μωυσης ειδων </t>
  </si>
  <si>
    <t xml:space="preserve">μωυσης ιδων </t>
  </si>
  <si>
    <t>αυτου κατανοησαι</t>
  </si>
  <si>
    <t>αυτου και κατανοησαι</t>
  </si>
  <si>
    <t>και θς ισακ</t>
  </si>
  <si>
    <r>
      <t xml:space="preserve">και </t>
    </r>
    <r>
      <rPr>
        <b/>
        <sz val="11"/>
        <color theme="1"/>
        <rFont val="Calibri"/>
        <family val="2"/>
        <scheme val="minor"/>
      </rPr>
      <t>ο</t>
    </r>
    <r>
      <rPr>
        <sz val="11"/>
        <color theme="1"/>
        <rFont val="Calibri"/>
        <family val="2"/>
        <scheme val="minor"/>
      </rPr>
      <t xml:space="preserve"> θεος ισαακ</t>
    </r>
  </si>
  <si>
    <r>
      <t xml:space="preserve">και ο θεος </t>
    </r>
    <r>
      <rPr>
        <b/>
        <sz val="11"/>
        <color theme="1"/>
        <rFont val="Calibri"/>
        <family val="2"/>
        <scheme val="minor"/>
      </rPr>
      <t>ισαακ</t>
    </r>
  </si>
  <si>
    <r>
      <t xml:space="preserve">και θς </t>
    </r>
    <r>
      <rPr>
        <b/>
        <sz val="11"/>
        <color theme="1"/>
        <rFont val="Calibri"/>
        <family val="2"/>
        <scheme val="minor"/>
      </rPr>
      <t>ισακ</t>
    </r>
  </si>
  <si>
    <t>αυτον λυσον το υποδημα</t>
  </si>
  <si>
    <t>Bezae is said to correct λυσον -&gt; λυσαι</t>
  </si>
  <si>
    <t>τοπος εν ω εστηκας</t>
  </si>
  <si>
    <t>τοπος ου εστηκας</t>
  </si>
  <si>
    <t>Bezae corrects ου -&gt; εφ ω</t>
  </si>
  <si>
    <t>(33) εστιν (34) ιδων ειδον την κακωσιν</t>
  </si>
  <si>
    <r>
      <t xml:space="preserve">(33) εστιν (34) </t>
    </r>
    <r>
      <rPr>
        <b/>
        <sz val="11"/>
        <color theme="1"/>
        <rFont val="Calibri"/>
        <family val="2"/>
        <scheme val="minor"/>
      </rPr>
      <t>και</t>
    </r>
    <r>
      <rPr>
        <sz val="11"/>
        <color theme="1"/>
        <rFont val="Calibri"/>
        <family val="2"/>
        <scheme val="minor"/>
      </rPr>
      <t xml:space="preserve"> ιδων γαρ ιδον την κακωσιν</t>
    </r>
  </si>
  <si>
    <r>
      <t xml:space="preserve">(33) εστιν (34) και ιδων </t>
    </r>
    <r>
      <rPr>
        <b/>
        <sz val="11"/>
        <color theme="1"/>
        <rFont val="Calibri"/>
        <family val="2"/>
        <scheme val="minor"/>
      </rPr>
      <t>γαρ</t>
    </r>
    <r>
      <rPr>
        <sz val="11"/>
        <color theme="1"/>
        <rFont val="Calibri"/>
        <family val="2"/>
        <scheme val="minor"/>
      </rPr>
      <t xml:space="preserve"> ιδον την κακωσιν</t>
    </r>
  </si>
  <si>
    <r>
      <t xml:space="preserve">(33) εστιν (34) και ιδων γαρ </t>
    </r>
    <r>
      <rPr>
        <b/>
        <sz val="11"/>
        <color theme="1"/>
        <rFont val="Calibri"/>
        <family val="2"/>
        <scheme val="minor"/>
      </rPr>
      <t>ιδον</t>
    </r>
    <r>
      <rPr>
        <sz val="11"/>
        <color theme="1"/>
        <rFont val="Calibri"/>
        <family val="2"/>
        <scheme val="minor"/>
      </rPr>
      <t xml:space="preserve"> την κακωσιν</t>
    </r>
  </si>
  <si>
    <r>
      <t xml:space="preserve">(33) εστιν (34) ιδων </t>
    </r>
    <r>
      <rPr>
        <b/>
        <sz val="11"/>
        <color theme="1"/>
        <rFont val="Calibri"/>
        <family val="2"/>
        <scheme val="minor"/>
      </rPr>
      <t>ειδον</t>
    </r>
    <r>
      <rPr>
        <sz val="11"/>
        <color theme="1"/>
        <rFont val="Calibri"/>
        <family val="2"/>
        <scheme val="minor"/>
      </rPr>
      <t xml:space="preserve"> την κακωσιν</t>
    </r>
  </si>
  <si>
    <r>
      <rPr>
        <b/>
        <sz val="11"/>
        <color theme="1"/>
        <rFont val="Calibri"/>
        <family val="2"/>
        <scheme val="minor"/>
      </rPr>
      <t>λαου του</t>
    </r>
    <r>
      <rPr>
        <sz val="11"/>
        <color theme="1"/>
        <rFont val="Calibri"/>
        <family val="2"/>
        <scheme val="minor"/>
      </rPr>
      <t xml:space="preserve"> εν εγυπτω</t>
    </r>
  </si>
  <si>
    <r>
      <rPr>
        <b/>
        <sz val="11"/>
        <color theme="1"/>
        <rFont val="Calibri"/>
        <family val="2"/>
        <scheme val="minor"/>
      </rPr>
      <t>λαου του</t>
    </r>
    <r>
      <rPr>
        <sz val="11"/>
        <color theme="1"/>
        <rFont val="Calibri"/>
        <family val="2"/>
        <scheme val="minor"/>
      </rPr>
      <t xml:space="preserve"> εν αιγυπτω</t>
    </r>
  </si>
  <si>
    <r>
      <t xml:space="preserve">λαου του εν </t>
    </r>
    <r>
      <rPr>
        <b/>
        <sz val="11"/>
        <color theme="1"/>
        <rFont val="Calibri"/>
        <family val="2"/>
        <scheme val="minor"/>
      </rPr>
      <t>αιγυπτω</t>
    </r>
  </si>
  <si>
    <r>
      <t xml:space="preserve">λαου του εν </t>
    </r>
    <r>
      <rPr>
        <b/>
        <sz val="11"/>
        <color theme="1"/>
        <rFont val="Calibri"/>
        <family val="2"/>
        <scheme val="minor"/>
      </rPr>
      <t>εγυπτω</t>
    </r>
  </si>
  <si>
    <t>δικαστην τουτον</t>
  </si>
  <si>
    <t>δικαστην εφ ημων τουτον</t>
  </si>
  <si>
    <t>αρχοντα λυτρωτην</t>
  </si>
  <si>
    <t>αρχοντα και λυτρωτην</t>
  </si>
  <si>
    <t>αυτους ποιησας</t>
  </si>
  <si>
    <t>αυτους ο ποιησας</t>
  </si>
  <si>
    <t xml:space="preserve">εν γη αιγυπτου </t>
  </si>
  <si>
    <t xml:space="preserve">εν αιγυπτου </t>
  </si>
  <si>
    <t>εστιν ο μωυσης</t>
  </si>
  <si>
    <t>εστιν μωυσης</t>
  </si>
  <si>
    <t>αναστησει ο θς εκ των</t>
  </si>
  <si>
    <r>
      <t xml:space="preserve">αναστησει </t>
    </r>
    <r>
      <rPr>
        <b/>
        <sz val="11"/>
        <color theme="1"/>
        <rFont val="Calibri"/>
        <family val="2"/>
        <scheme val="minor"/>
      </rPr>
      <t>κυριος</t>
    </r>
    <r>
      <rPr>
        <sz val="11"/>
        <color theme="1"/>
        <rFont val="Calibri"/>
        <family val="2"/>
        <scheme val="minor"/>
      </rPr>
      <t xml:space="preserve"> ο θεος υμων εκ των</t>
    </r>
  </si>
  <si>
    <r>
      <t xml:space="preserve">αναστησει κυριος ο θεος </t>
    </r>
    <r>
      <rPr>
        <b/>
        <sz val="11"/>
        <color theme="1"/>
        <rFont val="Calibri"/>
        <family val="2"/>
        <scheme val="minor"/>
      </rPr>
      <t>υμων</t>
    </r>
    <r>
      <rPr>
        <sz val="11"/>
        <color theme="1"/>
        <rFont val="Calibri"/>
        <family val="2"/>
        <scheme val="minor"/>
      </rPr>
      <t xml:space="preserve"> εκ των</t>
    </r>
  </si>
  <si>
    <r>
      <rPr>
        <b/>
        <sz val="11"/>
        <color theme="1"/>
        <rFont val="Calibri"/>
        <family val="2"/>
        <scheme val="minor"/>
      </rPr>
      <t>ωσει</t>
    </r>
    <r>
      <rPr>
        <sz val="11"/>
        <color theme="1"/>
        <rFont val="Calibri"/>
        <family val="2"/>
        <scheme val="minor"/>
      </rPr>
      <t xml:space="preserve"> εμε αυτου ακουεσθε (38) ουτος</t>
    </r>
  </si>
  <si>
    <r>
      <rPr>
        <b/>
        <sz val="11"/>
        <color theme="1"/>
        <rFont val="Calibri"/>
        <family val="2"/>
        <scheme val="minor"/>
      </rPr>
      <t>ως</t>
    </r>
    <r>
      <rPr>
        <sz val="11"/>
        <color theme="1"/>
        <rFont val="Calibri"/>
        <family val="2"/>
        <scheme val="minor"/>
      </rPr>
      <t xml:space="preserve"> εμε αυτου ακουσεσθε (38) ουτος</t>
    </r>
  </si>
  <si>
    <r>
      <t xml:space="preserve">ωσει εμε αυτου </t>
    </r>
    <r>
      <rPr>
        <b/>
        <sz val="11"/>
        <color theme="1"/>
        <rFont val="Calibri"/>
        <family val="2"/>
        <scheme val="minor"/>
      </rPr>
      <t>ακουεσθε</t>
    </r>
    <r>
      <rPr>
        <sz val="11"/>
        <color theme="1"/>
        <rFont val="Calibri"/>
        <family val="2"/>
        <scheme val="minor"/>
      </rPr>
      <t xml:space="preserve"> (38) ουτος</t>
    </r>
  </si>
  <si>
    <r>
      <t xml:space="preserve">ως εμε αυτου </t>
    </r>
    <r>
      <rPr>
        <b/>
        <sz val="11"/>
        <color theme="1"/>
        <rFont val="Calibri"/>
        <family val="2"/>
        <scheme val="minor"/>
      </rPr>
      <t>ακουσεσθε</t>
    </r>
    <r>
      <rPr>
        <sz val="11"/>
        <color theme="1"/>
        <rFont val="Calibri"/>
        <family val="2"/>
        <scheme val="minor"/>
      </rPr>
      <t xml:space="preserve"> (38) ουτος</t>
    </r>
  </si>
  <si>
    <t>αγγελου του λαλουντος</t>
  </si>
  <si>
    <t>αγγελου λαλουντος</t>
  </si>
  <si>
    <t>υπηκοοι γενεσθε</t>
  </si>
  <si>
    <t>υπηκοοι γεγενεσθε</t>
  </si>
  <si>
    <t>καρδιαις εις αιγυπτον</t>
  </si>
  <si>
    <t>καρδιαις αυτον εις αιγυπτον</t>
  </si>
  <si>
    <t>και ανηγαγον θυσιαν</t>
  </si>
  <si>
    <t>και απηγοντο θυσιαν</t>
  </si>
  <si>
    <t>και ηυφραινοντο</t>
  </si>
  <si>
    <t>και ευφραινοντο</t>
  </si>
  <si>
    <t>βιβλω προφητων</t>
  </si>
  <si>
    <t>βιβλω των προφητων</t>
  </si>
  <si>
    <t>υμας επεκεινα βαβυλωνος</t>
  </si>
  <si>
    <t>υμας επι τα μερη βαβυλωνος</t>
  </si>
  <si>
    <r>
      <t xml:space="preserve">ην </t>
    </r>
    <r>
      <rPr>
        <b/>
        <sz val="11"/>
        <color theme="1"/>
        <rFont val="Calibri"/>
        <family val="2"/>
        <scheme val="minor"/>
      </rPr>
      <t>εν</t>
    </r>
    <r>
      <rPr>
        <sz val="11"/>
        <color theme="1"/>
        <rFont val="Calibri"/>
        <family val="2"/>
        <scheme val="minor"/>
      </rPr>
      <t xml:space="preserve"> τοις πατερεσιν ημων</t>
    </r>
  </si>
  <si>
    <r>
      <t xml:space="preserve">ην </t>
    </r>
    <r>
      <rPr>
        <b/>
        <sz val="11"/>
        <color theme="1"/>
        <rFont val="Calibri"/>
        <family val="2"/>
        <scheme val="minor"/>
      </rPr>
      <t>εν</t>
    </r>
    <r>
      <rPr>
        <sz val="11"/>
        <color theme="1"/>
        <rFont val="Calibri"/>
        <family val="2"/>
        <scheme val="minor"/>
      </rPr>
      <t xml:space="preserve"> τοις πατρασιν ημων</t>
    </r>
  </si>
  <si>
    <r>
      <t xml:space="preserve">ην εν τοις </t>
    </r>
    <r>
      <rPr>
        <b/>
        <sz val="11"/>
        <color theme="1"/>
        <rFont val="Calibri"/>
        <family val="2"/>
        <scheme val="minor"/>
      </rPr>
      <t>πατερεσιν</t>
    </r>
    <r>
      <rPr>
        <sz val="11"/>
        <color theme="1"/>
        <rFont val="Calibri"/>
        <family val="2"/>
        <scheme val="minor"/>
      </rPr>
      <t xml:space="preserve"> ημων</t>
    </r>
  </si>
  <si>
    <r>
      <t xml:space="preserve">ην εν τοις </t>
    </r>
    <r>
      <rPr>
        <b/>
        <sz val="11"/>
        <color theme="1"/>
        <rFont val="Calibri"/>
        <family val="2"/>
        <scheme val="minor"/>
      </rPr>
      <t>πατρασιν</t>
    </r>
    <r>
      <rPr>
        <sz val="11"/>
        <color theme="1"/>
        <rFont val="Calibri"/>
        <family val="2"/>
        <scheme val="minor"/>
      </rPr>
      <t xml:space="preserve"> ημων</t>
    </r>
  </si>
  <si>
    <t>Bezae erases this word</t>
  </si>
  <si>
    <t>τω μωυσι</t>
  </si>
  <si>
    <t>τω μωυση</t>
  </si>
  <si>
    <t>Bezae corrects to τω μωυσει</t>
  </si>
  <si>
    <r>
      <t xml:space="preserve">κατα </t>
    </r>
    <r>
      <rPr>
        <b/>
        <sz val="11"/>
        <color theme="1"/>
        <rFont val="Calibri"/>
        <family val="2"/>
        <scheme val="minor"/>
      </rPr>
      <t>το πα[ρα]τυπον</t>
    </r>
    <r>
      <rPr>
        <sz val="11"/>
        <color theme="1"/>
        <rFont val="Calibri"/>
        <family val="2"/>
        <scheme val="minor"/>
      </rPr>
      <t xml:space="preserve"> ον εορακει (45) ην και</t>
    </r>
  </si>
  <si>
    <r>
      <t xml:space="preserve">κατα </t>
    </r>
    <r>
      <rPr>
        <b/>
        <sz val="11"/>
        <color theme="1"/>
        <rFont val="Calibri"/>
        <family val="2"/>
        <scheme val="minor"/>
      </rPr>
      <t>τον τυπον</t>
    </r>
    <r>
      <rPr>
        <sz val="11"/>
        <color theme="1"/>
        <rFont val="Calibri"/>
        <family val="2"/>
        <scheme val="minor"/>
      </rPr>
      <t xml:space="preserve"> ον εωρακει (45) ην και</t>
    </r>
  </si>
  <si>
    <r>
      <t xml:space="preserve">κατα τον τυπον ον </t>
    </r>
    <r>
      <rPr>
        <b/>
        <sz val="11"/>
        <color theme="1"/>
        <rFont val="Calibri"/>
        <family val="2"/>
        <scheme val="minor"/>
      </rPr>
      <t>εωρακει</t>
    </r>
    <r>
      <rPr>
        <sz val="11"/>
        <color theme="1"/>
        <rFont val="Calibri"/>
        <family val="2"/>
        <scheme val="minor"/>
      </rPr>
      <t xml:space="preserve"> (45) ην και</t>
    </r>
  </si>
  <si>
    <r>
      <t xml:space="preserve">κατα το πα[ρα]τυπον ον </t>
    </r>
    <r>
      <rPr>
        <b/>
        <sz val="11"/>
        <color theme="1"/>
        <rFont val="Calibri"/>
        <family val="2"/>
        <scheme val="minor"/>
      </rPr>
      <t>εορακεν</t>
    </r>
    <r>
      <rPr>
        <sz val="11"/>
        <color theme="1"/>
        <rFont val="Calibri"/>
        <family val="2"/>
        <scheme val="minor"/>
      </rPr>
      <t xml:space="preserve"> (45) ην και</t>
    </r>
  </si>
  <si>
    <t>μετα ιησου εν τη</t>
  </si>
  <si>
    <t>μετα ιησουν εν τη</t>
  </si>
  <si>
    <t>ευρε χαριν</t>
  </si>
  <si>
    <t>Bezae corrects ευρε-&gt; ευρεν</t>
  </si>
  <si>
    <t>ευρειν τω οικω</t>
  </si>
  <si>
    <t>χειροποιητοις ως ο προφητης</t>
  </si>
  <si>
    <t>χειροποιητοις ναοις ο προφητης</t>
  </si>
  <si>
    <t>ουρανος μοι εστιν</t>
  </si>
  <si>
    <t>ουρανος μου εστιν</t>
  </si>
  <si>
    <t>καταπαυσεως μου εστιν (50) ουχι</t>
  </si>
  <si>
    <t>καταπαυσεως μου (50) ουχι</t>
  </si>
  <si>
    <t>πατερες και υμων</t>
  </si>
  <si>
    <t>εδιωξαν οι πατερες υμων και απεκτειναν</t>
  </si>
  <si>
    <t>εδιωξαν εκεινοι και απεκτειναν</t>
  </si>
  <si>
    <t>περι της ελευσεως</t>
  </si>
  <si>
    <t>περι ελευσεως</t>
  </si>
  <si>
    <t>οιτινες ελαβετε</t>
  </si>
  <si>
    <t>οιτιτεινε ελαβετε</t>
  </si>
  <si>
    <t>εβρυχοντο τους οδοντας</t>
  </si>
  <si>
    <t>εβρυχον τε τους οδοντας</t>
  </si>
  <si>
    <t>Bezae marks τε for deletion</t>
  </si>
  <si>
    <t>ειδε δοξαν</t>
  </si>
  <si>
    <t>Bezae corrects ειδε -&gt; ειδεν</t>
  </si>
  <si>
    <t>ουρανους ανεωγμενους</t>
  </si>
  <si>
    <t>ουρανους ηνεωγμενους</t>
  </si>
  <si>
    <t>φωνη μεγαλη μεγαλη συνεσχαν</t>
  </si>
  <si>
    <t>φωνη μεγαλη συνεσχαν</t>
  </si>
  <si>
    <t>δεξαι το πνευμα</t>
  </si>
  <si>
    <t>δεξε το πνα</t>
  </si>
  <si>
    <t>θεις δε τα γονατα</t>
  </si>
  <si>
    <t>θεις τα γονατα</t>
  </si>
  <si>
    <t>στησεις</t>
  </si>
  <si>
    <t>παντες τε διεσπαρησαν</t>
  </si>
  <si>
    <t>παντες δε διεσπαρησαν</t>
  </si>
  <si>
    <t>χωρας της ιουδαιας</t>
  </si>
  <si>
    <t>χωρας ιουδαιας</t>
  </si>
  <si>
    <r>
      <t xml:space="preserve">(1) αποστολων οι </t>
    </r>
    <r>
      <rPr>
        <b/>
        <sz val="11"/>
        <color theme="1"/>
        <rFont val="Calibri"/>
        <family val="2"/>
        <scheme val="minor"/>
      </rPr>
      <t>εμειναν</t>
    </r>
    <r>
      <rPr>
        <sz val="11"/>
        <color theme="1"/>
        <rFont val="Calibri"/>
        <family val="2"/>
        <scheme val="minor"/>
      </rPr>
      <t xml:space="preserve"> εν ιερουσαλημ (2) συνκομισαντες τον στεφανον</t>
    </r>
  </si>
  <si>
    <r>
      <t xml:space="preserve">(1) αποστολων οι </t>
    </r>
    <r>
      <rPr>
        <b/>
        <sz val="11"/>
        <color theme="1"/>
        <rFont val="Calibri"/>
        <family val="2"/>
        <scheme val="minor"/>
      </rPr>
      <t>διεμειναν</t>
    </r>
    <r>
      <rPr>
        <sz val="11"/>
        <color theme="1"/>
        <rFont val="Calibri"/>
        <family val="2"/>
        <scheme val="minor"/>
      </rPr>
      <t xml:space="preserve"> εν ιερουσαλημ (2) συνεκομισαν δε τον στεφανον</t>
    </r>
  </si>
  <si>
    <r>
      <t xml:space="preserve">(1) αποστολων </t>
    </r>
    <r>
      <rPr>
        <b/>
        <sz val="11"/>
        <color theme="1"/>
        <rFont val="Calibri"/>
        <family val="2"/>
        <scheme val="minor"/>
      </rPr>
      <t>οι εμειναν εν ιερουσαλημ</t>
    </r>
    <r>
      <rPr>
        <sz val="11"/>
        <color theme="1"/>
        <rFont val="Calibri"/>
        <family val="2"/>
        <scheme val="minor"/>
      </rPr>
      <t xml:space="preserve"> (2) συνκομισαντες τον στεφανον</t>
    </r>
  </si>
  <si>
    <r>
      <t xml:space="preserve">(1) αποστολων </t>
    </r>
    <r>
      <rPr>
        <b/>
        <sz val="11"/>
        <color theme="1"/>
        <rFont val="Calibri"/>
        <family val="2"/>
        <scheme val="minor"/>
      </rPr>
      <t>οι διεμειναν εν ιερουσαλημ</t>
    </r>
    <r>
      <rPr>
        <sz val="11"/>
        <color theme="1"/>
        <rFont val="Calibri"/>
        <family val="2"/>
        <scheme val="minor"/>
      </rPr>
      <t xml:space="preserve"> (2) συνεκομισαν δε τον στεφανον</t>
    </r>
  </si>
  <si>
    <r>
      <t xml:space="preserve">(1) αποστολων οι εμειναν εν ιερουσαλημ (2) </t>
    </r>
    <r>
      <rPr>
        <b/>
        <sz val="11"/>
        <color theme="1"/>
        <rFont val="Calibri"/>
        <family val="2"/>
        <scheme val="minor"/>
      </rPr>
      <t>συνκομισαντες</t>
    </r>
    <r>
      <rPr>
        <sz val="11"/>
        <color theme="1"/>
        <rFont val="Calibri"/>
        <family val="2"/>
        <scheme val="minor"/>
      </rPr>
      <t xml:space="preserve"> τον στεφανον</t>
    </r>
  </si>
  <si>
    <t>(3) παρεδιδους εις φυλακην (4) οι μεν ουν</t>
  </si>
  <si>
    <r>
      <t xml:space="preserve">(3) </t>
    </r>
    <r>
      <rPr>
        <b/>
        <sz val="11"/>
        <color theme="1"/>
        <rFont val="Calibri"/>
        <family val="2"/>
        <scheme val="minor"/>
      </rPr>
      <t>παρεδιδους</t>
    </r>
    <r>
      <rPr>
        <sz val="11"/>
        <color theme="1"/>
        <rFont val="Calibri"/>
        <family val="2"/>
        <scheme val="minor"/>
      </rPr>
      <t xml:space="preserve"> εις φυλακην (4) οι μεν ουν</t>
    </r>
  </si>
  <si>
    <r>
      <t xml:space="preserve">(3) παρεδιδου εις </t>
    </r>
    <r>
      <rPr>
        <b/>
        <sz val="11"/>
        <color theme="1"/>
        <rFont val="Calibri"/>
        <family val="2"/>
        <scheme val="minor"/>
      </rPr>
      <t>την</t>
    </r>
    <r>
      <rPr>
        <sz val="11"/>
        <color theme="1"/>
        <rFont val="Calibri"/>
        <family val="2"/>
        <scheme val="minor"/>
      </rPr>
      <t xml:space="preserve"> φυλακην  (4) ως δε ηκουον παν οι οχλοι οι μεν ουν</t>
    </r>
  </si>
  <si>
    <r>
      <t xml:space="preserve">(3) </t>
    </r>
    <r>
      <rPr>
        <b/>
        <sz val="11"/>
        <color theme="1"/>
        <rFont val="Calibri"/>
        <family val="2"/>
        <scheme val="minor"/>
      </rPr>
      <t>παρεδιδου</t>
    </r>
    <r>
      <rPr>
        <sz val="11"/>
        <color theme="1"/>
        <rFont val="Calibri"/>
        <family val="2"/>
        <scheme val="minor"/>
      </rPr>
      <t xml:space="preserve"> εις την φυλακην  (4) ως δε ηκουον παν οι οχλοι οι μεν ουν</t>
    </r>
  </si>
  <si>
    <r>
      <t xml:space="preserve">(3) παρεδιδου εις την φυλακην  (4) </t>
    </r>
    <r>
      <rPr>
        <b/>
        <sz val="11"/>
        <color theme="1"/>
        <rFont val="Calibri"/>
        <family val="2"/>
        <scheme val="minor"/>
      </rPr>
      <t>ως δε ηκουον παν οι οχλοι</t>
    </r>
    <r>
      <rPr>
        <sz val="11"/>
        <color theme="1"/>
        <rFont val="Calibri"/>
        <family val="2"/>
        <scheme val="minor"/>
      </rPr>
      <t xml:space="preserve"> οι μεν ουν</t>
    </r>
  </si>
  <si>
    <t>κατελθων</t>
  </si>
  <si>
    <t>(5) χριστον (6) προσειχον δε οι οχλοι  τοις λεγομενοις</t>
  </si>
  <si>
    <r>
      <t xml:space="preserve">(5) χρν (6) </t>
    </r>
    <r>
      <rPr>
        <b/>
        <sz val="11"/>
        <color theme="1"/>
        <rFont val="Calibri"/>
        <family val="2"/>
        <scheme val="minor"/>
      </rPr>
      <t>ως</t>
    </r>
    <r>
      <rPr>
        <sz val="11"/>
        <color theme="1"/>
        <rFont val="Calibri"/>
        <family val="2"/>
        <scheme val="minor"/>
      </rPr>
      <t xml:space="preserve"> δε ηκουον παν οι οχλοι προσειχον τοις λεγομενοις</t>
    </r>
  </si>
  <si>
    <r>
      <t xml:space="preserve">(5) χρν (6) ως δε </t>
    </r>
    <r>
      <rPr>
        <b/>
        <sz val="11"/>
        <color theme="1"/>
        <rFont val="Calibri"/>
        <family val="2"/>
        <scheme val="minor"/>
      </rPr>
      <t>ηκουον</t>
    </r>
    <r>
      <rPr>
        <sz val="11"/>
        <color theme="1"/>
        <rFont val="Calibri"/>
        <family val="2"/>
        <scheme val="minor"/>
      </rPr>
      <t xml:space="preserve"> παν οι οχλοι προσειχον τοις λεγομενοις</t>
    </r>
  </si>
  <si>
    <r>
      <t xml:space="preserve">(5) χρν (6) ως δε ηκουον παν οι οχλοι </t>
    </r>
    <r>
      <rPr>
        <b/>
        <sz val="11"/>
        <color theme="1"/>
        <rFont val="Calibri"/>
        <family val="2"/>
        <scheme val="minor"/>
      </rPr>
      <t>προσειχον</t>
    </r>
    <r>
      <rPr>
        <sz val="11"/>
        <color theme="1"/>
        <rFont val="Calibri"/>
        <family val="2"/>
        <scheme val="minor"/>
      </rPr>
      <t xml:space="preserve"> τοις λεγομενοις</t>
    </r>
  </si>
  <si>
    <r>
      <t xml:space="preserve">(5) χριστον (6) </t>
    </r>
    <r>
      <rPr>
        <b/>
        <sz val="11"/>
        <color theme="1"/>
        <rFont val="Calibri"/>
        <family val="2"/>
        <scheme val="minor"/>
      </rPr>
      <t>προσειχον</t>
    </r>
    <r>
      <rPr>
        <sz val="11"/>
        <color theme="1"/>
        <rFont val="Calibri"/>
        <family val="2"/>
        <scheme val="minor"/>
      </rPr>
      <t xml:space="preserve"> δε οι οχλοι  τοις λεγομενοις</t>
    </r>
  </si>
  <si>
    <t>υπο του φιλιππου</t>
  </si>
  <si>
    <t>υπο φιλιππου</t>
  </si>
  <si>
    <t>[]οντο</t>
  </si>
  <si>
    <t>(6) εποιει (7) απο πολλοις γαρ</t>
  </si>
  <si>
    <t>Bezae seems to correct απο πολλοις γαρ -&gt; πολλοι γαρ</t>
  </si>
  <si>
    <t>χαρα τε μεγαλη εγενετο εν τη</t>
  </si>
  <si>
    <t>χαρα τε εγενετο μεγαλη εν τη</t>
  </si>
  <si>
    <t>μαγευων εξε[]ο[] το εθνος</t>
  </si>
  <si>
    <r>
      <t xml:space="preserve">μαγευων </t>
    </r>
    <r>
      <rPr>
        <b/>
        <sz val="11"/>
        <color theme="1"/>
        <rFont val="Calibri"/>
        <family val="2"/>
        <scheme val="minor"/>
      </rPr>
      <t>και</t>
    </r>
    <r>
      <rPr>
        <sz val="11"/>
        <color theme="1"/>
        <rFont val="Calibri"/>
        <family val="2"/>
        <scheme val="minor"/>
      </rPr>
      <t xml:space="preserve"> εξειστων το εθνος</t>
    </r>
  </si>
  <si>
    <r>
      <t xml:space="preserve">μαγευων </t>
    </r>
    <r>
      <rPr>
        <b/>
        <sz val="11"/>
        <color theme="1"/>
        <rFont val="Calibri"/>
        <family val="2"/>
        <scheme val="minor"/>
      </rPr>
      <t>εξε[]ο[]</t>
    </r>
    <r>
      <rPr>
        <sz val="11"/>
        <color theme="1"/>
        <rFont val="Calibri"/>
        <family val="2"/>
        <scheme val="minor"/>
      </rPr>
      <t xml:space="preserve"> το εθνος</t>
    </r>
  </si>
  <si>
    <r>
      <t xml:space="preserve">μαγευων και </t>
    </r>
    <r>
      <rPr>
        <b/>
        <sz val="11"/>
        <color theme="1"/>
        <rFont val="Calibri"/>
        <family val="2"/>
        <scheme val="minor"/>
      </rPr>
      <t>εξειστων</t>
    </r>
    <r>
      <rPr>
        <sz val="11"/>
        <color theme="1"/>
        <rFont val="Calibri"/>
        <family val="2"/>
        <scheme val="minor"/>
      </rPr>
      <t xml:space="preserve"> το εθνος</t>
    </r>
  </si>
  <si>
    <t>ην και προσκαρτερων</t>
  </si>
  <si>
    <t>Bezae erases και</t>
  </si>
  <si>
    <t>φιλιππω θεωρων τε σημεια</t>
  </si>
  <si>
    <t>φιλιππω θερ τε σημεια</t>
  </si>
  <si>
    <t>ην επι ουδενι αυτων</t>
  </si>
  <si>
    <t>ην επι ουδενα αυτων</t>
  </si>
  <si>
    <t>επετιθεσαν</t>
  </si>
  <si>
    <t>χειρας επ αυτους</t>
  </si>
  <si>
    <t>χειρας επ επ αυτους</t>
  </si>
  <si>
    <t>προσηνεγκεν</t>
  </si>
  <si>
    <t>(18) χρηματα (19) λεγων</t>
  </si>
  <si>
    <t>(18) χρηματα (19) παρακαλων και λεγων</t>
  </si>
  <si>
    <t>προς αυτον αργυριον συν σοι</t>
  </si>
  <si>
    <r>
      <t xml:space="preserve">προς αυτον </t>
    </r>
    <r>
      <rPr>
        <b/>
        <sz val="11"/>
        <color theme="1"/>
        <rFont val="Calibri"/>
        <family val="2"/>
        <scheme val="minor"/>
      </rPr>
      <t>το</t>
    </r>
    <r>
      <rPr>
        <sz val="11"/>
        <color theme="1"/>
        <rFont val="Calibri"/>
        <family val="2"/>
        <scheme val="minor"/>
      </rPr>
      <t xml:space="preserve"> αργυριον σου συν σοι</t>
    </r>
  </si>
  <si>
    <r>
      <t xml:space="preserve">προς αυτον το αργυριον </t>
    </r>
    <r>
      <rPr>
        <b/>
        <sz val="11"/>
        <color theme="1"/>
        <rFont val="Calibri"/>
        <family val="2"/>
        <scheme val="minor"/>
      </rPr>
      <t>σου</t>
    </r>
    <r>
      <rPr>
        <sz val="11"/>
        <color theme="1"/>
        <rFont val="Calibri"/>
        <family val="2"/>
        <scheme val="minor"/>
      </rPr>
      <t xml:space="preserve"> συν σοι</t>
    </r>
  </si>
  <si>
    <r>
      <t xml:space="preserve">θεου </t>
    </r>
    <r>
      <rPr>
        <b/>
        <sz val="11"/>
        <color theme="1"/>
        <rFont val="Calibri"/>
        <family val="2"/>
        <scheme val="minor"/>
      </rPr>
      <t>ενομισας</t>
    </r>
    <r>
      <rPr>
        <sz val="11"/>
        <color theme="1"/>
        <rFont val="Calibri"/>
        <family val="2"/>
        <scheme val="minor"/>
      </rPr>
      <t xml:space="preserve"> δια χρηματων κτασθαι</t>
    </r>
  </si>
  <si>
    <r>
      <t xml:space="preserve">θεου ενομισας δια </t>
    </r>
    <r>
      <rPr>
        <b/>
        <sz val="11"/>
        <color theme="1"/>
        <rFont val="Calibri"/>
        <family val="2"/>
        <scheme val="minor"/>
      </rPr>
      <t>χρηματων</t>
    </r>
    <r>
      <rPr>
        <sz val="11"/>
        <color theme="1"/>
        <rFont val="Calibri"/>
        <family val="2"/>
        <scheme val="minor"/>
      </rPr>
      <t xml:space="preserve"> κτασθαι</t>
    </r>
  </si>
  <si>
    <r>
      <t xml:space="preserve">θυ ενομισαν δια </t>
    </r>
    <r>
      <rPr>
        <b/>
        <sz val="11"/>
        <color theme="1"/>
        <rFont val="Calibri"/>
        <family val="2"/>
        <scheme val="minor"/>
      </rPr>
      <t>χρηματα</t>
    </r>
    <r>
      <rPr>
        <sz val="11"/>
        <color theme="1"/>
        <rFont val="Calibri"/>
        <family val="2"/>
        <scheme val="minor"/>
      </rPr>
      <t xml:space="preserve"> κτασθαι</t>
    </r>
  </si>
  <si>
    <r>
      <t xml:space="preserve">θυ </t>
    </r>
    <r>
      <rPr>
        <b/>
        <sz val="11"/>
        <color theme="1"/>
        <rFont val="Calibri"/>
        <family val="2"/>
        <scheme val="minor"/>
      </rPr>
      <t>ενομισαν</t>
    </r>
    <r>
      <rPr>
        <sz val="11"/>
        <color theme="1"/>
        <rFont val="Calibri"/>
        <family val="2"/>
        <scheme val="minor"/>
      </rPr>
      <t xml:space="preserve"> δια χρηματα κτασθαι</t>
    </r>
  </si>
  <si>
    <t>η γαρ καρδια</t>
  </si>
  <si>
    <t>η καρδια</t>
  </si>
  <si>
    <r>
      <t xml:space="preserve">αρα </t>
    </r>
    <r>
      <rPr>
        <b/>
        <sz val="11"/>
        <color theme="1"/>
        <rFont val="Calibri"/>
        <family val="2"/>
        <scheme val="minor"/>
      </rPr>
      <t>αφηθησεται</t>
    </r>
    <r>
      <rPr>
        <sz val="11"/>
        <color theme="1"/>
        <rFont val="Calibri"/>
        <family val="2"/>
        <scheme val="minor"/>
      </rPr>
      <t xml:space="preserve"> σου η επινοια</t>
    </r>
  </si>
  <si>
    <r>
      <t xml:space="preserve">αρα </t>
    </r>
    <r>
      <rPr>
        <b/>
        <sz val="11"/>
        <color theme="1"/>
        <rFont val="Calibri"/>
        <family val="2"/>
        <scheme val="minor"/>
      </rPr>
      <t>αφεθησεται</t>
    </r>
    <r>
      <rPr>
        <sz val="11"/>
        <color theme="1"/>
        <rFont val="Calibri"/>
        <family val="2"/>
        <scheme val="minor"/>
      </rPr>
      <t xml:space="preserve"> σοι η επινοια</t>
    </r>
  </si>
  <si>
    <r>
      <t xml:space="preserve">αρα αφεθησεται </t>
    </r>
    <r>
      <rPr>
        <b/>
        <sz val="11"/>
        <color theme="1"/>
        <rFont val="Calibri"/>
        <family val="2"/>
        <scheme val="minor"/>
      </rPr>
      <t>σοι</t>
    </r>
    <r>
      <rPr>
        <sz val="11"/>
        <color theme="1"/>
        <rFont val="Calibri"/>
        <family val="2"/>
        <scheme val="minor"/>
      </rPr>
      <t xml:space="preserve"> η επινοια</t>
    </r>
  </si>
  <si>
    <r>
      <t xml:space="preserve">αρα αφηθησεται </t>
    </r>
    <r>
      <rPr>
        <b/>
        <sz val="11"/>
        <color theme="1"/>
        <rFont val="Calibri"/>
        <family val="2"/>
        <scheme val="minor"/>
      </rPr>
      <t>σου</t>
    </r>
    <r>
      <rPr>
        <sz val="11"/>
        <color theme="1"/>
        <rFont val="Calibri"/>
        <family val="2"/>
        <scheme val="minor"/>
      </rPr>
      <t xml:space="preserve"> η επινοια</t>
    </r>
  </si>
  <si>
    <t>(22) καρδιας σου (23) εις πικριαν χολης και συνδεσμον αδικιας ορω</t>
  </si>
  <si>
    <r>
      <t xml:space="preserve">(22) καρδιας σου (23) </t>
    </r>
    <r>
      <rPr>
        <b/>
        <sz val="11"/>
        <color theme="1"/>
        <rFont val="Calibri"/>
        <family val="2"/>
        <scheme val="minor"/>
      </rPr>
      <t>ην</t>
    </r>
    <r>
      <rPr>
        <sz val="11"/>
        <color theme="1"/>
        <rFont val="Calibri"/>
        <family val="2"/>
        <scheme val="minor"/>
      </rPr>
      <t xml:space="preserve"> γαρ πικριας χολη και συνδεσμω αδικιας θεωρω</t>
    </r>
  </si>
  <si>
    <r>
      <t xml:space="preserve">(22) καρδιας σου (23) ην </t>
    </r>
    <r>
      <rPr>
        <b/>
        <sz val="11"/>
        <color theme="1"/>
        <rFont val="Calibri"/>
        <family val="2"/>
        <scheme val="minor"/>
      </rPr>
      <t>γαρ</t>
    </r>
    <r>
      <rPr>
        <sz val="11"/>
        <color theme="1"/>
        <rFont val="Calibri"/>
        <family val="2"/>
        <scheme val="minor"/>
      </rPr>
      <t xml:space="preserve"> πικριας χολη και συνδεσμω αδικιας θεωρω</t>
    </r>
  </si>
  <si>
    <r>
      <t xml:space="preserve">(22) καρδιας σου (23) ην γαρ </t>
    </r>
    <r>
      <rPr>
        <b/>
        <sz val="11"/>
        <color theme="1"/>
        <rFont val="Calibri"/>
        <family val="2"/>
        <scheme val="minor"/>
      </rPr>
      <t>πικριας</t>
    </r>
    <r>
      <rPr>
        <sz val="11"/>
        <color theme="1"/>
        <rFont val="Calibri"/>
        <family val="2"/>
        <scheme val="minor"/>
      </rPr>
      <t xml:space="preserve"> χολη και συνδεσμω αδικιας θεωρω</t>
    </r>
  </si>
  <si>
    <r>
      <t xml:space="preserve">(22) καρδιας σου (23) εις </t>
    </r>
    <r>
      <rPr>
        <b/>
        <sz val="11"/>
        <color theme="1"/>
        <rFont val="Calibri"/>
        <family val="2"/>
        <scheme val="minor"/>
      </rPr>
      <t>πικριαν</t>
    </r>
    <r>
      <rPr>
        <sz val="11"/>
        <color theme="1"/>
        <rFont val="Calibri"/>
        <family val="2"/>
        <scheme val="minor"/>
      </rPr>
      <t xml:space="preserve"> χολης και συνδεσμον αδικιας ορω</t>
    </r>
  </si>
  <si>
    <r>
      <t xml:space="preserve">(22) καρδιας σου (23) ην γαρ πικριας </t>
    </r>
    <r>
      <rPr>
        <b/>
        <sz val="11"/>
        <color theme="1"/>
        <rFont val="Calibri"/>
        <family val="2"/>
        <scheme val="minor"/>
      </rPr>
      <t>χολη</t>
    </r>
    <r>
      <rPr>
        <sz val="11"/>
        <color theme="1"/>
        <rFont val="Calibri"/>
        <family val="2"/>
        <scheme val="minor"/>
      </rPr>
      <t xml:space="preserve"> και συνδεσμω αδικιας θεωρω</t>
    </r>
  </si>
  <si>
    <r>
      <t xml:space="preserve">(22) καρδιας σου (23) εις πικριαν </t>
    </r>
    <r>
      <rPr>
        <b/>
        <sz val="11"/>
        <color theme="1"/>
        <rFont val="Calibri"/>
        <family val="2"/>
        <scheme val="minor"/>
      </rPr>
      <t>χολης</t>
    </r>
    <r>
      <rPr>
        <sz val="11"/>
        <color theme="1"/>
        <rFont val="Calibri"/>
        <family val="2"/>
        <scheme val="minor"/>
      </rPr>
      <t xml:space="preserve"> και συνδεσμον αδικιας ορω</t>
    </r>
  </si>
  <si>
    <r>
      <t xml:space="preserve">(22) καρδιας σου (23) ην γαρ πικριας χολη και </t>
    </r>
    <r>
      <rPr>
        <b/>
        <sz val="11"/>
        <color theme="1"/>
        <rFont val="Calibri"/>
        <family val="2"/>
        <scheme val="minor"/>
      </rPr>
      <t>συνδεσμω</t>
    </r>
    <r>
      <rPr>
        <sz val="11"/>
        <color theme="1"/>
        <rFont val="Calibri"/>
        <family val="2"/>
        <scheme val="minor"/>
      </rPr>
      <t xml:space="preserve"> αδικιας θεωρω</t>
    </r>
  </si>
  <si>
    <r>
      <t xml:space="preserve">(22) καρδιας σου (23) εις πικριαν χολης και </t>
    </r>
    <r>
      <rPr>
        <b/>
        <sz val="11"/>
        <color theme="1"/>
        <rFont val="Calibri"/>
        <family val="2"/>
        <scheme val="minor"/>
      </rPr>
      <t>συνδεσμον</t>
    </r>
    <r>
      <rPr>
        <sz val="11"/>
        <color theme="1"/>
        <rFont val="Calibri"/>
        <family val="2"/>
        <scheme val="minor"/>
      </rPr>
      <t xml:space="preserve"> αδικιας ορω</t>
    </r>
  </si>
  <si>
    <r>
      <t xml:space="preserve">(22) καρδιας σου (23) ην γαρ πικριας χολη και συνδεσμω αδικιας </t>
    </r>
    <r>
      <rPr>
        <b/>
        <sz val="11"/>
        <color theme="1"/>
        <rFont val="Calibri"/>
        <family val="2"/>
        <scheme val="minor"/>
      </rPr>
      <t>θεωρω</t>
    </r>
  </si>
  <si>
    <r>
      <t xml:space="preserve">(22) καρδιας σου (23) εις πικριαν χολης και συνδεσμον αδικιας </t>
    </r>
    <r>
      <rPr>
        <b/>
        <sz val="11"/>
        <color theme="1"/>
        <rFont val="Calibri"/>
        <family val="2"/>
        <scheme val="minor"/>
      </rPr>
      <t>ορω</t>
    </r>
  </si>
  <si>
    <r>
      <t xml:space="preserve">παρακαλω </t>
    </r>
    <r>
      <rPr>
        <b/>
        <sz val="11"/>
        <color theme="1"/>
        <rFont val="Calibri"/>
        <family val="2"/>
        <scheme val="minor"/>
      </rPr>
      <t>δεηθητι</t>
    </r>
    <r>
      <rPr>
        <sz val="11"/>
        <color theme="1"/>
        <rFont val="Calibri"/>
        <family val="2"/>
        <scheme val="minor"/>
      </rPr>
      <t xml:space="preserve"> υμεις περι εμου</t>
    </r>
  </si>
  <si>
    <r>
      <t xml:space="preserve">παρακαλω </t>
    </r>
    <r>
      <rPr>
        <b/>
        <sz val="11"/>
        <color theme="1"/>
        <rFont val="Calibri"/>
        <family val="2"/>
        <scheme val="minor"/>
      </rPr>
      <t>δεηθητε</t>
    </r>
    <r>
      <rPr>
        <sz val="11"/>
        <color theme="1"/>
        <rFont val="Calibri"/>
        <family val="2"/>
        <scheme val="minor"/>
      </rPr>
      <t xml:space="preserve"> υμεις υπερ εμου</t>
    </r>
  </si>
  <si>
    <r>
      <t xml:space="preserve">παρακαλω δεηθητι υμεις </t>
    </r>
    <r>
      <rPr>
        <b/>
        <sz val="11"/>
        <color theme="1"/>
        <rFont val="Calibri"/>
        <family val="2"/>
        <scheme val="minor"/>
      </rPr>
      <t>περι</t>
    </r>
    <r>
      <rPr>
        <sz val="11"/>
        <color theme="1"/>
        <rFont val="Calibri"/>
        <family val="2"/>
        <scheme val="minor"/>
      </rPr>
      <t xml:space="preserve"> εμου</t>
    </r>
  </si>
  <si>
    <r>
      <t xml:space="preserve">παρακαλω δεηθητε υμεις </t>
    </r>
    <r>
      <rPr>
        <b/>
        <sz val="11"/>
        <color theme="1"/>
        <rFont val="Calibri"/>
        <family val="2"/>
        <scheme val="minor"/>
      </rPr>
      <t>υπερ</t>
    </r>
    <r>
      <rPr>
        <sz val="11"/>
        <color theme="1"/>
        <rFont val="Calibri"/>
        <family val="2"/>
        <scheme val="minor"/>
      </rPr>
      <t xml:space="preserve"> εμου</t>
    </r>
  </si>
  <si>
    <t>προς τον θν οπως</t>
  </si>
  <si>
    <t>προς τον κυριον οπως</t>
  </si>
  <si>
    <t>κακων ων ειρηκατε</t>
  </si>
  <si>
    <t>κακων ον ειρηκατε</t>
  </si>
  <si>
    <t>μοι (25) οι μεν ουν</t>
  </si>
  <si>
    <t>πορευθητι κατα μεσημβριαν</t>
  </si>
  <si>
    <t>πορευθητι μετα μεσημβριαν</t>
  </si>
  <si>
    <t>κανδακης βασιλεισσης τινος αιθιοπων</t>
  </si>
  <si>
    <r>
      <t xml:space="preserve">κανδακης </t>
    </r>
    <r>
      <rPr>
        <b/>
        <sz val="11"/>
        <color theme="1"/>
        <rFont val="Calibri"/>
        <family val="2"/>
        <scheme val="minor"/>
      </rPr>
      <t>της</t>
    </r>
    <r>
      <rPr>
        <sz val="11"/>
        <color theme="1"/>
        <rFont val="Calibri"/>
        <family val="2"/>
        <scheme val="minor"/>
      </rPr>
      <t xml:space="preserve"> βασιλεισσης τινος αιθιοπων</t>
    </r>
  </si>
  <si>
    <t>γαζης αυτου εληλυθει</t>
  </si>
  <si>
    <r>
      <t xml:space="preserve">γαζης </t>
    </r>
    <r>
      <rPr>
        <b/>
        <sz val="11"/>
        <color theme="1"/>
        <rFont val="Calibri"/>
        <family val="2"/>
        <scheme val="minor"/>
      </rPr>
      <t>αυτου</t>
    </r>
    <r>
      <rPr>
        <sz val="11"/>
        <color theme="1"/>
        <rFont val="Calibri"/>
        <family val="2"/>
        <scheme val="minor"/>
      </rPr>
      <t xml:space="preserve"> εληλυθει</t>
    </r>
  </si>
  <si>
    <r>
      <t xml:space="preserve">γαζης </t>
    </r>
    <r>
      <rPr>
        <b/>
        <sz val="11"/>
        <color theme="1"/>
        <rFont val="Calibri"/>
        <family val="2"/>
        <scheme val="minor"/>
      </rPr>
      <t>αυτης</t>
    </r>
    <r>
      <rPr>
        <sz val="11"/>
        <color theme="1"/>
        <rFont val="Calibri"/>
        <family val="2"/>
        <scheme val="minor"/>
      </rPr>
      <t xml:space="preserve"> ος εληλυθει</t>
    </r>
  </si>
  <si>
    <r>
      <t xml:space="preserve">γαζης αυτης </t>
    </r>
    <r>
      <rPr>
        <b/>
        <sz val="11"/>
        <color theme="1"/>
        <rFont val="Calibri"/>
        <family val="2"/>
        <scheme val="minor"/>
      </rPr>
      <t>ος</t>
    </r>
    <r>
      <rPr>
        <sz val="11"/>
        <color theme="1"/>
        <rFont val="Calibri"/>
        <family val="2"/>
        <scheme val="minor"/>
      </rPr>
      <t xml:space="preserve"> εληλυθει</t>
    </r>
  </si>
  <si>
    <t>Bezae inserts εν between these words, not εις</t>
  </si>
  <si>
    <t>υποστρεφων και καθημενος</t>
  </si>
  <si>
    <t>υποστρεφων  καθημενος</t>
  </si>
  <si>
    <t>αρματος αυτου αναγεινωσκων</t>
  </si>
  <si>
    <t>αρματος αναγεινωσκων</t>
  </si>
  <si>
    <t>τι αν ειη οραμα</t>
  </si>
  <si>
    <r>
      <t xml:space="preserve">τι αν </t>
    </r>
    <r>
      <rPr>
        <b/>
        <sz val="11"/>
        <color theme="1"/>
        <rFont val="Calibri"/>
        <family val="2"/>
        <scheme val="minor"/>
      </rPr>
      <t>ει</t>
    </r>
    <r>
      <rPr>
        <sz val="11"/>
        <color theme="1"/>
        <rFont val="Calibri"/>
        <family val="2"/>
        <scheme val="minor"/>
      </rPr>
      <t xml:space="preserve"> το οραμα</t>
    </r>
  </si>
  <si>
    <r>
      <t xml:space="preserve">τι αν </t>
    </r>
    <r>
      <rPr>
        <b/>
        <sz val="11"/>
        <color theme="1"/>
        <rFont val="Calibri"/>
        <family val="2"/>
        <scheme val="minor"/>
      </rPr>
      <t>ειη</t>
    </r>
    <r>
      <rPr>
        <sz val="11"/>
        <color theme="1"/>
        <rFont val="Calibri"/>
        <family val="2"/>
        <scheme val="minor"/>
      </rPr>
      <t xml:space="preserve"> οραμα</t>
    </r>
  </si>
  <si>
    <r>
      <t xml:space="preserve">τι αν ει </t>
    </r>
    <r>
      <rPr>
        <b/>
        <sz val="11"/>
        <color theme="1"/>
        <rFont val="Calibri"/>
        <family val="2"/>
        <scheme val="minor"/>
      </rPr>
      <t>το</t>
    </r>
    <r>
      <rPr>
        <sz val="11"/>
        <color theme="1"/>
        <rFont val="Calibri"/>
        <family val="2"/>
        <scheme val="minor"/>
      </rPr>
      <t xml:space="preserve"> οραμα</t>
    </r>
  </si>
  <si>
    <t>οικιαν του σιμωνος</t>
  </si>
  <si>
    <t>οικιαν σιμωνος</t>
  </si>
  <si>
    <t>αναστα καταβηθι</t>
  </si>
  <si>
    <t>αναστας καταβηθι</t>
  </si>
  <si>
    <t>εισαγαγων εξενισεν</t>
  </si>
  <si>
    <t>εισαγαγων ο πετρος εξενισεν</t>
  </si>
  <si>
    <t>ιοππης συνηλθαν</t>
  </si>
  <si>
    <t>ιοππην συνηλθαν</t>
  </si>
  <si>
    <t>εις καισαριαν</t>
  </si>
  <si>
    <r>
      <t xml:space="preserve">εις </t>
    </r>
    <r>
      <rPr>
        <b/>
        <sz val="11"/>
        <color theme="1"/>
        <rFont val="Calibri"/>
        <family val="2"/>
        <scheme val="minor"/>
      </rPr>
      <t>την</t>
    </r>
    <r>
      <rPr>
        <sz val="11"/>
        <color theme="1"/>
        <rFont val="Calibri"/>
        <family val="2"/>
        <scheme val="minor"/>
      </rPr>
      <t xml:space="preserve"> καισαρειαν</t>
    </r>
  </si>
  <si>
    <r>
      <t xml:space="preserve">εις την </t>
    </r>
    <r>
      <rPr>
        <b/>
        <sz val="11"/>
        <color theme="1"/>
        <rFont val="Calibri"/>
        <family val="2"/>
        <scheme val="minor"/>
      </rPr>
      <t>καισαρειαν</t>
    </r>
  </si>
  <si>
    <r>
      <t xml:space="preserve">εις </t>
    </r>
    <r>
      <rPr>
        <b/>
        <sz val="11"/>
        <color theme="1"/>
        <rFont val="Calibri"/>
        <family val="2"/>
        <scheme val="minor"/>
      </rPr>
      <t>καισαριαν</t>
    </r>
  </si>
  <si>
    <t>αυτους συγκαλεσαμενος</t>
  </si>
  <si>
    <r>
      <t xml:space="preserve">αυτους </t>
    </r>
    <r>
      <rPr>
        <b/>
        <sz val="11"/>
        <color theme="1"/>
        <rFont val="Calibri"/>
        <family val="2"/>
        <scheme val="minor"/>
      </rPr>
      <t>και</t>
    </r>
    <r>
      <rPr>
        <sz val="11"/>
        <color theme="1"/>
        <rFont val="Calibri"/>
        <family val="2"/>
        <scheme val="minor"/>
      </rPr>
      <t xml:space="preserve"> συνκαλεσαμενος</t>
    </r>
  </si>
  <si>
    <r>
      <t xml:space="preserve">αυτους και </t>
    </r>
    <r>
      <rPr>
        <b/>
        <sz val="11"/>
        <color theme="1"/>
        <rFont val="Calibri"/>
        <family val="2"/>
        <scheme val="minor"/>
      </rPr>
      <t>συνκαλεσαμενος</t>
    </r>
  </si>
  <si>
    <r>
      <t xml:space="preserve">αυτους </t>
    </r>
    <r>
      <rPr>
        <b/>
        <sz val="11"/>
        <color theme="1"/>
        <rFont val="Calibri"/>
        <family val="2"/>
        <scheme val="minor"/>
      </rPr>
      <t>συγκαλεσαμενος</t>
    </r>
  </si>
  <si>
    <t>φιλους (25) προσεγγιζοντος</t>
  </si>
  <si>
    <t>φιλους περιεμεινεν (25) προσεγγιζοντος</t>
  </si>
  <si>
    <t>αυτον και συναντησας</t>
  </si>
  <si>
    <t>αυτον ο δε κορνηλιος εκπηδησας και συναντησας</t>
  </si>
  <si>
    <t xml:space="preserve">πεσων προς τους ποδας </t>
  </si>
  <si>
    <t xml:space="preserve">πεσων επι τους ποδας </t>
  </si>
  <si>
    <t>προσεκυνησεν αυτον (26) ο δε</t>
  </si>
  <si>
    <t>προσεκυνησεν (26) ο δε</t>
  </si>
  <si>
    <t>Bezae corrects αυτον -&gt; αυτω</t>
  </si>
  <si>
    <r>
      <t xml:space="preserve">(26) λεγων </t>
    </r>
    <r>
      <rPr>
        <b/>
        <sz val="11"/>
        <color theme="1"/>
        <rFont val="Calibri"/>
        <family val="2"/>
        <scheme val="minor"/>
      </rPr>
      <t>τι ποιεις</t>
    </r>
    <r>
      <rPr>
        <sz val="11"/>
        <color theme="1"/>
        <rFont val="Calibri"/>
        <family val="2"/>
        <scheme val="minor"/>
      </rPr>
      <t xml:space="preserve"> καγω ανθρωπος ειμι ως και συ (27) και εισελθων τε και ευρεν συνεληλυθοτας</t>
    </r>
  </si>
  <si>
    <r>
      <t xml:space="preserve">(26) λεγων </t>
    </r>
    <r>
      <rPr>
        <b/>
        <sz val="11"/>
        <color theme="1"/>
        <rFont val="Calibri"/>
        <family val="2"/>
        <scheme val="minor"/>
      </rPr>
      <t>αναστηθι</t>
    </r>
    <r>
      <rPr>
        <sz val="11"/>
        <color theme="1"/>
        <rFont val="Calibri"/>
        <family val="2"/>
        <scheme val="minor"/>
      </rPr>
      <t xml:space="preserve"> καγω αυτος ανθρωπος ειμι (27) και συνομιλων αυτω εισηλθεν και ευρεισκει συνεληλυθοτας</t>
    </r>
  </si>
  <si>
    <t>(26) λεγων τι ποιεις καγω ανθρωπος ειμι ως και συ (27) και εισελθων τε και ευρεν συνεληλυθοτας</t>
  </si>
  <si>
    <r>
      <t xml:space="preserve">(26) λεγων αναστηθι καγω </t>
    </r>
    <r>
      <rPr>
        <b/>
        <sz val="11"/>
        <color theme="1"/>
        <rFont val="Calibri"/>
        <family val="2"/>
        <scheme val="minor"/>
      </rPr>
      <t>αυτος</t>
    </r>
    <r>
      <rPr>
        <sz val="11"/>
        <color theme="1"/>
        <rFont val="Calibri"/>
        <family val="2"/>
        <scheme val="minor"/>
      </rPr>
      <t xml:space="preserve"> ανθρωπος ειμι (27) και συνομιλων αυτω εισηλθεν και ευρεισκει συνεληλυθοτας</t>
    </r>
  </si>
  <si>
    <r>
      <t xml:space="preserve">(26) λεγων τι ποιεις καγω ανθρωπος ειμι </t>
    </r>
    <r>
      <rPr>
        <b/>
        <sz val="11"/>
        <color theme="1"/>
        <rFont val="Calibri"/>
        <family val="2"/>
        <scheme val="minor"/>
      </rPr>
      <t>ως και συ</t>
    </r>
    <r>
      <rPr>
        <sz val="11"/>
        <color theme="1"/>
        <rFont val="Calibri"/>
        <family val="2"/>
        <scheme val="minor"/>
      </rPr>
      <t xml:space="preserve"> (27) και εισελθων τε και ευρεν συνεληλυθοτας</t>
    </r>
  </si>
  <si>
    <r>
      <t xml:space="preserve">(26) λεγων τι ποιεις καγω ανθρωπος ειμι ως και συ (27) και </t>
    </r>
    <r>
      <rPr>
        <b/>
        <sz val="11"/>
        <color theme="1"/>
        <rFont val="Calibri"/>
        <family val="2"/>
        <scheme val="minor"/>
      </rPr>
      <t>εισελθων</t>
    </r>
    <r>
      <rPr>
        <sz val="11"/>
        <color theme="1"/>
        <rFont val="Calibri"/>
        <family val="2"/>
        <scheme val="minor"/>
      </rPr>
      <t xml:space="preserve"> τε και ευρεν συνεληλυθοτας</t>
    </r>
  </si>
  <si>
    <r>
      <t xml:space="preserve">(26) λεγων τι ποιεις καγω ανθρωπος ειμι ως και συ (27) και εισελθων </t>
    </r>
    <r>
      <rPr>
        <b/>
        <sz val="11"/>
        <color theme="1"/>
        <rFont val="Calibri"/>
        <family val="2"/>
        <scheme val="minor"/>
      </rPr>
      <t>τε</t>
    </r>
    <r>
      <rPr>
        <sz val="11"/>
        <color theme="1"/>
        <rFont val="Calibri"/>
        <family val="2"/>
        <scheme val="minor"/>
      </rPr>
      <t xml:space="preserve"> και ευρεν συνεληλυθοτας</t>
    </r>
  </si>
  <si>
    <r>
      <t xml:space="preserve">(26) λεγων τι ποιεις καγω ανθρωπος ειμι ως και συ (27) και εισελθων τε και </t>
    </r>
    <r>
      <rPr>
        <b/>
        <sz val="11"/>
        <color theme="1"/>
        <rFont val="Calibri"/>
        <family val="2"/>
        <scheme val="minor"/>
      </rPr>
      <t>ευρεν</t>
    </r>
    <r>
      <rPr>
        <sz val="11"/>
        <color theme="1"/>
        <rFont val="Calibri"/>
        <family val="2"/>
        <scheme val="minor"/>
      </rPr>
      <t xml:space="preserve"> συνεληλυθοτας</t>
    </r>
  </si>
  <si>
    <r>
      <t xml:space="preserve">βελτιον </t>
    </r>
    <r>
      <rPr>
        <b/>
        <sz val="11"/>
        <color theme="1"/>
        <rFont val="Calibri"/>
        <family val="2"/>
        <scheme val="minor"/>
      </rPr>
      <t>εφιστασθαι</t>
    </r>
    <r>
      <rPr>
        <sz val="11"/>
        <color theme="1"/>
        <rFont val="Calibri"/>
        <family val="2"/>
        <scheme val="minor"/>
      </rPr>
      <t xml:space="preserve"> ως αθεμιστον εστιν</t>
    </r>
  </si>
  <si>
    <r>
      <t xml:space="preserve">βελτιον </t>
    </r>
    <r>
      <rPr>
        <b/>
        <sz val="11"/>
        <color theme="1"/>
        <rFont val="Calibri"/>
        <family val="2"/>
        <scheme val="minor"/>
      </rPr>
      <t>επιστασθαι</t>
    </r>
    <r>
      <rPr>
        <sz val="11"/>
        <color theme="1"/>
        <rFont val="Calibri"/>
        <family val="2"/>
        <scheme val="minor"/>
      </rPr>
      <t xml:space="preserve"> ως αθεμιτον εστιν</t>
    </r>
  </si>
  <si>
    <r>
      <t xml:space="preserve">βελτιον εφιστασθαι ως </t>
    </r>
    <r>
      <rPr>
        <b/>
        <sz val="11"/>
        <color theme="1"/>
        <rFont val="Calibri"/>
        <family val="2"/>
        <scheme val="minor"/>
      </rPr>
      <t>αθεμιστον</t>
    </r>
    <r>
      <rPr>
        <sz val="11"/>
        <color theme="1"/>
        <rFont val="Calibri"/>
        <family val="2"/>
        <scheme val="minor"/>
      </rPr>
      <t xml:space="preserve"> εστιν</t>
    </r>
  </si>
  <si>
    <r>
      <t xml:space="preserve">βελτιον επιστασθαι ως </t>
    </r>
    <r>
      <rPr>
        <b/>
        <sz val="11"/>
        <color theme="1"/>
        <rFont val="Calibri"/>
        <family val="2"/>
        <scheme val="minor"/>
      </rPr>
      <t>αθεμιτον</t>
    </r>
    <r>
      <rPr>
        <sz val="11"/>
        <color theme="1"/>
        <rFont val="Calibri"/>
        <family val="2"/>
        <scheme val="minor"/>
      </rPr>
      <t xml:space="preserve"> εστιν</t>
    </r>
  </si>
  <si>
    <t>προσερχεσθαι αλλοφυλω</t>
  </si>
  <si>
    <t>προσερχεσθαι ανδρι αλλοφυλω</t>
  </si>
  <si>
    <r>
      <rPr>
        <b/>
        <sz val="11"/>
        <color theme="1"/>
        <rFont val="Calibri"/>
        <family val="2"/>
        <scheme val="minor"/>
      </rPr>
      <t>επεδιξεν</t>
    </r>
    <r>
      <rPr>
        <sz val="11"/>
        <color theme="1"/>
        <rFont val="Calibri"/>
        <family val="2"/>
        <scheme val="minor"/>
      </rPr>
      <t xml:space="preserve"> μηνα κοινον</t>
    </r>
  </si>
  <si>
    <r>
      <rPr>
        <b/>
        <sz val="11"/>
        <color theme="1"/>
        <rFont val="Calibri"/>
        <family val="2"/>
        <scheme val="minor"/>
      </rPr>
      <t>επεδειξεν</t>
    </r>
    <r>
      <rPr>
        <sz val="11"/>
        <color theme="1"/>
        <rFont val="Calibri"/>
        <family val="2"/>
        <scheme val="minor"/>
      </rPr>
      <t xml:space="preserve"> μηδενα κοινον</t>
    </r>
  </si>
  <si>
    <r>
      <t xml:space="preserve">επεδιξεν </t>
    </r>
    <r>
      <rPr>
        <b/>
        <sz val="11"/>
        <color theme="1"/>
        <rFont val="Calibri"/>
        <family val="2"/>
        <scheme val="minor"/>
      </rPr>
      <t>μηνα</t>
    </r>
    <r>
      <rPr>
        <sz val="11"/>
        <color theme="1"/>
        <rFont val="Calibri"/>
        <family val="2"/>
        <scheme val="minor"/>
      </rPr>
      <t xml:space="preserve"> κοινον</t>
    </r>
  </si>
  <si>
    <r>
      <t xml:space="preserve">επεδειξεν </t>
    </r>
    <r>
      <rPr>
        <b/>
        <sz val="11"/>
        <color theme="1"/>
        <rFont val="Calibri"/>
        <family val="2"/>
        <scheme val="minor"/>
      </rPr>
      <t>μηδενα</t>
    </r>
    <r>
      <rPr>
        <sz val="11"/>
        <color theme="1"/>
        <rFont val="Calibri"/>
        <family val="2"/>
        <scheme val="minor"/>
      </rPr>
      <t xml:space="preserve"> κοινον</t>
    </r>
  </si>
  <si>
    <t>απο τεταρτης ημερας</t>
  </si>
  <si>
    <t>απο της τριτης ημερας</t>
  </si>
  <si>
    <t>εννατην προσευχομενος</t>
  </si>
  <si>
    <r>
      <rPr>
        <b/>
        <sz val="11"/>
        <color theme="1"/>
        <rFont val="Calibri"/>
        <family val="2"/>
        <scheme val="minor"/>
      </rPr>
      <t>ενατην</t>
    </r>
    <r>
      <rPr>
        <sz val="11"/>
        <color theme="1"/>
        <rFont val="Calibri"/>
        <family val="2"/>
        <scheme val="minor"/>
      </rPr>
      <t xml:space="preserve"> τε προσευχομενος</t>
    </r>
  </si>
  <si>
    <r>
      <rPr>
        <b/>
        <sz val="11"/>
        <color theme="1"/>
        <rFont val="Calibri"/>
        <family val="2"/>
        <scheme val="minor"/>
      </rPr>
      <t>εννατην</t>
    </r>
    <r>
      <rPr>
        <sz val="11"/>
        <color theme="1"/>
        <rFont val="Calibri"/>
        <family val="2"/>
        <scheme val="minor"/>
      </rPr>
      <t xml:space="preserve"> προσευχομενος</t>
    </r>
  </si>
  <si>
    <r>
      <t xml:space="preserve">ενατην </t>
    </r>
    <r>
      <rPr>
        <b/>
        <sz val="11"/>
        <color theme="1"/>
        <rFont val="Calibri"/>
        <family val="2"/>
        <scheme val="minor"/>
      </rPr>
      <t>τε</t>
    </r>
    <r>
      <rPr>
        <sz val="11"/>
        <color theme="1"/>
        <rFont val="Calibri"/>
        <family val="2"/>
        <scheme val="minor"/>
      </rPr>
      <t xml:space="preserve"> προσευχομενος</t>
    </r>
  </si>
  <si>
    <t>(30) λαμπρα (31) και φησιν</t>
  </si>
  <si>
    <t>(30) λαμπρα (31) και και φησιν</t>
  </si>
  <si>
    <t>εξ αυτης ουν επεμψα</t>
  </si>
  <si>
    <t>εξαυτης ου επεμψα</t>
  </si>
  <si>
    <t>ελθειν προς ημας συ δε</t>
  </si>
  <si>
    <r>
      <t xml:space="preserve">ελθειν </t>
    </r>
    <r>
      <rPr>
        <b/>
        <sz val="11"/>
        <color theme="1"/>
        <rFont val="Calibri"/>
        <family val="2"/>
        <scheme val="minor"/>
      </rPr>
      <t>σε</t>
    </r>
    <r>
      <rPr>
        <sz val="11"/>
        <color theme="1"/>
        <rFont val="Calibri"/>
        <family val="2"/>
        <scheme val="minor"/>
      </rPr>
      <t xml:space="preserve"> προς ημεις συ δε</t>
    </r>
  </si>
  <si>
    <r>
      <t xml:space="preserve">ελθειν προς </t>
    </r>
    <r>
      <rPr>
        <b/>
        <sz val="11"/>
        <color theme="1"/>
        <rFont val="Calibri"/>
        <family val="2"/>
        <scheme val="minor"/>
      </rPr>
      <t>ημας</t>
    </r>
    <r>
      <rPr>
        <sz val="11"/>
        <color theme="1"/>
        <rFont val="Calibri"/>
        <family val="2"/>
        <scheme val="minor"/>
      </rPr>
      <t xml:space="preserve"> συ δε</t>
    </r>
  </si>
  <si>
    <r>
      <t xml:space="preserve">ελθειν σε προς </t>
    </r>
    <r>
      <rPr>
        <b/>
        <sz val="11"/>
        <color theme="1"/>
        <rFont val="Calibri"/>
        <family val="2"/>
        <scheme val="minor"/>
      </rPr>
      <t>ημεις</t>
    </r>
    <r>
      <rPr>
        <sz val="11"/>
        <color theme="1"/>
        <rFont val="Calibri"/>
        <family val="2"/>
        <scheme val="minor"/>
      </rPr>
      <t xml:space="preserve"> συ δε</t>
    </r>
  </si>
  <si>
    <t>νυν ουν παντες</t>
  </si>
  <si>
    <t>νυν δου παντες</t>
  </si>
  <si>
    <t>There are multiple correction options here of which B.10.3 follows one (ignores δου -&gt; ιδου)</t>
  </si>
  <si>
    <t>ενωπιον του θεου παρεσμεν ακουσαι βουλομενοι τα προστεταγμενα</t>
  </si>
  <si>
    <r>
      <t>ενωπιον σου</t>
    </r>
    <r>
      <rPr>
        <b/>
        <sz val="11"/>
        <color theme="1"/>
        <rFont val="Calibri"/>
        <family val="2"/>
        <scheme val="minor"/>
      </rPr>
      <t xml:space="preserve"> </t>
    </r>
    <r>
      <rPr>
        <sz val="11"/>
        <color theme="1"/>
        <rFont val="Calibri"/>
        <family val="2"/>
        <scheme val="minor"/>
      </rPr>
      <t>ακουσαι βουλομενοι παρα σου τα προστεταγμενα</t>
    </r>
  </si>
  <si>
    <r>
      <t xml:space="preserve">ενωπιον </t>
    </r>
    <r>
      <rPr>
        <b/>
        <sz val="11"/>
        <color theme="1"/>
        <rFont val="Calibri"/>
        <family val="2"/>
        <scheme val="minor"/>
      </rPr>
      <t xml:space="preserve">σου </t>
    </r>
    <r>
      <rPr>
        <sz val="11"/>
        <color theme="1"/>
        <rFont val="Calibri"/>
        <family val="2"/>
        <scheme val="minor"/>
      </rPr>
      <t>ακουσαι βουλομενοι παρα σου τα προστεταγμενα</t>
    </r>
  </si>
  <si>
    <r>
      <t xml:space="preserve">ενωπιον </t>
    </r>
    <r>
      <rPr>
        <b/>
        <sz val="11"/>
        <color theme="1"/>
        <rFont val="Calibri"/>
        <family val="2"/>
        <scheme val="minor"/>
      </rPr>
      <t>του θεου</t>
    </r>
    <r>
      <rPr>
        <sz val="11"/>
        <color theme="1"/>
        <rFont val="Calibri"/>
        <family val="2"/>
        <scheme val="minor"/>
      </rPr>
      <t xml:space="preserve"> παρεσμεν ακουσαι βουλομενοι τα προστεταγμενα</t>
    </r>
  </si>
  <si>
    <r>
      <t xml:space="preserve">ενωπιον του θεου </t>
    </r>
    <r>
      <rPr>
        <b/>
        <sz val="11"/>
        <color theme="1"/>
        <rFont val="Calibri"/>
        <family val="2"/>
        <scheme val="minor"/>
      </rPr>
      <t>παρεσμεν</t>
    </r>
    <r>
      <rPr>
        <sz val="11"/>
        <color theme="1"/>
        <rFont val="Calibri"/>
        <family val="2"/>
        <scheme val="minor"/>
      </rPr>
      <t xml:space="preserve"> ακουσαι βουλομενοι τα προστεταγμενα</t>
    </r>
  </si>
  <si>
    <r>
      <t>ενωπιον σου</t>
    </r>
    <r>
      <rPr>
        <b/>
        <sz val="11"/>
        <color theme="1"/>
        <rFont val="Calibri"/>
        <family val="2"/>
        <scheme val="minor"/>
      </rPr>
      <t xml:space="preserve"> </t>
    </r>
    <r>
      <rPr>
        <sz val="11"/>
        <color theme="1"/>
        <rFont val="Calibri"/>
        <family val="2"/>
        <scheme val="minor"/>
      </rPr>
      <t xml:space="preserve">ακουσαι </t>
    </r>
    <r>
      <rPr>
        <b/>
        <sz val="11"/>
        <color theme="1"/>
        <rFont val="Calibri"/>
        <family val="2"/>
        <scheme val="minor"/>
      </rPr>
      <t>βουλομενοι</t>
    </r>
    <r>
      <rPr>
        <sz val="11"/>
        <color theme="1"/>
        <rFont val="Calibri"/>
        <family val="2"/>
        <scheme val="minor"/>
      </rPr>
      <t xml:space="preserve"> παρα σου τα προστεταγμενα</t>
    </r>
  </si>
  <si>
    <r>
      <t xml:space="preserve">ενωπιον του θεου παρεσμεν ακουσαι </t>
    </r>
    <r>
      <rPr>
        <b/>
        <sz val="11"/>
        <color theme="1"/>
        <rFont val="Calibri"/>
        <family val="2"/>
        <scheme val="minor"/>
      </rPr>
      <t>βουλομενοι</t>
    </r>
    <r>
      <rPr>
        <sz val="11"/>
        <color theme="1"/>
        <rFont val="Calibri"/>
        <family val="2"/>
        <scheme val="minor"/>
      </rPr>
      <t xml:space="preserve"> τα προστεταγμενα</t>
    </r>
  </si>
  <si>
    <r>
      <t>ενωπιον σου</t>
    </r>
    <r>
      <rPr>
        <b/>
        <sz val="11"/>
        <color theme="1"/>
        <rFont val="Calibri"/>
        <family val="2"/>
        <scheme val="minor"/>
      </rPr>
      <t xml:space="preserve"> </t>
    </r>
    <r>
      <rPr>
        <sz val="11"/>
        <color theme="1"/>
        <rFont val="Calibri"/>
        <family val="2"/>
        <scheme val="minor"/>
      </rPr>
      <t xml:space="preserve">ακουσαι βουλομενοι </t>
    </r>
    <r>
      <rPr>
        <b/>
        <sz val="11"/>
        <color theme="1"/>
        <rFont val="Calibri"/>
        <family val="2"/>
        <scheme val="minor"/>
      </rPr>
      <t>παρα σου</t>
    </r>
    <r>
      <rPr>
        <sz val="11"/>
        <color theme="1"/>
        <rFont val="Calibri"/>
        <family val="2"/>
        <scheme val="minor"/>
      </rPr>
      <t xml:space="preserve"> τα προστεταγμενα</t>
    </r>
  </si>
  <si>
    <t>Bezae marks this for deletion</t>
  </si>
  <si>
    <t>σοι υπο του θεου</t>
  </si>
  <si>
    <t>σοι απο του θυ</t>
  </si>
  <si>
    <t>καταλαμβανομενος οτι</t>
  </si>
  <si>
    <t>καταλαμβανομαι οτι</t>
  </si>
  <si>
    <t>ολης της ιουδαιας</t>
  </si>
  <si>
    <t>ολης ιουδαιας</t>
  </si>
  <si>
    <t>εχρισεν αυτον ο θεος</t>
  </si>
  <si>
    <t>μαρτυρες αυτων ων</t>
  </si>
  <si>
    <t>μαρτυρες αυτου ων</t>
  </si>
  <si>
    <t>και εν ιερουσαλημ</t>
  </si>
  <si>
    <t>και ιερουσαλημ</t>
  </si>
  <si>
    <r>
      <t xml:space="preserve">ηγειρεν </t>
    </r>
    <r>
      <rPr>
        <b/>
        <sz val="11"/>
        <color theme="1"/>
        <rFont val="Calibri"/>
        <family val="2"/>
        <scheme val="minor"/>
      </rPr>
      <t>τη τριτη ημερα</t>
    </r>
    <r>
      <rPr>
        <sz val="11"/>
        <color theme="1"/>
        <rFont val="Calibri"/>
        <family val="2"/>
        <scheme val="minor"/>
      </rPr>
      <t xml:space="preserve"> και εδωκεν αυτον ενφανη</t>
    </r>
  </si>
  <si>
    <r>
      <t xml:space="preserve">ηγειρεν μετα την τριτην ημεραν και εδωκεν </t>
    </r>
    <r>
      <rPr>
        <b/>
        <sz val="11"/>
        <color theme="1"/>
        <rFont val="Calibri"/>
        <family val="2"/>
        <scheme val="minor"/>
      </rPr>
      <t>αυτω</t>
    </r>
    <r>
      <rPr>
        <sz val="11"/>
        <color theme="1"/>
        <rFont val="Calibri"/>
        <family val="2"/>
        <scheme val="minor"/>
      </rPr>
      <t xml:space="preserve"> ενφανη</t>
    </r>
  </si>
  <si>
    <r>
      <t xml:space="preserve">ηγειρεν τη τριτη ημερα και εδωκεν </t>
    </r>
    <r>
      <rPr>
        <b/>
        <sz val="11"/>
        <color theme="1"/>
        <rFont val="Calibri"/>
        <family val="2"/>
        <scheme val="minor"/>
      </rPr>
      <t>αυτον</t>
    </r>
    <r>
      <rPr>
        <sz val="11"/>
        <color theme="1"/>
        <rFont val="Calibri"/>
        <family val="2"/>
        <scheme val="minor"/>
      </rPr>
      <t xml:space="preserve"> ενφανη</t>
    </r>
  </si>
  <si>
    <t>Bezae corrects to συνανεστραφημεν</t>
  </si>
  <si>
    <t>αναστηναι αυτον εκ νεκρων</t>
  </si>
  <si>
    <t>αναστηναι εκ νεκρων</t>
  </si>
  <si>
    <t>πνς αγιου</t>
  </si>
  <si>
    <t>πνος του αγιου</t>
  </si>
  <si>
    <t>λαλουντων γλωσσαις και μεγαλυνοντων τον θεον</t>
  </si>
  <si>
    <t>λαλουντων []ν τον θεον</t>
  </si>
  <si>
    <t>θν ειπεν δε</t>
  </si>
  <si>
    <t>θεον ειπεν ειπεν δε</t>
  </si>
  <si>
    <r>
      <t xml:space="preserve">υδωρ </t>
    </r>
    <r>
      <rPr>
        <b/>
        <sz val="11"/>
        <color theme="1"/>
        <rFont val="Calibri"/>
        <family val="2"/>
        <scheme val="minor"/>
      </rPr>
      <t>κωλαι</t>
    </r>
    <r>
      <rPr>
        <sz val="11"/>
        <color theme="1"/>
        <rFont val="Calibri"/>
        <family val="2"/>
        <scheme val="minor"/>
      </rPr>
      <t xml:space="preserve"> τις δυναται του μη</t>
    </r>
  </si>
  <si>
    <r>
      <t xml:space="preserve">υδωρ </t>
    </r>
    <r>
      <rPr>
        <b/>
        <sz val="11"/>
        <color theme="1"/>
        <rFont val="Calibri"/>
        <family val="2"/>
        <scheme val="minor"/>
      </rPr>
      <t>κωλυσαι</t>
    </r>
    <r>
      <rPr>
        <sz val="11"/>
        <color theme="1"/>
        <rFont val="Calibri"/>
        <family val="2"/>
        <scheme val="minor"/>
      </rPr>
      <t xml:space="preserve"> τις δυναται του μη</t>
    </r>
  </si>
  <si>
    <r>
      <t xml:space="preserve">υδωρ κωλαι </t>
    </r>
    <r>
      <rPr>
        <b/>
        <sz val="11"/>
        <color theme="1"/>
        <rFont val="Calibri"/>
        <family val="2"/>
        <scheme val="minor"/>
      </rPr>
      <t>τις δυναται</t>
    </r>
    <r>
      <rPr>
        <sz val="11"/>
        <color theme="1"/>
        <rFont val="Calibri"/>
        <family val="2"/>
        <scheme val="minor"/>
      </rPr>
      <t xml:space="preserve"> του μη</t>
    </r>
  </si>
  <si>
    <r>
      <t xml:space="preserve">υδωρ κωλυσαι </t>
    </r>
    <r>
      <rPr>
        <b/>
        <sz val="11"/>
        <color theme="1"/>
        <rFont val="Calibri"/>
        <family val="2"/>
        <scheme val="minor"/>
      </rPr>
      <t>τις δυναται</t>
    </r>
    <r>
      <rPr>
        <sz val="11"/>
        <color theme="1"/>
        <rFont val="Calibri"/>
        <family val="2"/>
        <scheme val="minor"/>
      </rPr>
      <t xml:space="preserve"> του μη</t>
    </r>
  </si>
  <si>
    <t>Bezae marks these words for transposition</t>
  </si>
  <si>
    <t>και υμεις (48) τοτε</t>
  </si>
  <si>
    <t>και ημεις (48) τοτε</t>
  </si>
  <si>
    <t>αυτους επιμειναι</t>
  </si>
  <si>
    <t>αυτους διμειναι</t>
  </si>
  <si>
    <t>αδελφοις τοις εν τη</t>
  </si>
  <si>
    <t>αδελφοις οι εν τη</t>
  </si>
  <si>
    <t>δια ικανου</t>
  </si>
  <si>
    <t>δια εικανου</t>
  </si>
  <si>
    <t>χρονου εθελησεν πορευθηναι</t>
  </si>
  <si>
    <t>χρονου ηθελησαι πορευθηναι</t>
  </si>
  <si>
    <t>συνεφαγες αυτοις</t>
  </si>
  <si>
    <t>συνεφαγες συν αυτοις</t>
  </si>
  <si>
    <t xml:space="preserve">ημην εν ιοππη πολει </t>
  </si>
  <si>
    <t xml:space="preserve">ημην ιοππη εν πολει </t>
  </si>
  <si>
    <t>ειδον εν εκστασει</t>
  </si>
  <si>
    <t>ειδον εκστασει</t>
  </si>
  <si>
    <t>τετρασιν αρχαις</t>
  </si>
  <si>
    <t>τετρα αρχαις</t>
  </si>
  <si>
    <t>ειδον τα τετραποδα</t>
  </si>
  <si>
    <t>ειδον τετραποδα</t>
  </si>
  <si>
    <t>και τα ερπετα</t>
  </si>
  <si>
    <t>και ερπετα</t>
  </si>
  <si>
    <t>μοι αναστας πετρε</t>
  </si>
  <si>
    <t>μοι αναστα πετρε</t>
  </si>
  <si>
    <t>ειπα δε</t>
  </si>
  <si>
    <t>ειπαν δε</t>
  </si>
  <si>
    <t>εγενετο φωνη</t>
  </si>
  <si>
    <t>εγενετο δε φωνη</t>
  </si>
  <si>
    <t>απηγγειλεν ημειν</t>
  </si>
  <si>
    <t>απηγγειλεν δε ημειν</t>
  </si>
  <si>
    <t>ιοππην ανδρας και</t>
  </si>
  <si>
    <t>ιοππην και</t>
  </si>
  <si>
    <r>
      <t xml:space="preserve">επ αυτους </t>
    </r>
    <r>
      <rPr>
        <b/>
        <sz val="11"/>
        <color theme="1"/>
        <rFont val="Calibri"/>
        <family val="2"/>
        <scheme val="minor"/>
      </rPr>
      <t>ωσπερ</t>
    </r>
    <r>
      <rPr>
        <sz val="11"/>
        <color theme="1"/>
        <rFont val="Calibri"/>
        <family val="2"/>
        <scheme val="minor"/>
      </rPr>
      <t xml:space="preserve"> και</t>
    </r>
  </si>
  <si>
    <r>
      <t xml:space="preserve">επ αυτοις </t>
    </r>
    <r>
      <rPr>
        <b/>
        <sz val="11"/>
        <color theme="1"/>
        <rFont val="Calibri"/>
        <family val="2"/>
        <scheme val="minor"/>
      </rPr>
      <t>ως</t>
    </r>
    <r>
      <rPr>
        <sz val="11"/>
        <color theme="1"/>
        <rFont val="Calibri"/>
        <family val="2"/>
        <scheme val="minor"/>
      </rPr>
      <t xml:space="preserve"> και</t>
    </r>
  </si>
  <si>
    <t>εν πνη αγιω</t>
  </si>
  <si>
    <t>εν πνι αγιω</t>
  </si>
  <si>
    <t xml:space="preserve">ισην δωρεαν </t>
  </si>
  <si>
    <t xml:space="preserve">ισην δωδωρεαν </t>
  </si>
  <si>
    <t>αυτοις ο θεος ως</t>
  </si>
  <si>
    <t>αυτοις ως</t>
  </si>
  <si>
    <t>και εδοξαζον τον θεον</t>
  </si>
  <si>
    <t>και εδοξαν τον θν</t>
  </si>
  <si>
    <t>ο θεος εις ζωην εδωκεν μετανοιαν (19) οι μεν</t>
  </si>
  <si>
    <t>ο θς μετανοιαν εις ζωην εδωκεν (19) οι μεν</t>
  </si>
  <si>
    <t>απο στεφανω διηλθον</t>
  </si>
  <si>
    <r>
      <t xml:space="preserve">απο </t>
    </r>
    <r>
      <rPr>
        <b/>
        <sz val="11"/>
        <color theme="1"/>
        <rFont val="Calibri"/>
        <family val="2"/>
        <scheme val="minor"/>
      </rPr>
      <t>του</t>
    </r>
    <r>
      <rPr>
        <sz val="11"/>
        <color theme="1"/>
        <rFont val="Calibri"/>
        <family val="2"/>
        <scheme val="minor"/>
      </rPr>
      <t xml:space="preserve"> στεφανου διηλθον</t>
    </r>
  </si>
  <si>
    <r>
      <t xml:space="preserve">απο του </t>
    </r>
    <r>
      <rPr>
        <b/>
        <sz val="11"/>
        <color theme="1"/>
        <rFont val="Calibri"/>
        <family val="2"/>
        <scheme val="minor"/>
      </rPr>
      <t>στεφανου</t>
    </r>
    <r>
      <rPr>
        <sz val="11"/>
        <color theme="1"/>
        <rFont val="Calibri"/>
        <family val="2"/>
        <scheme val="minor"/>
      </rPr>
      <t xml:space="preserve"> διηλθον</t>
    </r>
  </si>
  <si>
    <r>
      <t xml:space="preserve">απο </t>
    </r>
    <r>
      <rPr>
        <b/>
        <sz val="11"/>
        <color theme="1"/>
        <rFont val="Calibri"/>
        <family val="2"/>
        <scheme val="minor"/>
      </rPr>
      <t>στεφανω</t>
    </r>
    <r>
      <rPr>
        <sz val="11"/>
        <color theme="1"/>
        <rFont val="Calibri"/>
        <family val="2"/>
        <scheme val="minor"/>
      </rPr>
      <t xml:space="preserve"> διηλθον</t>
    </r>
  </si>
  <si>
    <t>προς τους ελληνιστας ευαγγελιζομενοι</t>
  </si>
  <si>
    <t>προς τους ελληνας ευαγγελιζομενοι</t>
  </si>
  <si>
    <t xml:space="preserve">εν ιερουσαλημ περι </t>
  </si>
  <si>
    <t xml:space="preserve">εν ιεροσολυμοις περι </t>
  </si>
  <si>
    <t>εως αντιοχειας</t>
  </si>
  <si>
    <t>εως της αντιοχειας</t>
  </si>
  <si>
    <r>
      <t xml:space="preserve">εις </t>
    </r>
    <r>
      <rPr>
        <b/>
        <sz val="11"/>
        <color theme="1"/>
        <rFont val="Calibri"/>
        <family val="2"/>
        <scheme val="minor"/>
      </rPr>
      <t>θαρσον</t>
    </r>
    <r>
      <rPr>
        <sz val="11"/>
        <color theme="1"/>
        <rFont val="Calibri"/>
        <family val="2"/>
        <scheme val="minor"/>
      </rPr>
      <t xml:space="preserve"> εξηλθεν</t>
    </r>
  </si>
  <si>
    <r>
      <t xml:space="preserve">εις </t>
    </r>
    <r>
      <rPr>
        <b/>
        <sz val="11"/>
        <color theme="1"/>
        <rFont val="Calibri"/>
        <family val="2"/>
        <scheme val="minor"/>
      </rPr>
      <t>ταρσον</t>
    </r>
    <r>
      <rPr>
        <sz val="11"/>
        <color theme="1"/>
        <rFont val="Calibri"/>
        <family val="2"/>
        <scheme val="minor"/>
      </rPr>
      <t xml:space="preserve"> εισηλθεν</t>
    </r>
  </si>
  <si>
    <r>
      <t xml:space="preserve">εις θαρσον </t>
    </r>
    <r>
      <rPr>
        <b/>
        <sz val="11"/>
        <color theme="1"/>
        <rFont val="Calibri"/>
        <family val="2"/>
        <scheme val="minor"/>
      </rPr>
      <t>εξηλθεν</t>
    </r>
  </si>
  <si>
    <r>
      <t xml:space="preserve">εις ταρσον </t>
    </r>
    <r>
      <rPr>
        <b/>
        <sz val="11"/>
        <color theme="1"/>
        <rFont val="Calibri"/>
        <family val="2"/>
        <scheme val="minor"/>
      </rPr>
      <t>εισηλθεν</t>
    </r>
  </si>
  <si>
    <t>και συντυχων</t>
  </si>
  <si>
    <t>και ως συντυχων</t>
  </si>
  <si>
    <t>παρεκαλεσεν αυτον ελθειν</t>
  </si>
  <si>
    <t>παρεκαλεσεν ελθειν</t>
  </si>
  <si>
    <r>
      <t xml:space="preserve">ενιαυτον ολον </t>
    </r>
    <r>
      <rPr>
        <b/>
        <sz val="11"/>
        <color theme="1"/>
        <rFont val="Calibri"/>
        <family val="2"/>
        <scheme val="minor"/>
      </rPr>
      <t>συνεχυθησαν</t>
    </r>
    <r>
      <rPr>
        <sz val="11"/>
        <color theme="1"/>
        <rFont val="Calibri"/>
        <family val="2"/>
        <scheme val="minor"/>
      </rPr>
      <t xml:space="preserve"> οχλον ικανον και τοτε πρωτον εχρηματισεν εν αντιοχεια οι μαθηται χρειστιανοι (27) εν ταυταις</t>
    </r>
  </si>
  <si>
    <t>λειμον μεγαν μελλειν</t>
  </si>
  <si>
    <t>Bezae corrects μεγαν -&gt; μεγαλην</t>
  </si>
  <si>
    <t>καθως ευπορουντο</t>
  </si>
  <si>
    <t>καθως ηυπορουντο</t>
  </si>
  <si>
    <t>αποστειλαντες</t>
  </si>
  <si>
    <t>μαχαιρη</t>
  </si>
  <si>
    <t>αυτου επι τους πιστους</t>
  </si>
  <si>
    <t>αυτου εις τους πιστους</t>
  </si>
  <si>
    <t>φυλασσιν βουλομενος</t>
  </si>
  <si>
    <r>
      <rPr>
        <b/>
        <sz val="11"/>
        <color theme="1"/>
        <rFont val="Calibri"/>
        <family val="2"/>
        <scheme val="minor"/>
      </rPr>
      <t>φυλασσειν</t>
    </r>
    <r>
      <rPr>
        <sz val="11"/>
        <color theme="1"/>
        <rFont val="Calibri"/>
        <family val="2"/>
        <scheme val="minor"/>
      </rPr>
      <t xml:space="preserve"> αυτον βουλομενος</t>
    </r>
  </si>
  <si>
    <r>
      <rPr>
        <b/>
        <sz val="11"/>
        <color theme="1"/>
        <rFont val="Calibri"/>
        <family val="2"/>
        <scheme val="minor"/>
      </rPr>
      <t>φυλασσιν</t>
    </r>
    <r>
      <rPr>
        <sz val="11"/>
        <color theme="1"/>
        <rFont val="Calibri"/>
        <family val="2"/>
        <scheme val="minor"/>
      </rPr>
      <t xml:space="preserve"> βουλομενος</t>
    </r>
  </si>
  <si>
    <r>
      <t xml:space="preserve">φυλασσειν </t>
    </r>
    <r>
      <rPr>
        <b/>
        <sz val="11"/>
        <color theme="1"/>
        <rFont val="Calibri"/>
        <family val="2"/>
        <scheme val="minor"/>
      </rPr>
      <t>αυτον</t>
    </r>
    <r>
      <rPr>
        <sz val="11"/>
        <color theme="1"/>
        <rFont val="Calibri"/>
        <family val="2"/>
        <scheme val="minor"/>
      </rPr>
      <t xml:space="preserve"> βουλομενος</t>
    </r>
  </si>
  <si>
    <t>εκτενεια υπο της εκκλησιας</t>
  </si>
  <si>
    <r>
      <t xml:space="preserve">εκτενεια </t>
    </r>
    <r>
      <rPr>
        <b/>
        <sz val="11"/>
        <color theme="1"/>
        <rFont val="Calibri"/>
        <family val="2"/>
        <scheme val="minor"/>
      </rPr>
      <t>περι αυτου</t>
    </r>
    <r>
      <rPr>
        <sz val="11"/>
        <color theme="1"/>
        <rFont val="Calibri"/>
        <family val="2"/>
        <scheme val="minor"/>
      </rPr>
      <t xml:space="preserve"> απο της εκκλησιας</t>
    </r>
  </si>
  <si>
    <r>
      <t xml:space="preserve">εκτενεια περι αυτου </t>
    </r>
    <r>
      <rPr>
        <b/>
        <sz val="11"/>
        <color theme="1"/>
        <rFont val="Calibri"/>
        <family val="2"/>
        <scheme val="minor"/>
      </rPr>
      <t>απο</t>
    </r>
    <r>
      <rPr>
        <sz val="11"/>
        <color theme="1"/>
        <rFont val="Calibri"/>
        <family val="2"/>
        <scheme val="minor"/>
      </rPr>
      <t xml:space="preserve"> της εκκλησιας</t>
    </r>
  </si>
  <si>
    <r>
      <t xml:space="preserve">εκτενεια </t>
    </r>
    <r>
      <rPr>
        <b/>
        <sz val="11"/>
        <color theme="1"/>
        <rFont val="Calibri"/>
        <family val="2"/>
        <scheme val="minor"/>
      </rPr>
      <t>υπο</t>
    </r>
    <r>
      <rPr>
        <sz val="11"/>
        <color theme="1"/>
        <rFont val="Calibri"/>
        <family val="2"/>
        <scheme val="minor"/>
      </rPr>
      <t xml:space="preserve"> της εκκλησιας</t>
    </r>
  </si>
  <si>
    <t>οτε δε εμελλεν</t>
  </si>
  <si>
    <t>οτε δε ημελλεν</t>
  </si>
  <si>
    <t>κοιμωμενος</t>
  </si>
  <si>
    <t>αλυσεσι δυσιν</t>
  </si>
  <si>
    <t>αλυσεσιν δυσιν</t>
  </si>
  <si>
    <t>της θυρας</t>
  </si>
  <si>
    <t>της δυρας</t>
  </si>
  <si>
    <t>χειρων (8) ειπεν δε</t>
  </si>
  <si>
    <t>χειρων αυτου (8) ειπεν δε</t>
  </si>
  <si>
    <t>δια του αγγελου εδοκει</t>
  </si>
  <si>
    <t>βαθμους προσηλθαν</t>
  </si>
  <si>
    <t>βαθμους και προσηλθαν</t>
  </si>
  <si>
    <t>τον αυ αυτου</t>
  </si>
  <si>
    <t>τον αγγελον αυτου</t>
  </si>
  <si>
    <t>δια του αγε εδοκει</t>
  </si>
  <si>
    <t>I think the original reading should be αυγελον</t>
  </si>
  <si>
    <t>ιουδαιων (12) και συνειδων ηλθεν</t>
  </si>
  <si>
    <t>ιουδαιων (12) συνειδων τε ηλθεν</t>
  </si>
  <si>
    <t>πυλωνα εισδραμουσα</t>
  </si>
  <si>
    <t>[πυλ]ωνα και εισδραμουσα</t>
  </si>
  <si>
    <t>εσταναι τον πετρον</t>
  </si>
  <si>
    <t>εσταναι πετρον</t>
  </si>
  <si>
    <t>ο δε ε[λ]εγον αυτη μαινη</t>
  </si>
  <si>
    <r>
      <rPr>
        <b/>
        <sz val="11"/>
        <color theme="1"/>
        <rFont val="Calibri"/>
        <family val="2"/>
        <scheme val="minor"/>
      </rPr>
      <t>ο δε ε[λ]εγον αυτη</t>
    </r>
    <r>
      <rPr>
        <sz val="11"/>
        <color theme="1"/>
        <rFont val="Calibri"/>
        <family val="2"/>
        <scheme val="minor"/>
      </rPr>
      <t xml:space="preserve"> μαινη</t>
    </r>
  </si>
  <si>
    <r>
      <rPr>
        <b/>
        <sz val="11"/>
        <color theme="1"/>
        <rFont val="Calibri"/>
        <family val="2"/>
        <scheme val="minor"/>
      </rPr>
      <t>οι δε προς αυτην</t>
    </r>
    <r>
      <rPr>
        <sz val="11"/>
        <color theme="1"/>
        <rFont val="Calibri"/>
        <family val="2"/>
        <scheme val="minor"/>
      </rPr>
      <t xml:space="preserve"> ειπον μαινη</t>
    </r>
  </si>
  <si>
    <r>
      <t xml:space="preserve">οι δε προς αυτην </t>
    </r>
    <r>
      <rPr>
        <b/>
        <sz val="11"/>
        <color theme="1"/>
        <rFont val="Calibri"/>
        <family val="2"/>
        <scheme val="minor"/>
      </rPr>
      <t>ειπον</t>
    </r>
    <r>
      <rPr>
        <sz val="11"/>
        <color theme="1"/>
        <rFont val="Calibri"/>
        <family val="2"/>
        <scheme val="minor"/>
      </rPr>
      <t xml:space="preserve"> μαινη</t>
    </r>
  </si>
  <si>
    <t>κρουων εξανοιξαντες</t>
  </si>
  <si>
    <t>κρουων ανοιξαντες</t>
  </si>
  <si>
    <t>αυτον εξεστησαν</t>
  </si>
  <si>
    <t>αυτον και εξεστησαν</t>
  </si>
  <si>
    <t>κατακατασεισας</t>
  </si>
  <si>
    <t>χειρι σιγαν εισηλθεν</t>
  </si>
  <si>
    <t>Bezae corrects ινα σειγασιν -&gt; σειγαν</t>
  </si>
  <si>
    <t>εκελευσεν αναχθηναι</t>
  </si>
  <si>
    <t>εκελευσεν αποκτανθηναι</t>
  </si>
  <si>
    <t>προς αυτον βασιλεα</t>
  </si>
  <si>
    <t>προς τον βασιλεα</t>
  </si>
  <si>
    <t>επι το κοιτωνος</t>
  </si>
  <si>
    <t>επι του κοιτωνος</t>
  </si>
  <si>
    <t>ενδυσαμενος αισθητα</t>
  </si>
  <si>
    <t>ενδυσαμενος εσθητα</t>
  </si>
  <si>
    <t>καθισας επι</t>
  </si>
  <si>
    <t>καθισαι επι</t>
  </si>
  <si>
    <t>(21) αυτους (22) καταλλαγεντος δε αυτου τοις τυριοις ο δε δημος</t>
  </si>
  <si>
    <t>(21) αυτους (22) ο δε δημος</t>
  </si>
  <si>
    <t>φωναι και</t>
  </si>
  <si>
    <t>φωνη και</t>
  </si>
  <si>
    <t xml:space="preserve">εδωκεν δοξαν </t>
  </si>
  <si>
    <r>
      <rPr>
        <b/>
        <sz val="11"/>
        <color theme="1"/>
        <rFont val="Calibri"/>
        <family val="2"/>
        <scheme val="minor"/>
      </rPr>
      <t>εδωκε</t>
    </r>
    <r>
      <rPr>
        <sz val="11"/>
        <color theme="1"/>
        <rFont val="Calibri"/>
        <family val="2"/>
        <scheme val="minor"/>
      </rPr>
      <t xml:space="preserve"> την δοξαν </t>
    </r>
  </si>
  <si>
    <r>
      <rPr>
        <b/>
        <sz val="11"/>
        <color theme="1"/>
        <rFont val="Calibri"/>
        <family val="2"/>
        <scheme val="minor"/>
      </rPr>
      <t>εδωκεν</t>
    </r>
    <r>
      <rPr>
        <sz val="11"/>
        <color theme="1"/>
        <rFont val="Calibri"/>
        <family val="2"/>
        <scheme val="minor"/>
      </rPr>
      <t xml:space="preserve"> δοξαν </t>
    </r>
  </si>
  <si>
    <r>
      <t xml:space="preserve">εδωκε </t>
    </r>
    <r>
      <rPr>
        <b/>
        <sz val="11"/>
        <color theme="1"/>
        <rFont val="Calibri"/>
        <family val="2"/>
        <scheme val="minor"/>
      </rPr>
      <t>την</t>
    </r>
    <r>
      <rPr>
        <sz val="11"/>
        <color theme="1"/>
        <rFont val="Calibri"/>
        <family val="2"/>
        <scheme val="minor"/>
      </rPr>
      <t xml:space="preserve"> δοξαν </t>
    </r>
  </si>
  <si>
    <t>γενομενος κωληκοβρωτος</t>
  </si>
  <si>
    <t>γενομενος σκωληκοβρωτος</t>
  </si>
  <si>
    <t>θυ ευξανε</t>
  </si>
  <si>
    <t>θεου ηυξανε</t>
  </si>
  <si>
    <r>
      <t xml:space="preserve">και </t>
    </r>
    <r>
      <rPr>
        <b/>
        <sz val="11"/>
        <color theme="1"/>
        <rFont val="Calibri"/>
        <family val="2"/>
        <scheme val="minor"/>
      </rPr>
      <t>σαυλος</t>
    </r>
    <r>
      <rPr>
        <sz val="11"/>
        <color theme="1"/>
        <rFont val="Calibri"/>
        <family val="2"/>
        <scheme val="minor"/>
      </rPr>
      <t xml:space="preserve"> απεστρεψεν</t>
    </r>
  </si>
  <si>
    <r>
      <t xml:space="preserve">και </t>
    </r>
    <r>
      <rPr>
        <b/>
        <sz val="11"/>
        <color theme="1"/>
        <rFont val="Calibri"/>
        <family val="2"/>
        <scheme val="minor"/>
      </rPr>
      <t>παυλος</t>
    </r>
    <r>
      <rPr>
        <sz val="11"/>
        <color theme="1"/>
        <rFont val="Calibri"/>
        <family val="2"/>
        <scheme val="minor"/>
      </rPr>
      <t xml:space="preserve"> υπεστρεψεν</t>
    </r>
  </si>
  <si>
    <r>
      <t xml:space="preserve">και παυλος </t>
    </r>
    <r>
      <rPr>
        <b/>
        <sz val="11"/>
        <color theme="1"/>
        <rFont val="Calibri"/>
        <family val="2"/>
        <scheme val="minor"/>
      </rPr>
      <t>υπεστρεψεν</t>
    </r>
  </si>
  <si>
    <r>
      <t xml:space="preserve">και σαυλος </t>
    </r>
    <r>
      <rPr>
        <b/>
        <sz val="11"/>
        <color theme="1"/>
        <rFont val="Calibri"/>
        <family val="2"/>
        <scheme val="minor"/>
      </rPr>
      <t>απεστρεψεν</t>
    </r>
  </si>
  <si>
    <r>
      <rPr>
        <b/>
        <sz val="11"/>
        <color theme="1"/>
        <rFont val="Calibri"/>
        <family val="2"/>
        <scheme val="minor"/>
      </rPr>
      <t>συνπαραλαβοντες</t>
    </r>
    <r>
      <rPr>
        <sz val="11"/>
        <color theme="1"/>
        <rFont val="Calibri"/>
        <family val="2"/>
        <scheme val="minor"/>
      </rPr>
      <t xml:space="preserve"> τον ιωανην</t>
    </r>
  </si>
  <si>
    <r>
      <rPr>
        <b/>
        <sz val="11"/>
        <color theme="1"/>
        <rFont val="Calibri"/>
        <family val="2"/>
        <scheme val="minor"/>
      </rPr>
      <t>συμπαραλαβοντες</t>
    </r>
    <r>
      <rPr>
        <sz val="11"/>
        <color theme="1"/>
        <rFont val="Calibri"/>
        <family val="2"/>
        <scheme val="minor"/>
      </rPr>
      <t xml:space="preserve"> και ιωαννην</t>
    </r>
  </si>
  <si>
    <r>
      <t xml:space="preserve">συνπαραλαβοντες </t>
    </r>
    <r>
      <rPr>
        <b/>
        <sz val="11"/>
        <color theme="1"/>
        <rFont val="Calibri"/>
        <family val="2"/>
        <scheme val="minor"/>
      </rPr>
      <t>τον</t>
    </r>
    <r>
      <rPr>
        <sz val="11"/>
        <color theme="1"/>
        <rFont val="Calibri"/>
        <family val="2"/>
        <scheme val="minor"/>
      </rPr>
      <t xml:space="preserve"> ιωανην</t>
    </r>
  </si>
  <si>
    <r>
      <t xml:space="preserve">συμπαραλαβοντες </t>
    </r>
    <r>
      <rPr>
        <b/>
        <sz val="11"/>
        <color theme="1"/>
        <rFont val="Calibri"/>
        <family val="2"/>
        <scheme val="minor"/>
      </rPr>
      <t>και</t>
    </r>
    <r>
      <rPr>
        <sz val="11"/>
        <color theme="1"/>
        <rFont val="Calibri"/>
        <family val="2"/>
        <scheme val="minor"/>
      </rPr>
      <t xml:space="preserve"> ιωαννην</t>
    </r>
  </si>
  <si>
    <r>
      <t xml:space="preserve">συνπαραλαβοντες τον </t>
    </r>
    <r>
      <rPr>
        <b/>
        <sz val="11"/>
        <color theme="1"/>
        <rFont val="Calibri"/>
        <family val="2"/>
        <scheme val="minor"/>
      </rPr>
      <t>ιωανην</t>
    </r>
  </si>
  <si>
    <r>
      <t xml:space="preserve">συμπαραλαβοντες και </t>
    </r>
    <r>
      <rPr>
        <b/>
        <sz val="11"/>
        <color theme="1"/>
        <rFont val="Calibri"/>
        <family val="2"/>
        <scheme val="minor"/>
      </rPr>
      <t>ιωαννην</t>
    </r>
  </si>
  <si>
    <t>εν οις ην βαρναβας</t>
  </si>
  <si>
    <t>εν οις βαρναβας</t>
  </si>
  <si>
    <t>Bezae adds ην και between οις and βαρναβας</t>
  </si>
  <si>
    <t xml:space="preserve">λουκειος κυρηναιος </t>
  </si>
  <si>
    <t xml:space="preserve">λουκειος ο κυρηναιος </t>
  </si>
  <si>
    <t>ηρωδου του τετραρχου</t>
  </si>
  <si>
    <t>ηρωδου και τετραρχου</t>
  </si>
  <si>
    <t>προσευξαμενοι και επιθεντες</t>
  </si>
  <si>
    <t>αυτοις απελυσαν (4) οι μεν</t>
  </si>
  <si>
    <t>του πνος αγιου καταβαντες</t>
  </si>
  <si>
    <t>του πνς αγιου καταβαντες</t>
  </si>
  <si>
    <t>Bezae marks πνς and αγιου for transposition</t>
  </si>
  <si>
    <t xml:space="preserve">εκειθεν απεπλευσαν </t>
  </si>
  <si>
    <t xml:space="preserve">εκειθεν τε απεπλευσαν </t>
  </si>
  <si>
    <t>εις την κυπρον</t>
  </si>
  <si>
    <t>εις κυπρον</t>
  </si>
  <si>
    <r>
      <t xml:space="preserve">τον </t>
    </r>
    <r>
      <rPr>
        <b/>
        <sz val="11"/>
        <color theme="1"/>
        <rFont val="Calibri"/>
        <family val="2"/>
        <scheme val="minor"/>
      </rPr>
      <t>λον</t>
    </r>
    <r>
      <rPr>
        <sz val="11"/>
        <color theme="1"/>
        <rFont val="Calibri"/>
        <family val="2"/>
        <scheme val="minor"/>
      </rPr>
      <t xml:space="preserve"> του κυ</t>
    </r>
  </si>
  <si>
    <r>
      <t xml:space="preserve">τον </t>
    </r>
    <r>
      <rPr>
        <b/>
        <sz val="11"/>
        <color theme="1"/>
        <rFont val="Calibri"/>
        <family val="2"/>
        <scheme val="minor"/>
      </rPr>
      <t>λογον</t>
    </r>
    <r>
      <rPr>
        <sz val="11"/>
        <color theme="1"/>
        <rFont val="Calibri"/>
        <family val="2"/>
        <scheme val="minor"/>
      </rPr>
      <t xml:space="preserve"> του θεου</t>
    </r>
  </si>
  <si>
    <r>
      <t xml:space="preserve">τον λον του </t>
    </r>
    <r>
      <rPr>
        <b/>
        <sz val="11"/>
        <color theme="1"/>
        <rFont val="Calibri"/>
        <family val="2"/>
        <scheme val="minor"/>
      </rPr>
      <t>κυ</t>
    </r>
  </si>
  <si>
    <r>
      <t xml:space="preserve">τον λογον του </t>
    </r>
    <r>
      <rPr>
        <b/>
        <sz val="11"/>
        <color theme="1"/>
        <rFont val="Calibri"/>
        <family val="2"/>
        <scheme val="minor"/>
      </rPr>
      <t>θεου</t>
    </r>
  </si>
  <si>
    <t>(5) αυτοις (6) και [πε]ριελθοντω δε αυτων</t>
  </si>
  <si>
    <t>(5) αυτοις (6) διελθοντω δε αυτων</t>
  </si>
  <si>
    <t>αχρι παφου</t>
  </si>
  <si>
    <t>αχρι ταφου</t>
  </si>
  <si>
    <t>ονοματι καλουμενον καλουμενον βαριησουν</t>
  </si>
  <si>
    <t>ονοματι καλουμενον βαριησουν</t>
  </si>
  <si>
    <t>σαυλον εζητησεν</t>
  </si>
  <si>
    <t>σαυλον και εζητησεν</t>
  </si>
  <si>
    <t>ελυμας</t>
  </si>
  <si>
    <t>ετ[lac]ιμας</t>
  </si>
  <si>
    <r>
      <t xml:space="preserve">πιστεως επιδη ηδιστα </t>
    </r>
    <r>
      <rPr>
        <b/>
        <sz val="11"/>
        <color theme="1"/>
        <rFont val="Calibri"/>
        <family val="2"/>
        <scheme val="minor"/>
      </rPr>
      <t>ηκουεν</t>
    </r>
    <r>
      <rPr>
        <sz val="11"/>
        <color theme="1"/>
        <rFont val="Calibri"/>
        <family val="2"/>
        <scheme val="minor"/>
      </rPr>
      <t xml:space="preserve"> αυτων (9) σαυλος</t>
    </r>
  </si>
  <si>
    <r>
      <t xml:space="preserve">πιστεως επι δη ηδιστα </t>
    </r>
    <r>
      <rPr>
        <b/>
        <sz val="11"/>
        <color theme="1"/>
        <rFont val="Calibri"/>
        <family val="2"/>
        <scheme val="minor"/>
      </rPr>
      <t>ηκουσεν</t>
    </r>
    <r>
      <rPr>
        <sz val="11"/>
        <color theme="1"/>
        <rFont val="Calibri"/>
        <family val="2"/>
        <scheme val="minor"/>
      </rPr>
      <t xml:space="preserve"> αυτων (9) σαυλος</t>
    </r>
  </si>
  <si>
    <r>
      <t xml:space="preserve">πιστεως </t>
    </r>
    <r>
      <rPr>
        <b/>
        <sz val="11"/>
        <color theme="1"/>
        <rFont val="Calibri"/>
        <family val="2"/>
        <scheme val="minor"/>
      </rPr>
      <t>επι δη ηδιστα ηκουσεν αυτων</t>
    </r>
    <r>
      <rPr>
        <sz val="11"/>
        <color theme="1"/>
        <rFont val="Calibri"/>
        <family val="2"/>
        <scheme val="minor"/>
      </rPr>
      <t xml:space="preserve"> (9) σαυλος</t>
    </r>
  </si>
  <si>
    <r>
      <t xml:space="preserve">πιστεως </t>
    </r>
    <r>
      <rPr>
        <b/>
        <sz val="11"/>
        <color theme="1"/>
        <rFont val="Calibri"/>
        <family val="2"/>
        <scheme val="minor"/>
      </rPr>
      <t>επιδη ηδιστα ηκουεν αυτων</t>
    </r>
    <r>
      <rPr>
        <sz val="11"/>
        <color theme="1"/>
        <rFont val="Calibri"/>
        <family val="2"/>
        <scheme val="minor"/>
      </rPr>
      <t xml:space="preserve"> (9) σαυλος</t>
    </r>
  </si>
  <si>
    <t>και ραδιουργιας υιοι διαβολου</t>
  </si>
  <si>
    <r>
      <t xml:space="preserve">και </t>
    </r>
    <r>
      <rPr>
        <b/>
        <sz val="11"/>
        <color theme="1"/>
        <rFont val="Calibri"/>
        <family val="2"/>
        <scheme val="minor"/>
      </rPr>
      <t>πασης</t>
    </r>
    <r>
      <rPr>
        <sz val="11"/>
        <color theme="1"/>
        <rFont val="Calibri"/>
        <family val="2"/>
        <scheme val="minor"/>
      </rPr>
      <t xml:space="preserve"> ραδιουργιας υιε διαβολου</t>
    </r>
  </si>
  <si>
    <r>
      <t xml:space="preserve">και πασης ραδιουργιας </t>
    </r>
    <r>
      <rPr>
        <b/>
        <sz val="11"/>
        <color theme="1"/>
        <rFont val="Calibri"/>
        <family val="2"/>
        <scheme val="minor"/>
      </rPr>
      <t>υιε</t>
    </r>
    <r>
      <rPr>
        <sz val="11"/>
        <color theme="1"/>
        <rFont val="Calibri"/>
        <family val="2"/>
        <scheme val="minor"/>
      </rPr>
      <t xml:space="preserve"> διαβολου</t>
    </r>
  </si>
  <si>
    <r>
      <t xml:space="preserve">και ραδιουργιας </t>
    </r>
    <r>
      <rPr>
        <b/>
        <sz val="11"/>
        <color theme="1"/>
        <rFont val="Calibri"/>
        <family val="2"/>
        <scheme val="minor"/>
      </rPr>
      <t>υιοι</t>
    </r>
    <r>
      <rPr>
        <sz val="11"/>
        <color theme="1"/>
        <rFont val="Calibri"/>
        <family val="2"/>
        <scheme val="minor"/>
      </rPr>
      <t xml:space="preserve"> διαβολου</t>
    </r>
  </si>
  <si>
    <t>τας ευθειας</t>
  </si>
  <si>
    <t>τας ουσας ευθειας</t>
  </si>
  <si>
    <t>ειδου η χειρ</t>
  </si>
  <si>
    <t>Bezae marks η for deletion</t>
  </si>
  <si>
    <r>
      <rPr>
        <b/>
        <sz val="11"/>
        <color theme="1"/>
        <rFont val="Calibri"/>
        <family val="2"/>
        <scheme val="minor"/>
      </rPr>
      <t>εθαυμασεν</t>
    </r>
    <r>
      <rPr>
        <sz val="11"/>
        <color theme="1"/>
        <rFont val="Calibri"/>
        <family val="2"/>
        <scheme val="minor"/>
      </rPr>
      <t xml:space="preserve"> και επιστευσεν  τω θω εκπλησσομενος επι τη διδαχη </t>
    </r>
  </si>
  <si>
    <r>
      <t xml:space="preserve">εθαυμασεν και </t>
    </r>
    <r>
      <rPr>
        <b/>
        <sz val="11"/>
        <color theme="1"/>
        <rFont val="Calibri"/>
        <family val="2"/>
        <scheme val="minor"/>
      </rPr>
      <t>επιστευσεν</t>
    </r>
    <r>
      <rPr>
        <sz val="11"/>
        <color theme="1"/>
        <rFont val="Calibri"/>
        <family val="2"/>
        <scheme val="minor"/>
      </rPr>
      <t xml:space="preserve">  τω θω </t>
    </r>
    <r>
      <rPr>
        <b/>
        <sz val="11"/>
        <color theme="1"/>
        <rFont val="Calibri"/>
        <family val="2"/>
        <scheme val="minor"/>
      </rPr>
      <t>εκπλησσομενος</t>
    </r>
    <r>
      <rPr>
        <sz val="11"/>
        <color theme="1"/>
        <rFont val="Calibri"/>
        <family val="2"/>
        <scheme val="minor"/>
      </rPr>
      <t xml:space="preserve"> επι τη διδαχη </t>
    </r>
  </si>
  <si>
    <r>
      <t xml:space="preserve">εθαυμασεν και επιστευσεν  </t>
    </r>
    <r>
      <rPr>
        <b/>
        <sz val="11"/>
        <color theme="1"/>
        <rFont val="Calibri"/>
        <family val="2"/>
        <scheme val="minor"/>
      </rPr>
      <t>τω θω</t>
    </r>
    <r>
      <rPr>
        <sz val="11"/>
        <color theme="1"/>
        <rFont val="Calibri"/>
        <family val="2"/>
        <scheme val="minor"/>
      </rPr>
      <t xml:space="preserve"> εκπλησσομενος επι τη διδαχη </t>
    </r>
  </si>
  <si>
    <t>περι τον παυλον</t>
  </si>
  <si>
    <t>περι παυλον</t>
  </si>
  <si>
    <r>
      <t xml:space="preserve">συναγωγην τη </t>
    </r>
    <r>
      <rPr>
        <b/>
        <sz val="11"/>
        <color theme="1"/>
        <rFont val="Calibri"/>
        <family val="2"/>
        <scheme val="minor"/>
      </rPr>
      <t xml:space="preserve">ημερα </t>
    </r>
    <r>
      <rPr>
        <sz val="11"/>
        <color theme="1"/>
        <rFont val="Calibri"/>
        <family val="2"/>
        <scheme val="minor"/>
      </rPr>
      <t>των σαββατων</t>
    </r>
  </si>
  <si>
    <r>
      <t xml:space="preserve">συναγωγην την </t>
    </r>
    <r>
      <rPr>
        <b/>
        <sz val="11"/>
        <color theme="1"/>
        <rFont val="Calibri"/>
        <family val="2"/>
        <scheme val="minor"/>
      </rPr>
      <t xml:space="preserve">ημετερα </t>
    </r>
    <r>
      <rPr>
        <sz val="11"/>
        <color theme="1"/>
        <rFont val="Calibri"/>
        <family val="2"/>
        <scheme val="minor"/>
      </rPr>
      <t>τω σαββατω</t>
    </r>
  </si>
  <si>
    <r>
      <t xml:space="preserve">συναγωγην </t>
    </r>
    <r>
      <rPr>
        <b/>
        <sz val="11"/>
        <color theme="1"/>
        <rFont val="Calibri"/>
        <family val="2"/>
        <scheme val="minor"/>
      </rPr>
      <t>την</t>
    </r>
    <r>
      <rPr>
        <sz val="11"/>
        <color theme="1"/>
        <rFont val="Calibri"/>
        <family val="2"/>
        <scheme val="minor"/>
      </rPr>
      <t xml:space="preserve"> ημετερα τω σαββατω</t>
    </r>
  </si>
  <si>
    <r>
      <t xml:space="preserve">συναγωγην </t>
    </r>
    <r>
      <rPr>
        <b/>
        <sz val="11"/>
        <color theme="1"/>
        <rFont val="Calibri"/>
        <family val="2"/>
        <scheme val="minor"/>
      </rPr>
      <t>τη</t>
    </r>
    <r>
      <rPr>
        <sz val="11"/>
        <color theme="1"/>
        <rFont val="Calibri"/>
        <family val="2"/>
        <scheme val="minor"/>
      </rPr>
      <t xml:space="preserve"> ημερα των σαββατων</t>
    </r>
  </si>
  <si>
    <r>
      <t xml:space="preserve">συναγωγην την ημετερα </t>
    </r>
    <r>
      <rPr>
        <b/>
        <sz val="11"/>
        <color theme="1"/>
        <rFont val="Calibri"/>
        <family val="2"/>
        <scheme val="minor"/>
      </rPr>
      <t>τω σαββατω</t>
    </r>
  </si>
  <si>
    <r>
      <t xml:space="preserve">συναγωγην τη ημερα </t>
    </r>
    <r>
      <rPr>
        <b/>
        <sz val="11"/>
        <color theme="1"/>
        <rFont val="Calibri"/>
        <family val="2"/>
        <scheme val="minor"/>
      </rPr>
      <t>των σαββατων</t>
    </r>
  </si>
  <si>
    <t xml:space="preserve">ει εστιν λογος σοφιας </t>
  </si>
  <si>
    <r>
      <t xml:space="preserve">ει </t>
    </r>
    <r>
      <rPr>
        <b/>
        <sz val="11"/>
        <color theme="1"/>
        <rFont val="Calibri"/>
        <family val="2"/>
        <scheme val="minor"/>
      </rPr>
      <t>τις</t>
    </r>
    <r>
      <rPr>
        <sz val="11"/>
        <color theme="1"/>
        <rFont val="Calibri"/>
        <family val="2"/>
        <scheme val="minor"/>
      </rPr>
      <t xml:space="preserve"> εστιν λογου σοφιας </t>
    </r>
  </si>
  <si>
    <r>
      <t xml:space="preserve">ει τις εστιν </t>
    </r>
    <r>
      <rPr>
        <b/>
        <sz val="11"/>
        <color theme="1"/>
        <rFont val="Calibri"/>
        <family val="2"/>
        <scheme val="minor"/>
      </rPr>
      <t>λογου</t>
    </r>
    <r>
      <rPr>
        <sz val="11"/>
        <color theme="1"/>
        <rFont val="Calibri"/>
        <family val="2"/>
        <scheme val="minor"/>
      </rPr>
      <t xml:space="preserve"> σοφιας </t>
    </r>
  </si>
  <si>
    <r>
      <t xml:space="preserve">ει εστιν </t>
    </r>
    <r>
      <rPr>
        <b/>
        <sz val="11"/>
        <color theme="1"/>
        <rFont val="Calibri"/>
        <family val="2"/>
        <scheme val="minor"/>
      </rPr>
      <t>λογος</t>
    </r>
    <r>
      <rPr>
        <sz val="11"/>
        <color theme="1"/>
        <rFont val="Calibri"/>
        <family val="2"/>
        <scheme val="minor"/>
      </rPr>
      <t xml:space="preserve"> σοφιας </t>
    </r>
  </si>
  <si>
    <t>ημων και τον λαον</t>
  </si>
  <si>
    <t>ημων δια τον λαον</t>
  </si>
  <si>
    <t>εν τη γη</t>
  </si>
  <si>
    <t>Bezae marks τη for deletion</t>
  </si>
  <si>
    <t>και ως ετη</t>
  </si>
  <si>
    <t>και ετη</t>
  </si>
  <si>
    <t>κατεκληρονομησεν την γην των αλλοφυλων</t>
  </si>
  <si>
    <r>
      <t xml:space="preserve">κατεκληρονομησεν </t>
    </r>
    <r>
      <rPr>
        <b/>
        <sz val="11"/>
        <color theme="1"/>
        <rFont val="Calibri"/>
        <family val="2"/>
        <scheme val="minor"/>
      </rPr>
      <t>αυτοις</t>
    </r>
    <r>
      <rPr>
        <sz val="11"/>
        <color theme="1"/>
        <rFont val="Calibri"/>
        <family val="2"/>
        <scheme val="minor"/>
      </rPr>
      <t xml:space="preserve"> την γην αυτων αλλοφυλων</t>
    </r>
  </si>
  <si>
    <r>
      <t xml:space="preserve">κατεκληρονομησεν αυτοις την γην </t>
    </r>
    <r>
      <rPr>
        <b/>
        <sz val="11"/>
        <color theme="1"/>
        <rFont val="Calibri"/>
        <family val="2"/>
        <scheme val="minor"/>
      </rPr>
      <t>αυτων</t>
    </r>
    <r>
      <rPr>
        <sz val="11"/>
        <color theme="1"/>
        <rFont val="Calibri"/>
        <family val="2"/>
        <scheme val="minor"/>
      </rPr>
      <t xml:space="preserve"> αλλοφυλων</t>
    </r>
  </si>
  <si>
    <r>
      <t xml:space="preserve">κατεκληρονομησεν την γην </t>
    </r>
    <r>
      <rPr>
        <b/>
        <sz val="11"/>
        <color theme="1"/>
        <rFont val="Calibri"/>
        <family val="2"/>
        <scheme val="minor"/>
      </rPr>
      <t>των</t>
    </r>
    <r>
      <rPr>
        <sz val="11"/>
        <color theme="1"/>
        <rFont val="Calibri"/>
        <family val="2"/>
        <scheme val="minor"/>
      </rPr>
      <t xml:space="preserve"> αλλοφυλων</t>
    </r>
  </si>
  <si>
    <t>και εως ετεσι</t>
  </si>
  <si>
    <r>
      <t xml:space="preserve">και </t>
    </r>
    <r>
      <rPr>
        <b/>
        <sz val="11"/>
        <color theme="1"/>
        <rFont val="Calibri"/>
        <family val="2"/>
        <scheme val="minor"/>
      </rPr>
      <t>μετα ταυτα</t>
    </r>
    <r>
      <rPr>
        <sz val="11"/>
        <color theme="1"/>
        <rFont val="Calibri"/>
        <family val="2"/>
        <scheme val="minor"/>
      </rPr>
      <t xml:space="preserve"> ως ετεσι</t>
    </r>
  </si>
  <si>
    <r>
      <t xml:space="preserve">και </t>
    </r>
    <r>
      <rPr>
        <b/>
        <sz val="11"/>
        <color theme="1"/>
        <rFont val="Calibri"/>
        <family val="2"/>
        <scheme val="minor"/>
      </rPr>
      <t>εως</t>
    </r>
    <r>
      <rPr>
        <sz val="11"/>
        <color theme="1"/>
        <rFont val="Calibri"/>
        <family val="2"/>
        <scheme val="minor"/>
      </rPr>
      <t xml:space="preserve"> ετεσι</t>
    </r>
  </si>
  <si>
    <r>
      <t xml:space="preserve">και μετα ταυτα </t>
    </r>
    <r>
      <rPr>
        <b/>
        <sz val="11"/>
        <color theme="1"/>
        <rFont val="Calibri"/>
        <family val="2"/>
        <scheme val="minor"/>
      </rPr>
      <t>ως</t>
    </r>
    <r>
      <rPr>
        <sz val="11"/>
        <color theme="1"/>
        <rFont val="Calibri"/>
        <family val="2"/>
        <scheme val="minor"/>
      </rPr>
      <t xml:space="preserve"> ετεσι</t>
    </r>
  </si>
  <si>
    <t>σπερματος κατ επαγγελιαν</t>
  </si>
  <si>
    <r>
      <t xml:space="preserve">σπερματος </t>
    </r>
    <r>
      <rPr>
        <b/>
        <sz val="11"/>
        <color theme="1"/>
        <rFont val="Calibri"/>
        <family val="2"/>
        <scheme val="minor"/>
      </rPr>
      <t>αυτου</t>
    </r>
    <r>
      <rPr>
        <sz val="11"/>
        <color theme="1"/>
        <rFont val="Calibri"/>
        <family val="2"/>
        <scheme val="minor"/>
      </rPr>
      <t xml:space="preserve"> κατ επαγγελειαν</t>
    </r>
  </si>
  <si>
    <r>
      <t xml:space="preserve">σπερματος αυτου κατ </t>
    </r>
    <r>
      <rPr>
        <b/>
        <sz val="11"/>
        <color theme="1"/>
        <rFont val="Calibri"/>
        <family val="2"/>
        <scheme val="minor"/>
      </rPr>
      <t>επαγγελειαν</t>
    </r>
  </si>
  <si>
    <r>
      <t xml:space="preserve">σπερματος κατ </t>
    </r>
    <r>
      <rPr>
        <b/>
        <sz val="11"/>
        <color theme="1"/>
        <rFont val="Calibri"/>
        <family val="2"/>
        <scheme val="minor"/>
      </rPr>
      <t>επαγγελιαν</t>
    </r>
  </si>
  <si>
    <t>σωτηρα τον ιην</t>
  </si>
  <si>
    <t>σωτηρα τον τον ιησουν</t>
  </si>
  <si>
    <r>
      <t xml:space="preserve">ως δε </t>
    </r>
    <r>
      <rPr>
        <b/>
        <sz val="11"/>
        <color theme="1"/>
        <rFont val="Calibri"/>
        <family val="2"/>
        <scheme val="minor"/>
      </rPr>
      <t>επληρουν</t>
    </r>
    <r>
      <rPr>
        <sz val="11"/>
        <color theme="1"/>
        <rFont val="Calibri"/>
        <family val="2"/>
        <scheme val="minor"/>
      </rPr>
      <t xml:space="preserve"> ιωανης τον δρομον</t>
    </r>
  </si>
  <si>
    <r>
      <t xml:space="preserve">ως δε </t>
    </r>
    <r>
      <rPr>
        <b/>
        <sz val="11"/>
        <color theme="1"/>
        <rFont val="Calibri"/>
        <family val="2"/>
        <scheme val="minor"/>
      </rPr>
      <t>επληρου</t>
    </r>
    <r>
      <rPr>
        <sz val="11"/>
        <color theme="1"/>
        <rFont val="Calibri"/>
        <family val="2"/>
        <scheme val="minor"/>
      </rPr>
      <t xml:space="preserve"> ιωαννης τον δρομον</t>
    </r>
  </si>
  <si>
    <r>
      <t xml:space="preserve">ως δε επληρουν </t>
    </r>
    <r>
      <rPr>
        <b/>
        <sz val="11"/>
        <color theme="1"/>
        <rFont val="Calibri"/>
        <family val="2"/>
        <scheme val="minor"/>
      </rPr>
      <t>ιωανης</t>
    </r>
    <r>
      <rPr>
        <sz val="11"/>
        <color theme="1"/>
        <rFont val="Calibri"/>
        <family val="2"/>
        <scheme val="minor"/>
      </rPr>
      <t xml:space="preserve"> τον δρομον</t>
    </r>
  </si>
  <si>
    <r>
      <t xml:space="preserve">ως δε επληρου </t>
    </r>
    <r>
      <rPr>
        <b/>
        <sz val="11"/>
        <color theme="1"/>
        <rFont val="Calibri"/>
        <family val="2"/>
        <scheme val="minor"/>
      </rPr>
      <t>ιωαννης</t>
    </r>
    <r>
      <rPr>
        <sz val="11"/>
        <color theme="1"/>
        <rFont val="Calibri"/>
        <family val="2"/>
        <scheme val="minor"/>
      </rPr>
      <t xml:space="preserve"> τον δρομον</t>
    </r>
  </si>
  <si>
    <t xml:space="preserve">αλλα ιδου </t>
  </si>
  <si>
    <t xml:space="preserve">αλλ ιδου </t>
  </si>
  <si>
    <t>μετ εμε</t>
  </si>
  <si>
    <t>μεθ εμε</t>
  </si>
  <si>
    <t>αξιος λυσαι το υποδημα των ποδων (26) ανδρες</t>
  </si>
  <si>
    <t>αξιος το υποδημα των ποδων λυσαι (26) ανδρες</t>
  </si>
  <si>
    <r>
      <t xml:space="preserve">αρχοντες </t>
    </r>
    <r>
      <rPr>
        <b/>
        <sz val="11"/>
        <color theme="1"/>
        <rFont val="Calibri"/>
        <family val="2"/>
        <scheme val="minor"/>
      </rPr>
      <t>αυτης</t>
    </r>
    <r>
      <rPr>
        <sz val="11"/>
        <color theme="1"/>
        <rFont val="Calibri"/>
        <family val="2"/>
        <scheme val="minor"/>
      </rPr>
      <t xml:space="preserve"> [] ταις τας [γραφ]ας των προφητων</t>
    </r>
  </si>
  <si>
    <r>
      <t xml:space="preserve">αρχοντες </t>
    </r>
    <r>
      <rPr>
        <b/>
        <sz val="11"/>
        <color theme="1"/>
        <rFont val="Calibri"/>
        <family val="2"/>
        <scheme val="minor"/>
      </rPr>
      <t>αυτων</t>
    </r>
    <r>
      <rPr>
        <sz val="11"/>
        <color theme="1"/>
        <rFont val="Calibri"/>
        <family val="2"/>
        <scheme val="minor"/>
      </rPr>
      <t xml:space="preserve"> τουτον αγνοουντες και τας φωνας των προφητων</t>
    </r>
  </si>
  <si>
    <r>
      <t xml:space="preserve">αρχοντες αυτης </t>
    </r>
    <r>
      <rPr>
        <b/>
        <sz val="11"/>
        <color theme="1"/>
        <rFont val="Calibri"/>
        <family val="2"/>
        <scheme val="minor"/>
      </rPr>
      <t>[] ταις τας [γραφ]ας</t>
    </r>
    <r>
      <rPr>
        <sz val="11"/>
        <color theme="1"/>
        <rFont val="Calibri"/>
        <family val="2"/>
        <scheme val="minor"/>
      </rPr>
      <t xml:space="preserve"> των προφητων</t>
    </r>
  </si>
  <si>
    <r>
      <t xml:space="preserve">αρχοντες αυτων </t>
    </r>
    <r>
      <rPr>
        <b/>
        <sz val="11"/>
        <color theme="1"/>
        <rFont val="Calibri"/>
        <family val="2"/>
        <scheme val="minor"/>
      </rPr>
      <t>τουτον αγνοουντες και τας φωνας</t>
    </r>
    <r>
      <rPr>
        <sz val="11"/>
        <color theme="1"/>
        <rFont val="Calibri"/>
        <family val="2"/>
        <scheme val="minor"/>
      </rPr>
      <t xml:space="preserve"> των προφητων</t>
    </r>
  </si>
  <si>
    <t>εν αυτω ητησαντο πιλατον ανερηθηναι κρειναντες</t>
  </si>
  <si>
    <t xml:space="preserve">πιλατω εις αναιρεσιν </t>
  </si>
  <si>
    <t xml:space="preserve">πειλατω ινα εις αναιρεσιν </t>
  </si>
  <si>
    <t>Bezae corrects by adding ι after ινα</t>
  </si>
  <si>
    <t>ως δε ετελεσαν παντα</t>
  </si>
  <si>
    <t>ως δε ετελουν παντα</t>
  </si>
  <si>
    <t>Bezae appears to correct ετελουν -&gt; ετελεσεν</t>
  </si>
  <si>
    <t>γεγραμμενα ητουντο τον πειλατον τουτον μεν σταυρωσαι και επιτυχοντες παλιν και καθελοντες</t>
  </si>
  <si>
    <r>
      <t xml:space="preserve">γεγραμμενα </t>
    </r>
    <r>
      <rPr>
        <b/>
        <sz val="11"/>
        <color theme="1"/>
        <rFont val="Calibri"/>
        <family val="2"/>
        <scheme val="minor"/>
      </rPr>
      <t>εισιν</t>
    </r>
    <r>
      <rPr>
        <sz val="11"/>
        <color theme="1"/>
        <rFont val="Calibri"/>
        <family val="2"/>
        <scheme val="minor"/>
      </rPr>
      <t xml:space="preserve"> ητουντο τον πειλατον τουτον μεν σταυρωσαι και επιτυχοντες παλιν και καθελοντες</t>
    </r>
  </si>
  <si>
    <r>
      <t xml:space="preserve">γεγραμμενα εισιν </t>
    </r>
    <r>
      <rPr>
        <b/>
        <sz val="11"/>
        <color theme="1"/>
        <rFont val="Calibri"/>
        <family val="2"/>
        <scheme val="minor"/>
      </rPr>
      <t>ητουντο τον πειλατον τουτον μεν σταυρωσαι και επιτυχοντες παλιν</t>
    </r>
    <r>
      <rPr>
        <sz val="11"/>
        <color theme="1"/>
        <rFont val="Calibri"/>
        <family val="2"/>
        <scheme val="minor"/>
      </rPr>
      <t xml:space="preserve"> και καθελοντες</t>
    </r>
  </si>
  <si>
    <r>
      <t xml:space="preserve">γεγραμμενα </t>
    </r>
    <r>
      <rPr>
        <b/>
        <sz val="11"/>
        <color theme="1"/>
        <rFont val="Calibri"/>
        <family val="2"/>
        <scheme val="minor"/>
      </rPr>
      <t>ητουντο τον πειλατον τουτον μεν σταυρωσαι και επιτυχοντες παλιν</t>
    </r>
    <r>
      <rPr>
        <sz val="11"/>
        <color theme="1"/>
        <rFont val="Calibri"/>
        <family val="2"/>
        <scheme val="minor"/>
      </rPr>
      <t xml:space="preserve"> και καθελοντες</t>
    </r>
  </si>
  <si>
    <t>ξυλου εθηκαν</t>
  </si>
  <si>
    <t>ξυλου και εθηκαν</t>
  </si>
  <si>
    <t>πλειονας</t>
  </si>
  <si>
    <t xml:space="preserve">οιτινες αχρι νυν </t>
  </si>
  <si>
    <t xml:space="preserve">οιτινες μεχρι νυν </t>
  </si>
  <si>
    <t xml:space="preserve">εισιν μαρτυρες </t>
  </si>
  <si>
    <t xml:space="preserve">εισι μαρτυρες </t>
  </si>
  <si>
    <r>
      <t xml:space="preserve">παρα </t>
    </r>
    <r>
      <rPr>
        <b/>
        <sz val="11"/>
        <color theme="1"/>
        <rFont val="Calibri"/>
        <family val="2"/>
        <scheme val="minor"/>
      </rPr>
      <t>μου</t>
    </r>
  </si>
  <si>
    <r>
      <t xml:space="preserve">παρ </t>
    </r>
    <r>
      <rPr>
        <b/>
        <sz val="11"/>
        <color theme="1"/>
        <rFont val="Calibri"/>
        <family val="2"/>
        <scheme val="minor"/>
      </rPr>
      <t>αιμου</t>
    </r>
  </si>
  <si>
    <t>κληρονομιαν και την</t>
  </si>
  <si>
    <t>κληρονομιαν σου και την</t>
  </si>
  <si>
    <t>οτι δε ανεστησεν</t>
  </si>
  <si>
    <t>οτε δε ανεστησεν</t>
  </si>
  <si>
    <t>οσια του δαυειδ</t>
  </si>
  <si>
    <t>οσια δαυειδ</t>
  </si>
  <si>
    <t>ετερως λεγει</t>
  </si>
  <si>
    <t>ετερω λεγει</t>
  </si>
  <si>
    <t>τουτου υμειν</t>
  </si>
  <si>
    <t>εν τουτω ουν πας</t>
  </si>
  <si>
    <t>εν τουτω πας</t>
  </si>
  <si>
    <t>δικαιουται (40) βλεπετε</t>
  </si>
  <si>
    <t>δικαιουτε παρα θω (40) βλεπετε</t>
  </si>
  <si>
    <t xml:space="preserve">καταφρονητε και </t>
  </si>
  <si>
    <t>αφανισθητε</t>
  </si>
  <si>
    <t xml:space="preserve">αφανισθαφανισθητε </t>
  </si>
  <si>
    <t>εργαζομαι εν ταις</t>
  </si>
  <si>
    <t>εργαζομαι εγω εν ταις</t>
  </si>
  <si>
    <t>υμων εργον ο ου</t>
  </si>
  <si>
    <t>υμων ο ου</t>
  </si>
  <si>
    <t>εκδιηγηται</t>
  </si>
  <si>
    <t>αυτων παρεκαλουν εις το</t>
  </si>
  <si>
    <t>αυτων παρεκαλουν παρεκαλουν εις το</t>
  </si>
  <si>
    <t>αυτοις τα ρηματα</t>
  </si>
  <si>
    <t>αυτοις ρηματα</t>
  </si>
  <si>
    <t>αυτοις επιθον αυτους</t>
  </si>
  <si>
    <t>αυτοις επιθοντο αυτους</t>
  </si>
  <si>
    <t>ακουσαι παυλου πολυν</t>
  </si>
  <si>
    <t>ακουσαι πολυν</t>
  </si>
  <si>
    <t>Bezae corrects to παρρησιασαμενος</t>
  </si>
  <si>
    <t>ειπαν υμειν</t>
  </si>
  <si>
    <t>ειπαν προς αυτους υμειν</t>
  </si>
  <si>
    <r>
      <t xml:space="preserve">λαληθηναι τον </t>
    </r>
    <r>
      <rPr>
        <b/>
        <sz val="11"/>
        <color theme="1"/>
        <rFont val="Calibri"/>
        <family val="2"/>
        <scheme val="minor"/>
      </rPr>
      <t>πρωτον</t>
    </r>
    <r>
      <rPr>
        <sz val="11"/>
        <color theme="1"/>
        <rFont val="Calibri"/>
        <family val="2"/>
        <scheme val="minor"/>
      </rPr>
      <t xml:space="preserve"> λογον του θεου</t>
    </r>
  </si>
  <si>
    <r>
      <t xml:space="preserve">λαληθηναι τον πρωτον </t>
    </r>
    <r>
      <rPr>
        <b/>
        <sz val="11"/>
        <color theme="1"/>
        <rFont val="Calibri"/>
        <family val="2"/>
        <scheme val="minor"/>
      </rPr>
      <t>λογον</t>
    </r>
    <r>
      <rPr>
        <sz val="11"/>
        <color theme="1"/>
        <rFont val="Calibri"/>
        <family val="2"/>
        <scheme val="minor"/>
      </rPr>
      <t xml:space="preserve"> του θεου</t>
    </r>
  </si>
  <si>
    <t>επιδη δε απωθεισθαι</t>
  </si>
  <si>
    <t>επιδη απωθεισθαι</t>
  </si>
  <si>
    <t xml:space="preserve">αξιους κρινεται εαυτους </t>
  </si>
  <si>
    <t xml:space="preserve">αξιους κρεινατε εαυτους </t>
  </si>
  <si>
    <t>Bezae corrects κρεινατε -&gt; κρεινεται</t>
  </si>
  <si>
    <r>
      <rPr>
        <b/>
        <sz val="11"/>
        <color theme="1"/>
        <rFont val="Calibri"/>
        <family val="2"/>
        <scheme val="minor"/>
      </rPr>
      <t>εντεταλτε</t>
    </r>
    <r>
      <rPr>
        <sz val="11"/>
        <color theme="1"/>
        <rFont val="Calibri"/>
        <family val="2"/>
        <scheme val="minor"/>
      </rPr>
      <t xml:space="preserve"> ημειν ο κυριος</t>
    </r>
  </si>
  <si>
    <r>
      <t xml:space="preserve">εντεταλτε </t>
    </r>
    <r>
      <rPr>
        <b/>
        <sz val="11"/>
        <color theme="1"/>
        <rFont val="Calibri"/>
        <family val="2"/>
        <scheme val="minor"/>
      </rPr>
      <t>ημειν</t>
    </r>
    <r>
      <rPr>
        <sz val="11"/>
        <color theme="1"/>
        <rFont val="Calibri"/>
        <family val="2"/>
        <scheme val="minor"/>
      </rPr>
      <t xml:space="preserve"> ο κυριος</t>
    </r>
  </si>
  <si>
    <t>Bezae adds ημιν</t>
  </si>
  <si>
    <t>ιδου σε τεθεικα φως τοις εθνεσιν</t>
  </si>
  <si>
    <t>ιδου φως τεθεικα σε τοις εθνεσιν</t>
  </si>
  <si>
    <t>λογον του κυριου</t>
  </si>
  <si>
    <t>λογον του θυ</t>
  </si>
  <si>
    <t>λογος του κυριος</t>
  </si>
  <si>
    <t>πιστευειν ιουδαιων</t>
  </si>
  <si>
    <t>πιστευσαι ιουδαιων</t>
  </si>
  <si>
    <t>αδελφων (3) ικανον</t>
  </si>
  <si>
    <t>αδελφων ο δε κς εδωκεν ταχυ ειρηνην (3) ικανον</t>
  </si>
  <si>
    <t>Bezae corrects to παρησιασαμενοι</t>
  </si>
  <si>
    <t>δια των χειρων αυτου (4) ην δε</t>
  </si>
  <si>
    <r>
      <t xml:space="preserve">δια των </t>
    </r>
    <r>
      <rPr>
        <b/>
        <sz val="11"/>
        <color theme="1"/>
        <rFont val="Calibri"/>
        <family val="2"/>
        <scheme val="minor"/>
      </rPr>
      <t>των</t>
    </r>
    <r>
      <rPr>
        <sz val="11"/>
        <color theme="1"/>
        <rFont val="Calibri"/>
        <family val="2"/>
        <scheme val="minor"/>
      </rPr>
      <t xml:space="preserve"> χειρων αυτων (4) ην δε</t>
    </r>
  </si>
  <si>
    <r>
      <t xml:space="preserve">δια των χειρων </t>
    </r>
    <r>
      <rPr>
        <b/>
        <sz val="11"/>
        <color theme="1"/>
        <rFont val="Calibri"/>
        <family val="2"/>
        <scheme val="minor"/>
      </rPr>
      <t>αυτου</t>
    </r>
    <r>
      <rPr>
        <sz val="11"/>
        <color theme="1"/>
        <rFont val="Calibri"/>
        <family val="2"/>
        <scheme val="minor"/>
      </rPr>
      <t xml:space="preserve"> (4) ην δε</t>
    </r>
  </si>
  <si>
    <r>
      <t xml:space="preserve">δια των των χειρων </t>
    </r>
    <r>
      <rPr>
        <b/>
        <sz val="11"/>
        <color theme="1"/>
        <rFont val="Calibri"/>
        <family val="2"/>
        <scheme val="minor"/>
      </rPr>
      <t>αυτων</t>
    </r>
    <r>
      <rPr>
        <sz val="11"/>
        <color theme="1"/>
        <rFont val="Calibri"/>
        <family val="2"/>
        <scheme val="minor"/>
      </rPr>
      <t xml:space="preserve"> (4) ην δε</t>
    </r>
  </si>
  <si>
    <t>αποστολοις (5) ως δε</t>
  </si>
  <si>
    <t>αποστολοις κολλωμενοι δια τον λογον του θυ (5) ως δε</t>
  </si>
  <si>
    <t>συνιδοντες κατεφυγον</t>
  </si>
  <si>
    <t>συνιδοντες και κατεφυγον</t>
  </si>
  <si>
    <t>λυκαονιας λυστραν</t>
  </si>
  <si>
    <r>
      <rPr>
        <b/>
        <sz val="11"/>
        <color theme="1"/>
        <rFont val="Calibri"/>
        <family val="2"/>
        <scheme val="minor"/>
      </rPr>
      <t>λυκαωνιας</t>
    </r>
    <r>
      <rPr>
        <sz val="11"/>
        <color theme="1"/>
        <rFont val="Calibri"/>
        <family val="2"/>
        <scheme val="minor"/>
      </rPr>
      <t xml:space="preserve"> εις λυστραν</t>
    </r>
  </si>
  <si>
    <r>
      <rPr>
        <b/>
        <sz val="11"/>
        <color theme="1"/>
        <rFont val="Calibri"/>
        <family val="2"/>
        <scheme val="minor"/>
      </rPr>
      <t>λυκαονιας</t>
    </r>
    <r>
      <rPr>
        <sz val="11"/>
        <color theme="1"/>
        <rFont val="Calibri"/>
        <family val="2"/>
        <scheme val="minor"/>
      </rPr>
      <t xml:space="preserve"> λυστραν</t>
    </r>
  </si>
  <si>
    <r>
      <t xml:space="preserve">λυκαωνιας </t>
    </r>
    <r>
      <rPr>
        <b/>
        <sz val="11"/>
        <color theme="1"/>
        <rFont val="Calibri"/>
        <family val="2"/>
        <scheme val="minor"/>
      </rPr>
      <t>εις</t>
    </r>
    <r>
      <rPr>
        <sz val="11"/>
        <color theme="1"/>
        <rFont val="Calibri"/>
        <family val="2"/>
        <scheme val="minor"/>
      </rPr>
      <t xml:space="preserve"> λυστραν</t>
    </r>
  </si>
  <si>
    <t>(6) περιχωρον (7) και εκει</t>
  </si>
  <si>
    <r>
      <t xml:space="preserve">(6) περιχωρον </t>
    </r>
    <r>
      <rPr>
        <b/>
        <sz val="11"/>
        <color theme="1"/>
        <rFont val="Calibri"/>
        <family val="2"/>
        <scheme val="minor"/>
      </rPr>
      <t>ολην</t>
    </r>
    <r>
      <rPr>
        <sz val="11"/>
        <color theme="1"/>
        <rFont val="Calibri"/>
        <family val="2"/>
        <scheme val="minor"/>
      </rPr>
      <t xml:space="preserve"> (7) κακει</t>
    </r>
  </si>
  <si>
    <r>
      <t xml:space="preserve">(6) περιχωρον (7) </t>
    </r>
    <r>
      <rPr>
        <b/>
        <sz val="11"/>
        <color theme="1"/>
        <rFont val="Calibri"/>
        <family val="2"/>
        <scheme val="minor"/>
      </rPr>
      <t>και εκει</t>
    </r>
  </si>
  <si>
    <r>
      <t xml:space="preserve">(6) περιχωρον ολην (7) </t>
    </r>
    <r>
      <rPr>
        <b/>
        <sz val="11"/>
        <color theme="1"/>
        <rFont val="Calibri"/>
        <family val="2"/>
        <scheme val="minor"/>
      </rPr>
      <t>κακει</t>
    </r>
  </si>
  <si>
    <t>πληθος επι τη διδαχη</t>
  </si>
  <si>
    <t>πληθος τη διδαχη</t>
  </si>
  <si>
    <t>κοιλιας της μητρος</t>
  </si>
  <si>
    <t>Bezae marks της for deletion</t>
  </si>
  <si>
    <t>μεγαλη τη φωνη</t>
  </si>
  <si>
    <t>μεγαλη φωνη</t>
  </si>
  <si>
    <t>ανηλλατο</t>
  </si>
  <si>
    <r>
      <rPr>
        <b/>
        <sz val="11"/>
        <color theme="1"/>
        <rFont val="Calibri"/>
        <family val="2"/>
        <scheme val="minor"/>
      </rPr>
      <t>περιεπατει</t>
    </r>
    <r>
      <rPr>
        <sz val="11"/>
        <color theme="1"/>
        <rFont val="Calibri"/>
        <family val="2"/>
        <scheme val="minor"/>
      </rPr>
      <t xml:space="preserve"> και ευθεως</t>
    </r>
  </si>
  <si>
    <r>
      <rPr>
        <b/>
        <sz val="11"/>
        <color theme="1"/>
        <rFont val="Calibri"/>
        <family val="2"/>
        <scheme val="minor"/>
      </rPr>
      <t>περιπατει</t>
    </r>
    <r>
      <rPr>
        <sz val="11"/>
        <color theme="1"/>
        <rFont val="Calibri"/>
        <family val="2"/>
        <scheme val="minor"/>
      </rPr>
      <t xml:space="preserve"> και ευθεως</t>
    </r>
  </si>
  <si>
    <r>
      <rPr>
        <b/>
        <sz val="11"/>
        <color theme="1"/>
        <rFont val="Calibri"/>
        <family val="2"/>
        <scheme val="minor"/>
      </rPr>
      <t>περιπατει</t>
    </r>
    <r>
      <rPr>
        <sz val="11"/>
        <color theme="1"/>
        <rFont val="Calibri"/>
        <family val="2"/>
        <scheme val="minor"/>
      </rPr>
      <t xml:space="preserve"> (11) οι δε</t>
    </r>
  </si>
  <si>
    <r>
      <rPr>
        <b/>
        <sz val="11"/>
        <color theme="1"/>
        <rFont val="Calibri"/>
        <family val="2"/>
        <scheme val="minor"/>
      </rPr>
      <t>περιεπατει</t>
    </r>
    <r>
      <rPr>
        <sz val="11"/>
        <color theme="1"/>
        <rFont val="Calibri"/>
        <family val="2"/>
        <scheme val="minor"/>
      </rPr>
      <t xml:space="preserve"> (11) οι δε</t>
    </r>
  </si>
  <si>
    <t>δια τον</t>
  </si>
  <si>
    <t>διαν τον</t>
  </si>
  <si>
    <t>προ της πολεως</t>
  </si>
  <si>
    <t>προ πολεως</t>
  </si>
  <si>
    <t>ηθελον επιθυειν</t>
  </si>
  <si>
    <t>ηθελον θυειν</t>
  </si>
  <si>
    <t>αυτων εξεπηδησαν</t>
  </si>
  <si>
    <t>αυτων και εξεπηδησαν</t>
  </si>
  <si>
    <t>και λεγοντες ανδρες</t>
  </si>
  <si>
    <t>και φωνουντες ανδρες</t>
  </si>
  <si>
    <t>Bezae corrects to ομοιοιπαθης, though the extra ι is faded enough it might reasonably be taken for an accompanying correction</t>
  </si>
  <si>
    <t>επι τον θν ζωντα</t>
  </si>
  <si>
    <r>
      <t xml:space="preserve">επι </t>
    </r>
    <r>
      <rPr>
        <b/>
        <sz val="11"/>
        <color theme="1"/>
        <rFont val="Calibri"/>
        <family val="2"/>
        <scheme val="minor"/>
      </rPr>
      <t>τον</t>
    </r>
    <r>
      <rPr>
        <sz val="11"/>
        <color theme="1"/>
        <rFont val="Calibri"/>
        <family val="2"/>
        <scheme val="minor"/>
      </rPr>
      <t xml:space="preserve"> θν ζωντα</t>
    </r>
  </si>
  <si>
    <r>
      <t xml:space="preserve">επι </t>
    </r>
    <r>
      <rPr>
        <b/>
        <sz val="11"/>
        <color theme="1"/>
        <rFont val="Calibri"/>
        <family val="2"/>
        <scheme val="minor"/>
      </rPr>
      <t>τον</t>
    </r>
    <r>
      <rPr>
        <sz val="11"/>
        <color theme="1"/>
        <rFont val="Calibri"/>
        <family val="2"/>
        <scheme val="minor"/>
      </rPr>
      <t xml:space="preserve"> θεον τον ζωντα</t>
    </r>
  </si>
  <si>
    <r>
      <t xml:space="preserve">επι τον θεον </t>
    </r>
    <r>
      <rPr>
        <b/>
        <sz val="11"/>
        <color theme="1"/>
        <rFont val="Calibri"/>
        <family val="2"/>
        <scheme val="minor"/>
      </rPr>
      <t>τον</t>
    </r>
    <r>
      <rPr>
        <sz val="11"/>
        <color theme="1"/>
        <rFont val="Calibri"/>
        <family val="2"/>
        <scheme val="minor"/>
      </rPr>
      <t xml:space="preserve"> ζωντα</t>
    </r>
  </si>
  <si>
    <t>Bezae marks this τον for deletion</t>
  </si>
  <si>
    <t>ος εν ταις</t>
  </si>
  <si>
    <t>ο εν ταις</t>
  </si>
  <si>
    <r>
      <rPr>
        <b/>
        <sz val="11"/>
        <color theme="1"/>
        <rFont val="Calibri"/>
        <family val="2"/>
        <scheme val="minor"/>
      </rPr>
      <t>ειασεν</t>
    </r>
    <r>
      <rPr>
        <sz val="11"/>
        <color theme="1"/>
        <rFont val="Calibri"/>
        <family val="2"/>
        <scheme val="minor"/>
      </rPr>
      <t xml:space="preserve"> παντα τα εθνη</t>
    </r>
  </si>
  <si>
    <r>
      <rPr>
        <b/>
        <sz val="11"/>
        <color theme="1"/>
        <rFont val="Calibri"/>
        <family val="2"/>
        <scheme val="minor"/>
      </rPr>
      <t>ειασε</t>
    </r>
    <r>
      <rPr>
        <sz val="11"/>
        <color theme="1"/>
        <rFont val="Calibri"/>
        <family val="2"/>
        <scheme val="minor"/>
      </rPr>
      <t xml:space="preserve"> κατα τα εθνη</t>
    </r>
  </si>
  <si>
    <r>
      <t xml:space="preserve">ειασε </t>
    </r>
    <r>
      <rPr>
        <b/>
        <sz val="11"/>
        <color theme="1"/>
        <rFont val="Calibri"/>
        <family val="2"/>
        <scheme val="minor"/>
      </rPr>
      <t>κατα</t>
    </r>
    <r>
      <rPr>
        <sz val="11"/>
        <color theme="1"/>
        <rFont val="Calibri"/>
        <family val="2"/>
        <scheme val="minor"/>
      </rPr>
      <t xml:space="preserve"> τα εθνη</t>
    </r>
  </si>
  <si>
    <r>
      <t xml:space="preserve">ειασεν </t>
    </r>
    <r>
      <rPr>
        <b/>
        <sz val="11"/>
        <color theme="1"/>
        <rFont val="Calibri"/>
        <family val="2"/>
        <scheme val="minor"/>
      </rPr>
      <t>παντα</t>
    </r>
    <r>
      <rPr>
        <sz val="11"/>
        <color theme="1"/>
        <rFont val="Calibri"/>
        <family val="2"/>
        <scheme val="minor"/>
      </rPr>
      <t xml:space="preserve"> τα εθνη</t>
    </r>
  </si>
  <si>
    <t>ευφροσυνης τας καρδιας</t>
  </si>
  <si>
    <t>ευφροσυνης καρδιας</t>
  </si>
  <si>
    <t>διατριβοντων αυτων</t>
  </si>
  <si>
    <t>Bezae inserts δε between these words</t>
  </si>
  <si>
    <t>αντιοχειας επισεισαντες</t>
  </si>
  <si>
    <r>
      <rPr>
        <b/>
        <sz val="11"/>
        <color theme="1"/>
        <rFont val="Calibri"/>
        <family val="2"/>
        <scheme val="minor"/>
      </rPr>
      <t>αντιοχιας</t>
    </r>
    <r>
      <rPr>
        <sz val="11"/>
        <color theme="1"/>
        <rFont val="Calibri"/>
        <family val="2"/>
        <scheme val="minor"/>
      </rPr>
      <t xml:space="preserve"> και επεισεισαντες</t>
    </r>
  </si>
  <si>
    <r>
      <rPr>
        <b/>
        <sz val="11"/>
        <color theme="1"/>
        <rFont val="Calibri"/>
        <family val="2"/>
        <scheme val="minor"/>
      </rPr>
      <t>αντιοχειας</t>
    </r>
    <r>
      <rPr>
        <sz val="11"/>
        <color theme="1"/>
        <rFont val="Calibri"/>
        <family val="2"/>
        <scheme val="minor"/>
      </rPr>
      <t xml:space="preserve"> επισεισαντες</t>
    </r>
  </si>
  <si>
    <r>
      <t xml:space="preserve">αντιοχιας </t>
    </r>
    <r>
      <rPr>
        <b/>
        <sz val="11"/>
        <color theme="1"/>
        <rFont val="Calibri"/>
        <family val="2"/>
        <scheme val="minor"/>
      </rPr>
      <t>και</t>
    </r>
    <r>
      <rPr>
        <sz val="11"/>
        <color theme="1"/>
        <rFont val="Calibri"/>
        <family val="2"/>
        <scheme val="minor"/>
      </rPr>
      <t xml:space="preserve"> επεισεισαντες</t>
    </r>
  </si>
  <si>
    <r>
      <t xml:space="preserve">αντιοχιας και </t>
    </r>
    <r>
      <rPr>
        <b/>
        <sz val="11"/>
        <color theme="1"/>
        <rFont val="Calibri"/>
        <family val="2"/>
        <scheme val="minor"/>
      </rPr>
      <t>επεισεισαντες</t>
    </r>
  </si>
  <si>
    <r>
      <t xml:space="preserve">αντιοχειας </t>
    </r>
    <r>
      <rPr>
        <b/>
        <sz val="11"/>
        <color theme="1"/>
        <rFont val="Calibri"/>
        <family val="2"/>
        <scheme val="minor"/>
      </rPr>
      <t>επισεισαντες</t>
    </r>
  </si>
  <si>
    <t>λιθασαντες τον παυλον</t>
  </si>
  <si>
    <t>λιθασαντες τον τον παυλον</t>
  </si>
  <si>
    <t>κυκλωσαντες δε</t>
  </si>
  <si>
    <t>κυκλωσαντων δε</t>
  </si>
  <si>
    <t>μαθητων αυτον αναστας</t>
  </si>
  <si>
    <t>μαθητων αυτου αναστας</t>
  </si>
  <si>
    <t>και τη επαυριον</t>
  </si>
  <si>
    <t>και την επαυριον</t>
  </si>
  <si>
    <t>ευαγγελιζομενοι δε τους</t>
  </si>
  <si>
    <t>ευαγγελιζομενοι τε τους</t>
  </si>
  <si>
    <t xml:space="preserve">παρακαλουντες τε εμμενειν </t>
  </si>
  <si>
    <t xml:space="preserve">παρακαλουντες εμμενειν </t>
  </si>
  <si>
    <t>ημας εισελθειν</t>
  </si>
  <si>
    <t>ημας ελθειν</t>
  </si>
  <si>
    <t xml:space="preserve">κατα εκκλησιαν </t>
  </si>
  <si>
    <t xml:space="preserve">κατ εκκλησιαν </t>
  </si>
  <si>
    <r>
      <rPr>
        <b/>
        <sz val="11"/>
        <color theme="1"/>
        <rFont val="Calibri"/>
        <family val="2"/>
        <scheme val="minor"/>
      </rPr>
      <t>ευαγγελιζομενοι</t>
    </r>
    <r>
      <rPr>
        <sz val="11"/>
        <color theme="1"/>
        <rFont val="Calibri"/>
        <family val="2"/>
        <scheme val="minor"/>
      </rPr>
      <t xml:space="preserve"> αυτους (26) κακειθεν</t>
    </r>
  </si>
  <si>
    <r>
      <rPr>
        <b/>
        <sz val="11"/>
        <color theme="1"/>
        <rFont val="Calibri"/>
        <family val="2"/>
        <scheme val="minor"/>
      </rPr>
      <t>ευαγγελισαμενοι</t>
    </r>
    <r>
      <rPr>
        <sz val="11"/>
        <color theme="1"/>
        <rFont val="Calibri"/>
        <family val="2"/>
        <scheme val="minor"/>
      </rPr>
      <t xml:space="preserve"> αυτοις (26) κακειθεν</t>
    </r>
  </si>
  <si>
    <r>
      <t xml:space="preserve">ευαγγελιζομενοι </t>
    </r>
    <r>
      <rPr>
        <b/>
        <sz val="11"/>
        <color theme="1"/>
        <rFont val="Calibri"/>
        <family val="2"/>
        <scheme val="minor"/>
      </rPr>
      <t>αυτους</t>
    </r>
    <r>
      <rPr>
        <sz val="11"/>
        <color theme="1"/>
        <rFont val="Calibri"/>
        <family val="2"/>
        <scheme val="minor"/>
      </rPr>
      <t xml:space="preserve"> (26) κακειθεν</t>
    </r>
  </si>
  <si>
    <r>
      <t xml:space="preserve">ευαγγελισαμενοι </t>
    </r>
    <r>
      <rPr>
        <b/>
        <sz val="11"/>
        <color theme="1"/>
        <rFont val="Calibri"/>
        <family val="2"/>
        <scheme val="minor"/>
      </rPr>
      <t>αυτοις</t>
    </r>
    <r>
      <rPr>
        <sz val="11"/>
        <color theme="1"/>
        <rFont val="Calibri"/>
        <family val="2"/>
        <scheme val="minor"/>
      </rPr>
      <t xml:space="preserve"> (26) κακειθεν</t>
    </r>
  </si>
  <si>
    <t>εποιησεν εν αυτοις και οτι</t>
  </si>
  <si>
    <t>εποιησεν αυτοις μετα των ψυχων αυτων και οτι</t>
  </si>
  <si>
    <r>
      <t xml:space="preserve">εποιησεν </t>
    </r>
    <r>
      <rPr>
        <b/>
        <sz val="11"/>
        <color theme="1"/>
        <rFont val="Calibri"/>
        <family val="2"/>
        <scheme val="minor"/>
      </rPr>
      <t>εν</t>
    </r>
    <r>
      <rPr>
        <sz val="11"/>
        <color theme="1"/>
        <rFont val="Calibri"/>
        <family val="2"/>
        <scheme val="minor"/>
      </rPr>
      <t xml:space="preserve"> αυτοις και οτι</t>
    </r>
  </si>
  <si>
    <r>
      <t xml:space="preserve">εποιησεν </t>
    </r>
    <r>
      <rPr>
        <b/>
        <sz val="11"/>
        <color theme="1"/>
        <rFont val="Calibri"/>
        <family val="2"/>
        <scheme val="minor"/>
      </rPr>
      <t>αυτοις</t>
    </r>
    <r>
      <rPr>
        <sz val="11"/>
        <color theme="1"/>
        <rFont val="Calibri"/>
        <family val="2"/>
        <scheme val="minor"/>
      </rPr>
      <t xml:space="preserve"> μετα των ψυχων αυτων και οτι</t>
    </r>
  </si>
  <si>
    <r>
      <t xml:space="preserve">εποιησεν εν </t>
    </r>
    <r>
      <rPr>
        <b/>
        <sz val="11"/>
        <color theme="1"/>
        <rFont val="Calibri"/>
        <family val="2"/>
        <scheme val="minor"/>
      </rPr>
      <t>αυτοις</t>
    </r>
    <r>
      <rPr>
        <sz val="11"/>
        <color theme="1"/>
        <rFont val="Calibri"/>
        <family val="2"/>
        <scheme val="minor"/>
      </rPr>
      <t xml:space="preserve"> και οτι</t>
    </r>
  </si>
  <si>
    <r>
      <t xml:space="preserve">εποιησεν αυτοις </t>
    </r>
    <r>
      <rPr>
        <b/>
        <sz val="11"/>
        <color theme="1"/>
        <rFont val="Calibri"/>
        <family val="2"/>
        <scheme val="minor"/>
      </rPr>
      <t>μετα των ψυχων αυτων</t>
    </r>
    <r>
      <rPr>
        <sz val="11"/>
        <color theme="1"/>
        <rFont val="Calibri"/>
        <family val="2"/>
        <scheme val="minor"/>
      </rPr>
      <t xml:space="preserve"> και οτι</t>
    </r>
  </si>
  <si>
    <t>ηνυξεν τοις εθνεσιν</t>
  </si>
  <si>
    <t>ηνυξε τοις εθνεσιν</t>
  </si>
  <si>
    <t>δυνασθε σωθηναι</t>
  </si>
  <si>
    <t>δυνασθαι σωθηναι</t>
  </si>
  <si>
    <t>ιερουσαλημ περι</t>
  </si>
  <si>
    <t>ιερουσαλημ οπως κριθωσιν επ αυτοις περι</t>
  </si>
  <si>
    <r>
      <rPr>
        <b/>
        <sz val="11"/>
        <color theme="1"/>
        <rFont val="Calibri"/>
        <family val="2"/>
        <scheme val="minor"/>
      </rPr>
      <t>παρεδοθησαν</t>
    </r>
    <r>
      <rPr>
        <sz val="11"/>
        <color theme="1"/>
        <rFont val="Calibri"/>
        <family val="2"/>
        <scheme val="minor"/>
      </rPr>
      <t xml:space="preserve"> μεγως </t>
    </r>
  </si>
  <si>
    <r>
      <rPr>
        <b/>
        <sz val="11"/>
        <color theme="1"/>
        <rFont val="Calibri"/>
        <family val="2"/>
        <scheme val="minor"/>
      </rPr>
      <t>παρεδεχθησαν</t>
    </r>
    <r>
      <rPr>
        <sz val="11"/>
        <color theme="1"/>
        <rFont val="Calibri"/>
        <family val="2"/>
        <scheme val="minor"/>
      </rPr>
      <t xml:space="preserve"> μεγαλως</t>
    </r>
  </si>
  <si>
    <r>
      <t xml:space="preserve">παρεδοθησαν </t>
    </r>
    <r>
      <rPr>
        <b/>
        <sz val="11"/>
        <color theme="1"/>
        <rFont val="Calibri"/>
        <family val="2"/>
        <scheme val="minor"/>
      </rPr>
      <t>μεγως</t>
    </r>
    <r>
      <rPr>
        <sz val="11"/>
        <color theme="1"/>
        <rFont val="Calibri"/>
        <family val="2"/>
        <scheme val="minor"/>
      </rPr>
      <t xml:space="preserve"> </t>
    </r>
  </si>
  <si>
    <r>
      <t xml:space="preserve">παρεδεχθησαν </t>
    </r>
    <r>
      <rPr>
        <b/>
        <sz val="11"/>
        <color theme="1"/>
        <rFont val="Calibri"/>
        <family val="2"/>
        <scheme val="minor"/>
      </rPr>
      <t>μεγαλως</t>
    </r>
  </si>
  <si>
    <t>(4) αυτων (5) οι δε παραγγειλαντες αυτοις αναβαινειν προς τους πρεσβυτερους εξανεστησαν</t>
  </si>
  <si>
    <t>(4) αυτων (5) εξανεστησαν</t>
  </si>
  <si>
    <t>παραγγελλειν δε τηρειν</t>
  </si>
  <si>
    <t>Bezae corrects δε -&gt; τε</t>
  </si>
  <si>
    <t xml:space="preserve">του λογου </t>
  </si>
  <si>
    <t xml:space="preserve">του λολογου </t>
  </si>
  <si>
    <t>πολλης συνζητησεως</t>
  </si>
  <si>
    <t>πολλης δε συνζητησεως</t>
  </si>
  <si>
    <t>γενομενης αναστας πετρος ειπεν</t>
  </si>
  <si>
    <r>
      <t xml:space="preserve">γενομενης </t>
    </r>
    <r>
      <rPr>
        <b/>
        <sz val="11"/>
        <color theme="1"/>
        <rFont val="Calibri"/>
        <family val="2"/>
        <scheme val="minor"/>
      </rPr>
      <t>ανεστησεν</t>
    </r>
    <r>
      <rPr>
        <sz val="11"/>
        <color theme="1"/>
        <rFont val="Calibri"/>
        <family val="2"/>
        <scheme val="minor"/>
      </rPr>
      <t xml:space="preserve"> εν πνι πετρος και ειπεν</t>
    </r>
  </si>
  <si>
    <r>
      <t xml:space="preserve">γενομενης </t>
    </r>
    <r>
      <rPr>
        <b/>
        <sz val="11"/>
        <color theme="1"/>
        <rFont val="Calibri"/>
        <family val="2"/>
        <scheme val="minor"/>
      </rPr>
      <t>αναστας</t>
    </r>
    <r>
      <rPr>
        <sz val="11"/>
        <color theme="1"/>
        <rFont val="Calibri"/>
        <family val="2"/>
        <scheme val="minor"/>
      </rPr>
      <t xml:space="preserve"> πετρος ειπεν</t>
    </r>
  </si>
  <si>
    <r>
      <t xml:space="preserve">γενομενης ανεστησεν </t>
    </r>
    <r>
      <rPr>
        <b/>
        <sz val="11"/>
        <color theme="1"/>
        <rFont val="Calibri"/>
        <family val="2"/>
        <scheme val="minor"/>
      </rPr>
      <t>εν πνι</t>
    </r>
    <r>
      <rPr>
        <sz val="11"/>
        <color theme="1"/>
        <rFont val="Calibri"/>
        <family val="2"/>
        <scheme val="minor"/>
      </rPr>
      <t xml:space="preserve"> πετρος και ειπεν</t>
    </r>
  </si>
  <si>
    <r>
      <t xml:space="preserve">γενομενης ανεστησεν εν πνι πετρος </t>
    </r>
    <r>
      <rPr>
        <b/>
        <sz val="11"/>
        <color theme="1"/>
        <rFont val="Calibri"/>
        <family val="2"/>
        <scheme val="minor"/>
      </rPr>
      <t>και</t>
    </r>
    <r>
      <rPr>
        <sz val="11"/>
        <color theme="1"/>
        <rFont val="Calibri"/>
        <family val="2"/>
        <scheme val="minor"/>
      </rPr>
      <t xml:space="preserve"> ειπεν</t>
    </r>
  </si>
  <si>
    <t>αρχαιων εν ημειν</t>
  </si>
  <si>
    <t>αρχαιων ημειν</t>
  </si>
  <si>
    <t>δια του στοματος</t>
  </si>
  <si>
    <t>δια στοματος</t>
  </si>
  <si>
    <t>καρδιογνωστης θεος</t>
  </si>
  <si>
    <t>καρδιογνωστης ο θς</t>
  </si>
  <si>
    <t>αυτοις δους επ αυτους</t>
  </si>
  <si>
    <t>αυτοις δου επ αυτους</t>
  </si>
  <si>
    <t>πιραζετε τον θν</t>
  </si>
  <si>
    <t>πιραζετε αυτον τον θεον</t>
  </si>
  <si>
    <t>χριστου πιστευομεν σωθηναι</t>
  </si>
  <si>
    <t>χρυ πιστευσομεν σωθηναι</t>
  </si>
  <si>
    <t>και ουτως συνφωνουσιν οι λογοι</t>
  </si>
  <si>
    <t>και ουτως συνφωνησουσιν οι λογοι</t>
  </si>
  <si>
    <r>
      <t xml:space="preserve">και </t>
    </r>
    <r>
      <rPr>
        <b/>
        <sz val="11"/>
        <color theme="1"/>
        <rFont val="Calibri"/>
        <family val="2"/>
        <scheme val="minor"/>
      </rPr>
      <t>ουτως</t>
    </r>
    <r>
      <rPr>
        <sz val="11"/>
        <color theme="1"/>
        <rFont val="Calibri"/>
        <family val="2"/>
        <scheme val="minor"/>
      </rPr>
      <t xml:space="preserve"> συνφωνησουσιν οι λογοι</t>
    </r>
  </si>
  <si>
    <r>
      <t xml:space="preserve">και </t>
    </r>
    <r>
      <rPr>
        <b/>
        <sz val="11"/>
        <color theme="1"/>
        <rFont val="Calibri"/>
        <family val="2"/>
        <scheme val="minor"/>
      </rPr>
      <t>ουτως</t>
    </r>
    <r>
      <rPr>
        <sz val="11"/>
        <color theme="1"/>
        <rFont val="Calibri"/>
        <family val="2"/>
        <scheme val="minor"/>
      </rPr>
      <t xml:space="preserve"> συνφωνουσιν οι λογοι</t>
    </r>
  </si>
  <si>
    <t>Bezae corrects to τουτω</t>
  </si>
  <si>
    <t>μετα δε ταυτα</t>
  </si>
  <si>
    <t>Bezae erases δε</t>
  </si>
  <si>
    <t>κς ποιησει ταυτα</t>
  </si>
  <si>
    <t>επι τον θν (20) αλλα</t>
  </si>
  <si>
    <t>επι τον κυριον (20) αλλα</t>
  </si>
  <si>
    <t>τοτε εδοξεν τοις</t>
  </si>
  <si>
    <t>τοτε εδοξασεν τοις</t>
  </si>
  <si>
    <t xml:space="preserve">επιστολην περιεχουσαν ταδε δια χειρος αυτων οι αποστολοι </t>
  </si>
  <si>
    <t>επιστολην δια χειρος αυτων περιεχουσαν ταδε οι αποστολοι</t>
  </si>
  <si>
    <t>τοις κατα την αντιοχειαν</t>
  </si>
  <si>
    <t>τοις κα την αντιοχειαν</t>
  </si>
  <si>
    <t>κιλειαν τοις</t>
  </si>
  <si>
    <r>
      <rPr>
        <b/>
        <sz val="11"/>
        <color theme="1"/>
        <rFont val="Calibri"/>
        <family val="2"/>
        <scheme val="minor"/>
      </rPr>
      <t>κιλειαν</t>
    </r>
    <r>
      <rPr>
        <sz val="11"/>
        <color theme="1"/>
        <rFont val="Calibri"/>
        <family val="2"/>
        <scheme val="minor"/>
      </rPr>
      <t xml:space="preserve"> τοις</t>
    </r>
  </si>
  <si>
    <r>
      <rPr>
        <b/>
        <sz val="11"/>
        <color theme="1"/>
        <rFont val="Calibri"/>
        <family val="2"/>
        <scheme val="minor"/>
      </rPr>
      <t>κιλικιαν</t>
    </r>
    <r>
      <rPr>
        <sz val="11"/>
        <color theme="1"/>
        <rFont val="Calibri"/>
        <family val="2"/>
        <scheme val="minor"/>
      </rPr>
      <t xml:space="preserve"> και τοις</t>
    </r>
  </si>
  <si>
    <r>
      <t xml:space="preserve">κιλικιαν </t>
    </r>
    <r>
      <rPr>
        <b/>
        <sz val="11"/>
        <color theme="1"/>
        <rFont val="Calibri"/>
        <family val="2"/>
        <scheme val="minor"/>
      </rPr>
      <t>και</t>
    </r>
    <r>
      <rPr>
        <sz val="11"/>
        <color theme="1"/>
        <rFont val="Calibri"/>
        <family val="2"/>
        <scheme val="minor"/>
      </rPr>
      <t xml:space="preserve"> τοις</t>
    </r>
  </si>
  <si>
    <t>εξελθοντες εταραξαν</t>
  </si>
  <si>
    <t>εξελθοντες εξεταραξαν</t>
  </si>
  <si>
    <t>διεστειλαμεθα</t>
  </si>
  <si>
    <t>αγαπητοις ημων</t>
  </si>
  <si>
    <t>αγαπητοις υμων</t>
  </si>
  <si>
    <r>
      <rPr>
        <b/>
        <sz val="11"/>
        <color theme="1"/>
        <rFont val="Calibri"/>
        <family val="2"/>
        <scheme val="minor"/>
      </rPr>
      <t>απαγγελουντας</t>
    </r>
    <r>
      <rPr>
        <sz val="11"/>
        <color theme="1"/>
        <rFont val="Calibri"/>
        <family val="2"/>
        <scheme val="minor"/>
      </rPr>
      <t xml:space="preserve"> ταυτα</t>
    </r>
  </si>
  <si>
    <r>
      <rPr>
        <b/>
        <sz val="11"/>
        <color theme="1"/>
        <rFont val="Calibri"/>
        <family val="2"/>
        <scheme val="minor"/>
      </rPr>
      <t>απαγγελοντας</t>
    </r>
    <r>
      <rPr>
        <sz val="11"/>
        <color theme="1"/>
        <rFont val="Calibri"/>
        <family val="2"/>
        <scheme val="minor"/>
      </rPr>
      <t xml:space="preserve"> τα αυτα</t>
    </r>
  </si>
  <si>
    <r>
      <t xml:space="preserve">απαγγελουντας </t>
    </r>
    <r>
      <rPr>
        <b/>
        <sz val="11"/>
        <color theme="1"/>
        <rFont val="Calibri"/>
        <family val="2"/>
        <scheme val="minor"/>
      </rPr>
      <t>ταυτα</t>
    </r>
  </si>
  <si>
    <r>
      <t xml:space="preserve">απαγγελοντας </t>
    </r>
    <r>
      <rPr>
        <b/>
        <sz val="11"/>
        <color theme="1"/>
        <rFont val="Calibri"/>
        <family val="2"/>
        <scheme val="minor"/>
      </rPr>
      <t>τα αυτα</t>
    </r>
  </si>
  <si>
    <t>επιτιθεσθαι  ημειν</t>
  </si>
  <si>
    <t>επιτιθεσθαι υμειν</t>
  </si>
  <si>
    <t>πλην των τουτων επαναγκες</t>
  </si>
  <si>
    <t>πλην τουτων επαναγκες</t>
  </si>
  <si>
    <t>Bezae inserts a των after τουτων</t>
  </si>
  <si>
    <t>πορνιας</t>
  </si>
  <si>
    <r>
      <t xml:space="preserve">γεινεσθαι </t>
    </r>
    <r>
      <rPr>
        <b/>
        <sz val="11"/>
        <color theme="1"/>
        <rFont val="Calibri"/>
        <family val="2"/>
        <scheme val="minor"/>
      </rPr>
      <t>ετερω</t>
    </r>
    <r>
      <rPr>
        <sz val="11"/>
        <color theme="1"/>
        <rFont val="Calibri"/>
        <family val="2"/>
        <scheme val="minor"/>
      </rPr>
      <t xml:space="preserve"> μη ποιειν αφ ων</t>
    </r>
  </si>
  <si>
    <r>
      <t xml:space="preserve">γεινεσθαι </t>
    </r>
    <r>
      <rPr>
        <b/>
        <sz val="11"/>
        <color theme="1"/>
        <rFont val="Calibri"/>
        <family val="2"/>
        <scheme val="minor"/>
      </rPr>
      <t>ετεροις</t>
    </r>
    <r>
      <rPr>
        <sz val="11"/>
        <color theme="1"/>
        <rFont val="Calibri"/>
        <family val="2"/>
        <scheme val="minor"/>
      </rPr>
      <t xml:space="preserve"> μη ποιειτε αφ ων</t>
    </r>
  </si>
  <si>
    <r>
      <t xml:space="preserve">γεινεσθαι ετερω μη </t>
    </r>
    <r>
      <rPr>
        <b/>
        <sz val="11"/>
        <color theme="1"/>
        <rFont val="Calibri"/>
        <family val="2"/>
        <scheme val="minor"/>
      </rPr>
      <t>ποιειν</t>
    </r>
    <r>
      <rPr>
        <sz val="11"/>
        <color theme="1"/>
        <rFont val="Calibri"/>
        <family val="2"/>
        <scheme val="minor"/>
      </rPr>
      <t xml:space="preserve"> αφ ων</t>
    </r>
  </si>
  <si>
    <r>
      <t xml:space="preserve">γεινεσθαι ετεροις μη </t>
    </r>
    <r>
      <rPr>
        <b/>
        <sz val="11"/>
        <color theme="1"/>
        <rFont val="Calibri"/>
        <family val="2"/>
        <scheme val="minor"/>
      </rPr>
      <t>ποιειτε</t>
    </r>
    <r>
      <rPr>
        <sz val="11"/>
        <color theme="1"/>
        <rFont val="Calibri"/>
        <family val="2"/>
        <scheme val="minor"/>
      </rPr>
      <t xml:space="preserve"> αφ ων</t>
    </r>
  </si>
  <si>
    <t>Bezae corrects to ποιειται</t>
  </si>
  <si>
    <t>απολυθεντες εν ημεραις ολιγαις κατηλθον</t>
  </si>
  <si>
    <t>Bezae marks for deletion εν ημεραις ολιγαις</t>
  </si>
  <si>
    <t>συναγαγοντες</t>
  </si>
  <si>
    <t>αδελφους και επεστηριξαν (33) ποιησαντες</t>
  </si>
  <si>
    <t>αδελφους οντες πλ[ηρ]εις (33) ποιησαντες</t>
  </si>
  <si>
    <t xml:space="preserve">επιμειναι αυτους μονος δε ιουδας επορευθη (35) ο δε </t>
  </si>
  <si>
    <r>
      <t xml:space="preserve">επιμειναι </t>
    </r>
    <r>
      <rPr>
        <b/>
        <sz val="11"/>
        <color theme="1"/>
        <rFont val="Calibri"/>
        <family val="2"/>
        <scheme val="minor"/>
      </rPr>
      <t>προς</t>
    </r>
    <r>
      <rPr>
        <sz val="11"/>
        <color theme="1"/>
        <rFont val="Calibri"/>
        <family val="2"/>
        <scheme val="minor"/>
      </rPr>
      <t xml:space="preserve"> αυτους αυτου (35) ο δε </t>
    </r>
  </si>
  <si>
    <r>
      <t xml:space="preserve">επιμειναι αυτους </t>
    </r>
    <r>
      <rPr>
        <b/>
        <sz val="11"/>
        <color theme="1"/>
        <rFont val="Calibri"/>
        <family val="2"/>
        <scheme val="minor"/>
      </rPr>
      <t>μονος δε ιουδας επορευθη</t>
    </r>
    <r>
      <rPr>
        <sz val="11"/>
        <color theme="1"/>
        <rFont val="Calibri"/>
        <family val="2"/>
        <scheme val="minor"/>
      </rPr>
      <t xml:space="preserve"> (35) ο δε </t>
    </r>
  </si>
  <si>
    <r>
      <t xml:space="preserve">επιμειναι προς αυτους </t>
    </r>
    <r>
      <rPr>
        <b/>
        <sz val="11"/>
        <color theme="1"/>
        <rFont val="Calibri"/>
        <family val="2"/>
        <scheme val="minor"/>
      </rPr>
      <t>αυτου</t>
    </r>
    <r>
      <rPr>
        <sz val="11"/>
        <color theme="1"/>
        <rFont val="Calibri"/>
        <family val="2"/>
        <scheme val="minor"/>
      </rPr>
      <t xml:space="preserve"> (35) ο δε </t>
    </r>
  </si>
  <si>
    <t>ευαγγελιζομενοι μετα και ετερων</t>
  </si>
  <si>
    <t>ευαγγελιζομενοι και μετα ετερων</t>
  </si>
  <si>
    <t>λογον του (36) μετα</t>
  </si>
  <si>
    <t>λογον του κυριου (36) μετα</t>
  </si>
  <si>
    <r>
      <t xml:space="preserve">εν </t>
    </r>
    <r>
      <rPr>
        <b/>
        <sz val="11"/>
        <color theme="1"/>
        <rFont val="Calibri"/>
        <family val="2"/>
        <scheme val="minor"/>
      </rPr>
      <t>οις</t>
    </r>
    <r>
      <rPr>
        <sz val="11"/>
        <color theme="1"/>
        <rFont val="Calibri"/>
        <family val="2"/>
        <scheme val="minor"/>
      </rPr>
      <t xml:space="preserve"> κατηνγειλαμεν</t>
    </r>
  </si>
  <si>
    <r>
      <t xml:space="preserve">εν </t>
    </r>
    <r>
      <rPr>
        <b/>
        <sz val="11"/>
        <color theme="1"/>
        <rFont val="Calibri"/>
        <family val="2"/>
        <scheme val="minor"/>
      </rPr>
      <t>αις</t>
    </r>
    <r>
      <rPr>
        <sz val="11"/>
        <color theme="1"/>
        <rFont val="Calibri"/>
        <family val="2"/>
        <scheme val="minor"/>
      </rPr>
      <t xml:space="preserve"> καταγγειλαμεν</t>
    </r>
  </si>
  <si>
    <r>
      <t xml:space="preserve">εν αις </t>
    </r>
    <r>
      <rPr>
        <b/>
        <sz val="11"/>
        <color theme="1"/>
        <rFont val="Calibri"/>
        <family val="2"/>
        <scheme val="minor"/>
      </rPr>
      <t>καταγγειλαμεν</t>
    </r>
  </si>
  <si>
    <r>
      <t xml:space="preserve">εν οις </t>
    </r>
    <r>
      <rPr>
        <b/>
        <sz val="11"/>
        <color theme="1"/>
        <rFont val="Calibri"/>
        <family val="2"/>
        <scheme val="minor"/>
      </rPr>
      <t>κατηνγειλαμεν</t>
    </r>
  </si>
  <si>
    <t>B.10.3 = κατηγγειλαμεν</t>
  </si>
  <si>
    <t>συνπαραλαβειν ιωανην</t>
  </si>
  <si>
    <r>
      <t xml:space="preserve">συνπαραλαβειν </t>
    </r>
    <r>
      <rPr>
        <b/>
        <sz val="11"/>
        <color theme="1"/>
        <rFont val="Calibri"/>
        <family val="2"/>
        <scheme val="minor"/>
      </rPr>
      <t>τον</t>
    </r>
    <r>
      <rPr>
        <sz val="11"/>
        <color theme="1"/>
        <rFont val="Calibri"/>
        <family val="2"/>
        <scheme val="minor"/>
      </rPr>
      <t xml:space="preserve"> ιωαννην</t>
    </r>
  </si>
  <si>
    <r>
      <t xml:space="preserve">συνπαραλαβειν τον </t>
    </r>
    <r>
      <rPr>
        <b/>
        <sz val="11"/>
        <color theme="1"/>
        <rFont val="Calibri"/>
        <family val="2"/>
        <scheme val="minor"/>
      </rPr>
      <t>ιωαννην</t>
    </r>
  </si>
  <si>
    <r>
      <t xml:space="preserve">συνπαραλαβειν </t>
    </r>
    <r>
      <rPr>
        <b/>
        <sz val="11"/>
        <color theme="1"/>
        <rFont val="Calibri"/>
        <family val="2"/>
        <scheme val="minor"/>
      </rPr>
      <t>ιωανην</t>
    </r>
  </si>
  <si>
    <t xml:space="preserve">μαρκον επλευσεν </t>
  </si>
  <si>
    <r>
      <t xml:space="preserve">μαρκον </t>
    </r>
    <r>
      <rPr>
        <b/>
        <sz val="11"/>
        <color theme="1"/>
        <rFont val="Calibri"/>
        <family val="2"/>
        <scheme val="minor"/>
      </rPr>
      <t>εκ</t>
    </r>
    <r>
      <rPr>
        <sz val="11"/>
        <color theme="1"/>
        <rFont val="Calibri"/>
        <family val="2"/>
        <scheme val="minor"/>
      </rPr>
      <t xml:space="preserve"> εκεπλευσεν </t>
    </r>
  </si>
  <si>
    <r>
      <t xml:space="preserve">μαρκον εκ </t>
    </r>
    <r>
      <rPr>
        <b/>
        <sz val="11"/>
        <color theme="1"/>
        <rFont val="Calibri"/>
        <family val="2"/>
        <scheme val="minor"/>
      </rPr>
      <t>εκεπλευσεν</t>
    </r>
    <r>
      <rPr>
        <sz val="11"/>
        <color theme="1"/>
        <rFont val="Calibri"/>
        <family val="2"/>
        <scheme val="minor"/>
      </rPr>
      <t xml:space="preserve"> </t>
    </r>
  </si>
  <si>
    <r>
      <t xml:space="preserve">μαρκον </t>
    </r>
    <r>
      <rPr>
        <b/>
        <sz val="11"/>
        <color theme="1"/>
        <rFont val="Calibri"/>
        <family val="2"/>
        <scheme val="minor"/>
      </rPr>
      <t>επλευσεν</t>
    </r>
    <r>
      <rPr>
        <sz val="11"/>
        <color theme="1"/>
        <rFont val="Calibri"/>
        <family val="2"/>
        <scheme val="minor"/>
      </rPr>
      <t xml:space="preserve"> </t>
    </r>
  </si>
  <si>
    <t>B.10.3 = εκπλευσεν</t>
  </si>
  <si>
    <t>χαριτι του κυριου</t>
  </si>
  <si>
    <t>και την κιλικιαν</t>
  </si>
  <si>
    <t>και κιλικιαν</t>
  </si>
  <si>
    <t xml:space="preserve">γαρ παντες </t>
  </si>
  <si>
    <t xml:space="preserve">γαρ απαντες </t>
  </si>
  <si>
    <t>εντολας αποστολων</t>
  </si>
  <si>
    <t>Bezae correction and B.10.3 insert των between these words</t>
  </si>
  <si>
    <t xml:space="preserve">διηλθον δε </t>
  </si>
  <si>
    <t>διηλθοντες δε</t>
  </si>
  <si>
    <t>γενομενην δε</t>
  </si>
  <si>
    <t>γενομενοι δε</t>
  </si>
  <si>
    <t>κατα την μυσιαν</t>
  </si>
  <si>
    <t>κατα μυσιαν</t>
  </si>
  <si>
    <t>και ειν οραματι</t>
  </si>
  <si>
    <t>και εν οραματι</t>
  </si>
  <si>
    <t>ανηρ μακεδων τις εστως</t>
  </si>
  <si>
    <r>
      <t xml:space="preserve">ανηρ </t>
    </r>
    <r>
      <rPr>
        <b/>
        <sz val="11"/>
        <color theme="1"/>
        <rFont val="Calibri"/>
        <family val="2"/>
        <scheme val="minor"/>
      </rPr>
      <t>τις</t>
    </r>
    <r>
      <rPr>
        <sz val="11"/>
        <color theme="1"/>
        <rFont val="Calibri"/>
        <family val="2"/>
        <scheme val="minor"/>
      </rPr>
      <t xml:space="preserve"> μακεδων τις ην εστως</t>
    </r>
  </si>
  <si>
    <r>
      <t xml:space="preserve">ανηρ τις μακεδων τις </t>
    </r>
    <r>
      <rPr>
        <b/>
        <sz val="11"/>
        <color theme="1"/>
        <rFont val="Calibri"/>
        <family val="2"/>
        <scheme val="minor"/>
      </rPr>
      <t>ην</t>
    </r>
    <r>
      <rPr>
        <sz val="11"/>
        <color theme="1"/>
        <rFont val="Calibri"/>
        <family val="2"/>
        <scheme val="minor"/>
      </rPr>
      <t xml:space="preserve"> εστως</t>
    </r>
  </si>
  <si>
    <t>επαυριον αχθεντες</t>
  </si>
  <si>
    <t>επαυριον αναχθεντες</t>
  </si>
  <si>
    <t>εις νεαπολιν (12) κακειθεν</t>
  </si>
  <si>
    <t>Bezae corrects νεαπολιν -&gt; νεαν πολιν</t>
  </si>
  <si>
    <r>
      <rPr>
        <b/>
        <sz val="11"/>
        <color theme="1"/>
        <rFont val="Calibri"/>
        <family val="2"/>
        <scheme val="minor"/>
      </rPr>
      <t>ημην</t>
    </r>
    <r>
      <rPr>
        <sz val="11"/>
        <color theme="1"/>
        <rFont val="Calibri"/>
        <family val="2"/>
        <scheme val="minor"/>
      </rPr>
      <t xml:space="preserve"> δε εν ταυτη τη πολει</t>
    </r>
  </si>
  <si>
    <r>
      <rPr>
        <b/>
        <sz val="11"/>
        <color theme="1"/>
        <rFont val="Calibri"/>
        <family val="2"/>
        <scheme val="minor"/>
      </rPr>
      <t>ημεν</t>
    </r>
    <r>
      <rPr>
        <sz val="11"/>
        <color theme="1"/>
        <rFont val="Calibri"/>
        <family val="2"/>
        <scheme val="minor"/>
      </rPr>
      <t xml:space="preserve"> δε εν αυτη τη πολει</t>
    </r>
  </si>
  <si>
    <r>
      <t xml:space="preserve">ημεν δε εν </t>
    </r>
    <r>
      <rPr>
        <b/>
        <sz val="11"/>
        <color theme="1"/>
        <rFont val="Calibri"/>
        <family val="2"/>
        <scheme val="minor"/>
      </rPr>
      <t>αυτη</t>
    </r>
    <r>
      <rPr>
        <sz val="11"/>
        <color theme="1"/>
        <rFont val="Calibri"/>
        <family val="2"/>
        <scheme val="minor"/>
      </rPr>
      <t xml:space="preserve"> τη πολει</t>
    </r>
  </si>
  <si>
    <r>
      <t xml:space="preserve">ημην δε εν </t>
    </r>
    <r>
      <rPr>
        <b/>
        <sz val="11"/>
        <color theme="1"/>
        <rFont val="Calibri"/>
        <family val="2"/>
        <scheme val="minor"/>
      </rPr>
      <t>ταυτη</t>
    </r>
    <r>
      <rPr>
        <sz val="11"/>
        <color theme="1"/>
        <rFont val="Calibri"/>
        <family val="2"/>
        <scheme val="minor"/>
      </rPr>
      <t xml:space="preserve"> τη πολει</t>
    </r>
  </si>
  <si>
    <r>
      <t xml:space="preserve">σεβομενη τον </t>
    </r>
    <r>
      <rPr>
        <b/>
        <sz val="11"/>
        <color theme="1"/>
        <rFont val="Calibri"/>
        <family val="2"/>
        <scheme val="minor"/>
      </rPr>
      <t>κν</t>
    </r>
    <r>
      <rPr>
        <sz val="11"/>
        <color theme="1"/>
        <rFont val="Calibri"/>
        <family val="2"/>
        <scheme val="minor"/>
      </rPr>
      <t xml:space="preserve"> ηκουσεν ης ο κς</t>
    </r>
  </si>
  <si>
    <r>
      <t xml:space="preserve">σεβομενη τον </t>
    </r>
    <r>
      <rPr>
        <b/>
        <sz val="11"/>
        <color theme="1"/>
        <rFont val="Calibri"/>
        <family val="2"/>
        <scheme val="minor"/>
      </rPr>
      <t>θεον</t>
    </r>
    <r>
      <rPr>
        <sz val="11"/>
        <color theme="1"/>
        <rFont val="Calibri"/>
        <family val="2"/>
        <scheme val="minor"/>
      </rPr>
      <t xml:space="preserve"> ηκουεν ης ο κυριος</t>
    </r>
  </si>
  <si>
    <r>
      <t xml:space="preserve">σεβομενη τον κν </t>
    </r>
    <r>
      <rPr>
        <b/>
        <sz val="11"/>
        <color theme="1"/>
        <rFont val="Calibri"/>
        <family val="2"/>
        <scheme val="minor"/>
      </rPr>
      <t>ηκουσεν</t>
    </r>
    <r>
      <rPr>
        <sz val="11"/>
        <color theme="1"/>
        <rFont val="Calibri"/>
        <family val="2"/>
        <scheme val="minor"/>
      </rPr>
      <t xml:space="preserve"> ης ο κς</t>
    </r>
  </si>
  <si>
    <r>
      <t xml:space="preserve">σεβομενη τον θεον </t>
    </r>
    <r>
      <rPr>
        <b/>
        <sz val="11"/>
        <color theme="1"/>
        <rFont val="Calibri"/>
        <family val="2"/>
        <scheme val="minor"/>
      </rPr>
      <t>ηκουεν</t>
    </r>
    <r>
      <rPr>
        <sz val="11"/>
        <color theme="1"/>
        <rFont val="Calibri"/>
        <family val="2"/>
        <scheme val="minor"/>
      </rPr>
      <t xml:space="preserve"> ης ο κυριος</t>
    </r>
  </si>
  <si>
    <t>Underlying κ not clear to me</t>
  </si>
  <si>
    <t xml:space="preserve">εδοκει προσευχη </t>
  </si>
  <si>
    <t xml:space="preserve">εδοκη προσευχη </t>
  </si>
  <si>
    <t>καρδιαν προσεχπροσεχειν</t>
  </si>
  <si>
    <t>καρδιαν προσεχειν</t>
  </si>
  <si>
    <t>παρεκαλεσεν λεγουσα</t>
  </si>
  <si>
    <t>παρεκαλεσε λεγουσα</t>
  </si>
  <si>
    <t>παρειχε τοις κυριοις δια τουτου μαντευομενη</t>
  </si>
  <si>
    <t>παρειχεν τοις κυριοις αυτης μαντευομενη</t>
  </si>
  <si>
    <r>
      <rPr>
        <b/>
        <sz val="11"/>
        <color theme="1"/>
        <rFont val="Calibri"/>
        <family val="2"/>
        <scheme val="minor"/>
      </rPr>
      <t>παρειχε</t>
    </r>
    <r>
      <rPr>
        <sz val="11"/>
        <color theme="1"/>
        <rFont val="Calibri"/>
        <family val="2"/>
        <scheme val="minor"/>
      </rPr>
      <t xml:space="preserve"> τοις κυριοις δια τουτου μαντευομενη</t>
    </r>
  </si>
  <si>
    <r>
      <rPr>
        <b/>
        <sz val="11"/>
        <color theme="1"/>
        <rFont val="Calibri"/>
        <family val="2"/>
        <scheme val="minor"/>
      </rPr>
      <t>παρειχεν</t>
    </r>
    <r>
      <rPr>
        <sz val="11"/>
        <color theme="1"/>
        <rFont val="Calibri"/>
        <family val="2"/>
        <scheme val="minor"/>
      </rPr>
      <t xml:space="preserve"> τοις κυριοις αυτης μαντευομενη</t>
    </r>
  </si>
  <si>
    <r>
      <t xml:space="preserve">παρειχε τοις κυριοις </t>
    </r>
    <r>
      <rPr>
        <b/>
        <sz val="11"/>
        <color theme="1"/>
        <rFont val="Calibri"/>
        <family val="2"/>
        <scheme val="minor"/>
      </rPr>
      <t>δια τουτου</t>
    </r>
    <r>
      <rPr>
        <sz val="11"/>
        <color theme="1"/>
        <rFont val="Calibri"/>
        <family val="2"/>
        <scheme val="minor"/>
      </rPr>
      <t xml:space="preserve"> μαντευομενη</t>
    </r>
  </si>
  <si>
    <r>
      <t xml:space="preserve">παρειχεν τοις κυριοις </t>
    </r>
    <r>
      <rPr>
        <b/>
        <sz val="11"/>
        <color theme="1"/>
        <rFont val="Calibri"/>
        <family val="2"/>
        <scheme val="minor"/>
      </rPr>
      <t>αυτης</t>
    </r>
    <r>
      <rPr>
        <sz val="11"/>
        <color theme="1"/>
        <rFont val="Calibri"/>
        <family val="2"/>
        <scheme val="minor"/>
      </rPr>
      <t xml:space="preserve"> μαντευομενη</t>
    </r>
  </si>
  <si>
    <t>ημειν εκραξεν λεγουσα</t>
  </si>
  <si>
    <r>
      <t xml:space="preserve">ημειν </t>
    </r>
    <r>
      <rPr>
        <b/>
        <sz val="11"/>
        <color theme="1"/>
        <rFont val="Calibri"/>
        <family val="2"/>
        <scheme val="minor"/>
      </rPr>
      <t>και</t>
    </r>
    <r>
      <rPr>
        <sz val="11"/>
        <color theme="1"/>
        <rFont val="Calibri"/>
        <family val="2"/>
        <scheme val="minor"/>
      </rPr>
      <t xml:space="preserve"> εκραζον λεγουσα</t>
    </r>
  </si>
  <si>
    <r>
      <t xml:space="preserve">ημειν και </t>
    </r>
    <r>
      <rPr>
        <b/>
        <sz val="11"/>
        <color theme="1"/>
        <rFont val="Calibri"/>
        <family val="2"/>
        <scheme val="minor"/>
      </rPr>
      <t>εκραζον</t>
    </r>
    <r>
      <rPr>
        <sz val="11"/>
        <color theme="1"/>
        <rFont val="Calibri"/>
        <family val="2"/>
        <scheme val="minor"/>
      </rPr>
      <t xml:space="preserve"> λεγουσα</t>
    </r>
  </si>
  <si>
    <r>
      <t xml:space="preserve">ημειν </t>
    </r>
    <r>
      <rPr>
        <b/>
        <sz val="11"/>
        <color theme="1"/>
        <rFont val="Calibri"/>
        <family val="2"/>
        <scheme val="minor"/>
      </rPr>
      <t>εκραξεν</t>
    </r>
    <r>
      <rPr>
        <sz val="11"/>
        <color theme="1"/>
        <rFont val="Calibri"/>
        <family val="2"/>
        <scheme val="minor"/>
      </rPr>
      <t xml:space="preserve"> λεγουσα</t>
    </r>
  </si>
  <si>
    <t>Bezae corrects to εκραζεν</t>
  </si>
  <si>
    <t>οι ανθρωποι δουλοι</t>
  </si>
  <si>
    <t>οι δουλοι</t>
  </si>
  <si>
    <t>ευαγγελιζοντες υμειν</t>
  </si>
  <si>
    <t>Bezae corrects ευαγγελιζοντες -&gt; ευαγγελιζοντε</t>
  </si>
  <si>
    <t>παυλος και διαπονηθεις τω πευματι ειπεν</t>
  </si>
  <si>
    <t>παυλος τω πνι και διαπονηθεις ειπεν</t>
  </si>
  <si>
    <t xml:space="preserve">εξελθης απ αυτης και ευθεως </t>
  </si>
  <si>
    <t xml:space="preserve">εξελθης και ευθεως </t>
  </si>
  <si>
    <t>απεστερησθαι</t>
  </si>
  <si>
    <t>προσαγαγοντες</t>
  </si>
  <si>
    <t>τοι στρατηγοις</t>
  </si>
  <si>
    <t>τοις στρατηγοις</t>
  </si>
  <si>
    <t>καταγγελλουσιν εθη α ουκ</t>
  </si>
  <si>
    <r>
      <t xml:space="preserve">καταγγελλουσιν </t>
    </r>
    <r>
      <rPr>
        <b/>
        <sz val="11"/>
        <color theme="1"/>
        <rFont val="Calibri"/>
        <family val="2"/>
        <scheme val="minor"/>
      </rPr>
      <t>τα</t>
    </r>
    <r>
      <rPr>
        <sz val="11"/>
        <color theme="1"/>
        <rFont val="Calibri"/>
        <family val="2"/>
        <scheme val="minor"/>
      </rPr>
      <t xml:space="preserve"> εθνη α ουκ</t>
    </r>
  </si>
  <si>
    <r>
      <t xml:space="preserve">καταγγελλουσιν τα </t>
    </r>
    <r>
      <rPr>
        <b/>
        <sz val="11"/>
        <color theme="1"/>
        <rFont val="Calibri"/>
        <family val="2"/>
        <scheme val="minor"/>
      </rPr>
      <t>εθνη</t>
    </r>
    <r>
      <rPr>
        <sz val="11"/>
        <color theme="1"/>
        <rFont val="Calibri"/>
        <family val="2"/>
        <scheme val="minor"/>
      </rPr>
      <t xml:space="preserve"> α ουκ</t>
    </r>
  </si>
  <si>
    <r>
      <t xml:space="preserve">καταγγελλουσιν </t>
    </r>
    <r>
      <rPr>
        <b/>
        <sz val="11"/>
        <color theme="1"/>
        <rFont val="Calibri"/>
        <family val="2"/>
        <scheme val="minor"/>
      </rPr>
      <t>εθη</t>
    </r>
    <r>
      <rPr>
        <sz val="11"/>
        <color theme="1"/>
        <rFont val="Calibri"/>
        <family val="2"/>
        <scheme val="minor"/>
      </rPr>
      <t xml:space="preserve"> α ουκ</t>
    </r>
  </si>
  <si>
    <t>και ο πολυς</t>
  </si>
  <si>
    <t>και πολυς</t>
  </si>
  <si>
    <t>κραζοντες και οι στρατηγοι</t>
  </si>
  <si>
    <t>κραζοντες τοτε οι στρατηγοι</t>
  </si>
  <si>
    <t>ησφαλισατο</t>
  </si>
  <si>
    <t>κατα δε το μεσονυκτιον ο παυλος</t>
  </si>
  <si>
    <t>κατα δε μεσον της νυκτας ο παυλος</t>
  </si>
  <si>
    <t>δεσμιοι</t>
  </si>
  <si>
    <t>ηνεωχθησαν τε παραχρημα</t>
  </si>
  <si>
    <t>ηνεωχθησαν δε παραχρημα</t>
  </si>
  <si>
    <t>γενομενομενος ο δεσμοφυλαξ</t>
  </si>
  <si>
    <t>γενομενος ο δεσμοφυλαξ</t>
  </si>
  <si>
    <t>φυλακης και σπασαμενος</t>
  </si>
  <si>
    <t>εισεπηδησεν και και εντρομος</t>
  </si>
  <si>
    <t>εισεπηδησεν και εντρομος</t>
  </si>
  <si>
    <t>προσεπεσεν τω παυλω</t>
  </si>
  <si>
    <t>προσεπεσεν προς τους ποδας τω παυλω</t>
  </si>
  <si>
    <t>προηγαγεν αυτους</t>
  </si>
  <si>
    <t>προσηγαγει αυτους</t>
  </si>
  <si>
    <t>ασφαλισαμενος και ειπεν</t>
  </si>
  <si>
    <t>τι δει με ποιειν</t>
  </si>
  <si>
    <t>τι με δει ποιειν</t>
  </si>
  <si>
    <t>νυκτος ελουσεν απο των</t>
  </si>
  <si>
    <t>νυκτος ελυσεν απο των</t>
  </si>
  <si>
    <t>παραχρημα (34) αναγαγων</t>
  </si>
  <si>
    <t>παραχρημα (34) και αναγαγων</t>
  </si>
  <si>
    <t>οικον αυτου παρεθηκεν</t>
  </si>
  <si>
    <t>συνηλθον οις στρατηγοι</t>
  </si>
  <si>
    <t>συνηλθον οι στρατηγοι</t>
  </si>
  <si>
    <t>δε τοις στρατηγοις</t>
  </si>
  <si>
    <t>δε αυτοι σοι στρατηγοις</t>
  </si>
  <si>
    <t>μετα πολλων φιλων εις την</t>
  </si>
  <si>
    <t>μετα φιλων πολλων εις την</t>
  </si>
  <si>
    <t>Bezae corrects to παρεκαλεσαν τε αυτους</t>
  </si>
  <si>
    <t>αμφιπολιν κατηλθον και εις απολλωνιδα</t>
  </si>
  <si>
    <t>αμφιπολιν και κατηλθον εις απολλωνιδα</t>
  </si>
  <si>
    <t>ην η συναγωγη</t>
  </si>
  <si>
    <t>ην συναγωγη</t>
  </si>
  <si>
    <t>ιουδαιων (2) κατα</t>
  </si>
  <si>
    <t>ιουδαιων (2) και κατα</t>
  </si>
  <si>
    <t>ειωθος</t>
  </si>
  <si>
    <t>οτι χρν</t>
  </si>
  <si>
    <t>σιλεα πολλοι</t>
  </si>
  <si>
    <r>
      <rPr>
        <b/>
        <sz val="11"/>
        <color theme="1"/>
        <rFont val="Calibri"/>
        <family val="2"/>
        <scheme val="minor"/>
      </rPr>
      <t>σιλαια</t>
    </r>
    <r>
      <rPr>
        <sz val="11"/>
        <color theme="1"/>
        <rFont val="Calibri"/>
        <family val="2"/>
        <scheme val="minor"/>
      </rPr>
      <t xml:space="preserve"> τη διδαχη πολλοι</t>
    </r>
  </si>
  <si>
    <r>
      <rPr>
        <b/>
        <sz val="11"/>
        <color theme="1"/>
        <rFont val="Calibri"/>
        <family val="2"/>
        <scheme val="minor"/>
      </rPr>
      <t>σιλεα</t>
    </r>
    <r>
      <rPr>
        <sz val="11"/>
        <color theme="1"/>
        <rFont val="Calibri"/>
        <family val="2"/>
        <scheme val="minor"/>
      </rPr>
      <t xml:space="preserve"> πολλοι</t>
    </r>
  </si>
  <si>
    <r>
      <t xml:space="preserve">σιλαια </t>
    </r>
    <r>
      <rPr>
        <b/>
        <sz val="11"/>
        <color theme="1"/>
        <rFont val="Calibri"/>
        <family val="2"/>
        <scheme val="minor"/>
      </rPr>
      <t>τη διδαχη</t>
    </r>
    <r>
      <rPr>
        <sz val="11"/>
        <color theme="1"/>
        <rFont val="Calibri"/>
        <family val="2"/>
        <scheme val="minor"/>
      </rPr>
      <t xml:space="preserve"> πολλοι</t>
    </r>
  </si>
  <si>
    <t xml:space="preserve">σεβομενων ρωμαιων τε και ελληνων </t>
  </si>
  <si>
    <t xml:space="preserve">σεβομενων και ελληνων </t>
  </si>
  <si>
    <t>ελληνων και γυναικες</t>
  </si>
  <si>
    <t>ελληνων πληθος πολυ και γυναικες</t>
  </si>
  <si>
    <t>πονηρους και εθορυβουσαν</t>
  </si>
  <si>
    <t>πονηρους εθορυβουσαν</t>
  </si>
  <si>
    <t>εσυραν ισωναν και τινες αδελφους</t>
  </si>
  <si>
    <r>
      <t xml:space="preserve">εσυραν </t>
    </r>
    <r>
      <rPr>
        <b/>
        <sz val="11"/>
        <color theme="1"/>
        <rFont val="Calibri"/>
        <family val="2"/>
        <scheme val="minor"/>
      </rPr>
      <t>τον</t>
    </r>
    <r>
      <rPr>
        <sz val="11"/>
        <color theme="1"/>
        <rFont val="Calibri"/>
        <family val="2"/>
        <scheme val="minor"/>
      </rPr>
      <t xml:space="preserve"> ιασωνα και τινας αδελφους</t>
    </r>
  </si>
  <si>
    <r>
      <t xml:space="preserve">εσυραν </t>
    </r>
    <r>
      <rPr>
        <b/>
        <sz val="11"/>
        <color theme="1"/>
        <rFont val="Calibri"/>
        <family val="2"/>
        <scheme val="minor"/>
      </rPr>
      <t>ισωναν</t>
    </r>
    <r>
      <rPr>
        <sz val="11"/>
        <color theme="1"/>
        <rFont val="Calibri"/>
        <family val="2"/>
        <scheme val="minor"/>
      </rPr>
      <t xml:space="preserve"> και τινες αδελφους</t>
    </r>
  </si>
  <si>
    <r>
      <t xml:space="preserve">εσυραν τον </t>
    </r>
    <r>
      <rPr>
        <b/>
        <sz val="11"/>
        <color theme="1"/>
        <rFont val="Calibri"/>
        <family val="2"/>
        <scheme val="minor"/>
      </rPr>
      <t>ιασωνα</t>
    </r>
    <r>
      <rPr>
        <sz val="11"/>
        <color theme="1"/>
        <rFont val="Calibri"/>
        <family val="2"/>
        <scheme val="minor"/>
      </rPr>
      <t xml:space="preserve"> και τινας αδελφους</t>
    </r>
  </si>
  <si>
    <r>
      <t xml:space="preserve">εσυραν τον ιασωνα και </t>
    </r>
    <r>
      <rPr>
        <b/>
        <sz val="11"/>
        <color theme="1"/>
        <rFont val="Calibri"/>
        <family val="2"/>
        <scheme val="minor"/>
      </rPr>
      <t>τινας</t>
    </r>
    <r>
      <rPr>
        <sz val="11"/>
        <color theme="1"/>
        <rFont val="Calibri"/>
        <family val="2"/>
        <scheme val="minor"/>
      </rPr>
      <t xml:space="preserve"> αδελφους</t>
    </r>
  </si>
  <si>
    <r>
      <t xml:space="preserve">εσυραν ισωναν και </t>
    </r>
    <r>
      <rPr>
        <b/>
        <sz val="11"/>
        <color theme="1"/>
        <rFont val="Calibri"/>
        <family val="2"/>
        <scheme val="minor"/>
      </rPr>
      <t>τινες</t>
    </r>
    <r>
      <rPr>
        <sz val="11"/>
        <color theme="1"/>
        <rFont val="Calibri"/>
        <family val="2"/>
        <scheme val="minor"/>
      </rPr>
      <t xml:space="preserve"> αδελφους</t>
    </r>
  </si>
  <si>
    <t>ουτοι και ενθαδε</t>
  </si>
  <si>
    <t>ουτοι εισιν και ενθαδε</t>
  </si>
  <si>
    <t>ακουσαντες ταυτα</t>
  </si>
  <si>
    <t>ακουσαντας ταυτα</t>
  </si>
  <si>
    <t>Bezae corrects ακουσαντες -&gt; ακουσαντα</t>
  </si>
  <si>
    <t xml:space="preserve">και των λοιπων </t>
  </si>
  <si>
    <t>και λοιπων</t>
  </si>
  <si>
    <t>σειλαν εις βεροιαν</t>
  </si>
  <si>
    <t>σειλαν ει βεροιαν</t>
  </si>
  <si>
    <t>εν θεσσαλονικη</t>
  </si>
  <si>
    <t>εν τη θεσσαλονικη</t>
  </si>
  <si>
    <r>
      <t xml:space="preserve">ει </t>
    </r>
    <r>
      <rPr>
        <b/>
        <sz val="11"/>
        <color theme="1"/>
        <rFont val="Calibri"/>
        <family val="2"/>
        <scheme val="minor"/>
      </rPr>
      <t>εχει</t>
    </r>
    <r>
      <rPr>
        <sz val="11"/>
        <color theme="1"/>
        <rFont val="Calibri"/>
        <family val="2"/>
        <scheme val="minor"/>
      </rPr>
      <t xml:space="preserve"> ταυτα ουτως (12) τινες</t>
    </r>
  </si>
  <si>
    <r>
      <t xml:space="preserve">ει </t>
    </r>
    <r>
      <rPr>
        <b/>
        <sz val="11"/>
        <color theme="1"/>
        <rFont val="Calibri"/>
        <family val="2"/>
        <scheme val="minor"/>
      </rPr>
      <t>εχοι</t>
    </r>
    <r>
      <rPr>
        <sz val="11"/>
        <color theme="1"/>
        <rFont val="Calibri"/>
        <family val="2"/>
        <scheme val="minor"/>
      </rPr>
      <t xml:space="preserve"> ταυτα ουτω (12) τινες</t>
    </r>
  </si>
  <si>
    <r>
      <t xml:space="preserve">ει εχει ταυτα </t>
    </r>
    <r>
      <rPr>
        <b/>
        <sz val="11"/>
        <color theme="1"/>
        <rFont val="Calibri"/>
        <family val="2"/>
        <scheme val="minor"/>
      </rPr>
      <t>ουτως</t>
    </r>
    <r>
      <rPr>
        <sz val="11"/>
        <color theme="1"/>
        <rFont val="Calibri"/>
        <family val="2"/>
        <scheme val="minor"/>
      </rPr>
      <t xml:space="preserve"> (12) τινες</t>
    </r>
  </si>
  <si>
    <r>
      <t xml:space="preserve">ει εχοι ταυτα </t>
    </r>
    <r>
      <rPr>
        <b/>
        <sz val="11"/>
        <color theme="1"/>
        <rFont val="Calibri"/>
        <family val="2"/>
        <scheme val="minor"/>
      </rPr>
      <t>ουτω</t>
    </r>
    <r>
      <rPr>
        <sz val="11"/>
        <color theme="1"/>
        <rFont val="Calibri"/>
        <family val="2"/>
        <scheme val="minor"/>
      </rPr>
      <t xml:space="preserve"> (12) τινες</t>
    </r>
  </si>
  <si>
    <t xml:space="preserve">και των ελληνιδων γυναικων των ευσχημονων και ανδρων ουκ ολιγοι ικανοι επιστευσαν (13) ως δε </t>
  </si>
  <si>
    <r>
      <t xml:space="preserve">και των </t>
    </r>
    <r>
      <rPr>
        <b/>
        <sz val="11"/>
        <color theme="1"/>
        <rFont val="Calibri"/>
        <family val="2"/>
        <scheme val="minor"/>
      </rPr>
      <t>ελληνων</t>
    </r>
    <r>
      <rPr>
        <sz val="11"/>
        <color theme="1"/>
        <rFont val="Calibri"/>
        <family val="2"/>
        <scheme val="minor"/>
      </rPr>
      <t xml:space="preserve"> και των ευσχημονων ανδρες και γυναικες ικανοι επιστευσαν (13) ως δε </t>
    </r>
  </si>
  <si>
    <r>
      <t xml:space="preserve">και των </t>
    </r>
    <r>
      <rPr>
        <b/>
        <sz val="11"/>
        <color theme="1"/>
        <rFont val="Calibri"/>
        <family val="2"/>
        <scheme val="minor"/>
      </rPr>
      <t>ελληνιδων</t>
    </r>
    <r>
      <rPr>
        <sz val="11"/>
        <color theme="1"/>
        <rFont val="Calibri"/>
        <family val="2"/>
        <scheme val="minor"/>
      </rPr>
      <t xml:space="preserve"> γυναικων των ευσχημονων και ανδρων ουκ ολιγοι ικανοι επιστευσαν (13) ως δε </t>
    </r>
  </si>
  <si>
    <r>
      <t xml:space="preserve">και των ελληνων </t>
    </r>
    <r>
      <rPr>
        <b/>
        <sz val="11"/>
        <color theme="1"/>
        <rFont val="Calibri"/>
        <family val="2"/>
        <scheme val="minor"/>
      </rPr>
      <t>και</t>
    </r>
    <r>
      <rPr>
        <sz val="11"/>
        <color theme="1"/>
        <rFont val="Calibri"/>
        <family val="2"/>
        <scheme val="minor"/>
      </rPr>
      <t xml:space="preserve"> των ευσχημονων ανδρες και γυναικες ικανοι επιστευσαν (13) ως δε </t>
    </r>
  </si>
  <si>
    <r>
      <t xml:space="preserve">και των ελληνων και </t>
    </r>
    <r>
      <rPr>
        <b/>
        <sz val="11"/>
        <color theme="1"/>
        <rFont val="Calibri"/>
        <family val="2"/>
        <scheme val="minor"/>
      </rPr>
      <t>των ευσχημονων ανδρες και γυναικες</t>
    </r>
    <r>
      <rPr>
        <sz val="11"/>
        <color theme="1"/>
        <rFont val="Calibri"/>
        <family val="2"/>
        <scheme val="minor"/>
      </rPr>
      <t xml:space="preserve"> ικανοι επιστευσαν (13) ως δε </t>
    </r>
  </si>
  <si>
    <r>
      <t xml:space="preserve">και των ελληνιδων </t>
    </r>
    <r>
      <rPr>
        <b/>
        <sz val="11"/>
        <color theme="1"/>
        <rFont val="Calibri"/>
        <family val="2"/>
        <scheme val="minor"/>
      </rPr>
      <t>γυναικων των ευσχημονων και ανδρων</t>
    </r>
    <r>
      <rPr>
        <sz val="11"/>
        <color theme="1"/>
        <rFont val="Calibri"/>
        <family val="2"/>
        <scheme val="minor"/>
      </rPr>
      <t xml:space="preserve"> ουκ ολιγοι ικανοι επιστευσαν (13) ως δε </t>
    </r>
  </si>
  <si>
    <r>
      <t xml:space="preserve">και των ελληνιδων </t>
    </r>
    <r>
      <rPr>
        <b/>
        <sz val="11"/>
        <color theme="1"/>
        <rFont val="Calibri"/>
        <family val="2"/>
        <scheme val="minor"/>
      </rPr>
      <t>γυναικων</t>
    </r>
    <r>
      <rPr>
        <sz val="11"/>
        <color theme="1"/>
        <rFont val="Calibri"/>
        <family val="2"/>
        <scheme val="minor"/>
      </rPr>
      <t xml:space="preserve"> των ευσχημονων και </t>
    </r>
    <r>
      <rPr>
        <b/>
        <sz val="11"/>
        <color theme="1"/>
        <rFont val="Calibri"/>
        <family val="2"/>
        <scheme val="minor"/>
      </rPr>
      <t>ανδρων</t>
    </r>
    <r>
      <rPr>
        <sz val="11"/>
        <color theme="1"/>
        <rFont val="Calibri"/>
        <family val="2"/>
        <scheme val="minor"/>
      </rPr>
      <t xml:space="preserve"> ουκ ολιγοι ικανοι επιστευσαν (13) ως δε </t>
    </r>
  </si>
  <si>
    <r>
      <t xml:space="preserve">και των ελληνων και των ευσχημονων </t>
    </r>
    <r>
      <rPr>
        <b/>
        <sz val="11"/>
        <color theme="1"/>
        <rFont val="Calibri"/>
        <family val="2"/>
        <scheme val="minor"/>
      </rPr>
      <t>ανδρες</t>
    </r>
    <r>
      <rPr>
        <sz val="11"/>
        <color theme="1"/>
        <rFont val="Calibri"/>
        <family val="2"/>
        <scheme val="minor"/>
      </rPr>
      <t xml:space="preserve"> και </t>
    </r>
    <r>
      <rPr>
        <b/>
        <sz val="11"/>
        <color theme="1"/>
        <rFont val="Calibri"/>
        <family val="2"/>
        <scheme val="minor"/>
      </rPr>
      <t>γυναικες</t>
    </r>
    <r>
      <rPr>
        <sz val="11"/>
        <color theme="1"/>
        <rFont val="Calibri"/>
        <family val="2"/>
        <scheme val="minor"/>
      </rPr>
      <t xml:space="preserve"> ικανοι επιστευσαν (13) ως δε </t>
    </r>
  </si>
  <si>
    <r>
      <t xml:space="preserve">και των ελληνων και των ευσχημονων ανδρες και γυναικες </t>
    </r>
    <r>
      <rPr>
        <b/>
        <sz val="11"/>
        <color theme="1"/>
        <rFont val="Calibri"/>
        <family val="2"/>
        <scheme val="minor"/>
      </rPr>
      <t>ικανοι επιστευσαν</t>
    </r>
    <r>
      <rPr>
        <sz val="11"/>
        <color theme="1"/>
        <rFont val="Calibri"/>
        <family val="2"/>
        <scheme val="minor"/>
      </rPr>
      <t xml:space="preserve"> (13) ως δε </t>
    </r>
  </si>
  <si>
    <r>
      <t xml:space="preserve">και των ελληνιδων γυναικων των ευσχημονων και ανδρων ουκ ολιγοι </t>
    </r>
    <r>
      <rPr>
        <b/>
        <sz val="11"/>
        <color theme="1"/>
        <rFont val="Calibri"/>
        <family val="2"/>
        <scheme val="minor"/>
      </rPr>
      <t>ικανοι επιστευσαν</t>
    </r>
    <r>
      <rPr>
        <sz val="11"/>
        <color theme="1"/>
        <rFont val="Calibri"/>
        <family val="2"/>
        <scheme val="minor"/>
      </rPr>
      <t xml:space="preserve"> (13) ως δε </t>
    </r>
  </si>
  <si>
    <t>οτι και ο λογος του θεου εις την βεροιαν κατηγγελη και ηλθον</t>
  </si>
  <si>
    <r>
      <t xml:space="preserve">οτι και ο λογος </t>
    </r>
    <r>
      <rPr>
        <b/>
        <sz val="11"/>
        <color theme="1"/>
        <rFont val="Calibri"/>
        <family val="2"/>
        <scheme val="minor"/>
      </rPr>
      <t>του</t>
    </r>
    <r>
      <rPr>
        <sz val="11"/>
        <color theme="1"/>
        <rFont val="Calibri"/>
        <family val="2"/>
        <scheme val="minor"/>
      </rPr>
      <t xml:space="preserve"> θεου εις την βεροιαν κατηγγελη και ηλθον</t>
    </r>
  </si>
  <si>
    <t>οτι λογος θυ κατηγγελη εις βεροιαν και επιστευσαν και ηλθον</t>
  </si>
  <si>
    <r>
      <t xml:space="preserve">οτι λογος θυ </t>
    </r>
    <r>
      <rPr>
        <b/>
        <sz val="11"/>
        <color theme="1"/>
        <rFont val="Calibri"/>
        <family val="2"/>
        <scheme val="minor"/>
      </rPr>
      <t>κατηγγελη εις βεροιαν</t>
    </r>
    <r>
      <rPr>
        <sz val="11"/>
        <color theme="1"/>
        <rFont val="Calibri"/>
        <family val="2"/>
        <scheme val="minor"/>
      </rPr>
      <t xml:space="preserve"> και επιστευσαν και ηλθον</t>
    </r>
  </si>
  <si>
    <r>
      <t xml:space="preserve">οτι και ο λογος του θεου </t>
    </r>
    <r>
      <rPr>
        <b/>
        <sz val="11"/>
        <color theme="1"/>
        <rFont val="Calibri"/>
        <family val="2"/>
        <scheme val="minor"/>
      </rPr>
      <t>εις την βεροιαν κατηγγελη</t>
    </r>
    <r>
      <rPr>
        <sz val="11"/>
        <color theme="1"/>
        <rFont val="Calibri"/>
        <family val="2"/>
        <scheme val="minor"/>
      </rPr>
      <t xml:space="preserve"> και ηλθον</t>
    </r>
  </si>
  <si>
    <r>
      <t xml:space="preserve">οτι και ο λογος του θεου εις </t>
    </r>
    <r>
      <rPr>
        <b/>
        <sz val="11"/>
        <color theme="1"/>
        <rFont val="Calibri"/>
        <family val="2"/>
        <scheme val="minor"/>
      </rPr>
      <t>την</t>
    </r>
    <r>
      <rPr>
        <sz val="11"/>
        <color theme="1"/>
        <rFont val="Calibri"/>
        <family val="2"/>
        <scheme val="minor"/>
      </rPr>
      <t xml:space="preserve"> βεροιαν κατηγγελη και ηλθον</t>
    </r>
  </si>
  <si>
    <r>
      <t xml:space="preserve">οτι λογος θυ κατηγγελη εις βεροιαν </t>
    </r>
    <r>
      <rPr>
        <b/>
        <sz val="11"/>
        <color theme="1"/>
        <rFont val="Calibri"/>
        <family val="2"/>
        <scheme val="minor"/>
      </rPr>
      <t>και επιστευσαν</t>
    </r>
    <r>
      <rPr>
        <sz val="11"/>
        <color theme="1"/>
        <rFont val="Calibri"/>
        <family val="2"/>
        <scheme val="minor"/>
      </rPr>
      <t xml:space="preserve"> και ηλθον</t>
    </r>
  </si>
  <si>
    <t>Bezae erases και but not επιστευσαν</t>
  </si>
  <si>
    <t>ηλθον εις αυτην κακει</t>
  </si>
  <si>
    <t>Bezae erases εις αυτην</t>
  </si>
  <si>
    <t>καθιστωντες</t>
  </si>
  <si>
    <t>δε την θεσσαλιαν</t>
  </si>
  <si>
    <t>δε εις θεσσαλιαν</t>
  </si>
  <si>
    <t>εντολην προς τον</t>
  </si>
  <si>
    <t>εντολην παρα παυλου προς τον</t>
  </si>
  <si>
    <t>αυτους του παυλου</t>
  </si>
  <si>
    <t>αυτου του παυλου</t>
  </si>
  <si>
    <t>παρωξυνετο το πνευμα</t>
  </si>
  <si>
    <t>παρωξυνετο πνα</t>
  </si>
  <si>
    <t>συγαγωγη τοις ιουδαιοις</t>
  </si>
  <si>
    <r>
      <rPr>
        <b/>
        <sz val="11"/>
        <color theme="1"/>
        <rFont val="Calibri"/>
        <family val="2"/>
        <scheme val="minor"/>
      </rPr>
      <t>συγαγωγη</t>
    </r>
    <r>
      <rPr>
        <sz val="11"/>
        <color theme="1"/>
        <rFont val="Calibri"/>
        <family val="2"/>
        <scheme val="minor"/>
      </rPr>
      <t xml:space="preserve"> τοις ιουδαιοις</t>
    </r>
  </si>
  <si>
    <r>
      <rPr>
        <b/>
        <sz val="11"/>
        <color theme="1"/>
        <rFont val="Calibri"/>
        <family val="2"/>
        <scheme val="minor"/>
      </rPr>
      <t>συναγωγη</t>
    </r>
    <r>
      <rPr>
        <sz val="11"/>
        <color theme="1"/>
        <rFont val="Calibri"/>
        <family val="2"/>
        <scheme val="minor"/>
      </rPr>
      <t xml:space="preserve"> τοις τοις ιουδαιοις</t>
    </r>
  </si>
  <si>
    <r>
      <t xml:space="preserve">συναγωγη τοις </t>
    </r>
    <r>
      <rPr>
        <b/>
        <sz val="11"/>
        <color theme="1"/>
        <rFont val="Calibri"/>
        <family val="2"/>
        <scheme val="minor"/>
      </rPr>
      <t>τοις</t>
    </r>
    <r>
      <rPr>
        <sz val="11"/>
        <color theme="1"/>
        <rFont val="Calibri"/>
        <family val="2"/>
        <scheme val="minor"/>
      </rPr>
      <t xml:space="preserve"> ιουδαιοις</t>
    </r>
  </si>
  <si>
    <t>παρατυγχανοντας</t>
  </si>
  <si>
    <t>συνεβαλλον</t>
  </si>
  <si>
    <t>τι αν θελοι ο σπερμολογος</t>
  </si>
  <si>
    <t>τι αν θελη ο σπερμολογος</t>
  </si>
  <si>
    <t xml:space="preserve">ουτος λεγειν </t>
  </si>
  <si>
    <t>ουτος λαλειν</t>
  </si>
  <si>
    <t>οιδε ξενων</t>
  </si>
  <si>
    <t>οιδεν ξενων</t>
  </si>
  <si>
    <t>επι τον αριον</t>
  </si>
  <si>
    <t>επι αριον</t>
  </si>
  <si>
    <t>αυτη υπο σου</t>
  </si>
  <si>
    <t>αυτη διδ σου</t>
  </si>
  <si>
    <t xml:space="preserve">τινα φερεις </t>
  </si>
  <si>
    <t>τινα αφερεις</t>
  </si>
  <si>
    <t>ετερον ηυκαιρουν</t>
  </si>
  <si>
    <t>ετερον ευκαιρουν</t>
  </si>
  <si>
    <t>και αναθεωρων τα σεβασματα</t>
  </si>
  <si>
    <t>και διιστορων τα σεβασματα</t>
  </si>
  <si>
    <t>ω ην γεγραμμενον</t>
  </si>
  <si>
    <t>ω η γεγραμμενον</t>
  </si>
  <si>
    <t>κατοικει</t>
  </si>
  <si>
    <t>Bezae correction is not clear to me</t>
  </si>
  <si>
    <t>ουδε υπο χειρων</t>
  </si>
  <si>
    <t>ο δε υπο χειρων</t>
  </si>
  <si>
    <t>προσδεομενος οτι ουτος ο δους πασι</t>
  </si>
  <si>
    <r>
      <t xml:space="preserve">προσδεομενος </t>
    </r>
    <r>
      <rPr>
        <b/>
        <sz val="11"/>
        <color theme="1"/>
        <rFont val="Calibri"/>
        <family val="2"/>
        <scheme val="minor"/>
      </rPr>
      <t>οτι</t>
    </r>
    <r>
      <rPr>
        <sz val="11"/>
        <color theme="1"/>
        <rFont val="Calibri"/>
        <family val="2"/>
        <scheme val="minor"/>
      </rPr>
      <t xml:space="preserve"> ουτος ο δους πασι</t>
    </r>
  </si>
  <si>
    <r>
      <t xml:space="preserve">προσδεομενος </t>
    </r>
    <r>
      <rPr>
        <b/>
        <sz val="11"/>
        <color theme="1"/>
        <rFont val="Calibri"/>
        <family val="2"/>
        <scheme val="minor"/>
      </rPr>
      <t>τι</t>
    </r>
    <r>
      <rPr>
        <sz val="11"/>
        <color theme="1"/>
        <rFont val="Calibri"/>
        <family val="2"/>
        <scheme val="minor"/>
      </rPr>
      <t xml:space="preserve"> αυτος ουτος διδους πασι</t>
    </r>
  </si>
  <si>
    <r>
      <t xml:space="preserve">προσδεομενος τι </t>
    </r>
    <r>
      <rPr>
        <b/>
        <sz val="11"/>
        <color theme="1"/>
        <rFont val="Calibri"/>
        <family val="2"/>
        <scheme val="minor"/>
      </rPr>
      <t>αυτος</t>
    </r>
    <r>
      <rPr>
        <sz val="11"/>
        <color theme="1"/>
        <rFont val="Calibri"/>
        <family val="2"/>
        <scheme val="minor"/>
      </rPr>
      <t xml:space="preserve"> ουτος διδους πασι</t>
    </r>
  </si>
  <si>
    <r>
      <t xml:space="preserve">προσδεομενος οτι ουτος </t>
    </r>
    <r>
      <rPr>
        <b/>
        <sz val="11"/>
        <color theme="1"/>
        <rFont val="Calibri"/>
        <family val="2"/>
        <scheme val="minor"/>
      </rPr>
      <t>ο δους</t>
    </r>
    <r>
      <rPr>
        <sz val="11"/>
        <color theme="1"/>
        <rFont val="Calibri"/>
        <family val="2"/>
        <scheme val="minor"/>
      </rPr>
      <t xml:space="preserve"> πασι</t>
    </r>
  </si>
  <si>
    <r>
      <t xml:space="preserve">προσδεομενος τι αυτος ουτος </t>
    </r>
    <r>
      <rPr>
        <b/>
        <sz val="11"/>
        <color theme="1"/>
        <rFont val="Calibri"/>
        <family val="2"/>
        <scheme val="minor"/>
      </rPr>
      <t>διδους</t>
    </r>
    <r>
      <rPr>
        <sz val="11"/>
        <color theme="1"/>
        <rFont val="Calibri"/>
        <family val="2"/>
        <scheme val="minor"/>
      </rPr>
      <t xml:space="preserve"> πασι</t>
    </r>
  </si>
  <si>
    <t xml:space="preserve">και τα παντα </t>
  </si>
  <si>
    <t xml:space="preserve">και παντα </t>
  </si>
  <si>
    <t>ορισας προτεταγμενους καιρους</t>
  </si>
  <si>
    <t>Bezae corrects προτεταγμενους -&gt; προστεταγμενους</t>
  </si>
  <si>
    <r>
      <t xml:space="preserve">καιρους </t>
    </r>
    <r>
      <rPr>
        <b/>
        <sz val="11"/>
        <color theme="1"/>
        <rFont val="Calibri"/>
        <family val="2"/>
        <scheme val="minor"/>
      </rPr>
      <t>κατα</t>
    </r>
    <r>
      <rPr>
        <sz val="11"/>
        <color theme="1"/>
        <rFont val="Calibri"/>
        <family val="2"/>
        <scheme val="minor"/>
      </rPr>
      <t xml:space="preserve"> οροθεσιαν της κατοικιας</t>
    </r>
  </si>
  <si>
    <r>
      <t xml:space="preserve">καιρους </t>
    </r>
    <r>
      <rPr>
        <b/>
        <sz val="11"/>
        <color theme="1"/>
        <rFont val="Calibri"/>
        <family val="2"/>
        <scheme val="minor"/>
      </rPr>
      <t>και τας</t>
    </r>
    <r>
      <rPr>
        <sz val="11"/>
        <color theme="1"/>
        <rFont val="Calibri"/>
        <family val="2"/>
        <scheme val="minor"/>
      </rPr>
      <t xml:space="preserve"> οροθεσιας της κατοικιας</t>
    </r>
  </si>
  <si>
    <r>
      <t xml:space="preserve">καιρους κατα </t>
    </r>
    <r>
      <rPr>
        <b/>
        <sz val="11"/>
        <color theme="1"/>
        <rFont val="Calibri"/>
        <family val="2"/>
        <scheme val="minor"/>
      </rPr>
      <t>οροθεσιαν</t>
    </r>
    <r>
      <rPr>
        <sz val="11"/>
        <color theme="1"/>
        <rFont val="Calibri"/>
        <family val="2"/>
        <scheme val="minor"/>
      </rPr>
      <t xml:space="preserve"> της κατοικιας</t>
    </r>
  </si>
  <si>
    <r>
      <t xml:space="preserve">καιρους και τας </t>
    </r>
    <r>
      <rPr>
        <b/>
        <sz val="11"/>
        <color theme="1"/>
        <rFont val="Calibri"/>
        <family val="2"/>
        <scheme val="minor"/>
      </rPr>
      <t>οροθεσιας</t>
    </r>
    <r>
      <rPr>
        <sz val="11"/>
        <color theme="1"/>
        <rFont val="Calibri"/>
        <family val="2"/>
        <scheme val="minor"/>
      </rPr>
      <t xml:space="preserve"> της κατοικιας</t>
    </r>
  </si>
  <si>
    <r>
      <t xml:space="preserve">ψηλαφησαισαν </t>
    </r>
    <r>
      <rPr>
        <b/>
        <sz val="11"/>
        <color theme="1"/>
        <rFont val="Calibri"/>
        <family val="2"/>
        <scheme val="minor"/>
      </rPr>
      <t>αυτο</t>
    </r>
    <r>
      <rPr>
        <sz val="11"/>
        <color theme="1"/>
        <rFont val="Calibri"/>
        <family val="2"/>
        <scheme val="minor"/>
      </rPr>
      <t xml:space="preserve"> η ευροισαν και τε ου μακραν</t>
    </r>
  </si>
  <si>
    <r>
      <t xml:space="preserve">ψηλαφησαισαν </t>
    </r>
    <r>
      <rPr>
        <b/>
        <sz val="11"/>
        <color theme="1"/>
        <rFont val="Calibri"/>
        <family val="2"/>
        <scheme val="minor"/>
      </rPr>
      <t>αυτον</t>
    </r>
    <r>
      <rPr>
        <sz val="11"/>
        <color theme="1"/>
        <rFont val="Calibri"/>
        <family val="2"/>
        <scheme val="minor"/>
      </rPr>
      <t xml:space="preserve"> η ευροιεν και γε ου μακραν</t>
    </r>
  </si>
  <si>
    <r>
      <t xml:space="preserve">ψηλαφησαισαν αυτο η </t>
    </r>
    <r>
      <rPr>
        <b/>
        <sz val="11"/>
        <color theme="1"/>
        <rFont val="Calibri"/>
        <family val="2"/>
        <scheme val="minor"/>
      </rPr>
      <t>ευροισαν</t>
    </r>
    <r>
      <rPr>
        <sz val="11"/>
        <color theme="1"/>
        <rFont val="Calibri"/>
        <family val="2"/>
        <scheme val="minor"/>
      </rPr>
      <t xml:space="preserve"> και τε ου μακραν</t>
    </r>
  </si>
  <si>
    <r>
      <t xml:space="preserve">ψηλαφησαισαν αυτον η </t>
    </r>
    <r>
      <rPr>
        <b/>
        <sz val="11"/>
        <color theme="1"/>
        <rFont val="Calibri"/>
        <family val="2"/>
        <scheme val="minor"/>
      </rPr>
      <t>ευροιεν</t>
    </r>
    <r>
      <rPr>
        <sz val="11"/>
        <color theme="1"/>
        <rFont val="Calibri"/>
        <family val="2"/>
        <scheme val="minor"/>
      </rPr>
      <t xml:space="preserve"> και γε ου μακραν</t>
    </r>
  </si>
  <si>
    <r>
      <t xml:space="preserve">ψηλαφησαισαν αυτο η ευροισαν και </t>
    </r>
    <r>
      <rPr>
        <b/>
        <sz val="11"/>
        <color theme="1"/>
        <rFont val="Calibri"/>
        <family val="2"/>
        <scheme val="minor"/>
      </rPr>
      <t>τε</t>
    </r>
    <r>
      <rPr>
        <sz val="11"/>
        <color theme="1"/>
        <rFont val="Calibri"/>
        <family val="2"/>
        <scheme val="minor"/>
      </rPr>
      <t xml:space="preserve"> ου μακραν</t>
    </r>
  </si>
  <si>
    <r>
      <t xml:space="preserve">ψηλαφησαισαν αυτον η ευροιεν και </t>
    </r>
    <r>
      <rPr>
        <b/>
        <sz val="11"/>
        <color theme="1"/>
        <rFont val="Calibri"/>
        <family val="2"/>
        <scheme val="minor"/>
      </rPr>
      <t>γε</t>
    </r>
    <r>
      <rPr>
        <sz val="11"/>
        <color theme="1"/>
        <rFont val="Calibri"/>
        <family val="2"/>
        <scheme val="minor"/>
      </rPr>
      <t xml:space="preserve"> ου μακραν</t>
    </r>
  </si>
  <si>
    <t>μακραν αφ ενος</t>
  </si>
  <si>
    <t>μακραν ον αφ ενος</t>
  </si>
  <si>
    <t>Bezae corrects ον -&gt; ων</t>
  </si>
  <si>
    <t>(27) ημων (28) εν αυτη γαρ</t>
  </si>
  <si>
    <r>
      <t xml:space="preserve">(27) ημων </t>
    </r>
    <r>
      <rPr>
        <b/>
        <sz val="11"/>
        <color theme="1"/>
        <rFont val="Calibri"/>
        <family val="2"/>
        <scheme val="minor"/>
      </rPr>
      <t>υπαρχων</t>
    </r>
    <r>
      <rPr>
        <sz val="11"/>
        <color theme="1"/>
        <rFont val="Calibri"/>
        <family val="2"/>
        <scheme val="minor"/>
      </rPr>
      <t xml:space="preserve"> (28) εν αυτω γαρ</t>
    </r>
  </si>
  <si>
    <r>
      <t xml:space="preserve">(27) ημων (28) εν </t>
    </r>
    <r>
      <rPr>
        <b/>
        <sz val="11"/>
        <color theme="1"/>
        <rFont val="Calibri"/>
        <family val="2"/>
        <scheme val="minor"/>
      </rPr>
      <t>αυτη</t>
    </r>
    <r>
      <rPr>
        <sz val="11"/>
        <color theme="1"/>
        <rFont val="Calibri"/>
        <family val="2"/>
        <scheme val="minor"/>
      </rPr>
      <t xml:space="preserve"> γαρ</t>
    </r>
  </si>
  <si>
    <r>
      <t xml:space="preserve">(27) ημων υπαρχων (28) εν </t>
    </r>
    <r>
      <rPr>
        <b/>
        <sz val="11"/>
        <color theme="1"/>
        <rFont val="Calibri"/>
        <family val="2"/>
        <scheme val="minor"/>
      </rPr>
      <t>αυτω</t>
    </r>
    <r>
      <rPr>
        <sz val="11"/>
        <color theme="1"/>
        <rFont val="Calibri"/>
        <family val="2"/>
        <scheme val="minor"/>
      </rPr>
      <t xml:space="preserve"> γαρ</t>
    </r>
  </si>
  <si>
    <t>ημεραν ως και των</t>
  </si>
  <si>
    <t>ημεραν ωσπερ και των</t>
  </si>
  <si>
    <t>υμας ποιητων τινες</t>
  </si>
  <si>
    <t>υμας τινες</t>
  </si>
  <si>
    <t>ειρηκασιν τουτου γαρ</t>
  </si>
  <si>
    <t>Bezae corrects τουτου -&gt; του</t>
  </si>
  <si>
    <t>και γενος εσμεν</t>
  </si>
  <si>
    <t>και γος εσμεν</t>
  </si>
  <si>
    <t>γενος γαρ υπαρχοντες</t>
  </si>
  <si>
    <t>γενος ουν υπαρχοντες</t>
  </si>
  <si>
    <t>αγνοιας υπεριδων ο θεος</t>
  </si>
  <si>
    <r>
      <t xml:space="preserve">αγνοιας </t>
    </r>
    <r>
      <rPr>
        <b/>
        <sz val="11"/>
        <color theme="1"/>
        <rFont val="Calibri"/>
        <family val="2"/>
        <scheme val="minor"/>
      </rPr>
      <t>ταυτης</t>
    </r>
    <r>
      <rPr>
        <sz val="11"/>
        <color theme="1"/>
        <rFont val="Calibri"/>
        <family val="2"/>
        <scheme val="minor"/>
      </rPr>
      <t xml:space="preserve"> παριδων ο θς</t>
    </r>
  </si>
  <si>
    <r>
      <t xml:space="preserve">αγνοιας ταυτης </t>
    </r>
    <r>
      <rPr>
        <b/>
        <sz val="11"/>
        <color theme="1"/>
        <rFont val="Calibri"/>
        <family val="2"/>
        <scheme val="minor"/>
      </rPr>
      <t>παριδων</t>
    </r>
    <r>
      <rPr>
        <sz val="11"/>
        <color theme="1"/>
        <rFont val="Calibri"/>
        <family val="2"/>
        <scheme val="minor"/>
      </rPr>
      <t xml:space="preserve"> ο θς</t>
    </r>
  </si>
  <si>
    <r>
      <t xml:space="preserve">αγνοιας </t>
    </r>
    <r>
      <rPr>
        <b/>
        <sz val="11"/>
        <color theme="1"/>
        <rFont val="Calibri"/>
        <family val="2"/>
        <scheme val="minor"/>
      </rPr>
      <t>υπεριδων</t>
    </r>
    <r>
      <rPr>
        <sz val="11"/>
        <color theme="1"/>
        <rFont val="Calibri"/>
        <family val="2"/>
        <scheme val="minor"/>
      </rPr>
      <t xml:space="preserve"> ο θεος</t>
    </r>
  </si>
  <si>
    <t>ανθρωποις παντας πανταχου</t>
  </si>
  <si>
    <r>
      <t xml:space="preserve">ανθρωποις </t>
    </r>
    <r>
      <rPr>
        <b/>
        <sz val="11"/>
        <color theme="1"/>
        <rFont val="Calibri"/>
        <family val="2"/>
        <scheme val="minor"/>
      </rPr>
      <t>ινα</t>
    </r>
    <r>
      <rPr>
        <sz val="11"/>
        <color theme="1"/>
        <rFont val="Calibri"/>
        <family val="2"/>
        <scheme val="minor"/>
      </rPr>
      <t xml:space="preserve"> παντες πανταχου</t>
    </r>
  </si>
  <si>
    <r>
      <t xml:space="preserve">ανθρωποις ινα </t>
    </r>
    <r>
      <rPr>
        <b/>
        <sz val="11"/>
        <color theme="1"/>
        <rFont val="Calibri"/>
        <family val="2"/>
        <scheme val="minor"/>
      </rPr>
      <t>παντες</t>
    </r>
    <r>
      <rPr>
        <sz val="11"/>
        <color theme="1"/>
        <rFont val="Calibri"/>
        <family val="2"/>
        <scheme val="minor"/>
      </rPr>
      <t xml:space="preserve"> πανταχου</t>
    </r>
  </si>
  <si>
    <r>
      <t xml:space="preserve">ανθρωποις </t>
    </r>
    <r>
      <rPr>
        <b/>
        <sz val="11"/>
        <color theme="1"/>
        <rFont val="Calibri"/>
        <family val="2"/>
        <scheme val="minor"/>
      </rPr>
      <t>παντας</t>
    </r>
    <r>
      <rPr>
        <sz val="11"/>
        <color theme="1"/>
        <rFont val="Calibri"/>
        <family val="2"/>
        <scheme val="minor"/>
      </rPr>
      <t xml:space="preserve"> πανταχου</t>
    </r>
  </si>
  <si>
    <t>μετανοειν (31) διοτι</t>
  </si>
  <si>
    <t>μετανοειν (31) καθοτι</t>
  </si>
  <si>
    <t xml:space="preserve">ημεραν κρειναι </t>
  </si>
  <si>
    <t xml:space="preserve">ημεραν κρεικρειναι </t>
  </si>
  <si>
    <t>ανδρες εκολληθησαν αυτω</t>
  </si>
  <si>
    <t>ανδρες κολληθεντες αυτω</t>
  </si>
  <si>
    <t>εληλυθοτα απο</t>
  </si>
  <si>
    <t>εληλυθα απο</t>
  </si>
  <si>
    <t>τεταχεναι κλαυδιον χωριζεσθαι</t>
  </si>
  <si>
    <t>τεταχεναι κλαυδιος χωριζεσθαι</t>
  </si>
  <si>
    <t>προσηλθεν αυτω ο παυλος</t>
  </si>
  <si>
    <t>ποσηλθεν αυτοις ο παυλος</t>
  </si>
  <si>
    <t>και ηργαζετο</t>
  </si>
  <si>
    <t>και ειργαζετο</t>
  </si>
  <si>
    <t>ιυ επειθεν</t>
  </si>
  <si>
    <r>
      <t xml:space="preserve">ιηυ </t>
    </r>
    <r>
      <rPr>
        <b/>
        <sz val="11"/>
        <color theme="1"/>
        <rFont val="Calibri"/>
        <family val="2"/>
        <scheme val="minor"/>
      </rPr>
      <t>και</t>
    </r>
    <r>
      <rPr>
        <sz val="11"/>
        <color theme="1"/>
        <rFont val="Calibri"/>
        <family val="2"/>
        <scheme val="minor"/>
      </rPr>
      <t xml:space="preserve"> επιθεν</t>
    </r>
  </si>
  <si>
    <r>
      <t xml:space="preserve">ιυ </t>
    </r>
    <r>
      <rPr>
        <b/>
        <sz val="11"/>
        <color theme="1"/>
        <rFont val="Calibri"/>
        <family val="2"/>
        <scheme val="minor"/>
      </rPr>
      <t>επειθεν</t>
    </r>
  </si>
  <si>
    <r>
      <t xml:space="preserve">ιηυ και </t>
    </r>
    <r>
      <rPr>
        <b/>
        <sz val="11"/>
        <color theme="1"/>
        <rFont val="Calibri"/>
        <family val="2"/>
        <scheme val="minor"/>
      </rPr>
      <t>επιθεν</t>
    </r>
  </si>
  <si>
    <t>μακεδονιας οτε</t>
  </si>
  <si>
    <t>μακεδονιας τοτε</t>
  </si>
  <si>
    <t>διαμαρτυρομενος</t>
  </si>
  <si>
    <t>ιουδαιοις τον χριστον</t>
  </si>
  <si>
    <t>ιουδαιοις ειναι τον χρν</t>
  </si>
  <si>
    <t>διερμηνευομενων αντιτασσομενων δε αυτων</t>
  </si>
  <si>
    <t>διερμηνευομενων ετι τασσομενων δε αυτων</t>
  </si>
  <si>
    <r>
      <t xml:space="preserve">εγω </t>
    </r>
    <r>
      <rPr>
        <b/>
        <sz val="11"/>
        <color theme="1"/>
        <rFont val="Calibri"/>
        <family val="2"/>
        <scheme val="minor"/>
      </rPr>
      <t>αφ</t>
    </r>
    <r>
      <rPr>
        <sz val="11"/>
        <color theme="1"/>
        <rFont val="Calibri"/>
        <family val="2"/>
        <scheme val="minor"/>
      </rPr>
      <t xml:space="preserve"> υμων νυν</t>
    </r>
  </si>
  <si>
    <r>
      <t xml:space="preserve">εγω </t>
    </r>
    <r>
      <rPr>
        <b/>
        <sz val="11"/>
        <color theme="1"/>
        <rFont val="Calibri"/>
        <family val="2"/>
        <scheme val="minor"/>
      </rPr>
      <t>απο</t>
    </r>
    <r>
      <rPr>
        <sz val="11"/>
        <color theme="1"/>
        <rFont val="Calibri"/>
        <family val="2"/>
        <scheme val="minor"/>
      </rPr>
      <t xml:space="preserve"> του νυν</t>
    </r>
  </si>
  <si>
    <r>
      <t xml:space="preserve">εγω αφ </t>
    </r>
    <r>
      <rPr>
        <b/>
        <sz val="11"/>
        <color theme="1"/>
        <rFont val="Calibri"/>
        <family val="2"/>
        <scheme val="minor"/>
      </rPr>
      <t>υμων</t>
    </r>
    <r>
      <rPr>
        <sz val="11"/>
        <color theme="1"/>
        <rFont val="Calibri"/>
        <family val="2"/>
        <scheme val="minor"/>
      </rPr>
      <t xml:space="preserve"> νυν</t>
    </r>
  </si>
  <si>
    <r>
      <t xml:space="preserve">εγω απο </t>
    </r>
    <r>
      <rPr>
        <b/>
        <sz val="11"/>
        <color theme="1"/>
        <rFont val="Calibri"/>
        <family val="2"/>
        <scheme val="minor"/>
      </rPr>
      <t>του</t>
    </r>
    <r>
      <rPr>
        <sz val="11"/>
        <color theme="1"/>
        <rFont val="Calibri"/>
        <family val="2"/>
        <scheme val="minor"/>
      </rPr>
      <t xml:space="preserve"> νυν</t>
    </r>
  </si>
  <si>
    <t>πορευσομαι</t>
  </si>
  <si>
    <t>και μεταβας εκειθεν ηλθεν εις οικιαν τινος ονοματι ιουστου</t>
  </si>
  <si>
    <t>μεταβας δε [απο ακυ]λα εισηλθεν εις τον οικον τινος ονοματος ιουστου</t>
  </si>
  <si>
    <r>
      <rPr>
        <b/>
        <sz val="11"/>
        <color theme="1"/>
        <rFont val="Calibri"/>
        <family val="2"/>
        <scheme val="minor"/>
      </rPr>
      <t>και</t>
    </r>
    <r>
      <rPr>
        <sz val="11"/>
        <color theme="1"/>
        <rFont val="Calibri"/>
        <family val="2"/>
        <scheme val="minor"/>
      </rPr>
      <t xml:space="preserve"> μεταβας εκειθεν ηλθεν εις οικιαν τινος ονοματι ιουστου</t>
    </r>
  </si>
  <si>
    <r>
      <t xml:space="preserve">μεταβας </t>
    </r>
    <r>
      <rPr>
        <b/>
        <sz val="11"/>
        <color theme="1"/>
        <rFont val="Calibri"/>
        <family val="2"/>
        <scheme val="minor"/>
      </rPr>
      <t>δε [απο ακυ]λα</t>
    </r>
    <r>
      <rPr>
        <sz val="11"/>
        <color theme="1"/>
        <rFont val="Calibri"/>
        <family val="2"/>
        <scheme val="minor"/>
      </rPr>
      <t xml:space="preserve"> εισηλθεν εις τον οικον τινος ονοματος ιουστου</t>
    </r>
  </si>
  <si>
    <r>
      <t xml:space="preserve">και μεταβας </t>
    </r>
    <r>
      <rPr>
        <b/>
        <sz val="11"/>
        <color theme="1"/>
        <rFont val="Calibri"/>
        <family val="2"/>
        <scheme val="minor"/>
      </rPr>
      <t>εκειθεν</t>
    </r>
    <r>
      <rPr>
        <sz val="11"/>
        <color theme="1"/>
        <rFont val="Calibri"/>
        <family val="2"/>
        <scheme val="minor"/>
      </rPr>
      <t xml:space="preserve"> ηλθεν εις οικιαν τινος ονοματι ιουστου</t>
    </r>
  </si>
  <si>
    <r>
      <t xml:space="preserve">μεταβας δε [απο ακυ]λα </t>
    </r>
    <r>
      <rPr>
        <b/>
        <sz val="11"/>
        <color theme="1"/>
        <rFont val="Calibri"/>
        <family val="2"/>
        <scheme val="minor"/>
      </rPr>
      <t>εισηλθεν</t>
    </r>
    <r>
      <rPr>
        <sz val="11"/>
        <color theme="1"/>
        <rFont val="Calibri"/>
        <family val="2"/>
        <scheme val="minor"/>
      </rPr>
      <t xml:space="preserve"> εις τον οικον τινος ονοματος ιουστου</t>
    </r>
  </si>
  <si>
    <r>
      <t xml:space="preserve">και μεταβας εκειθεν </t>
    </r>
    <r>
      <rPr>
        <b/>
        <sz val="11"/>
        <color theme="1"/>
        <rFont val="Calibri"/>
        <family val="2"/>
        <scheme val="minor"/>
      </rPr>
      <t>ηλθεν</t>
    </r>
    <r>
      <rPr>
        <sz val="11"/>
        <color theme="1"/>
        <rFont val="Calibri"/>
        <family val="2"/>
        <scheme val="minor"/>
      </rPr>
      <t xml:space="preserve"> εις οικιαν τινος ονοματι ιουστου</t>
    </r>
  </si>
  <si>
    <r>
      <t xml:space="preserve">μεταβας δε [απο ακυ]λα εισηλθεν εις </t>
    </r>
    <r>
      <rPr>
        <b/>
        <sz val="11"/>
        <color theme="1"/>
        <rFont val="Calibri"/>
        <family val="2"/>
        <scheme val="minor"/>
      </rPr>
      <t>τον</t>
    </r>
    <r>
      <rPr>
        <sz val="11"/>
        <color theme="1"/>
        <rFont val="Calibri"/>
        <family val="2"/>
        <scheme val="minor"/>
      </rPr>
      <t xml:space="preserve"> οικον τινος ονοματος ιουστου</t>
    </r>
  </si>
  <si>
    <r>
      <t xml:space="preserve">μεταβας δε [απο ακυ]λα εισηλθεν εις τον </t>
    </r>
    <r>
      <rPr>
        <b/>
        <sz val="11"/>
        <color theme="1"/>
        <rFont val="Calibri"/>
        <family val="2"/>
        <scheme val="minor"/>
      </rPr>
      <t>οικον</t>
    </r>
    <r>
      <rPr>
        <sz val="11"/>
        <color theme="1"/>
        <rFont val="Calibri"/>
        <family val="2"/>
        <scheme val="minor"/>
      </rPr>
      <t xml:space="preserve"> τινος ονοματος ιουστου</t>
    </r>
  </si>
  <si>
    <r>
      <t xml:space="preserve">και μεταβας εκειθεν ηλθεν εις </t>
    </r>
    <r>
      <rPr>
        <b/>
        <sz val="11"/>
        <color theme="1"/>
        <rFont val="Calibri"/>
        <family val="2"/>
        <scheme val="minor"/>
      </rPr>
      <t>οικιαν</t>
    </r>
    <r>
      <rPr>
        <sz val="11"/>
        <color theme="1"/>
        <rFont val="Calibri"/>
        <family val="2"/>
        <scheme val="minor"/>
      </rPr>
      <t xml:space="preserve"> τινος ονοματι ιουστου</t>
    </r>
  </si>
  <si>
    <r>
      <t xml:space="preserve">μεταβας δε [απο ακυ]λα εισηλθεν εις τον οικον τινος </t>
    </r>
    <r>
      <rPr>
        <b/>
        <sz val="11"/>
        <color theme="1"/>
        <rFont val="Calibri"/>
        <family val="2"/>
        <scheme val="minor"/>
      </rPr>
      <t>ονοματος</t>
    </r>
    <r>
      <rPr>
        <sz val="11"/>
        <color theme="1"/>
        <rFont val="Calibri"/>
        <family val="2"/>
        <scheme val="minor"/>
      </rPr>
      <t xml:space="preserve"> ιουστου</t>
    </r>
  </si>
  <si>
    <r>
      <t xml:space="preserve">και μεταβας εκειθεν ηλθεν εις οικιαν τινος </t>
    </r>
    <r>
      <rPr>
        <b/>
        <sz val="11"/>
        <color theme="1"/>
        <rFont val="Calibri"/>
        <family val="2"/>
        <scheme val="minor"/>
      </rPr>
      <t>ονοματι</t>
    </r>
    <r>
      <rPr>
        <sz val="11"/>
        <color theme="1"/>
        <rFont val="Calibri"/>
        <family val="2"/>
        <scheme val="minor"/>
      </rPr>
      <t xml:space="preserve"> ιουστου</t>
    </r>
  </si>
  <si>
    <r>
      <t xml:space="preserve">μεταβας δε [απο ακυ]λα εισηλθεν εις τον οικον τινος </t>
    </r>
    <r>
      <rPr>
        <b/>
        <sz val="11"/>
        <color theme="1"/>
        <rFont val="Calibri"/>
        <family val="2"/>
        <scheme val="minor"/>
      </rPr>
      <t>ονοματος ιουστου</t>
    </r>
  </si>
  <si>
    <r>
      <t xml:space="preserve">και μεταβας εκειθεν ηλθεν εις οικιαν τινος </t>
    </r>
    <r>
      <rPr>
        <b/>
        <sz val="11"/>
        <color theme="1"/>
        <rFont val="Calibri"/>
        <family val="2"/>
        <scheme val="minor"/>
      </rPr>
      <t>ονοματι ιουστου</t>
    </r>
  </si>
  <si>
    <t>Bezae inserts τιτιου between these words</t>
  </si>
  <si>
    <t xml:space="preserve">αρχισυναγωγος κρισπος </t>
  </si>
  <si>
    <t xml:space="preserve">αρχισυναγωγος χρισπος </t>
  </si>
  <si>
    <t>δε ο κυριος</t>
  </si>
  <si>
    <t>δε κς</t>
  </si>
  <si>
    <t>σειωπησης</t>
  </si>
  <si>
    <t>εν κορινθω</t>
  </si>
  <si>
    <t>εν χορινθω</t>
  </si>
  <si>
    <r>
      <t xml:space="preserve">γαλλιωνος </t>
    </r>
    <r>
      <rPr>
        <b/>
        <sz val="11"/>
        <color theme="1"/>
        <rFont val="Calibri"/>
        <family val="2"/>
        <scheme val="minor"/>
      </rPr>
      <t>τε</t>
    </r>
    <r>
      <rPr>
        <sz val="11"/>
        <color theme="1"/>
        <rFont val="Calibri"/>
        <family val="2"/>
        <scheme val="minor"/>
      </rPr>
      <t xml:space="preserve"> ανθυπατου οντος</t>
    </r>
  </si>
  <si>
    <r>
      <t xml:space="preserve">γαλλιωνος </t>
    </r>
    <r>
      <rPr>
        <b/>
        <sz val="11"/>
        <color theme="1"/>
        <rFont val="Calibri"/>
        <family val="2"/>
        <scheme val="minor"/>
      </rPr>
      <t>δε</t>
    </r>
    <r>
      <rPr>
        <sz val="11"/>
        <color theme="1"/>
        <rFont val="Calibri"/>
        <family val="2"/>
        <scheme val="minor"/>
      </rPr>
      <t xml:space="preserve"> ανθυπατευοντος</t>
    </r>
  </si>
  <si>
    <r>
      <t xml:space="preserve">γαλλιωνος τε </t>
    </r>
    <r>
      <rPr>
        <b/>
        <sz val="11"/>
        <color theme="1"/>
        <rFont val="Calibri"/>
        <family val="2"/>
        <scheme val="minor"/>
      </rPr>
      <t>ανθυπατου οντος</t>
    </r>
  </si>
  <si>
    <r>
      <t xml:space="preserve">γαλλιωνος δε </t>
    </r>
    <r>
      <rPr>
        <b/>
        <sz val="11"/>
        <color theme="1"/>
        <rFont val="Calibri"/>
        <family val="2"/>
        <scheme val="minor"/>
      </rPr>
      <t>ανθυπατευοντος</t>
    </r>
  </si>
  <si>
    <t>πονηρον ανδρες ω ιουδαιοι</t>
  </si>
  <si>
    <t>πονηρον ω ανδρες ιουδαιοι</t>
  </si>
  <si>
    <t>ζητημα εχετε</t>
  </si>
  <si>
    <t>Bezae corrects ζητημα -&gt; ζητηματα</t>
  </si>
  <si>
    <t>απηλασεν</t>
  </si>
  <si>
    <t>επιλαβομενοι</t>
  </si>
  <si>
    <t>ελληνες μετα σωσθενην</t>
  </si>
  <si>
    <t>ελληνες σωσθενην</t>
  </si>
  <si>
    <t xml:space="preserve">βηματος και ουδεν τουτων τω γαλλιωνι εμελλεν (18) ο δε </t>
  </si>
  <si>
    <t xml:space="preserve">βηματος [] (18) ο δε </t>
  </si>
  <si>
    <t>ημερας εικανας</t>
  </si>
  <si>
    <t>ημερας ικανας</t>
  </si>
  <si>
    <t>γαρ πρ[ο]σευχην</t>
  </si>
  <si>
    <t>γαρ ευχην</t>
  </si>
  <si>
    <t>διελεγετο τοις ιουδαιοις</t>
  </si>
  <si>
    <r>
      <t xml:space="preserve">ερωτωντων </t>
    </r>
    <r>
      <rPr>
        <b/>
        <sz val="11"/>
        <color theme="1"/>
        <rFont val="Calibri"/>
        <family val="2"/>
        <scheme val="minor"/>
      </rPr>
      <t>τε</t>
    </r>
    <r>
      <rPr>
        <sz val="11"/>
        <color theme="1"/>
        <rFont val="Calibri"/>
        <family val="2"/>
        <scheme val="minor"/>
      </rPr>
      <t xml:space="preserve"> αυτων επι</t>
    </r>
  </si>
  <si>
    <r>
      <t xml:space="preserve">ερωτωντων </t>
    </r>
    <r>
      <rPr>
        <b/>
        <sz val="11"/>
        <color theme="1"/>
        <rFont val="Calibri"/>
        <family val="2"/>
        <scheme val="minor"/>
      </rPr>
      <t>δε</t>
    </r>
    <r>
      <rPr>
        <sz val="11"/>
        <color theme="1"/>
        <rFont val="Calibri"/>
        <family val="2"/>
        <scheme val="minor"/>
      </rPr>
      <t xml:space="preserve"> αυτον επι</t>
    </r>
  </si>
  <si>
    <r>
      <t xml:space="preserve">ερωτωντων τε </t>
    </r>
    <r>
      <rPr>
        <b/>
        <sz val="11"/>
        <color theme="1"/>
        <rFont val="Calibri"/>
        <family val="2"/>
        <scheme val="minor"/>
      </rPr>
      <t>αυτων</t>
    </r>
    <r>
      <rPr>
        <sz val="11"/>
        <color theme="1"/>
        <rFont val="Calibri"/>
        <family val="2"/>
        <scheme val="minor"/>
      </rPr>
      <t xml:space="preserve"> επι</t>
    </r>
  </si>
  <si>
    <r>
      <t xml:space="preserve">ερωτωντων δε </t>
    </r>
    <r>
      <rPr>
        <b/>
        <sz val="11"/>
        <color theme="1"/>
        <rFont val="Calibri"/>
        <family val="2"/>
        <scheme val="minor"/>
      </rPr>
      <t>αυτον</t>
    </r>
    <r>
      <rPr>
        <sz val="11"/>
        <color theme="1"/>
        <rFont val="Calibri"/>
        <family val="2"/>
        <scheme val="minor"/>
      </rPr>
      <t xml:space="preserve"> επι</t>
    </r>
  </si>
  <si>
    <t>αλλα αποταξαμενος</t>
  </si>
  <si>
    <t>αλλ αποταξαμενος</t>
  </si>
  <si>
    <t>δει με παντως</t>
  </si>
  <si>
    <t>δει δε παντως</t>
  </si>
  <si>
    <t>απο της εφεσου</t>
  </si>
  <si>
    <t>απο του εφεσου</t>
  </si>
  <si>
    <t>πνι απελαλει</t>
  </si>
  <si>
    <t>Bezae seems to correct απελαλει -&gt; ελαλει (but could just be fading)</t>
  </si>
  <si>
    <t>περι του ιησου</t>
  </si>
  <si>
    <t>περι ιηυ</t>
  </si>
  <si>
    <t>ητος ηρξατο</t>
  </si>
  <si>
    <r>
      <rPr>
        <b/>
        <sz val="11"/>
        <color theme="1"/>
        <rFont val="Calibri"/>
        <family val="2"/>
        <scheme val="minor"/>
      </rPr>
      <t>ητος</t>
    </r>
    <r>
      <rPr>
        <sz val="11"/>
        <color theme="1"/>
        <rFont val="Calibri"/>
        <family val="2"/>
        <scheme val="minor"/>
      </rPr>
      <t xml:space="preserve"> ηρξατο</t>
    </r>
  </si>
  <si>
    <r>
      <rPr>
        <b/>
        <sz val="11"/>
        <color theme="1"/>
        <rFont val="Calibri"/>
        <family val="2"/>
        <scheme val="minor"/>
      </rPr>
      <t>ουτος</t>
    </r>
    <r>
      <rPr>
        <sz val="11"/>
        <color theme="1"/>
        <rFont val="Calibri"/>
        <family val="2"/>
        <scheme val="minor"/>
      </rPr>
      <t xml:space="preserve"> τε ηρξατο</t>
    </r>
  </si>
  <si>
    <r>
      <t xml:space="preserve">ουτος </t>
    </r>
    <r>
      <rPr>
        <b/>
        <sz val="11"/>
        <color theme="1"/>
        <rFont val="Calibri"/>
        <family val="2"/>
        <scheme val="minor"/>
      </rPr>
      <t>τε</t>
    </r>
    <r>
      <rPr>
        <sz val="11"/>
        <color theme="1"/>
        <rFont val="Calibri"/>
        <family val="2"/>
        <scheme val="minor"/>
      </rPr>
      <t xml:space="preserve"> ηρξατο</t>
    </r>
  </si>
  <si>
    <t>εν συναγωγη και ακουσαντος αυτου</t>
  </si>
  <si>
    <r>
      <t xml:space="preserve">εν </t>
    </r>
    <r>
      <rPr>
        <b/>
        <sz val="11"/>
        <color theme="1"/>
        <rFont val="Calibri"/>
        <family val="2"/>
        <scheme val="minor"/>
      </rPr>
      <t>τη</t>
    </r>
    <r>
      <rPr>
        <sz val="11"/>
        <color theme="1"/>
        <rFont val="Calibri"/>
        <family val="2"/>
        <scheme val="minor"/>
      </rPr>
      <t xml:space="preserve"> συναγωγη ακουσαντες δε αυτου</t>
    </r>
  </si>
  <si>
    <r>
      <t xml:space="preserve">εν συναγωγη </t>
    </r>
    <r>
      <rPr>
        <b/>
        <sz val="11"/>
        <color theme="1"/>
        <rFont val="Calibri"/>
        <family val="2"/>
        <scheme val="minor"/>
      </rPr>
      <t>και</t>
    </r>
    <r>
      <rPr>
        <sz val="11"/>
        <color theme="1"/>
        <rFont val="Calibri"/>
        <family val="2"/>
        <scheme val="minor"/>
      </rPr>
      <t xml:space="preserve"> ακουσαντος αυτου</t>
    </r>
  </si>
  <si>
    <r>
      <t xml:space="preserve">εν τη συναγωγη ακουσαντες </t>
    </r>
    <r>
      <rPr>
        <b/>
        <sz val="11"/>
        <color theme="1"/>
        <rFont val="Calibri"/>
        <family val="2"/>
        <scheme val="minor"/>
      </rPr>
      <t>δε</t>
    </r>
    <r>
      <rPr>
        <sz val="11"/>
        <color theme="1"/>
        <rFont val="Calibri"/>
        <family val="2"/>
        <scheme val="minor"/>
      </rPr>
      <t xml:space="preserve"> αυτου</t>
    </r>
  </si>
  <si>
    <r>
      <t xml:space="preserve">εν συναγωγη και </t>
    </r>
    <r>
      <rPr>
        <b/>
        <sz val="11"/>
        <color theme="1"/>
        <rFont val="Calibri"/>
        <family val="2"/>
        <scheme val="minor"/>
      </rPr>
      <t>ακουσαντος</t>
    </r>
    <r>
      <rPr>
        <sz val="11"/>
        <color theme="1"/>
        <rFont val="Calibri"/>
        <family val="2"/>
        <scheme val="minor"/>
      </rPr>
      <t xml:space="preserve"> αυτου</t>
    </r>
  </si>
  <si>
    <r>
      <t xml:space="preserve">εν τη συναγωγη </t>
    </r>
    <r>
      <rPr>
        <b/>
        <sz val="11"/>
        <color theme="1"/>
        <rFont val="Calibri"/>
        <family val="2"/>
        <scheme val="minor"/>
      </rPr>
      <t>ακουσαντες</t>
    </r>
    <r>
      <rPr>
        <sz val="11"/>
        <color theme="1"/>
        <rFont val="Calibri"/>
        <family val="2"/>
        <scheme val="minor"/>
      </rPr>
      <t xml:space="preserve"> δε αυτου</t>
    </r>
  </si>
  <si>
    <t>αχαιαν πολυ συνεβαλλετο</t>
  </si>
  <si>
    <t>αχαιαν πολυν συνεβαλλετο</t>
  </si>
  <si>
    <t>ταις εκκλησιαις (28) ευτονως</t>
  </si>
  <si>
    <t>ταις εκκλη (28) ευτονως</t>
  </si>
  <si>
    <t>διακατηλεγχετο διαλεγομενος δημοσια και</t>
  </si>
  <si>
    <t>διακατηλεγχετο δημοσια διαλεγομενος και</t>
  </si>
  <si>
    <t xml:space="preserve">οι δε προς αυτον </t>
  </si>
  <si>
    <t xml:space="preserve">οι δε ειπον προς αυτον </t>
  </si>
  <si>
    <t>αλλ ουδε ει πνα αγιον εστιν ηκουσαμεν</t>
  </si>
  <si>
    <r>
      <t xml:space="preserve">αλλ </t>
    </r>
    <r>
      <rPr>
        <b/>
        <sz val="11"/>
        <color theme="1"/>
        <rFont val="Calibri"/>
        <family val="2"/>
        <scheme val="minor"/>
      </rPr>
      <t>ουδε</t>
    </r>
    <r>
      <rPr>
        <sz val="11"/>
        <color theme="1"/>
        <rFont val="Calibri"/>
        <family val="2"/>
        <scheme val="minor"/>
      </rPr>
      <t xml:space="preserve"> πνα αγιον λαμβανουσιν τινες ηκουσαμεν</t>
    </r>
  </si>
  <si>
    <r>
      <t xml:space="preserve">αλλ </t>
    </r>
    <r>
      <rPr>
        <b/>
        <sz val="11"/>
        <color theme="1"/>
        <rFont val="Calibri"/>
        <family val="2"/>
        <scheme val="minor"/>
      </rPr>
      <t>ουδε</t>
    </r>
    <r>
      <rPr>
        <sz val="11"/>
        <color theme="1"/>
        <rFont val="Calibri"/>
        <family val="2"/>
        <scheme val="minor"/>
      </rPr>
      <t xml:space="preserve"> ει πνα αγιον εστιν ηκουσαμεν</t>
    </r>
  </si>
  <si>
    <t>Bezae corrects ουδε -&gt; ουδ ει</t>
  </si>
  <si>
    <r>
      <t xml:space="preserve">αλλ ουδε πνα αγιον </t>
    </r>
    <r>
      <rPr>
        <b/>
        <sz val="11"/>
        <color theme="1"/>
        <rFont val="Calibri"/>
        <family val="2"/>
        <scheme val="minor"/>
      </rPr>
      <t>λαμβανουσιν</t>
    </r>
    <r>
      <rPr>
        <sz val="11"/>
        <color theme="1"/>
        <rFont val="Calibri"/>
        <family val="2"/>
        <scheme val="minor"/>
      </rPr>
      <t xml:space="preserve"> τινες ηκουσαμεν</t>
    </r>
  </si>
  <si>
    <r>
      <t xml:space="preserve">αλλ ουδε ει πνα αγιον </t>
    </r>
    <r>
      <rPr>
        <b/>
        <sz val="11"/>
        <color theme="1"/>
        <rFont val="Calibri"/>
        <family val="2"/>
        <scheme val="minor"/>
      </rPr>
      <t>εστιν</t>
    </r>
    <r>
      <rPr>
        <sz val="11"/>
        <color theme="1"/>
        <rFont val="Calibri"/>
        <family val="2"/>
        <scheme val="minor"/>
      </rPr>
      <t xml:space="preserve"> ηκουσαμεν</t>
    </r>
  </si>
  <si>
    <r>
      <t xml:space="preserve">αλλ ουδε πνα αγιον λαμβανουσιν </t>
    </r>
    <r>
      <rPr>
        <b/>
        <sz val="11"/>
        <color theme="1"/>
        <rFont val="Calibri"/>
        <family val="2"/>
        <scheme val="minor"/>
      </rPr>
      <t>τινες</t>
    </r>
    <r>
      <rPr>
        <sz val="11"/>
        <color theme="1"/>
        <rFont val="Calibri"/>
        <family val="2"/>
        <scheme val="minor"/>
      </rPr>
      <t xml:space="preserve"> ηκουσαμεν</t>
    </r>
  </si>
  <si>
    <t>τουτ εστιν εις χρν (5) ακουσαντες</t>
  </si>
  <si>
    <r>
      <t xml:space="preserve">τουτεστιν εις </t>
    </r>
    <r>
      <rPr>
        <b/>
        <sz val="11"/>
        <color theme="1"/>
        <rFont val="Calibri"/>
        <family val="2"/>
        <scheme val="minor"/>
      </rPr>
      <t>τον</t>
    </r>
    <r>
      <rPr>
        <sz val="11"/>
        <color theme="1"/>
        <rFont val="Calibri"/>
        <family val="2"/>
        <scheme val="minor"/>
      </rPr>
      <t xml:space="preserve"> χν ιησουν  (5) ακουσαντες</t>
    </r>
  </si>
  <si>
    <r>
      <t xml:space="preserve">τουτεστιν εις τον χν </t>
    </r>
    <r>
      <rPr>
        <b/>
        <sz val="11"/>
        <color theme="1"/>
        <rFont val="Calibri"/>
        <family val="2"/>
        <scheme val="minor"/>
      </rPr>
      <t>ιησουν</t>
    </r>
    <r>
      <rPr>
        <sz val="11"/>
        <color theme="1"/>
        <rFont val="Calibri"/>
        <family val="2"/>
        <scheme val="minor"/>
      </rPr>
      <t xml:space="preserve">  (5) ακουσαντες</t>
    </r>
  </si>
  <si>
    <t>ονομα κυ ιηυ χρυ εις αφεσιν</t>
  </si>
  <si>
    <r>
      <t xml:space="preserve">ονομα κυ ιηυ </t>
    </r>
    <r>
      <rPr>
        <b/>
        <sz val="11"/>
        <color theme="1"/>
        <rFont val="Calibri"/>
        <family val="2"/>
        <scheme val="minor"/>
      </rPr>
      <t>χρυ</t>
    </r>
    <r>
      <rPr>
        <sz val="11"/>
        <color theme="1"/>
        <rFont val="Calibri"/>
        <family val="2"/>
        <scheme val="minor"/>
      </rPr>
      <t xml:space="preserve"> εις αφεσιν</t>
    </r>
  </si>
  <si>
    <t>επιθεντος αυτοις</t>
  </si>
  <si>
    <t>χειρα του παυλου</t>
  </si>
  <si>
    <t>χειρας του παυλου</t>
  </si>
  <si>
    <r>
      <t xml:space="preserve">επ </t>
    </r>
    <r>
      <rPr>
        <b/>
        <sz val="11"/>
        <color theme="1"/>
        <rFont val="Calibri"/>
        <family val="2"/>
        <scheme val="minor"/>
      </rPr>
      <t>αυτους</t>
    </r>
    <r>
      <rPr>
        <sz val="11"/>
        <color theme="1"/>
        <rFont val="Calibri"/>
        <family val="2"/>
        <scheme val="minor"/>
      </rPr>
      <t xml:space="preserve"> ελαλουν τε γλωσσαις</t>
    </r>
  </si>
  <si>
    <r>
      <t xml:space="preserve">επ αυτους </t>
    </r>
    <r>
      <rPr>
        <b/>
        <sz val="11"/>
        <color theme="1"/>
        <rFont val="Calibri"/>
        <family val="2"/>
        <scheme val="minor"/>
      </rPr>
      <t>ελαλουν</t>
    </r>
    <r>
      <rPr>
        <sz val="11"/>
        <color theme="1"/>
        <rFont val="Calibri"/>
        <family val="2"/>
        <scheme val="minor"/>
      </rPr>
      <t xml:space="preserve"> τε γλωσσαις</t>
    </r>
  </si>
  <si>
    <r>
      <t xml:space="preserve">επ αυτοις </t>
    </r>
    <r>
      <rPr>
        <b/>
        <sz val="11"/>
        <color theme="1"/>
        <rFont val="Calibri"/>
        <family val="2"/>
        <scheme val="minor"/>
      </rPr>
      <t>λαλουν</t>
    </r>
    <r>
      <rPr>
        <sz val="11"/>
        <color theme="1"/>
        <rFont val="Calibri"/>
        <family val="2"/>
        <scheme val="minor"/>
      </rPr>
      <t xml:space="preserve"> δε γλωσσαις</t>
    </r>
  </si>
  <si>
    <r>
      <t xml:space="preserve">επ </t>
    </r>
    <r>
      <rPr>
        <b/>
        <sz val="11"/>
        <color theme="1"/>
        <rFont val="Calibri"/>
        <family val="2"/>
        <scheme val="minor"/>
      </rPr>
      <t>αυτοις</t>
    </r>
    <r>
      <rPr>
        <sz val="11"/>
        <color theme="1"/>
        <rFont val="Calibri"/>
        <family val="2"/>
        <scheme val="minor"/>
      </rPr>
      <t xml:space="preserve"> λαλουν δε γλωσσαις</t>
    </r>
  </si>
  <si>
    <r>
      <t xml:space="preserve">επ αυτοις λαλουν </t>
    </r>
    <r>
      <rPr>
        <b/>
        <sz val="11"/>
        <color theme="1"/>
        <rFont val="Calibri"/>
        <family val="2"/>
        <scheme val="minor"/>
      </rPr>
      <t>δε</t>
    </r>
    <r>
      <rPr>
        <sz val="11"/>
        <color theme="1"/>
        <rFont val="Calibri"/>
        <family val="2"/>
        <scheme val="minor"/>
      </rPr>
      <t xml:space="preserve"> γλωσσαις</t>
    </r>
  </si>
  <si>
    <r>
      <t xml:space="preserve">επ αυτους ελαλουν </t>
    </r>
    <r>
      <rPr>
        <b/>
        <sz val="11"/>
        <color theme="1"/>
        <rFont val="Calibri"/>
        <family val="2"/>
        <scheme val="minor"/>
      </rPr>
      <t>τε</t>
    </r>
    <r>
      <rPr>
        <sz val="11"/>
        <color theme="1"/>
        <rFont val="Calibri"/>
        <family val="2"/>
        <scheme val="minor"/>
      </rPr>
      <t xml:space="preserve"> γλωσσαις</t>
    </r>
  </si>
  <si>
    <t>τινος (10) τουτο</t>
  </si>
  <si>
    <t>τινος απο ωρας ε εως δεκατης (10) τουτο</t>
  </si>
  <si>
    <t>(10) ετη δυο εως παντες οι κατοικουντες την ασιας ηκουσαν τους λογους του κυ ιουδαιοι και ελληνες (11) δυναμεις δε ου τας</t>
  </si>
  <si>
    <r>
      <t xml:space="preserve">(10) ετη δυο </t>
    </r>
    <r>
      <rPr>
        <b/>
        <sz val="11"/>
        <color theme="1"/>
        <rFont val="Calibri"/>
        <family val="2"/>
        <scheme val="minor"/>
      </rPr>
      <t>εως</t>
    </r>
    <r>
      <rPr>
        <sz val="11"/>
        <color theme="1"/>
        <rFont val="Calibri"/>
        <family val="2"/>
        <scheme val="minor"/>
      </rPr>
      <t xml:space="preserve"> παντες οι κατοικουντες την ασιας ηκουσαν τους λογους του κυ ιουδαιοι και ελληνες (11) δυναμεις δε ου τας</t>
    </r>
  </si>
  <si>
    <r>
      <t xml:space="preserve">(10) ετη δυο </t>
    </r>
    <r>
      <rPr>
        <b/>
        <sz val="11"/>
        <color theme="1"/>
        <rFont val="Calibri"/>
        <family val="2"/>
        <scheme val="minor"/>
      </rPr>
      <t>ωστε</t>
    </r>
    <r>
      <rPr>
        <sz val="11"/>
        <color theme="1"/>
        <rFont val="Calibri"/>
        <family val="2"/>
        <scheme val="minor"/>
      </rPr>
      <t xml:space="preserve"> απαντας τους κατοικουντας την ασιαν ακουσαι τον λογον του κυ ιουδαιους τε και ελληνας  (11) δυναμεις τε ου τας</t>
    </r>
  </si>
  <si>
    <r>
      <t xml:space="preserve">(10) ετη δυο εως </t>
    </r>
    <r>
      <rPr>
        <b/>
        <sz val="11"/>
        <color theme="1"/>
        <rFont val="Calibri"/>
        <family val="2"/>
        <scheme val="minor"/>
      </rPr>
      <t>παντες</t>
    </r>
    <r>
      <rPr>
        <sz val="11"/>
        <color theme="1"/>
        <rFont val="Calibri"/>
        <family val="2"/>
        <scheme val="minor"/>
      </rPr>
      <t xml:space="preserve"> οι κατοικουντες την ασιας ηκουσαν τους λογους του κυ ιουδαιοι και ελληνες (11) δυναμεις δε ου τας</t>
    </r>
  </si>
  <si>
    <r>
      <t xml:space="preserve">(10) ετη δυο ωστε </t>
    </r>
    <r>
      <rPr>
        <b/>
        <sz val="11"/>
        <color theme="1"/>
        <rFont val="Calibri"/>
        <family val="2"/>
        <scheme val="minor"/>
      </rPr>
      <t>απαντας</t>
    </r>
    <r>
      <rPr>
        <sz val="11"/>
        <color theme="1"/>
        <rFont val="Calibri"/>
        <family val="2"/>
        <scheme val="minor"/>
      </rPr>
      <t xml:space="preserve"> τους κατοικουντας την ασιαν ακουσαι τον λογον του κυ ιουδαιους τε και ελληνας  (11) δυναμεις τε ου τας</t>
    </r>
  </si>
  <si>
    <r>
      <t xml:space="preserve">(10) ετη δυο εως παντες οι κατοικουντες την </t>
    </r>
    <r>
      <rPr>
        <b/>
        <sz val="11"/>
        <color theme="1"/>
        <rFont val="Calibri"/>
        <family val="2"/>
        <scheme val="minor"/>
      </rPr>
      <t>ασιας</t>
    </r>
    <r>
      <rPr>
        <sz val="11"/>
        <color theme="1"/>
        <rFont val="Calibri"/>
        <family val="2"/>
        <scheme val="minor"/>
      </rPr>
      <t xml:space="preserve"> ηκουσαν τους λογους του κυ ιουδαιοι και ελληνες (11) δυναμεις δε ου τας</t>
    </r>
  </si>
  <si>
    <r>
      <t xml:space="preserve">(10) ετη δυο ωστε απαντας τους κατοικουντας την </t>
    </r>
    <r>
      <rPr>
        <b/>
        <sz val="11"/>
        <color theme="1"/>
        <rFont val="Calibri"/>
        <family val="2"/>
        <scheme val="minor"/>
      </rPr>
      <t>ασιαν</t>
    </r>
    <r>
      <rPr>
        <sz val="11"/>
        <color theme="1"/>
        <rFont val="Calibri"/>
        <family val="2"/>
        <scheme val="minor"/>
      </rPr>
      <t xml:space="preserve"> ακουσαι τον λογον του κυ ιουδαιους τε και ελληνας  (11) δυναμεις τε ου τας</t>
    </r>
  </si>
  <si>
    <r>
      <t xml:space="preserve">(10) ετη δυο εως παντες οι κατοικουντες την ασιας </t>
    </r>
    <r>
      <rPr>
        <b/>
        <sz val="11"/>
        <color theme="1"/>
        <rFont val="Calibri"/>
        <family val="2"/>
        <scheme val="minor"/>
      </rPr>
      <t>ηκουσαν</t>
    </r>
    <r>
      <rPr>
        <sz val="11"/>
        <color theme="1"/>
        <rFont val="Calibri"/>
        <family val="2"/>
        <scheme val="minor"/>
      </rPr>
      <t xml:space="preserve"> τους λογους του κυ ιουδαιοι και ελληνες (11) δυναμεις δε ου τας</t>
    </r>
  </si>
  <si>
    <r>
      <t xml:space="preserve">(10) ετη δυο ωστε απαντας τους κατοικουντας την ασιαν </t>
    </r>
    <r>
      <rPr>
        <b/>
        <sz val="11"/>
        <color theme="1"/>
        <rFont val="Calibri"/>
        <family val="2"/>
        <scheme val="minor"/>
      </rPr>
      <t>ακουσαι</t>
    </r>
    <r>
      <rPr>
        <sz val="11"/>
        <color theme="1"/>
        <rFont val="Calibri"/>
        <family val="2"/>
        <scheme val="minor"/>
      </rPr>
      <t xml:space="preserve"> τον λογον του κυ ιουδαιους τε και ελληνας  (11) δυναμεις τε ου τας</t>
    </r>
  </si>
  <si>
    <r>
      <t xml:space="preserve">(10) ετη δυο εως παντες οι κατοικουντες την ασιας ηκουσαν </t>
    </r>
    <r>
      <rPr>
        <b/>
        <sz val="11"/>
        <color theme="1"/>
        <rFont val="Calibri"/>
        <family val="2"/>
        <scheme val="minor"/>
      </rPr>
      <t>τους λογους</t>
    </r>
    <r>
      <rPr>
        <sz val="11"/>
        <color theme="1"/>
        <rFont val="Calibri"/>
        <family val="2"/>
        <scheme val="minor"/>
      </rPr>
      <t xml:space="preserve"> του κυ ιουδαιοι και ελληνες (11) δυναμεις δε ου τας</t>
    </r>
  </si>
  <si>
    <r>
      <t xml:space="preserve">(10) ετη δυο ωστε απαντας τους κατοικουντας την ασιαν ακουσαι </t>
    </r>
    <r>
      <rPr>
        <b/>
        <sz val="11"/>
        <color theme="1"/>
        <rFont val="Calibri"/>
        <family val="2"/>
        <scheme val="minor"/>
      </rPr>
      <t>τον λογον</t>
    </r>
    <r>
      <rPr>
        <sz val="11"/>
        <color theme="1"/>
        <rFont val="Calibri"/>
        <family val="2"/>
        <scheme val="minor"/>
      </rPr>
      <t xml:space="preserve"> του κυ ιουδαιους τε και ελληνας  (11) δυναμεις τε ου τας</t>
    </r>
  </si>
  <si>
    <r>
      <t xml:space="preserve">(10) ετη δυο εως παντες οι κατοικουντες την ασιας ηκουσαν τους λογους του κυ ιουδαιοι και ελληνες (11) δυναμεις </t>
    </r>
    <r>
      <rPr>
        <b/>
        <sz val="11"/>
        <color theme="1"/>
        <rFont val="Calibri"/>
        <family val="2"/>
        <scheme val="minor"/>
      </rPr>
      <t>δε</t>
    </r>
    <r>
      <rPr>
        <sz val="11"/>
        <color theme="1"/>
        <rFont val="Calibri"/>
        <family val="2"/>
        <scheme val="minor"/>
      </rPr>
      <t xml:space="preserve"> ου τας</t>
    </r>
  </si>
  <si>
    <r>
      <t xml:space="preserve">(10) ετη δυο ωστε απαντας τους κατοικουντας την ασιαν ακουσαι τον λογον του κυ ιουδαιους τε και ελληνας  (11) δυναμεις </t>
    </r>
    <r>
      <rPr>
        <b/>
        <sz val="11"/>
        <color theme="1"/>
        <rFont val="Calibri"/>
        <family val="2"/>
        <scheme val="minor"/>
      </rPr>
      <t>τε</t>
    </r>
    <r>
      <rPr>
        <sz val="11"/>
        <color theme="1"/>
        <rFont val="Calibri"/>
        <family val="2"/>
        <scheme val="minor"/>
      </rPr>
      <t xml:space="preserve"> ου τας</t>
    </r>
  </si>
  <si>
    <r>
      <t xml:space="preserve">(10) ετη δυο ωστε απαντας τους κατοικουντας την ασιαν ακουσαι τον λογον του κυ ιουδαιους </t>
    </r>
    <r>
      <rPr>
        <b/>
        <sz val="11"/>
        <color theme="1"/>
        <rFont val="Calibri"/>
        <family val="2"/>
        <scheme val="minor"/>
      </rPr>
      <t>τε</t>
    </r>
    <r>
      <rPr>
        <sz val="11"/>
        <color theme="1"/>
        <rFont val="Calibri"/>
        <family val="2"/>
        <scheme val="minor"/>
      </rPr>
      <t xml:space="preserve"> και ελληνας  (11) δυναμεις τε ου τας</t>
    </r>
  </si>
  <si>
    <t>περιερχομενω ιουδαιων</t>
  </si>
  <si>
    <t>Bezae inserts του before κυ</t>
  </si>
  <si>
    <t>ιερεως εθελησαν</t>
  </si>
  <si>
    <t>ιερεως ηθελησαν</t>
  </si>
  <si>
    <t xml:space="preserve">ηρξαντο επικαλεισθαι </t>
  </si>
  <si>
    <r>
      <t xml:space="preserve">ηρξαντο </t>
    </r>
    <r>
      <rPr>
        <b/>
        <sz val="11"/>
        <color theme="1"/>
        <rFont val="Calibri"/>
        <family val="2"/>
        <scheme val="minor"/>
      </rPr>
      <t xml:space="preserve">παρα </t>
    </r>
    <r>
      <rPr>
        <sz val="11"/>
        <color theme="1"/>
        <rFont val="Calibri"/>
        <family val="2"/>
        <scheme val="minor"/>
      </rPr>
      <t>παρακαλεισθαι</t>
    </r>
  </si>
  <si>
    <r>
      <t xml:space="preserve">ηρξαντο παρα </t>
    </r>
    <r>
      <rPr>
        <b/>
        <sz val="11"/>
        <color theme="1"/>
        <rFont val="Calibri"/>
        <family val="2"/>
        <scheme val="minor"/>
      </rPr>
      <t>παρακαλεισθαι</t>
    </r>
  </si>
  <si>
    <r>
      <t xml:space="preserve">ηρξαντο </t>
    </r>
    <r>
      <rPr>
        <b/>
        <sz val="11"/>
        <color theme="1"/>
        <rFont val="Calibri"/>
        <family val="2"/>
        <scheme val="minor"/>
      </rPr>
      <t>επικαλεισθαι</t>
    </r>
    <r>
      <rPr>
        <sz val="11"/>
        <color theme="1"/>
        <rFont val="Calibri"/>
        <family val="2"/>
        <scheme val="minor"/>
      </rPr>
      <t xml:space="preserve"> </t>
    </r>
  </si>
  <si>
    <t>παυλος κηρυσσει εξελθειν (15) τοτε</t>
  </si>
  <si>
    <t>πονηρον ειπεν</t>
  </si>
  <si>
    <t>πονηρον και ειπεν</t>
  </si>
  <si>
    <t>αμφοτερων εισχυσεν</t>
  </si>
  <si>
    <t>Bezae corrects εισχυσεν -&gt; ισχυσεν</t>
  </si>
  <si>
    <t xml:space="preserve">πασι ιουδαιοις και ελλησιν τοις </t>
  </si>
  <si>
    <r>
      <rPr>
        <b/>
        <sz val="11"/>
        <color theme="1"/>
        <rFont val="Calibri"/>
        <family val="2"/>
        <scheme val="minor"/>
      </rPr>
      <t>πασι</t>
    </r>
    <r>
      <rPr>
        <sz val="11"/>
        <color theme="1"/>
        <rFont val="Calibri"/>
        <family val="2"/>
        <scheme val="minor"/>
      </rPr>
      <t xml:space="preserve"> ιουδαιοις και ελλησιν τοις </t>
    </r>
  </si>
  <si>
    <r>
      <rPr>
        <b/>
        <sz val="11"/>
        <color theme="1"/>
        <rFont val="Calibri"/>
        <family val="2"/>
        <scheme val="minor"/>
      </rPr>
      <t>πασιν</t>
    </r>
    <r>
      <rPr>
        <sz val="11"/>
        <color theme="1"/>
        <rFont val="Calibri"/>
        <family val="2"/>
        <scheme val="minor"/>
      </rPr>
      <t xml:space="preserve"> ιουδαιοις τε και ελλησι τοις </t>
    </r>
  </si>
  <si>
    <r>
      <t xml:space="preserve">πασιν ιουδαιοις </t>
    </r>
    <r>
      <rPr>
        <b/>
        <sz val="11"/>
        <color theme="1"/>
        <rFont val="Calibri"/>
        <family val="2"/>
        <scheme val="minor"/>
      </rPr>
      <t>τε</t>
    </r>
    <r>
      <rPr>
        <sz val="11"/>
        <color theme="1"/>
        <rFont val="Calibri"/>
        <family val="2"/>
        <scheme val="minor"/>
      </rPr>
      <t xml:space="preserve"> και ελλησι τοις </t>
    </r>
  </si>
  <si>
    <r>
      <t xml:space="preserve">πασιν ιουδαιοις τε και </t>
    </r>
    <r>
      <rPr>
        <b/>
        <sz val="11"/>
        <color theme="1"/>
        <rFont val="Calibri"/>
        <family val="2"/>
        <scheme val="minor"/>
      </rPr>
      <t>ελλησι</t>
    </r>
    <r>
      <rPr>
        <sz val="11"/>
        <color theme="1"/>
        <rFont val="Calibri"/>
        <family val="2"/>
        <scheme val="minor"/>
      </rPr>
      <t xml:space="preserve"> τοις </t>
    </r>
  </si>
  <si>
    <r>
      <t xml:space="preserve">πασι ιουδαιοις και </t>
    </r>
    <r>
      <rPr>
        <b/>
        <sz val="11"/>
        <color theme="1"/>
        <rFont val="Calibri"/>
        <family val="2"/>
        <scheme val="minor"/>
      </rPr>
      <t>ελλησιν</t>
    </r>
    <r>
      <rPr>
        <sz val="11"/>
        <color theme="1"/>
        <rFont val="Calibri"/>
        <family val="2"/>
        <scheme val="minor"/>
      </rPr>
      <t xml:space="preserve"> τοις </t>
    </r>
  </si>
  <si>
    <t>και επεσεν φοβος επι παντας</t>
  </si>
  <si>
    <t>και φοβος επεσεν επι παντας</t>
  </si>
  <si>
    <t>ικανοι των περι τα εργα πραξαντων</t>
  </si>
  <si>
    <r>
      <t xml:space="preserve">ικανοι </t>
    </r>
    <r>
      <rPr>
        <b/>
        <sz val="11"/>
        <color theme="1"/>
        <rFont val="Calibri"/>
        <family val="2"/>
        <scheme val="minor"/>
      </rPr>
      <t>δε</t>
    </r>
    <r>
      <rPr>
        <sz val="11"/>
        <color theme="1"/>
        <rFont val="Calibri"/>
        <family val="2"/>
        <scheme val="minor"/>
      </rPr>
      <t xml:space="preserve"> των τα περιεργα πραξαντων</t>
    </r>
  </si>
  <si>
    <r>
      <rPr>
        <b/>
        <sz val="11"/>
        <color theme="1"/>
        <rFont val="Calibri"/>
        <family val="2"/>
        <scheme val="minor"/>
      </rPr>
      <t>βιβλους</t>
    </r>
    <r>
      <rPr>
        <sz val="11"/>
        <color theme="1"/>
        <rFont val="Calibri"/>
        <family val="2"/>
        <scheme val="minor"/>
      </rPr>
      <t xml:space="preserve"> καταικεον</t>
    </r>
  </si>
  <si>
    <r>
      <rPr>
        <b/>
        <sz val="11"/>
        <color theme="1"/>
        <rFont val="Calibri"/>
        <family val="2"/>
        <scheme val="minor"/>
      </rPr>
      <t>βιβλου</t>
    </r>
    <r>
      <rPr>
        <sz val="11"/>
        <color theme="1"/>
        <rFont val="Calibri"/>
        <family val="2"/>
        <scheme val="minor"/>
      </rPr>
      <t xml:space="preserve"> κατεκεον</t>
    </r>
  </si>
  <si>
    <r>
      <t xml:space="preserve">βιβλου </t>
    </r>
    <r>
      <rPr>
        <b/>
        <sz val="11"/>
        <color theme="1"/>
        <rFont val="Calibri"/>
        <family val="2"/>
        <scheme val="minor"/>
      </rPr>
      <t>κατεκεον</t>
    </r>
  </si>
  <si>
    <r>
      <t xml:space="preserve">βιβλους </t>
    </r>
    <r>
      <rPr>
        <b/>
        <sz val="11"/>
        <color theme="1"/>
        <rFont val="Calibri"/>
        <family val="2"/>
        <scheme val="minor"/>
      </rPr>
      <t>καταικεον</t>
    </r>
  </si>
  <si>
    <t>συνεψηφισαν</t>
  </si>
  <si>
    <t>αυτων και ευρον</t>
  </si>
  <si>
    <t>αυτων ευρον</t>
  </si>
  <si>
    <r>
      <t xml:space="preserve">θεου </t>
    </r>
    <r>
      <rPr>
        <b/>
        <sz val="11"/>
        <color theme="1"/>
        <rFont val="Calibri"/>
        <family val="2"/>
        <scheme val="minor"/>
      </rPr>
      <t>ηυξανεν</t>
    </r>
    <r>
      <rPr>
        <sz val="11"/>
        <color theme="1"/>
        <rFont val="Calibri"/>
        <family val="2"/>
        <scheme val="minor"/>
      </rPr>
      <t xml:space="preserve"> και επληθυνετο (21) τοτε</t>
    </r>
  </si>
  <si>
    <r>
      <t>θυ ηυξανεν και</t>
    </r>
    <r>
      <rPr>
        <b/>
        <sz val="11"/>
        <color theme="1"/>
        <rFont val="Calibri"/>
        <family val="2"/>
        <scheme val="minor"/>
      </rPr>
      <t xml:space="preserve"> επληθυνε</t>
    </r>
    <r>
      <rPr>
        <sz val="11"/>
        <color theme="1"/>
        <rFont val="Calibri"/>
        <family val="2"/>
        <scheme val="minor"/>
      </rPr>
      <t xml:space="preserve"> (21) τοτε</t>
    </r>
  </si>
  <si>
    <r>
      <t xml:space="preserve">θεου ηυξανεν και </t>
    </r>
    <r>
      <rPr>
        <b/>
        <sz val="11"/>
        <color theme="1"/>
        <rFont val="Calibri"/>
        <family val="2"/>
        <scheme val="minor"/>
      </rPr>
      <t>επληθυνετο</t>
    </r>
    <r>
      <rPr>
        <sz val="11"/>
        <color theme="1"/>
        <rFont val="Calibri"/>
        <family val="2"/>
        <scheme val="minor"/>
      </rPr>
      <t xml:space="preserve"> (21) τοτε</t>
    </r>
  </si>
  <si>
    <t>τοτε ο παυλος</t>
  </si>
  <si>
    <t>τοτε παυλος</t>
  </si>
  <si>
    <t>και την αχαιαν</t>
  </si>
  <si>
    <t>και αχαιαν</t>
  </si>
  <si>
    <t>ιεροσολυσολυμα ειπων</t>
  </si>
  <si>
    <t>ιερουσαλημ ειπων</t>
  </si>
  <si>
    <t>ρωμην ειδειν (22) και αποστειλας</t>
  </si>
  <si>
    <t>ρωμην εινειν (22) και αποστειλας</t>
  </si>
  <si>
    <t xml:space="preserve">ουχ ολιγος </t>
  </si>
  <si>
    <t xml:space="preserve">ουκ ολιγος </t>
  </si>
  <si>
    <t xml:space="preserve">παρειχε τοις </t>
  </si>
  <si>
    <t xml:space="preserve">παρειχεν τοις </t>
  </si>
  <si>
    <t>Bezae corrects to τεχνετας</t>
  </si>
  <si>
    <t>θεωρειται οτι ου μονον</t>
  </si>
  <si>
    <t>θεωρειται ου μονον</t>
  </si>
  <si>
    <t>πασης της ασιας</t>
  </si>
  <si>
    <t>πασης ασιας</t>
  </si>
  <si>
    <t>ουτος μετεστησεν</t>
  </si>
  <si>
    <t>ουτος τις τοτε πισας μετεστησεν</t>
  </si>
  <si>
    <t>γεινομενοι</t>
  </si>
  <si>
    <t>Bezae corrects to κινδυνευσει</t>
  </si>
  <si>
    <t>λογισθησεται αλλα</t>
  </si>
  <si>
    <t>λογισθηναι αλλα</t>
  </si>
  <si>
    <t>αλλα και καθερισθαι</t>
  </si>
  <si>
    <t>αλλα καθερισθαι</t>
  </si>
  <si>
    <t>μελλει η ολη</t>
  </si>
  <si>
    <t>μελλει ην ολη</t>
  </si>
  <si>
    <t>ολη η ασια</t>
  </si>
  <si>
    <t>ολη ασια</t>
  </si>
  <si>
    <t>ακουσαντες και και γενομενοι</t>
  </si>
  <si>
    <t>ακουσαντες και γενομενοι</t>
  </si>
  <si>
    <t>θυμου δραμοντες</t>
  </si>
  <si>
    <t>θυμου θραμοντες</t>
  </si>
  <si>
    <t>μεγαλη η αρτεμις</t>
  </si>
  <si>
    <t>μεγαλη αρτεμις</t>
  </si>
  <si>
    <t>και επλησθη ολη</t>
  </si>
  <si>
    <t>και συνεχυθη ολη</t>
  </si>
  <si>
    <t>πολις της συγχυσεως</t>
  </si>
  <si>
    <t>πολις αισχυνης</t>
  </si>
  <si>
    <t>Bezae corrects αισχυνης -&gt; της συνχυσεως</t>
  </si>
  <si>
    <t>μακεδονας</t>
  </si>
  <si>
    <t>συνεκδημους παυλου</t>
  </si>
  <si>
    <t>συνεκδημους του παυλου</t>
  </si>
  <si>
    <t>οχλου προεβιβασαν</t>
  </si>
  <si>
    <t>οχλου κατεβιβασαν</t>
  </si>
  <si>
    <t>εστιν ανθρωπος</t>
  </si>
  <si>
    <t>εστιν ο ανθρωπος</t>
  </si>
  <si>
    <r>
      <t xml:space="preserve">την </t>
    </r>
    <r>
      <rPr>
        <b/>
        <sz val="11"/>
        <color theme="1"/>
        <rFont val="Calibri"/>
        <family val="2"/>
        <scheme val="minor"/>
      </rPr>
      <t>θεαν</t>
    </r>
    <r>
      <rPr>
        <sz val="11"/>
        <color theme="1"/>
        <rFont val="Calibri"/>
        <family val="2"/>
        <scheme val="minor"/>
      </rPr>
      <t xml:space="preserve"> ημων (38) ει μεν</t>
    </r>
  </si>
  <si>
    <r>
      <t xml:space="preserve">την </t>
    </r>
    <r>
      <rPr>
        <b/>
        <sz val="11"/>
        <color theme="1"/>
        <rFont val="Calibri"/>
        <family val="2"/>
        <scheme val="minor"/>
      </rPr>
      <t>θεαν</t>
    </r>
    <r>
      <rPr>
        <sz val="11"/>
        <color theme="1"/>
        <rFont val="Calibri"/>
        <family val="2"/>
        <scheme val="minor"/>
      </rPr>
      <t xml:space="preserve"> υμων (38) ει μεν</t>
    </r>
  </si>
  <si>
    <r>
      <t xml:space="preserve">την θεαν </t>
    </r>
    <r>
      <rPr>
        <b/>
        <sz val="11"/>
        <color theme="1"/>
        <rFont val="Calibri"/>
        <family val="2"/>
        <scheme val="minor"/>
      </rPr>
      <t>ημων</t>
    </r>
    <r>
      <rPr>
        <sz val="11"/>
        <color theme="1"/>
        <rFont val="Calibri"/>
        <family val="2"/>
        <scheme val="minor"/>
      </rPr>
      <t xml:space="preserve"> (38) ει μεν</t>
    </r>
  </si>
  <si>
    <r>
      <t xml:space="preserve">την θεαν </t>
    </r>
    <r>
      <rPr>
        <b/>
        <sz val="11"/>
        <color theme="1"/>
        <rFont val="Calibri"/>
        <family val="2"/>
        <scheme val="minor"/>
      </rPr>
      <t>υμων</t>
    </r>
    <r>
      <rPr>
        <sz val="11"/>
        <color theme="1"/>
        <rFont val="Calibri"/>
        <family val="2"/>
        <scheme val="minor"/>
      </rPr>
      <t xml:space="preserve"> (38) ει μεν</t>
    </r>
  </si>
  <si>
    <t>Bezae corrects to θεον</t>
  </si>
  <si>
    <t>ουτος και οι συν αυτω</t>
  </si>
  <si>
    <t>ουτος οι και συν αυτω</t>
  </si>
  <si>
    <t>εχουσιν τινα λογον προς αυτους αγοραιοι</t>
  </si>
  <si>
    <t>ετερων επιζητειτε</t>
  </si>
  <si>
    <t>ετερων ζητειτε</t>
  </si>
  <si>
    <r>
      <t xml:space="preserve">εν τω νομω </t>
    </r>
    <r>
      <rPr>
        <b/>
        <sz val="11"/>
        <color theme="1"/>
        <rFont val="Calibri"/>
        <family val="2"/>
        <scheme val="minor"/>
      </rPr>
      <t>εκκλησια</t>
    </r>
    <r>
      <rPr>
        <sz val="11"/>
        <color theme="1"/>
        <rFont val="Calibri"/>
        <family val="2"/>
        <scheme val="minor"/>
      </rPr>
      <t xml:space="preserve"> επιλυθησεται</t>
    </r>
  </si>
  <si>
    <r>
      <t xml:space="preserve">εν τη εννομω </t>
    </r>
    <r>
      <rPr>
        <b/>
        <sz val="11"/>
        <color theme="1"/>
        <rFont val="Calibri"/>
        <family val="2"/>
        <scheme val="minor"/>
      </rPr>
      <t>εκκλησια</t>
    </r>
    <r>
      <rPr>
        <sz val="11"/>
        <color theme="1"/>
        <rFont val="Calibri"/>
        <family val="2"/>
        <scheme val="minor"/>
      </rPr>
      <t xml:space="preserve"> επιλυθησεται</t>
    </r>
  </si>
  <si>
    <t>Bezae corrects to εκκλησιας</t>
  </si>
  <si>
    <t>της συστροφης ταυτης</t>
  </si>
  <si>
    <t>της συντροφης ταυτης</t>
  </si>
  <si>
    <t>απελυσεν την</t>
  </si>
  <si>
    <t>απελυσε την</t>
  </si>
  <si>
    <t>μετα δε παυσασθαι</t>
  </si>
  <si>
    <t>μετα δε το παυσασθαι</t>
  </si>
  <si>
    <t>πολλα παρακελευσας αποσπασαμενος εξηλθεν</t>
  </si>
  <si>
    <r>
      <t xml:space="preserve">πολλα </t>
    </r>
    <r>
      <rPr>
        <b/>
        <sz val="11"/>
        <color theme="1"/>
        <rFont val="Calibri"/>
        <family val="2"/>
        <scheme val="minor"/>
      </rPr>
      <t>παρακελευσας</t>
    </r>
    <r>
      <rPr>
        <sz val="11"/>
        <color theme="1"/>
        <rFont val="Calibri"/>
        <family val="2"/>
        <scheme val="minor"/>
      </rPr>
      <t xml:space="preserve"> αποσπασαμενος εξηλθεν</t>
    </r>
  </si>
  <si>
    <r>
      <t xml:space="preserve">πολλα </t>
    </r>
    <r>
      <rPr>
        <b/>
        <sz val="11"/>
        <color theme="1"/>
        <rFont val="Calibri"/>
        <family val="2"/>
        <scheme val="minor"/>
      </rPr>
      <t>παρακαλεσας</t>
    </r>
    <r>
      <rPr>
        <sz val="11"/>
        <color theme="1"/>
        <rFont val="Calibri"/>
        <family val="2"/>
        <scheme val="minor"/>
      </rPr>
      <t xml:space="preserve"> και ασπασαμενος εξηλθεν</t>
    </r>
  </si>
  <si>
    <r>
      <t xml:space="preserve">πολλα παρακαλεσας </t>
    </r>
    <r>
      <rPr>
        <b/>
        <sz val="11"/>
        <color theme="1"/>
        <rFont val="Calibri"/>
        <family val="2"/>
        <scheme val="minor"/>
      </rPr>
      <t>και</t>
    </r>
    <r>
      <rPr>
        <sz val="11"/>
        <color theme="1"/>
        <rFont val="Calibri"/>
        <family val="2"/>
        <scheme val="minor"/>
      </rPr>
      <t xml:space="preserve"> ασπασαμενος εξηλθεν</t>
    </r>
  </si>
  <si>
    <r>
      <t xml:space="preserve">πολλα παρακαλεσας και </t>
    </r>
    <r>
      <rPr>
        <b/>
        <sz val="11"/>
        <color theme="1"/>
        <rFont val="Calibri"/>
        <family val="2"/>
        <scheme val="minor"/>
      </rPr>
      <t>ασπασαμενος</t>
    </r>
    <r>
      <rPr>
        <sz val="11"/>
        <color theme="1"/>
        <rFont val="Calibri"/>
        <family val="2"/>
        <scheme val="minor"/>
      </rPr>
      <t xml:space="preserve"> εξηλθεν</t>
    </r>
  </si>
  <si>
    <r>
      <t xml:space="preserve">πολλα παρακελευσας </t>
    </r>
    <r>
      <rPr>
        <b/>
        <sz val="11"/>
        <color theme="1"/>
        <rFont val="Calibri"/>
        <family val="2"/>
        <scheme val="minor"/>
      </rPr>
      <t>αποσπασαμενος</t>
    </r>
    <r>
      <rPr>
        <sz val="11"/>
        <color theme="1"/>
        <rFont val="Calibri"/>
        <family val="2"/>
        <scheme val="minor"/>
      </rPr>
      <t xml:space="preserve"> εξηλθεν</t>
    </r>
  </si>
  <si>
    <t>Bezae inserts a τε after ασπασαμενος in its correction, but no και anywhere</t>
  </si>
  <si>
    <t>εις την μακεδονιαν</t>
  </si>
  <si>
    <t>εις μακεδονιαν</t>
  </si>
  <si>
    <t>μερη εκεινα</t>
  </si>
  <si>
    <t>μερη εκεινη</t>
  </si>
  <si>
    <r>
      <t xml:space="preserve">και </t>
    </r>
    <r>
      <rPr>
        <b/>
        <sz val="11"/>
        <color theme="1"/>
        <rFont val="Calibri"/>
        <family val="2"/>
        <scheme val="minor"/>
      </rPr>
      <t>χρησαμενος</t>
    </r>
    <r>
      <rPr>
        <sz val="11"/>
        <color theme="1"/>
        <rFont val="Calibri"/>
        <family val="2"/>
        <scheme val="minor"/>
      </rPr>
      <t xml:space="preserve"> λογω</t>
    </r>
  </si>
  <si>
    <r>
      <t xml:space="preserve">και </t>
    </r>
    <r>
      <rPr>
        <b/>
        <sz val="11"/>
        <color theme="1"/>
        <rFont val="Calibri"/>
        <family val="2"/>
        <scheme val="minor"/>
      </rPr>
      <t>παρακαλεσας</t>
    </r>
    <r>
      <rPr>
        <sz val="11"/>
        <color theme="1"/>
        <rFont val="Calibri"/>
        <family val="2"/>
        <scheme val="minor"/>
      </rPr>
      <t xml:space="preserve"> λογω</t>
    </r>
  </si>
  <si>
    <r>
      <t xml:space="preserve">και </t>
    </r>
    <r>
      <rPr>
        <b/>
        <sz val="11"/>
        <color theme="1"/>
        <rFont val="Calibri"/>
        <family val="2"/>
        <scheme val="minor"/>
      </rPr>
      <t>χρησαμενος λογω</t>
    </r>
  </si>
  <si>
    <r>
      <t xml:space="preserve">και </t>
    </r>
    <r>
      <rPr>
        <b/>
        <sz val="11"/>
        <color theme="1"/>
        <rFont val="Calibri"/>
        <family val="2"/>
        <scheme val="minor"/>
      </rPr>
      <t>παρακαλεσας λογω</t>
    </r>
  </si>
  <si>
    <t>Bezae seems to insert αυτου between these words, but only αυ- remains clearly visible</t>
  </si>
  <si>
    <t>γενεθεισης αυτω</t>
  </si>
  <si>
    <t>γενηθεις αυτω</t>
  </si>
  <si>
    <t>Bezae corrects to γενηθεισης αυτω</t>
  </si>
  <si>
    <t>συριαν ειπεν ειπεν δε</t>
  </si>
  <si>
    <t>συριαν ειπεν δε</t>
  </si>
  <si>
    <t>Bezae corrects to Βεροιαιος</t>
  </si>
  <si>
    <t>δερβαιος</t>
  </si>
  <si>
    <r>
      <t xml:space="preserve">εμενον </t>
    </r>
    <r>
      <rPr>
        <b/>
        <sz val="11"/>
        <color theme="1"/>
        <rFont val="Calibri"/>
        <family val="2"/>
        <scheme val="minor"/>
      </rPr>
      <t>αυτον</t>
    </r>
    <r>
      <rPr>
        <sz val="11"/>
        <color theme="1"/>
        <rFont val="Calibri"/>
        <family val="2"/>
        <scheme val="minor"/>
      </rPr>
      <t xml:space="preserve"> εν τροαδι (6) ημεις</t>
    </r>
  </si>
  <si>
    <r>
      <t xml:space="preserve">εμενον </t>
    </r>
    <r>
      <rPr>
        <b/>
        <sz val="11"/>
        <color theme="1"/>
        <rFont val="Calibri"/>
        <family val="2"/>
        <scheme val="minor"/>
      </rPr>
      <t>αυτω</t>
    </r>
    <r>
      <rPr>
        <sz val="11"/>
        <color theme="1"/>
        <rFont val="Calibri"/>
        <family val="2"/>
        <scheme val="minor"/>
      </rPr>
      <t xml:space="preserve"> εν τρωαδι (6) ημεις</t>
    </r>
  </si>
  <si>
    <r>
      <t xml:space="preserve">εμενον αυτω εν </t>
    </r>
    <r>
      <rPr>
        <b/>
        <sz val="11"/>
        <color theme="1"/>
        <rFont val="Calibri"/>
        <family val="2"/>
        <scheme val="minor"/>
      </rPr>
      <t>τρωαδι</t>
    </r>
    <r>
      <rPr>
        <sz val="11"/>
        <color theme="1"/>
        <rFont val="Calibri"/>
        <family val="2"/>
        <scheme val="minor"/>
      </rPr>
      <t xml:space="preserve"> (6) ημεις</t>
    </r>
  </si>
  <si>
    <r>
      <t xml:space="preserve">εμενον αυτον εν </t>
    </r>
    <r>
      <rPr>
        <b/>
        <sz val="11"/>
        <color theme="1"/>
        <rFont val="Calibri"/>
        <family val="2"/>
        <scheme val="minor"/>
      </rPr>
      <t>τροαδι</t>
    </r>
    <r>
      <rPr>
        <sz val="11"/>
        <color theme="1"/>
        <rFont val="Calibri"/>
        <family val="2"/>
        <scheme val="minor"/>
      </rPr>
      <t xml:space="preserve"> (6) ημεις</t>
    </r>
  </si>
  <si>
    <t>εν δε τη μια</t>
  </si>
  <si>
    <t>εν τε τη μια</t>
  </si>
  <si>
    <t>διελεγετο αυτοις</t>
  </si>
  <si>
    <t>διελεγετα αυτοις</t>
  </si>
  <si>
    <t>παρετινε τε τον λογον</t>
  </si>
  <si>
    <t>παρετινε τον λογον</t>
  </si>
  <si>
    <r>
      <rPr>
        <b/>
        <sz val="11"/>
        <color theme="1"/>
        <rFont val="Calibri"/>
        <family val="2"/>
        <scheme val="minor"/>
      </rPr>
      <t>θυριδι</t>
    </r>
    <r>
      <rPr>
        <sz val="11"/>
        <color theme="1"/>
        <rFont val="Calibri"/>
        <family val="2"/>
        <scheme val="minor"/>
      </rPr>
      <t xml:space="preserve"> κατεχομενος</t>
    </r>
  </si>
  <si>
    <r>
      <rPr>
        <b/>
        <sz val="11"/>
        <color theme="1"/>
        <rFont val="Calibri"/>
        <family val="2"/>
        <scheme val="minor"/>
      </rPr>
      <t>θυριδε</t>
    </r>
    <r>
      <rPr>
        <sz val="11"/>
        <color theme="1"/>
        <rFont val="Calibri"/>
        <family val="2"/>
        <scheme val="minor"/>
      </rPr>
      <t xml:space="preserve"> εχομενος</t>
    </r>
  </si>
  <si>
    <r>
      <t xml:space="preserve">θυριδι </t>
    </r>
    <r>
      <rPr>
        <b/>
        <sz val="11"/>
        <color theme="1"/>
        <rFont val="Calibri"/>
        <family val="2"/>
        <scheme val="minor"/>
      </rPr>
      <t>κατεχομενος</t>
    </r>
  </si>
  <si>
    <r>
      <t xml:space="preserve">θυριδε </t>
    </r>
    <r>
      <rPr>
        <b/>
        <sz val="11"/>
        <color theme="1"/>
        <rFont val="Calibri"/>
        <family val="2"/>
        <scheme val="minor"/>
      </rPr>
      <t>εχομενος</t>
    </r>
  </si>
  <si>
    <t>και ηρθη</t>
  </si>
  <si>
    <t>και ος ηρθη</t>
  </si>
  <si>
    <t>συνπεριλαβων και ειπεν</t>
  </si>
  <si>
    <t>συνπεριλαβων ειπεν</t>
  </si>
  <si>
    <t>κλασας τον αρτον</t>
  </si>
  <si>
    <t>Bezae seems to erase the article (could be fading?)</t>
  </si>
  <si>
    <t>κατελθοντες εις το πλοιον</t>
  </si>
  <si>
    <t>κατελθοντες επι το πλοιον</t>
  </si>
  <si>
    <t xml:space="preserve">ουτως γαρ </t>
  </si>
  <si>
    <t xml:space="preserve">ουτω γαρ </t>
  </si>
  <si>
    <t>εις την ασσον</t>
  </si>
  <si>
    <t>εις ασσον</t>
  </si>
  <si>
    <t>αντικρυς χειου</t>
  </si>
  <si>
    <t>αντικρυ χειου</t>
  </si>
  <si>
    <t>παρεβαλομεν</t>
  </si>
  <si>
    <r>
      <rPr>
        <b/>
        <sz val="11"/>
        <color theme="1"/>
        <rFont val="Calibri"/>
        <family val="2"/>
        <scheme val="minor"/>
      </rPr>
      <t>τρωγυλια</t>
    </r>
    <r>
      <rPr>
        <sz val="11"/>
        <color theme="1"/>
        <rFont val="Calibri"/>
        <family val="2"/>
        <scheme val="minor"/>
      </rPr>
      <t xml:space="preserve"> τη ερχομενη ηλθομεν</t>
    </r>
  </si>
  <si>
    <r>
      <rPr>
        <b/>
        <sz val="11"/>
        <color theme="1"/>
        <rFont val="Calibri"/>
        <family val="2"/>
        <scheme val="minor"/>
      </rPr>
      <t>τρωγυλλιω</t>
    </r>
    <r>
      <rPr>
        <sz val="11"/>
        <color theme="1"/>
        <rFont val="Calibri"/>
        <family val="2"/>
        <scheme val="minor"/>
      </rPr>
      <t xml:space="preserve"> τη εχομενη ηλθομεν</t>
    </r>
  </si>
  <si>
    <r>
      <t xml:space="preserve">τρωγυλια τη </t>
    </r>
    <r>
      <rPr>
        <b/>
        <sz val="11"/>
        <color theme="1"/>
        <rFont val="Calibri"/>
        <family val="2"/>
        <scheme val="minor"/>
      </rPr>
      <t>ερχομενη</t>
    </r>
    <r>
      <rPr>
        <sz val="11"/>
        <color theme="1"/>
        <rFont val="Calibri"/>
        <family val="2"/>
        <scheme val="minor"/>
      </rPr>
      <t xml:space="preserve"> ηλθομεν</t>
    </r>
  </si>
  <si>
    <r>
      <t xml:space="preserve">τρωγυλλιω τη </t>
    </r>
    <r>
      <rPr>
        <b/>
        <sz val="11"/>
        <color theme="1"/>
        <rFont val="Calibri"/>
        <family val="2"/>
        <scheme val="minor"/>
      </rPr>
      <t>εχομενη</t>
    </r>
    <r>
      <rPr>
        <sz val="11"/>
        <color theme="1"/>
        <rFont val="Calibri"/>
        <family val="2"/>
        <scheme val="minor"/>
      </rPr>
      <t xml:space="preserve"> ηλθομεν</t>
    </r>
  </si>
  <si>
    <t>μειλητον (16) εκρινε γαρ</t>
  </si>
  <si>
    <t>μειλητον (16) καικρικι γαρ</t>
  </si>
  <si>
    <t>τις εσπευδεν γαρ</t>
  </si>
  <si>
    <r>
      <t xml:space="preserve">τις </t>
    </r>
    <r>
      <rPr>
        <b/>
        <sz val="11"/>
        <color theme="1"/>
        <rFont val="Calibri"/>
        <family val="2"/>
        <scheme val="minor"/>
      </rPr>
      <t>εν τη ασια</t>
    </r>
    <r>
      <rPr>
        <sz val="11"/>
        <color theme="1"/>
        <rFont val="Calibri"/>
        <family val="2"/>
        <scheme val="minor"/>
      </rPr>
      <t xml:space="preserve"> εσπευδε γαρ</t>
    </r>
  </si>
  <si>
    <r>
      <t xml:space="preserve">τις </t>
    </r>
    <r>
      <rPr>
        <b/>
        <sz val="11"/>
        <color theme="1"/>
        <rFont val="Calibri"/>
        <family val="2"/>
        <scheme val="minor"/>
      </rPr>
      <t>εσπευδεν</t>
    </r>
    <r>
      <rPr>
        <sz val="11"/>
        <color theme="1"/>
        <rFont val="Calibri"/>
        <family val="2"/>
        <scheme val="minor"/>
      </rPr>
      <t xml:space="preserve"> γαρ</t>
    </r>
  </si>
  <si>
    <r>
      <t xml:space="preserve">τις εν τη ασια </t>
    </r>
    <r>
      <rPr>
        <b/>
        <sz val="11"/>
        <color theme="1"/>
        <rFont val="Calibri"/>
        <family val="2"/>
        <scheme val="minor"/>
      </rPr>
      <t>εσπευδε</t>
    </r>
    <r>
      <rPr>
        <sz val="11"/>
        <color theme="1"/>
        <rFont val="Calibri"/>
        <family val="2"/>
        <scheme val="minor"/>
      </rPr>
      <t xml:space="preserve"> γαρ</t>
    </r>
  </si>
  <si>
    <t>γενεσθαι εις ιεροσολυμα</t>
  </si>
  <si>
    <t>γενεσθαι εν ιεροσολυμα</t>
  </si>
  <si>
    <t>ειπεν αυτοις υμεις</t>
  </si>
  <si>
    <r>
      <t xml:space="preserve">ειπεν </t>
    </r>
    <r>
      <rPr>
        <b/>
        <sz val="11"/>
        <color theme="1"/>
        <rFont val="Calibri"/>
        <family val="2"/>
        <scheme val="minor"/>
      </rPr>
      <t>προς</t>
    </r>
    <r>
      <rPr>
        <sz val="11"/>
        <color theme="1"/>
        <rFont val="Calibri"/>
        <family val="2"/>
        <scheme val="minor"/>
      </rPr>
      <t xml:space="preserve"> αυτους υμεις</t>
    </r>
  </si>
  <si>
    <r>
      <t xml:space="preserve">ημερας </t>
    </r>
    <r>
      <rPr>
        <b/>
        <sz val="11"/>
        <color theme="1"/>
        <rFont val="Calibri"/>
        <family val="2"/>
        <scheme val="minor"/>
      </rPr>
      <t>εφ</t>
    </r>
    <r>
      <rPr>
        <sz val="11"/>
        <color theme="1"/>
        <rFont val="Calibri"/>
        <family val="2"/>
        <scheme val="minor"/>
      </rPr>
      <t xml:space="preserve"> ης</t>
    </r>
  </si>
  <si>
    <r>
      <t xml:space="preserve">ημερας </t>
    </r>
    <r>
      <rPr>
        <b/>
        <sz val="11"/>
        <color theme="1"/>
        <rFont val="Calibri"/>
        <family val="2"/>
        <scheme val="minor"/>
      </rPr>
      <t>αφ</t>
    </r>
    <r>
      <rPr>
        <sz val="11"/>
        <color theme="1"/>
        <rFont val="Calibri"/>
        <family val="2"/>
        <scheme val="minor"/>
      </rPr>
      <t xml:space="preserve"> αφ ης</t>
    </r>
  </si>
  <si>
    <t>ημερας εφ ης</t>
  </si>
  <si>
    <r>
      <t xml:space="preserve">ημερας αφ </t>
    </r>
    <r>
      <rPr>
        <b/>
        <sz val="11"/>
        <color theme="1"/>
        <rFont val="Calibri"/>
        <family val="2"/>
        <scheme val="minor"/>
      </rPr>
      <t>αφ</t>
    </r>
    <r>
      <rPr>
        <sz val="11"/>
        <color theme="1"/>
        <rFont val="Calibri"/>
        <family val="2"/>
        <scheme val="minor"/>
      </rPr>
      <t xml:space="preserve"> ης</t>
    </r>
  </si>
  <si>
    <r>
      <t xml:space="preserve">πλειον </t>
    </r>
    <r>
      <rPr>
        <b/>
        <sz val="11"/>
        <color theme="1"/>
        <rFont val="Calibri"/>
        <family val="2"/>
        <scheme val="minor"/>
      </rPr>
      <t>ποταπως</t>
    </r>
    <r>
      <rPr>
        <sz val="11"/>
        <color theme="1"/>
        <rFont val="Calibri"/>
        <family val="2"/>
        <scheme val="minor"/>
      </rPr>
      <t xml:space="preserve"> μεθ υμων ην παντος χρονου (19) δουλευων</t>
    </r>
  </si>
  <si>
    <r>
      <t xml:space="preserve">πλειον </t>
    </r>
    <r>
      <rPr>
        <b/>
        <sz val="11"/>
        <color theme="1"/>
        <rFont val="Calibri"/>
        <family val="2"/>
        <scheme val="minor"/>
      </rPr>
      <t>πως</t>
    </r>
    <r>
      <rPr>
        <sz val="11"/>
        <color theme="1"/>
        <rFont val="Calibri"/>
        <family val="2"/>
        <scheme val="minor"/>
      </rPr>
      <t xml:space="preserve"> μεθ υμων τον παντα χρονον εγενομην (19) δουλευων</t>
    </r>
  </si>
  <si>
    <r>
      <t xml:space="preserve">πλειον ποταπως μεθ υμων </t>
    </r>
    <r>
      <rPr>
        <b/>
        <sz val="11"/>
        <color theme="1"/>
        <rFont val="Calibri"/>
        <family val="2"/>
        <scheme val="minor"/>
      </rPr>
      <t>ην</t>
    </r>
    <r>
      <rPr>
        <sz val="11"/>
        <color theme="1"/>
        <rFont val="Calibri"/>
        <family val="2"/>
        <scheme val="minor"/>
      </rPr>
      <t xml:space="preserve"> παντος χρονου (19) δουλευων</t>
    </r>
  </si>
  <si>
    <r>
      <t xml:space="preserve">πλειον πως μεθ υμων τον παντα χρονον </t>
    </r>
    <r>
      <rPr>
        <b/>
        <sz val="11"/>
        <color theme="1"/>
        <rFont val="Calibri"/>
        <family val="2"/>
        <scheme val="minor"/>
      </rPr>
      <t>εγενομην</t>
    </r>
    <r>
      <rPr>
        <sz val="11"/>
        <color theme="1"/>
        <rFont val="Calibri"/>
        <family val="2"/>
        <scheme val="minor"/>
      </rPr>
      <t xml:space="preserve"> (19) δουλευων</t>
    </r>
  </si>
  <si>
    <r>
      <t xml:space="preserve">πλειον ποταπως μεθ υμων ην </t>
    </r>
    <r>
      <rPr>
        <b/>
        <sz val="11"/>
        <color theme="1"/>
        <rFont val="Calibri"/>
        <family val="2"/>
        <scheme val="minor"/>
      </rPr>
      <t>παντος χρονου</t>
    </r>
    <r>
      <rPr>
        <sz val="11"/>
        <color theme="1"/>
        <rFont val="Calibri"/>
        <family val="2"/>
        <scheme val="minor"/>
      </rPr>
      <t xml:space="preserve"> (19) δουλευων</t>
    </r>
  </si>
  <si>
    <r>
      <t xml:space="preserve">πλειον πως μεθ υμων τον </t>
    </r>
    <r>
      <rPr>
        <b/>
        <sz val="11"/>
        <color theme="1"/>
        <rFont val="Calibri"/>
        <family val="2"/>
        <scheme val="minor"/>
      </rPr>
      <t>παντα χρονον</t>
    </r>
    <r>
      <rPr>
        <sz val="11"/>
        <color theme="1"/>
        <rFont val="Calibri"/>
        <family val="2"/>
        <scheme val="minor"/>
      </rPr>
      <t xml:space="preserve"> εγενομην (19) δουλευων</t>
    </r>
  </si>
  <si>
    <t>ουδεν υπεστειλαμην</t>
  </si>
  <si>
    <t>ουδεν απεστειλαμην</t>
  </si>
  <si>
    <r>
      <t xml:space="preserve">(20) οικους </t>
    </r>
    <r>
      <rPr>
        <b/>
        <sz val="11"/>
        <color theme="1"/>
        <rFont val="Calibri"/>
        <family val="2"/>
        <scheme val="minor"/>
      </rPr>
      <t>και</t>
    </r>
    <r>
      <rPr>
        <sz val="11"/>
        <color theme="1"/>
        <rFont val="Calibri"/>
        <family val="2"/>
        <scheme val="minor"/>
      </rPr>
      <t xml:space="preserve"> δημοσια (21) διαμαρτυρουμενος ιουδαιοις</t>
    </r>
  </si>
  <si>
    <r>
      <t xml:space="preserve">(20) οικους δημοσια (21) </t>
    </r>
    <r>
      <rPr>
        <b/>
        <sz val="11"/>
        <color theme="1"/>
        <rFont val="Calibri"/>
        <family val="2"/>
        <scheme val="minor"/>
      </rPr>
      <t>και</t>
    </r>
    <r>
      <rPr>
        <sz val="11"/>
        <color theme="1"/>
        <rFont val="Calibri"/>
        <family val="2"/>
        <scheme val="minor"/>
      </rPr>
      <t xml:space="preserve"> διαμαρτυρομενος ιουδαιοις</t>
    </r>
  </si>
  <si>
    <r>
      <t xml:space="preserve">(20) οικους και δημοσια (21) </t>
    </r>
    <r>
      <rPr>
        <b/>
        <sz val="11"/>
        <color theme="1"/>
        <rFont val="Calibri"/>
        <family val="2"/>
        <scheme val="minor"/>
      </rPr>
      <t>διαμαρτυρουμενος</t>
    </r>
    <r>
      <rPr>
        <sz val="11"/>
        <color theme="1"/>
        <rFont val="Calibri"/>
        <family val="2"/>
        <scheme val="minor"/>
      </rPr>
      <t xml:space="preserve"> ιουδαιοις</t>
    </r>
  </si>
  <si>
    <r>
      <t xml:space="preserve">(20) οικους δημοσια (21) και </t>
    </r>
    <r>
      <rPr>
        <b/>
        <sz val="11"/>
        <color theme="1"/>
        <rFont val="Calibri"/>
        <family val="2"/>
        <scheme val="minor"/>
      </rPr>
      <t>διαμαρτυρομενος</t>
    </r>
    <r>
      <rPr>
        <sz val="11"/>
        <color theme="1"/>
        <rFont val="Calibri"/>
        <family val="2"/>
        <scheme val="minor"/>
      </rPr>
      <t xml:space="preserve"> ιουδαιοις</t>
    </r>
  </si>
  <si>
    <t>ιερουσαλημ (24) αλλ ουδενος</t>
  </si>
  <si>
    <t>ιεροσολυμοις (24) αλλ ουδενος</t>
  </si>
  <si>
    <r>
      <t xml:space="preserve">ουδενος </t>
    </r>
    <r>
      <rPr>
        <b/>
        <sz val="11"/>
        <color theme="1"/>
        <rFont val="Calibri"/>
        <family val="2"/>
        <scheme val="minor"/>
      </rPr>
      <t>λογον</t>
    </r>
    <r>
      <rPr>
        <sz val="11"/>
        <color theme="1"/>
        <rFont val="Calibri"/>
        <family val="2"/>
        <scheme val="minor"/>
      </rPr>
      <t xml:space="preserve"> εχω μοι ουδε ποιουμαι</t>
    </r>
  </si>
  <si>
    <r>
      <t xml:space="preserve">ουδενος </t>
    </r>
    <r>
      <rPr>
        <b/>
        <sz val="11"/>
        <color theme="1"/>
        <rFont val="Calibri"/>
        <family val="2"/>
        <scheme val="minor"/>
      </rPr>
      <t>λογους</t>
    </r>
    <r>
      <rPr>
        <sz val="11"/>
        <color theme="1"/>
        <rFont val="Calibri"/>
        <family val="2"/>
        <scheme val="minor"/>
      </rPr>
      <t xml:space="preserve"> εχω μοι ουδε ποιουμαι</t>
    </r>
  </si>
  <si>
    <r>
      <t xml:space="preserve">ουδενος λογον </t>
    </r>
    <r>
      <rPr>
        <b/>
        <sz val="11"/>
        <color theme="1"/>
        <rFont val="Calibri"/>
        <family val="2"/>
        <scheme val="minor"/>
      </rPr>
      <t>εχω μοι ουδε</t>
    </r>
    <r>
      <rPr>
        <sz val="11"/>
        <color theme="1"/>
        <rFont val="Calibri"/>
        <family val="2"/>
        <scheme val="minor"/>
      </rPr>
      <t xml:space="preserve"> ποιουμαι</t>
    </r>
  </si>
  <si>
    <r>
      <t xml:space="preserve">ουδενος λογους </t>
    </r>
    <r>
      <rPr>
        <b/>
        <sz val="11"/>
        <color theme="1"/>
        <rFont val="Calibri"/>
        <family val="2"/>
        <scheme val="minor"/>
      </rPr>
      <t>εχω μοι ουδε</t>
    </r>
    <r>
      <rPr>
        <sz val="11"/>
        <color theme="1"/>
        <rFont val="Calibri"/>
        <family val="2"/>
        <scheme val="minor"/>
      </rPr>
      <t xml:space="preserve"> ποιουμαι</t>
    </r>
  </si>
  <si>
    <r>
      <t xml:space="preserve">ψυχην </t>
    </r>
    <r>
      <rPr>
        <b/>
        <sz val="11"/>
        <color theme="1"/>
        <rFont val="Calibri"/>
        <family val="2"/>
        <scheme val="minor"/>
      </rPr>
      <t>μου</t>
    </r>
    <r>
      <rPr>
        <sz val="11"/>
        <color theme="1"/>
        <rFont val="Calibri"/>
        <family val="2"/>
        <scheme val="minor"/>
      </rPr>
      <t xml:space="preserve"> τιμιαν εμαυτω του τελειωσαι</t>
    </r>
  </si>
  <si>
    <r>
      <t xml:space="preserve">ψυχην μου τιμιαν </t>
    </r>
    <r>
      <rPr>
        <b/>
        <sz val="11"/>
        <color theme="1"/>
        <rFont val="Calibri"/>
        <family val="2"/>
        <scheme val="minor"/>
      </rPr>
      <t>εμαυτω</t>
    </r>
    <r>
      <rPr>
        <sz val="11"/>
        <color theme="1"/>
        <rFont val="Calibri"/>
        <family val="2"/>
        <scheme val="minor"/>
      </rPr>
      <t xml:space="preserve"> του τελειωσαι</t>
    </r>
  </si>
  <si>
    <r>
      <t xml:space="preserve">ψυχην μου τιμιαν </t>
    </r>
    <r>
      <rPr>
        <b/>
        <sz val="11"/>
        <color theme="1"/>
        <rFont val="Calibri"/>
        <family val="2"/>
        <scheme val="minor"/>
      </rPr>
      <t>εμαυτου</t>
    </r>
    <r>
      <rPr>
        <sz val="11"/>
        <color theme="1"/>
        <rFont val="Calibri"/>
        <family val="2"/>
        <scheme val="minor"/>
      </rPr>
      <t xml:space="preserve"> του τελιωσαι</t>
    </r>
  </si>
  <si>
    <r>
      <t xml:space="preserve">ψυχην </t>
    </r>
    <r>
      <rPr>
        <b/>
        <sz val="11"/>
        <color theme="1"/>
        <rFont val="Calibri"/>
        <family val="2"/>
        <scheme val="minor"/>
      </rPr>
      <t>μου</t>
    </r>
    <r>
      <rPr>
        <sz val="11"/>
        <color theme="1"/>
        <rFont val="Calibri"/>
        <family val="2"/>
        <scheme val="minor"/>
      </rPr>
      <t xml:space="preserve"> τιμιαν εμαυτου του τελιωσαι</t>
    </r>
  </si>
  <si>
    <r>
      <t xml:space="preserve">ψυχην μου τιμιαν εμαυτου του </t>
    </r>
    <r>
      <rPr>
        <b/>
        <sz val="11"/>
        <color theme="1"/>
        <rFont val="Calibri"/>
        <family val="2"/>
        <scheme val="minor"/>
      </rPr>
      <t>τελιωσαι</t>
    </r>
  </si>
  <si>
    <r>
      <t xml:space="preserve">ψυχην μου τιμιαν εμαυτω του </t>
    </r>
    <r>
      <rPr>
        <b/>
        <sz val="11"/>
        <color theme="1"/>
        <rFont val="Calibri"/>
        <family val="2"/>
        <scheme val="minor"/>
      </rPr>
      <t>τελειωσαι</t>
    </r>
  </si>
  <si>
    <t>λογου ην παρελαβον</t>
  </si>
  <si>
    <t>λογου oν παρελαβον</t>
  </si>
  <si>
    <t>ιουδαιοις τε και</t>
  </si>
  <si>
    <t>ιουδαιοις και</t>
  </si>
  <si>
    <t>χαριτος θυ</t>
  </si>
  <si>
    <t>οψεσθαι το προσωπον</t>
  </si>
  <si>
    <t>οψομαι το προσωπον</t>
  </si>
  <si>
    <t>Alleged Bezae correction not clear to me</t>
  </si>
  <si>
    <t>βασιλειαν του θεου</t>
  </si>
  <si>
    <t>βασιλειαν του ιηυ</t>
  </si>
  <si>
    <t>(26) αχρι ουν της σημερον ημερας  καθαρος</t>
  </si>
  <si>
    <r>
      <t xml:space="preserve">(26) </t>
    </r>
    <r>
      <rPr>
        <b/>
        <sz val="11"/>
        <color theme="1"/>
        <rFont val="Calibri"/>
        <family val="2"/>
        <scheme val="minor"/>
      </rPr>
      <t>αχρι ουν</t>
    </r>
    <r>
      <rPr>
        <sz val="11"/>
        <color theme="1"/>
        <rFont val="Calibri"/>
        <family val="2"/>
        <scheme val="minor"/>
      </rPr>
      <t xml:space="preserve"> της σημερον ημερας  καθαρος</t>
    </r>
  </si>
  <si>
    <r>
      <t xml:space="preserve">(26) </t>
    </r>
    <r>
      <rPr>
        <b/>
        <sz val="11"/>
        <color theme="1"/>
        <rFont val="Calibri"/>
        <family val="2"/>
        <scheme val="minor"/>
      </rPr>
      <t>δι ο</t>
    </r>
    <r>
      <rPr>
        <sz val="11"/>
        <color theme="1"/>
        <rFont val="Calibri"/>
        <family val="2"/>
        <scheme val="minor"/>
      </rPr>
      <t xml:space="preserve"> μαρτυρομαι υμειν εν τη σημερον ημερα οτι καθαρος</t>
    </r>
  </si>
  <si>
    <r>
      <t xml:space="preserve">(26) δι ο </t>
    </r>
    <r>
      <rPr>
        <b/>
        <sz val="11"/>
        <color theme="1"/>
        <rFont val="Calibri"/>
        <family val="2"/>
        <scheme val="minor"/>
      </rPr>
      <t>μαρτυρομαι υμειν</t>
    </r>
    <r>
      <rPr>
        <sz val="11"/>
        <color theme="1"/>
        <rFont val="Calibri"/>
        <family val="2"/>
        <scheme val="minor"/>
      </rPr>
      <t xml:space="preserve"> εν τη σημερον ημερα οτι καθαρος</t>
    </r>
  </si>
  <si>
    <r>
      <t xml:space="preserve">(26) αχρι ουν </t>
    </r>
    <r>
      <rPr>
        <b/>
        <sz val="11"/>
        <color theme="1"/>
        <rFont val="Calibri"/>
        <family val="2"/>
        <scheme val="minor"/>
      </rPr>
      <t>της σημερον ημερας</t>
    </r>
    <r>
      <rPr>
        <sz val="11"/>
        <color theme="1"/>
        <rFont val="Calibri"/>
        <family val="2"/>
        <scheme val="minor"/>
      </rPr>
      <t xml:space="preserve">  καθαρος</t>
    </r>
  </si>
  <si>
    <r>
      <t xml:space="preserve">(26) δι ο μαρτυρομαι υμειν </t>
    </r>
    <r>
      <rPr>
        <b/>
        <sz val="11"/>
        <color theme="1"/>
        <rFont val="Calibri"/>
        <family val="2"/>
        <scheme val="minor"/>
      </rPr>
      <t>εν τη σημερον ημερα</t>
    </r>
    <r>
      <rPr>
        <sz val="11"/>
        <color theme="1"/>
        <rFont val="Calibri"/>
        <family val="2"/>
        <scheme val="minor"/>
      </rPr>
      <t xml:space="preserve"> οτι καθαρος</t>
    </r>
  </si>
  <si>
    <r>
      <t xml:space="preserve">(26) δι ο μαρτυρομαι υμειν εν τη σημερον ημερα </t>
    </r>
    <r>
      <rPr>
        <b/>
        <sz val="11"/>
        <color theme="1"/>
        <rFont val="Calibri"/>
        <family val="2"/>
        <scheme val="minor"/>
      </rPr>
      <t>οτι</t>
    </r>
    <r>
      <rPr>
        <sz val="11"/>
        <color theme="1"/>
        <rFont val="Calibri"/>
        <family val="2"/>
        <scheme val="minor"/>
      </rPr>
      <t xml:space="preserve"> καθαρος</t>
    </r>
  </si>
  <si>
    <t>ειμι απο</t>
  </si>
  <si>
    <t>ειμι εγω απο</t>
  </si>
  <si>
    <t>του αναγγειλαι</t>
  </si>
  <si>
    <t>του μη αναγγειλαι</t>
  </si>
  <si>
    <t>θεου υμιν</t>
  </si>
  <si>
    <t>θυ ημιν</t>
  </si>
  <si>
    <t>προσεχεται αυτοις</t>
  </si>
  <si>
    <t>προσεχεται εαυτοις</t>
  </si>
  <si>
    <t>Bezae corrects to ποιμνειου</t>
  </si>
  <si>
    <t>νυκτα και ημεραν</t>
  </si>
  <si>
    <t>νυκτα δε ημεραν</t>
  </si>
  <si>
    <t>η ειματισμου</t>
  </si>
  <si>
    <t>η ιματισμου</t>
  </si>
  <si>
    <t>αυτοι γεινωσκεται</t>
  </si>
  <si>
    <r>
      <t xml:space="preserve">αυτοι </t>
    </r>
    <r>
      <rPr>
        <b/>
        <sz val="11"/>
        <color theme="1"/>
        <rFont val="Calibri"/>
        <family val="2"/>
        <scheme val="minor"/>
      </rPr>
      <t>δε</t>
    </r>
    <r>
      <rPr>
        <sz val="11"/>
        <color theme="1"/>
        <rFont val="Calibri"/>
        <family val="2"/>
        <scheme val="minor"/>
      </rPr>
      <t xml:space="preserve"> γεινγεινωσκεται</t>
    </r>
  </si>
  <si>
    <r>
      <t xml:space="preserve">αυτοι δε </t>
    </r>
    <r>
      <rPr>
        <b/>
        <sz val="11"/>
        <color theme="1"/>
        <rFont val="Calibri"/>
        <family val="2"/>
        <scheme val="minor"/>
      </rPr>
      <t>γεινγεινωσκεται</t>
    </r>
  </si>
  <si>
    <r>
      <t xml:space="preserve">αυτοι </t>
    </r>
    <r>
      <rPr>
        <b/>
        <sz val="11"/>
        <color theme="1"/>
        <rFont val="Calibri"/>
        <family val="2"/>
        <scheme val="minor"/>
      </rPr>
      <t>γεινωσκεται</t>
    </r>
  </si>
  <si>
    <r>
      <t xml:space="preserve">οτι </t>
    </r>
    <r>
      <rPr>
        <b/>
        <sz val="11"/>
        <color theme="1"/>
        <rFont val="Calibri"/>
        <family val="2"/>
        <scheme val="minor"/>
      </rPr>
      <t>τας χρειας</t>
    </r>
    <r>
      <rPr>
        <sz val="11"/>
        <color theme="1"/>
        <rFont val="Calibri"/>
        <family val="2"/>
        <scheme val="minor"/>
      </rPr>
      <t xml:space="preserve"> μου πασιν και τοις</t>
    </r>
  </si>
  <si>
    <r>
      <t xml:space="preserve">οτι </t>
    </r>
    <r>
      <rPr>
        <b/>
        <sz val="11"/>
        <color theme="1"/>
        <rFont val="Calibri"/>
        <family val="2"/>
        <scheme val="minor"/>
      </rPr>
      <t>ταις χρειαις</t>
    </r>
    <r>
      <rPr>
        <sz val="11"/>
        <color theme="1"/>
        <rFont val="Calibri"/>
        <family val="2"/>
        <scheme val="minor"/>
      </rPr>
      <t xml:space="preserve"> μου πασιν και τοις</t>
    </r>
  </si>
  <si>
    <r>
      <t xml:space="preserve">οτι τας χρειας μου </t>
    </r>
    <r>
      <rPr>
        <b/>
        <sz val="11"/>
        <color theme="1"/>
        <rFont val="Calibri"/>
        <family val="2"/>
        <scheme val="minor"/>
      </rPr>
      <t>πασιν</t>
    </r>
    <r>
      <rPr>
        <sz val="11"/>
        <color theme="1"/>
        <rFont val="Calibri"/>
        <family val="2"/>
        <scheme val="minor"/>
      </rPr>
      <t xml:space="preserve"> και τοις</t>
    </r>
  </si>
  <si>
    <r>
      <t xml:space="preserve">οτι ταις χρειαις μου </t>
    </r>
    <r>
      <rPr>
        <b/>
        <sz val="11"/>
        <color theme="1"/>
        <rFont val="Calibri"/>
        <family val="2"/>
        <scheme val="minor"/>
      </rPr>
      <t>πασιν</t>
    </r>
    <r>
      <rPr>
        <sz val="11"/>
        <color theme="1"/>
        <rFont val="Calibri"/>
        <family val="2"/>
        <scheme val="minor"/>
      </rPr>
      <t xml:space="preserve"> και τοις</t>
    </r>
  </si>
  <si>
    <t>Bezae marks πασ- for deletion</t>
  </si>
  <si>
    <t>(34) χειρες μου (35) πασι υπεδειξα</t>
  </si>
  <si>
    <t>(34) χειρες μου (35) και παντα υπεδειξα</t>
  </si>
  <si>
    <t>To me, it is not clear that και was an addition, and that Bezae read πασι rather than παν</t>
  </si>
  <si>
    <t>μνημονευειν τε των λογων</t>
  </si>
  <si>
    <t>μνημονευειν των λογων</t>
  </si>
  <si>
    <r>
      <t xml:space="preserve">οτι </t>
    </r>
    <r>
      <rPr>
        <b/>
        <sz val="11"/>
        <color theme="1"/>
        <rFont val="Calibri"/>
        <family val="2"/>
        <scheme val="minor"/>
      </rPr>
      <t>ουτος</t>
    </r>
    <r>
      <rPr>
        <sz val="11"/>
        <color theme="1"/>
        <rFont val="Calibri"/>
        <family val="2"/>
        <scheme val="minor"/>
      </rPr>
      <t xml:space="preserve"> ειπεν μακαριος εστιν</t>
    </r>
  </si>
  <si>
    <r>
      <t xml:space="preserve">οτι </t>
    </r>
    <r>
      <rPr>
        <b/>
        <sz val="11"/>
        <color theme="1"/>
        <rFont val="Calibri"/>
        <family val="2"/>
        <scheme val="minor"/>
      </rPr>
      <t>αυτος</t>
    </r>
    <r>
      <rPr>
        <sz val="11"/>
        <color theme="1"/>
        <rFont val="Calibri"/>
        <family val="2"/>
        <scheme val="minor"/>
      </rPr>
      <t xml:space="preserve"> ειπεν μακαριον εστιν</t>
    </r>
  </si>
  <si>
    <r>
      <t xml:space="preserve">οτι αυτος ειπεν </t>
    </r>
    <r>
      <rPr>
        <b/>
        <sz val="11"/>
        <color theme="1"/>
        <rFont val="Calibri"/>
        <family val="2"/>
        <scheme val="minor"/>
      </rPr>
      <t>μακαριον</t>
    </r>
    <r>
      <rPr>
        <sz val="11"/>
        <color theme="1"/>
        <rFont val="Calibri"/>
        <family val="2"/>
        <scheme val="minor"/>
      </rPr>
      <t xml:space="preserve"> εστιν</t>
    </r>
  </si>
  <si>
    <r>
      <t xml:space="preserve">οτι ουτος ειπεν </t>
    </r>
    <r>
      <rPr>
        <b/>
        <sz val="11"/>
        <color theme="1"/>
        <rFont val="Calibri"/>
        <family val="2"/>
        <scheme val="minor"/>
      </rPr>
      <t>μακαριος</t>
    </r>
    <r>
      <rPr>
        <sz val="11"/>
        <color theme="1"/>
        <rFont val="Calibri"/>
        <family val="2"/>
        <scheme val="minor"/>
      </rPr>
      <t xml:space="preserve"> εστιν</t>
    </r>
  </si>
  <si>
    <t>ειπων θεις</t>
  </si>
  <si>
    <t>ειπας θεις</t>
  </si>
  <si>
    <t>γονατα αυτου συν</t>
  </si>
  <si>
    <t>γονατα συν</t>
  </si>
  <si>
    <t>τραχηλον του παυλου</t>
  </si>
  <si>
    <t>αυτον (38) οδυνωμενοι μαλιστα επι τω λογω ω ειρηκει οτι ουκ ετι μελλουσιν το προσωπον αυτου θεωρειν</t>
  </si>
  <si>
    <t>αυτον (38) μαλιστα επι τω λογω οδυνωμενοι οτι ειπεν ουκ ετι μελλει σοι το προσωπον θεωρειν</t>
  </si>
  <si>
    <r>
      <t xml:space="preserve">αυτον (38) </t>
    </r>
    <r>
      <rPr>
        <b/>
        <sz val="11"/>
        <color theme="1"/>
        <rFont val="Calibri"/>
        <family val="2"/>
        <scheme val="minor"/>
      </rPr>
      <t>οδυνωμενοι μαλιστα επι τω λογω</t>
    </r>
    <r>
      <rPr>
        <sz val="11"/>
        <color theme="1"/>
        <rFont val="Calibri"/>
        <family val="2"/>
        <scheme val="minor"/>
      </rPr>
      <t xml:space="preserve"> ω ειρηκει οτι ουκ ετι μελλουσιν το προσωπον αυτου θεωρειν</t>
    </r>
  </si>
  <si>
    <r>
      <t xml:space="preserve">αυτον (38) </t>
    </r>
    <r>
      <rPr>
        <b/>
        <sz val="11"/>
        <color theme="1"/>
        <rFont val="Calibri"/>
        <family val="2"/>
        <scheme val="minor"/>
      </rPr>
      <t>μαλιστα επι τω λογω οδυνωμενοι</t>
    </r>
    <r>
      <rPr>
        <sz val="11"/>
        <color theme="1"/>
        <rFont val="Calibri"/>
        <family val="2"/>
        <scheme val="minor"/>
      </rPr>
      <t xml:space="preserve"> οτι ειπεν ουκ ετι μελλει σοι το προσωπον θεωρειν</t>
    </r>
  </si>
  <si>
    <r>
      <t xml:space="preserve">αυτον (38) οδυνωμενοι μαλιστα επι τω λογω </t>
    </r>
    <r>
      <rPr>
        <b/>
        <sz val="11"/>
        <color theme="1"/>
        <rFont val="Calibri"/>
        <family val="2"/>
        <scheme val="minor"/>
      </rPr>
      <t>ω ειρηκει</t>
    </r>
    <r>
      <rPr>
        <sz val="11"/>
        <color theme="1"/>
        <rFont val="Calibri"/>
        <family val="2"/>
        <scheme val="minor"/>
      </rPr>
      <t xml:space="preserve"> οτι ουκ ετι μελλουσιν το προσωπον αυτου θεωρειν</t>
    </r>
  </si>
  <si>
    <r>
      <t xml:space="preserve">αυτον (38) μαλιστα επι τω λογω οδυνωμενοι οτι </t>
    </r>
    <r>
      <rPr>
        <b/>
        <sz val="11"/>
        <color theme="1"/>
        <rFont val="Calibri"/>
        <family val="2"/>
        <scheme val="minor"/>
      </rPr>
      <t>ειπεν</t>
    </r>
    <r>
      <rPr>
        <sz val="11"/>
        <color theme="1"/>
        <rFont val="Calibri"/>
        <family val="2"/>
        <scheme val="minor"/>
      </rPr>
      <t xml:space="preserve"> ουκ ετι μελλει σοι το προσωπον θεωρειν</t>
    </r>
  </si>
  <si>
    <r>
      <t xml:space="preserve">αυτον (38) οδυνωμενοι μαλιστα επι τω λογω ω ειρηκει οτι ουκ ετι μελλουσιν το προσωπον </t>
    </r>
    <r>
      <rPr>
        <b/>
        <sz val="11"/>
        <color theme="1"/>
        <rFont val="Calibri"/>
        <family val="2"/>
        <scheme val="minor"/>
      </rPr>
      <t>αυτου</t>
    </r>
    <r>
      <rPr>
        <sz val="11"/>
        <color theme="1"/>
        <rFont val="Calibri"/>
        <family val="2"/>
        <scheme val="minor"/>
      </rPr>
      <t xml:space="preserve"> θεωρειν</t>
    </r>
  </si>
  <si>
    <t>αυτον επι το πλοιον</t>
  </si>
  <si>
    <t>αυτον εις το πλοιον</t>
  </si>
  <si>
    <t>(21:1) [κα]ι επι[β]αντ[ε]ς ανηχθημεν αποστασθεντων δε ημων απ αυτων</t>
  </si>
  <si>
    <t>(21:1) ως δε εγενετο αναχθηναι ημας αποσπασθεντας απ αυτων</t>
  </si>
  <si>
    <r>
      <t xml:space="preserve">(21:1) </t>
    </r>
    <r>
      <rPr>
        <b/>
        <sz val="11"/>
        <color theme="1"/>
        <rFont val="Calibri"/>
        <family val="2"/>
        <scheme val="minor"/>
      </rPr>
      <t>[κα]ι επι[β]αντ[ε]ς</t>
    </r>
    <r>
      <rPr>
        <sz val="11"/>
        <color theme="1"/>
        <rFont val="Calibri"/>
        <family val="2"/>
        <scheme val="minor"/>
      </rPr>
      <t xml:space="preserve"> ανηχθημεν αποστασθεντων δε ημων απ αυτων</t>
    </r>
  </si>
  <si>
    <r>
      <t xml:space="preserve">(21:1) </t>
    </r>
    <r>
      <rPr>
        <b/>
        <sz val="11"/>
        <color theme="1"/>
        <rFont val="Calibri"/>
        <family val="2"/>
        <scheme val="minor"/>
      </rPr>
      <t>ως δε εγενετο</t>
    </r>
    <r>
      <rPr>
        <sz val="11"/>
        <color theme="1"/>
        <rFont val="Calibri"/>
        <family val="2"/>
        <scheme val="minor"/>
      </rPr>
      <t xml:space="preserve"> αναχθηναι ημας αποσπασθεντας απ αυτων</t>
    </r>
  </si>
  <si>
    <r>
      <t xml:space="preserve">(21:1) [κα]ι επι[β]αντ[ε]ς </t>
    </r>
    <r>
      <rPr>
        <b/>
        <sz val="11"/>
        <color theme="1"/>
        <rFont val="Calibri"/>
        <family val="2"/>
        <scheme val="minor"/>
      </rPr>
      <t>ανηχθημεν</t>
    </r>
    <r>
      <rPr>
        <sz val="11"/>
        <color theme="1"/>
        <rFont val="Calibri"/>
        <family val="2"/>
        <scheme val="minor"/>
      </rPr>
      <t xml:space="preserve"> αποστασθεντων δε ημων απ αυτων</t>
    </r>
  </si>
  <si>
    <r>
      <t xml:space="preserve">(21:1) ως δε εγενετο </t>
    </r>
    <r>
      <rPr>
        <b/>
        <sz val="11"/>
        <color theme="1"/>
        <rFont val="Calibri"/>
        <family val="2"/>
        <scheme val="minor"/>
      </rPr>
      <t>αναχθηναι</t>
    </r>
    <r>
      <rPr>
        <sz val="11"/>
        <color theme="1"/>
        <rFont val="Calibri"/>
        <family val="2"/>
        <scheme val="minor"/>
      </rPr>
      <t xml:space="preserve"> ημας αποσπασθεντας απ αυτων</t>
    </r>
  </si>
  <si>
    <r>
      <t xml:space="preserve">(21:1) ως δε εγενετο αναχθηναι </t>
    </r>
    <r>
      <rPr>
        <b/>
        <sz val="11"/>
        <color theme="1"/>
        <rFont val="Calibri"/>
        <family val="2"/>
        <scheme val="minor"/>
      </rPr>
      <t>ημας</t>
    </r>
    <r>
      <rPr>
        <sz val="11"/>
        <color theme="1"/>
        <rFont val="Calibri"/>
        <family val="2"/>
        <scheme val="minor"/>
      </rPr>
      <t xml:space="preserve"> αποσπασθεντας απ αυτων</t>
    </r>
  </si>
  <si>
    <r>
      <t xml:space="preserve">(21:1) [κα]ι επι[β]αντ[ε]ς ανηχθημεν </t>
    </r>
    <r>
      <rPr>
        <b/>
        <sz val="11"/>
        <color theme="1"/>
        <rFont val="Calibri"/>
        <family val="2"/>
        <scheme val="minor"/>
      </rPr>
      <t>αποστασθεντων</t>
    </r>
    <r>
      <rPr>
        <sz val="11"/>
        <color theme="1"/>
        <rFont val="Calibri"/>
        <family val="2"/>
        <scheme val="minor"/>
      </rPr>
      <t xml:space="preserve"> δε ημων απ αυτων</t>
    </r>
  </si>
  <si>
    <r>
      <t xml:space="preserve">(21:1) ως δε εγενετο αναχθηναι ημας </t>
    </r>
    <r>
      <rPr>
        <b/>
        <sz val="11"/>
        <color theme="1"/>
        <rFont val="Calibri"/>
        <family val="2"/>
        <scheme val="minor"/>
      </rPr>
      <t>αποσπασθεντας</t>
    </r>
    <r>
      <rPr>
        <sz val="11"/>
        <color theme="1"/>
        <rFont val="Calibri"/>
        <family val="2"/>
        <scheme val="minor"/>
      </rPr>
      <t xml:space="preserve"> απ αυτων</t>
    </r>
  </si>
  <si>
    <r>
      <t xml:space="preserve">(21:1) [κα]ι επι[β]αντ[ε]ς ανηχθημεν αποστασθεντων </t>
    </r>
    <r>
      <rPr>
        <b/>
        <sz val="11"/>
        <color theme="1"/>
        <rFont val="Calibri"/>
        <family val="2"/>
        <scheme val="minor"/>
      </rPr>
      <t>δε ημων</t>
    </r>
    <r>
      <rPr>
        <sz val="11"/>
        <color theme="1"/>
        <rFont val="Calibri"/>
        <family val="2"/>
        <scheme val="minor"/>
      </rPr>
      <t xml:space="preserve"> απ αυτων</t>
    </r>
  </si>
  <si>
    <t xml:space="preserve">ευθυδρομησαντες ηκομεν </t>
  </si>
  <si>
    <t xml:space="preserve">ευθυδρομησαντες ηλθομεν </t>
  </si>
  <si>
    <t>φοινεικην</t>
  </si>
  <si>
    <t>Bezae no longer extant here</t>
  </si>
  <si>
    <t>προφητης ονοματι αγαβος</t>
  </si>
  <si>
    <t>προφητης ονοματονοματι αγαβος</t>
  </si>
  <si>
    <r>
      <rPr>
        <b/>
        <sz val="11"/>
        <color theme="1"/>
        <rFont val="Calibri"/>
        <family val="2"/>
        <scheme val="minor"/>
      </rPr>
      <t>ανελθων</t>
    </r>
    <r>
      <rPr>
        <sz val="11"/>
        <color theme="1"/>
        <rFont val="Calibri"/>
        <family val="2"/>
        <scheme val="minor"/>
      </rPr>
      <t xml:space="preserve"> δε προς ημας</t>
    </r>
  </si>
  <si>
    <r>
      <t xml:space="preserve">και </t>
    </r>
    <r>
      <rPr>
        <b/>
        <sz val="11"/>
        <color theme="1"/>
        <rFont val="Calibri"/>
        <family val="2"/>
        <scheme val="minor"/>
      </rPr>
      <t>ελθων</t>
    </r>
    <r>
      <rPr>
        <sz val="11"/>
        <color theme="1"/>
        <rFont val="Calibri"/>
        <family val="2"/>
        <scheme val="minor"/>
      </rPr>
      <t xml:space="preserve"> προς ημας</t>
    </r>
  </si>
  <si>
    <r>
      <t xml:space="preserve">ανελθων </t>
    </r>
    <r>
      <rPr>
        <b/>
        <sz val="11"/>
        <color theme="1"/>
        <rFont val="Calibri"/>
        <family val="2"/>
        <scheme val="minor"/>
      </rPr>
      <t>δε</t>
    </r>
    <r>
      <rPr>
        <sz val="11"/>
        <color theme="1"/>
        <rFont val="Calibri"/>
        <family val="2"/>
        <scheme val="minor"/>
      </rPr>
      <t xml:space="preserve"> προς ημας</t>
    </r>
  </si>
  <si>
    <r>
      <rPr>
        <b/>
        <sz val="11"/>
        <color theme="1"/>
        <rFont val="Calibri"/>
        <family val="2"/>
        <scheme val="minor"/>
      </rPr>
      <t>και</t>
    </r>
    <r>
      <rPr>
        <sz val="11"/>
        <color theme="1"/>
        <rFont val="Calibri"/>
        <family val="2"/>
        <scheme val="minor"/>
      </rPr>
      <t xml:space="preserve"> ελθων προς ημας</t>
    </r>
  </si>
  <si>
    <r>
      <t xml:space="preserve">δησας </t>
    </r>
    <r>
      <rPr>
        <b/>
        <sz val="11"/>
        <color theme="1"/>
        <rFont val="Calibri"/>
        <family val="2"/>
        <scheme val="minor"/>
      </rPr>
      <t>τους ποδας και τας χειρας εαυτου</t>
    </r>
    <r>
      <rPr>
        <sz val="11"/>
        <color theme="1"/>
        <rFont val="Calibri"/>
        <family val="2"/>
        <scheme val="minor"/>
      </rPr>
      <t xml:space="preserve"> ειπε ταδε</t>
    </r>
  </si>
  <si>
    <r>
      <t xml:space="preserve">δησας τους ποδας και τας χειρας εαυτου </t>
    </r>
    <r>
      <rPr>
        <b/>
        <sz val="11"/>
        <color theme="1"/>
        <rFont val="Calibri"/>
        <family val="2"/>
        <scheme val="minor"/>
      </rPr>
      <t>ειπε</t>
    </r>
    <r>
      <rPr>
        <sz val="11"/>
        <color theme="1"/>
        <rFont val="Calibri"/>
        <family val="2"/>
        <scheme val="minor"/>
      </rPr>
      <t xml:space="preserve"> ταδε</t>
    </r>
  </si>
  <si>
    <r>
      <t xml:space="preserve">δησας εαυτου τους ποδας και τας χειρας </t>
    </r>
    <r>
      <rPr>
        <b/>
        <sz val="11"/>
        <color theme="1"/>
        <rFont val="Calibri"/>
        <family val="2"/>
        <scheme val="minor"/>
      </rPr>
      <t>ειπεν</t>
    </r>
    <r>
      <rPr>
        <sz val="11"/>
        <color theme="1"/>
        <rFont val="Calibri"/>
        <family val="2"/>
        <scheme val="minor"/>
      </rPr>
      <t xml:space="preserve"> ταδε</t>
    </r>
  </si>
  <si>
    <r>
      <t xml:space="preserve">δησας </t>
    </r>
    <r>
      <rPr>
        <b/>
        <sz val="11"/>
        <color theme="1"/>
        <rFont val="Calibri"/>
        <family val="2"/>
        <scheme val="minor"/>
      </rPr>
      <t>εαυτου τους ποδας και τας χειρας</t>
    </r>
    <r>
      <rPr>
        <sz val="11"/>
        <color theme="1"/>
        <rFont val="Calibri"/>
        <family val="2"/>
        <scheme val="minor"/>
      </rPr>
      <t xml:space="preserve"> ειπεν ταδε</t>
    </r>
  </si>
  <si>
    <t>ιερουσαλημ οι ιουδαιοι</t>
  </si>
  <si>
    <t>ιερουσαλημ ιουδαιοι</t>
  </si>
  <si>
    <t>παρεκαλουμεν</t>
  </si>
  <si>
    <t>και συνθρυπτοντες</t>
  </si>
  <si>
    <t>και θορυβουντες</t>
  </si>
  <si>
    <t>ησυχασαμεν ειποντες</t>
  </si>
  <si>
    <t>ησυχασαμεν οι ειποντες</t>
  </si>
  <si>
    <t>του θυ γεινεσθω</t>
  </si>
  <si>
    <t>του κυ γεινεσθω</t>
  </si>
  <si>
    <t>Material no longer extant in Bezae</t>
  </si>
  <si>
    <t>ησαν δε παρ αυτω οι πρεσβυτεροι</t>
  </si>
  <si>
    <t>παρεγενοντο οι πρεσβυτεροι</t>
  </si>
  <si>
    <t>(18) συνηγμενοι (19) ους ασπαμενος διηγειτο ενα εκαστον ως εποιησεν</t>
  </si>
  <si>
    <r>
      <t xml:space="preserve">(18) συνηγμενοι (19) </t>
    </r>
    <r>
      <rPr>
        <b/>
        <sz val="11"/>
        <color theme="1"/>
        <rFont val="Calibri"/>
        <family val="2"/>
        <scheme val="minor"/>
      </rPr>
      <t>και</t>
    </r>
    <r>
      <rPr>
        <sz val="11"/>
        <color theme="1"/>
        <rFont val="Calibri"/>
        <family val="2"/>
        <scheme val="minor"/>
      </rPr>
      <t xml:space="preserve"> ασπασαμενος αυτους εξηγειτο καθ εν εκαστον ων εποιησεν</t>
    </r>
  </si>
  <si>
    <r>
      <t xml:space="preserve">(18) συνηγμενοι (19) </t>
    </r>
    <r>
      <rPr>
        <b/>
        <sz val="11"/>
        <color theme="1"/>
        <rFont val="Calibri"/>
        <family val="2"/>
        <scheme val="minor"/>
      </rPr>
      <t>ους</t>
    </r>
    <r>
      <rPr>
        <sz val="11"/>
        <color theme="1"/>
        <rFont val="Calibri"/>
        <family val="2"/>
        <scheme val="minor"/>
      </rPr>
      <t xml:space="preserve"> ασπαμενος διηγειτο ενα εκαστον ως εποιησεν</t>
    </r>
  </si>
  <si>
    <r>
      <t xml:space="preserve">(18) συνηγμενοι (19) και ασπασαμενος </t>
    </r>
    <r>
      <rPr>
        <b/>
        <sz val="11"/>
        <color theme="1"/>
        <rFont val="Calibri"/>
        <family val="2"/>
        <scheme val="minor"/>
      </rPr>
      <t>αυτους</t>
    </r>
    <r>
      <rPr>
        <sz val="11"/>
        <color theme="1"/>
        <rFont val="Calibri"/>
        <family val="2"/>
        <scheme val="minor"/>
      </rPr>
      <t xml:space="preserve"> εξηγειτο καθ εν εκαστον ων εποιησεν</t>
    </r>
  </si>
  <si>
    <r>
      <t xml:space="preserve">(18) συνηγμενοι (19) ους </t>
    </r>
    <r>
      <rPr>
        <b/>
        <sz val="11"/>
        <color theme="1"/>
        <rFont val="Calibri"/>
        <family val="2"/>
        <scheme val="minor"/>
      </rPr>
      <t>ασπαμενος</t>
    </r>
    <r>
      <rPr>
        <sz val="11"/>
        <color theme="1"/>
        <rFont val="Calibri"/>
        <family val="2"/>
        <scheme val="minor"/>
      </rPr>
      <t xml:space="preserve"> διηγειτο ενα εκαστον ως εποιησεν</t>
    </r>
  </si>
  <si>
    <r>
      <t xml:space="preserve">(18) συνηγμενοι (19) και </t>
    </r>
    <r>
      <rPr>
        <b/>
        <sz val="11"/>
        <color theme="1"/>
        <rFont val="Calibri"/>
        <family val="2"/>
        <scheme val="minor"/>
      </rPr>
      <t>ασπασαμενος</t>
    </r>
    <r>
      <rPr>
        <sz val="11"/>
        <color theme="1"/>
        <rFont val="Calibri"/>
        <family val="2"/>
        <scheme val="minor"/>
      </rPr>
      <t xml:space="preserve"> αυτους εξηγειτο καθ εν εκαστον ων εποιησεν</t>
    </r>
  </si>
  <si>
    <r>
      <t xml:space="preserve">(18) συνηγμενοι (19) ους ασπαμενος </t>
    </r>
    <r>
      <rPr>
        <b/>
        <sz val="11"/>
        <color theme="1"/>
        <rFont val="Calibri"/>
        <family val="2"/>
        <scheme val="minor"/>
      </rPr>
      <t>διηγειτο</t>
    </r>
    <r>
      <rPr>
        <sz val="11"/>
        <color theme="1"/>
        <rFont val="Calibri"/>
        <family val="2"/>
        <scheme val="minor"/>
      </rPr>
      <t xml:space="preserve"> ενα εκαστον ως εποιησεν</t>
    </r>
  </si>
  <si>
    <r>
      <t xml:space="preserve">(18) συνηγμενοι (19) και ασπασαμενος αυτους </t>
    </r>
    <r>
      <rPr>
        <b/>
        <sz val="11"/>
        <color theme="1"/>
        <rFont val="Calibri"/>
        <family val="2"/>
        <scheme val="minor"/>
      </rPr>
      <t>εξηγειτο</t>
    </r>
    <r>
      <rPr>
        <sz val="11"/>
        <color theme="1"/>
        <rFont val="Calibri"/>
        <family val="2"/>
        <scheme val="minor"/>
      </rPr>
      <t xml:space="preserve"> καθ εν εκαστον ων εποιησεν</t>
    </r>
  </si>
  <si>
    <r>
      <t xml:space="preserve">(18) συνηγμενοι (19) και ασπασαμενος αυτους εξηγειτο </t>
    </r>
    <r>
      <rPr>
        <b/>
        <sz val="11"/>
        <color theme="1"/>
        <rFont val="Calibri"/>
        <family val="2"/>
        <scheme val="minor"/>
      </rPr>
      <t>καθ</t>
    </r>
    <r>
      <rPr>
        <sz val="11"/>
        <color theme="1"/>
        <rFont val="Calibri"/>
        <family val="2"/>
        <scheme val="minor"/>
      </rPr>
      <t xml:space="preserve"> εν εκαστον ων εποιησεν</t>
    </r>
  </si>
  <si>
    <r>
      <t xml:space="preserve">(18) συνηγμενοι (19) ους ασπαμενος διηγειτο </t>
    </r>
    <r>
      <rPr>
        <b/>
        <sz val="11"/>
        <color theme="1"/>
        <rFont val="Calibri"/>
        <family val="2"/>
        <scheme val="minor"/>
      </rPr>
      <t>ενα</t>
    </r>
    <r>
      <rPr>
        <sz val="11"/>
        <color theme="1"/>
        <rFont val="Calibri"/>
        <family val="2"/>
        <scheme val="minor"/>
      </rPr>
      <t xml:space="preserve"> εκαστον ως εποιησεν</t>
    </r>
  </si>
  <si>
    <r>
      <t xml:space="preserve">(18) συνηγμενοι (19) και ασπασαμενος αυτους εξηγειτο καθ </t>
    </r>
    <r>
      <rPr>
        <b/>
        <sz val="11"/>
        <color theme="1"/>
        <rFont val="Calibri"/>
        <family val="2"/>
        <scheme val="minor"/>
      </rPr>
      <t>εν</t>
    </r>
    <r>
      <rPr>
        <sz val="11"/>
        <color theme="1"/>
        <rFont val="Calibri"/>
        <family val="2"/>
        <scheme val="minor"/>
      </rPr>
      <t xml:space="preserve"> εκαστον ων εποιησεν</t>
    </r>
  </si>
  <si>
    <r>
      <t xml:space="preserve">(18) συνηγμενοι (19) ους ασπαμενος διηγειτο ενα εκαστον </t>
    </r>
    <r>
      <rPr>
        <b/>
        <sz val="11"/>
        <color theme="1"/>
        <rFont val="Calibri"/>
        <family val="2"/>
        <scheme val="minor"/>
      </rPr>
      <t>ως</t>
    </r>
    <r>
      <rPr>
        <sz val="11"/>
        <color theme="1"/>
        <rFont val="Calibri"/>
        <family val="2"/>
        <scheme val="minor"/>
      </rPr>
      <t xml:space="preserve"> εποιησεν</t>
    </r>
  </si>
  <si>
    <r>
      <t xml:space="preserve">(18) συνηγμενοι (19) και ασπασαμενος αυτους εξηγειτο καθ εν εκαστον </t>
    </r>
    <r>
      <rPr>
        <b/>
        <sz val="11"/>
        <color theme="1"/>
        <rFont val="Calibri"/>
        <family val="2"/>
        <scheme val="minor"/>
      </rPr>
      <t>ων</t>
    </r>
    <r>
      <rPr>
        <sz val="11"/>
        <color theme="1"/>
        <rFont val="Calibri"/>
        <family val="2"/>
        <scheme val="minor"/>
      </rPr>
      <t xml:space="preserve"> εποιησεν</t>
    </r>
  </si>
  <si>
    <t>θεος εν τοις</t>
  </si>
  <si>
    <t>θς τοις</t>
  </si>
  <si>
    <t>Bezae corrects ειεισιν -&gt; εισιν</t>
  </si>
  <si>
    <t>παντες ουτοι ζηλωται</t>
  </si>
  <si>
    <t>παντες τουτοι ζηλωται</t>
  </si>
  <si>
    <r>
      <t xml:space="preserve">μυριαδες </t>
    </r>
    <r>
      <rPr>
        <b/>
        <sz val="11"/>
        <color theme="1"/>
        <rFont val="Calibri"/>
        <family val="2"/>
        <scheme val="minor"/>
      </rPr>
      <t>ειεισιν εν τη ιουδαια</t>
    </r>
    <r>
      <rPr>
        <sz val="11"/>
        <color theme="1"/>
        <rFont val="Calibri"/>
        <family val="2"/>
        <scheme val="minor"/>
      </rPr>
      <t xml:space="preserve"> των</t>
    </r>
  </si>
  <si>
    <r>
      <t xml:space="preserve">μυριαδες </t>
    </r>
    <r>
      <rPr>
        <b/>
        <sz val="11"/>
        <color theme="1"/>
        <rFont val="Calibri"/>
        <family val="2"/>
        <scheme val="minor"/>
      </rPr>
      <t>εν τη ιουδαια εισιν</t>
    </r>
    <r>
      <rPr>
        <sz val="11"/>
        <color theme="1"/>
        <rFont val="Calibri"/>
        <family val="2"/>
        <scheme val="minor"/>
      </rPr>
      <t xml:space="preserve"> των </t>
    </r>
  </si>
  <si>
    <r>
      <t xml:space="preserve">μυριαδες εν τη ιουδαια </t>
    </r>
    <r>
      <rPr>
        <b/>
        <sz val="11"/>
        <color theme="1"/>
        <rFont val="Calibri"/>
        <family val="2"/>
        <scheme val="minor"/>
      </rPr>
      <t>εισιν</t>
    </r>
    <r>
      <rPr>
        <sz val="11"/>
        <color theme="1"/>
        <rFont val="Calibri"/>
        <family val="2"/>
        <scheme val="minor"/>
      </rPr>
      <t xml:space="preserve"> των </t>
    </r>
  </si>
  <si>
    <r>
      <t xml:space="preserve">μυριαδες </t>
    </r>
    <r>
      <rPr>
        <b/>
        <sz val="11"/>
        <color theme="1"/>
        <rFont val="Calibri"/>
        <family val="2"/>
        <scheme val="minor"/>
      </rPr>
      <t>ειεισιν</t>
    </r>
    <r>
      <rPr>
        <sz val="11"/>
        <color theme="1"/>
        <rFont val="Calibri"/>
        <family val="2"/>
        <scheme val="minor"/>
      </rPr>
      <t xml:space="preserve"> εν τη ιουδαια των</t>
    </r>
  </si>
  <si>
    <t>κατηχηθησαν</t>
  </si>
  <si>
    <t>κατα εθνη εισιν ιουδαιοις μη περιτεμνειν</t>
  </si>
  <si>
    <r>
      <t xml:space="preserve">κατα </t>
    </r>
    <r>
      <rPr>
        <b/>
        <sz val="11"/>
        <color theme="1"/>
        <rFont val="Calibri"/>
        <family val="2"/>
        <scheme val="minor"/>
      </rPr>
      <t>τα</t>
    </r>
    <r>
      <rPr>
        <sz val="11"/>
        <color theme="1"/>
        <rFont val="Calibri"/>
        <family val="2"/>
        <scheme val="minor"/>
      </rPr>
      <t xml:space="preserve"> εθνη παντας ιουδαιους μη περιτεμνειν</t>
    </r>
  </si>
  <si>
    <r>
      <t xml:space="preserve">κατα εθνη </t>
    </r>
    <r>
      <rPr>
        <b/>
        <sz val="11"/>
        <color theme="1"/>
        <rFont val="Calibri"/>
        <family val="2"/>
        <scheme val="minor"/>
      </rPr>
      <t>εισιν</t>
    </r>
    <r>
      <rPr>
        <sz val="11"/>
        <color theme="1"/>
        <rFont val="Calibri"/>
        <family val="2"/>
        <scheme val="minor"/>
      </rPr>
      <t xml:space="preserve"> ιουδαιοις μη περιτεμνειν</t>
    </r>
  </si>
  <si>
    <r>
      <t xml:space="preserve">κατα τα εθνη </t>
    </r>
    <r>
      <rPr>
        <b/>
        <sz val="11"/>
        <color theme="1"/>
        <rFont val="Calibri"/>
        <family val="2"/>
        <scheme val="minor"/>
      </rPr>
      <t>παντας</t>
    </r>
    <r>
      <rPr>
        <sz val="11"/>
        <color theme="1"/>
        <rFont val="Calibri"/>
        <family val="2"/>
        <scheme val="minor"/>
      </rPr>
      <t xml:space="preserve"> ιουδαιους μη περιτεμνειν</t>
    </r>
  </si>
  <si>
    <r>
      <t xml:space="preserve">κατα εθνη εισιν </t>
    </r>
    <r>
      <rPr>
        <b/>
        <sz val="11"/>
        <color theme="1"/>
        <rFont val="Calibri"/>
        <family val="2"/>
        <scheme val="minor"/>
      </rPr>
      <t>ιουδαιοις</t>
    </r>
    <r>
      <rPr>
        <sz val="11"/>
        <color theme="1"/>
        <rFont val="Calibri"/>
        <family val="2"/>
        <scheme val="minor"/>
      </rPr>
      <t xml:space="preserve"> μη περιτεμνειν</t>
    </r>
  </si>
  <si>
    <r>
      <t xml:space="preserve">κατα τα εθνη παντας </t>
    </r>
    <r>
      <rPr>
        <b/>
        <sz val="11"/>
        <color theme="1"/>
        <rFont val="Calibri"/>
        <family val="2"/>
        <scheme val="minor"/>
      </rPr>
      <t>ιουδαιους</t>
    </r>
    <r>
      <rPr>
        <sz val="11"/>
        <color theme="1"/>
        <rFont val="Calibri"/>
        <family val="2"/>
        <scheme val="minor"/>
      </rPr>
      <t xml:space="preserve"> μη περιτεμνειν</t>
    </r>
  </si>
  <si>
    <r>
      <t xml:space="preserve">τεκνα </t>
    </r>
    <r>
      <rPr>
        <b/>
        <sz val="11"/>
        <color theme="1"/>
        <rFont val="Calibri"/>
        <family val="2"/>
        <scheme val="minor"/>
      </rPr>
      <t>μητε</t>
    </r>
    <r>
      <rPr>
        <sz val="11"/>
        <color theme="1"/>
        <rFont val="Calibri"/>
        <family val="2"/>
        <scheme val="minor"/>
      </rPr>
      <t xml:space="preserve"> εν τοις εθνεσιν αυτου περιπατειν</t>
    </r>
  </si>
  <si>
    <r>
      <t xml:space="preserve">τεκνα </t>
    </r>
    <r>
      <rPr>
        <b/>
        <sz val="11"/>
        <color theme="1"/>
        <rFont val="Calibri"/>
        <family val="2"/>
        <scheme val="minor"/>
      </rPr>
      <t>μηδε</t>
    </r>
    <r>
      <rPr>
        <sz val="11"/>
        <color theme="1"/>
        <rFont val="Calibri"/>
        <family val="2"/>
        <scheme val="minor"/>
      </rPr>
      <t xml:space="preserve"> εν τοις εθνεσιν αυτους περιπατειν</t>
    </r>
  </si>
  <si>
    <r>
      <t xml:space="preserve">τεκνα μητε εν τοις εθνεσιν </t>
    </r>
    <r>
      <rPr>
        <b/>
        <sz val="11"/>
        <color theme="1"/>
        <rFont val="Calibri"/>
        <family val="2"/>
        <scheme val="minor"/>
      </rPr>
      <t>αυτου</t>
    </r>
    <r>
      <rPr>
        <sz val="11"/>
        <color theme="1"/>
        <rFont val="Calibri"/>
        <family val="2"/>
        <scheme val="minor"/>
      </rPr>
      <t xml:space="preserve"> περιπατειν</t>
    </r>
  </si>
  <si>
    <r>
      <t xml:space="preserve">τεκνα μηδε εν τοις εθνεσιν </t>
    </r>
    <r>
      <rPr>
        <b/>
        <sz val="11"/>
        <color theme="1"/>
        <rFont val="Calibri"/>
        <family val="2"/>
        <scheme val="minor"/>
      </rPr>
      <t>αυτους</t>
    </r>
    <r>
      <rPr>
        <sz val="11"/>
        <color theme="1"/>
        <rFont val="Calibri"/>
        <family val="2"/>
        <scheme val="minor"/>
      </rPr>
      <t xml:space="preserve"> περιπατειν</t>
    </r>
  </si>
  <si>
    <t>δει το πληθος</t>
  </si>
  <si>
    <t>δει πληθος</t>
  </si>
  <si>
    <t>εχοντες αφ εαυτων</t>
  </si>
  <si>
    <t>εχοντες εφ εαυτων</t>
  </si>
  <si>
    <t>εις αυτοις</t>
  </si>
  <si>
    <t>εις αυτους</t>
  </si>
  <si>
    <t>Bezae corrects to ξυρησονται</t>
  </si>
  <si>
    <t>περι σου ουδεν</t>
  </si>
  <si>
    <t>περι ου ουδεν</t>
  </si>
  <si>
    <r>
      <t xml:space="preserve">εστιν </t>
    </r>
    <r>
      <rPr>
        <b/>
        <sz val="11"/>
        <color theme="1"/>
        <rFont val="Calibri"/>
        <family val="2"/>
        <scheme val="minor"/>
      </rPr>
      <t>αλλ</t>
    </r>
    <r>
      <rPr>
        <sz val="11"/>
        <color theme="1"/>
        <rFont val="Calibri"/>
        <family val="2"/>
        <scheme val="minor"/>
      </rPr>
      <t xml:space="preserve"> οτι πορευου αυτος</t>
    </r>
  </si>
  <si>
    <r>
      <t xml:space="preserve">εστιν </t>
    </r>
    <r>
      <rPr>
        <b/>
        <sz val="11"/>
        <color theme="1"/>
        <rFont val="Calibri"/>
        <family val="2"/>
        <scheme val="minor"/>
      </rPr>
      <t>αλλα</t>
    </r>
    <r>
      <rPr>
        <sz val="11"/>
        <color theme="1"/>
        <rFont val="Calibri"/>
        <family val="2"/>
        <scheme val="minor"/>
      </rPr>
      <t xml:space="preserve"> στοιχεις και αυτος</t>
    </r>
  </si>
  <si>
    <r>
      <t xml:space="preserve">εστιν αλλ </t>
    </r>
    <r>
      <rPr>
        <b/>
        <sz val="11"/>
        <color theme="1"/>
        <rFont val="Calibri"/>
        <family val="2"/>
        <scheme val="minor"/>
      </rPr>
      <t>οτι πορευου</t>
    </r>
    <r>
      <rPr>
        <sz val="11"/>
        <color theme="1"/>
        <rFont val="Calibri"/>
        <family val="2"/>
        <scheme val="minor"/>
      </rPr>
      <t xml:space="preserve"> αυτος</t>
    </r>
  </si>
  <si>
    <r>
      <t xml:space="preserve">εστιν αλλα </t>
    </r>
    <r>
      <rPr>
        <b/>
        <sz val="11"/>
        <color theme="1"/>
        <rFont val="Calibri"/>
        <family val="2"/>
        <scheme val="minor"/>
      </rPr>
      <t>στοιχεις και</t>
    </r>
    <r>
      <rPr>
        <sz val="11"/>
        <color theme="1"/>
        <rFont val="Calibri"/>
        <family val="2"/>
        <scheme val="minor"/>
      </rPr>
      <t xml:space="preserve"> αυτος</t>
    </r>
  </si>
  <si>
    <t xml:space="preserve">εχουσι λεγειν </t>
  </si>
  <si>
    <t xml:space="preserve">εχουσιν λεγειν </t>
  </si>
  <si>
    <t>κρειναντες</t>
  </si>
  <si>
    <t xml:space="preserve">μη φυλασσεσθαι </t>
  </si>
  <si>
    <t xml:space="preserve">μη φυλασσφυλασσεσθαι </t>
  </si>
  <si>
    <t>το εδωλοθυτον</t>
  </si>
  <si>
    <t>το ιδωλοθυτον</t>
  </si>
  <si>
    <t>αγνεισθεις εισηλθεν εις το</t>
  </si>
  <si>
    <t>αγνεισθεις εισηει εις το</t>
  </si>
  <si>
    <t>οι απο της ασιας</t>
  </si>
  <si>
    <r>
      <t xml:space="preserve">οι </t>
    </r>
    <r>
      <rPr>
        <b/>
        <sz val="11"/>
        <color theme="1"/>
        <rFont val="Calibri"/>
        <family val="2"/>
        <scheme val="minor"/>
      </rPr>
      <t>δε</t>
    </r>
    <r>
      <rPr>
        <sz val="11"/>
        <color theme="1"/>
        <rFont val="Calibri"/>
        <family val="2"/>
        <scheme val="minor"/>
      </rPr>
      <t xml:space="preserve"> α της ασιας</t>
    </r>
  </si>
  <si>
    <r>
      <t xml:space="preserve">οι δε </t>
    </r>
    <r>
      <rPr>
        <b/>
        <sz val="11"/>
        <color theme="1"/>
        <rFont val="Calibri"/>
        <family val="2"/>
        <scheme val="minor"/>
      </rPr>
      <t>α</t>
    </r>
    <r>
      <rPr>
        <sz val="11"/>
        <color theme="1"/>
        <rFont val="Calibri"/>
        <family val="2"/>
        <scheme val="minor"/>
      </rPr>
      <t xml:space="preserve"> της ασιας</t>
    </r>
  </si>
  <si>
    <r>
      <t xml:space="preserve">οι </t>
    </r>
    <r>
      <rPr>
        <b/>
        <sz val="11"/>
        <color theme="1"/>
        <rFont val="Calibri"/>
        <family val="2"/>
        <scheme val="minor"/>
      </rPr>
      <t>απο</t>
    </r>
    <r>
      <rPr>
        <sz val="11"/>
        <color theme="1"/>
        <rFont val="Calibri"/>
        <family val="2"/>
        <scheme val="minor"/>
      </rPr>
      <t xml:space="preserve"> της ασιας</t>
    </r>
  </si>
  <si>
    <t>ετι ελληνας εισηγαγεν εις το ιερον</t>
  </si>
  <si>
    <t>ετι και ελληνας εισηγεν ις ιερον</t>
  </si>
  <si>
    <r>
      <t xml:space="preserve">ετι </t>
    </r>
    <r>
      <rPr>
        <b/>
        <sz val="11"/>
        <color theme="1"/>
        <rFont val="Calibri"/>
        <family val="2"/>
        <scheme val="minor"/>
      </rPr>
      <t>και</t>
    </r>
    <r>
      <rPr>
        <sz val="11"/>
        <color theme="1"/>
        <rFont val="Calibri"/>
        <family val="2"/>
        <scheme val="minor"/>
      </rPr>
      <t xml:space="preserve"> ελληνας εισηγεν ις ιερον</t>
    </r>
  </si>
  <si>
    <r>
      <t xml:space="preserve">ετι και ελληνας </t>
    </r>
    <r>
      <rPr>
        <b/>
        <sz val="11"/>
        <color theme="1"/>
        <rFont val="Calibri"/>
        <family val="2"/>
        <scheme val="minor"/>
      </rPr>
      <t>εισηγεν</t>
    </r>
    <r>
      <rPr>
        <sz val="11"/>
        <color theme="1"/>
        <rFont val="Calibri"/>
        <family val="2"/>
        <scheme val="minor"/>
      </rPr>
      <t xml:space="preserve"> ις ιερον</t>
    </r>
  </si>
  <si>
    <r>
      <t xml:space="preserve">ετι ελληνας </t>
    </r>
    <r>
      <rPr>
        <b/>
        <sz val="11"/>
        <color theme="1"/>
        <rFont val="Calibri"/>
        <family val="2"/>
        <scheme val="minor"/>
      </rPr>
      <t>εισηγαγεν</t>
    </r>
    <r>
      <rPr>
        <sz val="11"/>
        <color theme="1"/>
        <rFont val="Calibri"/>
        <family val="2"/>
        <scheme val="minor"/>
      </rPr>
      <t xml:space="preserve"> εις το ιερον</t>
    </r>
  </si>
  <si>
    <r>
      <t xml:space="preserve">ετι και ελληνας εισηγεν </t>
    </r>
    <r>
      <rPr>
        <b/>
        <sz val="11"/>
        <color theme="1"/>
        <rFont val="Calibri"/>
        <family val="2"/>
        <scheme val="minor"/>
      </rPr>
      <t>ις</t>
    </r>
    <r>
      <rPr>
        <sz val="11"/>
        <color theme="1"/>
        <rFont val="Calibri"/>
        <family val="2"/>
        <scheme val="minor"/>
      </rPr>
      <t xml:space="preserve"> ιερον</t>
    </r>
  </si>
  <si>
    <r>
      <t xml:space="preserve">ετι ελληνας εισηγαγεν </t>
    </r>
    <r>
      <rPr>
        <b/>
        <sz val="11"/>
        <color theme="1"/>
        <rFont val="Calibri"/>
        <family val="2"/>
        <scheme val="minor"/>
      </rPr>
      <t>εις</t>
    </r>
    <r>
      <rPr>
        <sz val="11"/>
        <color theme="1"/>
        <rFont val="Calibri"/>
        <family val="2"/>
        <scheme val="minor"/>
      </rPr>
      <t xml:space="preserve"> το ιερον</t>
    </r>
  </si>
  <si>
    <r>
      <t xml:space="preserve">ετι ελληνας εισηγαγεν εις </t>
    </r>
    <r>
      <rPr>
        <b/>
        <sz val="11"/>
        <color theme="1"/>
        <rFont val="Calibri"/>
        <family val="2"/>
        <scheme val="minor"/>
      </rPr>
      <t>το</t>
    </r>
    <r>
      <rPr>
        <sz val="11"/>
        <color theme="1"/>
        <rFont val="Calibri"/>
        <family val="2"/>
        <scheme val="minor"/>
      </rPr>
      <t xml:space="preserve"> ιερον</t>
    </r>
  </si>
  <si>
    <t>εκοινωσεν</t>
  </si>
  <si>
    <t>(30) θυραι (31) και ζητουντων αυτον</t>
  </si>
  <si>
    <t>(30) θυραι (31) ζητουντων δε αυτον</t>
  </si>
  <si>
    <t>εκατονταρχους</t>
  </si>
  <si>
    <t>τους τρατιωτας</t>
  </si>
  <si>
    <t>τους στρατιωτας</t>
  </si>
  <si>
    <r>
      <t xml:space="preserve">και </t>
    </r>
    <r>
      <rPr>
        <b/>
        <sz val="11"/>
        <color theme="1"/>
        <rFont val="Calibri"/>
        <family val="2"/>
        <scheme val="minor"/>
      </rPr>
      <t>τις</t>
    </r>
    <r>
      <rPr>
        <sz val="11"/>
        <color theme="1"/>
        <rFont val="Calibri"/>
        <family val="2"/>
        <scheme val="minor"/>
      </rPr>
      <t xml:space="preserve"> εστιν πεποικως</t>
    </r>
  </si>
  <si>
    <r>
      <t xml:space="preserve">και </t>
    </r>
    <r>
      <rPr>
        <b/>
        <sz val="11"/>
        <color theme="1"/>
        <rFont val="Calibri"/>
        <family val="2"/>
        <scheme val="minor"/>
      </rPr>
      <t>τι</t>
    </r>
    <r>
      <rPr>
        <sz val="11"/>
        <color theme="1"/>
        <rFont val="Calibri"/>
        <family val="2"/>
        <scheme val="minor"/>
      </rPr>
      <t xml:space="preserve"> εστιν πεποιηκως</t>
    </r>
  </si>
  <si>
    <r>
      <t xml:space="preserve">και τις εστιν </t>
    </r>
    <r>
      <rPr>
        <b/>
        <sz val="11"/>
        <color theme="1"/>
        <rFont val="Calibri"/>
        <family val="2"/>
        <scheme val="minor"/>
      </rPr>
      <t>πεποικως</t>
    </r>
  </si>
  <si>
    <r>
      <t xml:space="preserve">και τι εστιν </t>
    </r>
    <r>
      <rPr>
        <b/>
        <sz val="11"/>
        <color theme="1"/>
        <rFont val="Calibri"/>
        <family val="2"/>
        <scheme val="minor"/>
      </rPr>
      <t>πεποιηκως</t>
    </r>
  </si>
  <si>
    <t>αυτου δε γνωναι</t>
  </si>
  <si>
    <t>αυτου γνωναι</t>
  </si>
  <si>
    <t>εκελευσε αγεσθαι</t>
  </si>
  <si>
    <t>εκελευσεν αγεσθαι</t>
  </si>
  <si>
    <t xml:space="preserve">κραζον αναιρεισθαι </t>
  </si>
  <si>
    <t>κραζον αιρεσθαι</t>
  </si>
  <si>
    <r>
      <t xml:space="preserve">παρεμβολην </t>
    </r>
    <r>
      <rPr>
        <b/>
        <sz val="11"/>
        <color theme="1"/>
        <rFont val="Calibri"/>
        <family val="2"/>
        <scheme val="minor"/>
      </rPr>
      <t>τω χειλιαρχω αποκρειθεις ειπεν</t>
    </r>
    <r>
      <rPr>
        <sz val="11"/>
        <color theme="1"/>
        <rFont val="Calibri"/>
        <family val="2"/>
        <scheme val="minor"/>
      </rPr>
      <t xml:space="preserve"> ει εξεστιν</t>
    </r>
  </si>
  <si>
    <r>
      <t xml:space="preserve">παρεμβολην </t>
    </r>
    <r>
      <rPr>
        <b/>
        <sz val="11"/>
        <color theme="1"/>
        <rFont val="Calibri"/>
        <family val="2"/>
        <scheme val="minor"/>
      </rPr>
      <t>αποκριθεις ειπε τω χιλιαρχω</t>
    </r>
    <r>
      <rPr>
        <sz val="11"/>
        <color theme="1"/>
        <rFont val="Calibri"/>
        <family val="2"/>
        <scheme val="minor"/>
      </rPr>
      <t xml:space="preserve"> ει εξεστιν</t>
    </r>
  </si>
  <si>
    <r>
      <t xml:space="preserve">παρεμβολην τω </t>
    </r>
    <r>
      <rPr>
        <b/>
        <sz val="11"/>
        <color theme="1"/>
        <rFont val="Calibri"/>
        <family val="2"/>
        <scheme val="minor"/>
      </rPr>
      <t>χειλιαρχω</t>
    </r>
    <r>
      <rPr>
        <sz val="11"/>
        <color theme="1"/>
        <rFont val="Calibri"/>
        <family val="2"/>
        <scheme val="minor"/>
      </rPr>
      <t xml:space="preserve"> αποκρειθεις ειπεν ει εξεστιν</t>
    </r>
  </si>
  <si>
    <r>
      <t xml:space="preserve">παρεμβολην αποκριθεις ειπε τω </t>
    </r>
    <r>
      <rPr>
        <b/>
        <sz val="11"/>
        <color theme="1"/>
        <rFont val="Calibri"/>
        <family val="2"/>
        <scheme val="minor"/>
      </rPr>
      <t>χιλιαρχω</t>
    </r>
    <r>
      <rPr>
        <sz val="11"/>
        <color theme="1"/>
        <rFont val="Calibri"/>
        <family val="2"/>
        <scheme val="minor"/>
      </rPr>
      <t xml:space="preserve"> ει εξεστιν</t>
    </r>
  </si>
  <si>
    <r>
      <t xml:space="preserve">παρεμβολην αποκριθεις </t>
    </r>
    <r>
      <rPr>
        <b/>
        <sz val="11"/>
        <color theme="1"/>
        <rFont val="Calibri"/>
        <family val="2"/>
        <scheme val="minor"/>
      </rPr>
      <t>ειπε</t>
    </r>
    <r>
      <rPr>
        <sz val="11"/>
        <color theme="1"/>
        <rFont val="Calibri"/>
        <family val="2"/>
        <scheme val="minor"/>
      </rPr>
      <t xml:space="preserve"> τω χιλιαρχω ει εξεστιν</t>
    </r>
  </si>
  <si>
    <r>
      <t xml:space="preserve">παρεμβολην τω χειλιαρχω αποκρειθεις </t>
    </r>
    <r>
      <rPr>
        <b/>
        <sz val="11"/>
        <color theme="1"/>
        <rFont val="Calibri"/>
        <family val="2"/>
        <scheme val="minor"/>
      </rPr>
      <t>ειπεν</t>
    </r>
    <r>
      <rPr>
        <sz val="11"/>
        <color theme="1"/>
        <rFont val="Calibri"/>
        <family val="2"/>
        <scheme val="minor"/>
      </rPr>
      <t xml:space="preserve"> ει εξεστιν</t>
    </r>
  </si>
  <si>
    <t>γεινωσκεις (38) ου συ ει</t>
  </si>
  <si>
    <t>γεινωσκεις (38) συ ει</t>
  </si>
  <si>
    <t xml:space="preserve">της κιλικιας </t>
  </si>
  <si>
    <t xml:space="preserve">της κιλικκιλικιας </t>
  </si>
  <si>
    <t>γεγεννημενος πολιτης δαιομε</t>
  </si>
  <si>
    <t>γεγεννημενος δαιομε</t>
  </si>
  <si>
    <t>λαον (40) επιτρεψαντος</t>
  </si>
  <si>
    <t>λαον (40) και επιτρεψαντος</t>
  </si>
  <si>
    <t>προσφωνει μαλλον</t>
  </si>
  <si>
    <t>προσφωνει αυτοις μαλλον</t>
  </si>
  <si>
    <t>ησυχιαν παρεσχον και φησιν</t>
  </si>
  <si>
    <t>ησυχασαν και φησιν</t>
  </si>
  <si>
    <t>και ο αρχιερευς</t>
  </si>
  <si>
    <t>και αρχιερευς</t>
  </si>
  <si>
    <t>αξων τε και</t>
  </si>
  <si>
    <t>αξων και</t>
  </si>
  <si>
    <t>(5) τιμωρηθωσιν (6) εγενετο δε μοι πορευομενω και εγγιζοντι περι μεσημβριαν τη δαμασκω εξεφνης εκ του ουρανου περιεστραψαι φως</t>
  </si>
  <si>
    <t>(5) τειμωρηθωσιν (6) ενγιζοντι δε μοι μεσημβριαν δαμασκω εξεφνης απο του ουρανου περιεστραψαι με φως</t>
  </si>
  <si>
    <r>
      <t xml:space="preserve">(5) </t>
    </r>
    <r>
      <rPr>
        <b/>
        <sz val="11"/>
        <color theme="1"/>
        <rFont val="Calibri"/>
        <family val="2"/>
        <scheme val="minor"/>
      </rPr>
      <t>τειμωρηθωσιν</t>
    </r>
    <r>
      <rPr>
        <sz val="11"/>
        <color theme="1"/>
        <rFont val="Calibri"/>
        <family val="2"/>
        <scheme val="minor"/>
      </rPr>
      <t xml:space="preserve"> (6) ενγιζοντι δε μοι μεσημβριαν δαμασκω εξεφνης απο του ουρανου περιεστραψαι με φως</t>
    </r>
  </si>
  <si>
    <r>
      <t xml:space="preserve">(5) </t>
    </r>
    <r>
      <rPr>
        <b/>
        <sz val="11"/>
        <color theme="1"/>
        <rFont val="Calibri"/>
        <family val="2"/>
        <scheme val="minor"/>
      </rPr>
      <t>τιμωρηθωσιν</t>
    </r>
    <r>
      <rPr>
        <sz val="11"/>
        <color theme="1"/>
        <rFont val="Calibri"/>
        <family val="2"/>
        <scheme val="minor"/>
      </rPr>
      <t xml:space="preserve"> (6) εγενετο δε μοι πορευομενω και εγγιζοντι περι μεσημβριαν τη δαμασκω εξεφνης εκ του ουρανου περιεστραψαι φως</t>
    </r>
  </si>
  <si>
    <r>
      <t xml:space="preserve">(5) τειμωρηθωσιν (6) </t>
    </r>
    <r>
      <rPr>
        <b/>
        <sz val="11"/>
        <color theme="1"/>
        <rFont val="Calibri"/>
        <family val="2"/>
        <scheme val="minor"/>
      </rPr>
      <t>ενγιζοντι</t>
    </r>
    <r>
      <rPr>
        <sz val="11"/>
        <color theme="1"/>
        <rFont val="Calibri"/>
        <family val="2"/>
        <scheme val="minor"/>
      </rPr>
      <t xml:space="preserve"> δε μοι μεσημβριαν δαμασκω εξεφνης απο του ουρανου περιεστραψαι με φως</t>
    </r>
  </si>
  <si>
    <r>
      <t xml:space="preserve">(5) τιμωρηθωσιν (6) </t>
    </r>
    <r>
      <rPr>
        <b/>
        <sz val="11"/>
        <color theme="1"/>
        <rFont val="Calibri"/>
        <family val="2"/>
        <scheme val="minor"/>
      </rPr>
      <t>εγενετο</t>
    </r>
    <r>
      <rPr>
        <sz val="11"/>
        <color theme="1"/>
        <rFont val="Calibri"/>
        <family val="2"/>
        <scheme val="minor"/>
      </rPr>
      <t xml:space="preserve"> δε μοι πορευομενω και εγγιζοντι περι μεσημβριαν τη δαμασκω εξεφνης εκ του ουρανου περιεστραψαι φως</t>
    </r>
  </si>
  <si>
    <r>
      <t xml:space="preserve">(5) τιμωρηθωσιν (6) εγενετο δε μοι πορευομενω και εγγιζοντι περι μεσημβριαν </t>
    </r>
    <r>
      <rPr>
        <b/>
        <sz val="11"/>
        <color theme="1"/>
        <rFont val="Calibri"/>
        <family val="2"/>
        <scheme val="minor"/>
      </rPr>
      <t>τη</t>
    </r>
    <r>
      <rPr>
        <sz val="11"/>
        <color theme="1"/>
        <rFont val="Calibri"/>
        <family val="2"/>
        <scheme val="minor"/>
      </rPr>
      <t xml:space="preserve"> δαμασκω εξεφνης εκ του ουρανου περιεστραψαι φως</t>
    </r>
  </si>
  <si>
    <r>
      <t xml:space="preserve">(5) τιμωρηθωσιν (6) εγενετο δε μοι πορευομενω και </t>
    </r>
    <r>
      <rPr>
        <b/>
        <sz val="11"/>
        <color theme="1"/>
        <rFont val="Calibri"/>
        <family val="2"/>
        <scheme val="minor"/>
      </rPr>
      <t>εγγιζοντι</t>
    </r>
    <r>
      <rPr>
        <sz val="11"/>
        <color theme="1"/>
        <rFont val="Calibri"/>
        <family val="2"/>
        <scheme val="minor"/>
      </rPr>
      <t xml:space="preserve"> περι μεσημβριαν τη δαμασκω εξεφνης εκ του ουρανου περιεστραψαι φως</t>
    </r>
  </si>
  <si>
    <r>
      <t xml:space="preserve">(5) τιμωρηθωσιν (6) εγενετο δε μοι πορευομενω και εγγιζοντι περι μεσημβριαν τη δαμασκω εξεφνης </t>
    </r>
    <r>
      <rPr>
        <b/>
        <sz val="11"/>
        <color theme="1"/>
        <rFont val="Calibri"/>
        <family val="2"/>
        <scheme val="minor"/>
      </rPr>
      <t>εκ</t>
    </r>
    <r>
      <rPr>
        <sz val="11"/>
        <color theme="1"/>
        <rFont val="Calibri"/>
        <family val="2"/>
        <scheme val="minor"/>
      </rPr>
      <t xml:space="preserve"> του ουρανου περιεστραψαι φως</t>
    </r>
  </si>
  <si>
    <r>
      <t xml:space="preserve">(5) τειμωρηθωσιν (6) ενγιζοντι δε μοι μεσημβριαν δαμασκω εξεφνης </t>
    </r>
    <r>
      <rPr>
        <b/>
        <sz val="11"/>
        <color theme="1"/>
        <rFont val="Calibri"/>
        <family val="2"/>
        <scheme val="minor"/>
      </rPr>
      <t>απο</t>
    </r>
    <r>
      <rPr>
        <sz val="11"/>
        <color theme="1"/>
        <rFont val="Calibri"/>
        <family val="2"/>
        <scheme val="minor"/>
      </rPr>
      <t xml:space="preserve"> του ουρανου περιεστραψαι με φως</t>
    </r>
  </si>
  <si>
    <r>
      <t xml:space="preserve">(5) τειμωρηθωσιν (6) ενγιζοντι δε μοι μεσημβριαν δαμασκω εξεφνης απο του ουρανου περιεστραψαι </t>
    </r>
    <r>
      <rPr>
        <b/>
        <sz val="11"/>
        <color theme="1"/>
        <rFont val="Calibri"/>
        <family val="2"/>
        <scheme val="minor"/>
      </rPr>
      <t>με</t>
    </r>
    <r>
      <rPr>
        <sz val="11"/>
        <color theme="1"/>
        <rFont val="Calibri"/>
        <family val="2"/>
        <scheme val="minor"/>
      </rPr>
      <t xml:space="preserve"> φως</t>
    </r>
  </si>
  <si>
    <r>
      <t xml:space="preserve">εγω </t>
    </r>
    <r>
      <rPr>
        <b/>
        <sz val="11"/>
        <color theme="1"/>
        <rFont val="Calibri"/>
        <family val="2"/>
        <scheme val="minor"/>
      </rPr>
      <t>ει</t>
    </r>
    <r>
      <rPr>
        <sz val="11"/>
        <color theme="1"/>
        <rFont val="Calibri"/>
        <family val="2"/>
        <scheme val="minor"/>
      </rPr>
      <t xml:space="preserve"> ιης ο ναζoραιος </t>
    </r>
  </si>
  <si>
    <r>
      <t xml:space="preserve">εγω </t>
    </r>
    <r>
      <rPr>
        <b/>
        <sz val="11"/>
        <color theme="1"/>
        <rFont val="Calibri"/>
        <family val="2"/>
        <scheme val="minor"/>
      </rPr>
      <t>ειμι</t>
    </r>
    <r>
      <rPr>
        <sz val="11"/>
        <color theme="1"/>
        <rFont val="Calibri"/>
        <family val="2"/>
        <scheme val="minor"/>
      </rPr>
      <t xml:space="preserve"> ιησους ο ναζωραιος </t>
    </r>
  </si>
  <si>
    <r>
      <t xml:space="preserve">εγω ειμι ιησους ο </t>
    </r>
    <r>
      <rPr>
        <b/>
        <sz val="11"/>
        <color theme="1"/>
        <rFont val="Calibri"/>
        <family val="2"/>
        <scheme val="minor"/>
      </rPr>
      <t>ναζωραιος</t>
    </r>
    <r>
      <rPr>
        <sz val="11"/>
        <color theme="1"/>
        <rFont val="Calibri"/>
        <family val="2"/>
        <scheme val="minor"/>
      </rPr>
      <t xml:space="preserve"> </t>
    </r>
  </si>
  <si>
    <r>
      <t xml:space="preserve">εγω ει ιης ο </t>
    </r>
    <r>
      <rPr>
        <b/>
        <sz val="11"/>
        <color theme="1"/>
        <rFont val="Calibri"/>
        <family val="2"/>
        <scheme val="minor"/>
      </rPr>
      <t>ναζoραιος</t>
    </r>
    <r>
      <rPr>
        <sz val="11"/>
        <color theme="1"/>
        <rFont val="Calibri"/>
        <family val="2"/>
        <scheme val="minor"/>
      </rPr>
      <t xml:space="preserve"> </t>
    </r>
  </si>
  <si>
    <t>Same set of corrections; here, transposition</t>
  </si>
  <si>
    <t>No longer extant in Bezae</t>
  </si>
  <si>
    <t>και οτε ... τη αναιρεσει</t>
  </si>
  <si>
    <t>αυτου φυλασσων</t>
  </si>
  <si>
    <t>[αυτου] και φυλασσων</t>
  </si>
  <si>
    <t>τα ειματια</t>
  </si>
  <si>
    <t>τα ιματια</t>
  </si>
  <si>
    <t>ειπε προς με</t>
  </si>
  <si>
    <t>ειπεν προς με</t>
  </si>
  <si>
    <t>αχρι του τουτου λογου</t>
  </si>
  <si>
    <t>αχρι τουτου του λογου</t>
  </si>
  <si>
    <t>καθηκον</t>
  </si>
  <si>
    <r>
      <rPr>
        <b/>
        <sz val="11"/>
        <color theme="1"/>
        <rFont val="Calibri"/>
        <family val="2"/>
        <scheme val="minor"/>
      </rPr>
      <t>χειλιαρχος</t>
    </r>
    <r>
      <rPr>
        <sz val="11"/>
        <color theme="1"/>
        <rFont val="Calibri"/>
        <family val="2"/>
        <scheme val="minor"/>
      </rPr>
      <t xml:space="preserve"> εισαγεσθαι αυτον εις την </t>
    </r>
  </si>
  <si>
    <r>
      <rPr>
        <b/>
        <sz val="11"/>
        <color theme="1"/>
        <rFont val="Calibri"/>
        <family val="2"/>
        <scheme val="minor"/>
      </rPr>
      <t>χιλιαρχος</t>
    </r>
    <r>
      <rPr>
        <sz val="11"/>
        <color theme="1"/>
        <rFont val="Calibri"/>
        <family val="2"/>
        <scheme val="minor"/>
      </rPr>
      <t xml:space="preserve"> αυτον εισαγεσθαι εις την</t>
    </r>
  </si>
  <si>
    <r>
      <t xml:space="preserve">χειλιαρχος </t>
    </r>
    <r>
      <rPr>
        <b/>
        <sz val="11"/>
        <color theme="1"/>
        <rFont val="Calibri"/>
        <family val="2"/>
        <scheme val="minor"/>
      </rPr>
      <t>εισαγεσθαι αυτον</t>
    </r>
    <r>
      <rPr>
        <sz val="11"/>
        <color theme="1"/>
        <rFont val="Calibri"/>
        <family val="2"/>
        <scheme val="minor"/>
      </rPr>
      <t xml:space="preserve"> εις την </t>
    </r>
  </si>
  <si>
    <t>ανεταζειν αυτον</t>
  </si>
  <si>
    <t>ανεταζεσθαι αυτον</t>
  </si>
  <si>
    <t>προς εστωτα</t>
  </si>
  <si>
    <t>προς τον εστωτα</t>
  </si>
  <si>
    <t>εκατονταρχην ει εξεστιν</t>
  </si>
  <si>
    <r>
      <rPr>
        <b/>
        <sz val="11"/>
        <color theme="1"/>
        <rFont val="Calibri"/>
        <family val="2"/>
        <scheme val="minor"/>
      </rPr>
      <t>εκατονταρχην</t>
    </r>
    <r>
      <rPr>
        <sz val="11"/>
        <color theme="1"/>
        <rFont val="Calibri"/>
        <family val="2"/>
        <scheme val="minor"/>
      </rPr>
      <t xml:space="preserve"> ει εξεστιν</t>
    </r>
  </si>
  <si>
    <r>
      <rPr>
        <b/>
        <sz val="11"/>
        <color theme="1"/>
        <rFont val="Calibri"/>
        <family val="2"/>
        <scheme val="minor"/>
      </rPr>
      <t>εκατονταρχον</t>
    </r>
    <r>
      <rPr>
        <sz val="11"/>
        <color theme="1"/>
        <rFont val="Calibri"/>
        <family val="2"/>
        <scheme val="minor"/>
      </rPr>
      <t xml:space="preserve"> ο παυλος ει εξεστιν</t>
    </r>
  </si>
  <si>
    <r>
      <t xml:space="preserve">εκατονταρχον </t>
    </r>
    <r>
      <rPr>
        <b/>
        <sz val="11"/>
        <color theme="1"/>
        <rFont val="Calibri"/>
        <family val="2"/>
        <scheme val="minor"/>
      </rPr>
      <t>ο παυλος</t>
    </r>
    <r>
      <rPr>
        <sz val="11"/>
        <color theme="1"/>
        <rFont val="Calibri"/>
        <family val="2"/>
        <scheme val="minor"/>
      </rPr>
      <t xml:space="preserve"> ει εξεστιν</t>
    </r>
  </si>
  <si>
    <t>τουτο δε ακουσας</t>
  </si>
  <si>
    <t>τουτο ακουσας</t>
  </si>
  <si>
    <r>
      <rPr>
        <b/>
        <sz val="11"/>
        <color theme="1"/>
        <rFont val="Calibri"/>
        <family val="2"/>
        <scheme val="minor"/>
      </rPr>
      <t>χειλειαρχω</t>
    </r>
    <r>
      <rPr>
        <sz val="11"/>
        <color theme="1"/>
        <rFont val="Calibri"/>
        <family val="2"/>
        <scheme val="minor"/>
      </rPr>
      <t xml:space="preserve"> επηγγειλεν αυτω ορα τι</t>
    </r>
  </si>
  <si>
    <r>
      <rPr>
        <b/>
        <sz val="11"/>
        <color theme="1"/>
        <rFont val="Calibri"/>
        <family val="2"/>
        <scheme val="minor"/>
      </rPr>
      <t>χειλιαρχω</t>
    </r>
    <r>
      <rPr>
        <sz val="11"/>
        <color theme="1"/>
        <rFont val="Calibri"/>
        <family val="2"/>
        <scheme val="minor"/>
      </rPr>
      <t xml:space="preserve"> απηγγειλεν λεγων ορα τι</t>
    </r>
  </si>
  <si>
    <r>
      <t xml:space="preserve">χειλειαρχω </t>
    </r>
    <r>
      <rPr>
        <b/>
        <sz val="11"/>
        <color theme="1"/>
        <rFont val="Calibri"/>
        <family val="2"/>
        <scheme val="minor"/>
      </rPr>
      <t>επηγγειλεν</t>
    </r>
    <r>
      <rPr>
        <sz val="11"/>
        <color theme="1"/>
        <rFont val="Calibri"/>
        <family val="2"/>
        <scheme val="minor"/>
      </rPr>
      <t xml:space="preserve"> αυτω ορα τι</t>
    </r>
  </si>
  <si>
    <r>
      <t xml:space="preserve">χειλιαρχω </t>
    </r>
    <r>
      <rPr>
        <b/>
        <sz val="11"/>
        <color theme="1"/>
        <rFont val="Calibri"/>
        <family val="2"/>
        <scheme val="minor"/>
      </rPr>
      <t>απηγγειλεν</t>
    </r>
    <r>
      <rPr>
        <sz val="11"/>
        <color theme="1"/>
        <rFont val="Calibri"/>
        <family val="2"/>
        <scheme val="minor"/>
      </rPr>
      <t xml:space="preserve"> λεγων ορα τι</t>
    </r>
  </si>
  <si>
    <r>
      <t xml:space="preserve">χειλειαρχω επηγγειλεν </t>
    </r>
    <r>
      <rPr>
        <b/>
        <sz val="11"/>
        <color theme="1"/>
        <rFont val="Calibri"/>
        <family val="2"/>
        <scheme val="minor"/>
      </rPr>
      <t>αυτω</t>
    </r>
    <r>
      <rPr>
        <sz val="11"/>
        <color theme="1"/>
        <rFont val="Calibri"/>
        <family val="2"/>
        <scheme val="minor"/>
      </rPr>
      <t xml:space="preserve"> ορα τι</t>
    </r>
  </si>
  <si>
    <r>
      <t xml:space="preserve">χειλιαρχω απηγγειλεν </t>
    </r>
    <r>
      <rPr>
        <b/>
        <sz val="11"/>
        <color theme="1"/>
        <rFont val="Calibri"/>
        <family val="2"/>
        <scheme val="minor"/>
      </rPr>
      <t>λεγων</t>
    </r>
    <r>
      <rPr>
        <sz val="11"/>
        <color theme="1"/>
        <rFont val="Calibri"/>
        <family val="2"/>
        <scheme val="minor"/>
      </rPr>
      <t xml:space="preserve"> ορα τι</t>
    </r>
  </si>
  <si>
    <t>ο ανθρωπος</t>
  </si>
  <si>
    <t>ο γαρ ανς</t>
  </si>
  <si>
    <t>ουτος (27) τοτε</t>
  </si>
  <si>
    <t>ουτος ρωμαιος εστιν (27) τοτε</t>
  </si>
  <si>
    <t>Speech part add/omitted</t>
  </si>
  <si>
    <t>Visual Cues</t>
  </si>
  <si>
    <t>Duplicate Material</t>
  </si>
  <si>
    <t>Singularity</t>
  </si>
  <si>
    <t>Secondary</t>
  </si>
  <si>
    <t>Minutiae</t>
  </si>
  <si>
    <t>Nonsense</t>
  </si>
  <si>
    <t>Adjective</t>
  </si>
  <si>
    <t>Present</t>
  </si>
  <si>
    <t>Dittography</t>
  </si>
  <si>
    <t>Singular</t>
  </si>
  <si>
    <t>Itacism</t>
  </si>
  <si>
    <t>Generated - strict</t>
  </si>
  <si>
    <t>Article</t>
  </si>
  <si>
    <t>Absent</t>
  </si>
  <si>
    <t>Repetition</t>
  </si>
  <si>
    <t>Non-singular</t>
  </si>
  <si>
    <t>Movable ν</t>
  </si>
  <si>
    <t>Generated - contextual</t>
  </si>
  <si>
    <t>Adverb</t>
  </si>
  <si>
    <t>Iota Adscript</t>
  </si>
  <si>
    <t>Removed - strict</t>
  </si>
  <si>
    <t>Conjunction</t>
  </si>
  <si>
    <t>Iota Subscript</t>
  </si>
  <si>
    <t>Removed - contextual</t>
  </si>
  <si>
    <t>Compound word</t>
  </si>
  <si>
    <t>Abbreviation</t>
  </si>
  <si>
    <t>Noun</t>
  </si>
  <si>
    <t>Breathings</t>
  </si>
  <si>
    <t>Pronoun</t>
  </si>
  <si>
    <t>Accents</t>
  </si>
  <si>
    <t>Preposition</t>
  </si>
  <si>
    <t>Punctuation</t>
  </si>
  <si>
    <t>Participle</t>
  </si>
  <si>
    <t>Vocative</t>
  </si>
  <si>
    <t>Exclusion Grounds</t>
  </si>
  <si>
    <t>Corrector Followed</t>
  </si>
  <si>
    <t>Apograph Corrected</t>
  </si>
  <si>
    <t>Phrase Length</t>
  </si>
  <si>
    <t>Words Length</t>
  </si>
  <si>
    <t>Letters Length</t>
  </si>
  <si>
    <t>Speech Part Add/Omitted</t>
  </si>
  <si>
    <t>Cue Regions</t>
  </si>
  <si>
    <t>Cue Length</t>
  </si>
  <si>
    <t>AO Word Frequency</t>
  </si>
  <si>
    <t>SUB Frequency Difference</t>
  </si>
  <si>
    <t>Orthographic - General</t>
  </si>
  <si>
    <t>Harmonization - Context</t>
  </si>
  <si>
    <t>Parallel Present</t>
  </si>
  <si>
    <t>Harmonization - Parallel</t>
  </si>
  <si>
    <t>Mere Minutiae</t>
  </si>
  <si>
    <t>Review</t>
  </si>
  <si>
    <t>Disharmonizing</t>
  </si>
  <si>
    <t>Substitution - Word</t>
  </si>
  <si>
    <t>NA</t>
  </si>
  <si>
    <t>Substitution - Form</t>
  </si>
  <si>
    <t>Substitution - Both</t>
  </si>
  <si>
    <t>Below word level</t>
  </si>
  <si>
    <t>Particle</t>
  </si>
  <si>
    <t>Name Spelling</t>
  </si>
  <si>
    <t>Verb</t>
  </si>
  <si>
    <t>Unfiltered variants:</t>
  </si>
  <si>
    <t>Total variants:</t>
  </si>
  <si>
    <t>ε-αι</t>
  </si>
  <si>
    <t>freq = και - αν (he came)</t>
  </si>
  <si>
    <t>ει-ι</t>
  </si>
  <si>
    <t>ΝΑ</t>
  </si>
  <si>
    <t>ε-η; αι-ε</t>
  </si>
  <si>
    <r>
      <t xml:space="preserve">ηρωδους του πατρος αυτου </t>
    </r>
    <r>
      <rPr>
        <b/>
        <sz val="11"/>
        <color theme="1"/>
        <rFont val="Calibri"/>
        <family val="2"/>
        <scheme val="minor"/>
      </rPr>
      <t>εφοβηθη</t>
    </r>
    <r>
      <rPr>
        <sz val="11"/>
        <color theme="1"/>
        <rFont val="Calibri"/>
        <family val="2"/>
        <scheme val="minor"/>
      </rPr>
      <t xml:space="preserve"> εκει</t>
    </r>
  </si>
  <si>
    <t>ι-ει</t>
  </si>
  <si>
    <t>BD</t>
  </si>
  <si>
    <t>3</t>
  </si>
  <si>
    <t>4</t>
  </si>
  <si>
    <t>5</t>
  </si>
  <si>
    <t>freq = ερχομαι</t>
  </si>
  <si>
    <t>AC</t>
  </si>
  <si>
    <t>1.1.1 transposition</t>
  </si>
  <si>
    <t>AB:AC</t>
  </si>
  <si>
    <t>3:3</t>
  </si>
  <si>
    <t>η-ε</t>
  </si>
  <si>
    <t>επι ιματιω</t>
  </si>
  <si>
    <t>freq = γε</t>
  </si>
  <si>
    <t>τας πολις</t>
  </si>
  <si>
    <t>τας πολεις</t>
  </si>
  <si>
    <t>BD:CD</t>
  </si>
  <si>
    <t>εν τη πολι</t>
  </si>
  <si>
    <t>εν τη πολει</t>
  </si>
  <si>
    <t>ι -ει</t>
  </si>
  <si>
    <t>ε-η</t>
  </si>
  <si>
    <t>AC:BD</t>
  </si>
  <si>
    <t>7:3</t>
  </si>
  <si>
    <t>7:7</t>
  </si>
  <si>
    <t>skipped 1 line (31v.1.25; visual cues present); freq = νυμφη</t>
  </si>
  <si>
    <t>6:6</t>
  </si>
  <si>
    <t>προσφωνουντα ετεροις</t>
  </si>
  <si>
    <t>4:4</t>
  </si>
  <si>
    <t>freq = η - ος</t>
  </si>
  <si>
    <t>πεφορτισμενοι καγω</t>
  </si>
  <si>
    <t>AB:CD</t>
  </si>
  <si>
    <t>ηρξαντο του σταχυας τιλλειν</t>
  </si>
  <si>
    <t>ηρξαντο σταχυας τιλλειν</t>
  </si>
  <si>
    <t>ο-ω</t>
  </si>
  <si>
    <r>
      <t xml:space="preserve">υιος </t>
    </r>
    <r>
      <rPr>
        <b/>
        <sz val="11"/>
        <color theme="1"/>
        <rFont val="Calibri"/>
        <family val="2"/>
        <scheme val="minor"/>
      </rPr>
      <t>του</t>
    </r>
    <r>
      <rPr>
        <sz val="11"/>
        <color theme="1"/>
        <rFont val="Calibri"/>
        <family val="2"/>
        <scheme val="minor"/>
      </rPr>
      <t xml:space="preserve"> δαβειδ</t>
    </r>
  </si>
  <si>
    <r>
      <t xml:space="preserve">υιος του </t>
    </r>
    <r>
      <rPr>
        <b/>
        <sz val="11"/>
        <color theme="1"/>
        <rFont val="Calibri"/>
        <family val="2"/>
        <scheme val="minor"/>
      </rPr>
      <t>δαβειδ</t>
    </r>
  </si>
  <si>
    <r>
      <t xml:space="preserve">υιος </t>
    </r>
    <r>
      <rPr>
        <b/>
        <sz val="11"/>
        <color theme="1"/>
        <rFont val="Calibri"/>
        <family val="2"/>
        <scheme val="minor"/>
      </rPr>
      <t>δαυειδ</t>
    </r>
  </si>
  <si>
    <t>5:5</t>
  </si>
  <si>
    <t>9:9</t>
  </si>
  <si>
    <t>κακρινουσιν</t>
  </si>
  <si>
    <t>ω-ο</t>
  </si>
  <si>
    <t>ει-ι;ω-ο</t>
  </si>
  <si>
    <t>freq = υιος - βαινω</t>
  </si>
  <si>
    <t xml:space="preserve">ει-ι </t>
  </si>
  <si>
    <t>2.0.2 transposition</t>
  </si>
  <si>
    <t>CD</t>
  </si>
  <si>
    <t>freq = εκλυω</t>
  </si>
  <si>
    <t>ε-ει</t>
  </si>
  <si>
    <t>ιχθυας ευχαριστησας</t>
  </si>
  <si>
    <t>ορια μαγαδαν</t>
  </si>
  <si>
    <r>
      <t xml:space="preserve">θυ </t>
    </r>
    <r>
      <rPr>
        <b/>
        <sz val="11"/>
        <color theme="1"/>
        <rFont val="Calibri"/>
        <family val="2"/>
        <scheme val="minor"/>
      </rPr>
      <t>το</t>
    </r>
    <r>
      <rPr>
        <sz val="11"/>
        <color theme="1"/>
        <rFont val="Calibri"/>
        <family val="2"/>
        <scheme val="minor"/>
      </rPr>
      <t xml:space="preserve"> σωζοντος</t>
    </r>
  </si>
  <si>
    <r>
      <t xml:space="preserve">θυ το </t>
    </r>
    <r>
      <rPr>
        <b/>
        <sz val="11"/>
        <color theme="1"/>
        <rFont val="Calibri"/>
        <family val="2"/>
        <scheme val="minor"/>
      </rPr>
      <t>σωζοντος</t>
    </r>
  </si>
  <si>
    <t>1.2.1 transposition</t>
  </si>
  <si>
    <r>
      <t xml:space="preserve">ηρξατο ο ις δεικνυειν τοις μαθηταις </t>
    </r>
    <r>
      <rPr>
        <b/>
        <sz val="11"/>
        <color theme="1"/>
        <rFont val="Calibri"/>
        <family val="2"/>
        <scheme val="minor"/>
      </rPr>
      <t>τοις μαθηταις</t>
    </r>
    <r>
      <rPr>
        <sz val="11"/>
        <color theme="1"/>
        <rFont val="Calibri"/>
        <family val="2"/>
        <scheme val="minor"/>
      </rPr>
      <t xml:space="preserve"> αυτου</t>
    </r>
  </si>
  <si>
    <t>12:12</t>
  </si>
  <si>
    <t>αι-ε</t>
  </si>
  <si>
    <t>1.0.2 transposition</t>
  </si>
  <si>
    <t>1.0.3 transposition</t>
  </si>
  <si>
    <t>ι-η</t>
  </si>
  <si>
    <t>2.0.1 transposition</t>
  </si>
  <si>
    <t>6</t>
  </si>
  <si>
    <t>7</t>
  </si>
  <si>
    <t>ουκ ουτως</t>
  </si>
  <si>
    <t>freq = απερχομαι</t>
  </si>
  <si>
    <t>εκ των δυω</t>
  </si>
  <si>
    <t>εκ των δυο</t>
  </si>
  <si>
    <t>8:8</t>
  </si>
  <si>
    <r>
      <t xml:space="preserve">φιλουσιν </t>
    </r>
    <r>
      <rPr>
        <b/>
        <sz val="11"/>
        <color theme="1"/>
        <rFont val="Calibri"/>
        <family val="2"/>
        <scheme val="minor"/>
      </rPr>
      <t>τε</t>
    </r>
    <r>
      <rPr>
        <sz val="11"/>
        <color theme="1"/>
        <rFont val="Calibri"/>
        <family val="2"/>
        <scheme val="minor"/>
      </rPr>
      <t xml:space="preserve"> την πρωκλεισιαν</t>
    </r>
  </si>
  <si>
    <t>φιλουσιν τε την πρωκλεισιαν</t>
  </si>
  <si>
    <t>31:31</t>
  </si>
  <si>
    <t>AB:AC:BD:CD</t>
  </si>
  <si>
    <t>3:3:3:3</t>
  </si>
  <si>
    <t>freq = δυο</t>
  </si>
  <si>
    <t>freq = γραμματευς</t>
  </si>
  <si>
    <t>5:4</t>
  </si>
  <si>
    <t>AB:AC:BD</t>
  </si>
  <si>
    <t>31:31:3</t>
  </si>
  <si>
    <t>4.0.3</t>
  </si>
  <si>
    <t>επεσεν επει προσωπον</t>
  </si>
  <si>
    <t>επεσεν επι προσωπον</t>
  </si>
  <si>
    <r>
      <t xml:space="preserve">(59) θανατωσουσιν (60) και ουκ ευρον το εξης και πολλοι προσηλθον ψευδομαρτυρες </t>
    </r>
    <r>
      <rPr>
        <b/>
        <sz val="11"/>
        <color theme="1"/>
        <rFont val="Calibri"/>
        <family val="2"/>
        <scheme val="minor"/>
      </rPr>
      <t>και ουκ ευρον το εξης υστερον δε ηλθον δυο ψευδομαρτυρες</t>
    </r>
    <r>
      <rPr>
        <sz val="11"/>
        <color theme="1"/>
        <rFont val="Calibri"/>
        <family val="2"/>
        <scheme val="minor"/>
      </rPr>
      <t xml:space="preserve"> (61) και ειπον</t>
    </r>
  </si>
  <si>
    <t>48:48:3</t>
  </si>
  <si>
    <t>skips two lines (94v.1.14-15; visual cues present); freq =  ψευδομαρτυς</t>
  </si>
  <si>
    <r>
      <t xml:space="preserve">και ειπον </t>
    </r>
    <r>
      <rPr>
        <b/>
        <sz val="11"/>
        <color theme="1"/>
        <rFont val="Calibri"/>
        <family val="2"/>
        <scheme val="minor"/>
      </rPr>
      <t>τουτον</t>
    </r>
    <r>
      <rPr>
        <sz val="11"/>
        <color theme="1"/>
        <rFont val="Calibri"/>
        <family val="2"/>
        <scheme val="minor"/>
      </rPr>
      <t xml:space="preserve"> ηκουσαμεν </t>
    </r>
    <r>
      <rPr>
        <b/>
        <sz val="11"/>
        <color theme="1"/>
        <rFont val="Calibri"/>
        <family val="2"/>
        <scheme val="minor"/>
      </rPr>
      <t>λεγοντα</t>
    </r>
    <r>
      <rPr>
        <sz val="11"/>
        <color theme="1"/>
        <rFont val="Calibri"/>
        <family val="2"/>
        <scheme val="minor"/>
      </rPr>
      <t xml:space="preserve"> δυναμαι</t>
    </r>
  </si>
  <si>
    <r>
      <t xml:space="preserve">και ειπον </t>
    </r>
    <r>
      <rPr>
        <b/>
        <sz val="11"/>
        <color theme="1"/>
        <rFont val="Calibri"/>
        <family val="2"/>
        <scheme val="minor"/>
      </rPr>
      <t>τουτου</t>
    </r>
    <r>
      <rPr>
        <sz val="11"/>
        <color theme="1"/>
        <rFont val="Calibri"/>
        <family val="2"/>
        <scheme val="minor"/>
      </rPr>
      <t xml:space="preserve"> ηκουσαμεν </t>
    </r>
    <r>
      <rPr>
        <b/>
        <sz val="11"/>
        <color theme="1"/>
        <rFont val="Calibri"/>
        <family val="2"/>
        <scheme val="minor"/>
      </rPr>
      <t>λεγοντος</t>
    </r>
    <r>
      <rPr>
        <sz val="11"/>
        <color theme="1"/>
        <rFont val="Calibri"/>
        <family val="2"/>
        <scheme val="minor"/>
      </rPr>
      <t xml:space="preserve"> δυναμαι</t>
    </r>
  </si>
  <si>
    <r>
      <t xml:space="preserve">ακουεις </t>
    </r>
    <r>
      <rPr>
        <b/>
        <sz val="11"/>
        <color theme="1"/>
        <rFont val="Calibri"/>
        <family val="2"/>
        <scheme val="minor"/>
      </rPr>
      <t>τοσα</t>
    </r>
    <r>
      <rPr>
        <sz val="11"/>
        <color theme="1"/>
        <rFont val="Calibri"/>
        <family val="2"/>
        <scheme val="minor"/>
      </rPr>
      <t xml:space="preserve"> καταμαρτυρουσιν σου (14) και ουκ</t>
    </r>
  </si>
  <si>
    <r>
      <t xml:space="preserve">ακουεις </t>
    </r>
    <r>
      <rPr>
        <b/>
        <sz val="11"/>
        <color theme="1"/>
        <rFont val="Calibri"/>
        <family val="2"/>
        <scheme val="minor"/>
      </rPr>
      <t>ποσα</t>
    </r>
    <r>
      <rPr>
        <sz val="11"/>
        <color theme="1"/>
        <rFont val="Calibri"/>
        <family val="2"/>
        <scheme val="minor"/>
      </rPr>
      <t xml:space="preserve"> σου καταμαρτυρουσιν σου (14) και ουκ</t>
    </r>
  </si>
  <si>
    <r>
      <t xml:space="preserve">ακουεις ποσα </t>
    </r>
    <r>
      <rPr>
        <b/>
        <sz val="11"/>
        <color theme="1"/>
        <rFont val="Calibri"/>
        <family val="2"/>
        <scheme val="minor"/>
      </rPr>
      <t>σου</t>
    </r>
    <r>
      <rPr>
        <sz val="11"/>
        <color theme="1"/>
        <rFont val="Calibri"/>
        <family val="2"/>
        <scheme val="minor"/>
      </rPr>
      <t xml:space="preserve"> καταμαρτυρουσιν σου (14) και ουκ</t>
    </r>
  </si>
  <si>
    <t>το δ αυτο και οι λησται</t>
  </si>
  <si>
    <t>freq = κουστωδια - φυλαξ</t>
  </si>
  <si>
    <t>θουρας is an error, seemingly related to the autocorrect issue; freq = θυρα</t>
  </si>
  <si>
    <t>freq = νεκρος</t>
  </si>
  <si>
    <t>only counting as 1 error (addition): change in case due to addition of preposition</t>
  </si>
  <si>
    <t>2.1.3 transposition</t>
  </si>
  <si>
    <t>B.10.3's correction reads εξελθεν rather than εξηλθεν; freq =  εξερχομαι</t>
  </si>
  <si>
    <t>omits 1 full line (291v.1.8; visual cues not present, but aligment cues are);  freq = διδωμι</t>
  </si>
  <si>
    <t>freq = αγαθοποιεω - αγαθος</t>
  </si>
  <si>
    <r>
      <t xml:space="preserve">και </t>
    </r>
    <r>
      <rPr>
        <b/>
        <sz val="11"/>
        <color theme="1"/>
        <rFont val="Calibri"/>
        <family val="2"/>
        <scheme val="minor"/>
      </rPr>
      <t>πολυς</t>
    </r>
    <r>
      <rPr>
        <sz val="11"/>
        <color theme="1"/>
        <rFont val="Calibri"/>
        <family val="2"/>
        <scheme val="minor"/>
      </rPr>
      <t xml:space="preserve"> </t>
    </r>
    <r>
      <rPr>
        <b/>
        <sz val="11"/>
        <color theme="1"/>
        <rFont val="Calibri"/>
        <family val="2"/>
        <scheme val="minor"/>
      </rPr>
      <t>οχλος</t>
    </r>
    <r>
      <rPr>
        <sz val="11"/>
        <color theme="1"/>
        <rFont val="Calibri"/>
        <family val="2"/>
        <scheme val="minor"/>
      </rPr>
      <t xml:space="preserve"> απο της γαλειλαιος</t>
    </r>
  </si>
  <si>
    <r>
      <t xml:space="preserve">και </t>
    </r>
    <r>
      <rPr>
        <b/>
        <sz val="11"/>
        <color theme="1"/>
        <rFont val="Calibri"/>
        <family val="2"/>
        <scheme val="minor"/>
      </rPr>
      <t>πολυ</t>
    </r>
    <r>
      <rPr>
        <sz val="11"/>
        <color theme="1"/>
        <rFont val="Calibri"/>
        <family val="2"/>
        <scheme val="minor"/>
      </rPr>
      <t xml:space="preserve"> </t>
    </r>
    <r>
      <rPr>
        <b/>
        <sz val="11"/>
        <color theme="1"/>
        <rFont val="Calibri"/>
        <family val="2"/>
        <scheme val="minor"/>
      </rPr>
      <t>πληθος</t>
    </r>
    <r>
      <rPr>
        <sz val="11"/>
        <color theme="1"/>
        <rFont val="Calibri"/>
        <family val="2"/>
        <scheme val="minor"/>
      </rPr>
      <t xml:space="preserve"> απο της γαλιλαιας</t>
    </r>
  </si>
  <si>
    <t>counting only substitution: change in gender due to substituted word</t>
  </si>
  <si>
    <t>10</t>
  </si>
  <si>
    <t>omits 1 line (292v.1.4; visual cues present); freq = τυρος</t>
  </si>
  <si>
    <t>ηλιου δε ανατειλαντος εκαυματισθη και δια</t>
  </si>
  <si>
    <r>
      <rPr>
        <b/>
        <sz val="11"/>
        <color theme="1"/>
        <rFont val="Calibri"/>
        <family val="2"/>
        <scheme val="minor"/>
      </rPr>
      <t>και</t>
    </r>
    <r>
      <rPr>
        <sz val="11"/>
        <color theme="1"/>
        <rFont val="Calibri"/>
        <family val="2"/>
        <scheme val="minor"/>
      </rPr>
      <t xml:space="preserve"> οτε ανετειλεν ο ηλιος εκαυματισθησαν και δια</t>
    </r>
  </si>
  <si>
    <r>
      <t xml:space="preserve">ηλιου </t>
    </r>
    <r>
      <rPr>
        <b/>
        <sz val="11"/>
        <color theme="1"/>
        <rFont val="Calibri"/>
        <family val="2"/>
        <scheme val="minor"/>
      </rPr>
      <t>δε</t>
    </r>
    <r>
      <rPr>
        <sz val="11"/>
        <color theme="1"/>
        <rFont val="Calibri"/>
        <family val="2"/>
        <scheme val="minor"/>
      </rPr>
      <t xml:space="preserve"> ανατειλαντος εκαυματισθη και δια</t>
    </r>
  </si>
  <si>
    <r>
      <t xml:space="preserve">και </t>
    </r>
    <r>
      <rPr>
        <b/>
        <sz val="11"/>
        <color theme="1"/>
        <rFont val="Calibri"/>
        <family val="2"/>
        <scheme val="minor"/>
      </rPr>
      <t>οτε</t>
    </r>
    <r>
      <rPr>
        <sz val="11"/>
        <color theme="1"/>
        <rFont val="Calibri"/>
        <family val="2"/>
        <scheme val="minor"/>
      </rPr>
      <t xml:space="preserve"> ανετειλεν ο ηλιος εκαυματισθησαν και δια</t>
    </r>
  </si>
  <si>
    <r>
      <t xml:space="preserve">και οτε </t>
    </r>
    <r>
      <rPr>
        <b/>
        <sz val="11"/>
        <color theme="1"/>
        <rFont val="Calibri"/>
        <family val="2"/>
        <scheme val="minor"/>
      </rPr>
      <t>ανετειλεν ο ηλιος</t>
    </r>
    <r>
      <rPr>
        <sz val="11"/>
        <color theme="1"/>
        <rFont val="Calibri"/>
        <family val="2"/>
        <scheme val="minor"/>
      </rPr>
      <t xml:space="preserve"> εκαυματισθησαν και δια</t>
    </r>
  </si>
  <si>
    <r>
      <rPr>
        <b/>
        <sz val="11"/>
        <color theme="1"/>
        <rFont val="Calibri"/>
        <family val="2"/>
        <scheme val="minor"/>
      </rPr>
      <t>ηλιου</t>
    </r>
    <r>
      <rPr>
        <sz val="11"/>
        <color theme="1"/>
        <rFont val="Calibri"/>
        <family val="2"/>
        <scheme val="minor"/>
      </rPr>
      <t xml:space="preserve"> δε </t>
    </r>
    <r>
      <rPr>
        <b/>
        <sz val="11"/>
        <color theme="1"/>
        <rFont val="Calibri"/>
        <family val="2"/>
        <scheme val="minor"/>
      </rPr>
      <t>ανατειλαντος</t>
    </r>
    <r>
      <rPr>
        <sz val="11"/>
        <color theme="1"/>
        <rFont val="Calibri"/>
        <family val="2"/>
        <scheme val="minor"/>
      </rPr>
      <t xml:space="preserve"> εκαυματισθη και δια</t>
    </r>
  </si>
  <si>
    <r>
      <t xml:space="preserve">και οτε ανετειλεν </t>
    </r>
    <r>
      <rPr>
        <b/>
        <sz val="11"/>
        <color theme="1"/>
        <rFont val="Calibri"/>
        <family val="2"/>
        <scheme val="minor"/>
      </rPr>
      <t>ο</t>
    </r>
    <r>
      <rPr>
        <sz val="11"/>
        <color theme="1"/>
        <rFont val="Calibri"/>
        <family val="2"/>
        <scheme val="minor"/>
      </rPr>
      <t xml:space="preserve"> ηλιος εκαυματισθησαν και δια</t>
    </r>
  </si>
  <si>
    <t>επηρωτων αυτον οι μαθηται αυτου τις η παραβολη αυτη (11) και λεγει</t>
  </si>
  <si>
    <t>επηρωτων αυτον οι μαθηται την παραβολην (11) και λεγει</t>
  </si>
  <si>
    <r>
      <t xml:space="preserve">επηρωτων αυτον οι μαθηται </t>
    </r>
    <r>
      <rPr>
        <b/>
        <sz val="11"/>
        <color theme="1"/>
        <rFont val="Calibri"/>
        <family val="2"/>
        <scheme val="minor"/>
      </rPr>
      <t>αυτου</t>
    </r>
    <r>
      <rPr>
        <sz val="11"/>
        <color theme="1"/>
        <rFont val="Calibri"/>
        <family val="2"/>
        <scheme val="minor"/>
      </rPr>
      <t xml:space="preserve"> τις η παραβολη αυτη (11) και λεγει</t>
    </r>
  </si>
  <si>
    <r>
      <t xml:space="preserve">επηρωτων αυτον οι μαθηται αυτου </t>
    </r>
    <r>
      <rPr>
        <b/>
        <sz val="11"/>
        <color theme="1"/>
        <rFont val="Calibri"/>
        <family val="2"/>
        <scheme val="minor"/>
      </rPr>
      <t>τις</t>
    </r>
    <r>
      <rPr>
        <sz val="11"/>
        <color theme="1"/>
        <rFont val="Calibri"/>
        <family val="2"/>
        <scheme val="minor"/>
      </rPr>
      <t xml:space="preserve"> η παραβολη αυτη (11) και λεγει</t>
    </r>
  </si>
  <si>
    <r>
      <t xml:space="preserve">επηρωτων αυτον οι μαθηται αυτου τις </t>
    </r>
    <r>
      <rPr>
        <b/>
        <sz val="11"/>
        <color theme="1"/>
        <rFont val="Calibri"/>
        <family val="2"/>
        <scheme val="minor"/>
      </rPr>
      <t>η παραβολη</t>
    </r>
    <r>
      <rPr>
        <sz val="11"/>
        <color theme="1"/>
        <rFont val="Calibri"/>
        <family val="2"/>
        <scheme val="minor"/>
      </rPr>
      <t xml:space="preserve"> αυτη (11) και λεγει</t>
    </r>
  </si>
  <si>
    <r>
      <t xml:space="preserve">επηρωτων αυτον οι μαθηται </t>
    </r>
    <r>
      <rPr>
        <b/>
        <sz val="11"/>
        <color theme="1"/>
        <rFont val="Calibri"/>
        <family val="2"/>
        <scheme val="minor"/>
      </rPr>
      <t>την παραβολην</t>
    </r>
    <r>
      <rPr>
        <sz val="11"/>
        <color theme="1"/>
        <rFont val="Calibri"/>
        <family val="2"/>
        <scheme val="minor"/>
      </rPr>
      <t xml:space="preserve"> (11) και λεγει</t>
    </r>
  </si>
  <si>
    <r>
      <t xml:space="preserve">επηρωτων αυτον οι μαθηται αυτου τις η παραβολη </t>
    </r>
    <r>
      <rPr>
        <b/>
        <sz val="11"/>
        <color theme="1"/>
        <rFont val="Calibri"/>
        <family val="2"/>
        <scheme val="minor"/>
      </rPr>
      <t>αυτη</t>
    </r>
    <r>
      <rPr>
        <sz val="11"/>
        <color theme="1"/>
        <rFont val="Calibri"/>
        <family val="2"/>
        <scheme val="minor"/>
      </rPr>
      <t xml:space="preserve"> (11) και λεγει</t>
    </r>
  </si>
  <si>
    <t>τα πετρωδης</t>
  </si>
  <si>
    <t>τα πετρωδη</t>
  </si>
  <si>
    <t>(23) ακουειν ακουετω (24) εν ω μετρω</t>
  </si>
  <si>
    <t>(23) ακουειν ακουετω (24) και ελεγεν αυτοις βλεπετε τα ακουετε εν ω μετρω</t>
  </si>
  <si>
    <t>skips 1 line (296v.1.18; visual cues present); freq = ακουω</t>
  </si>
  <si>
    <t>freq = οταν - αν</t>
  </si>
  <si>
    <t>freq = χοιρος</t>
  </si>
  <si>
    <t>freq = περι - ογδοηκοντα</t>
  </si>
  <si>
    <t>1.1.2 transposition</t>
  </si>
  <si>
    <t>η-ε; ε-η</t>
  </si>
  <si>
    <r>
      <t xml:space="preserve">εν </t>
    </r>
    <r>
      <rPr>
        <b/>
        <sz val="11"/>
        <color theme="1"/>
        <rFont val="Calibri"/>
        <family val="2"/>
        <scheme val="minor"/>
      </rPr>
      <t>ταις</t>
    </r>
    <r>
      <rPr>
        <sz val="11"/>
        <color theme="1"/>
        <rFont val="Calibri"/>
        <family val="2"/>
        <scheme val="minor"/>
      </rPr>
      <t xml:space="preserve"> συνγενεσιν και</t>
    </r>
  </si>
  <si>
    <r>
      <t xml:space="preserve">εν </t>
    </r>
    <r>
      <rPr>
        <b/>
        <sz val="11"/>
        <color theme="1"/>
        <rFont val="Calibri"/>
        <family val="2"/>
        <scheme val="minor"/>
      </rPr>
      <t>τοις</t>
    </r>
    <r>
      <rPr>
        <sz val="11"/>
        <color theme="1"/>
        <rFont val="Calibri"/>
        <family val="2"/>
        <scheme val="minor"/>
      </rPr>
      <t xml:space="preserve"> συγγενεσιν και</t>
    </r>
  </si>
  <si>
    <r>
      <t xml:space="preserve">εν τοις </t>
    </r>
    <r>
      <rPr>
        <b/>
        <sz val="11"/>
        <color theme="1"/>
        <rFont val="Calibri"/>
        <family val="2"/>
        <scheme val="minor"/>
      </rPr>
      <t>συγγενεσιν</t>
    </r>
    <r>
      <rPr>
        <sz val="11"/>
        <color theme="1"/>
        <rFont val="Calibri"/>
        <family val="2"/>
        <scheme val="minor"/>
      </rPr>
      <t xml:space="preserve"> και</t>
    </r>
  </si>
  <si>
    <r>
      <t xml:space="preserve">εν ταις </t>
    </r>
    <r>
      <rPr>
        <b/>
        <sz val="11"/>
        <color theme="1"/>
        <rFont val="Calibri"/>
        <family val="2"/>
        <scheme val="minor"/>
      </rPr>
      <t>συνγενεσιν</t>
    </r>
    <r>
      <rPr>
        <sz val="11"/>
        <color theme="1"/>
        <rFont val="Calibri"/>
        <family val="2"/>
        <scheme val="minor"/>
      </rPr>
      <t xml:space="preserve"> και</t>
    </r>
  </si>
  <si>
    <t>freq = οτι - ει</t>
  </si>
  <si>
    <t>αυτου κοικοινες</t>
  </si>
  <si>
    <r>
      <t xml:space="preserve">ο </t>
    </r>
    <r>
      <rPr>
        <b/>
        <sz val="11"/>
        <color theme="1"/>
        <rFont val="Calibri"/>
        <family val="2"/>
        <scheme val="minor"/>
      </rPr>
      <t>αν</t>
    </r>
    <r>
      <rPr>
        <sz val="11"/>
        <color theme="1"/>
        <rFont val="Calibri"/>
        <family val="2"/>
        <scheme val="minor"/>
      </rPr>
      <t xml:space="preserve"> μου ωφεληθης</t>
    </r>
  </si>
  <si>
    <r>
      <t xml:space="preserve">ο </t>
    </r>
    <r>
      <rPr>
        <b/>
        <sz val="11"/>
        <color theme="1"/>
        <rFont val="Calibri"/>
        <family val="2"/>
        <scheme val="minor"/>
      </rPr>
      <t>εαν</t>
    </r>
    <r>
      <rPr>
        <sz val="11"/>
        <color theme="1"/>
        <rFont val="Calibri"/>
        <family val="2"/>
        <scheme val="minor"/>
      </rPr>
      <t xml:space="preserve"> εξ εμου ωφεληθης</t>
    </r>
  </si>
  <si>
    <r>
      <t xml:space="preserve">ο εαν </t>
    </r>
    <r>
      <rPr>
        <b/>
        <sz val="11"/>
        <color theme="1"/>
        <rFont val="Calibri"/>
        <family val="2"/>
        <scheme val="minor"/>
      </rPr>
      <t>εξ</t>
    </r>
    <r>
      <rPr>
        <sz val="11"/>
        <color theme="1"/>
        <rFont val="Calibri"/>
        <family val="2"/>
        <scheme val="minor"/>
      </rPr>
      <t xml:space="preserve"> εμου ωφεληθης</t>
    </r>
  </si>
  <si>
    <r>
      <t xml:space="preserve">ο αν </t>
    </r>
    <r>
      <rPr>
        <b/>
        <sz val="11"/>
        <color theme="1"/>
        <rFont val="Calibri"/>
        <family val="2"/>
        <scheme val="minor"/>
      </rPr>
      <t>μου</t>
    </r>
    <r>
      <rPr>
        <sz val="11"/>
        <color theme="1"/>
        <rFont val="Calibri"/>
        <family val="2"/>
        <scheme val="minor"/>
      </rPr>
      <t xml:space="preserve"> ωφεληθης</t>
    </r>
  </si>
  <si>
    <r>
      <t xml:space="preserve">ο εαν εξ </t>
    </r>
    <r>
      <rPr>
        <b/>
        <sz val="11"/>
        <color theme="1"/>
        <rFont val="Calibri"/>
        <family val="2"/>
        <scheme val="minor"/>
      </rPr>
      <t>εμου</t>
    </r>
    <r>
      <rPr>
        <sz val="11"/>
        <color theme="1"/>
        <rFont val="Calibri"/>
        <family val="2"/>
        <scheme val="minor"/>
      </rPr>
      <t xml:space="preserve"> ωφεληθης</t>
    </r>
  </si>
  <si>
    <t>διαλογισμοι οι κακοι</t>
  </si>
  <si>
    <r>
      <rPr>
        <b/>
        <sz val="11"/>
        <color theme="1"/>
        <rFont val="Calibri"/>
        <family val="2"/>
        <scheme val="minor"/>
      </rPr>
      <t>και</t>
    </r>
    <r>
      <rPr>
        <sz val="11"/>
        <color theme="1"/>
        <rFont val="Calibri"/>
        <family val="2"/>
        <scheme val="minor"/>
      </rPr>
      <t xml:space="preserve"> λεγει αυτη αφες</t>
    </r>
  </si>
  <si>
    <r>
      <t xml:space="preserve">ο </t>
    </r>
    <r>
      <rPr>
        <b/>
        <sz val="11"/>
        <color theme="1"/>
        <rFont val="Calibri"/>
        <family val="2"/>
        <scheme val="minor"/>
      </rPr>
      <t>δε</t>
    </r>
    <r>
      <rPr>
        <sz val="11"/>
        <color theme="1"/>
        <rFont val="Calibri"/>
        <family val="2"/>
        <scheme val="minor"/>
      </rPr>
      <t xml:space="preserve"> ιησους ειπεν αυτη αφες</t>
    </r>
  </si>
  <si>
    <r>
      <rPr>
        <b/>
        <sz val="11"/>
        <color theme="1"/>
        <rFont val="Calibri"/>
        <family val="2"/>
        <scheme val="minor"/>
      </rPr>
      <t>ο</t>
    </r>
    <r>
      <rPr>
        <sz val="11"/>
        <color theme="1"/>
        <rFont val="Calibri"/>
        <family val="2"/>
        <scheme val="minor"/>
      </rPr>
      <t xml:space="preserve"> δε </t>
    </r>
    <r>
      <rPr>
        <b/>
        <sz val="11"/>
        <color theme="1"/>
        <rFont val="Calibri"/>
        <family val="2"/>
        <scheme val="minor"/>
      </rPr>
      <t>ιησους</t>
    </r>
    <r>
      <rPr>
        <sz val="11"/>
        <color theme="1"/>
        <rFont val="Calibri"/>
        <family val="2"/>
        <scheme val="minor"/>
      </rPr>
      <t xml:space="preserve"> ειπεν αυτη αφες</t>
    </r>
  </si>
  <si>
    <r>
      <t xml:space="preserve">ο δε ιησους </t>
    </r>
    <r>
      <rPr>
        <b/>
        <sz val="11"/>
        <color theme="1"/>
        <rFont val="Calibri"/>
        <family val="2"/>
        <scheme val="minor"/>
      </rPr>
      <t>ειπεν</t>
    </r>
    <r>
      <rPr>
        <sz val="11"/>
        <color theme="1"/>
        <rFont val="Calibri"/>
        <family val="2"/>
        <scheme val="minor"/>
      </rPr>
      <t xml:space="preserve"> αυτη αφες</t>
    </r>
  </si>
  <si>
    <r>
      <t xml:space="preserve">και </t>
    </r>
    <r>
      <rPr>
        <b/>
        <sz val="11"/>
        <color theme="1"/>
        <rFont val="Calibri"/>
        <family val="2"/>
        <scheme val="minor"/>
      </rPr>
      <t>λεγει</t>
    </r>
    <r>
      <rPr>
        <sz val="11"/>
        <color theme="1"/>
        <rFont val="Calibri"/>
        <family val="2"/>
        <scheme val="minor"/>
      </rPr>
      <t xml:space="preserve"> αυτη αφες</t>
    </r>
  </si>
  <si>
    <t>σωσαι απολεσει αυτην ενεκεν</t>
  </si>
  <si>
    <t>σωσαι απολεσει αυτην οι δ αν απολεσει αυτην ενεκεν</t>
  </si>
  <si>
    <t>14</t>
  </si>
  <si>
    <r>
      <t xml:space="preserve">εισιν </t>
    </r>
    <r>
      <rPr>
        <b/>
        <sz val="11"/>
        <color theme="1"/>
        <rFont val="Calibri"/>
        <family val="2"/>
        <scheme val="minor"/>
      </rPr>
      <t>τινε</t>
    </r>
    <r>
      <rPr>
        <sz val="11"/>
        <color theme="1"/>
        <rFont val="Calibri"/>
        <family val="2"/>
        <scheme val="minor"/>
      </rPr>
      <t xml:space="preserve"> ωδε των εστηκοτων</t>
    </r>
  </si>
  <si>
    <r>
      <t xml:space="preserve">εισιν </t>
    </r>
    <r>
      <rPr>
        <b/>
        <sz val="11"/>
        <color theme="1"/>
        <rFont val="Calibri"/>
        <family val="2"/>
        <scheme val="minor"/>
      </rPr>
      <t>τινες</t>
    </r>
    <r>
      <rPr>
        <sz val="11"/>
        <color theme="1"/>
        <rFont val="Calibri"/>
        <family val="2"/>
        <scheme val="minor"/>
      </rPr>
      <t xml:space="preserve"> των ωδε εστηκοτων</t>
    </r>
  </si>
  <si>
    <r>
      <t xml:space="preserve">εισιν τινε </t>
    </r>
    <r>
      <rPr>
        <b/>
        <sz val="11"/>
        <color theme="1"/>
        <rFont val="Calibri"/>
        <family val="2"/>
        <scheme val="minor"/>
      </rPr>
      <t>ωδε των</t>
    </r>
    <r>
      <rPr>
        <sz val="11"/>
        <color theme="1"/>
        <rFont val="Calibri"/>
        <family val="2"/>
        <scheme val="minor"/>
      </rPr>
      <t xml:space="preserve"> εστηκοτων</t>
    </r>
  </si>
  <si>
    <r>
      <t xml:space="preserve">εισιν τινες </t>
    </r>
    <r>
      <rPr>
        <b/>
        <sz val="11"/>
        <color theme="1"/>
        <rFont val="Calibri"/>
        <family val="2"/>
        <scheme val="minor"/>
      </rPr>
      <t>των ωδε</t>
    </r>
    <r>
      <rPr>
        <sz val="11"/>
        <color theme="1"/>
        <rFont val="Calibri"/>
        <family val="2"/>
        <scheme val="minor"/>
      </rPr>
      <t xml:space="preserve"> εστηκοτων</t>
    </r>
  </si>
  <si>
    <r>
      <rPr>
        <b/>
        <sz val="11"/>
        <color theme="1"/>
        <rFont val="Calibri"/>
        <family val="2"/>
        <scheme val="minor"/>
      </rPr>
      <t>και</t>
    </r>
    <r>
      <rPr>
        <sz val="11"/>
        <color theme="1"/>
        <rFont val="Calibri"/>
        <family val="2"/>
        <scheme val="minor"/>
      </rPr>
      <t xml:space="preserve"> οτε ειδεν ιης οτι</t>
    </r>
  </si>
  <si>
    <r>
      <t xml:space="preserve">ειδων </t>
    </r>
    <r>
      <rPr>
        <b/>
        <sz val="11"/>
        <color theme="1"/>
        <rFont val="Calibri"/>
        <family val="2"/>
        <scheme val="minor"/>
      </rPr>
      <t>δε</t>
    </r>
    <r>
      <rPr>
        <sz val="11"/>
        <color theme="1"/>
        <rFont val="Calibri"/>
        <family val="2"/>
        <scheme val="minor"/>
      </rPr>
      <t xml:space="preserve"> ο ιησους οτι</t>
    </r>
  </si>
  <si>
    <r>
      <t xml:space="preserve">και </t>
    </r>
    <r>
      <rPr>
        <b/>
        <sz val="11"/>
        <color theme="1"/>
        <rFont val="Calibri"/>
        <family val="2"/>
        <scheme val="minor"/>
      </rPr>
      <t>οτε ειδεν</t>
    </r>
    <r>
      <rPr>
        <sz val="11"/>
        <color theme="1"/>
        <rFont val="Calibri"/>
        <family val="2"/>
        <scheme val="minor"/>
      </rPr>
      <t xml:space="preserve"> ιης οτι</t>
    </r>
  </si>
  <si>
    <r>
      <rPr>
        <b/>
        <sz val="11"/>
        <color theme="1"/>
        <rFont val="Calibri"/>
        <family val="2"/>
        <scheme val="minor"/>
      </rPr>
      <t>ειδων</t>
    </r>
    <r>
      <rPr>
        <sz val="11"/>
        <color theme="1"/>
        <rFont val="Calibri"/>
        <family val="2"/>
        <scheme val="minor"/>
      </rPr>
      <t xml:space="preserve"> δε ο ιησους οτι</t>
    </r>
  </si>
  <si>
    <t>freq = λιθος - μυλος</t>
  </si>
  <si>
    <r>
      <t xml:space="preserve">κυλλον </t>
    </r>
    <r>
      <rPr>
        <b/>
        <sz val="11"/>
        <color theme="1"/>
        <rFont val="Calibri"/>
        <family val="2"/>
        <scheme val="minor"/>
      </rPr>
      <t>σε</t>
    </r>
    <r>
      <rPr>
        <sz val="11"/>
        <color theme="1"/>
        <rFont val="Calibri"/>
        <family val="2"/>
        <scheme val="minor"/>
      </rPr>
      <t xml:space="preserve"> ελθειν εις</t>
    </r>
  </si>
  <si>
    <r>
      <t xml:space="preserve">κυλλον σε </t>
    </r>
    <r>
      <rPr>
        <b/>
        <sz val="11"/>
        <color theme="1"/>
        <rFont val="Calibri"/>
        <family val="2"/>
        <scheme val="minor"/>
      </rPr>
      <t>ελθειν</t>
    </r>
    <r>
      <rPr>
        <sz val="11"/>
        <color theme="1"/>
        <rFont val="Calibri"/>
        <family val="2"/>
        <scheme val="minor"/>
      </rPr>
      <t xml:space="preserve"> εις</t>
    </r>
  </si>
  <si>
    <r>
      <t xml:space="preserve">κυλλον </t>
    </r>
    <r>
      <rPr>
        <b/>
        <sz val="11"/>
        <color theme="1"/>
        <rFont val="Calibri"/>
        <family val="2"/>
        <scheme val="minor"/>
      </rPr>
      <t>εισελθειν</t>
    </r>
    <r>
      <rPr>
        <sz val="11"/>
        <color theme="1"/>
        <rFont val="Calibri"/>
        <family val="2"/>
        <scheme val="minor"/>
      </rPr>
      <t xml:space="preserve"> εις</t>
    </r>
  </si>
  <si>
    <t>1.0.5 transposition</t>
  </si>
  <si>
    <r>
      <t xml:space="preserve">υμειν </t>
    </r>
    <r>
      <rPr>
        <b/>
        <sz val="11"/>
        <color theme="1"/>
        <rFont val="Calibri"/>
        <family val="2"/>
        <scheme val="minor"/>
      </rPr>
      <t>ενετειλατο</t>
    </r>
    <r>
      <rPr>
        <sz val="11"/>
        <color theme="1"/>
        <rFont val="Calibri"/>
        <family val="2"/>
        <scheme val="minor"/>
      </rPr>
      <t xml:space="preserve"> μωυσης (4) οι δε</t>
    </r>
  </si>
  <si>
    <r>
      <t>υμειν ενετειλατο μ</t>
    </r>
    <r>
      <rPr>
        <b/>
        <sz val="11"/>
        <color theme="1"/>
        <rFont val="Calibri"/>
        <family val="2"/>
        <scheme val="minor"/>
      </rPr>
      <t>ωυσης</t>
    </r>
    <r>
      <rPr>
        <sz val="11"/>
        <color theme="1"/>
        <rFont val="Calibri"/>
        <family val="2"/>
        <scheme val="minor"/>
      </rPr>
      <t xml:space="preserve"> (4) οι δε</t>
    </r>
  </si>
  <si>
    <t>freq = ερωταω</t>
  </si>
  <si>
    <t>15</t>
  </si>
  <si>
    <t>freq = κατεξουσιαζω</t>
  </si>
  <si>
    <r>
      <t xml:space="preserve">ινα σιωπηση </t>
    </r>
    <r>
      <rPr>
        <b/>
        <sz val="11"/>
        <color theme="1"/>
        <rFont val="Calibri"/>
        <family val="2"/>
        <scheme val="minor"/>
      </rPr>
      <t>και</t>
    </r>
    <r>
      <rPr>
        <sz val="11"/>
        <color theme="1"/>
        <rFont val="Calibri"/>
        <family val="2"/>
        <scheme val="minor"/>
      </rPr>
      <t xml:space="preserve"> επετειμων αυτων πολλοι υιος δαυειδ</t>
    </r>
  </si>
  <si>
    <r>
      <t xml:space="preserve">ινα σιωπησεν ο </t>
    </r>
    <r>
      <rPr>
        <b/>
        <sz val="11"/>
        <color theme="1"/>
        <rFont val="Calibri"/>
        <family val="2"/>
        <scheme val="minor"/>
      </rPr>
      <t>δε</t>
    </r>
    <r>
      <rPr>
        <sz val="11"/>
        <color theme="1"/>
        <rFont val="Calibri"/>
        <family val="2"/>
        <scheme val="minor"/>
      </rPr>
      <t xml:space="preserve"> πολλω μαλλον εκραξεν υιος δαυειδ</t>
    </r>
  </si>
  <si>
    <r>
      <t xml:space="preserve">ινα σιωπησεν ο δε </t>
    </r>
    <r>
      <rPr>
        <b/>
        <sz val="11"/>
        <color theme="1"/>
        <rFont val="Calibri"/>
        <family val="2"/>
        <scheme val="minor"/>
      </rPr>
      <t>πολλω μαλλον εκραξεν</t>
    </r>
    <r>
      <rPr>
        <sz val="11"/>
        <color theme="1"/>
        <rFont val="Calibri"/>
        <family val="2"/>
        <scheme val="minor"/>
      </rPr>
      <t xml:space="preserve"> υιος δαυειδ</t>
    </r>
  </si>
  <si>
    <t>5:3</t>
  </si>
  <si>
    <t>Bezae corrects to εθαυμαζον επ αυτον; only counting form change since το seems like a word division issue</t>
  </si>
  <si>
    <t>3.0.2 transposition</t>
  </si>
  <si>
    <t>ειπε ημειν</t>
  </si>
  <si>
    <t>αλλ ουπω</t>
  </si>
  <si>
    <t>ι-ει;ε-αι</t>
  </si>
  <si>
    <r>
      <t>επανω των</t>
    </r>
    <r>
      <rPr>
        <b/>
        <sz val="11"/>
        <color theme="1"/>
        <rFont val="Calibri"/>
        <family val="2"/>
        <scheme val="minor"/>
      </rPr>
      <t xml:space="preserve"> τριακοσιων δηναριων</t>
    </r>
    <r>
      <rPr>
        <sz val="11"/>
        <color theme="1"/>
        <rFont val="Calibri"/>
        <family val="2"/>
        <scheme val="minor"/>
      </rPr>
      <t xml:space="preserve"> και</t>
    </r>
  </si>
  <si>
    <t>και εξηλθον οι μαθηται αυτου και εξηλθον οι μαθηται αυτου και ηλθον εις την</t>
  </si>
  <si>
    <t>και εξηλθον οι μαθηται αυτου και ηλθον εις την</t>
  </si>
  <si>
    <t>24:24:8</t>
  </si>
  <si>
    <t>freq = εισερχομαι</t>
  </si>
  <si>
    <t>(45) ραββει και κατεφιλησεν αυτον (46) οι δε επεβαλον τας χειρας αυτω και εκρατησαν αυτον (47) και τις</t>
  </si>
  <si>
    <t>(45) ραββει και κατεφιλησεν αυτον (46) (47) και τις</t>
  </si>
  <si>
    <t>skips 1 line (340v.1.2-3; visual cues present); freq = επιβαλλω</t>
  </si>
  <si>
    <r>
      <t xml:space="preserve">ιης </t>
    </r>
    <r>
      <rPr>
        <b/>
        <sz val="11"/>
        <color theme="1"/>
        <rFont val="Calibri"/>
        <family val="2"/>
        <scheme val="minor"/>
      </rPr>
      <t>αποκριθεις</t>
    </r>
    <r>
      <rPr>
        <sz val="11"/>
        <color theme="1"/>
        <rFont val="Calibri"/>
        <family val="2"/>
        <scheme val="minor"/>
      </rPr>
      <t xml:space="preserve"> λεγει αυτω εγω ειμι</t>
    </r>
  </si>
  <si>
    <r>
      <t xml:space="preserve">ιης αποκριθεις </t>
    </r>
    <r>
      <rPr>
        <b/>
        <sz val="11"/>
        <color theme="1"/>
        <rFont val="Calibri"/>
        <family val="2"/>
        <scheme val="minor"/>
      </rPr>
      <t>λεγει</t>
    </r>
    <r>
      <rPr>
        <sz val="11"/>
        <color theme="1"/>
        <rFont val="Calibri"/>
        <family val="2"/>
        <scheme val="minor"/>
      </rPr>
      <t xml:space="preserve"> αυτω εγω ειμι</t>
    </r>
  </si>
  <si>
    <r>
      <t xml:space="preserve">ις </t>
    </r>
    <r>
      <rPr>
        <b/>
        <sz val="11"/>
        <color theme="1"/>
        <rFont val="Calibri"/>
        <family val="2"/>
        <scheme val="minor"/>
      </rPr>
      <t>ειπεν</t>
    </r>
    <r>
      <rPr>
        <sz val="11"/>
        <color theme="1"/>
        <rFont val="Calibri"/>
        <family val="2"/>
        <scheme val="minor"/>
      </rPr>
      <t xml:space="preserve"> εγω ειμι</t>
    </r>
  </si>
  <si>
    <r>
      <t xml:space="preserve">ιης αποκριθεις λεγει </t>
    </r>
    <r>
      <rPr>
        <b/>
        <sz val="11"/>
        <color theme="1"/>
        <rFont val="Calibri"/>
        <family val="2"/>
        <scheme val="minor"/>
      </rPr>
      <t>αυτω</t>
    </r>
    <r>
      <rPr>
        <sz val="11"/>
        <color theme="1"/>
        <rFont val="Calibri"/>
        <family val="2"/>
        <scheme val="minor"/>
      </rPr>
      <t xml:space="preserve"> εγω ειμι</t>
    </r>
  </si>
  <si>
    <r>
      <t xml:space="preserve">ιουδαιων </t>
    </r>
    <r>
      <rPr>
        <b/>
        <sz val="11"/>
        <color theme="1"/>
        <rFont val="Calibri"/>
        <family val="2"/>
        <scheme val="minor"/>
      </rPr>
      <t>ο</t>
    </r>
    <r>
      <rPr>
        <sz val="11"/>
        <color theme="1"/>
        <rFont val="Calibri"/>
        <family val="2"/>
        <scheme val="minor"/>
      </rPr>
      <t xml:space="preserve"> δε αυτω λεγει</t>
    </r>
  </si>
  <si>
    <r>
      <t xml:space="preserve">ιουδαιων και </t>
    </r>
    <r>
      <rPr>
        <b/>
        <sz val="11"/>
        <color theme="1"/>
        <rFont val="Calibri"/>
        <family val="2"/>
        <scheme val="minor"/>
      </rPr>
      <t>αποκριθεις</t>
    </r>
    <r>
      <rPr>
        <sz val="11"/>
        <color theme="1"/>
        <rFont val="Calibri"/>
        <family val="2"/>
        <scheme val="minor"/>
      </rPr>
      <t xml:space="preserve"> αυτω λεγει </t>
    </r>
  </si>
  <si>
    <t>omits 1 line (344v.1.2-3; visual cues present); freq = πορφυρα</t>
  </si>
  <si>
    <t>παρεστηκως εκι οτι ουτω κραξας εξεπνευσεν ειπεν αληθως</t>
  </si>
  <si>
    <r>
      <t xml:space="preserve">παρεστηκως εκι </t>
    </r>
    <r>
      <rPr>
        <b/>
        <sz val="11"/>
        <color theme="1"/>
        <rFont val="Calibri"/>
        <family val="2"/>
        <scheme val="minor"/>
      </rPr>
      <t>οτι</t>
    </r>
    <r>
      <rPr>
        <sz val="11"/>
        <color theme="1"/>
        <rFont val="Calibri"/>
        <family val="2"/>
        <scheme val="minor"/>
      </rPr>
      <t xml:space="preserve"> ουτω κραξας εξεπνευσεν ειπεν αληθως</t>
    </r>
  </si>
  <si>
    <r>
      <t xml:space="preserve">παρεστηκως εκι </t>
    </r>
    <r>
      <rPr>
        <b/>
        <sz val="11"/>
        <color theme="1"/>
        <rFont val="Calibri"/>
        <family val="2"/>
        <scheme val="minor"/>
      </rPr>
      <t>ουτως</t>
    </r>
    <r>
      <rPr>
        <sz val="11"/>
        <color theme="1"/>
        <rFont val="Calibri"/>
        <family val="2"/>
        <scheme val="minor"/>
      </rPr>
      <t xml:space="preserve"> αυτον κραξαντα και εξεπνευσεν αληθως</t>
    </r>
  </si>
  <si>
    <r>
      <t xml:space="preserve">παρεστηκως εκι οτι </t>
    </r>
    <r>
      <rPr>
        <b/>
        <sz val="11"/>
        <color theme="1"/>
        <rFont val="Calibri"/>
        <family val="2"/>
        <scheme val="minor"/>
      </rPr>
      <t>ουτω</t>
    </r>
    <r>
      <rPr>
        <sz val="11"/>
        <color theme="1"/>
        <rFont val="Calibri"/>
        <family val="2"/>
        <scheme val="minor"/>
      </rPr>
      <t xml:space="preserve"> κραξας εξεπνευσεν ειπεν αληθως</t>
    </r>
  </si>
  <si>
    <r>
      <t xml:space="preserve">παρεστηκως εκι ουτως </t>
    </r>
    <r>
      <rPr>
        <b/>
        <sz val="11"/>
        <color theme="1"/>
        <rFont val="Calibri"/>
        <family val="2"/>
        <scheme val="minor"/>
      </rPr>
      <t>αυτον</t>
    </r>
    <r>
      <rPr>
        <sz val="11"/>
        <color theme="1"/>
        <rFont val="Calibri"/>
        <family val="2"/>
        <scheme val="minor"/>
      </rPr>
      <t xml:space="preserve"> κραξαντα και εξεπνευσεν αληθως</t>
    </r>
  </si>
  <si>
    <r>
      <t xml:space="preserve">παρεστηκως εκι ουτως αυτον </t>
    </r>
    <r>
      <rPr>
        <b/>
        <sz val="11"/>
        <color theme="1"/>
        <rFont val="Calibri"/>
        <family val="2"/>
        <scheme val="minor"/>
      </rPr>
      <t>κραξαντα</t>
    </r>
    <r>
      <rPr>
        <sz val="11"/>
        <color theme="1"/>
        <rFont val="Calibri"/>
        <family val="2"/>
        <scheme val="minor"/>
      </rPr>
      <t xml:space="preserve"> και εξεπνευσεν αληθως</t>
    </r>
  </si>
  <si>
    <r>
      <t xml:space="preserve">παρεστηκως εκι οτι ουτω </t>
    </r>
    <r>
      <rPr>
        <b/>
        <sz val="11"/>
        <color theme="1"/>
        <rFont val="Calibri"/>
        <family val="2"/>
        <scheme val="minor"/>
      </rPr>
      <t>κραξας</t>
    </r>
    <r>
      <rPr>
        <sz val="11"/>
        <color theme="1"/>
        <rFont val="Calibri"/>
        <family val="2"/>
        <scheme val="minor"/>
      </rPr>
      <t xml:space="preserve"> εξεπνευσεν ειπεν αληθως</t>
    </r>
  </si>
  <si>
    <r>
      <t xml:space="preserve">παρεστηκως εκι ουτως αυτον κραξαντα </t>
    </r>
    <r>
      <rPr>
        <b/>
        <sz val="11"/>
        <color theme="1"/>
        <rFont val="Calibri"/>
        <family val="2"/>
        <scheme val="minor"/>
      </rPr>
      <t>και</t>
    </r>
    <r>
      <rPr>
        <sz val="11"/>
        <color theme="1"/>
        <rFont val="Calibri"/>
        <family val="2"/>
        <scheme val="minor"/>
      </rPr>
      <t xml:space="preserve"> εξεπνευσεν αληθως</t>
    </r>
  </si>
  <si>
    <t>9:3</t>
  </si>
  <si>
    <t>freq = διακονεω</t>
  </si>
  <si>
    <r>
      <t xml:space="preserve">(45) πτωμα </t>
    </r>
    <r>
      <rPr>
        <b/>
        <sz val="11"/>
        <color theme="1"/>
        <rFont val="Calibri"/>
        <family val="2"/>
        <scheme val="minor"/>
      </rPr>
      <t>αυτου</t>
    </r>
    <r>
      <rPr>
        <sz val="11"/>
        <color theme="1"/>
        <rFont val="Calibri"/>
        <family val="2"/>
        <scheme val="minor"/>
      </rPr>
      <t xml:space="preserve"> τω ιωσηφ (46) ο δε ιωσηφ αγορασας</t>
    </r>
  </si>
  <si>
    <r>
      <t xml:space="preserve">(45) πτωμα αυτου τω ιωσηφ (46) </t>
    </r>
    <r>
      <rPr>
        <b/>
        <sz val="11"/>
        <color theme="1"/>
        <rFont val="Calibri"/>
        <family val="2"/>
        <scheme val="minor"/>
      </rPr>
      <t>ο</t>
    </r>
    <r>
      <rPr>
        <sz val="11"/>
        <color theme="1"/>
        <rFont val="Calibri"/>
        <family val="2"/>
        <scheme val="minor"/>
      </rPr>
      <t xml:space="preserve"> δε </t>
    </r>
    <r>
      <rPr>
        <b/>
        <sz val="11"/>
        <color theme="1"/>
        <rFont val="Calibri"/>
        <family val="2"/>
        <scheme val="minor"/>
      </rPr>
      <t>ιωσηφ</t>
    </r>
    <r>
      <rPr>
        <sz val="11"/>
        <color theme="1"/>
        <rFont val="Calibri"/>
        <family val="2"/>
        <scheme val="minor"/>
      </rPr>
      <t xml:space="preserve"> αγορασας</t>
    </r>
  </si>
  <si>
    <r>
      <t xml:space="preserve">(45) πτωμα αυτου τω ιωσηφ (46) ο </t>
    </r>
    <r>
      <rPr>
        <b/>
        <sz val="11"/>
        <color theme="1"/>
        <rFont val="Calibri"/>
        <family val="2"/>
        <scheme val="minor"/>
      </rPr>
      <t>δε</t>
    </r>
    <r>
      <rPr>
        <sz val="11"/>
        <color theme="1"/>
        <rFont val="Calibri"/>
        <family val="2"/>
        <scheme val="minor"/>
      </rPr>
      <t xml:space="preserve"> ιωσηφ αγορασας</t>
    </r>
  </si>
  <si>
    <t>(45) πτωμα τω ιωσηφ (46) και αγορασας</t>
  </si>
  <si>
    <r>
      <t xml:space="preserve">(45) πτωμα τω ιωσηφ (46) </t>
    </r>
    <r>
      <rPr>
        <b/>
        <sz val="11"/>
        <color theme="1"/>
        <rFont val="Calibri"/>
        <family val="2"/>
        <scheme val="minor"/>
      </rPr>
      <t>και</t>
    </r>
    <r>
      <rPr>
        <sz val="11"/>
        <color theme="1"/>
        <rFont val="Calibri"/>
        <family val="2"/>
        <scheme val="minor"/>
      </rPr>
      <t xml:space="preserve"> αγορασας</t>
    </r>
  </si>
  <si>
    <r>
      <t xml:space="preserve">εαυτους </t>
    </r>
    <r>
      <rPr>
        <b/>
        <sz val="11"/>
        <color theme="1"/>
        <rFont val="Calibri"/>
        <family val="2"/>
        <scheme val="minor"/>
      </rPr>
      <t>τι</t>
    </r>
    <r>
      <rPr>
        <sz val="11"/>
        <color theme="1"/>
        <rFont val="Calibri"/>
        <family val="2"/>
        <scheme val="minor"/>
      </rPr>
      <t xml:space="preserve"> σημιον αποκαλυψ[ει] τον λιθον</t>
    </r>
  </si>
  <si>
    <r>
      <t xml:space="preserve">εαυτους </t>
    </r>
    <r>
      <rPr>
        <b/>
        <sz val="11"/>
        <color theme="1"/>
        <rFont val="Calibri"/>
        <family val="2"/>
        <scheme val="minor"/>
      </rPr>
      <t>τις</t>
    </r>
    <r>
      <rPr>
        <sz val="11"/>
        <color theme="1"/>
        <rFont val="Calibri"/>
        <family val="2"/>
        <scheme val="minor"/>
      </rPr>
      <t xml:space="preserve"> αποκυλισει ημειν τον λιθον</t>
    </r>
  </si>
  <si>
    <r>
      <t xml:space="preserve">εαυτους τι </t>
    </r>
    <r>
      <rPr>
        <b/>
        <sz val="11"/>
        <color theme="1"/>
        <rFont val="Calibri"/>
        <family val="2"/>
        <scheme val="minor"/>
      </rPr>
      <t>σημιον</t>
    </r>
    <r>
      <rPr>
        <sz val="11"/>
        <color theme="1"/>
        <rFont val="Calibri"/>
        <family val="2"/>
        <scheme val="minor"/>
      </rPr>
      <t xml:space="preserve"> αποκαλυψ[ει] τον λιθον</t>
    </r>
  </si>
  <si>
    <r>
      <t xml:space="preserve">εαυτους τι σημιον </t>
    </r>
    <r>
      <rPr>
        <b/>
        <sz val="11"/>
        <color theme="1"/>
        <rFont val="Calibri"/>
        <family val="2"/>
        <scheme val="minor"/>
      </rPr>
      <t>αποκαλυψ[ει]</t>
    </r>
    <r>
      <rPr>
        <sz val="11"/>
        <color theme="1"/>
        <rFont val="Calibri"/>
        <family val="2"/>
        <scheme val="minor"/>
      </rPr>
      <t xml:space="preserve"> τον λιθον</t>
    </r>
  </si>
  <si>
    <r>
      <t xml:space="preserve">εαυτους τις </t>
    </r>
    <r>
      <rPr>
        <b/>
        <sz val="11"/>
        <color theme="1"/>
        <rFont val="Calibri"/>
        <family val="2"/>
        <scheme val="minor"/>
      </rPr>
      <t>αποκυλισει</t>
    </r>
    <r>
      <rPr>
        <sz val="11"/>
        <color theme="1"/>
        <rFont val="Calibri"/>
        <family val="2"/>
        <scheme val="minor"/>
      </rPr>
      <t xml:space="preserve"> ημειν τον λιθον</t>
    </r>
  </si>
  <si>
    <t>Bezae adds τον before τοπον; freq = οπου</t>
  </si>
  <si>
    <t>μετα το λαλησει αυτοις</t>
  </si>
  <si>
    <t>μετα το λαλησε αυτοις</t>
  </si>
  <si>
    <t>26</t>
  </si>
  <si>
    <t>skips 2 lines (182v.1.30-31; visual cues present); freq = θυμιαμα</t>
  </si>
  <si>
    <t>freq = μεγας - γαρ</t>
  </si>
  <si>
    <r>
      <t xml:space="preserve">εν πνευματι και </t>
    </r>
    <r>
      <rPr>
        <b/>
        <sz val="11"/>
        <color theme="1"/>
        <rFont val="Calibri"/>
        <family val="2"/>
        <scheme val="minor"/>
      </rPr>
      <t>δυναμι</t>
    </r>
    <r>
      <rPr>
        <sz val="11"/>
        <color theme="1"/>
        <rFont val="Calibri"/>
        <family val="2"/>
        <scheme val="minor"/>
      </rPr>
      <t xml:space="preserve"> ηλιου</t>
    </r>
  </si>
  <si>
    <r>
      <t xml:space="preserve">εν πνευματι και </t>
    </r>
    <r>
      <rPr>
        <b/>
        <sz val="11"/>
        <color theme="1"/>
        <rFont val="Calibri"/>
        <family val="2"/>
        <scheme val="minor"/>
      </rPr>
      <t>δυναμει</t>
    </r>
    <r>
      <rPr>
        <sz val="11"/>
        <color theme="1"/>
        <rFont val="Calibri"/>
        <family val="2"/>
        <scheme val="minor"/>
      </rPr>
      <t xml:space="preserve"> ηλιου</t>
    </r>
  </si>
  <si>
    <r>
      <t xml:space="preserve">εν δε τω </t>
    </r>
    <r>
      <rPr>
        <b/>
        <sz val="11"/>
        <color theme="1"/>
        <rFont val="Calibri"/>
        <family val="2"/>
        <scheme val="minor"/>
      </rPr>
      <t>εκτω μηνι</t>
    </r>
    <r>
      <rPr>
        <sz val="11"/>
        <color theme="1"/>
        <rFont val="Calibri"/>
        <family val="2"/>
        <scheme val="minor"/>
      </rPr>
      <t xml:space="preserve"> απεσταλη</t>
    </r>
  </si>
  <si>
    <r>
      <t xml:space="preserve">εν δε τω </t>
    </r>
    <r>
      <rPr>
        <b/>
        <sz val="11"/>
        <color theme="1"/>
        <rFont val="Calibri"/>
        <family val="2"/>
        <scheme val="minor"/>
      </rPr>
      <t>μηνι</t>
    </r>
    <r>
      <rPr>
        <sz val="11"/>
        <color theme="1"/>
        <rFont val="Calibri"/>
        <family val="2"/>
        <scheme val="minor"/>
      </rPr>
      <t xml:space="preserve"> τω </t>
    </r>
    <r>
      <rPr>
        <b/>
        <sz val="11"/>
        <color theme="1"/>
        <rFont val="Calibri"/>
        <family val="2"/>
        <scheme val="minor"/>
      </rPr>
      <t>εκτω</t>
    </r>
    <r>
      <rPr>
        <sz val="11"/>
        <color theme="1"/>
        <rFont val="Calibri"/>
        <family val="2"/>
        <scheme val="minor"/>
      </rPr>
      <t xml:space="preserve"> απεσταλη</t>
    </r>
  </si>
  <si>
    <r>
      <t xml:space="preserve">εν δε </t>
    </r>
    <r>
      <rPr>
        <b/>
        <sz val="11"/>
        <color theme="1"/>
        <rFont val="Calibri"/>
        <family val="2"/>
        <scheme val="minor"/>
      </rPr>
      <t>τω</t>
    </r>
    <r>
      <rPr>
        <sz val="11"/>
        <color theme="1"/>
        <rFont val="Calibri"/>
        <family val="2"/>
        <scheme val="minor"/>
      </rPr>
      <t xml:space="preserve"> μηνι τω εκτω απεσταλη</t>
    </r>
  </si>
  <si>
    <t>11843-780</t>
  </si>
  <si>
    <t>3:4</t>
  </si>
  <si>
    <t>καλισθαι αυτο (63) και αιτησας</t>
  </si>
  <si>
    <r>
      <t xml:space="preserve">εν </t>
    </r>
    <r>
      <rPr>
        <b/>
        <sz val="11"/>
        <color theme="1"/>
        <rFont val="Calibri"/>
        <family val="2"/>
        <scheme val="minor"/>
      </rPr>
      <t>τω</t>
    </r>
    <r>
      <rPr>
        <sz val="11"/>
        <color theme="1"/>
        <rFont val="Calibri"/>
        <family val="2"/>
        <scheme val="minor"/>
      </rPr>
      <t xml:space="preserve"> οικω δαυειδ του παιδος</t>
    </r>
  </si>
  <si>
    <r>
      <t xml:space="preserve">εν τω οικω δαυειδ </t>
    </r>
    <r>
      <rPr>
        <b/>
        <sz val="11"/>
        <color theme="1"/>
        <rFont val="Calibri"/>
        <family val="2"/>
        <scheme val="minor"/>
      </rPr>
      <t>του</t>
    </r>
    <r>
      <rPr>
        <sz val="11"/>
        <color theme="1"/>
        <rFont val="Calibri"/>
        <family val="2"/>
        <scheme val="minor"/>
      </rPr>
      <t xml:space="preserve"> παιδος</t>
    </r>
  </si>
  <si>
    <t>freq = τετραρχεω</t>
  </si>
  <si>
    <t>23</t>
  </si>
  <si>
    <t>οπου ην κατα το</t>
  </si>
  <si>
    <t>οπου ην τεθραμμενος εισηλθεν κατα το</t>
  </si>
  <si>
    <r>
      <t xml:space="preserve">γεινομενα </t>
    </r>
    <r>
      <rPr>
        <b/>
        <sz val="11"/>
        <color theme="1"/>
        <rFont val="Calibri"/>
        <family val="2"/>
        <scheme val="minor"/>
      </rPr>
      <t>εις</t>
    </r>
    <r>
      <rPr>
        <sz val="11"/>
        <color theme="1"/>
        <rFont val="Calibri"/>
        <family val="2"/>
        <scheme val="minor"/>
      </rPr>
      <t xml:space="preserve"> καφαρναουμ</t>
    </r>
  </si>
  <si>
    <r>
      <t xml:space="preserve">γεινομενα </t>
    </r>
    <r>
      <rPr>
        <b/>
        <sz val="11"/>
        <color theme="1"/>
        <rFont val="Calibri"/>
        <family val="2"/>
        <scheme val="minor"/>
      </rPr>
      <t>εν</t>
    </r>
    <r>
      <rPr>
        <sz val="11"/>
        <color theme="1"/>
        <rFont val="Calibri"/>
        <family val="2"/>
        <scheme val="minor"/>
      </rPr>
      <t xml:space="preserve"> τη καφαρναουμ</t>
    </r>
  </si>
  <si>
    <r>
      <t xml:space="preserve">γεινομενα εν </t>
    </r>
    <r>
      <rPr>
        <b/>
        <sz val="11"/>
        <color theme="1"/>
        <rFont val="Calibri"/>
        <family val="2"/>
        <scheme val="minor"/>
      </rPr>
      <t>τη</t>
    </r>
    <r>
      <rPr>
        <sz val="11"/>
        <color theme="1"/>
        <rFont val="Calibri"/>
        <family val="2"/>
        <scheme val="minor"/>
      </rPr>
      <t xml:space="preserve"> καφαρναουμ</t>
    </r>
  </si>
  <si>
    <t>4.0.2 transposition</t>
  </si>
  <si>
    <t>και αποκριθεις ειπεν αυτω</t>
  </si>
  <si>
    <r>
      <rPr>
        <b/>
        <sz val="11"/>
        <color theme="1"/>
        <rFont val="Calibri"/>
        <family val="2"/>
        <scheme val="minor"/>
      </rPr>
      <t xml:space="preserve">ο </t>
    </r>
    <r>
      <rPr>
        <sz val="11"/>
        <color theme="1"/>
        <rFont val="Calibri"/>
        <family val="2"/>
        <scheme val="minor"/>
      </rPr>
      <t>δε</t>
    </r>
    <r>
      <rPr>
        <b/>
        <sz val="11"/>
        <color theme="1"/>
        <rFont val="Calibri"/>
        <family val="2"/>
        <scheme val="minor"/>
      </rPr>
      <t xml:space="preserve"> σιμων </t>
    </r>
    <r>
      <rPr>
        <sz val="11"/>
        <color theme="1"/>
        <rFont val="Calibri"/>
        <family val="2"/>
        <scheme val="minor"/>
      </rPr>
      <t>αποκρεις ειπεν αυτω</t>
    </r>
  </si>
  <si>
    <r>
      <t xml:space="preserve">ο </t>
    </r>
    <r>
      <rPr>
        <b/>
        <sz val="11"/>
        <color theme="1"/>
        <rFont val="Calibri"/>
        <family val="2"/>
        <scheme val="minor"/>
      </rPr>
      <t>δε</t>
    </r>
    <r>
      <rPr>
        <sz val="11"/>
        <color theme="1"/>
        <rFont val="Calibri"/>
        <family val="2"/>
        <scheme val="minor"/>
      </rPr>
      <t xml:space="preserve"> σιμων αποκρεις ειπεν αυτω</t>
    </r>
  </si>
  <si>
    <r>
      <rPr>
        <b/>
        <sz val="11"/>
        <color theme="1"/>
        <rFont val="Calibri"/>
        <family val="2"/>
        <scheme val="minor"/>
      </rPr>
      <t>και</t>
    </r>
    <r>
      <rPr>
        <sz val="11"/>
        <color theme="1"/>
        <rFont val="Calibri"/>
        <family val="2"/>
        <scheme val="minor"/>
      </rPr>
      <t xml:space="preserve"> αποκριθεις ειπεν αυτω</t>
    </r>
  </si>
  <si>
    <r>
      <t xml:space="preserve">ο </t>
    </r>
    <r>
      <rPr>
        <b/>
        <sz val="11"/>
        <color theme="1"/>
        <rFont val="Calibri"/>
        <family val="2"/>
        <scheme val="minor"/>
      </rPr>
      <t>δε</t>
    </r>
    <r>
      <rPr>
        <sz val="11"/>
        <color theme="1"/>
        <rFont val="Calibri"/>
        <family val="2"/>
        <scheme val="minor"/>
      </rPr>
      <t xml:space="preserve"> σιμων προσεπεσεν</t>
    </r>
  </si>
  <si>
    <r>
      <t xml:space="preserve">ο σιμων </t>
    </r>
    <r>
      <rPr>
        <b/>
        <sz val="11"/>
        <color theme="1"/>
        <rFont val="Calibri"/>
        <family val="2"/>
        <scheme val="minor"/>
      </rPr>
      <t>ουν</t>
    </r>
    <r>
      <rPr>
        <sz val="11"/>
        <color theme="1"/>
        <rFont val="Calibri"/>
        <family val="2"/>
        <scheme val="minor"/>
      </rPr>
      <t xml:space="preserve"> προσεπεσεν</t>
    </r>
  </si>
  <si>
    <t xml:space="preserve">επει το τελωνιον </t>
  </si>
  <si>
    <t xml:space="preserve">επι το τελωνιον </t>
  </si>
  <si>
    <t>2.0.4 transposition</t>
  </si>
  <si>
    <t>9.0.9 transposition; major transposition</t>
  </si>
  <si>
    <t>10:10</t>
  </si>
  <si>
    <t>εσπλαγχνισθη επ αυτη και ειπεν αυτη μη κλαιε</t>
  </si>
  <si>
    <t>εσπλαγχνισθη επ αυτη μη κλαιε</t>
  </si>
  <si>
    <r>
      <t xml:space="preserve">και </t>
    </r>
    <r>
      <rPr>
        <b/>
        <sz val="11"/>
        <color theme="1"/>
        <rFont val="Calibri"/>
        <family val="2"/>
        <scheme val="minor"/>
      </rPr>
      <t>ουκ</t>
    </r>
    <r>
      <rPr>
        <sz val="11"/>
        <color theme="1"/>
        <rFont val="Calibri"/>
        <family val="2"/>
        <scheme val="minor"/>
      </rPr>
      <t xml:space="preserve"> εκλαυσατε</t>
    </r>
  </si>
  <si>
    <r>
      <t xml:space="preserve">και ουκ </t>
    </r>
    <r>
      <rPr>
        <b/>
        <sz val="11"/>
        <color theme="1"/>
        <rFont val="Calibri"/>
        <family val="2"/>
        <scheme val="minor"/>
      </rPr>
      <t>εκλαυσατε</t>
    </r>
  </si>
  <si>
    <r>
      <t xml:space="preserve">και </t>
    </r>
    <r>
      <rPr>
        <b/>
        <sz val="11"/>
        <color theme="1"/>
        <rFont val="Calibri"/>
        <family val="2"/>
        <scheme val="minor"/>
      </rPr>
      <t>κεκλαυσατε</t>
    </r>
  </si>
  <si>
    <t>εν τη οικια</t>
  </si>
  <si>
    <t>εν τη οικεια</t>
  </si>
  <si>
    <r>
      <t xml:space="preserve">εισηλθον σου εις την </t>
    </r>
    <r>
      <rPr>
        <b/>
        <sz val="11"/>
        <color theme="1"/>
        <rFont val="Calibri"/>
        <family val="2"/>
        <scheme val="minor"/>
      </rPr>
      <t>οικιαν</t>
    </r>
    <r>
      <rPr>
        <sz val="11"/>
        <color theme="1"/>
        <rFont val="Calibri"/>
        <family val="2"/>
        <scheme val="minor"/>
      </rPr>
      <t xml:space="preserve"> και υδωρ</t>
    </r>
  </si>
  <si>
    <r>
      <t xml:space="preserve">εισηλθον σου εις την </t>
    </r>
    <r>
      <rPr>
        <b/>
        <sz val="11"/>
        <color theme="1"/>
        <rFont val="Calibri"/>
        <family val="2"/>
        <scheme val="minor"/>
      </rPr>
      <t>οικειαν</t>
    </r>
    <r>
      <rPr>
        <sz val="11"/>
        <color theme="1"/>
        <rFont val="Calibri"/>
        <family val="2"/>
        <scheme val="minor"/>
      </rPr>
      <t xml:space="preserve">  υδωρ</t>
    </r>
  </si>
  <si>
    <t>εν ιρηνη</t>
  </si>
  <si>
    <t>AB</t>
  </si>
  <si>
    <t>freq = τοιουτος</t>
  </si>
  <si>
    <t>εν μια των ημερων</t>
  </si>
  <si>
    <t>εν μεια των ημερων</t>
  </si>
  <si>
    <t>In Bezae's correction the name given is spelled ιαιρος; freq = ιαιρος - πιπτω</t>
  </si>
  <si>
    <t>7:7:3:3</t>
  </si>
  <si>
    <t>(23) ακολουθειτω μοι  (24) ος γαρ αν θελη την ψυχην αυτου σωσαι</t>
  </si>
  <si>
    <r>
      <t xml:space="preserve">(23) ακολουθειτω μοι  (24) ος γαρ αν θελη την ψυχην αυτου </t>
    </r>
    <r>
      <rPr>
        <b/>
        <sz val="11"/>
        <color theme="1"/>
        <rFont val="Calibri"/>
        <family val="2"/>
        <scheme val="minor"/>
      </rPr>
      <t>αυτου</t>
    </r>
    <r>
      <rPr>
        <sz val="11"/>
        <color theme="1"/>
        <rFont val="Calibri"/>
        <family val="2"/>
        <scheme val="minor"/>
      </rPr>
      <t xml:space="preserve"> </t>
    </r>
    <r>
      <rPr>
        <b/>
        <sz val="11"/>
        <color theme="1"/>
        <rFont val="Calibri"/>
        <family val="2"/>
        <scheme val="minor"/>
      </rPr>
      <t>ος γαρ αν θελοι την ψυχην αυτου</t>
    </r>
    <r>
      <rPr>
        <sz val="11"/>
        <color theme="1"/>
        <rFont val="Calibri"/>
        <family val="2"/>
        <scheme val="minor"/>
      </rPr>
      <t xml:space="preserve"> σωσαι</t>
    </r>
  </si>
  <si>
    <t>freq = ψυχη</t>
  </si>
  <si>
    <t>αι-ε;ε-αι</t>
  </si>
  <si>
    <t>freq = ουαι - και</t>
  </si>
  <si>
    <t>ι-ει; ε-η</t>
  </si>
  <si>
    <t>τα σκυλα αυτο διαδιδωσιν</t>
  </si>
  <si>
    <t>τα σκυλα αυτου διαδιδωσιν</t>
  </si>
  <si>
    <r>
      <t xml:space="preserve">σωμα σου </t>
    </r>
    <r>
      <rPr>
        <b/>
        <sz val="11"/>
        <color theme="1"/>
        <rFont val="Calibri"/>
        <family val="2"/>
        <scheme val="minor"/>
      </rPr>
      <t>εστιν</t>
    </r>
    <r>
      <rPr>
        <sz val="11"/>
        <color theme="1"/>
        <rFont val="Calibri"/>
        <family val="2"/>
        <scheme val="minor"/>
      </rPr>
      <t xml:space="preserve"> σκοτινον εστιν (35) ει ουν</t>
    </r>
  </si>
  <si>
    <r>
      <t xml:space="preserve">σωμα σου </t>
    </r>
    <r>
      <rPr>
        <b/>
        <sz val="11"/>
        <color theme="1"/>
        <rFont val="Calibri"/>
        <family val="2"/>
        <scheme val="minor"/>
      </rPr>
      <t>εσται</t>
    </r>
    <r>
      <rPr>
        <sz val="11"/>
        <color theme="1"/>
        <rFont val="Calibri"/>
        <family val="2"/>
        <scheme val="minor"/>
      </rPr>
      <t xml:space="preserve"> σκοτινον (35) ει ουν</t>
    </r>
  </si>
  <si>
    <r>
      <t xml:space="preserve">σωμα σου εστιν σκοτινον </t>
    </r>
    <r>
      <rPr>
        <b/>
        <sz val="11"/>
        <color theme="1"/>
        <rFont val="Calibri"/>
        <family val="2"/>
        <scheme val="minor"/>
      </rPr>
      <t>εστιν</t>
    </r>
    <r>
      <rPr>
        <sz val="11"/>
        <color theme="1"/>
        <rFont val="Calibri"/>
        <family val="2"/>
        <scheme val="minor"/>
      </rPr>
      <t xml:space="preserve"> (35) ει ουν</t>
    </r>
  </si>
  <si>
    <t>4:4:3:3</t>
  </si>
  <si>
    <t>skips 2.5 lines (243v.1.14-16; no obvious visual cues); freq = εσχατος</t>
  </si>
  <si>
    <t>3:6</t>
  </si>
  <si>
    <t>freq = τριτος</t>
  </si>
  <si>
    <t>4.0.1 transposition</t>
  </si>
  <si>
    <t>ο-ω;ω-ο</t>
  </si>
  <si>
    <t>freq = λιμος - δειμος</t>
  </si>
  <si>
    <r>
      <t xml:space="preserve">(15) χοιρους (16) </t>
    </r>
    <r>
      <rPr>
        <b/>
        <sz val="11"/>
        <color theme="1"/>
        <rFont val="Calibri"/>
        <family val="2"/>
        <scheme val="minor"/>
      </rPr>
      <t>καπεθυμει</t>
    </r>
    <r>
      <rPr>
        <sz val="11"/>
        <color theme="1"/>
        <rFont val="Calibri"/>
        <family val="2"/>
        <scheme val="minor"/>
      </rPr>
      <t xml:space="preserve"> χορτασθηναι εκ των</t>
    </r>
  </si>
  <si>
    <t>9:9:3</t>
  </si>
  <si>
    <t>καφαγοντι μετα των πορνων παντα και ελθοντι</t>
  </si>
  <si>
    <t>1.0.4 transposition</t>
  </si>
  <si>
    <t>ο-ω;ι-ει</t>
  </si>
  <si>
    <t>ετεραν μοιχευει και ο απολελυμενην γαμων μοιχευει (19) ειπεν δε</t>
  </si>
  <si>
    <t>ετεραν μοιχευει (19) ειπεν δε</t>
  </si>
  <si>
    <t>8</t>
  </si>
  <si>
    <t>skip 1 line (251v.1.32-33; visual cues present); freq = μοιχευω</t>
  </si>
  <si>
    <t>freq = αγγελος</t>
  </si>
  <si>
    <t>απολεση ζωογονησει αυτην</t>
  </si>
  <si>
    <t>freq = αγρος - εγειρω</t>
  </si>
  <si>
    <t>freq = οτι - προς</t>
  </si>
  <si>
    <t>αρχων διδασκαλε</t>
  </si>
  <si>
    <t>freq = λυω</t>
  </si>
  <si>
    <t>freq = ευλογεω</t>
  </si>
  <si>
    <t>αι γαρ δυναμις η εν τω</t>
  </si>
  <si>
    <t>αι γαρ δυναμις εν τω</t>
  </si>
  <si>
    <t>δενδρα (30) οταν προβαλωσιν τον καρπον αυτων γεινωσκεται ηδη οτι εγγυς</t>
  </si>
  <si>
    <t xml:space="preserve">δενδρα και καρπον αυτων (30) οταν προβαλωσιν γινωσκεται ηδη οτι εγγυς </t>
  </si>
  <si>
    <r>
      <t xml:space="preserve">δενδρα (30) οταν προβαλωσιν </t>
    </r>
    <r>
      <rPr>
        <b/>
        <sz val="11"/>
        <color theme="1"/>
        <rFont val="Calibri"/>
        <family val="2"/>
        <scheme val="minor"/>
      </rPr>
      <t>τον</t>
    </r>
    <r>
      <rPr>
        <sz val="11"/>
        <color theme="1"/>
        <rFont val="Calibri"/>
        <family val="2"/>
        <scheme val="minor"/>
      </rPr>
      <t xml:space="preserve"> </t>
    </r>
    <r>
      <rPr>
        <b/>
        <sz val="11"/>
        <color theme="1"/>
        <rFont val="Calibri"/>
        <family val="2"/>
        <scheme val="minor"/>
      </rPr>
      <t>καρπον αυτων</t>
    </r>
    <r>
      <rPr>
        <sz val="11"/>
        <color theme="1"/>
        <rFont val="Calibri"/>
        <family val="2"/>
        <scheme val="minor"/>
      </rPr>
      <t xml:space="preserve"> γεινωσκεται ηδη οτι εγγυς</t>
    </r>
  </si>
  <si>
    <t>freq = καρπος</t>
  </si>
  <si>
    <t>η-ι</t>
  </si>
  <si>
    <t>freq = νυν</t>
  </si>
  <si>
    <t>11:11</t>
  </si>
  <si>
    <r>
      <t xml:space="preserve">o </t>
    </r>
    <r>
      <rPr>
        <b/>
        <sz val="11"/>
        <color theme="1"/>
        <rFont val="Calibri"/>
        <family val="2"/>
        <scheme val="minor"/>
      </rPr>
      <t>καλουμενου</t>
    </r>
    <r>
      <rPr>
        <sz val="11"/>
        <color theme="1"/>
        <rFont val="Calibri"/>
        <family val="2"/>
        <scheme val="minor"/>
      </rPr>
      <t xml:space="preserve"> ιουδας ισκαριωθ</t>
    </r>
  </si>
  <si>
    <r>
      <t xml:space="preserve">o </t>
    </r>
    <r>
      <rPr>
        <b/>
        <sz val="11"/>
        <color theme="1"/>
        <rFont val="Calibri"/>
        <family val="2"/>
        <scheme val="minor"/>
      </rPr>
      <t>καλουμενος</t>
    </r>
    <r>
      <rPr>
        <sz val="11"/>
        <color theme="1"/>
        <rFont val="Calibri"/>
        <family val="2"/>
        <scheme val="minor"/>
      </rPr>
      <t xml:space="preserve"> ιουδας εισκαριωθ</t>
    </r>
  </si>
  <si>
    <t>freq = οιδα</t>
  </si>
  <si>
    <t xml:space="preserve">θεληματι (26) ως </t>
  </si>
  <si>
    <t>ουχ εγεννησαν</t>
  </si>
  <si>
    <t>freq = αφιημι</t>
  </si>
  <si>
    <t>γνωστοι αυτω απο μακροθεν</t>
  </si>
  <si>
    <t>αι-ε;ει-ι</t>
  </si>
  <si>
    <t>Bezae is missing a few pages after this verse. B.10.3 correctly indicates this, but for some reason leaves out the last three words of this page (104v) in Bezae; freq = πας</t>
  </si>
  <si>
    <r>
      <t xml:space="preserve">ο δε ων απο της γης εκ της γης </t>
    </r>
    <r>
      <rPr>
        <b/>
        <sz val="11"/>
        <color theme="1"/>
        <rFont val="Calibri"/>
        <family val="2"/>
        <scheme val="minor"/>
      </rPr>
      <t>εστιν και εκ της γης</t>
    </r>
    <r>
      <rPr>
        <sz val="11"/>
        <color theme="1"/>
        <rFont val="Calibri"/>
        <family val="2"/>
        <scheme val="minor"/>
      </rPr>
      <t xml:space="preserve"> λαλει</t>
    </r>
  </si>
  <si>
    <t>freq = γη</t>
  </si>
  <si>
    <t xml:space="preserve">(11) μοι ειπεν αρον τον κραβαττον σου και περιπατει (12) ηρωτησαν αυτον τις εστιν ο ανθρωπος ο ειπων σοι αρον τον κραβαττον σου και περιπατει (13) ο ασθενων </t>
  </si>
  <si>
    <r>
      <t xml:space="preserve">(11) μοι ειπεν αρον τον κραβαττον σου και περιπατει (12) (13) ο </t>
    </r>
    <r>
      <rPr>
        <b/>
        <sz val="11"/>
        <color theme="1"/>
        <rFont val="Calibri"/>
        <family val="2"/>
        <scheme val="minor"/>
      </rPr>
      <t>δε</t>
    </r>
    <r>
      <rPr>
        <sz val="11"/>
        <color theme="1"/>
        <rFont val="Calibri"/>
        <family val="2"/>
        <scheme val="minor"/>
      </rPr>
      <t xml:space="preserve"> ασθενων </t>
    </r>
  </si>
  <si>
    <t xml:space="preserve">(11) μοι ειπεν αρον τον κραβαττον σου και περιπατει (12) (13) ο δε ασθενων </t>
  </si>
  <si>
    <r>
      <t xml:space="preserve">(11) μοι ειπεν αρον τον κραβαττον σου και περιπατει (12) </t>
    </r>
    <r>
      <rPr>
        <b/>
        <sz val="11"/>
        <color theme="1"/>
        <rFont val="Calibri"/>
        <family val="2"/>
        <scheme val="minor"/>
      </rPr>
      <t>ηρωτησαν αυτον τις εστιν ο ανθρωπος ο ειπων σοι αρον τον κραβαττον σου και περιπατει</t>
    </r>
    <r>
      <rPr>
        <sz val="11"/>
        <color theme="1"/>
        <rFont val="Calibri"/>
        <family val="2"/>
        <scheme val="minor"/>
      </rPr>
      <t xml:space="preserve"> (13) ο ασθενων </t>
    </r>
  </si>
  <si>
    <t>31</t>
  </si>
  <si>
    <t>skips 2.5 lines (119v.1.19-21; visual cues present); freq = κραβαττος</t>
  </si>
  <si>
    <r>
      <t xml:space="preserve">(28) εργα (29) </t>
    </r>
    <r>
      <rPr>
        <b/>
        <sz val="11"/>
        <color theme="1"/>
        <rFont val="Calibri"/>
        <family val="2"/>
        <scheme val="minor"/>
      </rPr>
      <t>απεκρειθη</t>
    </r>
  </si>
  <si>
    <t>παραδωσων αυτον</t>
  </si>
  <si>
    <r>
      <t xml:space="preserve">(16) πεμψαντος με (17) εαν τις θελη το θελημα αυτου ποιειν γνωσεται περι της διδαχης ποτερον εκ θεου εστιν η εγω απ εμαυτου λαλω (18) ο αφ εαυτου λαλων την δοξαν την ιδιαν ζητει ο δε ζητων την δοξαν του πεμψαντος </t>
    </r>
    <r>
      <rPr>
        <b/>
        <sz val="11"/>
        <color theme="1"/>
        <rFont val="Calibri"/>
        <family val="2"/>
        <scheme val="minor"/>
      </rPr>
      <t>με εαν τις θελη το θελημα αυτου ποιειν γνωσεται περι της διδαχης ποτερον εκ θεου εστιν η εγω απ εμαυτου λαλω ο αφ εαυτου λαλων την δοξαν την ιδιαν ζητει ο δε ζητων την δοξαν του</t>
    </r>
    <r>
      <rPr>
        <sz val="11"/>
        <color theme="1"/>
        <rFont val="Calibri"/>
        <family val="2"/>
        <scheme val="minor"/>
      </rPr>
      <t xml:space="preserve"> </t>
    </r>
    <r>
      <rPr>
        <b/>
        <sz val="11"/>
        <color theme="1"/>
        <rFont val="Calibri"/>
        <family val="2"/>
        <scheme val="minor"/>
      </rPr>
      <t>πεμψαντος</t>
    </r>
    <r>
      <rPr>
        <sz val="11"/>
        <color theme="1"/>
        <rFont val="Calibri"/>
        <family val="2"/>
        <scheme val="minor"/>
      </rPr>
      <t xml:space="preserve"> αυτον   ουτος αληθης εστιν</t>
    </r>
  </si>
  <si>
    <t>151:151</t>
  </si>
  <si>
    <t>2.0.3 transposition</t>
  </si>
  <si>
    <r>
      <t xml:space="preserve">εκαστος δε των ιουδαιων εξηρχετο </t>
    </r>
    <r>
      <rPr>
        <b/>
        <sz val="11"/>
        <color theme="1"/>
        <rFont val="Calibri"/>
        <family val="2"/>
        <scheme val="minor"/>
      </rPr>
      <t>αρξαμενοι απο των πρεσβυτερων ωστε παντας εξελθειν</t>
    </r>
    <r>
      <rPr>
        <sz val="11"/>
        <color theme="1"/>
        <rFont val="Calibri"/>
        <family val="2"/>
        <scheme val="minor"/>
      </rPr>
      <t xml:space="preserve"> και κατελειφθη</t>
    </r>
  </si>
  <si>
    <r>
      <t xml:space="preserve">εκαστος δε των ιουδαιων εξηρχετο </t>
    </r>
    <r>
      <rPr>
        <b/>
        <sz val="11"/>
        <color theme="1"/>
        <rFont val="Calibri"/>
        <family val="2"/>
        <scheme val="minor"/>
      </rPr>
      <t>απο των πρεσβυτερων ωστε παντας εξελθειν αρξαμενος</t>
    </r>
    <r>
      <rPr>
        <sz val="11"/>
        <color theme="1"/>
        <rFont val="Calibri"/>
        <family val="2"/>
        <scheme val="minor"/>
      </rPr>
      <t xml:space="preserve"> απο των πρεσβυτερων εως των εσχατων και κατελειφθη</t>
    </r>
  </si>
  <si>
    <t>1.0.6 transposition</t>
  </si>
  <si>
    <t>εκαστος δε των ιουδαιων εξηρχετο αρξαμενοι απο των πρεσβυτερων ωστε παντας εξελθειν και κατελειφθη</t>
  </si>
  <si>
    <r>
      <t xml:space="preserve">εκαστος δε των ιουδαιων εξηρχετο </t>
    </r>
    <r>
      <rPr>
        <b/>
        <sz val="11"/>
        <color theme="1"/>
        <rFont val="Calibri"/>
        <family val="2"/>
        <scheme val="minor"/>
      </rPr>
      <t>αρξαμενοι</t>
    </r>
    <r>
      <rPr>
        <sz val="11"/>
        <color theme="1"/>
        <rFont val="Calibri"/>
        <family val="2"/>
        <scheme val="minor"/>
      </rPr>
      <t xml:space="preserve"> απο των πρεσβυτερων ωστε παντας εξελθειν και κατελειφθη</t>
    </r>
  </si>
  <si>
    <r>
      <t xml:space="preserve">εκαστος δε των ιουδαιων εξηρχετο απο των πρεσβυτερων ωστε παντας εξελθειν </t>
    </r>
    <r>
      <rPr>
        <b/>
        <sz val="11"/>
        <color theme="1"/>
        <rFont val="Calibri"/>
        <family val="2"/>
        <scheme val="minor"/>
      </rPr>
      <t>αρξαμενος</t>
    </r>
    <r>
      <rPr>
        <sz val="11"/>
        <color theme="1"/>
        <rFont val="Calibri"/>
        <family val="2"/>
        <scheme val="minor"/>
      </rPr>
      <t xml:space="preserve"> απο των πρεσβυτερων εως των εσχατων και κατελειφθη</t>
    </r>
  </si>
  <si>
    <r>
      <t xml:space="preserve">εκαστος δε των ιουδαιων εξηρχετο απο των πρεσβυτερων ωστε παντας εξελθειν αρξαμενος </t>
    </r>
    <r>
      <rPr>
        <b/>
        <sz val="11"/>
        <color theme="1"/>
        <rFont val="Calibri"/>
        <family val="2"/>
        <scheme val="minor"/>
      </rPr>
      <t>απο των πρεσβυτερων εως των εσχατων</t>
    </r>
    <r>
      <rPr>
        <sz val="11"/>
        <color theme="1"/>
        <rFont val="Calibri"/>
        <family val="2"/>
        <scheme val="minor"/>
      </rPr>
      <t xml:space="preserve"> και κατελειφθη</t>
    </r>
  </si>
  <si>
    <t>freq = εσχατος</t>
  </si>
  <si>
    <t>AD</t>
  </si>
  <si>
    <t>12:3</t>
  </si>
  <si>
    <r>
      <t xml:space="preserve">χωρει </t>
    </r>
    <r>
      <rPr>
        <b/>
        <sz val="11"/>
        <color theme="1"/>
        <rFont val="Calibri"/>
        <family val="2"/>
        <scheme val="minor"/>
      </rPr>
      <t>εν</t>
    </r>
    <r>
      <rPr>
        <sz val="11"/>
        <color theme="1"/>
        <rFont val="Calibri"/>
        <family val="2"/>
        <scheme val="minor"/>
      </rPr>
      <t xml:space="preserve"> υμειν</t>
    </r>
  </si>
  <si>
    <r>
      <t xml:space="preserve">χωρει εν </t>
    </r>
    <r>
      <rPr>
        <b/>
        <sz val="11"/>
        <color theme="1"/>
        <rFont val="Calibri"/>
        <family val="2"/>
        <scheme val="minor"/>
      </rPr>
      <t>υμειν</t>
    </r>
  </si>
  <si>
    <r>
      <t xml:space="preserve">χωρει </t>
    </r>
    <r>
      <rPr>
        <b/>
        <sz val="11"/>
        <color theme="1"/>
        <rFont val="Calibri"/>
        <family val="2"/>
        <scheme val="minor"/>
      </rPr>
      <t>εμειν</t>
    </r>
  </si>
  <si>
    <t xml:space="preserve">βλεπει ουκ οιδαμεν η τις αυτου ηνοιξε τους οφθαλμους ημεις ουκ οιδαμεν αυτον επερωτησατε </t>
  </si>
  <si>
    <t xml:space="preserve">βλεπει ουκ οιδαμεν αυτον επερωτησατε </t>
  </si>
  <si>
    <t>12</t>
  </si>
  <si>
    <t>freq = ανοιγω</t>
  </si>
  <si>
    <r>
      <t xml:space="preserve">εκ των φαρισαιων </t>
    </r>
    <r>
      <rPr>
        <b/>
        <sz val="11"/>
        <color theme="1"/>
        <rFont val="Calibri"/>
        <family val="2"/>
        <scheme val="minor"/>
      </rPr>
      <t>οι</t>
    </r>
    <r>
      <rPr>
        <sz val="11"/>
        <color theme="1"/>
        <rFont val="Calibri"/>
        <family val="2"/>
        <scheme val="minor"/>
      </rPr>
      <t xml:space="preserve"> </t>
    </r>
    <r>
      <rPr>
        <b/>
        <sz val="11"/>
        <color theme="1"/>
        <rFont val="Calibri"/>
        <family val="2"/>
        <scheme val="minor"/>
      </rPr>
      <t>μετ αυτου</t>
    </r>
    <r>
      <rPr>
        <sz val="11"/>
        <color theme="1"/>
        <rFont val="Calibri"/>
        <family val="2"/>
        <scheme val="minor"/>
      </rPr>
      <t xml:space="preserve"> οντες</t>
    </r>
  </si>
  <si>
    <r>
      <t xml:space="preserve">εκ φαρισαιων </t>
    </r>
    <r>
      <rPr>
        <b/>
        <sz val="11"/>
        <color theme="1"/>
        <rFont val="Calibri"/>
        <family val="2"/>
        <scheme val="minor"/>
      </rPr>
      <t>μεθ αυτου οι</t>
    </r>
    <r>
      <rPr>
        <sz val="11"/>
        <color theme="1"/>
        <rFont val="Calibri"/>
        <family val="2"/>
        <scheme val="minor"/>
      </rPr>
      <t xml:space="preserve"> οντες</t>
    </r>
  </si>
  <si>
    <t>μια ποιμνη εις ποιμην</t>
  </si>
  <si>
    <t>μια ποιμην εις ποιμην</t>
  </si>
  <si>
    <t>visual cues present; freq = υιος</t>
  </si>
  <si>
    <r>
      <t xml:space="preserve">ιδουσα </t>
    </r>
    <r>
      <rPr>
        <b/>
        <sz val="11"/>
        <color theme="1"/>
        <rFont val="Calibri"/>
        <family val="2"/>
        <scheme val="minor"/>
      </rPr>
      <t>επεσεν προς τους ποδας</t>
    </r>
    <r>
      <rPr>
        <sz val="11"/>
        <color theme="1"/>
        <rFont val="Calibri"/>
        <family val="2"/>
        <scheme val="minor"/>
      </rPr>
      <t xml:space="preserve"> </t>
    </r>
    <r>
      <rPr>
        <b/>
        <sz val="11"/>
        <color theme="1"/>
        <rFont val="Calibri"/>
        <family val="2"/>
        <scheme val="minor"/>
      </rPr>
      <t>αυτου</t>
    </r>
    <r>
      <rPr>
        <sz val="11"/>
        <color theme="1"/>
        <rFont val="Calibri"/>
        <family val="2"/>
        <scheme val="minor"/>
      </rPr>
      <t xml:space="preserve"> λεγουσα</t>
    </r>
  </si>
  <si>
    <t>3.0.4 transposition; complex variant</t>
  </si>
  <si>
    <r>
      <t xml:space="preserve">τω ιερω τι </t>
    </r>
    <r>
      <rPr>
        <b/>
        <sz val="11"/>
        <color theme="1"/>
        <rFont val="Calibri"/>
        <family val="2"/>
        <scheme val="minor"/>
      </rPr>
      <t>δοκει</t>
    </r>
    <r>
      <rPr>
        <sz val="11"/>
        <color theme="1"/>
        <rFont val="Calibri"/>
        <family val="2"/>
        <scheme val="minor"/>
      </rPr>
      <t xml:space="preserve"> υμειν οτι</t>
    </r>
  </si>
  <si>
    <t>12:12:3</t>
  </si>
  <si>
    <t>freq = πεντε</t>
  </si>
  <si>
    <t>(2) πλειονα καρπον φερη (3) (4) αφ εαυτου</t>
  </si>
  <si>
    <t>(2) πλειονα καρπον φερη (3) ηδη υμεις καθαροι εστε δια τον λογον ον λελαληκα υμειν (4) μεινατε εν εμοι καγω υμειν καθως το κλημα ου δυναται καρπον φερειν αφ εαυτου</t>
  </si>
  <si>
    <t>9</t>
  </si>
  <si>
    <t>freq = κλημα</t>
  </si>
  <si>
    <t>4.0.1 τρανσποσιτιον</t>
  </si>
  <si>
    <r>
      <t xml:space="preserve">(17) πατερα (18) </t>
    </r>
    <r>
      <rPr>
        <b/>
        <sz val="11"/>
        <color theme="1"/>
        <rFont val="Calibri"/>
        <family val="2"/>
        <scheme val="minor"/>
      </rPr>
      <t>ελεγον ουν</t>
    </r>
    <r>
      <rPr>
        <sz val="11"/>
        <color theme="1"/>
        <rFont val="Calibri"/>
        <family val="2"/>
        <scheme val="minor"/>
      </rPr>
      <t xml:space="preserve"> τουτο τι εστιν ο λεγει το μεικρον</t>
    </r>
  </si>
  <si>
    <r>
      <t xml:space="preserve">(17) πατερα (18) </t>
    </r>
    <r>
      <rPr>
        <b/>
        <sz val="11"/>
        <color theme="1"/>
        <rFont val="Calibri"/>
        <family val="2"/>
        <scheme val="minor"/>
      </rPr>
      <t>τι εστιν τουτο</t>
    </r>
    <r>
      <rPr>
        <sz val="11"/>
        <color theme="1"/>
        <rFont val="Calibri"/>
        <family val="2"/>
        <scheme val="minor"/>
      </rPr>
      <t xml:space="preserve"> το μεικρον</t>
    </r>
  </si>
  <si>
    <r>
      <t xml:space="preserve">(17) πατερα (18) ελεγον ουν τουτο τι εστιν </t>
    </r>
    <r>
      <rPr>
        <b/>
        <sz val="11"/>
        <color theme="1"/>
        <rFont val="Calibri"/>
        <family val="2"/>
        <scheme val="minor"/>
      </rPr>
      <t>ο λεγει</t>
    </r>
    <r>
      <rPr>
        <sz val="11"/>
        <color theme="1"/>
        <rFont val="Calibri"/>
        <family val="2"/>
        <scheme val="minor"/>
      </rPr>
      <t xml:space="preserve"> το μεικρον</t>
    </r>
  </si>
  <si>
    <r>
      <t xml:space="preserve">(17) πατερα (18) ελεγον ουν </t>
    </r>
    <r>
      <rPr>
        <b/>
        <sz val="11"/>
        <color theme="1"/>
        <rFont val="Calibri"/>
        <family val="2"/>
        <scheme val="minor"/>
      </rPr>
      <t>τουτο τι εστιν</t>
    </r>
    <r>
      <rPr>
        <sz val="11"/>
        <color theme="1"/>
        <rFont val="Calibri"/>
        <family val="2"/>
        <scheme val="minor"/>
      </rPr>
      <t xml:space="preserve"> ο λεγει το μεικρον</t>
    </r>
  </si>
  <si>
    <r>
      <t xml:space="preserve">εγνω ο ιης οτι </t>
    </r>
    <r>
      <rPr>
        <b/>
        <sz val="11"/>
        <color theme="1"/>
        <rFont val="Calibri"/>
        <family val="2"/>
        <scheme val="minor"/>
      </rPr>
      <t>οτι</t>
    </r>
    <r>
      <rPr>
        <sz val="11"/>
        <color theme="1"/>
        <rFont val="Calibri"/>
        <family val="2"/>
        <scheme val="minor"/>
      </rPr>
      <t xml:space="preserve"> ηθελον</t>
    </r>
  </si>
  <si>
    <t>2.0.5 transposition</t>
  </si>
  <si>
    <r>
      <t xml:space="preserve">πατερ αγιε τηρησον αυτους εν τω ονοματι σου </t>
    </r>
    <r>
      <rPr>
        <b/>
        <sz val="11"/>
        <color theme="1"/>
        <rFont val="Calibri"/>
        <family val="2"/>
        <scheme val="minor"/>
      </rPr>
      <t>και οτε ημην μετ αυτων εγω ετηρουν αυτους εν τω ονοματι σου</t>
    </r>
    <r>
      <rPr>
        <sz val="11"/>
        <color theme="1"/>
        <rFont val="Calibri"/>
        <family val="2"/>
        <scheme val="minor"/>
      </rPr>
      <t xml:space="preserve"> ο δεδωκας μοι</t>
    </r>
  </si>
  <si>
    <t>πατερ αγιε τηρησον αυτους εν τω ονοματι σου ους δεδωκας μοι</t>
  </si>
  <si>
    <t>25</t>
  </si>
  <si>
    <t>skips 1.5 lines (166v.1.17-18; visual cues present); freq = τηρεω</t>
  </si>
  <si>
    <t>τουτον τον λογων</t>
  </si>
  <si>
    <t>freq = ζητεω (though note the word is misspelled)</t>
  </si>
  <si>
    <t>freq = ο - πεμπτος</t>
  </si>
  <si>
    <t>freq = πιστευω</t>
  </si>
  <si>
    <t>τω πετρω o κς εστιν ημων σιμων ουν πετρος ακουσας οτι ο κς εστιν τον επενδυτην</t>
  </si>
  <si>
    <t>τω πετρω o κυριος εστιν τον επενδυτην</t>
  </si>
  <si>
    <t>skips 1+ line (179v.1.23-24; visual cues present); freq = σιμων</t>
  </si>
  <si>
    <r>
      <t xml:space="preserve">γης (9) </t>
    </r>
    <r>
      <rPr>
        <b/>
        <sz val="11"/>
        <color theme="1"/>
        <rFont val="Calibri"/>
        <family val="2"/>
        <scheme val="minor"/>
      </rPr>
      <t>ταυτα</t>
    </r>
    <r>
      <rPr>
        <sz val="11"/>
        <color theme="1"/>
        <rFont val="Calibri"/>
        <family val="2"/>
        <scheme val="minor"/>
      </rPr>
      <t xml:space="preserve"> </t>
    </r>
    <r>
      <rPr>
        <b/>
        <sz val="11"/>
        <color theme="1"/>
        <rFont val="Calibri"/>
        <family val="2"/>
        <scheme val="minor"/>
      </rPr>
      <t>δε</t>
    </r>
    <r>
      <rPr>
        <sz val="11"/>
        <color theme="1"/>
        <rFont val="Calibri"/>
        <family val="2"/>
        <scheme val="minor"/>
      </rPr>
      <t xml:space="preserve"> ειποντος</t>
    </r>
  </si>
  <si>
    <t>μεθουσιν ουσης ωρας της ημερας γ (16) αλλα τουτο</t>
  </si>
  <si>
    <r>
      <t xml:space="preserve">μεθουσιν </t>
    </r>
    <r>
      <rPr>
        <b/>
        <sz val="11"/>
        <color theme="1"/>
        <rFont val="Calibri"/>
        <family val="2"/>
        <scheme val="minor"/>
      </rPr>
      <t xml:space="preserve">εστιν </t>
    </r>
    <r>
      <rPr>
        <sz val="11"/>
        <color theme="1"/>
        <rFont val="Calibri"/>
        <family val="2"/>
        <scheme val="minor"/>
      </rPr>
      <t>γαρ</t>
    </r>
    <r>
      <rPr>
        <b/>
        <sz val="11"/>
        <color theme="1"/>
        <rFont val="Calibri"/>
        <family val="2"/>
        <scheme val="minor"/>
      </rPr>
      <t xml:space="preserve"> ωρα</t>
    </r>
    <r>
      <rPr>
        <sz val="11"/>
        <color theme="1"/>
        <rFont val="Calibri"/>
        <family val="2"/>
        <scheme val="minor"/>
      </rPr>
      <t xml:space="preserve"> γ της ημερας (16) αλλα τουτο</t>
    </r>
  </si>
  <si>
    <r>
      <t xml:space="preserve">μεθουσιν εστιν </t>
    </r>
    <r>
      <rPr>
        <b/>
        <sz val="11"/>
        <color theme="1"/>
        <rFont val="Calibri"/>
        <family val="2"/>
        <scheme val="minor"/>
      </rPr>
      <t>γαρ</t>
    </r>
    <r>
      <rPr>
        <sz val="11"/>
        <color theme="1"/>
        <rFont val="Calibri"/>
        <family val="2"/>
        <scheme val="minor"/>
      </rPr>
      <t xml:space="preserve"> ωρα γ της ημερας (16) αλλα τουτο</t>
    </r>
  </si>
  <si>
    <r>
      <t xml:space="preserve">λεγει </t>
    </r>
    <r>
      <rPr>
        <b/>
        <sz val="11"/>
        <color theme="1"/>
        <rFont val="Calibri"/>
        <family val="2"/>
        <scheme val="minor"/>
      </rPr>
      <t>κς</t>
    </r>
    <r>
      <rPr>
        <sz val="11"/>
        <color theme="1"/>
        <rFont val="Calibri"/>
        <family val="2"/>
        <scheme val="minor"/>
      </rPr>
      <t xml:space="preserve"> εκχεω</t>
    </r>
  </si>
  <si>
    <r>
      <t xml:space="preserve">λεγει ο </t>
    </r>
    <r>
      <rPr>
        <b/>
        <sz val="11"/>
        <color theme="1"/>
        <rFont val="Calibri"/>
        <family val="2"/>
        <scheme val="minor"/>
      </rPr>
      <t>θεος</t>
    </r>
    <r>
      <rPr>
        <sz val="11"/>
        <color theme="1"/>
        <rFont val="Calibri"/>
        <family val="2"/>
        <scheme val="minor"/>
      </rPr>
      <t xml:space="preserve"> εκχεω</t>
    </r>
  </si>
  <si>
    <r>
      <t xml:space="preserve">λεγει </t>
    </r>
    <r>
      <rPr>
        <b/>
        <sz val="11"/>
        <color theme="1"/>
        <rFont val="Calibri"/>
        <family val="2"/>
        <scheme val="minor"/>
      </rPr>
      <t>ο</t>
    </r>
    <r>
      <rPr>
        <sz val="11"/>
        <color theme="1"/>
        <rFont val="Calibri"/>
        <family val="2"/>
        <scheme val="minor"/>
      </rPr>
      <t xml:space="preserve"> θεος εκχεω</t>
    </r>
  </si>
  <si>
    <t>4:4:8:8</t>
  </si>
  <si>
    <t>freq = προοραω</t>
  </si>
  <si>
    <t>skips 1 line (422v.1.9; no obvious visual cues present); freq = συνερχρομαι</t>
  </si>
  <si>
    <t>freq = τις</t>
  </si>
  <si>
    <t>3:3:4:4</t>
  </si>
  <si>
    <t>freq = κατα</t>
  </si>
  <si>
    <r>
      <t xml:space="preserve">αγιου </t>
    </r>
    <r>
      <rPr>
        <b/>
        <sz val="11"/>
        <color theme="1"/>
        <rFont val="Calibri"/>
        <family val="2"/>
        <scheme val="minor"/>
      </rPr>
      <t xml:space="preserve">δια </t>
    </r>
    <r>
      <rPr>
        <sz val="11"/>
        <color theme="1"/>
        <rFont val="Calibri"/>
        <family val="2"/>
        <scheme val="minor"/>
      </rPr>
      <t>του στοματος λαλησας δαυειδ παιδος</t>
    </r>
  </si>
  <si>
    <r>
      <t xml:space="preserve">αγιου δια </t>
    </r>
    <r>
      <rPr>
        <b/>
        <sz val="11"/>
        <color theme="1"/>
        <rFont val="Calibri"/>
        <family val="2"/>
        <scheme val="minor"/>
      </rPr>
      <t>του στοματος</t>
    </r>
    <r>
      <rPr>
        <sz val="11"/>
        <color theme="1"/>
        <rFont val="Calibri"/>
        <family val="2"/>
        <scheme val="minor"/>
      </rPr>
      <t xml:space="preserve"> λαλησας δαυειδ παιδος</t>
    </r>
  </si>
  <si>
    <r>
      <t xml:space="preserve">αγιου </t>
    </r>
    <r>
      <rPr>
        <b/>
        <sz val="11"/>
        <color theme="1"/>
        <rFont val="Calibri"/>
        <family val="2"/>
        <scheme val="minor"/>
      </rPr>
      <t>στοματος του</t>
    </r>
    <r>
      <rPr>
        <sz val="11"/>
        <color theme="1"/>
        <rFont val="Calibri"/>
        <family val="2"/>
        <scheme val="minor"/>
      </rPr>
      <t xml:space="preserve"> δαβιδ λαλησας παιδος</t>
    </r>
  </si>
  <si>
    <r>
      <t xml:space="preserve">αγιου στοματος του </t>
    </r>
    <r>
      <rPr>
        <b/>
        <sz val="11"/>
        <color theme="1"/>
        <rFont val="Calibri"/>
        <family val="2"/>
        <scheme val="minor"/>
      </rPr>
      <t>δαβιδ λαλησας</t>
    </r>
    <r>
      <rPr>
        <sz val="11"/>
        <color theme="1"/>
        <rFont val="Calibri"/>
        <family val="2"/>
        <scheme val="minor"/>
      </rPr>
      <t xml:space="preserve"> παιδος</t>
    </r>
  </si>
  <si>
    <t>σαδδουκαιων επλησθησαν</t>
  </si>
  <si>
    <t>Skips 2 lines (436v.1.22-23, no obvious visual cues present apart from alignment); freq = αντοφθαλμεω</t>
  </si>
  <si>
    <t>Skips 1 line (439v.1.11; no obvious visual cues apart from alignment); freq = κακοω</t>
  </si>
  <si>
    <r>
      <t xml:space="preserve">φαραω και ανεθρεψατο </t>
    </r>
    <r>
      <rPr>
        <b/>
        <sz val="11"/>
        <color theme="1"/>
        <rFont val="Calibri"/>
        <family val="2"/>
        <scheme val="minor"/>
      </rPr>
      <t>αυτον</t>
    </r>
    <r>
      <rPr>
        <sz val="11"/>
        <color theme="1"/>
        <rFont val="Calibri"/>
        <family val="2"/>
        <scheme val="minor"/>
      </rPr>
      <t xml:space="preserve"> εαυτη εις υιον</t>
    </r>
  </si>
  <si>
    <r>
      <t xml:space="preserve">φαραω ανεθρεψατο </t>
    </r>
    <r>
      <rPr>
        <b/>
        <sz val="11"/>
        <color theme="1"/>
        <rFont val="Calibri"/>
        <family val="2"/>
        <scheme val="minor"/>
      </rPr>
      <t>αυτη</t>
    </r>
    <r>
      <rPr>
        <sz val="11"/>
        <color theme="1"/>
        <rFont val="Calibri"/>
        <family val="2"/>
        <scheme val="minor"/>
      </rPr>
      <t xml:space="preserve"> εις υιον</t>
    </r>
  </si>
  <si>
    <r>
      <t xml:space="preserve">φαραω και ανεθρεψατο αυτον </t>
    </r>
    <r>
      <rPr>
        <b/>
        <sz val="11"/>
        <color theme="1"/>
        <rFont val="Calibri"/>
        <family val="2"/>
        <scheme val="minor"/>
      </rPr>
      <t>εαυτη</t>
    </r>
    <r>
      <rPr>
        <sz val="11"/>
        <color theme="1"/>
        <rFont val="Calibri"/>
        <family val="2"/>
        <scheme val="minor"/>
      </rPr>
      <t xml:space="preserve"> εις υιον</t>
    </r>
  </si>
  <si>
    <r>
      <t xml:space="preserve">μωυσης </t>
    </r>
    <r>
      <rPr>
        <b/>
        <sz val="11"/>
        <color theme="1"/>
        <rFont val="Calibri"/>
        <family val="2"/>
        <scheme val="minor"/>
      </rPr>
      <t>πασαν</t>
    </r>
    <r>
      <rPr>
        <sz val="11"/>
        <color theme="1"/>
        <rFont val="Calibri"/>
        <family val="2"/>
        <scheme val="minor"/>
      </rPr>
      <t xml:space="preserve"> την </t>
    </r>
    <r>
      <rPr>
        <b/>
        <sz val="11"/>
        <color theme="1"/>
        <rFont val="Calibri"/>
        <family val="2"/>
        <scheme val="minor"/>
      </rPr>
      <t>σοφιαν</t>
    </r>
    <r>
      <rPr>
        <sz val="11"/>
        <color theme="1"/>
        <rFont val="Calibri"/>
        <family val="2"/>
        <scheme val="minor"/>
      </rPr>
      <t xml:space="preserve"> αιγυπτιων  </t>
    </r>
  </si>
  <si>
    <r>
      <t xml:space="preserve">μωυσης </t>
    </r>
    <r>
      <rPr>
        <b/>
        <sz val="11"/>
        <color theme="1"/>
        <rFont val="Calibri"/>
        <family val="2"/>
        <scheme val="minor"/>
      </rPr>
      <t>παση σοφια</t>
    </r>
    <r>
      <rPr>
        <sz val="11"/>
        <color theme="1"/>
        <rFont val="Calibri"/>
        <family val="2"/>
        <scheme val="minor"/>
      </rPr>
      <t xml:space="preserve"> αιγυπτιων  </t>
    </r>
  </si>
  <si>
    <r>
      <t xml:space="preserve">μωυσης πασαν </t>
    </r>
    <r>
      <rPr>
        <b/>
        <sz val="11"/>
        <color theme="1"/>
        <rFont val="Calibri"/>
        <family val="2"/>
        <scheme val="minor"/>
      </rPr>
      <t>την</t>
    </r>
    <r>
      <rPr>
        <sz val="11"/>
        <color theme="1"/>
        <rFont val="Calibri"/>
        <family val="2"/>
        <scheme val="minor"/>
      </rPr>
      <t xml:space="preserve"> σοφιαν αιγυπτιων  </t>
    </r>
  </si>
  <si>
    <t>ει-ι; αι-ε</t>
  </si>
  <si>
    <t>ευρειν οικω</t>
  </si>
  <si>
    <t>freq = πατηρ - εκεινος</t>
  </si>
  <si>
    <t>ε-αι; αι-ε; ι-ει</t>
  </si>
  <si>
    <t>(1) αποστολων οι εμειναν εν ιερουσαλημ (2) συνκομισαντες τον στεφανον</t>
  </si>
  <si>
    <r>
      <t xml:space="preserve">(1) αποστολων οι διεμειναν εν ιερουσαλημ (2) </t>
    </r>
    <r>
      <rPr>
        <b/>
        <sz val="11"/>
        <color theme="1"/>
        <rFont val="Calibri"/>
        <family val="2"/>
        <scheme val="minor"/>
      </rPr>
      <t xml:space="preserve">συνεκομισαν </t>
    </r>
    <r>
      <rPr>
        <sz val="11"/>
        <color theme="1"/>
        <rFont val="Calibri"/>
        <family val="2"/>
        <scheme val="minor"/>
      </rPr>
      <t>δε τον στεφανον</t>
    </r>
  </si>
  <si>
    <r>
      <t xml:space="preserve">(1) αποστολων οι διεμειναν εν ιερουσαλημ (2) συνεκομισαν </t>
    </r>
    <r>
      <rPr>
        <b/>
        <sz val="11"/>
        <color theme="1"/>
        <rFont val="Calibri"/>
        <family val="2"/>
        <scheme val="minor"/>
      </rPr>
      <t>δε</t>
    </r>
    <r>
      <rPr>
        <sz val="11"/>
        <color theme="1"/>
        <rFont val="Calibri"/>
        <family val="2"/>
        <scheme val="minor"/>
      </rPr>
      <t xml:space="preserve"> τον στεφανον</t>
    </r>
  </si>
  <si>
    <t>freq = οχλος</t>
  </si>
  <si>
    <r>
      <t xml:space="preserve">(5) χρν (6) ως δε ηκουον </t>
    </r>
    <r>
      <rPr>
        <b/>
        <sz val="11"/>
        <color theme="1"/>
        <rFont val="Calibri"/>
        <family val="2"/>
        <scheme val="minor"/>
      </rPr>
      <t>παν</t>
    </r>
    <r>
      <rPr>
        <sz val="11"/>
        <color theme="1"/>
        <rFont val="Calibri"/>
        <family val="2"/>
        <scheme val="minor"/>
      </rPr>
      <t xml:space="preserve"> οι οχλοι προσειχον τοις λεγομενοις</t>
    </r>
  </si>
  <si>
    <t>5.0.1 transposition</t>
  </si>
  <si>
    <t>μοι ος πολλα κλαιων ου διελυμπανεν (25) οι μεν ουν</t>
  </si>
  <si>
    <t>Skips 1 line (456v.1.10; no obvious visual cues apart from alignment); freq = εκπηδαω</t>
  </si>
  <si>
    <t>(26) λεγων αναστηθι καγω αυτος ανθρωπος ειμι (27) και συνομιλων αυτω εισηλθεν και ευρεισκει συνεληλυθοτας</t>
  </si>
  <si>
    <r>
      <t xml:space="preserve">(26) λεγων αναστηθι καγω αυτος ανθρωπος ειμι (27) και </t>
    </r>
    <r>
      <rPr>
        <b/>
        <sz val="11"/>
        <color theme="1"/>
        <rFont val="Calibri"/>
        <family val="2"/>
        <scheme val="minor"/>
      </rPr>
      <t>συνομιλων αυτω</t>
    </r>
    <r>
      <rPr>
        <sz val="11"/>
        <color theme="1"/>
        <rFont val="Calibri"/>
        <family val="2"/>
        <scheme val="minor"/>
      </rPr>
      <t xml:space="preserve"> εισηλθεν και ευρεισκει συνεληλυθοτας</t>
    </r>
  </si>
  <si>
    <t>freq = ως</t>
  </si>
  <si>
    <r>
      <t xml:space="preserve">(26) λεγων αναστηθι καγω αυτος ανθρωπος ειμι (27) και συνομιλων αυτω </t>
    </r>
    <r>
      <rPr>
        <b/>
        <sz val="11"/>
        <color theme="1"/>
        <rFont val="Calibri"/>
        <family val="2"/>
        <scheme val="minor"/>
      </rPr>
      <t>εισηλθεν</t>
    </r>
    <r>
      <rPr>
        <sz val="11"/>
        <color theme="1"/>
        <rFont val="Calibri"/>
        <family val="2"/>
        <scheme val="minor"/>
      </rPr>
      <t xml:space="preserve"> και ευρεισκει συνεληλυθοτας</t>
    </r>
  </si>
  <si>
    <r>
      <t xml:space="preserve">(26) λεγων αναστηθι καγω αυτος ανθρωπος ειμι (27) και συνομιλων αυτω εισηλθεν και </t>
    </r>
    <r>
      <rPr>
        <b/>
        <sz val="11"/>
        <color theme="1"/>
        <rFont val="Calibri"/>
        <family val="2"/>
        <scheme val="minor"/>
      </rPr>
      <t>ευρεισκει</t>
    </r>
    <r>
      <rPr>
        <sz val="11"/>
        <color theme="1"/>
        <rFont val="Calibri"/>
        <family val="2"/>
        <scheme val="minor"/>
      </rPr>
      <t xml:space="preserve"> συνεληλυθοτας</t>
    </r>
  </si>
  <si>
    <t>ανειλαν κρεμασαντες</t>
  </si>
  <si>
    <t>ανειλεν κρεμασαντες</t>
  </si>
  <si>
    <t>ηγειρεν τη τριτη ημερα και εδωκεν αυτον ενφανη</t>
  </si>
  <si>
    <r>
      <t xml:space="preserve">ηγειρεν </t>
    </r>
    <r>
      <rPr>
        <b/>
        <sz val="11"/>
        <color theme="1"/>
        <rFont val="Calibri"/>
        <family val="2"/>
        <scheme val="minor"/>
      </rPr>
      <t>μετα</t>
    </r>
    <r>
      <rPr>
        <sz val="11"/>
        <color theme="1"/>
        <rFont val="Calibri"/>
        <family val="2"/>
        <scheme val="minor"/>
      </rPr>
      <t xml:space="preserve"> την τριτην ημεραν και εδωκεν αυτω ενφανη</t>
    </r>
  </si>
  <si>
    <r>
      <t xml:space="preserve">ηγειρεν μετα </t>
    </r>
    <r>
      <rPr>
        <b/>
        <sz val="11"/>
        <color theme="1"/>
        <rFont val="Calibri"/>
        <family val="2"/>
        <scheme val="minor"/>
      </rPr>
      <t>την τριτην ημεραν</t>
    </r>
    <r>
      <rPr>
        <sz val="11"/>
        <color theme="1"/>
        <rFont val="Calibri"/>
        <family val="2"/>
        <scheme val="minor"/>
      </rPr>
      <t xml:space="preserve"> και εδωκεν αυτω ενφανη</t>
    </r>
  </si>
  <si>
    <t>1.0.3 transcription</t>
  </si>
  <si>
    <t>ενιαυτον ολον συνεχυθησαν οχλον ικανον και τοτε πρωτον εχρηματισεν εν αντιοχεια οι μαθηται χρειστιανοι (27) εν ταυταις</t>
  </si>
  <si>
    <r>
      <t xml:space="preserve">ενιαυτον ολον </t>
    </r>
    <r>
      <rPr>
        <b/>
        <sz val="11"/>
        <color theme="1"/>
        <rFont val="Calibri"/>
        <family val="2"/>
        <scheme val="minor"/>
      </rPr>
      <t xml:space="preserve">συναχθηναι </t>
    </r>
    <r>
      <rPr>
        <sz val="11"/>
        <color theme="1"/>
        <rFont val="Calibri"/>
        <family val="2"/>
        <scheme val="minor"/>
      </rPr>
      <t>εν τη εκκλησια και διδαξαι οχλον ικανον και τοτε πρωτον χρηματισαι εν αντιοχεια τους μαθητας χρειστιανους  (27) εν ταυταις</t>
    </r>
  </si>
  <si>
    <r>
      <t xml:space="preserve">ενιαυτον ολον συναχθηναι </t>
    </r>
    <r>
      <rPr>
        <b/>
        <sz val="11"/>
        <color theme="1"/>
        <rFont val="Calibri"/>
        <family val="2"/>
        <scheme val="minor"/>
      </rPr>
      <t>εν τη εκκλησια και διδαξαι</t>
    </r>
    <r>
      <rPr>
        <sz val="11"/>
        <color theme="1"/>
        <rFont val="Calibri"/>
        <family val="2"/>
        <scheme val="minor"/>
      </rPr>
      <t xml:space="preserve"> οχλον ικανον και τοτε πρωτον χρηματισαι εν αντιοχεια τους μαθητας χρειστιανους  (27) εν ταυταις</t>
    </r>
  </si>
  <si>
    <t>freq = εκκλησια</t>
  </si>
  <si>
    <r>
      <t xml:space="preserve">ενιαυτον ολον συναχθηναι εν τη εκκλησια και διδαξαι οχλον ικανον και τοτε πρωτον </t>
    </r>
    <r>
      <rPr>
        <b/>
        <sz val="11"/>
        <color theme="1"/>
        <rFont val="Calibri"/>
        <family val="2"/>
        <scheme val="minor"/>
      </rPr>
      <t xml:space="preserve">χρηματισαι </t>
    </r>
    <r>
      <rPr>
        <sz val="11"/>
        <color theme="1"/>
        <rFont val="Calibri"/>
        <family val="2"/>
        <scheme val="minor"/>
      </rPr>
      <t>εν αντιοχεια τους μαθητας χρειστιανους  (27) εν ταυταις</t>
    </r>
  </si>
  <si>
    <r>
      <t xml:space="preserve">ενιαυτον ολον συνεχυθησαν οχλον ικανον και τοτε πρωτον </t>
    </r>
    <r>
      <rPr>
        <b/>
        <sz val="11"/>
        <color theme="1"/>
        <rFont val="Calibri"/>
        <family val="2"/>
        <scheme val="minor"/>
      </rPr>
      <t xml:space="preserve">εχρηματισεν </t>
    </r>
    <r>
      <rPr>
        <sz val="11"/>
        <color theme="1"/>
        <rFont val="Calibri"/>
        <family val="2"/>
        <scheme val="minor"/>
      </rPr>
      <t>εν αντιοχεια οι μαθηται χρειστιανοι (27) εν ταυταις</t>
    </r>
  </si>
  <si>
    <r>
      <t xml:space="preserve">ενιαυτον ολον συνεχυθησαν οχλον ικανον και τοτε πρωτον εχρηματισεν εν αντιοχεια </t>
    </r>
    <r>
      <rPr>
        <b/>
        <sz val="11"/>
        <color theme="1"/>
        <rFont val="Calibri"/>
        <family val="2"/>
        <scheme val="minor"/>
      </rPr>
      <t>οι μαθηται χρειστιανοι</t>
    </r>
    <r>
      <rPr>
        <sz val="11"/>
        <color theme="1"/>
        <rFont val="Calibri"/>
        <family val="2"/>
        <scheme val="minor"/>
      </rPr>
      <t xml:space="preserve"> (27) εν ταυταις</t>
    </r>
  </si>
  <si>
    <r>
      <t>ενιαυτον ολον συναχθηναι εν τη εκκλησια και διδαξαι οχλον ικανον και τοτε πρωτον χρηματισαι εν αντιοχεια</t>
    </r>
    <r>
      <rPr>
        <b/>
        <sz val="11"/>
        <color theme="1"/>
        <rFont val="Calibri"/>
        <family val="2"/>
        <scheme val="minor"/>
      </rPr>
      <t xml:space="preserve"> τους μαθητας χρειστιανους</t>
    </r>
    <r>
      <rPr>
        <sz val="11"/>
        <color theme="1"/>
        <rFont val="Calibri"/>
        <family val="2"/>
        <scheme val="minor"/>
      </rPr>
      <t xml:space="preserve">  (27) εν ταυταις</t>
    </r>
  </si>
  <si>
    <t>κρουσαντες δε αυτου</t>
  </si>
  <si>
    <t>κρουσαντος δε αυτου</t>
  </si>
  <si>
    <r>
      <t xml:space="preserve">χειρι </t>
    </r>
    <r>
      <rPr>
        <b/>
        <sz val="11"/>
        <color theme="1"/>
        <rFont val="Calibri"/>
        <family val="2"/>
        <scheme val="minor"/>
      </rPr>
      <t>ινα</t>
    </r>
    <r>
      <rPr>
        <sz val="11"/>
        <color theme="1"/>
        <rFont val="Calibri"/>
        <family val="2"/>
        <scheme val="minor"/>
      </rPr>
      <t xml:space="preserve"> σειγασιν εισηλθεν</t>
    </r>
  </si>
  <si>
    <r>
      <t xml:space="preserve">χειρι ινα </t>
    </r>
    <r>
      <rPr>
        <b/>
        <sz val="11"/>
        <color theme="1"/>
        <rFont val="Calibri"/>
        <family val="2"/>
        <scheme val="minor"/>
      </rPr>
      <t>σειγασιν</t>
    </r>
    <r>
      <rPr>
        <sz val="11"/>
        <color theme="1"/>
        <rFont val="Calibri"/>
        <family val="2"/>
        <scheme val="minor"/>
      </rPr>
      <t xml:space="preserve"> εισηλθεν</t>
    </r>
  </si>
  <si>
    <r>
      <t xml:space="preserve">χειρι </t>
    </r>
    <r>
      <rPr>
        <b/>
        <sz val="11"/>
        <color theme="1"/>
        <rFont val="Calibri"/>
        <family val="2"/>
        <scheme val="minor"/>
      </rPr>
      <t>σιγαν</t>
    </r>
    <r>
      <rPr>
        <sz val="11"/>
        <color theme="1"/>
        <rFont val="Calibri"/>
        <family val="2"/>
        <scheme val="minor"/>
      </rPr>
      <t xml:space="preserve"> εισηλθεν</t>
    </r>
  </si>
  <si>
    <t>Skips 1 line (465v.1.8; no obvious visual cues present); freq = τυριος</t>
  </si>
  <si>
    <t>10:10:3:3</t>
  </si>
  <si>
    <t>εν αυτω κρειναντες</t>
  </si>
  <si>
    <t>freq = αναιρεω</t>
  </si>
  <si>
    <t>(36) και ιδεν διαφθοραν (37) ο δε ο θς ηγειρεν ουκ ειδεν δειαφθοραν (38) γνωστον</t>
  </si>
  <si>
    <t>(36) και ιδεν διαφθοραν (37)  (38) γνωστον</t>
  </si>
  <si>
    <t>Skips 1 line (470v.1.4, visual cues present); freq = διαφθορα</t>
  </si>
  <si>
    <t>ει-ι; ε-αι</t>
  </si>
  <si>
    <t>Bezae marks φως and τεθεικα for transposition, B.10.3 transposes φως &lt;-&gt; σε; 1.1.1 transposition</t>
  </si>
  <si>
    <t>Skips 1 line (472v.1.10; no obvious visual cues apart from alignement); freq = ταχυς</t>
  </si>
  <si>
    <t>Skips 1+ line (472v.1.19; no obvious visual cues); freq = κολλαω</t>
  </si>
  <si>
    <t>skips 1 line (475v.1.11; visual cues); freq = ψυχη</t>
  </si>
  <si>
    <t>skips most of 1 line (475.1.29; no obvious visual cues); freq = οπως</t>
  </si>
  <si>
    <t>skips 2 lines (476v.1.8-9; no obvious visual cues); freq = εξανιστημι</t>
  </si>
  <si>
    <r>
      <t xml:space="preserve">ηκουον </t>
    </r>
    <r>
      <rPr>
        <b/>
        <sz val="11"/>
        <color theme="1"/>
        <rFont val="Calibri"/>
        <family val="2"/>
        <scheme val="minor"/>
      </rPr>
      <t>βαρναβαν</t>
    </r>
    <r>
      <rPr>
        <sz val="11"/>
        <color theme="1"/>
        <rFont val="Calibri"/>
        <family val="2"/>
        <scheme val="minor"/>
      </rPr>
      <t xml:space="preserve"> και </t>
    </r>
    <r>
      <rPr>
        <b/>
        <sz val="11"/>
        <color theme="1"/>
        <rFont val="Calibri"/>
        <family val="2"/>
        <scheme val="minor"/>
      </rPr>
      <t>παυλον εξηγουμενοι</t>
    </r>
    <r>
      <rPr>
        <sz val="11"/>
        <color theme="1"/>
        <rFont val="Calibri"/>
        <family val="2"/>
        <scheme val="minor"/>
      </rPr>
      <t xml:space="preserve"> οσα εποιησεν</t>
    </r>
  </si>
  <si>
    <r>
      <t xml:space="preserve">ηκουον </t>
    </r>
    <r>
      <rPr>
        <b/>
        <sz val="11"/>
        <color theme="1"/>
        <rFont val="Calibri"/>
        <family val="2"/>
        <scheme val="minor"/>
      </rPr>
      <t>βαρναβα</t>
    </r>
    <r>
      <rPr>
        <sz val="11"/>
        <color theme="1"/>
        <rFont val="Calibri"/>
        <family val="2"/>
        <scheme val="minor"/>
      </rPr>
      <t xml:space="preserve"> και </t>
    </r>
    <r>
      <rPr>
        <b/>
        <sz val="11"/>
        <color theme="1"/>
        <rFont val="Calibri"/>
        <family val="2"/>
        <scheme val="minor"/>
      </rPr>
      <t>παυλου εξηγουμενων</t>
    </r>
    <r>
      <rPr>
        <sz val="11"/>
        <color theme="1"/>
        <rFont val="Calibri"/>
        <family val="2"/>
        <scheme val="minor"/>
      </rPr>
      <t xml:space="preserve"> οσα εποιησεν</t>
    </r>
  </si>
  <si>
    <r>
      <t xml:space="preserve">κς </t>
    </r>
    <r>
      <rPr>
        <b/>
        <sz val="11"/>
        <color theme="1"/>
        <rFont val="Calibri"/>
        <family val="2"/>
        <scheme val="minor"/>
      </rPr>
      <t>ο</t>
    </r>
    <r>
      <rPr>
        <sz val="11"/>
        <color theme="1"/>
        <rFont val="Calibri"/>
        <family val="2"/>
        <scheme val="minor"/>
      </rPr>
      <t xml:space="preserve"> ποιων ταυτα</t>
    </r>
  </si>
  <si>
    <r>
      <t xml:space="preserve">κς ο </t>
    </r>
    <r>
      <rPr>
        <b/>
        <sz val="11"/>
        <color theme="1"/>
        <rFont val="Calibri"/>
        <family val="2"/>
        <scheme val="minor"/>
      </rPr>
      <t>ποιων</t>
    </r>
    <r>
      <rPr>
        <sz val="11"/>
        <color theme="1"/>
        <rFont val="Calibri"/>
        <family val="2"/>
        <scheme val="minor"/>
      </rPr>
      <t xml:space="preserve"> ταυτα</t>
    </r>
  </si>
  <si>
    <r>
      <t xml:space="preserve">κς </t>
    </r>
    <r>
      <rPr>
        <b/>
        <sz val="11"/>
        <color theme="1"/>
        <rFont val="Calibri"/>
        <family val="2"/>
        <scheme val="minor"/>
      </rPr>
      <t>ποιησει</t>
    </r>
    <r>
      <rPr>
        <sz val="11"/>
        <color theme="1"/>
        <rFont val="Calibri"/>
        <family val="2"/>
        <scheme val="minor"/>
      </rPr>
      <t xml:space="preserve"> ταυτα</t>
    </r>
  </si>
  <si>
    <t>freq = μεσονυκτιον - νυξ</t>
  </si>
  <si>
    <t>freq = πους</t>
  </si>
  <si>
    <t>freq = ο - συ</t>
  </si>
  <si>
    <r>
      <t xml:space="preserve">και των ελληνιδων γυναικων των ευσχημονων και ανδρων </t>
    </r>
    <r>
      <rPr>
        <b/>
        <sz val="11"/>
        <color theme="1"/>
        <rFont val="Calibri"/>
        <family val="2"/>
        <scheme val="minor"/>
      </rPr>
      <t>ουκ ολιγοι</t>
    </r>
    <r>
      <rPr>
        <sz val="11"/>
        <color theme="1"/>
        <rFont val="Calibri"/>
        <family val="2"/>
        <scheme val="minor"/>
      </rPr>
      <t xml:space="preserve"> ικανοι επιστευσαν (13) ως δε </t>
    </r>
  </si>
  <si>
    <t xml:space="preserve">και των ελληνων και των ευσχημονων ανδρες και γυναικες ικανοι επιστευσαν (13) ως δε </t>
  </si>
  <si>
    <r>
      <t xml:space="preserve">οτι </t>
    </r>
    <r>
      <rPr>
        <b/>
        <sz val="11"/>
        <color theme="1"/>
        <rFont val="Calibri"/>
        <family val="2"/>
        <scheme val="minor"/>
      </rPr>
      <t>και</t>
    </r>
    <r>
      <rPr>
        <sz val="11"/>
        <color theme="1"/>
        <rFont val="Calibri"/>
        <family val="2"/>
        <scheme val="minor"/>
      </rPr>
      <t xml:space="preserve"> </t>
    </r>
    <r>
      <rPr>
        <b/>
        <sz val="11"/>
        <color theme="1"/>
        <rFont val="Calibri"/>
        <family val="2"/>
        <scheme val="minor"/>
      </rPr>
      <t>ο</t>
    </r>
    <r>
      <rPr>
        <sz val="11"/>
        <color theme="1"/>
        <rFont val="Calibri"/>
        <family val="2"/>
        <scheme val="minor"/>
      </rPr>
      <t xml:space="preserve"> λογος του θεου εις την βεροιαν κατηγγελη και ηλθον</t>
    </r>
  </si>
  <si>
    <t>4:3</t>
  </si>
  <si>
    <t>freq = ουδε - δε</t>
  </si>
  <si>
    <r>
      <t xml:space="preserve">επι </t>
    </r>
    <r>
      <rPr>
        <b/>
        <sz val="11"/>
        <color theme="1"/>
        <rFont val="Calibri"/>
        <family val="2"/>
        <scheme val="minor"/>
      </rPr>
      <t>παντος προσωπου</t>
    </r>
    <r>
      <rPr>
        <sz val="11"/>
        <color theme="1"/>
        <rFont val="Calibri"/>
        <family val="2"/>
        <scheme val="minor"/>
      </rPr>
      <t xml:space="preserve"> της γης</t>
    </r>
  </si>
  <si>
    <r>
      <t xml:space="preserve">επι </t>
    </r>
    <r>
      <rPr>
        <b/>
        <sz val="11"/>
        <color theme="1"/>
        <rFont val="Calibri"/>
        <family val="2"/>
        <scheme val="minor"/>
      </rPr>
      <t>παν</t>
    </r>
    <r>
      <rPr>
        <sz val="11"/>
        <color theme="1"/>
        <rFont val="Calibri"/>
        <family val="2"/>
        <scheme val="minor"/>
      </rPr>
      <t xml:space="preserve"> το </t>
    </r>
    <r>
      <rPr>
        <b/>
        <sz val="11"/>
        <color theme="1"/>
        <rFont val="Calibri"/>
        <family val="2"/>
        <scheme val="minor"/>
      </rPr>
      <t>προσωπον</t>
    </r>
    <r>
      <rPr>
        <sz val="11"/>
        <color theme="1"/>
        <rFont val="Calibri"/>
        <family val="2"/>
        <scheme val="minor"/>
      </rPr>
      <t xml:space="preserve"> της γης</t>
    </r>
  </si>
  <si>
    <r>
      <t xml:space="preserve">γραφων </t>
    </r>
    <r>
      <rPr>
        <b/>
        <sz val="11"/>
        <color theme="1"/>
        <rFont val="Calibri"/>
        <family val="2"/>
        <scheme val="minor"/>
      </rPr>
      <t>ειναι τον</t>
    </r>
    <r>
      <rPr>
        <sz val="11"/>
        <color theme="1"/>
        <rFont val="Calibri"/>
        <family val="2"/>
        <scheme val="minor"/>
      </rPr>
      <t xml:space="preserve"> </t>
    </r>
    <r>
      <rPr>
        <b/>
        <sz val="11"/>
        <color theme="1"/>
        <rFont val="Calibri"/>
        <family val="2"/>
        <scheme val="minor"/>
      </rPr>
      <t>χριστον</t>
    </r>
    <r>
      <rPr>
        <sz val="11"/>
        <color theme="1"/>
        <rFont val="Calibri"/>
        <family val="2"/>
        <scheme val="minor"/>
      </rPr>
      <t xml:space="preserve"> </t>
    </r>
    <r>
      <rPr>
        <b/>
        <sz val="11"/>
        <color theme="1"/>
        <rFont val="Calibri"/>
        <family val="2"/>
        <scheme val="minor"/>
      </rPr>
      <t>ιησουν</t>
    </r>
    <r>
      <rPr>
        <sz val="11"/>
        <color theme="1"/>
        <rFont val="Calibri"/>
        <family val="2"/>
        <scheme val="minor"/>
      </rPr>
      <t xml:space="preserve"> (19:1) θελοντος</t>
    </r>
  </si>
  <si>
    <t>1.1.1.1:c.a.d.b transposition</t>
  </si>
  <si>
    <t>αλλ ουδε πνα αγιον λαμβανουσιν τινες ηκουσαμεν</t>
  </si>
  <si>
    <r>
      <t xml:space="preserve">αλλ ουδε </t>
    </r>
    <r>
      <rPr>
        <b/>
        <sz val="11"/>
        <color theme="1"/>
        <rFont val="Calibri"/>
        <family val="2"/>
        <scheme val="minor"/>
      </rPr>
      <t>ει</t>
    </r>
    <r>
      <rPr>
        <sz val="11"/>
        <color theme="1"/>
        <rFont val="Calibri"/>
        <family val="2"/>
        <scheme val="minor"/>
      </rPr>
      <t xml:space="preserve"> πνα αγιον εστιν ηκουσαμεν</t>
    </r>
  </si>
  <si>
    <t>επιθεντο αυτοις</t>
  </si>
  <si>
    <t>freq = δεκατος</t>
  </si>
  <si>
    <r>
      <t xml:space="preserve">(10) ετη δυο εως </t>
    </r>
    <r>
      <rPr>
        <b/>
        <sz val="11"/>
        <color theme="1"/>
        <rFont val="Calibri"/>
        <family val="2"/>
        <scheme val="minor"/>
      </rPr>
      <t>παντες</t>
    </r>
    <r>
      <rPr>
        <sz val="11"/>
        <color theme="1"/>
        <rFont val="Calibri"/>
        <family val="2"/>
        <scheme val="minor"/>
      </rPr>
      <t xml:space="preserve"> </t>
    </r>
    <r>
      <rPr>
        <b/>
        <sz val="11"/>
        <color theme="1"/>
        <rFont val="Calibri"/>
        <family val="2"/>
        <scheme val="minor"/>
      </rPr>
      <t>οι κατοικουντες</t>
    </r>
    <r>
      <rPr>
        <sz val="11"/>
        <color theme="1"/>
        <rFont val="Calibri"/>
        <family val="2"/>
        <scheme val="minor"/>
      </rPr>
      <t xml:space="preserve"> την ασιας ηκουσαν τους λογους του κυ ιουδαιοι και ελληνες (11) δυναμεις δε ου τας</t>
    </r>
  </si>
  <si>
    <r>
      <t xml:space="preserve">(10) ετη δυο ωστε </t>
    </r>
    <r>
      <rPr>
        <b/>
        <sz val="11"/>
        <color theme="1"/>
        <rFont val="Calibri"/>
        <family val="2"/>
        <scheme val="minor"/>
      </rPr>
      <t>απαντας</t>
    </r>
    <r>
      <rPr>
        <sz val="11"/>
        <color theme="1"/>
        <rFont val="Calibri"/>
        <family val="2"/>
        <scheme val="minor"/>
      </rPr>
      <t xml:space="preserve"> </t>
    </r>
    <r>
      <rPr>
        <b/>
        <sz val="11"/>
        <color theme="1"/>
        <rFont val="Calibri"/>
        <family val="2"/>
        <scheme val="minor"/>
      </rPr>
      <t>τους κατοικουντας</t>
    </r>
    <r>
      <rPr>
        <sz val="11"/>
        <color theme="1"/>
        <rFont val="Calibri"/>
        <family val="2"/>
        <scheme val="minor"/>
      </rPr>
      <t xml:space="preserve"> την ασιαν ακουσαι τον λογον του κυ ιουδαιους τε και ελληνας  (11) δυναμεις τε ου τας</t>
    </r>
  </si>
  <si>
    <r>
      <t xml:space="preserve">(10) ετη δυο εως παντες οι κατοικουντες την ασιας ηκουσαν τους λογους του κυ </t>
    </r>
    <r>
      <rPr>
        <b/>
        <sz val="11"/>
        <color theme="1"/>
        <rFont val="Calibri"/>
        <family val="2"/>
        <scheme val="minor"/>
      </rPr>
      <t>ιουδαιοι</t>
    </r>
    <r>
      <rPr>
        <sz val="11"/>
        <color theme="1"/>
        <rFont val="Calibri"/>
        <family val="2"/>
        <scheme val="minor"/>
      </rPr>
      <t xml:space="preserve"> και </t>
    </r>
    <r>
      <rPr>
        <b/>
        <sz val="11"/>
        <color theme="1"/>
        <rFont val="Calibri"/>
        <family val="2"/>
        <scheme val="minor"/>
      </rPr>
      <t>ελληνες</t>
    </r>
    <r>
      <rPr>
        <sz val="11"/>
        <color theme="1"/>
        <rFont val="Calibri"/>
        <family val="2"/>
        <scheme val="minor"/>
      </rPr>
      <t xml:space="preserve"> (11) δυναμεις δε ου τας</t>
    </r>
  </si>
  <si>
    <r>
      <t xml:space="preserve">(10) ετη δυο ωστε απαντας τους κατοικουντας την ασιαν ακουσαι τον λογον του κυ </t>
    </r>
    <r>
      <rPr>
        <b/>
        <sz val="11"/>
        <color theme="1"/>
        <rFont val="Calibri"/>
        <family val="2"/>
        <scheme val="minor"/>
      </rPr>
      <t>ιουδαιους</t>
    </r>
    <r>
      <rPr>
        <sz val="11"/>
        <color theme="1"/>
        <rFont val="Calibri"/>
        <family val="2"/>
        <scheme val="minor"/>
      </rPr>
      <t xml:space="preserve"> τε και </t>
    </r>
    <r>
      <rPr>
        <b/>
        <sz val="11"/>
        <color theme="1"/>
        <rFont val="Calibri"/>
        <family val="2"/>
        <scheme val="minor"/>
      </rPr>
      <t>ελληνας</t>
    </r>
    <r>
      <rPr>
        <sz val="11"/>
        <color theme="1"/>
        <rFont val="Calibri"/>
        <family val="2"/>
        <scheme val="minor"/>
      </rPr>
      <t xml:space="preserve">  (11) δυναμεις τε ου τας</t>
    </r>
  </si>
  <si>
    <t>περιερχομενων ιουδαιων</t>
  </si>
  <si>
    <t>παυλος εξελθειν κηρυσσει (15) τοτε</t>
  </si>
  <si>
    <t>ικανοι δε των τα περιεργα πραξαντων</t>
  </si>
  <si>
    <r>
      <t xml:space="preserve">θυ </t>
    </r>
    <r>
      <rPr>
        <b/>
        <sz val="11"/>
        <color theme="1"/>
        <rFont val="Calibri"/>
        <family val="2"/>
        <scheme val="minor"/>
      </rPr>
      <t>ηυξανε</t>
    </r>
    <r>
      <rPr>
        <sz val="11"/>
        <color theme="1"/>
        <rFont val="Calibri"/>
        <family val="2"/>
        <scheme val="minor"/>
      </rPr>
      <t xml:space="preserve"> και επληθυνε (21) τοτε</t>
    </r>
  </si>
  <si>
    <t>Bezae marks τις τοτε for deletion, but not πισας; freq = πειθω</t>
  </si>
  <si>
    <t>Bezae corrects to ναιωκορον; both are nonsense readings</t>
  </si>
  <si>
    <r>
      <t xml:space="preserve">εν </t>
    </r>
    <r>
      <rPr>
        <b/>
        <sz val="11"/>
        <color theme="1"/>
        <rFont val="Calibri"/>
        <family val="2"/>
        <scheme val="minor"/>
      </rPr>
      <t xml:space="preserve">τω </t>
    </r>
    <r>
      <rPr>
        <sz val="11"/>
        <color theme="1"/>
        <rFont val="Calibri"/>
        <family val="2"/>
        <scheme val="minor"/>
      </rPr>
      <t>νομω εκκλησια επιλυθησεται</t>
    </r>
  </si>
  <si>
    <r>
      <t xml:space="preserve">εν </t>
    </r>
    <r>
      <rPr>
        <b/>
        <sz val="11"/>
        <color theme="1"/>
        <rFont val="Calibri"/>
        <family val="2"/>
        <scheme val="minor"/>
      </rPr>
      <t xml:space="preserve">τη </t>
    </r>
    <r>
      <rPr>
        <sz val="11"/>
        <color theme="1"/>
        <rFont val="Calibri"/>
        <family val="2"/>
        <scheme val="minor"/>
      </rPr>
      <t>εννομω εκκλησια επιλυθησεται</t>
    </r>
  </si>
  <si>
    <r>
      <t xml:space="preserve">εν τω </t>
    </r>
    <r>
      <rPr>
        <b/>
        <sz val="11"/>
        <color theme="1"/>
        <rFont val="Calibri"/>
        <family val="2"/>
        <scheme val="minor"/>
      </rPr>
      <t>νομω</t>
    </r>
    <r>
      <rPr>
        <sz val="11"/>
        <color theme="1"/>
        <rFont val="Calibri"/>
        <family val="2"/>
        <scheme val="minor"/>
      </rPr>
      <t xml:space="preserve"> εκκλησια επιλυθησεται</t>
    </r>
  </si>
  <si>
    <r>
      <t xml:space="preserve">εν τη </t>
    </r>
    <r>
      <rPr>
        <b/>
        <sz val="11"/>
        <color theme="1"/>
        <rFont val="Calibri"/>
        <family val="2"/>
        <scheme val="minor"/>
      </rPr>
      <t>εννομω</t>
    </r>
    <r>
      <rPr>
        <sz val="11"/>
        <color theme="1"/>
        <rFont val="Calibri"/>
        <family val="2"/>
        <scheme val="minor"/>
      </rPr>
      <t xml:space="preserve"> εκκλησια επιλυθησεται</t>
    </r>
  </si>
  <si>
    <t>υπνω βαρει</t>
  </si>
  <si>
    <t>υπνω βαθει</t>
  </si>
  <si>
    <t>freq = ασια</t>
  </si>
  <si>
    <t>Change in case considered consequence of omission</t>
  </si>
  <si>
    <t>Same string of corrections followed; freq = δια - αχρι</t>
  </si>
  <si>
    <t>All from same cluster of corrections; 1.0.4 transposition</t>
  </si>
  <si>
    <r>
      <t xml:space="preserve">αυτον (38) οδυνωμενοι μαλιστα επι τω λογω ω ειρηκει οτι ουκ ετι </t>
    </r>
    <r>
      <rPr>
        <b/>
        <sz val="11"/>
        <color theme="1"/>
        <rFont val="Calibri"/>
        <family val="2"/>
        <scheme val="minor"/>
      </rPr>
      <t>μελλουσιν</t>
    </r>
    <r>
      <rPr>
        <sz val="11"/>
        <color theme="1"/>
        <rFont val="Calibri"/>
        <family val="2"/>
        <scheme val="minor"/>
      </rPr>
      <t xml:space="preserve"> το προσωπον αυτου θεωρειν</t>
    </r>
  </si>
  <si>
    <r>
      <t xml:space="preserve">αυτον (38) μαλιστα επι τω λογω οδυνωμενοι οτι ειπεν ουκ ετι </t>
    </r>
    <r>
      <rPr>
        <b/>
        <sz val="11"/>
        <color theme="1"/>
        <rFont val="Calibri"/>
        <family val="2"/>
        <scheme val="minor"/>
      </rPr>
      <t xml:space="preserve">μελλει </t>
    </r>
    <r>
      <rPr>
        <sz val="11"/>
        <color theme="1"/>
        <rFont val="Calibri"/>
        <family val="2"/>
        <scheme val="minor"/>
      </rPr>
      <t>σοι το προσωπον θεωρειν</t>
    </r>
  </si>
  <si>
    <r>
      <t xml:space="preserve">αυτον (38) μαλιστα επι τω λογω οδυνωμενοι οτι ειπεν ουκ ετι μελλει </t>
    </r>
    <r>
      <rPr>
        <b/>
        <sz val="11"/>
        <color theme="1"/>
        <rFont val="Calibri"/>
        <family val="2"/>
        <scheme val="minor"/>
      </rPr>
      <t>σοι</t>
    </r>
    <r>
      <rPr>
        <sz val="11"/>
        <color theme="1"/>
        <rFont val="Calibri"/>
        <family val="2"/>
        <scheme val="minor"/>
      </rPr>
      <t xml:space="preserve"> το προσωπον θεωρειν</t>
    </r>
  </si>
  <si>
    <r>
      <t xml:space="preserve">(18) συνηγμενοι (19) </t>
    </r>
    <r>
      <rPr>
        <b/>
        <sz val="11"/>
        <color theme="1"/>
        <rFont val="Calibri"/>
        <family val="2"/>
        <scheme val="minor"/>
      </rPr>
      <t>ους ασπαμενος</t>
    </r>
    <r>
      <rPr>
        <sz val="11"/>
        <color theme="1"/>
        <rFont val="Calibri"/>
        <family val="2"/>
        <scheme val="minor"/>
      </rPr>
      <t xml:space="preserve"> διηγειτο ενα εκαστον ως εποιησεν</t>
    </r>
  </si>
  <si>
    <r>
      <t xml:space="preserve">(18) συνηγμενοι (19) και </t>
    </r>
    <r>
      <rPr>
        <b/>
        <sz val="11"/>
        <color theme="1"/>
        <rFont val="Calibri"/>
        <family val="2"/>
        <scheme val="minor"/>
      </rPr>
      <t>ασπασαμενος</t>
    </r>
    <r>
      <rPr>
        <sz val="11"/>
        <color theme="1"/>
        <rFont val="Calibri"/>
        <family val="2"/>
        <scheme val="minor"/>
      </rPr>
      <t xml:space="preserve"> </t>
    </r>
    <r>
      <rPr>
        <b/>
        <sz val="11"/>
        <color theme="1"/>
        <rFont val="Calibri"/>
        <family val="2"/>
        <scheme val="minor"/>
      </rPr>
      <t>αυτους</t>
    </r>
    <r>
      <rPr>
        <sz val="11"/>
        <color theme="1"/>
        <rFont val="Calibri"/>
        <family val="2"/>
        <scheme val="minor"/>
      </rPr>
      <t xml:space="preserve"> εξηγειτο καθ εν εκαστον ων εποιησεν</t>
    </r>
  </si>
  <si>
    <r>
      <t xml:space="preserve">(5) τιμωρηθωσιν (6) εγενετο δε μοι </t>
    </r>
    <r>
      <rPr>
        <b/>
        <sz val="11"/>
        <color theme="1"/>
        <rFont val="Calibri"/>
        <family val="2"/>
        <scheme val="minor"/>
      </rPr>
      <t>πορευομενω και</t>
    </r>
    <r>
      <rPr>
        <sz val="11"/>
        <color theme="1"/>
        <rFont val="Calibri"/>
        <family val="2"/>
        <scheme val="minor"/>
      </rPr>
      <t xml:space="preserve"> εγγιζοντι περι μεσημβριαν τη δαμασκω εξεφνης εκ του ουρανου περιεστραψαι φως</t>
    </r>
  </si>
  <si>
    <r>
      <t xml:space="preserve">χιλιαρχος </t>
    </r>
    <r>
      <rPr>
        <b/>
        <sz val="11"/>
        <color theme="1"/>
        <rFont val="Calibri"/>
        <family val="2"/>
        <scheme val="minor"/>
      </rPr>
      <t xml:space="preserve">αυτον εισαγεσθαι </t>
    </r>
    <r>
      <rPr>
        <sz val="11"/>
        <color theme="1"/>
        <rFont val="Calibri"/>
        <family val="2"/>
        <scheme val="minor"/>
      </rPr>
      <t>εις την</t>
    </r>
  </si>
  <si>
    <t>autograph matches pattern in 1:21,23 (και καλεσεις το ονομα αυτου); apograph disharmonizes</t>
  </si>
  <si>
    <t>apograph matches verb in 2:13,20 (εγερθεις παραλαβε τον παιδα); apograph harmonizes</t>
  </si>
  <si>
    <t>apograph matches pattern from 2:20 (πορευου εις γην ισραηλ); apograph harmonizes</t>
  </si>
  <si>
    <t>autograph matches pattern in 4:6 (λεγει αυτω ει υιος ει θεου); apograph disharmonizes</t>
  </si>
  <si>
    <t>πατερα αυτων ηκολουθησαν αυτω (23) και περιηγεν</t>
  </si>
  <si>
    <t>πατερα αυτων (23) και περιηγεν</t>
  </si>
  <si>
    <t>autograph matches pattern in 6:2,16 (ως(περ) οι υποκριται); apograph disharmonizes</t>
  </si>
  <si>
    <t>Bezae corrects to τω εν κρυφαιω; apograph matches wording from 6:4,6 (ο πατηρ σου ο βλεπων εν τω κρυπτω); apograph harmonizes</t>
  </si>
  <si>
    <t>apograph matches wording earlier in verse (ηλθον βαλειν ειρηνην επι την γην); apograph harmonizes</t>
  </si>
  <si>
    <t>apograph reading matches recurring pattern in verse (θυγατερα κατα της μητρος αυτης; νυμφην κατα της πενθερας αυτης); apograph harmonizes</t>
  </si>
  <si>
    <t>autograph matches pattern in 11:19 (εστθιων και πεινων); apograph disharmonizes</t>
  </si>
  <si>
    <t>apograph matches wording in 12:42 (εν τη κρισει μετα της γενεας ταυτης); apograph harmonizes</t>
  </si>
  <si>
    <t>Throughout the parable, επεσεν is used in form α/αλλα μεν/δε επεσεν (13:5,7,8); apograph disharmonizes</t>
  </si>
  <si>
    <t>autograph matches wording later in verse (εκ του στοματος εκεινο κοινωνει τον ανθρωπον), also in 15:18,19,20; apograph disharmonizes</t>
  </si>
  <si>
    <t>elsewhere in near context, the phrase κοινωνει τον ανθρωπον always occurs with article (15:11,18,19,20); apograph disharmonizes</t>
  </si>
  <si>
    <t>autograph matches form used in 15:11 (εκεινο κοινωνει τον ανθρωπον); apograph disharmonizes</t>
  </si>
  <si>
    <t>1.0.1 transposition; autograph closer to patternin 16:15 (υμεις δε τινα με λεγεται ειναι); apograph disharmonizes</t>
  </si>
  <si>
    <t>autograph matches form used in 18:9 (ει και ο οφθαλμος σου σκανδαλιζει σε); apograph disharmonizes</t>
  </si>
  <si>
    <t>apograph follows wording of 19:23 (εισελευσεται εις την βασιλειαν των ουρανων); apograph harmonizes</t>
  </si>
  <si>
    <t>autograph follows wording in 20:5 (εξελθων περι ωραν εκτην); apograph disharmonizes</t>
  </si>
  <si>
    <t>B.10.3 does reinsert μου, but not the rest of the omitted text; freq = ευωνυμος; autograph follows request in 20:21 (καθισωσιν... εκ δεξιων σου και εις εξ ευωνυμων); apograph disharmonizes</t>
  </si>
  <si>
    <t>2.0.2 transposition; autograph matches wording in 20:30 (εκραξαν λεγοντες ελεησον ημας υιε δαυειδ); apograph disharmonizes</t>
  </si>
  <si>
    <r>
      <t xml:space="preserve">οτι ου δοκειτε </t>
    </r>
    <r>
      <rPr>
        <b/>
        <sz val="11"/>
        <color theme="1"/>
        <rFont val="Calibri"/>
        <family val="2"/>
        <scheme val="minor"/>
      </rPr>
      <t>η</t>
    </r>
    <r>
      <rPr>
        <sz val="11"/>
        <color theme="1"/>
        <rFont val="Calibri"/>
        <family val="2"/>
        <scheme val="minor"/>
      </rPr>
      <t xml:space="preserve"> ωρα</t>
    </r>
  </si>
  <si>
    <t>apograph follows wording of 25:3 (μωραι λαβουσαι τας λαμπαδας αυτων); apograph harmonizes</t>
  </si>
  <si>
    <t>autograph matches wording of 25:20 (αλλα πεντε ταλαντα επεκερδησα εφη αυτω); apograph disharmonizes</t>
  </si>
  <si>
    <t>Neither 24 nor 26 counted for harmonization since terms effectively transpose</t>
  </si>
  <si>
    <t>Bezae corrects to εξηραμμενην, B.10.3 substitutes something else entirely; apograph follows wording of 3:1 (ανθρωπος ξηραν εχων την χειρα); apograph harmonizes</t>
  </si>
  <si>
    <t>autograph follows wording in 3:25 (εαν οικια εφ εαυτην μερισθη ου δυναται); apograph disharmonizes</t>
  </si>
  <si>
    <t>autograph matches wording in 3:24,25 (εαν βασιλεια/οικια εφ εαυτην μερισθη); apograph disharmonizes</t>
  </si>
  <si>
    <t>autograph closer to wording of 5:28 (καν του ιματιου εαυτου αψωμαι); apograph disharmonizes</t>
  </si>
  <si>
    <t>apograph matches wording of command in 9:25 (εξελθε εξ αυτου); apograph harmonizes</t>
  </si>
  <si>
    <t>the phrase βληθηναι εις την γεεναν occurs 3x in near context, never with the added modifier (9:43,45); apograph disharmonizes</t>
  </si>
  <si>
    <t>κωλυεται αυτα των</t>
  </si>
  <si>
    <t>κωλυεται των</t>
  </si>
  <si>
    <t>apograph matches wording of original question in 11:28 (εν ποια εξουσια ταυτα ποιεις); apograph harmonizes</t>
  </si>
  <si>
    <t>autograph matches wording of original question in 11:28 (εν ποια εξουσια ταυτα ποιεις); apograph disharmonizes</t>
  </si>
  <si>
    <t>apograph matches wording in 12:33 (αγαπαν αυτον εξ ολης της καρδιας); apograph harmonizes</t>
  </si>
  <si>
    <t>Bezae adds και before ελεγον; autograph reading closer to 14:57 (αλλοι ανασταντες εψευδομαρτυρουν και ελεγον κατ αυτου); apograph disharmonizes</t>
  </si>
  <si>
    <t>autograph matches wording repeated later in verse (επηρωτησεν αυτον ει ηδη τεθνηκει); apograph disharmonizes</t>
  </si>
  <si>
    <r>
      <t xml:space="preserve">επιστευσαν (12) μετα </t>
    </r>
    <r>
      <rPr>
        <b/>
        <sz val="11"/>
        <color theme="1"/>
        <rFont val="Calibri"/>
        <family val="2"/>
        <scheme val="minor"/>
      </rPr>
      <t>δε</t>
    </r>
    <r>
      <rPr>
        <sz val="11"/>
        <color theme="1"/>
        <rFont val="Calibri"/>
        <family val="2"/>
        <scheme val="minor"/>
      </rPr>
      <t xml:space="preserve"> ταυτα</t>
    </r>
  </si>
  <si>
    <t>autograph matches wording in 1:71 (εκ χειρος εχθρων ημων); apograph disharmonizes</t>
  </si>
  <si>
    <t>autograph follows the response formula from 4:8,12 (και αποκριθεις ο ιης ειπεν αυτω γεγραπται); apograph disharmonizes</t>
  </si>
  <si>
    <t>apograph follows wording from 4:3 (ει υιος ει του θεου); apograph harmonizes</t>
  </si>
  <si>
    <t>autograph matches form from 5:21 (αφαιωνται σου αι αμαρτιαι); apograph disharmonizes</t>
  </si>
  <si>
    <t>autograph matches wording of 7:25,26 (τι εξηλθατε ειδειν); apograph disharmonizes</t>
  </si>
  <si>
    <t>2.0.1 transposition; autograph follows pattern of 7:44 (τοις δακρισιν εβρεξεν μου τους ποδας); apograph disharmonizes</t>
  </si>
  <si>
    <t>autograph reflects wording of phrase earlier in verse (ος γαρ αν εχη δοθησεται αυτω); apograph disharmonizes</t>
  </si>
  <si>
    <t>apograph follows wording of command in 8:29 (εξελθε απο του ανθρωπου); apograph harmonizes</t>
  </si>
  <si>
    <t>1.0.1 transposition; autograph follows wording of 9:59 (ο δε ειπεν επιτρεψον μοι πρωτον απελθοντα θαψαι); apograph disharmonizes</t>
  </si>
  <si>
    <t>B.10.3 = ην δ αν; 1.0.1 transposition; apograph follows wording in 10:9 (εις ην δ αν πολιν εισελθητε); apograph harmonizes</t>
  </si>
  <si>
    <t>autograph follows wording in 10:9 (εις ην δ αν πολιν εισελθητε); apograph disharmonizes</t>
  </si>
  <si>
    <t>autograph follows wording o 13:5 (εαν μη μετανοησηται παντες ομοιως απολεισθαι; note that Bezae commonly uses -αι endings for -ε); apograph disharmonizes</t>
  </si>
  <si>
    <t>apograph closer to wording of 13:3 (λεγω υμειν αλλα εαν μη μετανοησητε); apograph harmonizes</t>
  </si>
  <si>
    <t>autograph follows wording of 13:18 (τινι ομοιωσω αυτην ομοια εστιν); apograph disharmonizes</t>
  </si>
  <si>
    <t>autograph follows wording in 13:30 (εν τη βασιλεια του θεου); apograph disharmonizes</t>
  </si>
  <si>
    <t>autograph follows wording from 15:19 (και ενωπιον σου ουκετι ειμι αξιος); apograph disharmonizes</t>
  </si>
  <si>
    <t>autograph reading follows wording of 23:19 (βεβλημενος εις φυλακην); apograph disharmonizes</t>
  </si>
  <si>
    <t>1.0.1 transposition; apograph reading follows wording later in verse (ειπας οτι ανδρα ουκ εχεις); apograph disharmonizes</t>
  </si>
  <si>
    <t>autograph follows wording in 4:50,53 (ο υιος σου ζη); apograph disharmonizes</t>
  </si>
  <si>
    <t>autograph follows wording of 5:41 (δοξαν παρα ανθρωπων ου λαμβανω); apograph disharmonizes</t>
  </si>
  <si>
    <t>autograph follows wording from 6:38 (το θελημα του πεμψαντος με πατρος); apograph disharmonizes</t>
  </si>
  <si>
    <t>autograph follows wording in 6:39,44 (αναστησω αυτο(ν) εν τη εσχατη ημερα); apograph disharmonizes</t>
  </si>
  <si>
    <t>autograph closer to wording of 6:51 (ο αρτος ο εκ του ουρανου); apograph disharmonizes</t>
  </si>
  <si>
    <t>1.0.1 transposition; apograph closer to wording later in verse (τινες εισιν οι μη πιστευοντες); apograph harmonizes</t>
  </si>
  <si>
    <t>autograph more closely follows wording of 7:22 (εδωκεν υμειν μωυσης την περιτομην); apograph disharmonizes</t>
  </si>
  <si>
    <r>
      <t xml:space="preserve">υμεις </t>
    </r>
    <r>
      <rPr>
        <b/>
        <sz val="11"/>
        <color theme="1"/>
        <rFont val="Calibri"/>
        <family val="2"/>
        <scheme val="minor"/>
      </rPr>
      <t>ουκ</t>
    </r>
    <r>
      <rPr>
        <sz val="11"/>
        <color theme="1"/>
        <rFont val="Calibri"/>
        <family val="2"/>
        <scheme val="minor"/>
      </rPr>
      <t xml:space="preserve"> οιδατε (29) εγω δε</t>
    </r>
  </si>
  <si>
    <r>
      <t xml:space="preserve">υμεις ουκ </t>
    </r>
    <r>
      <rPr>
        <b/>
        <sz val="11"/>
        <color theme="1"/>
        <rFont val="Calibri"/>
        <family val="2"/>
        <scheme val="minor"/>
      </rPr>
      <t>οιδατε</t>
    </r>
    <r>
      <rPr>
        <sz val="11"/>
        <color theme="1"/>
        <rFont val="Calibri"/>
        <family val="2"/>
        <scheme val="minor"/>
      </rPr>
      <t xml:space="preserve"> (29) εγω δε</t>
    </r>
  </si>
  <si>
    <r>
      <t xml:space="preserve">υμεις </t>
    </r>
    <r>
      <rPr>
        <b/>
        <sz val="11"/>
        <color theme="1"/>
        <rFont val="Calibri"/>
        <family val="2"/>
        <scheme val="minor"/>
      </rPr>
      <t>ουδατε</t>
    </r>
    <r>
      <rPr>
        <sz val="11"/>
        <color theme="1"/>
        <rFont val="Calibri"/>
        <family val="2"/>
        <scheme val="minor"/>
      </rPr>
      <t xml:space="preserve"> (29) εγω δε</t>
    </r>
  </si>
  <si>
    <t>autograph follows wording from 7:40 (ελεγον οτι ουτος εστιν αληθως ο προφητης); apograph disharmonizes</t>
  </si>
  <si>
    <t>autograph follows wording of 8:6 (ιης κατω κυψας τω δακτυλω κατεγραφεν εις την γην); apograph disharmonizes</t>
  </si>
  <si>
    <t>autograph follows wording from 8:14 (απεκρειθη ο ιης και ειπεν αυτοις); apograph disharmonizes</t>
  </si>
  <si>
    <t>apograph follows more closely 8:12,28 (ειπεν ουν αυτοις παλιν ο ιης); apograph harmonizes</t>
  </si>
  <si>
    <t>Bezae corrects εις τον κοσμον -&gt; εις τουτον τον κοσμον; autograph follows wording in 8:38 (α ωρακα παρα τω πατρι μου ταυτα λαλω); apograph disharmonizes</t>
  </si>
  <si>
    <t>apograph follows wording from phrase later in verse (α εωρακατε παρα τω πατρι υμων ταυτα ποιειτε); apograph harmonizes</t>
  </si>
  <si>
    <t>augograph follows wording later in verse and in 8:26 (α εωρακατε παρα τω πατρι); apograph disharmonizes</t>
  </si>
  <si>
    <t>apograph matches form used in 9:10 (ειπον ουν αυτω); apograph harmonizes</t>
  </si>
  <si>
    <t>apograph follows wording of 9:31 (οτι ο θς αμαρτωλων ουκ ακουει); apograph harmonizes</t>
  </si>
  <si>
    <t>apograph more closely follows wording of 10:11 (την ψυχην αυτου διδωσιν υπερ των προβατων); apograph harmonizes</t>
  </si>
  <si>
    <t>3.0.1 transposition; autograph more closely follows word order of 11:32 (ουκ αν μου ο αδελφος απεθανεν); apograph disharmonizes</t>
  </si>
  <si>
    <t>1.0.1 transposition; autograph follows word order later in verse (εαν τις εμοι διακονη τειμησει); apograph disharmonizes</t>
  </si>
  <si>
    <t>autograph follows wording of 13:8 (λεγει αυτω πετρος κε ου μη); apograph disharmonizes</t>
  </si>
  <si>
    <t>Bezae corrects to ειχον, Β.10.3 follows; autograph follows wording of 15:22 (ει μη ηλθον ... αμαρτιαν ουκ ειχαν νυν δε); apograph disharmonizes</t>
  </si>
  <si>
    <t>freq = κοσομος; autograph follows wording from 17:11 (οτε ημην μετ αυτων εγω ετηρουν αυτους); apograph disharmonizes</t>
  </si>
  <si>
    <t>apograph follows wording of 21:22 (εαν αυτον θελω μενειν ουτως εως ερχομαι τι προς σε); apograph harmonizes</t>
  </si>
  <si>
    <r>
      <t xml:space="preserve">δε </t>
    </r>
    <r>
      <rPr>
        <b/>
        <sz val="11"/>
        <color theme="1"/>
        <rFont val="Calibri"/>
        <family val="2"/>
        <scheme val="minor"/>
      </rPr>
      <t>διεχλευαζον</t>
    </r>
    <r>
      <rPr>
        <sz val="11"/>
        <color theme="1"/>
        <rFont val="Calibri"/>
        <family val="2"/>
        <scheme val="minor"/>
      </rPr>
      <t xml:space="preserve"> λεγοντες οτι</t>
    </r>
  </si>
  <si>
    <r>
      <t xml:space="preserve">δε </t>
    </r>
    <r>
      <rPr>
        <b/>
        <sz val="11"/>
        <color theme="1"/>
        <rFont val="Calibri"/>
        <family val="2"/>
        <scheme val="minor"/>
      </rPr>
      <t>διαχλυαζοντες</t>
    </r>
    <r>
      <rPr>
        <sz val="11"/>
        <color theme="1"/>
        <rFont val="Calibri"/>
        <family val="2"/>
        <scheme val="minor"/>
      </rPr>
      <t xml:space="preserve"> ελεγον οτι</t>
    </r>
  </si>
  <si>
    <r>
      <t xml:space="preserve">δε διεχλευαζον </t>
    </r>
    <r>
      <rPr>
        <b/>
        <sz val="11"/>
        <color theme="1"/>
        <rFont val="Calibri"/>
        <family val="2"/>
        <scheme val="minor"/>
      </rPr>
      <t>λεγοντες</t>
    </r>
    <r>
      <rPr>
        <sz val="11"/>
        <color theme="1"/>
        <rFont val="Calibri"/>
        <family val="2"/>
        <scheme val="minor"/>
      </rPr>
      <t xml:space="preserve"> οτι</t>
    </r>
  </si>
  <si>
    <r>
      <t xml:space="preserve">δε διαχλυαζοντες </t>
    </r>
    <r>
      <rPr>
        <b/>
        <sz val="11"/>
        <color theme="1"/>
        <rFont val="Calibri"/>
        <family val="2"/>
        <scheme val="minor"/>
      </rPr>
      <t>ελεγον</t>
    </r>
    <r>
      <rPr>
        <sz val="11"/>
        <color theme="1"/>
        <rFont val="Calibri"/>
        <family val="2"/>
        <scheme val="minor"/>
      </rPr>
      <t xml:space="preserve"> οτι</t>
    </r>
  </si>
  <si>
    <t>ουρανον ο δεδομενον</t>
  </si>
  <si>
    <t>ουρανον δεδομενον</t>
  </si>
  <si>
    <t>καιλευσαντες αυτους</t>
  </si>
  <si>
    <r>
      <rPr>
        <b/>
        <sz val="11"/>
        <color theme="1"/>
        <rFont val="Calibri"/>
        <family val="2"/>
        <scheme val="minor"/>
      </rPr>
      <t>καιλευσαντες</t>
    </r>
    <r>
      <rPr>
        <sz val="11"/>
        <color theme="1"/>
        <rFont val="Calibri"/>
        <family val="2"/>
        <scheme val="minor"/>
      </rPr>
      <t xml:space="preserve"> αυτους</t>
    </r>
  </si>
  <si>
    <r>
      <rPr>
        <b/>
        <sz val="11"/>
        <color theme="1"/>
        <rFont val="Calibri"/>
        <family val="2"/>
        <scheme val="minor"/>
      </rPr>
      <t>κελευσαντες</t>
    </r>
    <r>
      <rPr>
        <sz val="11"/>
        <color theme="1"/>
        <rFont val="Calibri"/>
        <family val="2"/>
        <scheme val="minor"/>
      </rPr>
      <t xml:space="preserve"> δε αυτους</t>
    </r>
  </si>
  <si>
    <r>
      <t xml:space="preserve">κελευσαντες </t>
    </r>
    <r>
      <rPr>
        <b/>
        <sz val="11"/>
        <color theme="1"/>
        <rFont val="Calibri"/>
        <family val="2"/>
        <scheme val="minor"/>
      </rPr>
      <t>δε</t>
    </r>
    <r>
      <rPr>
        <sz val="11"/>
        <color theme="1"/>
        <rFont val="Calibri"/>
        <family val="2"/>
        <scheme val="minor"/>
      </rPr>
      <t xml:space="preserve"> αυτους</t>
    </r>
  </si>
  <si>
    <t>μ ην ο ανθρωπος</t>
  </si>
  <si>
    <t>μ ο ανθρωπος</t>
  </si>
  <si>
    <t>autograph follows wording of 7:27 (τις σε κατεστησεν αρχοντα και δικαστην εφ ημας); apograph disharmonizes</t>
  </si>
  <si>
    <r>
      <rPr>
        <b/>
        <sz val="11"/>
        <color theme="1"/>
        <rFont val="Calibri"/>
        <family val="2"/>
        <scheme val="minor"/>
      </rPr>
      <t>εκραξεν</t>
    </r>
    <r>
      <rPr>
        <sz val="11"/>
        <color theme="1"/>
        <rFont val="Calibri"/>
        <family val="2"/>
        <scheme val="minor"/>
      </rPr>
      <t xml:space="preserve"> φωνην μεγαλην λεγων</t>
    </r>
  </si>
  <si>
    <r>
      <rPr>
        <b/>
        <sz val="11"/>
        <color theme="1"/>
        <rFont val="Calibri"/>
        <family val="2"/>
        <scheme val="minor"/>
      </rPr>
      <t>εκραξε</t>
    </r>
    <r>
      <rPr>
        <sz val="11"/>
        <color theme="1"/>
        <rFont val="Calibri"/>
        <family val="2"/>
        <scheme val="minor"/>
      </rPr>
      <t xml:space="preserve"> φωνη μεγαλη λεγων</t>
    </r>
  </si>
  <si>
    <r>
      <t xml:space="preserve">εκραξεν </t>
    </r>
    <r>
      <rPr>
        <b/>
        <sz val="11"/>
        <color theme="1"/>
        <rFont val="Calibri"/>
        <family val="2"/>
        <scheme val="minor"/>
      </rPr>
      <t>φωνην μεγαλην</t>
    </r>
    <r>
      <rPr>
        <sz val="11"/>
        <color theme="1"/>
        <rFont val="Calibri"/>
        <family val="2"/>
        <scheme val="minor"/>
      </rPr>
      <t xml:space="preserve"> λεγων</t>
    </r>
  </si>
  <si>
    <r>
      <t xml:space="preserve">εκραξε </t>
    </r>
    <r>
      <rPr>
        <b/>
        <sz val="11"/>
        <color theme="1"/>
        <rFont val="Calibri"/>
        <family val="2"/>
        <scheme val="minor"/>
      </rPr>
      <t>φωνη μεγαλη</t>
    </r>
    <r>
      <rPr>
        <sz val="11"/>
        <color theme="1"/>
        <rFont val="Calibri"/>
        <family val="2"/>
        <scheme val="minor"/>
      </rPr>
      <t xml:space="preserve"> λεγων</t>
    </r>
  </si>
  <si>
    <t>apograph closer to pattern in 7:57 (κραξαντες δε φωνη μεγαλη); apograph harmonizes</t>
  </si>
  <si>
    <t>προσκυνησων ιερουσαλημ</t>
  </si>
  <si>
    <t>προσκυνησων εις ιερουσαλημ</t>
  </si>
  <si>
    <t>taking autograph reading as εμου (assuming orthographic shift)</t>
  </si>
  <si>
    <t>not counting as disharmonizing since same change occurs in v. 34</t>
  </si>
  <si>
    <t>apograph closer to wording of 20:21 (διαμαρτυρουμενος ιουδαιοις τε και ελλησιν); apograph harmonizes</t>
  </si>
  <si>
    <t>Contraction</t>
  </si>
  <si>
    <t>AltForm</t>
  </si>
  <si>
    <t>ει-ε</t>
  </si>
  <si>
    <t>SimGem</t>
  </si>
  <si>
    <t>ε-αι; αι-ε</t>
  </si>
  <si>
    <t>AspChan</t>
  </si>
  <si>
    <t>η-ε; ι-ει</t>
  </si>
  <si>
    <t>NasAssim</t>
  </si>
  <si>
    <t>ε-ει; ει-ε</t>
  </si>
  <si>
    <t>ει-ι; AspChan</t>
  </si>
  <si>
    <t>AspChan; SimGem</t>
  </si>
  <si>
    <t>SimGem; ε-η</t>
  </si>
  <si>
    <t>SimGem; η-ε</t>
  </si>
  <si>
    <t>NasAssim; SimGem</t>
  </si>
  <si>
    <t>ο-ω; SimGem</t>
  </si>
  <si>
    <t>ζητουντες αφορμην τινα λαβειν αυτου ινα ευρωσιν κατηγορησαι αυτου</t>
  </si>
  <si>
    <t>ζητουντες θερευσαι τι εκ του στοματος αυτου ινα κατηγορηωσιν αυτον</t>
  </si>
  <si>
    <r>
      <t xml:space="preserve">ζητουντες </t>
    </r>
    <r>
      <rPr>
        <b/>
        <sz val="11"/>
        <color theme="1"/>
        <rFont val="Calibri"/>
        <family val="2"/>
        <scheme val="minor"/>
      </rPr>
      <t>αφορμην</t>
    </r>
    <r>
      <rPr>
        <sz val="11"/>
        <color theme="1"/>
        <rFont val="Calibri"/>
        <family val="2"/>
        <scheme val="minor"/>
      </rPr>
      <t xml:space="preserve"> τινα λαβειν αυτου ινα ευρωσιν κατηγορησαι αυτου</t>
    </r>
  </si>
  <si>
    <r>
      <t xml:space="preserve">ζητουντες </t>
    </r>
    <r>
      <rPr>
        <b/>
        <sz val="11"/>
        <color theme="1"/>
        <rFont val="Calibri"/>
        <family val="2"/>
        <scheme val="minor"/>
      </rPr>
      <t>θερευσαι τι</t>
    </r>
    <r>
      <rPr>
        <sz val="11"/>
        <color theme="1"/>
        <rFont val="Calibri"/>
        <family val="2"/>
        <scheme val="minor"/>
      </rPr>
      <t xml:space="preserve"> εκ του στοματος αυτου ινα κατηγορηωσιν αυτον</t>
    </r>
  </si>
  <si>
    <r>
      <t xml:space="preserve">ζητουντες αφορμην </t>
    </r>
    <r>
      <rPr>
        <b/>
        <sz val="11"/>
        <color theme="1"/>
        <rFont val="Calibri"/>
        <family val="2"/>
        <scheme val="minor"/>
      </rPr>
      <t>τινα λαβειν</t>
    </r>
    <r>
      <rPr>
        <sz val="11"/>
        <color theme="1"/>
        <rFont val="Calibri"/>
        <family val="2"/>
        <scheme val="minor"/>
      </rPr>
      <t xml:space="preserve"> αυτου ινα ευρωσιν κατηγορησαι αυτου</t>
    </r>
  </si>
  <si>
    <r>
      <t xml:space="preserve">ζητουντες θερευσαι </t>
    </r>
    <r>
      <rPr>
        <b/>
        <sz val="11"/>
        <color theme="1"/>
        <rFont val="Calibri"/>
        <family val="2"/>
        <scheme val="minor"/>
      </rPr>
      <t>τι</t>
    </r>
    <r>
      <rPr>
        <sz val="11"/>
        <color theme="1"/>
        <rFont val="Calibri"/>
        <family val="2"/>
        <scheme val="minor"/>
      </rPr>
      <t xml:space="preserve"> εκ του στοματος αυτου ινα κατηγορηωσιν αυτον</t>
    </r>
  </si>
  <si>
    <r>
      <t xml:space="preserve">ζητουντες αφορμην </t>
    </r>
    <r>
      <rPr>
        <b/>
        <sz val="11"/>
        <color theme="1"/>
        <rFont val="Calibri"/>
        <family val="2"/>
        <scheme val="minor"/>
      </rPr>
      <t>τινα</t>
    </r>
    <r>
      <rPr>
        <sz val="11"/>
        <color theme="1"/>
        <rFont val="Calibri"/>
        <family val="2"/>
        <scheme val="minor"/>
      </rPr>
      <t xml:space="preserve"> λαβειν αυτου ινα ευρωσιν κατηγορησαι αυτου</t>
    </r>
  </si>
  <si>
    <t>Not counting since connected to removal of αφορμην</t>
  </si>
  <si>
    <r>
      <t xml:space="preserve">ζητουντες θερευσαι τι </t>
    </r>
    <r>
      <rPr>
        <b/>
        <sz val="11"/>
        <color theme="1"/>
        <rFont val="Calibri"/>
        <family val="2"/>
        <scheme val="minor"/>
      </rPr>
      <t>εκ του στοματος</t>
    </r>
    <r>
      <rPr>
        <sz val="11"/>
        <color theme="1"/>
        <rFont val="Calibri"/>
        <family val="2"/>
        <scheme val="minor"/>
      </rPr>
      <t xml:space="preserve"> αυτου ινα κατηγορηωσιν αυτον</t>
    </r>
  </si>
  <si>
    <t>Dependent variant</t>
  </si>
  <si>
    <r>
      <t xml:space="preserve">ζητουντες αφορμην τινα </t>
    </r>
    <r>
      <rPr>
        <b/>
        <sz val="11"/>
        <color theme="1"/>
        <rFont val="Calibri"/>
        <family val="2"/>
        <scheme val="minor"/>
      </rPr>
      <t>λαβειν</t>
    </r>
    <r>
      <rPr>
        <sz val="11"/>
        <color theme="1"/>
        <rFont val="Calibri"/>
        <family val="2"/>
        <scheme val="minor"/>
      </rPr>
      <t xml:space="preserve"> αυτου ινα ευρωσιν κατηγορησαι αυτου</t>
    </r>
  </si>
  <si>
    <r>
      <t xml:space="preserve">ζητουντες </t>
    </r>
    <r>
      <rPr>
        <b/>
        <sz val="11"/>
        <color theme="1"/>
        <rFont val="Calibri"/>
        <family val="2"/>
        <scheme val="minor"/>
      </rPr>
      <t>θερευσαι</t>
    </r>
    <r>
      <rPr>
        <sz val="11"/>
        <color theme="1"/>
        <rFont val="Calibri"/>
        <family val="2"/>
        <scheme val="minor"/>
      </rPr>
      <t xml:space="preserve"> τι εκ του στοματος αυτου ινα κατηγορηωσιν αυτον</t>
    </r>
  </si>
  <si>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</si>
  <si>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</si>
  <si>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</si>
  <si>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</si>
  <si>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</si>
  <si>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</si>
  <si>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</si>
  <si>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</si>
  <si>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</si>
  <si>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</si>
  <si>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</si>
  <si>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</si>
  <si>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</si>
  <si>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</si>
  <si>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</si>
  <si>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</si>
  <si>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</si>
  <si>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</si>
  <si>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</si>
  <si>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Add ratio diff.</t>
  </si>
  <si>
    <t>Add Ratio</t>
  </si>
  <si>
    <t>Cues Abs.</t>
  </si>
  <si>
    <t>Cues Pres.</t>
  </si>
  <si>
    <t>Non-ditt.</t>
  </si>
  <si>
    <t>Ditt.</t>
  </si>
  <si>
    <t>2-3</t>
  </si>
  <si>
    <t>4+</t>
  </si>
  <si>
    <t>&gt;=5</t>
  </si>
  <si>
    <t>Words in corpus (Matt - Acts)</t>
  </si>
  <si>
    <t>SUB_Aut_Freq</t>
  </si>
  <si>
    <t>SUB_Apog_Freq</t>
  </si>
  <si>
    <t/>
  </si>
  <si>
    <t>Freq-per-10000</t>
  </si>
  <si>
    <t>Med-word-freq</t>
  </si>
  <si>
    <t>HF-adds</t>
  </si>
  <si>
    <t>HF-omits</t>
  </si>
  <si>
    <t>HF-add-ratio</t>
  </si>
  <si>
    <t>LF-adds</t>
  </si>
  <si>
    <t>LF-omits</t>
  </si>
  <si>
    <t>LF-add-ratio</t>
  </si>
  <si>
    <t>art-adds</t>
  </si>
  <si>
    <t>art-omits</t>
  </si>
  <si>
    <t>art-add-rate</t>
  </si>
  <si>
    <t>once again, picking up both articles and και</t>
  </si>
  <si>
    <t>pos</t>
  </si>
  <si>
    <t>neg</t>
  </si>
  <si>
    <t>p =</t>
  </si>
  <si>
    <t>avg_diff</t>
  </si>
  <si>
    <t>stdv</t>
  </si>
  <si>
    <t>avg_P10K_diff</t>
  </si>
  <si>
    <t>P10K_stdv</t>
  </si>
  <si>
    <t>Aut_P10K_Freq</t>
  </si>
  <si>
    <t>Apog_P10K_Freq</t>
  </si>
  <si>
    <t>P10K_Freq_Diff</t>
  </si>
  <si>
    <t>AddRatioDiff</t>
  </si>
  <si>
    <t>total_subs</t>
  </si>
  <si>
    <t>std_dev</t>
  </si>
  <si>
    <t>Harmonizations</t>
  </si>
  <si>
    <t>Disharmonizations</t>
  </si>
  <si>
    <t>Harm_Ratio</t>
  </si>
  <si>
    <t>Words copied</t>
  </si>
  <si>
    <t>Raw Errors</t>
  </si>
  <si>
    <t>Variants</t>
  </si>
  <si>
    <t>Raw PKW Error Rate</t>
  </si>
  <si>
    <t>PKW Meaningful Error Rate</t>
  </si>
  <si>
    <t>Pseudo-singular</t>
  </si>
  <si>
    <t>Crit-text-relation</t>
  </si>
  <si>
    <t>Non-deviating variant</t>
  </si>
  <si>
    <t>Deviating variant</t>
  </si>
  <si>
    <t>Deviating non-variant</t>
  </si>
  <si>
    <t>Deviating variant (type change)</t>
  </si>
  <si>
    <t>τουτων ελαχιστων</t>
  </si>
  <si>
    <t>Correction Readings Followed</t>
  </si>
  <si>
    <t>% Yes</t>
  </si>
  <si>
    <t>Variant Corrected</t>
  </si>
  <si>
    <t>Count</t>
  </si>
  <si>
    <t>% of Variants</t>
  </si>
  <si>
    <t>Proportion of "Corrections"</t>
  </si>
  <si>
    <t>Partially</t>
  </si>
  <si>
    <t>To Other Variant</t>
  </si>
  <si>
    <r>
      <rPr>
        <b/>
        <sz val="11"/>
        <color theme="1"/>
        <rFont val="Calibri"/>
        <family val="2"/>
        <scheme val="minor"/>
      </rPr>
      <t>λημψονται</t>
    </r>
    <r>
      <rPr>
        <sz val="11"/>
        <color theme="1"/>
        <rFont val="Calibri"/>
        <family val="2"/>
        <scheme val="minor"/>
      </rPr>
      <t xml:space="preserve"> ελαβον</t>
    </r>
  </si>
  <si>
    <r>
      <rPr>
        <b/>
        <sz val="11"/>
        <color theme="1"/>
        <rFont val="Calibri"/>
        <family val="2"/>
        <scheme val="minor"/>
      </rPr>
      <t>ληψονται</t>
    </r>
    <r>
      <rPr>
        <sz val="11"/>
        <color theme="1"/>
        <rFont val="Calibri"/>
        <family val="2"/>
        <scheme val="minor"/>
      </rPr>
      <t xml:space="preserve"> και ελαβον</t>
    </r>
  </si>
  <si>
    <r>
      <t xml:space="preserve">ληψονται </t>
    </r>
    <r>
      <rPr>
        <b/>
        <sz val="11"/>
        <color theme="1"/>
        <rFont val="Calibri"/>
        <family val="2"/>
        <scheme val="minor"/>
      </rPr>
      <t>και</t>
    </r>
    <r>
      <rPr>
        <sz val="11"/>
        <color theme="1"/>
        <rFont val="Calibri"/>
        <family val="2"/>
        <scheme val="minor"/>
      </rPr>
      <t xml:space="preserve"> ελαβον</t>
    </r>
  </si>
  <si>
    <r>
      <t xml:space="preserve">και </t>
    </r>
    <r>
      <rPr>
        <b/>
        <sz val="11"/>
        <color theme="1"/>
        <rFont val="Calibri"/>
        <family val="2"/>
        <scheme val="minor"/>
      </rPr>
      <t>οτε</t>
    </r>
    <r>
      <rPr>
        <sz val="11"/>
        <color theme="1"/>
        <rFont val="Calibri"/>
        <family val="2"/>
        <scheme val="minor"/>
      </rPr>
      <t xml:space="preserve"> ευρον αυτον</t>
    </r>
  </si>
  <si>
    <r>
      <t xml:space="preserve">και οτε </t>
    </r>
    <r>
      <rPr>
        <b/>
        <sz val="11"/>
        <color theme="1"/>
        <rFont val="Calibri"/>
        <family val="2"/>
        <scheme val="minor"/>
      </rPr>
      <t>ευρον</t>
    </r>
    <r>
      <rPr>
        <sz val="11"/>
        <color theme="1"/>
        <rFont val="Calibri"/>
        <family val="2"/>
        <scheme val="minor"/>
      </rPr>
      <t xml:space="preserve"> αυτον</t>
    </r>
  </si>
  <si>
    <r>
      <t xml:space="preserve">και </t>
    </r>
    <r>
      <rPr>
        <b/>
        <sz val="11"/>
        <color theme="1"/>
        <rFont val="Calibri"/>
        <family val="2"/>
        <scheme val="minor"/>
      </rPr>
      <t>ευροντες</t>
    </r>
    <r>
      <rPr>
        <sz val="11"/>
        <color theme="1"/>
        <rFont val="Calibri"/>
        <family val="2"/>
        <scheme val="minor"/>
      </rPr>
      <t xml:space="preserve"> αυτον</t>
    </r>
  </si>
  <si>
    <r>
      <t>καλειτε βηθλεεμ (5) απογραφεσθαι …</t>
    </r>
    <r>
      <rPr>
        <b/>
        <sz val="11"/>
        <color theme="1"/>
        <rFont val="Calibri"/>
        <family val="2"/>
        <scheme val="minor"/>
      </rPr>
      <t xml:space="preserve"> δια το ειναι αυτον εξ οικου και πατριας δαυειδ</t>
    </r>
  </si>
  <si>
    <t>treating το in apograph as dependent on surrounding variant</t>
  </si>
  <si>
    <t>Diff.:</t>
  </si>
  <si>
    <t>τουτων των ελαχιστων</t>
  </si>
  <si>
    <t>λαλουντας και κυλλους</t>
  </si>
  <si>
    <t>λαλουντας κυλλους</t>
  </si>
  <si>
    <r>
      <t xml:space="preserve">εαν </t>
    </r>
    <r>
      <rPr>
        <b/>
        <sz val="11"/>
        <color theme="1"/>
        <rFont val="Calibri"/>
        <family val="2"/>
        <scheme val="minor"/>
      </rPr>
      <t>συνφωνησουσιν εξ υμων</t>
    </r>
    <r>
      <rPr>
        <sz val="11"/>
        <color theme="1"/>
        <rFont val="Calibri"/>
        <family val="2"/>
        <scheme val="minor"/>
      </rPr>
      <t xml:space="preserve"> επι της γης</t>
    </r>
  </si>
  <si>
    <r>
      <t xml:space="preserve">εαν </t>
    </r>
    <r>
      <rPr>
        <b/>
        <sz val="11"/>
        <color theme="1"/>
        <rFont val="Calibri"/>
        <family val="2"/>
        <scheme val="minor"/>
      </rPr>
      <t>συνφωνησουσιν</t>
    </r>
    <r>
      <rPr>
        <sz val="11"/>
        <color theme="1"/>
        <rFont val="Calibri"/>
        <family val="2"/>
        <scheme val="minor"/>
      </rPr>
      <t xml:space="preserve"> εξ υμων επι της γης</t>
    </r>
  </si>
  <si>
    <r>
      <t xml:space="preserve">εαν συνφωνησουσιν </t>
    </r>
    <r>
      <rPr>
        <b/>
        <sz val="11"/>
        <color theme="1"/>
        <rFont val="Calibri"/>
        <family val="2"/>
        <scheme val="minor"/>
      </rPr>
      <t>εξ</t>
    </r>
    <r>
      <rPr>
        <sz val="11"/>
        <color theme="1"/>
        <rFont val="Calibri"/>
        <family val="2"/>
        <scheme val="minor"/>
      </rPr>
      <t xml:space="preserve"> υμων επι της γης</t>
    </r>
  </si>
  <si>
    <t>αυτων εχει χρειαν και</t>
  </si>
  <si>
    <t>αυτων χρειαν εχει και</t>
  </si>
  <si>
    <t>το δε αυτοι και οι λησται</t>
  </si>
  <si>
    <t>μνημιων μετα την εγερσιν</t>
  </si>
  <si>
    <t>η βαβασιλεια</t>
  </si>
  <si>
    <t>η βασιλεια</t>
  </si>
  <si>
    <r>
      <t xml:space="preserve">σπειρων </t>
    </r>
    <r>
      <rPr>
        <b/>
        <sz val="11"/>
        <color theme="1"/>
        <rFont val="Calibri"/>
        <family val="2"/>
        <scheme val="minor"/>
      </rPr>
      <t>του σπειραι</t>
    </r>
    <r>
      <rPr>
        <sz val="11"/>
        <color theme="1"/>
        <rFont val="Calibri"/>
        <family val="2"/>
        <scheme val="minor"/>
      </rPr>
      <t xml:space="preserve"> (4) και εγενετο εν τω σπειρειν ο μεν επεσεν</t>
    </r>
  </si>
  <si>
    <r>
      <t xml:space="preserve">σπειρων του σπειραι (4) και </t>
    </r>
    <r>
      <rPr>
        <b/>
        <sz val="11"/>
        <color theme="1"/>
        <rFont val="Calibri"/>
        <family val="2"/>
        <scheme val="minor"/>
      </rPr>
      <t>εγενετο</t>
    </r>
    <r>
      <rPr>
        <sz val="11"/>
        <color theme="1"/>
        <rFont val="Calibri"/>
        <family val="2"/>
        <scheme val="minor"/>
      </rPr>
      <t xml:space="preserve"> εν τω σπειρειν ο μεν</t>
    </r>
  </si>
  <si>
    <r>
      <t xml:space="preserve">σπειρων σπειραι (4) και εγενετο εν τω </t>
    </r>
    <r>
      <rPr>
        <b/>
        <sz val="11"/>
        <color theme="1"/>
        <rFont val="Calibri"/>
        <family val="2"/>
        <scheme val="minor"/>
      </rPr>
      <t>σπειρειν</t>
    </r>
    <r>
      <rPr>
        <sz val="11"/>
        <color theme="1"/>
        <rFont val="Calibri"/>
        <family val="2"/>
        <scheme val="minor"/>
      </rPr>
      <t xml:space="preserve"> ο μεν</t>
    </r>
  </si>
  <si>
    <t>σπειρων του σπειραι (4) και εγενετο εν τω σπειρειν ο μεν</t>
  </si>
  <si>
    <t>σπειρων (4) και εν τω τ σπειραι ο μεν</t>
  </si>
  <si>
    <r>
      <t xml:space="preserve">σπειρων (4) και εν τω </t>
    </r>
    <r>
      <rPr>
        <b/>
        <sz val="11"/>
        <color theme="1"/>
        <rFont val="Calibri"/>
        <family val="2"/>
        <scheme val="minor"/>
      </rPr>
      <t>τ</t>
    </r>
    <r>
      <rPr>
        <sz val="11"/>
        <color theme="1"/>
        <rFont val="Calibri"/>
        <family val="2"/>
        <scheme val="minor"/>
      </rPr>
      <t xml:space="preserve"> σπειραι ο μεν</t>
    </r>
  </si>
  <si>
    <r>
      <t xml:space="preserve">σπειρων (4) και εν τω τ </t>
    </r>
    <r>
      <rPr>
        <b/>
        <sz val="11"/>
        <color theme="1"/>
        <rFont val="Calibri"/>
        <family val="2"/>
        <scheme val="minor"/>
      </rPr>
      <t>σπειραι</t>
    </r>
    <r>
      <rPr>
        <sz val="11"/>
        <color theme="1"/>
        <rFont val="Calibri"/>
        <family val="2"/>
        <scheme val="minor"/>
      </rPr>
      <t xml:space="preserve"> ο μεν</t>
    </r>
  </si>
  <si>
    <r>
      <t xml:space="preserve">αφηκεν </t>
    </r>
    <r>
      <rPr>
        <b/>
        <sz val="11"/>
        <color theme="1"/>
        <rFont val="Calibri"/>
        <family val="2"/>
        <scheme val="minor"/>
      </rPr>
      <t>ουδε ενα</t>
    </r>
    <r>
      <rPr>
        <sz val="11"/>
        <color theme="1"/>
        <rFont val="Calibri"/>
        <family val="2"/>
        <scheme val="minor"/>
      </rPr>
      <t xml:space="preserve"> παρακολουθησαι αυτω</t>
    </r>
  </si>
  <si>
    <r>
      <t xml:space="preserve">αφηκεν ουδε ενα </t>
    </r>
    <r>
      <rPr>
        <b/>
        <sz val="11"/>
        <color theme="1"/>
        <rFont val="Calibri"/>
        <family val="2"/>
        <scheme val="minor"/>
      </rPr>
      <t>παρακολουθησαι αυτω</t>
    </r>
  </si>
  <si>
    <r>
      <t xml:space="preserve">αφηκεν ουδενα </t>
    </r>
    <r>
      <rPr>
        <b/>
        <sz val="11"/>
        <color theme="1"/>
        <rFont val="Calibri"/>
        <family val="2"/>
        <scheme val="minor"/>
      </rPr>
      <t>αυτω παρακολουθησαι</t>
    </r>
  </si>
  <si>
    <r>
      <t xml:space="preserve">αφηκεν </t>
    </r>
    <r>
      <rPr>
        <b/>
        <sz val="11"/>
        <color theme="1"/>
        <rFont val="Calibri"/>
        <family val="2"/>
        <scheme val="minor"/>
      </rPr>
      <t>ουδενα</t>
    </r>
    <r>
      <rPr>
        <sz val="11"/>
        <color theme="1"/>
        <rFont val="Calibri"/>
        <family val="2"/>
        <scheme val="minor"/>
      </rPr>
      <t xml:space="preserve"> αυτω παρακολουθησαι</t>
    </r>
  </si>
  <si>
    <r>
      <rPr>
        <b/>
        <sz val="11"/>
        <color theme="1"/>
        <rFont val="Calibri"/>
        <family val="2"/>
        <scheme val="minor"/>
      </rPr>
      <t>περιεκειτο</t>
    </r>
    <r>
      <rPr>
        <sz val="11"/>
        <color theme="1"/>
        <rFont val="Calibri"/>
        <family val="2"/>
        <scheme val="minor"/>
      </rPr>
      <t xml:space="preserve"> μυλος ονικος επι</t>
    </r>
  </si>
  <si>
    <r>
      <t xml:space="preserve">περιεκειτο </t>
    </r>
    <r>
      <rPr>
        <b/>
        <sz val="11"/>
        <color theme="1"/>
        <rFont val="Calibri"/>
        <family val="2"/>
        <scheme val="minor"/>
      </rPr>
      <t>μυλος ονικος</t>
    </r>
    <r>
      <rPr>
        <sz val="11"/>
        <color theme="1"/>
        <rFont val="Calibri"/>
        <family val="2"/>
        <scheme val="minor"/>
      </rPr>
      <t xml:space="preserve"> επι</t>
    </r>
  </si>
  <si>
    <t>τρυμαλιδος ραφιδος</t>
  </si>
  <si>
    <r>
      <rPr>
        <b/>
        <sz val="11"/>
        <color theme="1"/>
        <rFont val="Calibri"/>
        <family val="2"/>
        <scheme val="minor"/>
      </rPr>
      <t>τρυμαλιδος</t>
    </r>
    <r>
      <rPr>
        <sz val="11"/>
        <color theme="1"/>
        <rFont val="Calibri"/>
        <family val="2"/>
        <scheme val="minor"/>
      </rPr>
      <t xml:space="preserve"> ραφιδος</t>
    </r>
  </si>
  <si>
    <r>
      <rPr>
        <b/>
        <sz val="11"/>
        <color theme="1"/>
        <rFont val="Calibri"/>
        <family val="2"/>
        <scheme val="minor"/>
      </rPr>
      <t>τρυμαλιας</t>
    </r>
    <r>
      <rPr>
        <sz val="11"/>
        <color theme="1"/>
        <rFont val="Calibri"/>
        <family val="2"/>
        <scheme val="minor"/>
      </rPr>
      <t xml:space="preserve"> της ραφιδος</t>
    </r>
  </si>
  <si>
    <r>
      <t xml:space="preserve">τρυμαλιας </t>
    </r>
    <r>
      <rPr>
        <b/>
        <sz val="11"/>
        <color theme="1"/>
        <rFont val="Calibri"/>
        <family val="2"/>
        <scheme val="minor"/>
      </rPr>
      <t>της</t>
    </r>
    <r>
      <rPr>
        <sz val="11"/>
        <color theme="1"/>
        <rFont val="Calibri"/>
        <family val="2"/>
        <scheme val="minor"/>
      </rPr>
      <t xml:space="preserve"> ραφιδος</t>
    </r>
  </si>
  <si>
    <t>και μετα τρις ημερας αναστησεται (35) και προσπορευοντε</t>
  </si>
  <si>
    <t>και αναστησεται μετα τρις ημερας (35) και προσπορευοντε</t>
  </si>
  <si>
    <r>
      <t xml:space="preserve">ινα σιωπηση και </t>
    </r>
    <r>
      <rPr>
        <b/>
        <sz val="11"/>
        <color theme="1"/>
        <rFont val="Calibri"/>
        <family val="2"/>
        <scheme val="minor"/>
      </rPr>
      <t>επετειμων αυτω πολλοι</t>
    </r>
    <r>
      <rPr>
        <sz val="11"/>
        <color theme="1"/>
        <rFont val="Calibri"/>
        <family val="2"/>
        <scheme val="minor"/>
      </rPr>
      <t xml:space="preserve"> υιος δαυειδ</t>
    </r>
  </si>
  <si>
    <t>προσαγοντες</t>
  </si>
  <si>
    <t>θυραν του μνημιου</t>
  </si>
  <si>
    <t>θυραν του μνημειου</t>
  </si>
  <si>
    <t>(10) τη ωρα του θυμιαματος (11) ωφθη δε αυτω αγγελος κυ εστως εκ δεξιων του θυσιαστηριου του θυμιαματος (12) και εταραχθη</t>
  </si>
  <si>
    <t>(10) τη ωρα του θυμιαματος (11) (12) και εταραχθη</t>
  </si>
  <si>
    <t>ελεισαβεθ</t>
  </si>
  <si>
    <r>
      <rPr>
        <b/>
        <sz val="11"/>
        <color theme="1"/>
        <rFont val="Calibri"/>
        <family val="2"/>
        <scheme val="minor"/>
      </rPr>
      <t>κοιλια</t>
    </r>
    <r>
      <rPr>
        <sz val="11"/>
        <color theme="1"/>
        <rFont val="Calibri"/>
        <family val="2"/>
        <scheme val="minor"/>
      </rPr>
      <t xml:space="preserve"> της ελιστης ελισαβεδ</t>
    </r>
  </si>
  <si>
    <r>
      <rPr>
        <b/>
        <sz val="11"/>
        <color theme="1"/>
        <rFont val="Calibri"/>
        <family val="2"/>
        <scheme val="minor"/>
      </rPr>
      <t>κοιλεια</t>
    </r>
    <r>
      <rPr>
        <sz val="11"/>
        <color theme="1"/>
        <rFont val="Calibri"/>
        <family val="2"/>
        <scheme val="minor"/>
      </rPr>
      <t xml:space="preserve"> της ελισαβεδ</t>
    </r>
  </si>
  <si>
    <r>
      <t xml:space="preserve">κοιλια της </t>
    </r>
    <r>
      <rPr>
        <b/>
        <sz val="11"/>
        <color theme="1"/>
        <rFont val="Calibri"/>
        <family val="2"/>
        <scheme val="minor"/>
      </rPr>
      <t>ελιστης</t>
    </r>
    <r>
      <rPr>
        <sz val="11"/>
        <color theme="1"/>
        <rFont val="Calibri"/>
        <family val="2"/>
        <scheme val="minor"/>
      </rPr>
      <t xml:space="preserve"> ελισαβεδ</t>
    </r>
  </si>
  <si>
    <r>
      <t xml:space="preserve">καλειται βηθλεεμ </t>
    </r>
    <r>
      <rPr>
        <b/>
        <sz val="11"/>
        <color theme="1"/>
        <rFont val="Calibri"/>
        <family val="2"/>
        <scheme val="minor"/>
      </rPr>
      <t>δια το ειναι αυτον εξ οικου και πατριας δαυειδ</t>
    </r>
    <r>
      <rPr>
        <sz val="11"/>
        <color theme="1"/>
        <rFont val="Calibri"/>
        <family val="2"/>
        <scheme val="minor"/>
      </rPr>
      <t xml:space="preserve"> (5) απογραφεσθαι ...</t>
    </r>
  </si>
  <si>
    <t>ιεροσολυμα παραστησαι κω</t>
  </si>
  <si>
    <t>αγιον κω</t>
  </si>
  <si>
    <t>δε ο ιης</t>
  </si>
  <si>
    <r>
      <t xml:space="preserve">ιωανην τον </t>
    </r>
    <r>
      <rPr>
        <b/>
        <sz val="11"/>
        <color theme="1"/>
        <rFont val="Calibri"/>
        <family val="2"/>
        <scheme val="minor"/>
      </rPr>
      <t>αδελφον αυτου ους επωνομασεν βοανηργες ο εστιν υιοι βροντης</t>
    </r>
    <r>
      <rPr>
        <sz val="11"/>
        <color theme="1"/>
        <rFont val="Calibri"/>
        <family val="2"/>
        <scheme val="minor"/>
      </rPr>
      <t xml:space="preserve"> και φιλιππον και βαρθολομαιον (15) και μαθθαιον και θωμαν τον επικαλουμενον δυδυμον και ιακωβον</t>
    </r>
  </si>
  <si>
    <r>
      <t xml:space="preserve">ιωανην τον αδελφον αυτου </t>
    </r>
    <r>
      <rPr>
        <b/>
        <sz val="11"/>
        <color theme="1"/>
        <rFont val="Calibri"/>
        <family val="2"/>
        <scheme val="minor"/>
      </rPr>
      <t>ους</t>
    </r>
    <r>
      <rPr>
        <sz val="11"/>
        <color theme="1"/>
        <rFont val="Calibri"/>
        <family val="2"/>
        <scheme val="minor"/>
      </rPr>
      <t xml:space="preserve"> επωνομασεν βοανηργες ο εστιν υιοι βροντης και φιλιππον και βαρθολομαιον (15) και μαθθαιον και θωμαν τον επικαλουμενον δυδυμον και ιακωβον</t>
    </r>
  </si>
  <si>
    <r>
      <t>ιωανην τον αδελφον αυτου ους επωνομασεν βοανηργες ο εστιν υιοι βροντης και φιλιππον και βαρθολομαιον (15) και μαθθαιον και θωμαν τον</t>
    </r>
    <r>
      <rPr>
        <b/>
        <sz val="11"/>
        <color theme="1"/>
        <rFont val="Calibri"/>
        <family val="2"/>
        <scheme val="minor"/>
      </rPr>
      <t xml:space="preserve"> επικαλουμενον δυδυμον</t>
    </r>
    <r>
      <rPr>
        <sz val="11"/>
        <color theme="1"/>
        <rFont val="Calibri"/>
        <family val="2"/>
        <scheme val="minor"/>
      </rPr>
      <t xml:space="preserve"> και ιακωβον</t>
    </r>
  </si>
  <si>
    <r>
      <t xml:space="preserve">ιωανην τον αδελφον αυτου ους επωνομασεν βοανηργες ο εστιν υιοι βροντης και φιλιππον και βαρθολομαιον (15) και μαθθαιον και θωμαν τον επικαλουμενον δυδυμον </t>
    </r>
    <r>
      <rPr>
        <b/>
        <sz val="11"/>
        <color theme="1"/>
        <rFont val="Calibri"/>
        <family val="2"/>
        <scheme val="minor"/>
      </rPr>
      <t>και</t>
    </r>
    <r>
      <rPr>
        <sz val="11"/>
        <color theme="1"/>
        <rFont val="Calibri"/>
        <family val="2"/>
        <scheme val="minor"/>
      </rPr>
      <t xml:space="preserve"> ιακωβον</t>
    </r>
  </si>
  <si>
    <t>οσα σοι ο θς εποιησεν</t>
  </si>
  <si>
    <t>χοροζαιν και βηδσαιδα</t>
  </si>
  <si>
    <r>
      <t xml:space="preserve">χοροζαιν </t>
    </r>
    <r>
      <rPr>
        <b/>
        <sz val="11"/>
        <color theme="1"/>
        <rFont val="Calibri"/>
        <family val="2"/>
        <scheme val="minor"/>
      </rPr>
      <t>ουαι</t>
    </r>
    <r>
      <rPr>
        <sz val="11"/>
        <color theme="1"/>
        <rFont val="Calibri"/>
        <family val="2"/>
        <scheme val="minor"/>
      </rPr>
      <t xml:space="preserve"> σοι βηθσαιδα</t>
    </r>
  </si>
  <si>
    <r>
      <t xml:space="preserve">χοροζαιν και </t>
    </r>
    <r>
      <rPr>
        <b/>
        <sz val="11"/>
        <color theme="1"/>
        <rFont val="Calibri"/>
        <family val="2"/>
        <scheme val="minor"/>
      </rPr>
      <t>βηδσαιδα</t>
    </r>
  </si>
  <si>
    <r>
      <t xml:space="preserve">χοροζαιν ουαι σοι </t>
    </r>
    <r>
      <rPr>
        <b/>
        <sz val="11"/>
        <color theme="1"/>
        <rFont val="Calibri"/>
        <family val="2"/>
        <scheme val="minor"/>
      </rPr>
      <t>βηθσαιδα</t>
    </r>
  </si>
  <si>
    <r>
      <t xml:space="preserve">χοροζαιν ουαι </t>
    </r>
    <r>
      <rPr>
        <b/>
        <sz val="11"/>
        <color theme="1"/>
        <rFont val="Calibri"/>
        <family val="2"/>
        <scheme val="minor"/>
      </rPr>
      <t>σοι</t>
    </r>
    <r>
      <rPr>
        <sz val="11"/>
        <color theme="1"/>
        <rFont val="Calibri"/>
        <family val="2"/>
        <scheme val="minor"/>
      </rPr>
      <t xml:space="preserve"> βηθσαιδα</t>
    </r>
  </si>
  <si>
    <t>Bezae = βεδσαιδα</t>
  </si>
  <si>
    <t>κς αυτου εν ημερα</t>
  </si>
  <si>
    <t>ουδε θεληματος ανδρος</t>
  </si>
  <si>
    <t>ουδε εκ θεληματος ανδρος</t>
  </si>
  <si>
    <t>ιης τοις δωδεκα</t>
  </si>
  <si>
    <t>(16) πεμψαντος με (17) εαν τις θελη το θελημα αυτου ποιειν γνωσεται περι της διδαχης ποτερον εκ θυ εστιν η εγω απ εμαυτου λαλω (18) ο αφ εαυτου λαλων την δοξαν την ιδιαν ζητει ο δε ζητων την δοξαν του πεμψαντος αυτον ουτος αληθης εστιν</t>
  </si>
  <si>
    <t>ιωανης μεν</t>
  </si>
  <si>
    <t>ιωαννης μεν</t>
  </si>
  <si>
    <t>ιωανης ειπεν</t>
  </si>
  <si>
    <t>ιωαννης ειπεν</t>
  </si>
  <si>
    <t>ιης ημελλεν</t>
  </si>
  <si>
    <t>θυ τα εσκορπισμενα</t>
  </si>
  <si>
    <t>ερχεται ιης</t>
  </si>
  <si>
    <r>
      <rPr>
        <b/>
        <sz val="11"/>
        <color theme="1"/>
        <rFont val="Calibri"/>
        <family val="2"/>
        <scheme val="minor"/>
      </rPr>
      <t>απεκρειθη</t>
    </r>
    <r>
      <rPr>
        <sz val="11"/>
        <color theme="1"/>
        <rFont val="Calibri"/>
        <family val="2"/>
        <scheme val="minor"/>
      </rPr>
      <t xml:space="preserve"> ιης</t>
    </r>
  </si>
  <si>
    <t>απεκρειθη ιης</t>
  </si>
  <si>
    <t>και οτι προς τον θν</t>
  </si>
  <si>
    <t>ιης ο λελουμενος</t>
  </si>
  <si>
    <t>υμων (17) το το πνα</t>
  </si>
  <si>
    <t xml:space="preserve">ιην χρν ις τουτον </t>
  </si>
  <si>
    <t>μετ αυτων εγω ετηρουν</t>
  </si>
  <si>
    <t>μετ αυτων εν τω κοσμω εγω ετηρουν</t>
  </si>
  <si>
    <t>αυτη ιης</t>
  </si>
  <si>
    <t>παρειστηκεισαν</t>
  </si>
  <si>
    <t>προγνωσει του θυ</t>
  </si>
  <si>
    <r>
      <t xml:space="preserve">της </t>
    </r>
    <r>
      <rPr>
        <b/>
        <sz val="11"/>
        <color theme="1"/>
        <rFont val="Calibri"/>
        <family val="2"/>
        <scheme val="minor"/>
      </rPr>
      <t>καρδιας</t>
    </r>
    <r>
      <rPr>
        <sz val="11"/>
        <color theme="1"/>
        <rFont val="Calibri"/>
        <family val="2"/>
        <scheme val="minor"/>
      </rPr>
      <t xml:space="preserve"> αυτου κατα σαρκα αναστησαι τον χρν και καθισαι </t>
    </r>
  </si>
  <si>
    <r>
      <rPr>
        <b/>
        <sz val="11"/>
        <color theme="1"/>
        <rFont val="Calibri"/>
        <family val="2"/>
        <scheme val="minor"/>
      </rPr>
      <t>ουχ</t>
    </r>
    <r>
      <rPr>
        <sz val="11"/>
        <color theme="1"/>
        <rFont val="Calibri"/>
        <family val="2"/>
        <scheme val="minor"/>
      </rPr>
      <t xml:space="preserve"> υπαρχει μοι</t>
    </r>
  </si>
  <si>
    <r>
      <t xml:space="preserve">και </t>
    </r>
    <r>
      <rPr>
        <b/>
        <sz val="11"/>
        <color theme="1"/>
        <rFont val="Calibri"/>
        <family val="2"/>
        <scheme val="minor"/>
      </rPr>
      <t>θς</t>
    </r>
    <r>
      <rPr>
        <sz val="11"/>
        <color theme="1"/>
        <rFont val="Calibri"/>
        <family val="2"/>
        <scheme val="minor"/>
      </rPr>
      <t xml:space="preserve"> ισακ</t>
    </r>
  </si>
  <si>
    <r>
      <t xml:space="preserve">και </t>
    </r>
    <r>
      <rPr>
        <b/>
        <sz val="11"/>
        <color theme="1"/>
        <rFont val="Calibri"/>
        <family val="2"/>
        <scheme val="minor"/>
      </rPr>
      <t>ισαακ</t>
    </r>
  </si>
  <si>
    <t>θς υμων</t>
  </si>
  <si>
    <t>διαθηκης ην ο θς</t>
  </si>
  <si>
    <t>(1) παρεθεωρουντο εν τη διακονια καθημερινη αι χηραι αυτων εν τη διακονια των εβραιων (2) προσκαλεσαμενοι οι ιβ</t>
  </si>
  <si>
    <r>
      <t xml:space="preserve">(1) παρεθεωρουντο εν τη διακονια καθημερινη αι χηραι αυτων </t>
    </r>
    <r>
      <rPr>
        <b/>
        <sz val="11"/>
        <color theme="1"/>
        <rFont val="Calibri"/>
        <family val="2"/>
        <scheme val="minor"/>
      </rPr>
      <t>εν τη διακονια των εβραιων</t>
    </r>
    <r>
      <rPr>
        <sz val="11"/>
        <color theme="1"/>
        <rFont val="Calibri"/>
        <family val="2"/>
        <scheme val="minor"/>
      </rPr>
      <t xml:space="preserve"> (2) προσκαλεσαμενοι οι ιβ</t>
    </r>
  </si>
  <si>
    <r>
      <t xml:space="preserve">δευρο ει εις </t>
    </r>
    <r>
      <rPr>
        <b/>
        <sz val="11"/>
        <color theme="1"/>
        <rFont val="Calibri"/>
        <family val="2"/>
        <scheme val="minor"/>
      </rPr>
      <t>την</t>
    </r>
    <r>
      <rPr>
        <sz val="11"/>
        <color theme="1"/>
        <rFont val="Calibri"/>
        <family val="2"/>
        <scheme val="minor"/>
      </rPr>
      <t xml:space="preserve"> γην</t>
    </r>
  </si>
  <si>
    <r>
      <t xml:space="preserve">(14) συνγενειαν αυτου </t>
    </r>
    <r>
      <rPr>
        <b/>
        <sz val="11"/>
        <color theme="1"/>
        <rFont val="Calibri"/>
        <family val="2"/>
        <scheme val="minor"/>
      </rPr>
      <t>εν ο και ε ψυχαις</t>
    </r>
    <r>
      <rPr>
        <sz val="11"/>
        <color theme="1"/>
        <rFont val="Calibri"/>
        <family val="2"/>
        <scheme val="minor"/>
      </rPr>
      <t xml:space="preserve"> (15) κατεβη ιακωβ</t>
    </r>
  </si>
  <si>
    <t>εχρισεν ο θς</t>
  </si>
  <si>
    <t>προσευξαμενοι παντες και επιθεντες</t>
  </si>
  <si>
    <t>αυτοις (4) οι μεν</t>
  </si>
  <si>
    <t>αντελεγον τοις λογοις υπο του</t>
  </si>
  <si>
    <t>λαληθηναι τον λον του θυ</t>
  </si>
  <si>
    <r>
      <t xml:space="preserve">λαληθηναι τον </t>
    </r>
    <r>
      <rPr>
        <b/>
        <sz val="11"/>
        <color theme="1"/>
        <rFont val="Calibri"/>
        <family val="2"/>
        <scheme val="minor"/>
      </rPr>
      <t>λον</t>
    </r>
    <r>
      <rPr>
        <sz val="11"/>
        <color theme="1"/>
        <rFont val="Calibri"/>
        <family val="2"/>
        <scheme val="minor"/>
      </rPr>
      <t xml:space="preserve"> του θυ</t>
    </r>
  </si>
  <si>
    <r>
      <rPr>
        <b/>
        <sz val="11"/>
        <color theme="1"/>
        <rFont val="Calibri"/>
        <family val="2"/>
        <scheme val="minor"/>
      </rPr>
      <t>εντεταλκεν</t>
    </r>
    <r>
      <rPr>
        <sz val="11"/>
        <color theme="1"/>
        <rFont val="Calibri"/>
        <family val="2"/>
        <scheme val="minor"/>
      </rPr>
      <t xml:space="preserve"> ο κς</t>
    </r>
  </si>
  <si>
    <t>εντεταλκεν ο κς</t>
  </si>
  <si>
    <t>χαριτι κυ</t>
  </si>
  <si>
    <t>οικον αυτου και παρεθηκεν</t>
  </si>
  <si>
    <t>παρακαλεσαντες αυτους</t>
  </si>
  <si>
    <t>παρακαλεσαν αυτους</t>
  </si>
  <si>
    <t>εορτην ημεραν ερχομενην</t>
  </si>
  <si>
    <r>
      <t xml:space="preserve">γραφων </t>
    </r>
    <r>
      <rPr>
        <b/>
        <sz val="11"/>
        <color theme="1"/>
        <rFont val="Calibri"/>
        <family val="2"/>
        <scheme val="minor"/>
      </rPr>
      <t>τον ιην ειναι χρν</t>
    </r>
    <r>
      <rPr>
        <sz val="11"/>
        <color theme="1"/>
        <rFont val="Calibri"/>
        <family val="2"/>
        <scheme val="minor"/>
      </rPr>
      <t xml:space="preserve"> (19:1) θελοντος</t>
    </r>
  </si>
  <si>
    <t>εχουσι προς αυτους τινα λογον αγοραιοι</t>
  </si>
  <si>
    <t>Bezae = εκευλευσε</t>
  </si>
  <si>
    <r>
      <rPr>
        <b/>
        <sz val="11"/>
        <color theme="1"/>
        <rFont val="Calibri"/>
        <family val="2"/>
        <scheme val="minor"/>
      </rPr>
      <t>ηρωδους</t>
    </r>
    <r>
      <rPr>
        <sz val="11"/>
        <color theme="1"/>
        <rFont val="Calibri"/>
        <family val="2"/>
        <scheme val="minor"/>
      </rPr>
      <t xml:space="preserve"> του πατρος αυτου εφοβηθη εκει</t>
    </r>
  </si>
  <si>
    <t>ωσπερ ιστεραν (17) και ιδου</t>
  </si>
  <si>
    <t>λεγω υμειν</t>
  </si>
  <si>
    <t>λεγω υμιν</t>
  </si>
  <si>
    <r>
      <rPr>
        <b/>
        <sz val="11"/>
        <color theme="1"/>
        <rFont val="Calibri"/>
        <family val="2"/>
        <scheme val="minor"/>
      </rPr>
      <t>υμειν</t>
    </r>
    <r>
      <rPr>
        <sz val="11"/>
        <color theme="1"/>
        <rFont val="Calibri"/>
        <family val="2"/>
        <scheme val="minor"/>
      </rPr>
      <t xml:space="preserve"> θησαυρουσους εν ουρανω</t>
    </r>
  </si>
  <si>
    <r>
      <t xml:space="preserve">υμειν </t>
    </r>
    <r>
      <rPr>
        <b/>
        <sz val="11"/>
        <color theme="1"/>
        <rFont val="Calibri"/>
        <family val="2"/>
        <scheme val="minor"/>
      </rPr>
      <t>θησαυρουσους</t>
    </r>
    <r>
      <rPr>
        <sz val="11"/>
        <color theme="1"/>
        <rFont val="Calibri"/>
        <family val="2"/>
        <scheme val="minor"/>
      </rPr>
      <t xml:space="preserve"> εν ουρανω</t>
    </r>
  </si>
  <si>
    <r>
      <rPr>
        <b/>
        <sz val="11"/>
        <color theme="1"/>
        <rFont val="Calibri"/>
        <family val="2"/>
        <scheme val="minor"/>
      </rPr>
      <t>υμιν</t>
    </r>
    <r>
      <rPr>
        <sz val="11"/>
        <color theme="1"/>
        <rFont val="Calibri"/>
        <family val="2"/>
        <scheme val="minor"/>
      </rPr>
      <t xml:space="preserve"> θησαυρους</t>
    </r>
  </si>
  <si>
    <r>
      <t xml:space="preserve">υμιν </t>
    </r>
    <r>
      <rPr>
        <b/>
        <sz val="11"/>
        <color theme="1"/>
        <rFont val="Calibri"/>
        <family val="2"/>
        <scheme val="minor"/>
      </rPr>
      <t>θησαυρους</t>
    </r>
  </si>
  <si>
    <r>
      <t xml:space="preserve">δεηθητε ουν </t>
    </r>
    <r>
      <rPr>
        <b/>
        <sz val="11"/>
        <color theme="1"/>
        <rFont val="Calibri"/>
        <family val="2"/>
        <scheme val="minor"/>
      </rPr>
      <t>τον</t>
    </r>
    <r>
      <rPr>
        <sz val="11"/>
        <color theme="1"/>
        <rFont val="Calibri"/>
        <family val="2"/>
        <scheme val="minor"/>
      </rPr>
      <t xml:space="preserve"> κν του θερισμου</t>
    </r>
  </si>
  <si>
    <t>δεηθητε ουν κυριου του θερισμου</t>
  </si>
  <si>
    <r>
      <t xml:space="preserve">δεηθητε ουν τον </t>
    </r>
    <r>
      <rPr>
        <b/>
        <sz val="11"/>
        <color theme="1"/>
        <rFont val="Calibri"/>
        <family val="2"/>
        <scheme val="minor"/>
      </rPr>
      <t>κν</t>
    </r>
    <r>
      <rPr>
        <sz val="11"/>
        <color theme="1"/>
        <rFont val="Calibri"/>
        <family val="2"/>
        <scheme val="minor"/>
      </rPr>
      <t xml:space="preserve"> του θερισμου</t>
    </r>
  </si>
  <si>
    <r>
      <t xml:space="preserve">δεηθητε ουν </t>
    </r>
    <r>
      <rPr>
        <b/>
        <sz val="11"/>
        <color theme="1"/>
        <rFont val="Calibri"/>
        <family val="2"/>
        <scheme val="minor"/>
      </rPr>
      <t>κυριου</t>
    </r>
    <r>
      <rPr>
        <sz val="11"/>
        <color theme="1"/>
        <rFont val="Calibri"/>
        <family val="2"/>
        <scheme val="minor"/>
      </rPr>
      <t xml:space="preserve"> του θερισμου</t>
    </r>
  </si>
  <si>
    <t>B.10.3 = απο δε των...</t>
  </si>
  <si>
    <r>
      <t xml:space="preserve">εφ </t>
    </r>
    <r>
      <rPr>
        <b/>
        <sz val="11"/>
        <color theme="1"/>
        <rFont val="Calibri"/>
        <family val="2"/>
        <scheme val="minor"/>
      </rPr>
      <t>εαυτην</t>
    </r>
    <r>
      <rPr>
        <sz val="11"/>
        <color theme="1"/>
        <rFont val="Calibri"/>
        <family val="2"/>
        <scheme val="minor"/>
      </rPr>
      <t xml:space="preserve"> ερημουτει</t>
    </r>
  </si>
  <si>
    <r>
      <t xml:space="preserve">εφ εαυτην </t>
    </r>
    <r>
      <rPr>
        <b/>
        <sz val="11"/>
        <color theme="1"/>
        <rFont val="Calibri"/>
        <family val="2"/>
        <scheme val="minor"/>
      </rPr>
      <t>ερημουτει</t>
    </r>
  </si>
  <si>
    <r>
      <t xml:space="preserve">εφ </t>
    </r>
    <r>
      <rPr>
        <b/>
        <sz val="11"/>
        <color theme="1"/>
        <rFont val="Calibri"/>
        <family val="2"/>
        <scheme val="minor"/>
      </rPr>
      <t>εαυτη</t>
    </r>
    <r>
      <rPr>
        <sz val="11"/>
        <color theme="1"/>
        <rFont val="Calibri"/>
        <family val="2"/>
        <scheme val="minor"/>
      </rPr>
      <t xml:space="preserve"> ερημουται</t>
    </r>
  </si>
  <si>
    <r>
      <t xml:space="preserve">εφ εαυτη </t>
    </r>
    <r>
      <rPr>
        <b/>
        <sz val="11"/>
        <color theme="1"/>
        <rFont val="Calibri"/>
        <family val="2"/>
        <scheme val="minor"/>
      </rPr>
      <t>ερημουται</t>
    </r>
  </si>
  <si>
    <t>σταθησεται</t>
  </si>
  <si>
    <r>
      <t xml:space="preserve">του </t>
    </r>
    <r>
      <rPr>
        <b/>
        <sz val="11"/>
        <color theme="1"/>
        <rFont val="Calibri"/>
        <family val="2"/>
        <scheme val="minor"/>
      </rPr>
      <t>πλουτους</t>
    </r>
    <r>
      <rPr>
        <sz val="11"/>
        <color theme="1"/>
        <rFont val="Calibri"/>
        <family val="2"/>
        <scheme val="minor"/>
      </rPr>
      <t xml:space="preserve"> συνπνειγει</t>
    </r>
  </si>
  <si>
    <r>
      <t xml:space="preserve">του </t>
    </r>
    <r>
      <rPr>
        <b/>
        <sz val="11"/>
        <color theme="1"/>
        <rFont val="Calibri"/>
        <family val="2"/>
        <scheme val="minor"/>
      </rPr>
      <t>πλουτου</t>
    </r>
    <r>
      <rPr>
        <sz val="11"/>
        <color theme="1"/>
        <rFont val="Calibri"/>
        <family val="2"/>
        <scheme val="minor"/>
      </rPr>
      <t xml:space="preserve"> συνπνιγε</t>
    </r>
  </si>
  <si>
    <r>
      <t xml:space="preserve">του πλουτους </t>
    </r>
    <r>
      <rPr>
        <b/>
        <sz val="11"/>
        <color theme="1"/>
        <rFont val="Calibri"/>
        <family val="2"/>
        <scheme val="minor"/>
      </rPr>
      <t>συνπνειγει</t>
    </r>
  </si>
  <si>
    <r>
      <t xml:space="preserve">του πλουτου </t>
    </r>
    <r>
      <rPr>
        <b/>
        <sz val="11"/>
        <color theme="1"/>
        <rFont val="Calibri"/>
        <family val="2"/>
        <scheme val="minor"/>
      </rPr>
      <t>συνπνιγε</t>
    </r>
  </si>
  <si>
    <r>
      <t xml:space="preserve">θυ </t>
    </r>
    <r>
      <rPr>
        <b/>
        <sz val="11"/>
        <color theme="1"/>
        <rFont val="Calibri"/>
        <family val="2"/>
        <scheme val="minor"/>
      </rPr>
      <t>του</t>
    </r>
    <r>
      <rPr>
        <sz val="11"/>
        <color theme="1"/>
        <rFont val="Calibri"/>
        <family val="2"/>
        <scheme val="minor"/>
      </rPr>
      <t xml:space="preserve"> ζωντος</t>
    </r>
  </si>
  <si>
    <r>
      <t xml:space="preserve">θυ του </t>
    </r>
    <r>
      <rPr>
        <b/>
        <sz val="11"/>
        <color theme="1"/>
        <rFont val="Calibri"/>
        <family val="2"/>
        <scheme val="minor"/>
      </rPr>
      <t>ζωντος</t>
    </r>
  </si>
  <si>
    <t>αποκριθεις ο ις</t>
  </si>
  <si>
    <t>αποκτενουσιν και μετα</t>
  </si>
  <si>
    <r>
      <rPr>
        <b/>
        <sz val="11"/>
        <color theme="1"/>
        <rFont val="Calibri"/>
        <family val="2"/>
        <scheme val="minor"/>
      </rPr>
      <t>αποκτεινουσιν</t>
    </r>
    <r>
      <rPr>
        <sz val="11"/>
        <color theme="1"/>
        <rFont val="Calibri"/>
        <family val="2"/>
        <scheme val="minor"/>
      </rPr>
      <t xml:space="preserve"> αυτον και μετα</t>
    </r>
  </si>
  <si>
    <r>
      <rPr>
        <b/>
        <sz val="11"/>
        <color theme="1"/>
        <rFont val="Calibri"/>
        <family val="2"/>
        <scheme val="minor"/>
      </rPr>
      <t>αποκτενουσιν</t>
    </r>
    <r>
      <rPr>
        <sz val="11"/>
        <color theme="1"/>
        <rFont val="Calibri"/>
        <family val="2"/>
        <scheme val="minor"/>
      </rPr>
      <t xml:space="preserve"> και μετα</t>
    </r>
  </si>
  <si>
    <r>
      <t xml:space="preserve">αποκτεινουσιν </t>
    </r>
    <r>
      <rPr>
        <b/>
        <sz val="11"/>
        <color theme="1"/>
        <rFont val="Calibri"/>
        <family val="2"/>
        <scheme val="minor"/>
      </rPr>
      <t>αυτον</t>
    </r>
    <r>
      <rPr>
        <sz val="11"/>
        <color theme="1"/>
        <rFont val="Calibri"/>
        <family val="2"/>
        <scheme val="minor"/>
      </rPr>
      <t xml:space="preserve"> και μετα</t>
    </r>
  </si>
  <si>
    <r>
      <t xml:space="preserve">φιλουσιν δε την την </t>
    </r>
    <r>
      <rPr>
        <b/>
        <sz val="11"/>
        <color theme="1"/>
        <rFont val="Calibri"/>
        <family val="2"/>
        <scheme val="minor"/>
      </rPr>
      <t>πρωκλεισιαν</t>
    </r>
  </si>
  <si>
    <r>
      <t xml:space="preserve">φιλουσιν τε την </t>
    </r>
    <r>
      <rPr>
        <b/>
        <sz val="11"/>
        <color theme="1"/>
        <rFont val="Calibri"/>
        <family val="2"/>
        <scheme val="minor"/>
      </rPr>
      <t>πρωκλεισιαν</t>
    </r>
  </si>
  <si>
    <t>B.10.3 = προκλεισιαν</t>
  </si>
  <si>
    <t>καιφα</t>
  </si>
  <si>
    <t>καιαφα</t>
  </si>
  <si>
    <t>ιν κρατησωσιν δολω και</t>
  </si>
  <si>
    <r>
      <t xml:space="preserve">των ιβ </t>
    </r>
    <r>
      <rPr>
        <b/>
        <sz val="11"/>
        <color theme="1"/>
        <rFont val="Calibri"/>
        <family val="2"/>
        <scheme val="minor"/>
      </rPr>
      <t>ο λεγομενος ιουδας ισκαριωτης</t>
    </r>
    <r>
      <rPr>
        <sz val="11"/>
        <color theme="1"/>
        <rFont val="Calibri"/>
        <family val="2"/>
        <scheme val="minor"/>
      </rPr>
      <t xml:space="preserve"> προς τους αρχιερεις (15) και λεγει αυτοις τι θελετε μοι δουναι και εγω</t>
    </r>
  </si>
  <si>
    <r>
      <t xml:space="preserve">των ιβ ο λεγομενος ιουδας ισκαριωτης προς τους αρχιερεις (15) και </t>
    </r>
    <r>
      <rPr>
        <b/>
        <sz val="11"/>
        <color theme="1"/>
        <rFont val="Calibri"/>
        <family val="2"/>
        <scheme val="minor"/>
      </rPr>
      <t>λεγει</t>
    </r>
    <r>
      <rPr>
        <sz val="11"/>
        <color theme="1"/>
        <rFont val="Calibri"/>
        <family val="2"/>
        <scheme val="minor"/>
      </rPr>
      <t xml:space="preserve"> αυτοις τι θελετε μοι δουναι και εγω</t>
    </r>
  </si>
  <si>
    <t>των ιβ ο λεγομενος ιουδας ισκαριωτης προς τους αρχιερεις (15) και λεγει αυτοις τι θελετε μοι δουναι και εγω</t>
  </si>
  <si>
    <t>πατρος μου τελος (30) και υμνησαντες</t>
  </si>
  <si>
    <t>(59) θανατωσωσιν (60) και ουχ ευρον εξ ης υστερον δε ηλθον δυο ψευδομαρτυρες (61) και ειπον</t>
  </si>
  <si>
    <r>
      <t xml:space="preserve">(59) </t>
    </r>
    <r>
      <rPr>
        <b/>
        <sz val="11"/>
        <color theme="1"/>
        <rFont val="Calibri"/>
        <family val="2"/>
        <scheme val="minor"/>
      </rPr>
      <t>θανατωσουσιν</t>
    </r>
    <r>
      <rPr>
        <sz val="11"/>
        <color theme="1"/>
        <rFont val="Calibri"/>
        <family val="2"/>
        <scheme val="minor"/>
      </rPr>
      <t xml:space="preserve"> (60) και ουκ ευρον το εξης και πολλοι προσηλθον ψευδομαρτυρες και ουκ ευρον το εξης υστερον δε ηλθον δυο ψευδομαρτυρες (61) και ειπον</t>
    </r>
  </si>
  <si>
    <r>
      <t xml:space="preserve">(59) </t>
    </r>
    <r>
      <rPr>
        <b/>
        <sz val="11"/>
        <color theme="1"/>
        <rFont val="Calibri"/>
        <family val="2"/>
        <scheme val="minor"/>
      </rPr>
      <t>θανατωσωσιν</t>
    </r>
    <r>
      <rPr>
        <sz val="11"/>
        <color theme="1"/>
        <rFont val="Calibri"/>
        <family val="2"/>
        <scheme val="minor"/>
      </rPr>
      <t xml:space="preserve"> (60) και ουχ ευρον εξ ης υστερον δε ηλθον δυο ψευδομαρτυρες (61) και ειπον</t>
    </r>
  </si>
  <si>
    <r>
      <t xml:space="preserve">(59) θανατωσουσιν (60) και </t>
    </r>
    <r>
      <rPr>
        <b/>
        <sz val="11"/>
        <color theme="1"/>
        <rFont val="Calibri"/>
        <family val="2"/>
        <scheme val="minor"/>
      </rPr>
      <t>ουκ</t>
    </r>
    <r>
      <rPr>
        <sz val="11"/>
        <color theme="1"/>
        <rFont val="Calibri"/>
        <family val="2"/>
        <scheme val="minor"/>
      </rPr>
      <t xml:space="preserve"> ευρον το εξης και πολλοι προσηλθον ψευδομαρτυρες και ουκ ευρον το εξης υστερον δε ηλθον δυο ψευδομαρτυρες (61) και ειπον</t>
    </r>
  </si>
  <si>
    <r>
      <t xml:space="preserve">(59) θανατωσωσιν (60) και </t>
    </r>
    <r>
      <rPr>
        <b/>
        <sz val="11"/>
        <color theme="1"/>
        <rFont val="Calibri"/>
        <family val="2"/>
        <scheme val="minor"/>
      </rPr>
      <t>ουχ</t>
    </r>
    <r>
      <rPr>
        <sz val="11"/>
        <color theme="1"/>
        <rFont val="Calibri"/>
        <family val="2"/>
        <scheme val="minor"/>
      </rPr>
      <t xml:space="preserve"> ευρον εξ ης υστερον δε ηλθον δυο ψευδομαρτυρες (61) και ειπον</t>
    </r>
  </si>
  <si>
    <r>
      <t xml:space="preserve">(59) θανατωσουσιν (60) και ουκ ευρον </t>
    </r>
    <r>
      <rPr>
        <b/>
        <sz val="11"/>
        <color theme="1"/>
        <rFont val="Calibri"/>
        <family val="2"/>
        <scheme val="minor"/>
      </rPr>
      <t>το</t>
    </r>
    <r>
      <rPr>
        <sz val="11"/>
        <color theme="1"/>
        <rFont val="Calibri"/>
        <family val="2"/>
        <scheme val="minor"/>
      </rPr>
      <t xml:space="preserve"> εξης και πολλοι προσηλθον ψευδομαρτυρες και ουκ ευρον το εξης υστερον δε ηλθον δυο ψευδομαρτυρες (61) και ειπον</t>
    </r>
  </si>
  <si>
    <r>
      <t xml:space="preserve">ινατι </t>
    </r>
    <r>
      <rPr>
        <b/>
        <sz val="11"/>
        <color theme="1"/>
        <rFont val="Calibri"/>
        <family val="2"/>
        <scheme val="minor"/>
      </rPr>
      <t>με ενκατελιπες</t>
    </r>
  </si>
  <si>
    <r>
      <t xml:space="preserve">ινατι </t>
    </r>
    <r>
      <rPr>
        <b/>
        <sz val="11"/>
        <color theme="1"/>
        <rFont val="Calibri"/>
        <family val="2"/>
        <scheme val="minor"/>
      </rPr>
      <t>ενκατελιπες με</t>
    </r>
  </si>
  <si>
    <r>
      <t xml:space="preserve">ινατι με </t>
    </r>
    <r>
      <rPr>
        <b/>
        <sz val="11"/>
        <color theme="1"/>
        <rFont val="Calibri"/>
        <family val="2"/>
        <scheme val="minor"/>
      </rPr>
      <t>ενκατελιπες</t>
    </r>
  </si>
  <si>
    <r>
      <t xml:space="preserve">ινατι </t>
    </r>
    <r>
      <rPr>
        <b/>
        <sz val="11"/>
        <color theme="1"/>
        <rFont val="Calibri"/>
        <family val="2"/>
        <scheme val="minor"/>
      </rPr>
      <t>ενκατελιπες</t>
    </r>
    <r>
      <rPr>
        <sz val="11"/>
        <color theme="1"/>
        <rFont val="Calibri"/>
        <family val="2"/>
        <scheme val="minor"/>
      </rPr>
      <t xml:space="preserve"> με</t>
    </r>
  </si>
  <si>
    <t>B.10.3 = εγκατελιπες</t>
  </si>
  <si>
    <r>
      <t xml:space="preserve">τω πλοιω </t>
    </r>
    <r>
      <rPr>
        <b/>
        <sz val="11"/>
        <color theme="1"/>
        <rFont val="Calibri"/>
        <family val="2"/>
        <scheme val="minor"/>
      </rPr>
      <t>ηκολουθησαν μετα των μεισθωτων</t>
    </r>
    <r>
      <rPr>
        <sz val="11"/>
        <color theme="1"/>
        <rFont val="Calibri"/>
        <family val="2"/>
        <scheme val="minor"/>
      </rPr>
      <t xml:space="preserve"> οπισω αυτου (21) και</t>
    </r>
  </si>
  <si>
    <t>διδασκειν παρα την θαλασσαν</t>
  </si>
  <si>
    <t>διδασκειν προς την θαλασσαν</t>
  </si>
  <si>
    <t>πολλαι ησαν</t>
  </si>
  <si>
    <t>B.10.3 = ην</t>
  </si>
  <si>
    <t>B.10.3 = τοπος και ηδη</t>
  </si>
  <si>
    <t>B.10.3 = εξισταντο</t>
  </si>
  <si>
    <t>ακακουετε και ου μνημονευετε</t>
  </si>
  <si>
    <r>
      <rPr>
        <b/>
        <sz val="11"/>
        <color theme="1"/>
        <rFont val="Calibri"/>
        <family val="2"/>
        <scheme val="minor"/>
      </rPr>
      <t>επετειμησεν</t>
    </r>
    <r>
      <rPr>
        <sz val="11"/>
        <color theme="1"/>
        <rFont val="Calibri"/>
        <family val="2"/>
        <scheme val="minor"/>
      </rPr>
      <t xml:space="preserve"> αυτω ινα μηδενει ειπωσιν</t>
    </r>
  </si>
  <si>
    <r>
      <rPr>
        <b/>
        <sz val="11"/>
        <color theme="1"/>
        <rFont val="Calibri"/>
        <family val="2"/>
        <scheme val="minor"/>
      </rPr>
      <t>επετειμησεν</t>
    </r>
    <r>
      <rPr>
        <sz val="11"/>
        <color theme="1"/>
        <rFont val="Calibri"/>
        <family val="2"/>
        <scheme val="minor"/>
      </rPr>
      <t xml:space="preserve"> αυτοις ινα μηδενι ειπωσιν</t>
    </r>
  </si>
  <si>
    <t>B.10.3 = επετιμησεν</t>
  </si>
  <si>
    <t>ακουετε αυτου αυτου (8) και</t>
  </si>
  <si>
    <t>ακουετε αυτου (8) και</t>
  </si>
  <si>
    <t>πτωμα του ιυ</t>
  </si>
  <si>
    <r>
      <rPr>
        <b/>
        <sz val="11"/>
        <color theme="1"/>
        <rFont val="Calibri"/>
        <family val="2"/>
        <scheme val="minor"/>
      </rPr>
      <t>εθαυμαζεν</t>
    </r>
    <r>
      <rPr>
        <sz val="11"/>
        <color theme="1"/>
        <rFont val="Calibri"/>
        <family val="2"/>
        <scheme val="minor"/>
      </rPr>
      <t xml:space="preserve"> ει ηδη ει τεθνηκει</t>
    </r>
  </si>
  <si>
    <r>
      <rPr>
        <b/>
        <sz val="11"/>
        <color theme="1"/>
        <rFont val="Calibri"/>
        <family val="2"/>
        <scheme val="minor"/>
      </rPr>
      <t>εθαυμαζεν</t>
    </r>
    <r>
      <rPr>
        <sz val="11"/>
        <color theme="1"/>
        <rFont val="Calibri"/>
        <family val="2"/>
        <scheme val="minor"/>
      </rPr>
      <t xml:space="preserve"> ει ηδει τεθνηκει</t>
    </r>
  </si>
  <si>
    <r>
      <rPr>
        <b/>
        <sz val="11"/>
        <color theme="1"/>
        <rFont val="Calibri"/>
        <family val="2"/>
        <scheme val="minor"/>
      </rPr>
      <t>εκει τοπον</t>
    </r>
    <r>
      <rPr>
        <sz val="11"/>
        <color theme="1"/>
        <rFont val="Calibri"/>
        <family val="2"/>
        <scheme val="minor"/>
      </rPr>
      <t xml:space="preserve"> αυτου οπου εθηκαν αυτον (7) αλλα υπαγεται</t>
    </r>
  </si>
  <si>
    <r>
      <rPr>
        <b/>
        <sz val="11"/>
        <color theme="1"/>
        <rFont val="Calibri"/>
        <family val="2"/>
        <scheme val="minor"/>
      </rPr>
      <t>εκει τοπον</t>
    </r>
    <r>
      <rPr>
        <sz val="11"/>
        <color theme="1"/>
        <rFont val="Calibri"/>
        <family val="2"/>
        <scheme val="minor"/>
      </rPr>
      <t xml:space="preserve"> αυτου (7) αλλ υπαγεται</t>
    </r>
  </si>
  <si>
    <t>B.10.3 = εκει τοπον</t>
  </si>
  <si>
    <t>βαπτισθεις σωθησεται ο δε απιστησας κατακριθησεται (17) σημια</t>
  </si>
  <si>
    <t>βαπτισθεις σωθησεται (17) σημια</t>
  </si>
  <si>
    <t>καλεισθαι αυτον</t>
  </si>
  <si>
    <t>Luke.3.24</t>
  </si>
  <si>
    <t>ει του θεου</t>
  </si>
  <si>
    <t>πνευμα κν επ εμε</t>
  </si>
  <si>
    <t>δοθησεται υμειν</t>
  </si>
  <si>
    <t>δοθησεται υμιν</t>
  </si>
  <si>
    <r>
      <rPr>
        <b/>
        <sz val="11"/>
        <color theme="1"/>
        <rFont val="Calibri"/>
        <family val="2"/>
        <scheme val="minor"/>
      </rPr>
      <t>χοροζαιν</t>
    </r>
    <r>
      <rPr>
        <sz val="11"/>
        <color theme="1"/>
        <rFont val="Calibri"/>
        <family val="2"/>
        <scheme val="minor"/>
      </rPr>
      <t xml:space="preserve"> και βηδσαιδα</t>
    </r>
  </si>
  <si>
    <r>
      <rPr>
        <b/>
        <sz val="11"/>
        <color theme="1"/>
        <rFont val="Calibri"/>
        <family val="2"/>
        <scheme val="minor"/>
      </rPr>
      <t>χοροζαιν</t>
    </r>
    <r>
      <rPr>
        <sz val="11"/>
        <color theme="1"/>
        <rFont val="Calibri"/>
        <family val="2"/>
        <scheme val="minor"/>
      </rPr>
      <t xml:space="preserve"> ουαι σοι βηθσαιδα</t>
    </r>
  </si>
  <si>
    <t>B.10.3 = χοραζαιν</t>
  </si>
  <si>
    <t>B.10.3 = κατηγορησωσιν</t>
  </si>
  <si>
    <t>συνπνιγειν</t>
  </si>
  <si>
    <r>
      <t xml:space="preserve">πεινων </t>
    </r>
    <r>
      <rPr>
        <b/>
        <sz val="11"/>
        <color theme="1"/>
        <rFont val="Calibri"/>
        <family val="2"/>
        <scheme val="minor"/>
      </rPr>
      <t>και</t>
    </r>
    <r>
      <rPr>
        <sz val="11"/>
        <color theme="1"/>
        <rFont val="Calibri"/>
        <family val="2"/>
        <scheme val="minor"/>
      </rPr>
      <t xml:space="preserve"> μεθυσκομενος</t>
    </r>
  </si>
  <si>
    <r>
      <t xml:space="preserve">πεινων </t>
    </r>
    <r>
      <rPr>
        <b/>
        <sz val="11"/>
        <color theme="1"/>
        <rFont val="Calibri"/>
        <family val="2"/>
        <scheme val="minor"/>
      </rPr>
      <t>μεθυσκομενος</t>
    </r>
  </si>
  <si>
    <r>
      <t xml:space="preserve">πεινων και </t>
    </r>
    <r>
      <rPr>
        <b/>
        <sz val="11"/>
        <color theme="1"/>
        <rFont val="Calibri"/>
        <family val="2"/>
        <scheme val="minor"/>
      </rPr>
      <t>μεθυσκομενος</t>
    </r>
  </si>
  <si>
    <t>B.10.3 = μεθυσκαμενος</t>
  </si>
  <si>
    <t>οδυνασαι (26) και επι και επι πασι</t>
  </si>
  <si>
    <t xml:space="preserve">ου μοιχευσεις ου φονευσεις ου κλεψεις ου ψευδομαρτυρησεις τειμα </t>
  </si>
  <si>
    <t>B.10.3 = μοιχευσις</t>
  </si>
  <si>
    <t>(18:43) θεω (19:1) και εισελθων</t>
  </si>
  <si>
    <t>(32) απελθοντες (33) (34) οτι ο κυριος</t>
  </si>
  <si>
    <r>
      <t xml:space="preserve">νεκροι </t>
    </r>
    <r>
      <rPr>
        <b/>
        <sz val="11"/>
        <color theme="1"/>
        <rFont val="Calibri"/>
        <family val="2"/>
        <scheme val="minor"/>
      </rPr>
      <t>και</t>
    </r>
    <r>
      <rPr>
        <sz val="11"/>
        <color theme="1"/>
        <rFont val="Calibri"/>
        <family val="2"/>
        <scheme val="minor"/>
      </rPr>
      <t xml:space="preserve"> μωυσης </t>
    </r>
  </si>
  <si>
    <r>
      <t xml:space="preserve">νεκροι </t>
    </r>
    <r>
      <rPr>
        <b/>
        <sz val="11"/>
        <color theme="1"/>
        <rFont val="Calibri"/>
        <family val="2"/>
        <scheme val="minor"/>
      </rPr>
      <t>μωυσης</t>
    </r>
    <r>
      <rPr>
        <sz val="11"/>
        <color theme="1"/>
        <rFont val="Calibri"/>
        <family val="2"/>
        <scheme val="minor"/>
      </rPr>
      <t xml:space="preserve"> </t>
    </r>
  </si>
  <si>
    <r>
      <t xml:space="preserve">νεκροι και </t>
    </r>
    <r>
      <rPr>
        <b/>
        <sz val="11"/>
        <color theme="1"/>
        <rFont val="Calibri"/>
        <family val="2"/>
        <scheme val="minor"/>
      </rPr>
      <t>μωυσης</t>
    </r>
    <r>
      <rPr>
        <sz val="11"/>
        <color theme="1"/>
        <rFont val="Calibri"/>
        <family val="2"/>
        <scheme val="minor"/>
      </rPr>
      <t xml:space="preserve"> </t>
    </r>
  </si>
  <si>
    <t>B.10.3 = μωσης</t>
  </si>
  <si>
    <r>
      <t xml:space="preserve">τω πετω πετρω </t>
    </r>
    <r>
      <rPr>
        <b/>
        <sz val="11"/>
        <color theme="1"/>
        <rFont val="Calibri"/>
        <family val="2"/>
        <scheme val="minor"/>
      </rPr>
      <t>υπεμνησθη</t>
    </r>
  </si>
  <si>
    <r>
      <t xml:space="preserve">τω πετρω και </t>
    </r>
    <r>
      <rPr>
        <b/>
        <sz val="11"/>
        <color theme="1"/>
        <rFont val="Calibri"/>
        <family val="2"/>
        <scheme val="minor"/>
      </rPr>
      <t>υπεμνησθη</t>
    </r>
  </si>
  <si>
    <t>B.10.3 = υπεμνεισθη</t>
  </si>
  <si>
    <t>B.10.3 = σταυρου σταυρου; Bezae corrects τον -&gt; αυτον</t>
  </si>
  <si>
    <t>(51) θεου (52) και προσελθων</t>
  </si>
  <si>
    <t>προφηται απεθαναν</t>
  </si>
  <si>
    <t>προφηται απεθανον</t>
  </si>
  <si>
    <r>
      <rPr>
        <b/>
        <sz val="11"/>
        <color theme="1"/>
        <rFont val="Calibri"/>
        <family val="2"/>
        <scheme val="minor"/>
      </rPr>
      <t>αλλ</t>
    </r>
    <r>
      <rPr>
        <sz val="11"/>
        <color theme="1"/>
        <rFont val="Calibri"/>
        <family val="2"/>
        <scheme val="minor"/>
      </rPr>
      <t xml:space="preserve"> ινα τον λαζαρον ιδωσιν ον ηγειρεν</t>
    </r>
  </si>
  <si>
    <r>
      <t xml:space="preserve">αλλ </t>
    </r>
    <r>
      <rPr>
        <b/>
        <sz val="11"/>
        <color theme="1"/>
        <rFont val="Calibri"/>
        <family val="2"/>
        <scheme val="minor"/>
      </rPr>
      <t>ινα</t>
    </r>
    <r>
      <rPr>
        <sz val="11"/>
        <color theme="1"/>
        <rFont val="Calibri"/>
        <family val="2"/>
        <scheme val="minor"/>
      </rPr>
      <t xml:space="preserve"> τον λαζαρον ιδωσιν ον ηγειρεν</t>
    </r>
  </si>
  <si>
    <r>
      <t xml:space="preserve">αλλ ινα τον λαζαρον </t>
    </r>
    <r>
      <rPr>
        <b/>
        <sz val="11"/>
        <color theme="1"/>
        <rFont val="Calibri"/>
        <family val="2"/>
        <scheme val="minor"/>
      </rPr>
      <t>ιδωσιν</t>
    </r>
    <r>
      <rPr>
        <sz val="11"/>
        <color theme="1"/>
        <rFont val="Calibri"/>
        <family val="2"/>
        <scheme val="minor"/>
      </rPr>
      <t xml:space="preserve"> ον ηγειρεν</t>
    </r>
  </si>
  <si>
    <r>
      <rPr>
        <b/>
        <sz val="11"/>
        <color theme="1"/>
        <rFont val="Calibri"/>
        <family val="2"/>
        <scheme val="minor"/>
      </rPr>
      <t>αλλα</t>
    </r>
    <r>
      <rPr>
        <sz val="11"/>
        <color theme="1"/>
        <rFont val="Calibri"/>
        <family val="2"/>
        <scheme val="minor"/>
      </rPr>
      <t xml:space="preserve"> δια τον λαζαρον ον ηγειρεν</t>
    </r>
  </si>
  <si>
    <r>
      <t xml:space="preserve">αλλα </t>
    </r>
    <r>
      <rPr>
        <b/>
        <sz val="11"/>
        <color theme="1"/>
        <rFont val="Calibri"/>
        <family val="2"/>
        <scheme val="minor"/>
      </rPr>
      <t>δια</t>
    </r>
    <r>
      <rPr>
        <sz val="11"/>
        <color theme="1"/>
        <rFont val="Calibri"/>
        <family val="2"/>
        <scheme val="minor"/>
      </rPr>
      <t xml:space="preserve"> τον λαζαρον ον ηγειρεν</t>
    </r>
  </si>
  <si>
    <t>αλλα δια τον λαζαρον ον ηγειρεν</t>
  </si>
  <si>
    <t>B.10.3 = πονηριων</t>
  </si>
  <si>
    <t>B.10.3 = επ ουδενι</t>
  </si>
  <si>
    <r>
      <t xml:space="preserve">εθαυμαζεν </t>
    </r>
    <r>
      <rPr>
        <b/>
        <sz val="11"/>
        <color theme="1"/>
        <rFont val="Calibri"/>
        <family val="2"/>
        <scheme val="minor"/>
      </rPr>
      <t>εκπλησσομενος</t>
    </r>
    <r>
      <rPr>
        <sz val="11"/>
        <color theme="1"/>
        <rFont val="Calibri"/>
        <family val="2"/>
        <scheme val="minor"/>
      </rPr>
      <t xml:space="preserve"> και </t>
    </r>
    <r>
      <rPr>
        <b/>
        <sz val="11"/>
        <color theme="1"/>
        <rFont val="Calibri"/>
        <family val="2"/>
        <scheme val="minor"/>
      </rPr>
      <t>επιστευσεν</t>
    </r>
    <r>
      <rPr>
        <sz val="11"/>
        <color theme="1"/>
        <rFont val="Calibri"/>
        <family val="2"/>
        <scheme val="minor"/>
      </rPr>
      <t xml:space="preserve"> επι τη διδαχη </t>
    </r>
  </si>
  <si>
    <r>
      <t xml:space="preserve">εθαυμαζεν εκπλησσομενος </t>
    </r>
    <r>
      <rPr>
        <b/>
        <sz val="11"/>
        <color theme="1"/>
        <rFont val="Calibri"/>
        <family val="2"/>
        <scheme val="minor"/>
      </rPr>
      <t>και</t>
    </r>
    <r>
      <rPr>
        <sz val="11"/>
        <color theme="1"/>
        <rFont val="Calibri"/>
        <family val="2"/>
        <scheme val="minor"/>
      </rPr>
      <t xml:space="preserve"> επιστευσεν επι τη διδαχη </t>
    </r>
  </si>
  <si>
    <r>
      <rPr>
        <b/>
        <sz val="11"/>
        <color theme="1"/>
        <rFont val="Calibri"/>
        <family val="2"/>
        <scheme val="minor"/>
      </rPr>
      <t>εθαυμαζεν</t>
    </r>
    <r>
      <rPr>
        <sz val="11"/>
        <color theme="1"/>
        <rFont val="Calibri"/>
        <family val="2"/>
        <scheme val="minor"/>
      </rPr>
      <t xml:space="preserve"> εκπλησσομενος και επιστευσεν επι τη διδαχη </t>
    </r>
  </si>
  <si>
    <r>
      <rPr>
        <b/>
        <sz val="11"/>
        <color theme="1"/>
        <rFont val="Calibri"/>
        <family val="2"/>
        <scheme val="minor"/>
      </rPr>
      <t>αντιλεγον</t>
    </r>
    <r>
      <rPr>
        <sz val="11"/>
        <color theme="1"/>
        <rFont val="Calibri"/>
        <family val="2"/>
        <scheme val="minor"/>
      </rPr>
      <t xml:space="preserve"> τοις λογοις τοις υπο του</t>
    </r>
  </si>
  <si>
    <r>
      <rPr>
        <b/>
        <sz val="11"/>
        <color theme="1"/>
        <rFont val="Calibri"/>
        <family val="2"/>
        <scheme val="minor"/>
      </rPr>
      <t>αντελεγον</t>
    </r>
    <r>
      <rPr>
        <sz val="11"/>
        <color theme="1"/>
        <rFont val="Calibri"/>
        <family val="2"/>
        <scheme val="minor"/>
      </rPr>
      <t xml:space="preserve"> τοις λογοις υπο του</t>
    </r>
  </si>
  <si>
    <r>
      <t xml:space="preserve">αντιλεγον τοις λογοις </t>
    </r>
    <r>
      <rPr>
        <b/>
        <sz val="11"/>
        <color theme="1"/>
        <rFont val="Calibri"/>
        <family val="2"/>
        <scheme val="minor"/>
      </rPr>
      <t>τοις</t>
    </r>
    <r>
      <rPr>
        <sz val="11"/>
        <color theme="1"/>
        <rFont val="Calibri"/>
        <family val="2"/>
        <scheme val="minor"/>
      </rPr>
      <t xml:space="preserve"> υπο του</t>
    </r>
  </si>
  <si>
    <t>οτι τον τον χριστον</t>
  </si>
  <si>
    <t>οφιλομεν νομιζειν ουτε χρυσω</t>
  </si>
  <si>
    <t>οφιλομεν χρυσω</t>
  </si>
  <si>
    <t>freq = νομιζω</t>
  </si>
  <si>
    <t>διελεχθη τοις ιουδαιοις</t>
  </si>
  <si>
    <t>εορτην την ερχομενην</t>
  </si>
  <si>
    <r>
      <t xml:space="preserve">ονομα </t>
    </r>
    <r>
      <rPr>
        <b/>
        <sz val="11"/>
        <color theme="1"/>
        <rFont val="Calibri"/>
        <family val="2"/>
        <scheme val="minor"/>
      </rPr>
      <t>του</t>
    </r>
    <r>
      <rPr>
        <sz val="11"/>
        <color theme="1"/>
        <rFont val="Calibri"/>
        <family val="2"/>
        <scheme val="minor"/>
      </rPr>
      <t xml:space="preserve"> κυ ιησου εις αφεσιν</t>
    </r>
  </si>
  <si>
    <t>ονομα του κυ ιησου εις αφεσιν</t>
  </si>
  <si>
    <t>(10) ετη δυο ωστε απαντας τους κατοικουντας την ασιαν ακουσαι τον λογον του κυ ιουδαιους τε και ελληνας  (11) δυναμεις τε ου τας</t>
  </si>
  <si>
    <t>χαριτος του θεου</t>
  </si>
  <si>
    <t>B.10.3 = χιλιαρχω</t>
  </si>
  <si>
    <t>ο χειλιαρχος ειπεν</t>
  </si>
  <si>
    <t>ο χιλιαρχος ειπεν</t>
  </si>
  <si>
    <t xml:space="preserve">και τους ιδειους κλαιοντας τους συνεληλυθοτας μετ αυτης  (34) εταραχθη </t>
  </si>
  <si>
    <t>ενωπιον σου ακουσαι βουλομενοι παρα σου τα προστεταγμενα</t>
  </si>
  <si>
    <t>ενιαυτον ολον συναχθηναι εν τη εκκλησια και διδαξαι οχλον ικανον και τοτε πρωτον χρηματισαι εν αντιοχεια τους μαθητας χρειστιανους  (27) εν ταυταις</t>
  </si>
  <si>
    <t>Matt 1:1 - 1:19 are entirely missing in Bezae today</t>
  </si>
  <si>
    <t>Bezae corrects to ος αν ουν λυσει</t>
  </si>
  <si>
    <t>Both autograph and apograph unclear here</t>
  </si>
  <si>
    <t xml:space="preserve"> Bezae = θυγατηρ, B.10.3 = θυγατερ</t>
  </si>
  <si>
    <t>Bezae corrects to εφανη εν τω ισραηλ; B.10.3 adds τω but omits εν</t>
  </si>
  <si>
    <t>I'm not sure this is a variant: I don't see obvious signs of correction here</t>
  </si>
  <si>
    <t>Not sure if this is a variant: ink is faded here and words from opposite page have been pressed onto this one; not sure there's really a correction here</t>
  </si>
  <si>
    <r>
      <t xml:space="preserve">επεθηκαν </t>
    </r>
    <r>
      <rPr>
        <b/>
        <sz val="11"/>
        <color theme="1"/>
        <rFont val="Calibri"/>
        <family val="2"/>
        <scheme val="minor"/>
      </rPr>
      <t>επ</t>
    </r>
    <r>
      <rPr>
        <sz val="11"/>
        <color theme="1"/>
        <rFont val="Calibri"/>
        <family val="2"/>
        <scheme val="minor"/>
      </rPr>
      <t xml:space="preserve"> αυτον τα ειματεια</t>
    </r>
  </si>
  <si>
    <r>
      <t xml:space="preserve">επεθηκαν επ </t>
    </r>
    <r>
      <rPr>
        <b/>
        <sz val="11"/>
        <color theme="1"/>
        <rFont val="Calibri"/>
        <family val="2"/>
        <scheme val="minor"/>
      </rPr>
      <t>αυτον</t>
    </r>
    <r>
      <rPr>
        <sz val="11"/>
        <color theme="1"/>
        <rFont val="Calibri"/>
        <family val="2"/>
        <scheme val="minor"/>
      </rPr>
      <t xml:space="preserve"> τα ειματεια</t>
    </r>
  </si>
  <si>
    <r>
      <t xml:space="preserve">επεθηκαν </t>
    </r>
    <r>
      <rPr>
        <b/>
        <sz val="11"/>
        <color theme="1"/>
        <rFont val="Calibri"/>
        <family val="2"/>
        <scheme val="minor"/>
      </rPr>
      <t>αυτων</t>
    </r>
    <r>
      <rPr>
        <sz val="11"/>
        <color theme="1"/>
        <rFont val="Calibri"/>
        <family val="2"/>
        <scheme val="minor"/>
      </rPr>
      <t xml:space="preserve"> τα ειματεια</t>
    </r>
  </si>
  <si>
    <t>freq = θυσιαστηριον</t>
  </si>
  <si>
    <t>omits 4 full lines (82v.1.31-33, 83v.1.1); freq = απολυτρωσις</t>
  </si>
  <si>
    <t>freq = ισκαριωθ</t>
  </si>
  <si>
    <t>freq = θελω</t>
  </si>
  <si>
    <t>incorporates marginal note</t>
  </si>
  <si>
    <t>freq = υδωρ</t>
  </si>
  <si>
    <t>Β.10.3 = προσηυξετο</t>
  </si>
  <si>
    <t>11.2.4 transposition</t>
  </si>
  <si>
    <t>2.0.1 transposition; apograph follows wording of 3:1 (ανθρωπος ξηραν εχων την χειρα); apograph harmonizes</t>
  </si>
  <si>
    <t>apograph follows wording of 3:1 (ανθρωπος ξηραν εχων την χειρα); apograph harmonizes</t>
  </si>
  <si>
    <t>omission of οτε is due to scribe changing from οτε + finite verb to genetive absolute</t>
  </si>
  <si>
    <t>B.10.3 = υπο την την σκειαν</t>
  </si>
  <si>
    <t>freq = εραω</t>
  </si>
  <si>
    <t>Not convinced there's a correction here</t>
  </si>
  <si>
    <t>9.9.9 transposition</t>
  </si>
  <si>
    <t>frequency based on πορευω</t>
  </si>
  <si>
    <t>freq = διορυσσω</t>
  </si>
  <si>
    <t>8.2.1.3.2:b.d.c.e.a transposition</t>
  </si>
  <si>
    <t>skips backward 5 lines (from end of 130v.1.24 to end of 130v.1.19; visual cues present); as a result, B.10.3 duplicates all of v 17 and the portion of v 18 already written; probably the biggest duplication I've seen so far; freq = ποτερον</t>
  </si>
  <si>
    <t>skipped over 1 line (134v.1.27-29; visual cues present); freq = ποθεν</t>
  </si>
  <si>
    <t>freq = χειρ</t>
  </si>
  <si>
    <t>Bezae corrects to συνεψηφισθη</t>
  </si>
  <si>
    <t>Bezae corrects to ιωανη</t>
  </si>
  <si>
    <t>Bezae is said to add μου betweent these words, B.10.3 does not follow</t>
  </si>
  <si>
    <t>freq = διαλιμπανω</t>
  </si>
  <si>
    <t>Skips 1 line (479v.1.19; no obvious visual cues); freq = αυτος - ιουδας</t>
  </si>
  <si>
    <t>not counting as disharmonizing since same change occurs in v. 28</t>
  </si>
  <si>
    <t>change in case taken as consequence of addition</t>
  </si>
  <si>
    <t>πατηρ never occurs without 2nd person genitive pronoun (5:48,6:1,4,6x2,8,1st person in 9 for Lord's Prayer,14,15,18), and the specific phrase τω πατρι σου εν τω κρυπτω occurs a second time in v. 6 and similar phrasing in vv. 4 and 18x2; apograph disharmonizes</t>
  </si>
  <si>
    <t>Harmonization_Direction</t>
  </si>
  <si>
    <t>Forward</t>
  </si>
  <si>
    <t>Backward</t>
  </si>
  <si>
    <t>Both</t>
  </si>
  <si>
    <t>apograph reading matches recurring pattern later in verse (θυγατερα κατα της μητρος αυτης; νυμφην κατα της πενθερας αυτης); apograph harmonizes</t>
  </si>
  <si>
    <t>autograph follows wording from 6:39 (το θελημα του πεμψαντος με πατρος); apograph disharmonizes</t>
  </si>
  <si>
    <t>Directionality</t>
  </si>
  <si>
    <t>Forward (Exclusive)</t>
  </si>
  <si>
    <t>Forward (Inclusive)</t>
  </si>
  <si>
    <t>Backward (Exclusive)</t>
  </si>
  <si>
    <t>Backward (Inclusive)</t>
  </si>
  <si>
    <t>TR_Reading</t>
  </si>
  <si>
    <t>Partial</t>
  </si>
  <si>
    <t>και ηγγισε τω ιυ φιλησαι αυτον τουτο γαρ</t>
  </si>
  <si>
    <t>TR Readings:</t>
  </si>
  <si>
    <t>Non-TR:</t>
  </si>
  <si>
    <t>%-TR:</t>
  </si>
  <si>
    <t>Complutensian</t>
  </si>
  <si>
    <t>1516_Erasmus</t>
  </si>
  <si>
    <t>1535_Erasmus</t>
  </si>
  <si>
    <t>1551_Stephanus</t>
  </si>
  <si>
    <t>1565_Beza</t>
  </si>
  <si>
    <t>1582_Beza</t>
  </si>
  <si>
    <t>1598_Beza</t>
  </si>
  <si>
    <t>01</t>
  </si>
  <si>
    <t>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</si>
</sst>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
      <sz val="9"/>
      <color indexed="81"/>
      <name val="Tahoma"/>
      <charset val="1"/>
    </font>
    <font>
      <b/>
      <sz val="9"/>
      <color indexed="81"/>
      <name val="Tahoma"/>
      <charset val="1"/>
    </font>
    <font>
      <b/>
      <sz val="14"/>
      <color theme="1"/>
      <name val="Calibri"/>
      <family val="2"/>
      <scheme val="minor"/>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9"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0" borderId="0" xfId="0" applyFont="1"/>
    <xf numFmtId="0" fontId="0" fillId="2" borderId="0" xfId="0" applyFill="1"/>
    <xf numFmtId="0" fontId="0" fillId="0" borderId="0" xfId="0" applyAlignment="1">
      <alignment vertical="center" wrapText="1"/>
    </xf>
    <xf numFmtId="0" fontId="0" fillId="3" borderId="0" xfId="0" applyFill="1"/>
    <xf numFmtId="0" fontId="0" fillId="2" borderId="0" xfId="0" applyFill="1" applyAlignment="1">
      <alignment vertical="center" wrapText="1"/>
    </xf>
    <xf numFmtId="0" fontId="0" fillId="4" borderId="0" xfId="0" applyFill="1" applyAlignment="1">
      <alignment vertical="center" wrapText="1"/>
    </xf>
    <xf numFmtId="0" fontId="1" fillId="0" borderId="0" xfId="0" applyFont="1" applyAlignment="1">
      <alignment vertical="center" wrapText="1"/>
    </xf>
    <xf numFmtId="49" fontId="1" fillId="0" borderId="0" xfId="0" applyNumberFormat="1" applyFont="1"/>
    <xf numFmtId="0" fontId="0" fillId="5" borderId="1" xfId="0" applyFill="1" applyBorder="1"/>
    <xf numFmtId="49" fontId="0" fillId="5" borderId="1" xfId="0" applyNumberFormat="1" applyFill="1" applyBorder="1"/>
    <xf numFmtId="0" fontId="0" fillId="0" borderId="0" xfId="0" applyAlignment="1">
      <alignment wrapText="1"/>
    </xf>
    <xf numFmtId="49" fontId="0" fillId="0" borderId="0" xfId="0" applyNumberFormat="1"/>
    <xf numFmtId="0" fontId="4" fillId="0" borderId="0" xfId="0" applyFont="1" applyAlignment="1">
      <alignment vertical="center"/>
    </xf>
    <xf numFmtId="0" fontId="1" fillId="0" borderId="0" xfId="0" applyFont="1" applyAlignment="1">
      <alignment wrapText="1"/>
    </xf>
    <xf numFmtId="0" fontId="0" fillId="0" borderId="1" xfId="0" applyBorder="1"/>
    <xf numFmtId="49" fontId="0" fillId="0" borderId="1" xfId="0" applyNumberFormat="1" applyBorder="1"/>
    <xf numFmtId="0" fontId="0" fillId="0" borderId="2" xfId="0" applyBorder="1"/>
    <xf numFmtId="0" fontId="0" fillId="5" borderId="0" xfId="0" applyFill="1"/>
    <xf numFmtId="0" fontId="0" fillId="6" borderId="0" xfId="0" applyFill="1"/>
    <xf numFmtId="0" fontId="0" fillId="0" borderId="3" xfId="0" applyBorder="1"/>
    <xf numFmtId="0" fontId="7" fillId="0" borderId="0" xfId="0" applyFont="1"/>
    <xf numFmtId="0" fontId="0" fillId="0" borderId="0" xfId="0" applyAlignment="1">
      <alignment horizontal="center"/>
    </xf>
  </cellXfs>
  <cellStyles count="1">
    <cellStyle name="Normal" xfId="0" builtinId="0"/>
  </cellStyles>
  <dxfs count="521">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patternType="solid">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nathan Wilken" id="{2A5DBB96-E1DB-4873-9365-F1E41F569A40}"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2A5DBB96-E1DB-4873-9365-F1E41F569A40}" id="{29EC4733-3F95-4E44-B38A-9430E6965D75}">
    <text>For substitutions, the word frequency of the apograph reading</text>
  </threadedComment>
  <threadedComment ref="V1" dT="2024-01-16T09:59:48.08" personId="{2A5DBB96-E1DB-4873-9365-F1E41F569A40}" id="{64C18C64-5171-4E5E-8BA1-F668E651BA39}">
    <text>For substitutions, the word frequency of the autograph reading</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2A5DBB96-E1DB-4873-9365-F1E41F569A40}" id="{CEC93503-DD9F-408E-96DA-3F6DDF85B5A5}">
    <text>For substitutions, the word frequency of the apograph reading</text>
  </threadedComment>
  <threadedComment ref="S1" dT="2024-01-16T09:59:48.08" personId="{2A5DBB96-E1DB-4873-9365-F1E41F569A40}" id="{37282F17-0D67-4341-9B42-6C59CAD991DC}">
    <text>For substitutions, the word frequency of the autograph reading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2A5DBB96-E1DB-4873-9365-F1E41F569A40}" id="{F6DBDBC8-E01D-4FF9-9A23-04A92FF9AC0E}">
    <text>Derived variable indicating the number of times per 1000 words the added or omitted word occurs. Thus, Freq-per-10,000 = (AO Word Frequency / Words in Corpus) * 10,000</text>
  </threadedComment>
  <threadedComment ref="F939" dT="2023-09-09T16:20:24.92" personId="{2A5DBB96-E1DB-4873-9365-F1E41F569A40}" id="{37D109DF-9EEB-4C87-90F8-C2E56A539222}">
    <text>Raw number of additions</text>
  </threadedComment>
  <threadedComment ref="B940" dT="2023-09-09T13:15:24.43" personId="{2A5DBB96-E1DB-4873-9365-F1E41F569A40}" id="{DFF4632F-9C58-4C42-8152-EB837D102DB6}">
    <text>"Low Meaning" words</text>
  </threadedComment>
  <threadedComment ref="C940" dT="2023-09-09T13:15:40.92" personId="{2A5DBB96-E1DB-4873-9365-F1E41F569A40}" id="{7ECC2211-0E5C-42B7-BE07-CB6411CB27E6}">
    <text>"High Meaning" words</text>
  </threadedComment>
  <threadedComment ref="F940" dT="2023-09-09T16:20:41.93" personId="{2A5DBB96-E1DB-4873-9365-F1E41F569A40}" id="{01DB1D55-3C92-4F87-854C-9E64882F5842}">
    <text>Raw number of omissions</text>
  </threadedComment>
  <threadedComment ref="F941" dT="2023-09-09T16:21:30.82" personId="{2A5DBB96-E1DB-4873-9365-F1E41F569A40}" id="{3B0E65F3-6C1D-4CD0-BFE3-22DDE1E753D9}">
    <text>% of add-omits that are additions</text>
  </threadedComment>
  <threadedComment ref="F944" dT="2023-09-09T16:22:43.13" personId="{2A5DBB96-E1DB-4873-9365-F1E41F569A40}" id="{A7308020-46EF-4437-B101-DF0A79AA320F}">
    <text>Raw number of additions of "low meaning" words. See LM column for included word types (and adjust equation as necessary)</text>
  </threadedComment>
  <threadedComment ref="F945" dT="2023-09-09T16:23:00.73" personId="{2A5DBB96-E1DB-4873-9365-F1E41F569A40}" id="{34028A59-964C-46F5-926B-84CDCB69667C}">
    <text>Raw number of omissions of "low meaning" words. See LM column for included word types (and adjust equation as necessary)</text>
  </threadedComment>
  <threadedComment ref="F946" dT="2023-09-09T16:23:25.50" personId="{2A5DBB96-E1DB-4873-9365-F1E41F569A40}" id="{0E777719-C89B-43E7-9E22-2569D2254222}">
    <text>Addition rate for "low meaning" words. See LM column for included word types (and adjust equation as necessary)</text>
  </threadedComment>
  <threadedComment ref="F949" dT="2023-09-09T16:26:23.57" personId="{2A5DBB96-E1DB-4873-9365-F1E41F569A40}" id="{86114342-3137-4A70-AA16-198C98E60301}">
    <text>Raw number of additions of "high meaning" words. See HM column for included word types (and adjust equation as necessary)</text>
  </threadedComment>
  <threadedComment ref="F950" dT="2023-09-09T16:26:53.68" personId="{2A5DBB96-E1DB-4873-9365-F1E41F569A40}" id="{344B6AE0-EEE5-4280-B473-6370F6C57215}">
    <text>Raw number of omissions of "high meaning" words. See HM column for included word types (and adjust equation as necessary)</text>
  </threadedComment>
  <threadedComment ref="F951" dT="2023-09-09T16:27:24.75" personId="{2A5DBB96-E1DB-4873-9365-F1E41F569A40}" id="{383E1233-2B6B-46D3-82C7-C6A194781DEF}">
    <text>Addition rate for "high meaning" words. See HM column for included word types (and adjust equation as necessary)</text>
  </threadedComment>
  <threadedComment ref="D957" dT="2023-09-09T16:31:02.72" personId="{2A5DBB96-E1DB-4873-9365-F1E41F569A40}" id="{6A7F6B59-0B4E-4680-A08E-426F810C00FD}">
    <text>The number of add-omits where visual cues are present that are, in fact, additions. I.e., the number of additions that result in the presence of visual cues</text>
  </threadedComment>
  <threadedComment ref="E957" dT="2023-09-09T16:31:50.60" personId="{2A5DBB96-E1DB-4873-9365-F1E41F569A40}" id="{A898BB97-294B-4A36-8E4C-D6CA593873E0}">
    <text>The number of add-omits where visual cues are NOT present that are, in fact, additions. I.e., the number of additions that generate no visual cues</text>
  </threadedComment>
  <threadedComment ref="F957" dT="2023-09-09T16:33:25.83" personId="{2A5DBB96-E1DB-4873-9365-F1E41F569A40}" id="{C7E93D90-698D-42DE-9FB5-7B1AFBABD3C4}">
    <text>The percentage of add-omits where visual cues are present that are, in fact, additions. I.e., a percent frequency indicating how often an addition generates visual cues</text>
  </threadedComment>
  <threadedComment ref="D958" dT="2023-09-09T16:34:19.48" personId="{2A5DBB96-E1DB-4873-9365-F1E41F569A40}" id="{208FC424-2AC1-4615-B855-B1B7B9DE1F53}">
    <text>The number of add-omits where visual cues are present that are, in fact, omissions. I.e., the number of times that omissions occurred in the presence of visual cues</text>
  </threadedComment>
  <threadedComment ref="E958" dT="2023-09-09T16:34:51.06" personId="{2A5DBB96-E1DB-4873-9365-F1E41F569A40}" id="{69B376C7-72B6-4C6B-9A4C-16B46C8FF19B}">
    <text>The number of add-omits where visual cues are NOT present that are, in fact, omissions. I.e., the number of times that omissions occurred in the absence of visual cues</text>
  </threadedComment>
  <threadedComment ref="F958" dT="2023-09-09T16:35:41.16" personId="{2A5DBB96-E1DB-4873-9365-F1E41F569A40}" id="{6F973451-91A0-444E-9B56-1306759587E8}">
    <text>The percentage of add-omits where visual cues are present that are, in fact, omissions. I.e., the percentage of omissions that could plausibly be due to visual cues</text>
  </threadedComment>
  <threadedComment ref="D959" dT="2023-09-09T16:36:05.81" personId="{2A5DBB96-E1DB-4873-9365-F1E41F569A40}" id="{B3175BEC-32C3-404D-B339-57604112041E}">
    <text>The total number of add-omits that involve visual cues</text>
  </threadedComment>
  <threadedComment ref="E959" dT="2023-09-09T16:38:54.43" personId="{2A5DBB96-E1DB-4873-9365-F1E41F569A40}" id="{79395F67-6616-4880-9E1B-EC9002937ECB}">
    <text>The total number of add-omits that involve NO visual cues (given the definition of this project, i.e., 3-character minimum similarity in critical regions)</text>
  </threadedComment>
  <threadedComment ref="F959" dT="2023-09-09T16:39:12.76" personId="{2A5DBB96-E1DB-4873-9365-F1E41F569A40}" id="{13E0764A-C191-4B7A-AF69-9B1A0DA1E971}">
    <text>The percentage of all add-omits that involve visual cues</text>
  </threadedComment>
  <threadedComment ref="D963" dT="2023-09-09T16:31:50.60" personId="{2A5DBB96-E1DB-4873-9365-F1E41F569A40}" id="{E78D4210-FFFC-42FB-AD76-9BF06D8F69B2}">
    <text>The number of add-omits where visual cues are NOT present that are, in fact, additions. I.e., the number of additions that generate no visual cues</text>
  </threadedComment>
  <threadedComment ref="E963" dT="2023-09-09T16:34:51.06" personId="{2A5DBB96-E1DB-4873-9365-F1E41F569A40}" id="{DABA1915-5ED4-434C-808A-D66FB40855AF}">
    <text>The number of add-omits where visual cues are NOT present that are, in fact, omissions. I.e., the number of times that omissions occurred in the absence of visual cues</text>
  </threadedComment>
  <threadedComment ref="D964" dT="2023-09-09T16:31:02.72" personId="{2A5DBB96-E1DB-4873-9365-F1E41F569A40}" id="{7ACD029A-EDAB-4CD3-82FF-F0064716F057}">
    <text>The number of add-omits where visual cues are present that are, in fact, additions. I.e., the number of additions that result in the presence of visual cues</text>
  </threadedComment>
  <threadedComment ref="E964" dT="2023-09-09T16:34:19.48" personId="{2A5DBB96-E1DB-4873-9365-F1E41F569A40}" id="{98F0C443-47D3-4C99-B7BD-AE12E5820699}">
    <text>The number of add-omits where visual cues are present that are, in fact, omissions. I.e., the number of times that omissions occurred in the presence of visual cues</text>
  </threadedComment>
  <threadedComment ref="D969" dT="2023-09-09T16:31:50.60" personId="{2A5DBB96-E1DB-4873-9365-F1E41F569A40}" id="{8734414B-742D-4357-A8DF-747313C20A17}">
    <text>The number of non-dittographic add-omits that are, in fact, additions. I.e., the number of additions that do not result in dittography</text>
  </threadedComment>
  <threadedComment ref="E969" dT="2023-09-09T16:34:51.06" personId="{2A5DBB96-E1DB-4873-9365-F1E41F569A40}" id="{0AB2071C-D589-4A0D-BD0B-E51DBD6FE8F8}">
    <text>The number of non-dittographic add-omits that are, in fact, omissions. I.e., the number of omissions that did not undo a dittographic reading</text>
  </threadedComment>
  <threadedComment ref="D970" dT="2023-09-09T16:31:02.72" personId="{2A5DBB96-E1DB-4873-9365-F1E41F569A40}" id="{26DDBF23-FAD6-48D6-910B-E64597EE16EE}">
    <text>The number of dittographic add-omits that are, in fact, additions. I.e., the number of additions that result in dittography</text>
  </threadedComment>
  <threadedComment ref="E970" dT="2023-09-09T16:34:19.48" personId="{2A5DBB96-E1DB-4873-9365-F1E41F569A40}" id="{6CD300B9-2280-4F5A-ADD3-A086A38CF59D}">
    <text>The number of dittographic add-omits that are, in fact, omissions. I.e., the number omissions where the omitted word(s) is/are dittographies</text>
  </threadedComment>
  <threadedComment ref="D975" dT="2024-01-06T19:48:13.17" personId="{2A5DBB96-E1DB-4873-9365-F1E41F569A40}" id="{A819B094-B5B0-405A-A3E3-B0FFE946F9AB}">
    <text>Additions of one word</text>
  </threadedComment>
  <threadedComment ref="E975" dT="2024-01-06T19:48:24.08" personId="{2A5DBB96-E1DB-4873-9365-F1E41F569A40}" id="{66D472F8-6268-4C6F-AA97-9BBF1875CAF2}">
    <text>Omissions of one word</text>
  </threadedComment>
  <threadedComment ref="F975" dT="2024-01-06T19:49:49.67" personId="{2A5DBB96-E1DB-4873-9365-F1E41F569A40}" id="{75D1BD89-EF02-4F81-A21E-8C51FE45DB64}">
    <text>Add ratio for single-word variants</text>
  </threadedComment>
  <threadedComment ref="D976" dT="2024-01-06T19:48:46.30" personId="{2A5DBB96-E1DB-4873-9365-F1E41F569A40}" id="{7DD2130A-620E-4D89-A958-8F006D1F00E6}">
    <text>Additions of 2-3 words</text>
  </threadedComment>
  <threadedComment ref="E976" dT="2024-01-06T19:49:11.26" personId="{2A5DBB96-E1DB-4873-9365-F1E41F569A40}" id="{C96DEF1F-2FC2-4328-A9C3-55982300F138}">
    <text>Omissions of 2-3 words</text>
  </threadedComment>
  <threadedComment ref="F976" dT="2024-01-06T19:50:08.15" personId="{2A5DBB96-E1DB-4873-9365-F1E41F569A40}" id="{81E75718-ABCE-4E2F-9661-EB50F5C0EE30}">
    <text>Add ratio for variants of 2-3 words</text>
  </threadedComment>
  <threadedComment ref="D977" dT="2024-01-06T19:48:58.81" personId="{2A5DBB96-E1DB-4873-9365-F1E41F569A40}" id="{DB6ECBCC-5E5E-4947-ADB8-80E1F07BFD85}">
    <text>Additions of 4 or more words</text>
  </threadedComment>
  <threadedComment ref="E977" dT="2024-01-06T19:49:22.83" personId="{2A5DBB96-E1DB-4873-9365-F1E41F569A40}" id="{EA93BFF6-36F1-4D1A-A390-E58181C5F00C}">
    <text>Omissions of 4 or more words</text>
  </threadedComment>
  <threadedComment ref="F977" dT="2024-01-06T19:50:20.70" personId="{2A5DBB96-E1DB-4873-9365-F1E41F569A40}" id="{9946F17C-AE3D-41E1-AC67-0C0F76540EEC}">
    <text>Add ratio for variants of 4 or more words</text>
  </threadedComment>
  <threadedComment ref="C980" dT="2023-09-09T16:27:49.68" personId="{2A5DBB96-E1DB-4873-9365-F1E41F569A40}" id="{9F608CAA-34B8-45F8-A079-45FE32601AEE}">
    <text>Number of words added or omitted</text>
  </threadedComment>
  <threadedComment ref="D980" dT="2023-09-09T16:28:21.63" personId="{2A5DBB96-E1DB-4873-9365-F1E41F569A40}" id="{70537C64-0D91-407F-8A27-5D89D4CA8CF0}">
    <text>Number of additions involving the number of words specified in the "Length" column</text>
  </threadedComment>
  <threadedComment ref="E980" dT="2023-09-09T16:28:41.21" personId="{2A5DBB96-E1DB-4873-9365-F1E41F569A40}" id="{78B9BC9E-4177-4091-9899-174101C6A686}">
    <text>Number of omissions involving the number of words specified in the "Length" column</text>
  </threadedComment>
  <threadedComment ref="F980" dT="2023-09-09T16:29:25.88" personId="{2A5DBB96-E1DB-4873-9365-F1E41F569A40}" id="{BF99663C-FC17-40E3-A80C-455A60EBF136}">
    <text>The addition rate for add-omits involving the number of words indicated in the "Length" column</text>
  </threadedComment>
  <threadedComment ref="E988" dT="2024-01-15T11:53:38.99" personId="{2A5DBB96-E1DB-4873-9365-F1E41F569A40}" id="{C1B7419B-080A-4CCA-88E7-D74C747CA6C1}">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2A5DBB96-E1DB-4873-9365-F1E41F569A40}" id="{522F2758-2745-4163-B675-1C3E42F8DA9B}">
    <text>Derived variable indicating the number of times per 1000 words the added or omitted word occurs. Thus, Freq-per-10,000 = (AO Word Frequency / Words in Corpus) * 10,000</text>
  </threadedComment>
  <threadedComment ref="D671" dT="2024-01-15T11:53:38.99" personId="{2A5DBB96-E1DB-4873-9365-F1E41F569A40}" id="{8D1CF3B5-B59B-4947-98A8-B10099907E0D}">
    <text>Total word count for corpus. Figure taken from Accordance "Word Count Totals" analysis. Search for word "*" specifying [RANGE &lt;CONTENT&gt;]. E.g., for 1 Samuel - 2 Kings in Alexandrinus, search for "* [RANGE 1 Sam - 2 Kings]" in LXX Rahlfs.</text>
  </threadedComment>
  <threadedComment ref="D672" dT="2024-01-15T16:09:47.97" personId="{2A5DBB96-E1DB-4873-9365-F1E41F569A40}" id="{91863D22-C10C-4DF5-9F22-88BE8C404717}">
    <text>Median word frequency</text>
  </threadedComment>
  <threadedComment ref="D675" dT="2024-01-16T15:49:15.06" personId="{2A5DBB96-E1DB-4873-9365-F1E41F569A40}" id="{26E460E1-0292-4C17-91D6-755C7F71DC44}">
    <text>Higher-frequency additions: the number of additions among variants whose word frequency was equal to or above the median</text>
  </threadedComment>
  <threadedComment ref="D676" dT="2024-01-16T15:49:42.55" personId="{2A5DBB96-E1DB-4873-9365-F1E41F569A40}" id="{D29C2D7C-60AB-4233-80FC-6F418509E78F}">
    <text xml:space="preserve">Higher-frequency omissions: the number of omissions among variants whose word frequency was equal to or above the median
</text>
  </threadedComment>
  <threadedComment ref="D677" dT="2024-01-16T15:50:17.80" personId="{2A5DBB96-E1DB-4873-9365-F1E41F569A40}" id="{EC9FC04C-59D5-4BD5-A283-AACF8E00F1E2}">
    <text>Higher-frequency add ratio: the add ratio among variants whose word frequency was equal to or above the median</text>
  </threadedComment>
  <threadedComment ref="D678" dT="2024-01-16T15:50:43.11" personId="{2A5DBB96-E1DB-4873-9365-F1E41F569A40}" id="{9A509DD0-8335-421B-B09A-AECECD700030}">
    <text xml:space="preserve">Lower-frequency additions: the number of additions among variants whose word frequency was below the median
</text>
  </threadedComment>
  <threadedComment ref="D679" dT="2024-01-16T15:52:18.36" personId="{2A5DBB96-E1DB-4873-9365-F1E41F569A40}" id="{70EFA4C8-DFBD-40E4-8228-F3A2656FE67F}">
    <text>Higher-frequency omissions: the number of omissions among variants whose word frequency was below  the median</text>
  </threadedComment>
  <threadedComment ref="D680" dT="2024-01-16T15:51:50.24" personId="{2A5DBB96-E1DB-4873-9365-F1E41F569A40}" id="{8E998E10-ADFD-4287-8C9A-D9F757C2F19C}">
    <text xml:space="preserve">Lower-frequency add ratio: the add ratio among variants whose word frequency was below the median
</text>
  </threadedComment>
  <threadedComment ref="D683" dT="2024-01-16T15:56:55.41" personId="{2A5DBB96-E1DB-4873-9365-F1E41F569A40}" id="{999CE100-59C9-407A-9049-A2D86F044D03}">
    <text>Articular additions: the number of additions of an article</text>
  </threadedComment>
  <threadedComment ref="D684" dT="2024-01-16T16:01:25.48" personId="{2A5DBB96-E1DB-4873-9365-F1E41F569A40}" id="{A7E62005-0AEC-4508-BD96-57A404FE346E}">
    <text>Articular omissions: the number of omissions of an article</text>
  </threadedComment>
  <threadedComment ref="D685" dT="2024-01-16T16:01:49.04" personId="{2A5DBB96-E1DB-4873-9365-F1E41F569A40}" id="{6AB02FB0-2B8D-4F48-BE60-3E690176B55B}">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Q1" dT="2024-01-15T15:51:08.85" personId="{2A5DBB96-E1DB-4873-9365-F1E41F569A40}" id="{0A60595A-F5CA-4831-8DBF-26F8BFEE7041}">
    <text>Derived variable indicating the number of times per 1000 words the added or omitted word occurs. Thus, Freq-per-10,000 = (AO Word Frequency / Words in Corpus) * 10,000</text>
  </threadedComment>
  <threadedComment ref="D129" dT="2024-01-15T11:53:38.99" personId="{2A5DBB96-E1DB-4873-9365-F1E41F569A40}" id="{78189478-CE70-445A-A899-449104E3C7FF}">
    <text>Total word count for corpus. Figure taken from Accordance "Word Count Totals" analysis. Search for word "*" specifying [RANGE &lt;CONTENT&gt;]. E.g., for 1 Samuel - 2 Kings in Alexandrinus, search for "* [RANGE 1 Sam - 2 Kings]" in LXX Rahlfs.</text>
  </threadedComment>
  <threadedComment ref="D130" dT="2024-01-15T16:09:47.97" personId="{2A5DBB96-E1DB-4873-9365-F1E41F569A40}" id="{631DFB02-899D-4BA0-A4A7-672245B0433A}">
    <text>Median word frequency</text>
  </threadedComment>
  <threadedComment ref="D133" dT="2024-01-16T15:49:15.06" personId="{2A5DBB96-E1DB-4873-9365-F1E41F569A40}" id="{CD68CDB1-F1B7-4D98-8381-1AB5E3778E1F}">
    <text>Higher-frequency additions: the number of additions among variants whose word frequency was equal to or above the median</text>
  </threadedComment>
  <threadedComment ref="D134" dT="2024-01-16T15:49:42.55" personId="{2A5DBB96-E1DB-4873-9365-F1E41F569A40}" id="{A10C1E93-C7C6-4E58-B9B9-350A1587DECC}">
    <text xml:space="preserve">Higher-frequency omissions: the number of omissions among variants whose word frequency was equal to or above the median
</text>
  </threadedComment>
  <threadedComment ref="D135" dT="2024-01-16T15:50:17.80" personId="{2A5DBB96-E1DB-4873-9365-F1E41F569A40}" id="{D0EF186E-0CE0-4729-B379-94C54486A7FD}">
    <text>Higher-frequency add ratio: the add ratio among variants whose word frequency was equal to or above the median</text>
  </threadedComment>
  <threadedComment ref="D136" dT="2024-01-16T15:50:43.11" personId="{2A5DBB96-E1DB-4873-9365-F1E41F569A40}" id="{8C59654E-CCFB-4550-BF70-3CD03C2DD110}">
    <text xml:space="preserve">Lower-frequency additions: the number of additions among variants whose word frequency was below the median
</text>
  </threadedComment>
  <threadedComment ref="D137" dT="2024-01-16T15:52:18.36" personId="{2A5DBB96-E1DB-4873-9365-F1E41F569A40}" id="{752189A5-B4AB-4C3E-91E3-D0EB45E2FC2F}">
    <text>Higher-frequency omissions: the number of omissions among variants whose word frequency was below  the median</text>
  </threadedComment>
  <threadedComment ref="D138" dT="2024-01-16T15:51:50.24" personId="{2A5DBB96-E1DB-4873-9365-F1E41F569A40}" id="{0D2554BC-85B6-495C-BFEE-D9ED052EFC90}">
    <text xml:space="preserve">Lower-frequency add ratio: the add ratio among variants whose word frequency was below the median
</text>
  </threadedComment>
  <threadedComment ref="D139" dT="2024-01-22T14:15:25.14" personId="{2A5DBB96-E1DB-4873-9365-F1E41F569A40}" id="{1935A1E2-4BA5-4393-BB8F-DA8C572E7801}">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R1" dT="2024-01-16T10:00:06.98" personId="{2A5DBB96-E1DB-4873-9365-F1E41F569A40}" id="{E5F3AEC0-4458-4224-BFA7-78824C22AE6F}">
    <text>For substitutions, the word frequency of the apograph reading</text>
  </threadedComment>
  <threadedComment ref="S1" dT="2024-01-16T09:59:48.08" personId="{2A5DBB96-E1DB-4873-9365-F1E41F569A40}" id="{EEAAE5B9-3E54-47E8-9C27-3FEAF20FEEF9}">
    <text>For substitutions, the word frequency of the autograph reading</text>
  </threadedComment>
  <threadedComment ref="T1" dT="2024-01-16T12:04:07.25" personId="{2A5DBB96-E1DB-4873-9365-F1E41F569A40}" id="{873E0A65-1475-4B1D-8E18-60B507E15D75}">
    <text>Frequency occurrence of autograph reading per 10,000 words of text</text>
  </threadedComment>
  <threadedComment ref="U1" dT="2024-01-16T12:04:21.22" personId="{2A5DBB96-E1DB-4873-9365-F1E41F569A40}" id="{2452A8AB-F250-48B4-99B8-B5632C0A6B01}">
    <text>Frequency occurrence of apograph reading per 10,000 words of text</text>
  </threadedComment>
  <threadedComment ref="V1" dT="2024-01-16T12:05:32.46" personId="{2A5DBB96-E1DB-4873-9365-F1E41F569A40}" id="{B429647F-14CA-46C2-A22C-C0DCF3822B60}">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353" dT="2024-01-15T11:53:38.99" personId="{2A5DBB96-E1DB-4873-9365-F1E41F569A40}" id="{DB9C3F31-031C-4A56-B34C-E6FB0A8F14F4}">
    <text>Total word count for corpus. Figure taken from Accordance "Word Count Totals" analysis. Search for word "*" specifying [RANGE &lt;CONTENT&gt;]. E.g., for 1 Samuel - 2 Kings in Alexandrinus, search for "* [RANGE 1 Sam - 2 Kings]" in LXX Rahlfs.</text>
  </threadedComment>
  <threadedComment ref="D356" dT="2024-01-16T16:24:54.84" personId="{2A5DBB96-E1DB-4873-9365-F1E41F569A40}" id="{A398A020-7632-4415-B2C4-0BD2982CFBB3}">
    <text>Number of variants where the scribe used a more common/frequent word in place of a less common/frequent word</text>
  </threadedComment>
  <threadedComment ref="D357" dT="2024-01-16T16:25:18.29" personId="{2A5DBB96-E1DB-4873-9365-F1E41F569A40}" id="{75C20A1A-49B2-41A2-B65B-5BBF24FAAEF3}">
    <text>Number of variants where the scribe used a less common/frequent word in place of a more  common/frequent word</text>
  </threadedComment>
  <threadedComment ref="D358" dT="2024-01-16T16:26:16.57" personId="{2A5DBB96-E1DB-4873-9365-F1E41F569A40}" id="{D5BA6A77-10DA-49DA-A22D-11E4820AA2A7}">
    <text>Probability based on 2-tailed sign test: probability of obtaining a result as extreme as or more extreme than that shown above</text>
  </threadedComment>
  <threadedComment ref="D360" dT="2024-01-16T16:28:22.68" personId="{2A5DBB96-E1DB-4873-9365-F1E41F569A40}" id="{5793F83E-61A8-47C5-A9AE-10CF8F16AA69}">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361" dT="2024-01-16T16:28:51.78" personId="{2A5DBB96-E1DB-4873-9365-F1E41F569A40}" id="{1CBA104B-76F4-4686-BC42-0F4A5E61BE6B}">
    <text>Standard deviation of the word frequency difference for substitutions</text>
  </threadedComment>
  <threadedComment ref="D364" dT="2024-01-16T16:30:57.18" personId="{2A5DBB96-E1DB-4873-9365-F1E41F569A40}" id="{FBFC0E51-5D75-41CD-BBF0-C089FF7F99CE}">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365" dT="2024-01-16T16:31:30.62" personId="{2A5DBB96-E1DB-4873-9365-F1E41F569A40}" id="{5C8C6914-D0DA-49A0-A3F2-DD3AE1A1F8FB}">
    <text>Standard deviation of the change in word frequency, using the frequency measure of "occurrences per 10,000 words"</text>
  </threadedComment>
  <threadedComment ref="D368" dT="2024-01-22T16:14:41.99" personId="{2A5DBB96-E1DB-4873-9365-F1E41F569A40}" id="{09CCC1EC-D689-4BB0-A00F-8169516CC9BA}">
    <text>Total number of substitutions for which a word frequency difference could be calculated</text>
  </threadedComment>
  <threadedComment ref="D369" dT="2024-01-22T17:13:39.02" personId="{2A5DBB96-E1DB-4873-9365-F1E41F569A40}" id="{0356C607-1350-4145-9727-D51411B488E5}">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2A5DBB96-E1DB-4873-9365-F1E41F569A40}" id="{400128A8-38C1-44F1-B926-1786183F0A14}">
    <text>For substitutions, the word frequency of the apograph reading</text>
  </threadedComment>
  <threadedComment ref="T1" dT="2024-01-16T09:59:48.08" personId="{2A5DBB96-E1DB-4873-9365-F1E41F569A40}" id="{0499DB51-C85B-4A69-B810-720B1F787637}">
    <text>For substitutions, the word frequency of the autograph reading</text>
  </threadedComment>
  <threadedComment ref="D69" dT="2024-01-24T17:15:11.25" personId="{2A5DBB96-E1DB-4873-9365-F1E41F569A40}" id="{4143BFE5-C3B5-4696-A79F-B41B65D82743}">
    <text>The number of variants that harmonized to parallel phrases in the near context</text>
  </threadedComment>
  <threadedComment ref="D70" dT="2024-01-24T17:15:35.01" personId="{2A5DBB96-E1DB-4873-9365-F1E41F569A40}" id="{43F63057-9992-43A2-8FC5-09F8BED26FD1}">
    <text>The number of variants that disharmonized from  parallel phrases in the near context</text>
  </threadedComment>
  <threadedComment ref="D71" dT="2024-01-24T17:16:15.06" personId="{2A5DBB96-E1DB-4873-9365-F1E41F569A40}" id="{898BF3D7-6362-4967-886E-18ECDBEF138A}">
    <text>The ratio of harmonizations to disharmonizations; = harmonizations / (harmonizations + disharmonizations)</text>
  </threadedComment>
  <threadedComment ref="E75" dT="2026-03-27T21:09:00.40" personId="{2A5DBB96-E1DB-4873-9365-F1E41F569A40}" id="{3A607057-BB1D-4DB1-B4F0-C82FF4AB21F8}">
    <text>ONLY those cases where influence from preceding material was possible and EXCLUDING cases where influence from following material was possible.</text>
  </threadedComment>
  <threadedComment ref="F75" dT="2026-03-26T18:54:36.97" personId="{2A5DBB96-E1DB-4873-9365-F1E41F569A40}" id="{9A4F6685-E277-48A5-B5F3-B7B07A138D14}">
    <text>All cases where influence from preceding material was possible.</text>
  </threadedComment>
  <threadedComment ref="G75" dT="2026-03-27T21:09:12.56" personId="{2A5DBB96-E1DB-4873-9365-F1E41F569A40}" id="{30C6D24C-11B5-4882-B895-492B2A835A17}">
    <text>ONLY those cases where influence from following material was possible and EXCLUDING cases where influence from preceding material was possible.</text>
  </threadedComment>
  <threadedComment ref="H75" dT="2026-03-26T18:55:05.59" personId="{2A5DBB96-E1DB-4873-9365-F1E41F569A40}" id="{F2241C37-6E7E-4314-94F7-972AC5808F0D}">
    <text>All cases where influence from following material was possible.</text>
  </threadedComment>
  <threadedComment ref="I75" dT="2026-03-26T18:56:11.72" personId="{2A5DBB96-E1DB-4873-9365-F1E41F569A40}" id="{FC56B621-8D69-4D8E-A77D-8BC6E8E1D17A}">
    <text>Only cases where verbal parallels existed both behind and after the variant in question and the direction of change in verbal similarity was the same.</text>
  </threadedComment>
  <threadedComment ref="J75" dT="2026-03-26T18:56:36.44" personId="{2A5DBB96-E1DB-4873-9365-F1E41F569A40}" id="{47B70FFA-9180-4593-A9A2-2DB5B6DC695C}">
    <text>All potential cases of verbal harmonization/disharmonization, forward and backward.</text>
  </threadedComment>
  <threadedComment ref="D76" dT="2024-01-24T17:15:11.25" personId="{2A5DBB96-E1DB-4873-9365-F1E41F569A40}" id="{D95399C8-3192-41B3-903B-5C8C79DC54F0}">
    <text>The number of variants that harmonized to parallel phrases in the near context</text>
  </threadedComment>
  <threadedComment ref="D77" dT="2024-01-24T17:15:35.01" personId="{2A5DBB96-E1DB-4873-9365-F1E41F569A40}" id="{031A6792-0F60-4CDD-B635-4560F66726E1}">
    <text>The number of variants that disharmonized from  parallel phrases in the near context</text>
  </threadedComment>
  <threadedComment ref="D78" dT="2024-01-24T17:16:15.06" personId="{2A5DBB96-E1DB-4873-9365-F1E41F569A40}" id="{6F60B3C2-52EC-40F6-9DF3-FBD089728D84}">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R1" dT="2024-01-16T10:00:06.98" personId="{2A5DBB96-E1DB-4873-9365-F1E41F569A40}" id="{828B08A0-D50B-47DD-BB1E-790EB1B997AD}">
    <text>For substitutions, the word frequency of the apograph reading</text>
  </threadedComment>
  <threadedComment ref="S1" dT="2024-01-16T09:59:48.08" personId="{2A5DBB96-E1DB-4873-9365-F1E41F569A40}" id="{3721C302-CD1D-4666-B4E1-FF2A0C371556}">
    <text>For substitutions, the word frequency of the autograph reading</text>
  </threadedComment>
</ThreadedComments>
</file>

<file path=xl/threadedComments/threadedComment9.xml><?xml version="1.0" encoding="utf-8"?>
<ThreadedComments xmlns="http://schemas.microsoft.com/office/spreadsheetml/2018/threadedcomments" xmlns:x="http://schemas.openxmlformats.org/spreadsheetml/2006/main">
  <threadedComment ref="R1" dT="2024-01-16T10:00:06.98" personId="{2A5DBB96-E1DB-4873-9365-F1E41F569A40}" id="{67B59779-BBDB-4E56-A970-141F5CD197CB}">
    <text>For substitutions, the word frequency of the apograph reading</text>
  </threadedComment>
  <threadedComment ref="S1" dT="2024-01-16T09:59:48.08" personId="{2A5DBB96-E1DB-4873-9365-F1E41F569A40}" id="{6167C02F-0811-4B1B-A22E-8467977DA39A}">
    <text>For substitutions, the word frequency of the autograph reading</text>
  </threadedComment>
  <threadedComment ref="F419" dT="2023-09-09T16:20:24.92" personId="{2A5DBB96-E1DB-4873-9365-F1E41F569A40}" id="{68223D04-0FFB-47AA-AB14-23D71EEEFE4A}">
    <text>Raw number of additions</text>
  </threadedComment>
  <threadedComment ref="B420" dT="2023-09-09T13:15:24.43" personId="{2A5DBB96-E1DB-4873-9365-F1E41F569A40}" id="{6CACD3A8-D0CF-43B6-8061-C4C27E225B13}">
    <text>"Low Meaning" words</text>
  </threadedComment>
  <threadedComment ref="C420" dT="2023-09-09T13:15:40.92" personId="{2A5DBB96-E1DB-4873-9365-F1E41F569A40}" id="{0EE5AB95-A85E-4FC7-9162-6CC1132F32A7}">
    <text>"High Meaning" words</text>
  </threadedComment>
  <threadedComment ref="F420" dT="2023-09-09T16:20:41.93" personId="{2A5DBB96-E1DB-4873-9365-F1E41F569A40}" id="{55957DB0-0635-4EF6-8EA3-D1BA21FBA941}">
    <text>Raw number of omissions</text>
  </threadedComment>
  <threadedComment ref="F421" dT="2023-09-09T16:21:30.82" personId="{2A5DBB96-E1DB-4873-9365-F1E41F569A40}" id="{41820A1E-CDE3-4E4B-B83B-AF4CC1FD11E9}">
    <text>% of add-omits that are additions</text>
  </threadedComment>
  <threadedComment ref="F424" dT="2023-09-09T16:22:43.13" personId="{2A5DBB96-E1DB-4873-9365-F1E41F569A40}" id="{CC99281C-DB17-459B-8D8B-3A32E7628CD9}">
    <text>Raw number of additions of "low meaning" words. See LM column for included word types (and adjust equation as necessary)</text>
  </threadedComment>
  <threadedComment ref="F425" dT="2023-09-09T16:23:00.73" personId="{2A5DBB96-E1DB-4873-9365-F1E41F569A40}" id="{1CA73CF3-F34D-46ED-A0E1-AA51578BD4AC}">
    <text>Raw number of omissions of "low meaning" words. See LM column for included word types (and adjust equation as necessary)</text>
  </threadedComment>
  <threadedComment ref="F426" dT="2023-09-09T16:23:25.50" personId="{2A5DBB96-E1DB-4873-9365-F1E41F569A40}" id="{CAFFF73E-9D07-4BB8-AA1F-33D7FBDB2AAE}">
    <text>Addition rate for "low meaning" words. See LM column for included word types (and adjust equation as necessary)</text>
  </threadedComment>
  <threadedComment ref="F429" dT="2023-09-09T16:26:23.57" personId="{2A5DBB96-E1DB-4873-9365-F1E41F569A40}" id="{F8551057-5C59-4889-82CE-DE59887819E0}">
    <text>Raw number of additions of "high meaning" words. See HM column for included word types (and adjust equation as necessary)</text>
  </threadedComment>
  <threadedComment ref="F430" dT="2023-09-09T16:26:53.68" personId="{2A5DBB96-E1DB-4873-9365-F1E41F569A40}" id="{B8BC1BC9-0850-42F0-BC76-FBB04FAC4BD1}">
    <text>Raw number of omissions of "high meaning" words. See HM column for included word types (and adjust equation as necessary)</text>
  </threadedComment>
  <threadedComment ref="F431" dT="2023-09-09T16:27:24.75" personId="{2A5DBB96-E1DB-4873-9365-F1E41F569A40}" id="{92C3AFA0-0C4D-4FBB-8260-C55E1AB03845}">
    <text>Addition rate for "high meaning" words. See HM column for included word types (and adjust equation as necessary)</text>
  </threadedComment>
  <threadedComment ref="D437" dT="2023-09-09T16:31:02.72" personId="{2A5DBB96-E1DB-4873-9365-F1E41F569A40}" id="{0D18C101-27AA-44FE-BF5B-D7E44F27B9E4}">
    <text>The number of add-omits where visual cues are present that are, in fact, additions. I.e., the number of additions that result in the presence of visual cues</text>
  </threadedComment>
  <threadedComment ref="E437" dT="2023-09-09T16:31:50.60" personId="{2A5DBB96-E1DB-4873-9365-F1E41F569A40}" id="{72409DCA-108B-4799-83B9-97159F3757ED}">
    <text>The number of add-omits where visual cues are NOT present that are, in fact, additions. I.e., the number of additions that generate no visual cues</text>
  </threadedComment>
  <threadedComment ref="F437" dT="2023-09-09T16:33:25.83" personId="{2A5DBB96-E1DB-4873-9365-F1E41F569A40}" id="{0F0CDF9B-FA58-4CF8-A3F7-B3389A537757}">
    <text>The percentage of add-omits where visual cues are present that are, in fact, additions. I.e., a percent frequency indicating how often an addition generates visual cues</text>
  </threadedComment>
  <threadedComment ref="D438" dT="2023-09-09T16:34:19.48" personId="{2A5DBB96-E1DB-4873-9365-F1E41F569A40}" id="{C3394CB6-D16C-496C-B75D-E60B8E9B4773}">
    <text>The number of add-omits where visual cues are present that are, in fact, omissions. I.e., the number of times that omissions occurred in the presence of visual cues</text>
  </threadedComment>
  <threadedComment ref="E438" dT="2023-09-09T16:34:51.06" personId="{2A5DBB96-E1DB-4873-9365-F1E41F569A40}" id="{39BDD312-A868-494D-B636-E21B054C3DF5}">
    <text>The number of add-omits where visual cues are NOT present that are, in fact, omissions. I.e., the number of times that omissions occurred in the absence of visual cues</text>
  </threadedComment>
  <threadedComment ref="F438" dT="2023-09-09T16:35:41.16" personId="{2A5DBB96-E1DB-4873-9365-F1E41F569A40}" id="{A45471A7-0012-453A-8FFA-4E6F58985C0D}">
    <text>The percentage of add-omits where visual cues are present that are, in fact, omissions. I.e., the percentage of omissions that could plausibly be due to visual cues</text>
  </threadedComment>
  <threadedComment ref="D439" dT="2023-09-09T16:36:05.81" personId="{2A5DBB96-E1DB-4873-9365-F1E41F569A40}" id="{785BDB56-CE40-46B3-971B-E921FE64D1B5}">
    <text>The total number of add-omits that involve visual cues</text>
  </threadedComment>
  <threadedComment ref="E439" dT="2023-09-09T16:38:54.43" personId="{2A5DBB96-E1DB-4873-9365-F1E41F569A40}" id="{5024A76F-8CD3-4DA4-9481-1F2E21583FDB}">
    <text>The total number of add-omits that involve NO visual cues (given the definition of this project, i.e., 3-character minimum similarity in critical regions)</text>
  </threadedComment>
  <threadedComment ref="F439" dT="2023-09-09T16:39:12.76" personId="{2A5DBB96-E1DB-4873-9365-F1E41F569A40}" id="{9B30776D-4F44-4391-9CAD-F839D2A56CC0}">
    <text>The percentage of all add-omits that involve visual cues</text>
  </threadedComment>
  <threadedComment ref="D443" dT="2023-09-09T16:31:50.60" personId="{2A5DBB96-E1DB-4873-9365-F1E41F569A40}" id="{ED53D1E8-DF61-4D43-8524-20FC7AACE01C}">
    <text>The number of add-omits where visual cues are NOT present that are, in fact, additions. I.e., the number of additions that generate no visual cues</text>
  </threadedComment>
  <threadedComment ref="E443" dT="2023-09-09T16:34:51.06" personId="{2A5DBB96-E1DB-4873-9365-F1E41F569A40}" id="{3C26BEFB-10F6-4743-B391-719081A11F6C}">
    <text>The number of add-omits where visual cues are NOT present that are, in fact, omissions. I.e., the number of times that omissions occurred in the absence of visual cues</text>
  </threadedComment>
  <threadedComment ref="D444" dT="2023-09-09T16:31:02.72" personId="{2A5DBB96-E1DB-4873-9365-F1E41F569A40}" id="{7E9BD926-64BD-4B55-A003-63402446A380}">
    <text>The number of add-omits where visual cues are present that are, in fact, additions. I.e., the number of additions that result in the presence of visual cues</text>
  </threadedComment>
  <threadedComment ref="E444" dT="2023-09-09T16:34:19.48" personId="{2A5DBB96-E1DB-4873-9365-F1E41F569A40}" id="{7930AD3A-C02E-4FD3-B2B5-F16E16333E77}">
    <text>The number of add-omits where visual cues are present that are, in fact, omissions. I.e., the number of times that omissions occurred in the presence of visual cues</text>
  </threadedComment>
  <threadedComment ref="D449" dT="2023-09-09T16:31:50.60" personId="{2A5DBB96-E1DB-4873-9365-F1E41F569A40}" id="{A4430C54-0D87-4007-A92B-44EA4B2FE932}">
    <text>The number of non-dittographic add-omits that are, in fact, additions. I.e., the number of additions that do not result in dittography</text>
  </threadedComment>
  <threadedComment ref="E449" dT="2023-09-09T16:34:51.06" personId="{2A5DBB96-E1DB-4873-9365-F1E41F569A40}" id="{ADE4CFD5-AA50-4202-9616-9F7196A68512}">
    <text>The number of non-dittographic add-omits that are, in fact, omissions. I.e., the number of omissions that did not undo a dittographic reading</text>
  </threadedComment>
  <threadedComment ref="D450" dT="2023-09-09T16:31:02.72" personId="{2A5DBB96-E1DB-4873-9365-F1E41F569A40}" id="{BCFD1105-998A-4D64-AA00-B39AC80C1F33}">
    <text>The number of dittographic add-omits that are, in fact, additions. I.e., the number of additions that result in dittography</text>
  </threadedComment>
  <threadedComment ref="E450" dT="2023-09-09T16:34:19.48" personId="{2A5DBB96-E1DB-4873-9365-F1E41F569A40}" id="{7496C6C7-7C06-484A-9782-39E609401374}">
    <text>The number of dittographic add-omits that are, in fact, omissions. I.e., the number omissions where the omitted word(s) is/are dittographies</text>
  </threadedComment>
  <threadedComment ref="D455" dT="2024-01-06T19:48:13.17" personId="{2A5DBB96-E1DB-4873-9365-F1E41F569A40}" id="{CA846D68-8C55-40E8-852F-A657530E32DD}">
    <text>Additions of one word</text>
  </threadedComment>
  <threadedComment ref="E455" dT="2024-01-06T19:48:24.08" personId="{2A5DBB96-E1DB-4873-9365-F1E41F569A40}" id="{48E0CB95-20BA-46DF-970D-9EAC64CB842F}">
    <text>Omissions of one word</text>
  </threadedComment>
  <threadedComment ref="F455" dT="2024-01-06T19:49:49.67" personId="{2A5DBB96-E1DB-4873-9365-F1E41F569A40}" id="{272E405F-EA04-48E1-9EC4-78B2D99ADBDE}">
    <text>Add ratio for single-word variants</text>
  </threadedComment>
  <threadedComment ref="D456" dT="2024-01-06T19:48:46.30" personId="{2A5DBB96-E1DB-4873-9365-F1E41F569A40}" id="{97BA309C-2670-4FE5-9BE0-647DC13E36AB}">
    <text>Additions of 2-3 words</text>
  </threadedComment>
  <threadedComment ref="E456" dT="2024-01-06T19:49:11.26" personId="{2A5DBB96-E1DB-4873-9365-F1E41F569A40}" id="{09F88AF8-FE07-4B0E-950C-6AEB6279CBB0}">
    <text>Omissions of 2-3 words</text>
  </threadedComment>
  <threadedComment ref="F456" dT="2024-01-06T19:50:08.15" personId="{2A5DBB96-E1DB-4873-9365-F1E41F569A40}" id="{E2E0AB22-5E33-498B-99CC-5C4D345873F7}">
    <text>Add ratio for variants of 2-3 words</text>
  </threadedComment>
  <threadedComment ref="D457" dT="2024-01-06T19:48:58.81" personId="{2A5DBB96-E1DB-4873-9365-F1E41F569A40}" id="{ECE3F939-C0F1-484B-836A-DED683BDE0AC}">
    <text>Additions of 4 or more words</text>
  </threadedComment>
  <threadedComment ref="E457" dT="2024-01-06T19:49:22.83" personId="{2A5DBB96-E1DB-4873-9365-F1E41F569A40}" id="{A58799AE-0ABF-4BCE-95E4-678D62AFDDD2}">
    <text>Omissions of 4 or more words</text>
  </threadedComment>
  <threadedComment ref="F457" dT="2024-01-06T19:50:20.70" personId="{2A5DBB96-E1DB-4873-9365-F1E41F569A40}" id="{DE0741DD-04D5-4C22-AE88-D60080F3E0F6}">
    <text>Add ratio for variants of 4 or more words</text>
  </threadedComment>
  <threadedComment ref="C460" dT="2023-09-09T16:27:49.68" personId="{2A5DBB96-E1DB-4873-9365-F1E41F569A40}" id="{276847E5-150F-4338-ADDD-22D51FCE3E66}">
    <text>Number of words added or omitted</text>
  </threadedComment>
  <threadedComment ref="D460" dT="2023-09-09T16:28:21.63" personId="{2A5DBB96-E1DB-4873-9365-F1E41F569A40}" id="{47ACAC0A-5149-4899-8808-851BA65EA6D2}">
    <text>Number of additions involving the number of words specified in the "Length" column</text>
  </threadedComment>
  <threadedComment ref="E460" dT="2023-09-09T16:28:41.21" personId="{2A5DBB96-E1DB-4873-9365-F1E41F569A40}" id="{2793B8CB-CB4C-4B44-99B8-C5EA06A65A74}">
    <text>Number of omissions involving the number of words specified in the "Length" column</text>
  </threadedComment>
  <threadedComment ref="F460" dT="2023-09-09T16:29:25.88" personId="{2A5DBB96-E1DB-4873-9365-F1E41F569A40}" id="{35DED24C-8479-4947-BD77-9125F889550D}">
    <text>The addition rate for add-omits involving the number of words indicated in the "Length" column</text>
  </threadedComment>
  <threadedComment ref="E468" dT="2024-01-15T11:53:38.99" personId="{2A5DBB96-E1DB-4873-9365-F1E41F569A40}" id="{5BB22F32-6E87-4BEB-A7B0-BB4A12556506}">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10.xml><?xml version="1.0" encoding="utf-8"?>
<ThreadedComments xmlns="http://schemas.microsoft.com/office/spreadsheetml/2018/threadedcomments" xmlns:x="http://schemas.openxmlformats.org/spreadsheetml/2006/main">
  <threadedComment ref="R1" dT="2024-01-16T10:00:06.98" personId="{2A5DBB96-E1DB-4873-9365-F1E41F569A40}" id="{1CFE7F8C-615D-4458-8E78-2B32B78BFE9F}">
    <text>For substitutions, the word frequency of the apograph reading</text>
  </threadedComment>
  <threadedComment ref="S1" dT="2024-01-16T09:59:48.08" personId="{2A5DBB96-E1DB-4873-9365-F1E41F569A40}" id="{89924E40-BB35-4555-B96D-54541174EC7A}">
    <text>For substitutions, the word frequency of the autograph reading</text>
  </threadedComment>
  <threadedComment ref="D279" dT="2024-01-15T11:53:38.99" personId="{2A5DBB96-E1DB-4873-9365-F1E41F569A40}" id="{3C1FBA8A-41C4-4A55-8EDD-0F9E83C7F88B}">
    <text>Total word count for corpus. Figure taken from Accordance "Word Count Totals" analysis. Search for word "*" specifying [RANGE &lt;CONTENT&gt;]. E.g., for 1 Samuel - 2 Kings in Alexandrinus, search for "* [RANGE 1 Sam - 2 Kings]" in LXX Rahlfs.</text>
  </threadedComment>
  <threadedComment ref="D280" dT="2024-01-15T16:09:47.97" personId="{2A5DBB96-E1DB-4873-9365-F1E41F569A40}" id="{673D6C97-F717-4BFB-9219-86DBECED6E6B}">
    <text>Median word frequency</text>
  </threadedComment>
  <threadedComment ref="D283" dT="2024-01-16T15:49:15.06" personId="{2A5DBB96-E1DB-4873-9365-F1E41F569A40}" id="{8E81BA50-FECA-41FC-91B9-9422B84A8D03}">
    <text>Higher-frequency additions: the number of additions among variants whose word frequency was equal to or above the median</text>
  </threadedComment>
  <threadedComment ref="D284" dT="2024-01-16T15:49:42.55" personId="{2A5DBB96-E1DB-4873-9365-F1E41F569A40}" id="{11EEF97F-6C8D-4A44-9763-AD35CAC18EA3}">
    <text xml:space="preserve">Higher-frequency omissions: the number of omissions among variants whose word frequency was equal to or above the median
</text>
  </threadedComment>
  <threadedComment ref="D285" dT="2024-01-16T15:50:17.80" personId="{2A5DBB96-E1DB-4873-9365-F1E41F569A40}" id="{028DDDEB-FC77-4558-9FBE-B4A548DF81F0}">
    <text>Higher-frequency add ratio: the add ratio among variants whose word frequency was equal to or above the median</text>
  </threadedComment>
  <threadedComment ref="D286" dT="2024-01-16T15:50:43.11" personId="{2A5DBB96-E1DB-4873-9365-F1E41F569A40}" id="{24FD5696-4DD3-4ECC-BE2F-0BCEC90A5471}">
    <text xml:space="preserve">Lower-frequency additions: the number of additions among variants whose word frequency was below the median
</text>
  </threadedComment>
  <threadedComment ref="D287" dT="2024-01-16T15:52:18.36" personId="{2A5DBB96-E1DB-4873-9365-F1E41F569A40}" id="{97A5ED36-004C-4401-A09D-1C4D63E1CCDB}">
    <text>Higher-frequency omissions: the number of omissions among variants whose word frequency was below  the median</text>
  </threadedComment>
  <threadedComment ref="D288" dT="2024-01-16T15:51:50.24" personId="{2A5DBB96-E1DB-4873-9365-F1E41F569A40}" id="{7B04D8D8-084C-4AB7-A921-661CF5B7A136}">
    <text xml:space="preserve">Lower-frequency add ratio: the add ratio among variants whose word frequency was below the median
</text>
  </threadedComment>
  <threadedComment ref="D291" dT="2024-01-16T15:56:55.41" personId="{2A5DBB96-E1DB-4873-9365-F1E41F569A40}" id="{4F92C736-0196-4ADE-A4EE-0880DDBE4908}">
    <text>Articular additions: the number of additions of an article</text>
  </threadedComment>
  <threadedComment ref="D292" dT="2024-01-16T16:01:25.48" personId="{2A5DBB96-E1DB-4873-9365-F1E41F569A40}" id="{6CBCDDFE-18E2-4A80-8755-EA1166B9C021}">
    <text>Articular omissions: the number of omissions of an article</text>
  </threadedComment>
  <threadedComment ref="D293" dT="2024-01-16T16:01:49.04" personId="{2A5DBB96-E1DB-4873-9365-F1E41F569A40}" id="{E359062D-83DD-4D7B-B5CD-BF47F20E84C4}">
    <text>Articular add ratio: the add ratio for the definite article</text>
  </threadedComment>
</ThreadedComments>
</file>

<file path=xl/threadedComments/threadedComment11.xml><?xml version="1.0" encoding="utf-8"?>
<ThreadedComments xmlns="http://schemas.microsoft.com/office/spreadsheetml/2018/threadedcomments" xmlns:x="http://schemas.openxmlformats.org/spreadsheetml/2006/main">
  <threadedComment ref="R1" dT="2024-01-16T10:00:06.98" personId="{2A5DBB96-E1DB-4873-9365-F1E41F569A40}" id="{E3E64253-F4EA-45F5-B9AA-24EB9EDF4A44}">
    <text>For substitutions, the word frequency of the apograph reading</text>
  </threadedComment>
  <threadedComment ref="S1" dT="2024-01-16T09:59:48.08" personId="{2A5DBB96-E1DB-4873-9365-F1E41F569A40}" id="{2AE62C59-02D9-4A32-BF11-E65C5E5288E2}">
    <text>For substitutions, the word frequency of the autograph reading</text>
  </threadedComment>
  <threadedComment ref="D62" dT="2024-01-15T11:53:38.99" personId="{2A5DBB96-E1DB-4873-9365-F1E41F569A40}" id="{01435728-36C3-4079-A2D2-1963AAE23DAD}">
    <text>Total word count for corpus. Figure taken from Accordance "Word Count Totals" analysis. Search for word "*" specifying [RANGE &lt;CONTENT&gt;]. E.g., for 1 Samuel - 2 Kings in Alexandrinus, search for "* [RANGE 1 Sam - 2 Kings]" in LXX Rahlfs.</text>
  </threadedComment>
  <threadedComment ref="D63" dT="2024-01-15T16:09:47.97" personId="{2A5DBB96-E1DB-4873-9365-F1E41F569A40}" id="{1C6FD370-7861-4976-BCC4-70243AB6BC19}">
    <text>Median word frequency</text>
  </threadedComment>
  <threadedComment ref="D66" dT="2024-01-16T15:49:15.06" personId="{2A5DBB96-E1DB-4873-9365-F1E41F569A40}" id="{6204855A-5800-42DD-AAE1-EB195B4141B2}">
    <text>Higher-frequency additions: the number of additions among variants whose word frequency was equal to or above the median</text>
  </threadedComment>
  <threadedComment ref="D67" dT="2024-01-16T15:49:42.55" personId="{2A5DBB96-E1DB-4873-9365-F1E41F569A40}" id="{A47A3E61-1FDB-4AB3-B7C2-6360CE474802}">
    <text xml:space="preserve">Higher-frequency omissions: the number of omissions among variants whose word frequency was equal to or above the median
</text>
  </threadedComment>
  <threadedComment ref="D68" dT="2024-01-16T15:50:17.80" personId="{2A5DBB96-E1DB-4873-9365-F1E41F569A40}" id="{FE356B08-5E47-4124-B648-A20FFFA389DA}">
    <text>Higher-frequency add ratio: the add ratio among variants whose word frequency was equal to or above the median</text>
  </threadedComment>
  <threadedComment ref="D69" dT="2024-01-16T15:50:43.11" personId="{2A5DBB96-E1DB-4873-9365-F1E41F569A40}" id="{9DF089C0-A653-4C81-BC33-44132558E87F}">
    <text xml:space="preserve">Lower-frequency additions: the number of additions among variants whose word frequency was below the median
</text>
  </threadedComment>
  <threadedComment ref="D70" dT="2024-01-16T15:52:18.36" personId="{2A5DBB96-E1DB-4873-9365-F1E41F569A40}" id="{FE9C4290-F2B5-4125-AC5F-471CD2F6CF3F}">
    <text>Higher-frequency omissions: the number of omissions among variants whose word frequency was below  the median</text>
  </threadedComment>
  <threadedComment ref="D71" dT="2024-01-16T15:51:50.24" personId="{2A5DBB96-E1DB-4873-9365-F1E41F569A40}" id="{A335577A-1FB8-41F7-8A56-9559B742CDF6}">
    <text xml:space="preserve">Lower-frequency add ratio: the add ratio among variants whose word frequency was below the median
</text>
  </threadedComment>
  <threadedComment ref="D72" dT="2024-01-22T14:15:25.14" personId="{2A5DBB96-E1DB-4873-9365-F1E41F569A40}" id="{071AB4C1-D55E-4AFE-AEF7-3ADF70F0A862}">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12.xml><?xml version="1.0" encoding="utf-8"?>
<ThreadedComments xmlns="http://schemas.microsoft.com/office/spreadsheetml/2018/threadedcomments" xmlns:x="http://schemas.openxmlformats.org/spreadsheetml/2006/main">
  <threadedComment ref="R1" dT="2024-01-16T10:00:06.98" personId="{2A5DBB96-E1DB-4873-9365-F1E41F569A40}" id="{9F309F66-EE30-48BB-80C4-235076FA6C67}">
    <text>For substitutions, the word frequency of the apograph reading</text>
  </threadedComment>
  <threadedComment ref="S1" dT="2024-01-16T09:59:48.08" personId="{2A5DBB96-E1DB-4873-9365-F1E41F569A40}" id="{B45F4AD7-5539-4731-8783-6C6CAD66A0F0}">
    <text>For substitutions, the word frequency of the autograph reading</text>
  </threadedComment>
  <threadedComment ref="T1" dT="2024-01-16T12:04:07.25" personId="{2A5DBB96-E1DB-4873-9365-F1E41F569A40}" id="{28763041-720F-4321-9A9D-90A2FA009B5B}">
    <text>Frequency occurrence of autograph reading per 10,000 words of text</text>
  </threadedComment>
  <threadedComment ref="U1" dT="2024-01-16T12:04:21.22" personId="{2A5DBB96-E1DB-4873-9365-F1E41F569A40}" id="{5BB0AFA5-AD51-4921-8199-8352EAE4F72E}">
    <text>Frequency occurrence of apograph reading per 10,000 words of text</text>
  </threadedComment>
  <threadedComment ref="V1" dT="2024-01-16T12:05:32.46" personId="{2A5DBB96-E1DB-4873-9365-F1E41F569A40}" id="{E56537CA-7A1F-43CA-A7CA-15F126E598EF}">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D134" dT="2024-01-15T11:53:38.99" personId="{2A5DBB96-E1DB-4873-9365-F1E41F569A40}" id="{3A8EB923-FA54-40F8-A5B4-107BCDE1E44F}">
    <text>Total word count for corpus. Figure taken from Accordance "Word Count Totals" analysis. Search for word "*" specifying [RANGE &lt;CONTENT&gt;]. E.g., for 1 Samuel - 2 Kings in Alexandrinus, search for "* [RANGE 1 Sam - 2 Kings]" in LXX Rahlfs.</text>
  </threadedComment>
  <threadedComment ref="D137" dT="2024-01-16T16:24:54.84" personId="{2A5DBB96-E1DB-4873-9365-F1E41F569A40}" id="{8B4842AC-CCC6-48CF-A52D-9088EE976E55}">
    <text>Number of variants where the scribe used a more common/frequent word in place of a less common/frequent word</text>
  </threadedComment>
  <threadedComment ref="D138" dT="2024-01-16T16:25:18.29" personId="{2A5DBB96-E1DB-4873-9365-F1E41F569A40}" id="{13A4782F-EAAF-455A-A523-871E986419A2}">
    <text>Number of variants where the scribe used a less common/frequent word in place of a more  common/frequent word</text>
  </threadedComment>
  <threadedComment ref="D139" dT="2024-01-16T16:26:16.57" personId="{2A5DBB96-E1DB-4873-9365-F1E41F569A40}" id="{338826A3-CDA6-4FBF-8655-F3F359239DDC}">
    <text>Probability based on 2-tailed sign test: probability of obtaining a result as extreme as or more extreme than that shown above</text>
  </threadedComment>
  <threadedComment ref="D141" dT="2024-01-16T16:28:22.68" personId="{2A5DBB96-E1DB-4873-9365-F1E41F569A40}" id="{2622BA0A-991D-4CF3-92B9-8C7E08EAF101}">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142" dT="2024-01-16T16:28:51.78" personId="{2A5DBB96-E1DB-4873-9365-F1E41F569A40}" id="{4769F1BF-CB5F-4822-80B2-AC1333C2AA6F}">
    <text>Standard deviation of the word frequency difference for substitutions</text>
  </threadedComment>
  <threadedComment ref="D145" dT="2024-01-16T16:30:57.18" personId="{2A5DBB96-E1DB-4873-9365-F1E41F569A40}" id="{84D8577D-CF1E-467D-AD46-2946AF803530}">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146" dT="2024-01-16T16:31:30.62" personId="{2A5DBB96-E1DB-4873-9365-F1E41F569A40}" id="{57210686-28D3-463B-95FA-DD1D6E241110}">
    <text>Standard deviation of the change in word frequency, using the frequency measure of "occurrences per 10,000 words"</text>
  </threadedComment>
  <threadedComment ref="D149" dT="2024-01-22T16:14:41.99" personId="{2A5DBB96-E1DB-4873-9365-F1E41F569A40}" id="{D3B7BAED-D11F-4FA5-B988-E74351A2F0F3}">
    <text>Total number of substitutions for which a word frequency difference could be calculated</text>
  </threadedComment>
  <threadedComment ref="D150" dT="2024-01-22T17:13:39.02" personId="{2A5DBB96-E1DB-4873-9365-F1E41F569A40}" id="{20679BB4-A6B6-4F97-BC29-1DADA25ED2BE}">
    <text>The standard deviation of word frequency difference scores</text>
  </threadedComment>
</ThreadedComments>
</file>

<file path=xl/threadedComments/threadedComment13.xml><?xml version="1.0" encoding="utf-8"?>
<ThreadedComments xmlns="http://schemas.microsoft.com/office/spreadsheetml/2018/threadedcomments" xmlns:x="http://schemas.openxmlformats.org/spreadsheetml/2006/main">
  <threadedComment ref="S1" dT="2024-01-16T10:00:06.98" personId="{2A5DBB96-E1DB-4873-9365-F1E41F569A40}" id="{E7EF9E99-D68D-4413-85F3-4AEBCDF28A31}">
    <text>For substitutions, the word frequency of the apograph reading</text>
  </threadedComment>
  <threadedComment ref="T1" dT="2024-01-16T09:59:48.08" personId="{2A5DBB96-E1DB-4873-9365-F1E41F569A40}" id="{4E8113FF-2B82-49FF-8256-0A6B919B94B6}">
    <text>For substitutions, the word frequency of the autograph reading</text>
  </threadedComment>
  <threadedComment ref="D32" dT="2024-01-24T17:15:11.25" personId="{2A5DBB96-E1DB-4873-9365-F1E41F569A40}" id="{941C2E41-B4FB-4BE7-9DBF-1444B175CD97}">
    <text>The number of variants that harmonized to parallel phrases in the near context</text>
  </threadedComment>
  <threadedComment ref="D33" dT="2024-01-24T17:15:35.01" personId="{2A5DBB96-E1DB-4873-9365-F1E41F569A40}" id="{CB800672-72B9-4227-8040-2435E9AD6A71}">
    <text>The number of variants that disharmonized from  parallel phrases in the near context</text>
  </threadedComment>
  <threadedComment ref="D34" dT="2024-01-24T17:16:15.06" personId="{2A5DBB96-E1DB-4873-9365-F1E41F569A40}" id="{0F5D5125-DDBA-4F20-BE5B-8D66B10A60BE}">
    <text>The ratio of harmonizations to disharmonizations; = harmonizations / (harmonizations + disharmonizations)</text>
  </threadedComment>
  <threadedComment ref="E38" dT="2026-03-27T21:09:00.40" personId="{2A5DBB96-E1DB-4873-9365-F1E41F569A40}" id="{4400DCBE-8A62-4F32-9B8B-12F44A43C03D}">
    <text>ONLY those cases where influence from preceding material was possible and EXCLUDING cases where influence from following material was possible.</text>
  </threadedComment>
  <threadedComment ref="F38" dT="2026-03-26T18:54:36.97" personId="{2A5DBB96-E1DB-4873-9365-F1E41F569A40}" id="{CB383F23-B1BA-4B3E-A950-84BE46F1C97A}">
    <text>All cases where influence from preceding material was possible.</text>
  </threadedComment>
  <threadedComment ref="G38" dT="2026-03-27T21:09:12.56" personId="{2A5DBB96-E1DB-4873-9365-F1E41F569A40}" id="{0EBA2398-C374-4084-8296-C95ECF781354}">
    <text>ONLY those cases where influence from following material was possible and EXCLUDING cases where influence from preceding material was possible.</text>
  </threadedComment>
  <threadedComment ref="H38" dT="2026-03-26T18:55:05.59" personId="{2A5DBB96-E1DB-4873-9365-F1E41F569A40}" id="{D24C0A4E-2899-41FC-8966-FC9A6B7C281A}">
    <text>All cases where influence from following material was possible.</text>
  </threadedComment>
  <threadedComment ref="I38" dT="2026-03-26T18:56:11.72" personId="{2A5DBB96-E1DB-4873-9365-F1E41F569A40}" id="{AF194A3B-18CD-46EF-A1F0-2B95E05489C4}">
    <text>Only cases where verbal parallels existed both behind and after the variant in question and the direction of change in verbal similarity was the same.</text>
  </threadedComment>
  <threadedComment ref="J38" dT="2026-03-26T18:56:36.44" personId="{2A5DBB96-E1DB-4873-9365-F1E41F569A40}" id="{999D434D-3872-400E-91B0-FD955A073F6B}">
    <text>All potential cases of verbal harmonization/disharmonization, forward and backward.</text>
  </threadedComment>
  <threadedComment ref="D39" dT="2024-01-24T17:15:11.25" personId="{2A5DBB96-E1DB-4873-9365-F1E41F569A40}" id="{8C643FCD-0156-4775-9491-ACD8A7A56132}">
    <text>The number of variants that harmonized to parallel phrases in the near context</text>
  </threadedComment>
  <threadedComment ref="D40" dT="2024-01-24T17:15:35.01" personId="{2A5DBB96-E1DB-4873-9365-F1E41F569A40}" id="{710BED32-2780-4733-81C3-7F2821D2A32F}">
    <text>The number of variants that disharmonized from  parallel phrases in the near context</text>
  </threadedComment>
  <threadedComment ref="D41" dT="2024-01-24T17:16:15.06" personId="{2A5DBB96-E1DB-4873-9365-F1E41F569A40}" id="{02CB657B-03A2-41E2-8D28-ED52FCBBC9F6}">
    <text>The ratio of harmonizations to disharmonizations; = harmonizations / (harmonizations + disharmonizations)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4-01-30T16:42:58.97" personId="{2A5DBB96-E1DB-4873-9365-F1E41F569A40}" id="{CD158139-534B-4302-AA40-C5072BB0AAFF}">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2A5DBB96-E1DB-4873-9365-F1E41F569A40}" id="{DE33B41E-F328-484F-A689-609A22807722}">
    <text>The number of total deviations from the exemplar. Includes itacisms, orthographic changes, nonsense readings etc.</text>
  </threadedComment>
  <threadedComment ref="A3" dT="2024-01-30T16:44:34.54" personId="{2A5DBB96-E1DB-4873-9365-F1E41F569A40}" id="{5A949FE3-4A6C-4F35-B035-0209826E5999}">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2A5DBB96-E1DB-4873-9365-F1E41F569A40}" id="{6D58AAB3-7A29-4D4C-A6BF-DE41DBE3B6B3}">
    <text>The rate of error generation per 1000 words in the apograph. Figure includes itacisms, orthographic changes, nonsense readings etc.</text>
  </threadedComment>
  <threadedComment ref="A6" dT="2024-01-31T15:18:45.83" personId="{2A5DBB96-E1DB-4873-9365-F1E41F569A40}" id="{6DC1D4CF-BA18-45F6-9091-309C0A7FDBE7}">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15.xml><?xml version="1.0" encoding="utf-8"?>
<ThreadedComments xmlns="http://schemas.microsoft.com/office/spreadsheetml/2018/threadedcomments" xmlns:x="http://schemas.openxmlformats.org/spreadsheetml/2006/main">
  <threadedComment ref="R1" dT="2024-01-16T10:00:06.98" personId="{2A5DBB96-E1DB-4873-9365-F1E41F569A40}" id="{CA5DB444-E0DE-4646-BC30-F7D58E73C419}">
    <text>For substitutions, the word frequency of the apograph reading</text>
  </threadedComment>
  <threadedComment ref="S1" dT="2024-01-16T09:59:48.08" personId="{2A5DBB96-E1DB-4873-9365-F1E41F569A40}" id="{DF2CFC7E-A127-4764-B5A2-C53F557B3F91}">
    <text>For substitutions, the word frequency of the autograph reading</text>
  </threadedComment>
  <threadedComment ref="AD3" dT="2026-01-08T20:57:57.52" personId="{2A5DBB96-E1DB-4873-9365-F1E41F569A40}" id="{E9FA5A23-E79D-44C9-9D10-915419B60D01}">
    <text>Ακριβως εξετασατε</text>
  </threadedComment>
  <threadedComment ref="AF3" dT="2026-01-08T20:57:57.52" personId="{2A5DBB96-E1DB-4873-9365-F1E41F569A40}" id="{DA6F06B7-299A-4F2A-8447-B6B4CC434BAC}">
    <text>Ακριβως εξετασατε</text>
  </threadedComment>
  <threadedComment ref="AG3" dT="2026-01-08T20:57:57.52" personId="{2A5DBB96-E1DB-4873-9365-F1E41F569A40}" id="{0FC75F3C-B2D8-4E46-AFEE-45103622D194}">
    <text>Ακριβως εξετασατε</text>
  </threadedComment>
  <threadedComment ref="AH3" dT="2026-01-08T20:57:57.52" personId="{2A5DBB96-E1DB-4873-9365-F1E41F569A40}" id="{6DF7337F-E2B1-4E37-BE2E-E8F3142A867E}">
    <text>Ακριβως εξετασατε</text>
  </threadedComment>
  <threadedComment ref="AI3" dT="2026-01-08T20:57:57.52" personId="{2A5DBB96-E1DB-4873-9365-F1E41F569A40}" id="{CC0FE552-5B09-4C48-9253-2F5E73D09A4E}">
    <text>Ακριβως εξετασατε</text>
  </threadedComment>
  <threadedComment ref="AJ3" dT="2026-01-08T20:57:57.52" personId="{2A5DBB96-E1DB-4873-9365-F1E41F569A40}" id="{F56F6746-7431-4D4C-A314-7D544E588190}">
    <text>Ακριβως εξετασατε</text>
  </threadedComment>
  <threadedComment ref="AD26" dT="2026-01-08T21:26:46.86" personId="{2A5DBB96-E1DB-4873-9365-F1E41F569A40}" id="{95D3C058-0AC7-4E37-833F-DF32BDC64BDB}">
    <text>=θησαρυριζετε</text>
  </threadedComment>
  <threadedComment ref="AE26" dT="2026-01-08T21:26:46.86" personId="{2A5DBB96-E1DB-4873-9365-F1E41F569A40}" id="{C5701E26-C3B4-41F7-AB15-7E96E7CCC2B0}">
    <text>=θησαρυριζετε</text>
  </threadedComment>
  <threadedComment ref="AF26" dT="2026-01-08T21:26:46.86" personId="{2A5DBB96-E1DB-4873-9365-F1E41F569A40}" id="{7CD58404-239E-4711-B1CF-4029157F4772}">
    <text>=θησαρυριζετε</text>
  </threadedComment>
  <threadedComment ref="AG26" dT="2026-01-08T21:26:46.86" personId="{2A5DBB96-E1DB-4873-9365-F1E41F569A40}" id="{5576401D-10FC-4FBC-8B9C-BE8F42F43288}">
    <text>=θησαρυριζετε</text>
  </threadedComment>
  <threadedComment ref="AH26" dT="2026-01-08T21:26:46.86" personId="{2A5DBB96-E1DB-4873-9365-F1E41F569A40}" id="{BA58F819-E07C-4EA0-89E0-C3198A2AEF8A}">
    <text>=θησαρυριζετε</text>
  </threadedComment>
  <threadedComment ref="AI26" dT="2026-01-08T21:26:46.86" personId="{2A5DBB96-E1DB-4873-9365-F1E41F569A40}" id="{6FCA52E9-E8B4-4B45-8A20-2B90E1FC2A1C}">
    <text>=θησαρυριζετε</text>
  </threadedComment>
  <threadedComment ref="AJ26" dT="2026-01-08T21:26:46.86" personId="{2A5DBB96-E1DB-4873-9365-F1E41F569A40}" id="{E5114869-1056-42A6-A3F2-7D88034290AF}">
    <text>=θησαρυριζετε</text>
  </threadedComment>
  <threadedComment ref="AK26" dT="2026-01-08T21:26:46.86" personId="{2A5DBB96-E1DB-4873-9365-F1E41F569A40}" id="{827B1689-3F05-4152-81C1-CA45916B7374}">
    <text>=θησαρυριζετε</text>
  </threadedComment>
  <threadedComment ref="AK28" dT="2026-01-10T01:17:14.11" personId="{2A5DBB96-E1DB-4873-9365-F1E41F569A40}" id="{DE8F5169-6A25-4CBC-9D42-B6B76008B3C7}">
    <text>=και οτε ανετιλεν ο ηλιος εκαυματισθη και δια</text>
  </threadedComment>
  <threadedComment ref="AD30" dT="2026-01-08T21:44:06.73" personId="{2A5DBB96-E1DB-4873-9365-F1E41F569A40}" id="{B8D328DF-4162-43CB-B8FE-16FCEE69BCBF}">
    <text>=ιδων δε</text>
  </threadedComment>
  <threadedComment ref="AE30" dT="2026-01-08T21:44:06.73" personId="{2A5DBB96-E1DB-4873-9365-F1E41F569A40}" id="{60637F06-8D17-404F-87B8-FFBFA627042E}">
    <text>=ιδων δε</text>
  </threadedComment>
  <threadedComment ref="AF30" dT="2026-01-08T21:44:06.73" personId="{2A5DBB96-E1DB-4873-9365-F1E41F569A40}" id="{A43022CC-CE17-4EC6-B59D-FD38BF4C480D}">
    <text>=ιδων δε</text>
  </threadedComment>
  <threadedComment ref="AG30" dT="2026-01-08T21:44:06.73" personId="{2A5DBB96-E1DB-4873-9365-F1E41F569A40}" id="{A8254D2B-EFAC-4205-8D60-5556A9624E9F}">
    <text>=ιδων δε</text>
  </threadedComment>
  <threadedComment ref="AH30" dT="2026-01-08T21:44:06.73" personId="{2A5DBB96-E1DB-4873-9365-F1E41F569A40}" id="{507992A7-DADB-4EAD-A241-8B38F47038FB}">
    <text>=ιδων δε</text>
  </threadedComment>
  <threadedComment ref="AI30" dT="2026-01-08T21:44:06.73" personId="{2A5DBB96-E1DB-4873-9365-F1E41F569A40}" id="{837A5EA6-77BD-48E2-84FE-AF586FBFBB62}">
    <text>=ιδων δε</text>
  </threadedComment>
  <threadedComment ref="AJ30" dT="2026-01-08T21:44:06.73" personId="{2A5DBB96-E1DB-4873-9365-F1E41F569A40}" id="{01FBEBB5-74A9-42A2-9E2D-8137B58DAD72}">
    <text>=ιδων δε</text>
  </threadedComment>
  <threadedComment ref="AK30" dT="2026-01-08T21:44:06.73" personId="{2A5DBB96-E1DB-4873-9365-F1E41F569A40}" id="{21502EB8-9DBC-4B9C-BD26-749FA5E846DB}">
    <text>=ιδων δε</text>
  </threadedComment>
  <threadedComment ref="AD31" dT="2026-01-08T21:46:51.61" personId="{2A5DBB96-E1DB-4873-9365-F1E41F569A40}" id="{F20AB5D7-E44D-4A84-BE10-E792D23EC03B}">
    <text>Comp matches Beza verb but includes the πολλω μαλλον phrase</text>
  </threadedComment>
  <threadedComment ref="AE31" dT="2026-01-09T01:01:28.07" personId="{2A5DBB96-E1DB-4873-9365-F1E41F569A40}" id="{AC3C6644-6F70-40A4-8894-7B5D01AD049C}">
    <text>= ινα σιωπηση ο δε πολλω μαλλον εκραζεν υιε δαβιδ</text>
  </threadedComment>
  <threadedComment ref="AF31" dT="2026-01-09T01:01:28.07" personId="{2A5DBB96-E1DB-4873-9365-F1E41F569A40}" id="{E03DAFEB-319E-4FDE-8FBC-DC2FE35D526D}">
    <text>= ινα σιωπηση ο δε πολλω μαλλον εκραζεν υιε δαβιδ</text>
  </threadedComment>
  <threadedComment ref="AG31" dT="2026-01-09T01:01:28.07" personId="{2A5DBB96-E1DB-4873-9365-F1E41F569A40}" id="{37ED647A-2324-45EE-B1E6-DB6CD78038DE}">
    <text>= ινα σιωπηση ο δε πολλω μαλλον εκραζεν υιε δαβιδ</text>
  </threadedComment>
  <threadedComment ref="AH31" dT="2026-01-09T01:01:28.07" personId="{2A5DBB96-E1DB-4873-9365-F1E41F569A40}" id="{ACAE1F5B-8C97-40D3-B295-98419D94DAEB}">
    <text>= ινα σιωπηση ο δε πολλω μαλλον εκραζεν υιε δαβιδ</text>
  </threadedComment>
  <threadedComment ref="AI31" dT="2026-01-09T01:01:28.07" personId="{2A5DBB96-E1DB-4873-9365-F1E41F569A40}" id="{E513E5D0-E519-43A4-A5BE-E59CDA30D746}">
    <text>= ινα σιωπηση ο δε πολλω μαλλον εκραζεν υιε δαβιδ</text>
  </threadedComment>
  <threadedComment ref="AJ31" dT="2026-01-09T01:01:28.07" personId="{2A5DBB96-E1DB-4873-9365-F1E41F569A40}" id="{AAD69E6B-38C9-4390-920B-4A87F645ABC8}">
    <text>= ινα σιωπηση ο δε πολλω μαλλον εκραζεν υιε δαβιδ</text>
  </threadedComment>
  <threadedComment ref="AK31" dT="2026-01-09T01:01:28.07" personId="{2A5DBB96-E1DB-4873-9365-F1E41F569A40}" id="{7E62AD10-F3F7-4F1E-9EBF-D5E343003C20}">
    <text>= ινα σιωπηση ο δε πολλω μαλλον εκραζεν υιε δαδ</text>
  </threadedComment>
  <threadedComment ref="AE32" dT="2026-01-09T01:06:41.18" personId="{2A5DBB96-E1DB-4873-9365-F1E41F569A40}" id="{2C4CE010-96EF-4DDB-B03F-2F234A82F323}">
    <text>= παρεστηκως εξαναντιας αυτου οτι ουτως κραξας εξεπνευσεν ειπεν αληθως</text>
  </threadedComment>
  <threadedComment ref="AF32" dT="2026-01-09T01:06:41.18" personId="{2A5DBB96-E1DB-4873-9365-F1E41F569A40}" id="{7C81D37A-6623-4B72-A263-A5A09E3FAC17}">
    <text>= παρεστηκως εξαναντιας αυτου οτι ουτως κραξας εξεπνευσεν ειπεν αληθως</text>
  </threadedComment>
  <threadedComment ref="AG32" dT="2026-01-09T01:06:41.18" personId="{2A5DBB96-E1DB-4873-9365-F1E41F569A40}" id="{F4F65E65-BFFA-4824-B71D-4092A837AD63}">
    <text>= παρεστηκως εξαναντιας αυτου οτι ουτως κραξας εξεπνευσεν ειπεν αληθως</text>
  </threadedComment>
  <threadedComment ref="AH32" dT="2026-01-09T01:06:41.18" personId="{2A5DBB96-E1DB-4873-9365-F1E41F569A40}" id="{9D3298BD-DCD1-44F1-AFC7-65D160982809}">
    <text>= παρεστηκως εξαναντιας αυτου οτι ουτως κραξας εξεπνευσεν ειπεν αληθως</text>
  </threadedComment>
  <threadedComment ref="AI32" dT="2026-01-09T01:06:41.18" personId="{2A5DBB96-E1DB-4873-9365-F1E41F569A40}" id="{14BF6D93-C521-4D53-9B49-9D99FB96BE8B}">
    <text>= παρεστηκως εξαναντιας αυτου οτι ουτως κραξας εξεπνευσεν ειπεν αληθως</text>
  </threadedComment>
  <threadedComment ref="AJ32" dT="2026-01-09T01:06:41.18" personId="{2A5DBB96-E1DB-4873-9365-F1E41F569A40}" id="{AFB371EF-36AE-44DC-BF23-6B7EE621B860}">
    <text>= παρεστηκως εξαναντιας αυτου οτι ουτως κραξας εξεπνευσεν ειπεν αληθως</text>
  </threadedComment>
  <threadedComment ref="AK32" dT="2026-01-09T01:06:41.18" personId="{2A5DBB96-E1DB-4873-9365-F1E41F569A40}" id="{E87E1DBB-3BD9-45A4-9FB4-94F68750E5E4}">
    <text>= παρεστηκως εξαναντιας αυτου οτι ουτως κραξας εξεπνευσεν ειπεν αληθως</text>
  </threadedComment>
  <threadedComment ref="AD33" dT="2026-01-08T21:50:23.63" personId="{2A5DBB96-E1DB-4873-9365-F1E41F569A40}" id="{ABBCE26F-557C-4B94-9A29-5DD9A516621B}">
    <text>=αποκυλισει ημιν</text>
  </threadedComment>
  <threadedComment ref="AE33" dT="2026-01-09T01:08:06.36" personId="{2A5DBB96-E1DB-4873-9365-F1E41F569A40}" id="{47B85C00-841A-4705-96DD-B2D7C7A6E52E}">
    <text>= εαυτας τις αποκυλισει ημιν τον λιθον</text>
  </threadedComment>
  <threadedComment ref="AF33" dT="2026-01-09T01:08:06.36" personId="{2A5DBB96-E1DB-4873-9365-F1E41F569A40}" id="{A6C0B9D4-0FC6-4273-9787-04ADE23223BE}">
    <text>= εαυτας τις αποκυλισει ημιν τον λιθον</text>
  </threadedComment>
  <threadedComment ref="AG33" dT="2026-01-09T01:08:06.36" personId="{2A5DBB96-E1DB-4873-9365-F1E41F569A40}" id="{23D2B253-AA9F-479F-9004-63E5321FF3D4}">
    <text>= εαυτας τις αποκυλισει ημιν τον λιθον</text>
  </threadedComment>
  <threadedComment ref="AH33" dT="2026-01-09T01:08:06.36" personId="{2A5DBB96-E1DB-4873-9365-F1E41F569A40}" id="{43A1C1FF-1D13-4D85-B0CA-11FDA805BA50}">
    <text>= εαυτας τις αποκυλισει ημιν τον λιθον</text>
  </threadedComment>
  <threadedComment ref="AI33" dT="2026-01-09T01:08:06.36" personId="{2A5DBB96-E1DB-4873-9365-F1E41F569A40}" id="{93A4084D-B666-4903-BEA9-BBE1387A63DB}">
    <text>= εαυτας τις αποκυλισει ημιν τον λιθον</text>
  </threadedComment>
  <threadedComment ref="AJ33" dT="2026-01-09T01:08:06.36" personId="{2A5DBB96-E1DB-4873-9365-F1E41F569A40}" id="{AA225C59-28F1-4337-8DF9-961032B3A169}">
    <text>= εαυτας τις αποκυλισει ημιν τον λιθον</text>
  </threadedComment>
  <threadedComment ref="AK33" dT="2026-01-09T01:08:06.36" personId="{2A5DBB96-E1DB-4873-9365-F1E41F569A40}" id="{330D8A6A-2022-49A1-8369-6A1CAF59FE8B}">
    <text>= εαυτας τις αποκυλισει ημιν τον λιθον</text>
  </threadedComment>
  <threadedComment ref="AD35" dT="2026-01-08T21:56:43.40" personId="{2A5DBB96-E1DB-4873-9365-F1E41F569A40}" id="{1E6F9310-9D10-47D2-AE6C-72EBC05149EC}">
    <text>Comp begins θηρευσαι; rest matches</text>
  </threadedComment>
  <threadedComment ref="AE35" dT="2026-01-09T01:16:37.93" personId="{2A5DBB96-E1DB-4873-9365-F1E41F569A40}" id="{009D860F-33B1-4C53-8EA0-C0F1A55EE2DB}">
    <text>=ζητουντες θηρευσαι τι εκ του στοματος αυτου ινα καταγορησωσιν αυτου</text>
  </threadedComment>
  <threadedComment ref="AF35" dT="2026-01-08T21:56:43.40" personId="{2A5DBB96-E1DB-4873-9365-F1E41F569A40}" id="{58B92985-0243-42D7-857D-AD1288A6BB2C}">
    <text>begins θηρευσαι; rest matches</text>
  </threadedComment>
  <threadedComment ref="AG35" dT="2026-01-09T06:12:37.24" personId="{2A5DBB96-E1DB-4873-9365-F1E41F569A40}" id="{BA440568-86CF-48C9-B8FF-95D51D161AC5}">
    <text>Begins θηρευσαι and uses κατηγορησωσιν</text>
  </threadedComment>
  <threadedComment ref="AH35" dT="2026-01-09T22:46:28.36" personId="{2A5DBB96-E1DB-4873-9365-F1E41F569A40}" id="{555C9867-CAFB-454C-B55E-5D404CEAE1A9}">
    <text>= ζητουντες θηρευσαι τι εκ του στοματος αυτου ινα κατηγορησωσιν αυτου</text>
  </threadedComment>
  <threadedComment ref="AI35" dT="2026-01-09T22:46:28.36" personId="{2A5DBB96-E1DB-4873-9365-F1E41F569A40}" id="{81B07E98-4770-498A-B7C0-8EB3282AADBD}">
    <text>= ζητουντες θηρευσαι τι εκ του στοματος αυτου ινα κατηγορησωσιν αυτου</text>
  </threadedComment>
  <threadedComment ref="AJ35" dT="2026-01-09T22:46:28.36" personId="{2A5DBB96-E1DB-4873-9365-F1E41F569A40}" id="{1A4E552F-0E3B-4DE8-BE4E-C69A4699FE03}">
    <text>= ζητουντες θηρευσαι τι εκ του στοματος αυτου ινα κατηγορησωσιν αυτου</text>
  </threadedComment>
  <threadedComment ref="AK35" dT="2026-01-10T01:31:09.44" personId="{2A5DBB96-E1DB-4873-9365-F1E41F569A40}" id="{F4A6CDD3-8BB9-4A93-B2A6-AC149E07F6D6}">
    <text>Ενεδρυοντες θηρευσαι τι εκ του στοματος αυτου εν οις επισυναχθισων των μυριαδων του οχλου</text>
  </threadedComment>
  <threadedComment ref="AD39" dT="2026-01-08T22:16:53.69" personId="{2A5DBB96-E1DB-4873-9365-F1E41F569A40}" id="{7C2C85A7-35BD-4219-BB09-2EF5A16F0592}">
    <text>= και τους συνελθοντας μεθ αυτης ιουδαιους κλαιοντας</text>
  </threadedComment>
  <threadedComment ref="AE39" dT="2026-01-09T01:24:32.54" personId="{2A5DBB96-E1DB-4873-9365-F1E41F569A40}" id="{C8BF4D44-08CE-4920-AA8D-723B9C611484}">
    <text>= και τους συνελθοντας αυτη ιουδαιους κλαιοντας ενεβριμησατο</text>
  </threadedComment>
  <threadedComment ref="AF39" dT="2026-01-09T01:24:32.54" personId="{2A5DBB96-E1DB-4873-9365-F1E41F569A40}" id="{8E7493FE-BA1D-4902-A25D-B0A57B735BD6}">
    <text>= και τους συνελθοντας αυτη ιουδαιους κλαιοντας ενεβριμησατο</text>
  </threadedComment>
  <threadedComment ref="AG39" dT="2026-01-09T01:24:32.54" personId="{2A5DBB96-E1DB-4873-9365-F1E41F569A40}" id="{E53CBB34-C9E0-490E-94CD-A6D65438222A}">
    <text>= και τους συνελθοντας αυτη ιουδαιους κλαιοντας ενεβριμησατο</text>
  </threadedComment>
  <threadedComment ref="AH39" dT="2026-01-09T01:24:32.54" personId="{2A5DBB96-E1DB-4873-9365-F1E41F569A40}" id="{26FE8EA1-CD32-431B-BC13-B05FE5D1561A}">
    <text>= και τους συνελθοντας αυτη ιουδαιους κλαιοντας ενεβριμησατο</text>
  </threadedComment>
  <threadedComment ref="AI39" dT="2026-01-09T01:24:32.54" personId="{2A5DBB96-E1DB-4873-9365-F1E41F569A40}" id="{3E2F761C-43A4-446D-8F91-88D5C235DD1F}">
    <text>= και τους συνελθοντας αυτη ιουδαιους κλαιοντας ενεβριμησατο</text>
  </threadedComment>
  <threadedComment ref="AJ39" dT="2026-01-09T01:24:32.54" personId="{2A5DBB96-E1DB-4873-9365-F1E41F569A40}" id="{2050229D-5F97-42A6-AE84-14195C344137}">
    <text>= και τους συνελθοντας αυτη ιουδαιους κλαιοντας ενεβριμησατο</text>
  </threadedComment>
  <threadedComment ref="AK39" dT="2026-01-09T01:24:32.54" personId="{2A5DBB96-E1DB-4873-9365-F1E41F569A40}" id="{88DCF355-F1E8-46DB-B0C0-F43E2EE1B0AD}">
    <text>= και τους συνελθοντας αυτη ιουδαιους κλαιοντας ενεβριμησατο</text>
  </threadedComment>
  <threadedComment ref="AD40" dT="2026-01-08T22:23:30.23" personId="{2A5DBB96-E1DB-4873-9365-F1E41F569A40}" id="{995BD05A-74E0-4E5A-AEB1-8D4C937CC0E0}">
    <text>Material is missing in Comp, but joining pronoun (ω) matches neither Bezae nor B.10.3</text>
  </threadedComment>
  <threadedComment ref="AK40" dT="2026-01-10T01:45:08.83" personId="{2A5DBB96-E1DB-4873-9365-F1E41F569A40}" id="{2592E607-3D3A-4658-8DA1-14060B98300D}">
    <text>=πατερ αγιε τηρησον αυτους εν τω ονοματι σου ω εδωκας μοι</text>
  </threadedComment>
  <threadedComment ref="AD41" dT="2026-01-08T22:27:28.52" personId="{2A5DBB96-E1DB-4873-9365-F1E41F569A40}" id="{1B8EA022-4F96-4092-BB3C-142093182A22}">
    <text>Comp has τε instead of δε</text>
  </threadedComment>
  <threadedComment ref="AE41" dT="2026-01-08T22:27:28.52" personId="{2A5DBB96-E1DB-4873-9365-F1E41F569A40}" id="{863048EB-CA02-492B-BA3F-B724A46FBD30}">
    <text>has τε instead of δε</text>
  </threadedComment>
  <threadedComment ref="AF41" dT="2026-01-08T22:27:28.52" personId="{2A5DBB96-E1DB-4873-9365-F1E41F569A40}" id="{DC3D7BE3-96B8-428F-8E02-D5F2772EE5C3}">
    <text>has τε instead of δε</text>
  </threadedComment>
  <threadedComment ref="AG41" dT="2026-01-08T22:27:28.52" personId="{2A5DBB96-E1DB-4873-9365-F1E41F569A40}" id="{08068BEC-7EE1-4786-AE0F-9A40CF75E50B}">
    <text>has τε instead of δε</text>
  </threadedComment>
  <threadedComment ref="AH41" dT="2026-01-08T22:27:28.52" personId="{2A5DBB96-E1DB-4873-9365-F1E41F569A40}" id="{96CC2217-B47E-4ACF-B1CC-DC962ED58D3B}">
    <text>has τε instead of δε</text>
  </threadedComment>
  <threadedComment ref="AI41" dT="2026-01-08T22:27:28.52" personId="{2A5DBB96-E1DB-4873-9365-F1E41F569A40}" id="{A90216F0-633B-4572-8FA4-C1393B3A06BC}">
    <text>has τε instead of δε</text>
  </threadedComment>
  <threadedComment ref="AJ41" dT="2026-01-08T22:27:28.52" personId="{2A5DBB96-E1DB-4873-9365-F1E41F569A40}" id="{1F7BCD49-3748-469E-B58C-EB8B56F3829A}">
    <text>has τε instead of δε</text>
  </threadedComment>
  <threadedComment ref="AD42" dT="2026-01-08T22:30:21.47" personId="{2A5DBB96-E1DB-4873-9365-F1E41F569A40}" id="{AFB8AF60-D21A-4811-80C1-4851D4319285}">
    <text>= εις γαρ χολην πικριας και συνδεσμον αδικιας ορω</text>
  </threadedComment>
  <threadedComment ref="AE42" dT="2026-01-08T22:30:21.47" personId="{2A5DBB96-E1DB-4873-9365-F1E41F569A40}" id="{4999B3BA-C47A-499C-9D30-59D08CEF9CF1}">
    <text>= εις γαρ χολην πικριας και συνδεσμον αδικιας ορω</text>
  </threadedComment>
  <threadedComment ref="AF42" dT="2026-01-08T22:30:21.47" personId="{2A5DBB96-E1DB-4873-9365-F1E41F569A40}" id="{2CCD6DFD-DB2B-4858-AC9C-7E2E19A1B601}">
    <text>= εις γαρ χολην πικριας και συνδεσμον αδικιας ορω</text>
  </threadedComment>
  <threadedComment ref="AG42" dT="2026-01-08T22:30:21.47" personId="{2A5DBB96-E1DB-4873-9365-F1E41F569A40}" id="{C42D9154-C27D-4561-90C8-63BADAFA6F5C}">
    <text>= εις γαρ χολην πικριας και συνδεσμον αδικιας ορω</text>
  </threadedComment>
  <threadedComment ref="AH42" dT="2026-01-08T22:30:21.47" personId="{2A5DBB96-E1DB-4873-9365-F1E41F569A40}" id="{5215F3D5-AC59-4169-BAF9-70C05004F130}">
    <text>= εις γαρ χολην πικριας και συνδεσμον αδικιας ορω</text>
  </threadedComment>
  <threadedComment ref="AI42" dT="2026-01-08T22:30:21.47" personId="{2A5DBB96-E1DB-4873-9365-F1E41F569A40}" id="{A08EEBC2-DEEB-42D3-A132-30BC76B4C24F}">
    <text>= εις γαρ χολην πικριας και συνδεσμον αδικιας ορω</text>
  </threadedComment>
  <threadedComment ref="AJ42" dT="2026-01-08T22:30:21.47" personId="{2A5DBB96-E1DB-4873-9365-F1E41F569A40}" id="{915C19E8-8139-4247-8712-DA50B32BD0C3}">
    <text>= εις γαρ χολην πικριας και συνδεσμον αδικιας ορω</text>
  </threadedComment>
  <threadedComment ref="AK42" dT="2026-01-08T22:30:21.47" personId="{2A5DBB96-E1DB-4873-9365-F1E41F569A40}" id="{9E5A0B31-581C-4DD7-A6F5-5AA39D39B10F}">
    <text>= εις γαρ χολην πικριας και συνδεσμον αδικιας ορω</text>
  </threadedComment>
  <threadedComment ref="AD43" dT="2026-01-08T22:38:49.28" personId="{2A5DBB96-E1DB-4873-9365-F1E41F569A40}" id="{E3069CFB-2128-4C31-9F83-C2919666F62D}">
    <text>Uses εισηλθε and  ευρισκει ; The rest matches</text>
  </threadedComment>
  <threadedComment ref="AE43" dT="2026-01-08T22:38:49.28" personId="{2A5DBB96-E1DB-4873-9365-F1E41F569A40}" id="{DAA670E4-F466-489C-85BE-7E190E3FB859}">
    <text>Uses εισηλθε and  ευρισκει ; The rest matches</text>
  </threadedComment>
  <threadedComment ref="AF43" dT="2026-01-08T22:38:49.28" personId="{2A5DBB96-E1DB-4873-9365-F1E41F569A40}" id="{A2C11F79-5AFC-4D18-8CE6-71C71FC82FC9}">
    <text>Uses εισηλθε and  ευρισκει ; The rest matches</text>
  </threadedComment>
  <threadedComment ref="AG43" dT="2026-01-08T22:38:49.28" personId="{2A5DBB96-E1DB-4873-9365-F1E41F569A40}" id="{DC38330D-E49B-4BA7-B553-CA82FB3CE590}">
    <text>Uses εισηλθε and  ευρισκει ; The rest matches</text>
  </threadedComment>
  <threadedComment ref="AH43" dT="2026-01-08T22:38:49.28" personId="{2A5DBB96-E1DB-4873-9365-F1E41F569A40}" id="{60DBC740-A675-4FD7-A511-5D6AEA0C0BBE}">
    <text>Uses εισηλθε and  ευρισκει ; The rest matches</text>
  </threadedComment>
  <threadedComment ref="AI43" dT="2026-01-08T22:38:49.28" personId="{2A5DBB96-E1DB-4873-9365-F1E41F569A40}" id="{D7369B95-19E0-40B1-819A-E99DDB84B22C}">
    <text>Uses εισηλθε and  ευρισκει ; The rest matches</text>
  </threadedComment>
  <threadedComment ref="AJ43" dT="2026-01-08T22:38:49.28" personId="{2A5DBB96-E1DB-4873-9365-F1E41F569A40}" id="{E8ED030C-CA4F-4F30-A9A0-B732D9650A08}">
    <text>Uses εισηλθε and  ευρισκει ; The rest matches</text>
  </threadedComment>
  <threadedComment ref="AK43" dT="2026-01-08T22:38:49.28" personId="{2A5DBB96-E1DB-4873-9365-F1E41F569A40}" id="{DE0CDAA1-01AE-4E56-8006-E65A5B4E0CDB}">
    <text>Uses και εγω and  ευρισκει ; The rest matches</text>
  </threadedComment>
  <threadedComment ref="AD44" dT="2026-01-08T22:40:44.16" personId="{2A5DBB96-E1DB-4873-9365-F1E41F569A40}" id="{34DD8160-DDC2-46CE-BD4D-096113755404}">
    <text>= ενωπιον του θεου παρεσμεν ακουσαι παντα τα προστεταγμενα</text>
  </threadedComment>
  <threadedComment ref="AE44" dT="2026-01-08T22:40:44.16" personId="{2A5DBB96-E1DB-4873-9365-F1E41F569A40}" id="{E2536F21-B99C-4638-A7DF-6F8CB8BB8B89}">
    <text>= ενωπιον του θεου παρεσμεν ακουσαι παντα τα προστεταγμενα</text>
  </threadedComment>
  <threadedComment ref="AF44" dT="2026-01-08T22:40:44.16" personId="{2A5DBB96-E1DB-4873-9365-F1E41F569A40}" id="{72987023-23E3-4EF1-B8C1-C2517B8AAAD7}">
    <text>= ενωπιον του θεου παρεσμεν ακουσαι παντα τα προστεταγμενα</text>
  </threadedComment>
  <threadedComment ref="AG44" dT="2026-01-08T22:40:44.16" personId="{2A5DBB96-E1DB-4873-9365-F1E41F569A40}" id="{4B458573-0297-4385-AB1D-5F99C69AB377}">
    <text>= ενωπιον του θεου παρεσμεν ακουσαι παντα τα προστεταγμενα</text>
  </threadedComment>
  <threadedComment ref="AH44" dT="2026-01-08T22:40:44.16" personId="{2A5DBB96-E1DB-4873-9365-F1E41F569A40}" id="{FAFDF2A0-AC40-487B-AF73-2962316B1AAA}">
    <text>= ενωπιον του θεου παρεσμεν ακουσαι παντα τα προστεταγμενα</text>
  </threadedComment>
  <threadedComment ref="AI44" dT="2026-01-08T22:40:44.16" personId="{2A5DBB96-E1DB-4873-9365-F1E41F569A40}" id="{CE84BADB-122D-4249-A014-31A1BC2666C6}">
    <text>= ενωπιον του θεου παρεσμεν ακουσαι παντα τα προστεταγμενα</text>
  </threadedComment>
  <threadedComment ref="AJ44" dT="2026-01-08T22:40:44.16" personId="{2A5DBB96-E1DB-4873-9365-F1E41F569A40}" id="{9F16EBA1-3294-472E-A63E-48771BFE5E60}">
    <text>= ενωπιον του θεου παρεσμεν ακουσαι παντα τα προστεταγμενα</text>
  </threadedComment>
  <threadedComment ref="AK44" dT="2026-01-08T22:40:44.16" personId="{2A5DBB96-E1DB-4873-9365-F1E41F569A40}" id="{7AD8C1B6-3B93-40BD-8ECA-12D689BF8F01}">
    <text>= ενωπιον του θεου παρεσμεν ακουσαι παντα τα προστεταγμενα</text>
  </threadedComment>
  <threadedComment ref="AD45" dT="2026-01-08T22:43:43.06" personId="{2A5DBB96-E1DB-4873-9365-F1E41F569A40}" id="{3E90CA25-1F23-4D4B-8647-195749997C95}">
    <text>=ενιαυτον ολον συναχθηναι εν τη εκκλησια και διδαξαι οχλον ικανον χρηματισαι τε πρωτων εν αντιοχεια τους μαθητας χριστιανους εν ταυταις</text>
  </threadedComment>
  <threadedComment ref="AE45" dT="2026-01-08T22:43:43.06" personId="{2A5DBB96-E1DB-4873-9365-F1E41F569A40}" id="{83D55862-F3C8-4639-8B19-6273BD09775A}">
    <text>=ενιαυτον ολον συναχθηναι τη εκκλησια και διδαξαι οχλον ικανον χρηματισαι τε πρωτoν εν αντιοχεια τους μαθητας τους χριστιανους εν ταυταις</text>
  </threadedComment>
  <threadedComment ref="AF45" dT="2026-01-08T22:43:43.06" personId="{2A5DBB96-E1DB-4873-9365-F1E41F569A40}" id="{9B14179C-AC65-49F5-BC46-C0203A2247C6}">
    <text>=ενιαυτον ολον συναχθηναι τη εκκλησια και διδαξαι οχλον ικανον χρηματισαι τε πρωτoν εν αντιοχεια τους μαθητας χριστιανους εν ταυταις</text>
  </threadedComment>
  <threadedComment ref="AG45" dT="2026-01-08T22:43:43.06" personId="{2A5DBB96-E1DB-4873-9365-F1E41F569A40}" id="{89C0DF98-23BC-4881-9473-F70D08776F10}">
    <text>=ενιαυτον ολον συναχθηναι εν τη εκκλησια και διδαξαι οχλον ικανον χρηματισαι τε πρωτων εν αντιοχεια τους μαθητας χριστιανους εν ταυταις</text>
  </threadedComment>
  <threadedComment ref="AH45" dT="2026-01-08T22:43:43.06" personId="{2A5DBB96-E1DB-4873-9365-F1E41F569A40}" id="{B97572A3-A3A6-44E3-B610-3C76B86678DC}">
    <text>=ενιαυτον ολον συναχθηναι εν τη εκκλησια και διδαξαι οχλον ικανον χρηματισαι τε πρωτον εν αντιοχεια τους μαθητας χριστιανους εν ταυταις</text>
  </threadedComment>
  <threadedComment ref="AI45" dT="2026-01-08T22:43:43.06" personId="{2A5DBB96-E1DB-4873-9365-F1E41F569A40}" id="{EC8265AE-4A7C-42B2-A516-FB958FC425B9}">
    <text>=ενιαυτον ολον συναχθηναι εν τη εκκλησια και διδαξαι οχλον ικανον χρηματισαι τε πρωτον εν αντιοχεια τους μαθητας χριστιανους εν ταυταις</text>
  </threadedComment>
  <threadedComment ref="AJ45" dT="2026-01-08T22:43:43.06" personId="{2A5DBB96-E1DB-4873-9365-F1E41F569A40}" id="{AFC12BD1-C93D-4762-A1D8-0727E8B045BE}">
    <text>=ενιαυτον ολον συναχθηναι εν τη εκκλησια και διδαξαι οχλον ικανον χρηματισαι τε πρωτον εν αντιοχεια τους μαθητας χριστιανους εν ταυταις</text>
  </threadedComment>
  <threadedComment ref="AK45" dT="2026-01-08T22:43:43.06" personId="{2A5DBB96-E1DB-4873-9365-F1E41F569A40}" id="{D37D828C-BB64-4E1C-93C9-AE39674541D3}">
    <text>=ενιαυτον ολον συναχθηναι εν τη εκκλησια και διδαξαι οχλον ικανον χρηματισαι τε πρωτως εν αντιοχια τους μαθητας χρηστιανους εν ταυταις</text>
  </threadedComment>
  <threadedComment ref="AD46" dT="2026-01-08T22:47:14.18" personId="{2A5DBB96-E1DB-4873-9365-F1E41F569A40}" id="{18E5E6FA-EEB5-4432-B871-6EB2A63525FB}">
    <text>Comp omits ικανοι επιστευσαν</text>
  </threadedComment>
  <threadedComment ref="AE46" dT="2026-01-08T22:47:14.18" personId="{2A5DBB96-E1DB-4873-9365-F1E41F569A40}" id="{7EE4E806-AE4A-4F76-A83E-9A66BF882028}">
    <text>omits ικανοι επιστευσαν</text>
  </threadedComment>
  <threadedComment ref="AF46" dT="2026-01-08T22:47:14.18" personId="{2A5DBB96-E1DB-4873-9365-F1E41F569A40}" id="{D0C3C727-1480-4847-B222-3D30CAAC0884}">
    <text>omits ικανοι επιστευσαν</text>
  </threadedComment>
  <threadedComment ref="AG46" dT="2026-01-08T22:47:14.18" personId="{2A5DBB96-E1DB-4873-9365-F1E41F569A40}" id="{7BC54ABA-E68E-414B-AE0E-CE915B901169}">
    <text>omits ικανοι επιστευσαν</text>
  </threadedComment>
  <threadedComment ref="AH46" dT="2026-01-08T22:47:14.18" personId="{2A5DBB96-E1DB-4873-9365-F1E41F569A40}" id="{45BB532B-FC80-4025-90FE-BDFEE644C7AC}">
    <text>omits ικανοι επιστευσαν</text>
  </threadedComment>
  <threadedComment ref="AI46" dT="2026-01-08T22:47:14.18" personId="{2A5DBB96-E1DB-4873-9365-F1E41F569A40}" id="{E8800F91-DC85-47AF-97A7-DCA6CD20AFEE}">
    <text>omits ικανοι επιστευσαν</text>
  </threadedComment>
  <threadedComment ref="AJ46" dT="2026-01-08T22:47:14.18" personId="{2A5DBB96-E1DB-4873-9365-F1E41F569A40}" id="{CD286554-2381-4597-9A08-37D3321C8C6C}">
    <text>omits ικανοι επιστευσαν</text>
  </threadedComment>
  <threadedComment ref="AK46" dT="2026-01-08T22:47:14.18" personId="{2A5DBB96-E1DB-4873-9365-F1E41F569A40}" id="{FD63EE7B-CD0E-4DBD-A1A2-DE6E9C8DCC72}">
    <text>omits ικανοι επιστευσαν</text>
  </threadedComment>
  <threadedComment ref="AK48" dT="2026-01-10T02:15:09.67" personId="{2A5DBB96-E1DB-4873-9365-F1E41F569A40}" id="{5C2309D5-E965-47A1-AFC9-9BDA319DB602}">
    <text>=και μεταβας εκειθεν εισηλθεν εις οικιαν τινος ονοματι τιτου ιουστου</text>
  </threadedComment>
  <threadedComment ref="AD49" dT="2026-01-08T22:53:52.17" personId="{2A5DBB96-E1DB-4873-9365-F1E41F569A40}" id="{38B2C54C-B408-42A8-96B5-96D44BE2A611}">
    <text>= ετη δυο ωστε παντας τους κατοικουντας την ασιαν ακουσαι τον λογον του κυριου ιησου ιουδαιους τε και ελληνας</text>
  </threadedComment>
  <threadedComment ref="AE49" dT="2026-01-08T22:53:52.17" personId="{2A5DBB96-E1DB-4873-9365-F1E41F569A40}" id="{3565428E-2142-4CF0-89EB-28C624F2E338}">
    <text>= ετη δυο ωστε παντας τους κατοικουντας την ασιαν ακουσαι τον λογον του κυριου ιησου ιουδαιους τε και ελληνας</text>
  </threadedComment>
  <threadedComment ref="AF49" dT="2026-01-08T22:53:52.17" personId="{2A5DBB96-E1DB-4873-9365-F1E41F569A40}" id="{94CBE911-826C-4C7E-B952-A3D204492B53}">
    <text>= ετη δυο ωστε παντας τους κατοικουντας την ασιαν ακουσαι τον λογον του κυριου ιησου ιουδαιους τε και ελληνας</text>
  </threadedComment>
  <threadedComment ref="AG49" dT="2026-01-08T22:53:52.17" personId="{2A5DBB96-E1DB-4873-9365-F1E41F569A40}" id="{FA04FA86-A9B0-4992-8066-A7E9F3477502}">
    <text>= ετη δυο ωστε παντας τους κατοικουντας την ασιαν ακουσαι τον λογον του κυριου ιησου ιουδαιους τε και ελληνας</text>
  </threadedComment>
  <threadedComment ref="AH49" dT="2026-01-08T22:53:52.17" personId="{2A5DBB96-E1DB-4873-9365-F1E41F569A40}" id="{4CF09AE7-ED58-477B-B081-15102ED2563C}">
    <text>= ετη δυο ωστε παντας τους κατοικουντας την ασιαν ακουσαι τον λογον του κυριου ιησου ιουδαιους τε και ελληνας</text>
  </threadedComment>
  <threadedComment ref="AI49" dT="2026-01-08T22:53:52.17" personId="{2A5DBB96-E1DB-4873-9365-F1E41F569A40}" id="{F4A24E9F-8CB5-4FF4-AF86-8543E5A9C830}">
    <text>= ετη δυο ωστε παντας τους κατοικουντας την ασιαν ακουσαι τον λογον του κυριου ιησου ιουδαιους τε και ελληνας</text>
  </threadedComment>
  <threadedComment ref="AJ49" dT="2026-01-08T22:53:52.17" personId="{2A5DBB96-E1DB-4873-9365-F1E41F569A40}" id="{5C93E2B4-0214-4164-88A0-40FACC87EF8D}">
    <text>= ετη δυο ωστε παντας τους κατοικουντας την ασιαν ακουσαι τον λογον του κυριου ιησου ιουδαιους τε και ελληνας</text>
  </threadedComment>
  <threadedComment ref="AK49" dT="2026-01-10T02:21:48.37" personId="{2A5DBB96-E1DB-4873-9365-F1E41F569A40}" id="{1D4677D1-6A11-438D-8157-A98AE0AA1B7C}">
    <text>Uses παντας and δυναμις; everything else matches; CLOSER than editions</text>
  </threadedComment>
  <threadedComment ref="AD50" dT="2026-01-08T23:02:19.87" personId="{2A5DBB96-E1DB-4873-9365-F1E41F569A40}" id="{7A4A927E-B89E-4D16-AD4F-F9C4549F2C2D}">
    <text>Comp omits πλειον; remainder is a match</text>
  </threadedComment>
  <threadedComment ref="AE50" dT="2026-01-08T23:02:19.87" personId="{2A5DBB96-E1DB-4873-9365-F1E41F569A40}" id="{0643F295-B8FB-43A0-811C-1DCE0705B8C1}">
    <text>omits πλειον; remainder is a match</text>
  </threadedComment>
  <threadedComment ref="AF50" dT="2026-01-08T23:02:19.87" personId="{2A5DBB96-E1DB-4873-9365-F1E41F569A40}" id="{7B992749-D67F-4B4D-A0F5-435A3E5EB960}">
    <text>omits πλειον; remainder is a match</text>
  </threadedComment>
  <threadedComment ref="AG50" dT="2026-01-08T23:02:19.87" personId="{2A5DBB96-E1DB-4873-9365-F1E41F569A40}" id="{960E12AF-4F45-43C1-9A92-AA1945C8211D}">
    <text>omits πλειον; remainder is a match</text>
  </threadedComment>
  <threadedComment ref="AH50" dT="2026-01-08T23:02:19.87" personId="{2A5DBB96-E1DB-4873-9365-F1E41F569A40}" id="{9BDD1295-9896-4B00-93DD-C2862B8977BB}">
    <text>omits πλειον; remainder is a match</text>
  </threadedComment>
  <threadedComment ref="AI50" dT="2026-01-08T23:02:19.87" personId="{2A5DBB96-E1DB-4873-9365-F1E41F569A40}" id="{55F1188E-21E6-4BC3-90CF-403B89CEFE06}">
    <text>omits πλειον; remainder is a match</text>
  </threadedComment>
  <threadedComment ref="AJ50" dT="2026-01-08T23:02:19.87" personId="{2A5DBB96-E1DB-4873-9365-F1E41F569A40}" id="{FD1FD500-2BC7-4D57-AC95-A27AB80D9FCD}">
    <text>omits πλειον; remainder is a match</text>
  </threadedComment>
  <threadedComment ref="AK50" dT="2026-01-08T23:02:19.87" personId="{2A5DBB96-E1DB-4873-9365-F1E41F569A40}" id="{04673C0A-1961-4C1F-80BC-973C131F2D0A}">
    <text>omits πλειον; remainder is a match</text>
  </threadedComment>
  <threadedComment ref="AD51" dT="2026-01-08T23:13:31.37" personId="{2A5DBB96-E1DB-4873-9365-F1E41F569A40}" id="{9C91C252-E7A5-494D-9479-5B97C66871DE}">
    <text>= διο καιμαρτυρομαι υμιν εν τη σημερον ημερα οτι καθαρος</text>
  </threadedComment>
  <threadedComment ref="AE51" dT="2026-01-08T23:13:31.37" personId="{2A5DBB96-E1DB-4873-9365-F1E41F569A40}" id="{E2E7FDC4-8475-4D54-86FE-4965F8700801}">
    <text>= διοτι μαρτυρομαι υμιν εν τη σημερον ημερα οτι καθαρος</text>
  </threadedComment>
  <threadedComment ref="AF51" dT="2026-01-09T05:19:17.56" personId="{2A5DBB96-E1DB-4873-9365-F1E41F569A40}" id="{BB310D6A-928F-4939-AF5D-0D7CCA47CA71}">
    <text>Uses υμιν; everything else matches</text>
  </threadedComment>
  <threadedComment ref="AG51" dT="2026-01-09T05:19:17.56" personId="{2A5DBB96-E1DB-4873-9365-F1E41F569A40}" id="{181BB6F2-ADA8-4523-A572-B2450C6ACBBC}">
    <text>Uses υμιν; everything else matches</text>
  </threadedComment>
  <threadedComment ref="AH51" dT="2026-01-09T05:19:17.56" personId="{2A5DBB96-E1DB-4873-9365-F1E41F569A40}" id="{C7F6F904-C775-4194-BE49-0E151647CAC5}">
    <text>Uses υμιν; everything else matches</text>
  </threadedComment>
  <threadedComment ref="AI51" dT="2026-01-09T05:19:17.56" personId="{2A5DBB96-E1DB-4873-9365-F1E41F569A40}" id="{D302CF39-5EDC-4360-8F29-551BBB2D4310}">
    <text>Uses υμιν; everything else matches</text>
  </threadedComment>
  <threadedComment ref="AJ51" dT="2026-01-09T05:19:17.56" personId="{2A5DBB96-E1DB-4873-9365-F1E41F569A40}" id="{C293834A-7AA9-4295-AF42-EEFEBA913FDE}">
    <text>Uses υμιν; everything else matches</text>
  </threadedComment>
  <threadedComment ref="AK51" dT="2026-01-09T05:19:17.56" personId="{2A5DBB96-E1DB-4873-9365-F1E41F569A40}" id="{846B6B10-155F-49C1-8487-095A42455118}">
    <text>Uses διοτι and υμιν; everything else matches</text>
  </threadedComment>
  <threadedComment ref="AE52" dT="2026-01-09T01:57:06.45" personId="{2A5DBB96-E1DB-4873-9365-F1E41F569A40}" id="{7FE29325-A149-4695-8642-3F841D4F446B}">
    <text>Uses μελλουσι; everything else matches</text>
  </threadedComment>
  <threadedComment ref="AF52" dT="2026-01-09T01:57:06.45" personId="{2A5DBB96-E1DB-4873-9365-F1E41F569A40}" id="{2B41278E-59A7-4F85-B536-E41266D316D4}">
    <text>Uses μελλουσι; everything else matches</text>
  </threadedComment>
  <threadedComment ref="AG52" dT="2026-01-09T01:57:06.45" personId="{2A5DBB96-E1DB-4873-9365-F1E41F569A40}" id="{C6D11190-5A15-40A4-8582-430431ADCCAC}">
    <text>Uses μελλουσι; everything else matches</text>
  </threadedComment>
  <threadedComment ref="AH52" dT="2026-01-09T01:57:06.45" personId="{2A5DBB96-E1DB-4873-9365-F1E41F569A40}" id="{FB3535A1-9315-4C2A-8259-3C2F94AF9002}">
    <text>Uses μελλουσι; everything else matches</text>
  </threadedComment>
  <threadedComment ref="AI52" dT="2026-01-09T01:57:06.45" personId="{2A5DBB96-E1DB-4873-9365-F1E41F569A40}" id="{F860B3DF-0801-4A27-BF0D-425D3B0018F9}">
    <text>Uses μελλουσι; everything else matches</text>
  </threadedComment>
  <threadedComment ref="AJ52" dT="2026-01-09T01:57:06.45" personId="{2A5DBB96-E1DB-4873-9365-F1E41F569A40}" id="{6F936A8A-E420-4350-B3B4-7F778D1DE11D}">
    <text>Uses μελλουσι; everything else matches</text>
  </threadedComment>
  <threadedComment ref="AK52" dT="2026-01-09T01:57:06.45" personId="{2A5DBB96-E1DB-4873-9365-F1E41F569A40}" id="{2143C8D3-6DE7-4964-A4F5-8B034A73D708}">
    <text>Uses θεωριν; everything else matches</text>
  </threadedComment>
  <threadedComment ref="AK53" dT="2026-01-10T04:18:45.88" personId="{2A5DBB96-E1DB-4873-9365-F1E41F569A40}" id="{7ED66FB3-E9EE-480B-BF1B-6FE0847A6D3C}">
    <text>Uses αναχθεντας, though this is corrected; with the correction, exact match; without correction, remainder is exact</text>
  </threadedComment>
  <threadedComment ref="AD54" dT="2026-01-08T23:17:49.15" personId="{2A5DBB96-E1DB-4873-9365-F1E41F569A40}" id="{95A9301D-A416-42D4-A8D1-8CB6F03D5EF2}">
    <text>Omits συνηγμενοι; remainder matches</text>
  </threadedComment>
  <threadedComment ref="AE54" dT="2026-01-08T23:17:49.15" personId="{2A5DBB96-E1DB-4873-9365-F1E41F569A40}" id="{4E7C7C3D-C8B7-40C9-B711-142C0CF088B1}">
    <text>Omits συνηγμενοι; remainder matches</text>
  </threadedComment>
  <threadedComment ref="AF54" dT="2026-01-08T23:17:49.15" personId="{2A5DBB96-E1DB-4873-9365-F1E41F569A40}" id="{3E5AC485-0EA5-437C-B76A-1B5A95948889}">
    <text>Omits συνηγμενοι; remainder matches</text>
  </threadedComment>
  <threadedComment ref="AG54" dT="2026-01-08T23:17:49.15" personId="{2A5DBB96-E1DB-4873-9365-F1E41F569A40}" id="{8CA2604A-5DA3-42AD-B05A-8282FD9DF207}">
    <text>Omits συνηγμενοι; remainder matches</text>
  </threadedComment>
  <threadedComment ref="AH54" dT="2026-01-08T23:17:49.15" personId="{2A5DBB96-E1DB-4873-9365-F1E41F569A40}" id="{3EDC92F7-AA5D-4FC0-AED7-3EFC926D3CDA}">
    <text>Omits συνηγμενοι; remainder matches</text>
  </threadedComment>
  <threadedComment ref="AI54" dT="2026-01-08T23:17:49.15" personId="{2A5DBB96-E1DB-4873-9365-F1E41F569A40}" id="{437124C7-CC1E-49CD-A0FA-8D0B7CBAF63B}">
    <text>Omits συνηγμενοι; remainder matches</text>
  </threadedComment>
  <threadedComment ref="AJ54" dT="2026-01-08T23:17:49.15" personId="{2A5DBB96-E1DB-4873-9365-F1E41F569A40}" id="{257D0CDF-7B04-4D0C-A1AB-3555F09DDEF4}">
    <text>Omits συνηγμενοι; remainder matches</text>
  </threadedComment>
  <threadedComment ref="AK54" dT="2026-01-08T23:17:49.15" personId="{2A5DBB96-E1DB-4873-9365-F1E41F569A40}" id="{158D0730-8245-4A2A-960D-51BD656FE94E}">
    <text>Omits συνηγμενοι; remainder matches</text>
  </threadedComment>
  <threadedComment ref="AD55" dT="2026-01-08T23:20:17.09" personId="{2A5DBB96-E1DB-4873-9365-F1E41F569A40}" id="{5BF3657D-60D2-4807-B077-78539352F199}">
    <text>= εγενετο δε μοι πορευομενω και εγγυζοντι τη δαμασκω περι μεσημβριαν εξαιφνης εκ του ουρανου περιαστραψαι φως</text>
  </threadedComment>
  <threadedComment ref="AF55" dT="2026-01-09T05:27:20.56" personId="{2A5DBB96-E1DB-4873-9365-F1E41F569A40}" id="{B5515FD9-ED38-4AF5-856B-40FF79946E5C}">
    <text>= τιμωρηθωσιν εγενετο δε μοι πορευομενω και εγγιζοντι τη δαμασκω περι μεσημβριαν εξαιφνης εκ του ουρανου περιαστραψαι φως</text>
  </threadedComment>
  <threadedComment ref="AG55" dT="2026-01-09T05:27:20.56" personId="{2A5DBB96-E1DB-4873-9365-F1E41F569A40}" id="{65F17583-B832-45E5-AE83-AE88B367BEC5}">
    <text>= τιμωρηθωσιν εγενετο δε μοι πορευομενω και εγγιζοντι τη δαμασκω περι μεσημβριαν εξαιφνης εκ του ουρανου περιαστραψαι φως</text>
  </threadedComment>
  <threadedComment ref="AH55" dT="2026-01-09T05:27:20.56" personId="{2A5DBB96-E1DB-4873-9365-F1E41F569A40}" id="{73062C45-1DA2-412E-9DF2-D01A35536A5C}">
    <text>= τιμωρηθωσιν εγενετο δε μοι πορευομενω και εγγιζοντι τη δαμασκω περι μεσημβριαν εξαιφνης εκ του ουρανου περιαστραψαι φως</text>
  </threadedComment>
  <threadedComment ref="AI55" dT="2026-01-09T05:27:20.56" personId="{2A5DBB96-E1DB-4873-9365-F1E41F569A40}" id="{2B16853E-0E37-4F22-83CE-0525D8A72024}">
    <text>= τιμωρηθωσιν εγενετο δε μοι πορευομενω και εγγιζοντι τη δαμασκω περι μεσημβριαν εξαιφνης εκ του ουρανου περιαστραψαι φως</text>
  </threadedComment>
  <threadedComment ref="AJ55" dT="2026-01-09T05:27:20.56" personId="{2A5DBB96-E1DB-4873-9365-F1E41F569A40}" id="{682F8845-2925-4211-87E5-3A385ABCF067}">
    <text>= τιμωρηθωσιν εγενετο δε μοι πορευομενω και εγγιζοντι τη δαμασκω περι μεσημβριαν εξαιφνης εκ του ουρανου περιαστραψαι φως</text>
  </threadedComment>
  <threadedComment ref="AK55" dT="2026-01-09T05:27:20.56" personId="{2A5DBB96-E1DB-4873-9365-F1E41F569A40}" id="{75E19F8D-CB9B-40E3-BBE6-446A640F9893}">
    <text>= τιμωρηθωσιν εγενετο δε μοι πορευομενω και εγγιζοντι τη δαμασκω περι μεσημβριαν εξαιφνης εκ του ουρανου περιαστραψαι φως</text>
  </threadedComment>
</ThreadedComments>
</file>

<file path=xl/threadedComments/threadedComment16.xml><?xml version="1.0" encoding="utf-8"?>
<ThreadedComments xmlns="http://schemas.microsoft.com/office/spreadsheetml/2018/threadedcomments" xmlns:x="http://schemas.openxmlformats.org/spreadsheetml/2006/main">
  <threadedComment ref="L3" dT="2023-08-03T13:34:30.53" personId="{2A5DBB96-E1DB-4873-9365-F1E41F569A40}" id="{41FCAFD4-001D-4A11-AD52-C60792DF3206}">
    <text>The apograph reading is singular and the autograph reading is not. The singular readings method would detect this variant</text>
  </threadedComment>
  <threadedComment ref="M3" dT="2024-02-22T12:13:50.91" personId="{2A5DBB96-E1DB-4873-9365-F1E41F569A40}" id="{D5511078-0067-4ADF-BABD-DDA4B3053911}">
    <text>Places where the apograph has altered the text, but the apograph reading corresponds to the modern critical edition of the text</text>
  </threadedComment>
  <threadedComment ref="L4" dT="2023-08-03T13:33:28.57" personId="{2A5DBB96-E1DB-4873-9365-F1E41F569A40}" id="{C5840164-A82F-4076-B99F-ECD01830C877}">
    <text>That is, the autograph contains a singular reading and the apograph followed it</text>
  </threadedComment>
  <threadedComment ref="M4" dT="2024-02-22T12:14:40.68" personId="{2A5DBB96-E1DB-4873-9365-F1E41F569A40}" id="{12C9AB96-68FE-44A5-BDBD-9DD980F01A9A}">
    <text>Places where the apograph has altered the text, and the apograph reading deviates from the modern critical edition of the text</text>
  </threadedComment>
  <threadedComment ref="L5" dT="2023-08-03T13:35:10.13" personId="{2A5DBB96-E1DB-4873-9365-F1E41F569A40}" id="{1A947DAF-07AD-471D-887C-41881E0C5811}">
    <text>The apograph reading is not singular: other witnesses contain the same reading. These are real variants produced by the apograph scribe, but the singular readings method would not detect them</text>
  </threadedComment>
  <threadedComment ref="M5" dT="2024-02-22T12:17:32.10" personId="{2A5DBB96-E1DB-4873-9365-F1E41F569A40}" id="{2FF9D55F-9030-4D7F-B3B4-F63C170F62FD}">
    <text>Places where the apograph has altered the text, and the apograph reading deviates from the modern critical edition of the text, but the apparent type of variation relative to the critical text differs from the true variant type (e.g., relative to the critical text the variant appears to be a substitution, but relative to the exemplar it is an addition)</text>
  </threadedComment>
  <threadedComment ref="M6" dT="2024-02-22T12:19:38.97" personId="{2A5DBB96-E1DB-4873-9365-F1E41F569A40}" id="{1F1A2483-4B64-4A00-B38B-E8253328349D}">
    <text>Places where the apograph text differs from the modern critical text, but the apograph has not altered the autograph text (i.e., the apograph scribe has not actually altered his text)</text>
  </threadedComment>
  <threadedComment ref="O13" dT="2023-08-14T14:21:11.11" personId="{2A5DBB96-E1DB-4873-9365-F1E41F569A40}" id="{455F76EE-CA8F-4BFB-BB80-403F7BA09089}">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8.bin"/><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G5204"/>
  <sheetViews>
    <sheetView tabSelected="1" zoomScaleNormal="100" workbookViewId="0">
      <pane xSplit="5" ySplit="1" topLeftCell="F3761" activePane="bottomRight" state="frozen"/>
      <selection pane="topRight" activeCell="F1" sqref="F1"/>
      <selection pane="bottomLeft" activeCell="A2" sqref="A2"/>
      <selection pane="bottomRight" activeCell="E5208" sqref="E5208"/>
    </sheetView>
  </sheetViews>
  <sheetFormatPr defaultRowHeight="14.5"/>
  <cols>
    <col min="1" max="1" width="10.81640625" customWidth="1"/>
    <col min="2" max="3" width="8.90625" hidden="1" customWidth="1"/>
    <col min="4" max="5" width="20.81640625" style="11" customWidth="1"/>
    <col min="6" max="8" width="12.81640625" customWidth="1"/>
    <col min="9" max="9" width="8.7265625" hidden="1" customWidth="1"/>
    <col min="10" max="10" width="17.81640625" style="9" customWidth="1"/>
    <col min="11" max="22" width="8.81640625" style="9" customWidth="1"/>
    <col min="23" max="27" width="6.81640625" style="9" customWidth="1"/>
    <col min="28" max="33" width="8.81640625" style="9" customWidth="1"/>
  </cols>
  <sheetData>
    <row r="1" spans="1:33" s="1" customFormat="1">
      <c r="A1" s="1" t="s">
        <v>0</v>
      </c>
      <c r="B1" s="1" t="s">
        <v>1</v>
      </c>
      <c r="C1" s="1" t="s">
        <v>2</v>
      </c>
      <c r="D1" s="14" t="s">
        <v>5</v>
      </c>
      <c r="E1" s="14" t="s">
        <v>6</v>
      </c>
      <c r="F1" s="1" t="s">
        <v>12100</v>
      </c>
      <c r="G1" s="1" t="s">
        <v>12101</v>
      </c>
      <c r="H1" s="1" t="s">
        <v>12102</v>
      </c>
      <c r="I1" s="1" t="s">
        <v>7</v>
      </c>
      <c r="J1" s="1" t="s">
        <v>3</v>
      </c>
      <c r="K1" s="1" t="s">
        <v>12103</v>
      </c>
      <c r="L1" s="1" t="s">
        <v>12104</v>
      </c>
      <c r="M1" s="1" t="s">
        <v>12105</v>
      </c>
      <c r="N1" s="1" t="s">
        <v>12106</v>
      </c>
      <c r="O1" s="1" t="s">
        <v>12066</v>
      </c>
      <c r="P1" s="1" t="s">
        <v>12107</v>
      </c>
      <c r="Q1" s="8" t="s">
        <v>12108</v>
      </c>
      <c r="R1" s="1" t="s">
        <v>12067</v>
      </c>
      <c r="S1" s="1" t="s">
        <v>12109</v>
      </c>
      <c r="T1" s="1" t="s">
        <v>12110</v>
      </c>
      <c r="U1" s="1" t="s">
        <v>12793</v>
      </c>
      <c r="V1" s="1" t="s">
        <v>12794</v>
      </c>
      <c r="W1" s="1" t="s">
        <v>12112</v>
      </c>
      <c r="X1" s="1" t="s">
        <v>12113</v>
      </c>
      <c r="Y1" s="1" t="s">
        <v>12114</v>
      </c>
      <c r="Z1" s="1" t="s">
        <v>12068</v>
      </c>
      <c r="AA1" s="1" t="s">
        <v>12069</v>
      </c>
      <c r="AB1" s="1" t="s">
        <v>12070</v>
      </c>
      <c r="AC1" s="1" t="s">
        <v>12111</v>
      </c>
      <c r="AD1" s="1" t="s">
        <v>12115</v>
      </c>
      <c r="AE1" s="1" t="s">
        <v>12071</v>
      </c>
      <c r="AF1" s="1" t="s">
        <v>12116</v>
      </c>
      <c r="AG1" s="1" t="s">
        <v>13140</v>
      </c>
    </row>
    <row r="2" spans="1:33">
      <c r="A2" s="3" t="s">
        <v>36</v>
      </c>
      <c r="D2" s="3" t="s">
        <v>37</v>
      </c>
      <c r="E2" s="3" t="s">
        <v>38</v>
      </c>
      <c r="F2" t="s">
        <v>4774</v>
      </c>
      <c r="I2" t="s">
        <v>13090</v>
      </c>
      <c r="Q2" s="10"/>
      <c r="U2" s="9" t="str">
        <f ca="1">IF(ISNUMBER(T2),VALUE(MID(_xlfn.FORMULATEXT(T2),SEARCH("-",_xlfn.FORMULATEXT(T2))+1,LEN(_xlfn.FORMULATEXT(T2))-SEARCH("-",_xlfn.FORMULATEXT(T2)))), "")</f>
        <v/>
      </c>
      <c r="V2" s="9" t="str">
        <f ca="1">IF(ISNUMBER(T2), VALUE(MID(_xlfn.FORMULATEXT(T2), 2, SEARCH("-", _xlfn.FORMULATEXT(T2)) - 2)), "")</f>
        <v/>
      </c>
      <c r="AF2" s="9" t="s">
        <v>19</v>
      </c>
    </row>
    <row r="3" spans="1:33">
      <c r="A3" s="3" t="s">
        <v>40</v>
      </c>
      <c r="D3" s="3" t="s">
        <v>37</v>
      </c>
      <c r="E3" s="3" t="s">
        <v>39</v>
      </c>
      <c r="F3" t="s">
        <v>4774</v>
      </c>
      <c r="Q3" s="10"/>
      <c r="U3" s="9" t="str">
        <f t="shared" ref="U3:U64" ca="1" si="0">IF(ISNUMBER(T3),VALUE(MID(_xlfn.FORMULATEXT(T3),SEARCH("-",_xlfn.FORMULATEXT(T3))+1,LEN(_xlfn.FORMULATEXT(T3))-SEARCH("-",_xlfn.FORMULATEXT(T3)))), "")</f>
        <v/>
      </c>
      <c r="V3" s="9" t="str">
        <f t="shared" ref="V3:V64" ca="1" si="1">IF(ISNUMBER(T3), VALUE(MID(_xlfn.FORMULATEXT(T3), 2, SEARCH("-", _xlfn.FORMULATEXT(T3)) - 2)), "")</f>
        <v/>
      </c>
    </row>
    <row r="4" spans="1:33">
      <c r="A4" s="3" t="s">
        <v>44</v>
      </c>
      <c r="D4" s="3" t="s">
        <v>37</v>
      </c>
      <c r="E4" s="3" t="s">
        <v>45</v>
      </c>
      <c r="F4" t="s">
        <v>4774</v>
      </c>
      <c r="Q4" s="10"/>
      <c r="U4" s="9" t="str">
        <f t="shared" ca="1" si="0"/>
        <v/>
      </c>
      <c r="V4" s="9" t="str">
        <f t="shared" ca="1" si="1"/>
        <v/>
      </c>
    </row>
    <row r="5" spans="1:33">
      <c r="A5" s="3" t="s">
        <v>47</v>
      </c>
      <c r="D5" s="3" t="s">
        <v>37</v>
      </c>
      <c r="E5" s="3" t="s">
        <v>46</v>
      </c>
      <c r="F5" t="s">
        <v>4774</v>
      </c>
      <c r="Q5" s="10"/>
      <c r="U5" s="9" t="str">
        <f t="shared" ca="1" si="0"/>
        <v/>
      </c>
      <c r="V5" s="9" t="str">
        <f t="shared" ca="1" si="1"/>
        <v/>
      </c>
    </row>
    <row r="6" spans="1:33">
      <c r="A6" s="3" t="s">
        <v>49</v>
      </c>
      <c r="D6" s="3" t="s">
        <v>37</v>
      </c>
      <c r="E6" s="3" t="s">
        <v>48</v>
      </c>
      <c r="F6" t="s">
        <v>4774</v>
      </c>
      <c r="Q6" s="10"/>
      <c r="U6" s="9" t="str">
        <f t="shared" ca="1" si="0"/>
        <v/>
      </c>
      <c r="V6" s="9" t="str">
        <f t="shared" ca="1" si="1"/>
        <v/>
      </c>
    </row>
    <row r="7" spans="1:33">
      <c r="A7" s="3" t="s">
        <v>52</v>
      </c>
      <c r="D7" s="3" t="s">
        <v>37</v>
      </c>
      <c r="E7" s="3" t="s">
        <v>51</v>
      </c>
      <c r="F7" t="s">
        <v>4774</v>
      </c>
      <c r="Q7" s="10"/>
      <c r="U7" s="9" t="str">
        <f t="shared" ca="1" si="0"/>
        <v/>
      </c>
      <c r="V7" s="9" t="str">
        <f t="shared" ca="1" si="1"/>
        <v/>
      </c>
    </row>
    <row r="8" spans="1:33">
      <c r="A8" s="3" t="s">
        <v>56</v>
      </c>
      <c r="D8" s="3" t="s">
        <v>37</v>
      </c>
      <c r="E8" s="3" t="s">
        <v>57</v>
      </c>
      <c r="F8" t="s">
        <v>4774</v>
      </c>
      <c r="Q8" s="10"/>
      <c r="U8" s="9" t="str">
        <f t="shared" ca="1" si="0"/>
        <v/>
      </c>
      <c r="V8" s="9" t="str">
        <f t="shared" ca="1" si="1"/>
        <v/>
      </c>
    </row>
    <row r="9" spans="1:33">
      <c r="A9" s="3" t="s">
        <v>59</v>
      </c>
      <c r="D9" s="3" t="s">
        <v>37</v>
      </c>
      <c r="E9" s="3" t="s">
        <v>58</v>
      </c>
      <c r="F9" t="s">
        <v>4774</v>
      </c>
      <c r="Q9" s="10"/>
      <c r="U9" s="9" t="str">
        <f t="shared" ca="1" si="0"/>
        <v/>
      </c>
      <c r="V9" s="9" t="str">
        <f t="shared" ca="1" si="1"/>
        <v/>
      </c>
    </row>
    <row r="10" spans="1:33">
      <c r="A10" s="3" t="s">
        <v>60</v>
      </c>
      <c r="D10" s="3" t="s">
        <v>37</v>
      </c>
      <c r="E10" s="3" t="s">
        <v>61</v>
      </c>
      <c r="F10" t="s">
        <v>4774</v>
      </c>
      <c r="Q10" s="10"/>
      <c r="U10" s="9" t="str">
        <f t="shared" ca="1" si="0"/>
        <v/>
      </c>
      <c r="V10" s="9" t="str">
        <f t="shared" ca="1" si="1"/>
        <v/>
      </c>
    </row>
    <row r="11" spans="1:33">
      <c r="A11" s="3" t="s">
        <v>63</v>
      </c>
      <c r="D11" s="3" t="s">
        <v>37</v>
      </c>
      <c r="E11" s="3" t="s">
        <v>64</v>
      </c>
      <c r="F11" t="s">
        <v>4774</v>
      </c>
      <c r="Q11" s="10"/>
      <c r="U11" s="9" t="str">
        <f t="shared" ca="1" si="0"/>
        <v/>
      </c>
      <c r="V11" s="9" t="str">
        <f t="shared" ca="1" si="1"/>
        <v/>
      </c>
    </row>
    <row r="12" spans="1:33">
      <c r="A12" s="3" t="s">
        <v>65</v>
      </c>
      <c r="D12" s="3" t="s">
        <v>37</v>
      </c>
      <c r="E12" s="3" t="s">
        <v>66</v>
      </c>
      <c r="F12" t="s">
        <v>4774</v>
      </c>
      <c r="Q12" s="10"/>
      <c r="U12" s="9" t="str">
        <f t="shared" ca="1" si="0"/>
        <v/>
      </c>
      <c r="V12" s="9" t="str">
        <f t="shared" ca="1" si="1"/>
        <v/>
      </c>
    </row>
    <row r="13" spans="1:33">
      <c r="A13" s="3" t="s">
        <v>67</v>
      </c>
      <c r="D13" s="3" t="s">
        <v>37</v>
      </c>
      <c r="E13" s="3" t="s">
        <v>68</v>
      </c>
      <c r="F13" t="s">
        <v>4774</v>
      </c>
      <c r="Q13" s="10"/>
      <c r="U13" s="9" t="str">
        <f t="shared" ca="1" si="0"/>
        <v/>
      </c>
      <c r="V13" s="9" t="str">
        <f t="shared" ca="1" si="1"/>
        <v/>
      </c>
    </row>
    <row r="14" spans="1:33">
      <c r="A14" s="3" t="s">
        <v>70</v>
      </c>
      <c r="D14" s="3" t="s">
        <v>37</v>
      </c>
      <c r="E14" s="3" t="s">
        <v>69</v>
      </c>
      <c r="F14" t="s">
        <v>4774</v>
      </c>
      <c r="Q14" s="10"/>
      <c r="U14" s="9" t="str">
        <f t="shared" ca="1" si="0"/>
        <v/>
      </c>
      <c r="V14" s="9" t="str">
        <f t="shared" ca="1" si="1"/>
        <v/>
      </c>
    </row>
    <row r="15" spans="1:33">
      <c r="A15" s="3" t="s">
        <v>72</v>
      </c>
      <c r="D15" s="3" t="s">
        <v>37</v>
      </c>
      <c r="E15" s="3" t="s">
        <v>71</v>
      </c>
      <c r="F15" t="s">
        <v>4774</v>
      </c>
      <c r="Q15" s="10"/>
      <c r="U15" s="9" t="str">
        <f t="shared" ca="1" si="0"/>
        <v/>
      </c>
      <c r="V15" s="9" t="str">
        <f t="shared" ca="1" si="1"/>
        <v/>
      </c>
    </row>
    <row r="16" spans="1:33">
      <c r="A16" s="3" t="s">
        <v>74</v>
      </c>
      <c r="D16" s="3" t="s">
        <v>37</v>
      </c>
      <c r="E16" s="3" t="s">
        <v>73</v>
      </c>
      <c r="F16" t="s">
        <v>4774</v>
      </c>
      <c r="Q16" s="10"/>
      <c r="U16" s="9" t="str">
        <f t="shared" ca="1" si="0"/>
        <v/>
      </c>
      <c r="V16" s="9" t="str">
        <f t="shared" ca="1" si="1"/>
        <v/>
      </c>
    </row>
    <row r="17" spans="1:33">
      <c r="A17" s="3" t="s">
        <v>75</v>
      </c>
      <c r="D17" s="3" t="s">
        <v>37</v>
      </c>
      <c r="E17" s="3" t="s">
        <v>42</v>
      </c>
      <c r="F17" t="s">
        <v>4774</v>
      </c>
      <c r="Q17" s="10"/>
      <c r="U17" s="9" t="str">
        <f t="shared" ca="1" si="0"/>
        <v/>
      </c>
      <c r="V17" s="9" t="str">
        <f t="shared" ca="1" si="1"/>
        <v/>
      </c>
    </row>
    <row r="18" spans="1:33">
      <c r="A18" s="3" t="s">
        <v>78</v>
      </c>
      <c r="D18" s="3" t="s">
        <v>37</v>
      </c>
      <c r="E18" s="3" t="s">
        <v>79</v>
      </c>
      <c r="F18" t="s">
        <v>4774</v>
      </c>
      <c r="Q18" s="10"/>
      <c r="U18" s="9" t="str">
        <f t="shared" ca="1" si="0"/>
        <v/>
      </c>
      <c r="V18" s="9" t="str">
        <f t="shared" ca="1" si="1"/>
        <v/>
      </c>
    </row>
    <row r="19" spans="1:33">
      <c r="A19" s="3" t="s">
        <v>80</v>
      </c>
      <c r="D19" s="3" t="s">
        <v>37</v>
      </c>
      <c r="E19" s="3" t="s">
        <v>55</v>
      </c>
      <c r="F19" t="s">
        <v>4774</v>
      </c>
      <c r="Q19" s="10"/>
      <c r="U19" s="9" t="str">
        <f t="shared" ca="1" si="0"/>
        <v/>
      </c>
      <c r="V19" s="9" t="str">
        <f t="shared" ca="1" si="1"/>
        <v/>
      </c>
    </row>
    <row r="20" spans="1:33">
      <c r="A20" s="3" t="s">
        <v>81</v>
      </c>
      <c r="D20" s="3" t="s">
        <v>37</v>
      </c>
      <c r="E20" s="3" t="s">
        <v>76</v>
      </c>
      <c r="F20" t="s">
        <v>4774</v>
      </c>
      <c r="Q20" s="10"/>
      <c r="U20" s="9" t="str">
        <f t="shared" ca="1" si="0"/>
        <v/>
      </c>
      <c r="V20" s="9" t="str">
        <f t="shared" ca="1" si="1"/>
        <v/>
      </c>
    </row>
    <row r="21" spans="1:33">
      <c r="A21" s="3" t="s">
        <v>86</v>
      </c>
      <c r="D21" s="3" t="s">
        <v>4775</v>
      </c>
      <c r="E21" s="3" t="s">
        <v>4776</v>
      </c>
      <c r="J21" s="9" t="s">
        <v>12120</v>
      </c>
      <c r="Q21" s="10"/>
      <c r="U21" s="9" t="str">
        <f t="shared" ca="1" si="0"/>
        <v/>
      </c>
      <c r="V21" s="9" t="str">
        <f t="shared" ca="1" si="1"/>
        <v/>
      </c>
      <c r="AC21" s="9" t="s">
        <v>12128</v>
      </c>
      <c r="AD21" s="9" t="s">
        <v>19</v>
      </c>
    </row>
    <row r="22" spans="1:33">
      <c r="A22" s="3" t="s">
        <v>86</v>
      </c>
      <c r="D22" s="3" t="s">
        <v>87</v>
      </c>
      <c r="E22" s="3" t="s">
        <v>88</v>
      </c>
      <c r="J22" s="9" t="s">
        <v>12118</v>
      </c>
      <c r="Q22" s="10"/>
      <c r="T22" s="9" t="s">
        <v>12119</v>
      </c>
      <c r="U22" s="9" t="str">
        <f t="shared" ca="1" si="0"/>
        <v/>
      </c>
      <c r="V22" s="9" t="str">
        <f t="shared" ca="1" si="1"/>
        <v/>
      </c>
      <c r="AB22" s="9" t="s">
        <v>12124</v>
      </c>
      <c r="AC22" s="9" t="s">
        <v>12740</v>
      </c>
      <c r="AD22" s="9" t="s">
        <v>19</v>
      </c>
    </row>
    <row r="23" spans="1:33" ht="29">
      <c r="A23" s="3" t="s">
        <v>89</v>
      </c>
      <c r="D23" s="3" t="s">
        <v>4777</v>
      </c>
      <c r="E23" s="3" t="s">
        <v>4777</v>
      </c>
      <c r="G23" t="s">
        <v>20</v>
      </c>
      <c r="Q23" s="10"/>
      <c r="U23" s="9" t="str">
        <f t="shared" ca="1" si="0"/>
        <v/>
      </c>
      <c r="V23" s="9" t="str">
        <f t="shared" ca="1" si="1"/>
        <v/>
      </c>
    </row>
    <row r="24" spans="1:33">
      <c r="A24" s="3" t="s">
        <v>89</v>
      </c>
      <c r="D24" s="3" t="s">
        <v>4778</v>
      </c>
      <c r="E24" s="3" t="s">
        <v>4779</v>
      </c>
      <c r="I24" t="s">
        <v>12630</v>
      </c>
      <c r="J24" s="9" t="s">
        <v>12118</v>
      </c>
      <c r="Q24" s="10"/>
      <c r="T24" s="9">
        <f>196-93</f>
        <v>103</v>
      </c>
      <c r="U24" s="9">
        <f t="shared" ca="1" si="0"/>
        <v>93</v>
      </c>
      <c r="V24" s="9">
        <f t="shared" ca="1" si="1"/>
        <v>196</v>
      </c>
      <c r="W24" s="9" t="s">
        <v>12117</v>
      </c>
      <c r="AG24" s="9" t="s">
        <v>20</v>
      </c>
    </row>
    <row r="25" spans="1:33" ht="29">
      <c r="A25" s="3" t="s">
        <v>91</v>
      </c>
      <c r="D25" s="3" t="s">
        <v>4780</v>
      </c>
      <c r="E25" s="3" t="s">
        <v>4781</v>
      </c>
      <c r="G25" t="s">
        <v>19</v>
      </c>
      <c r="I25" t="s">
        <v>12129</v>
      </c>
      <c r="J25" s="9" t="s">
        <v>12121</v>
      </c>
      <c r="Q25" s="10"/>
      <c r="T25" s="9">
        <f>5676-0</f>
        <v>5676</v>
      </c>
      <c r="U25" s="9">
        <f t="shared" ca="1" si="0"/>
        <v>0</v>
      </c>
      <c r="V25" s="9">
        <f t="shared" ca="1" si="1"/>
        <v>5676</v>
      </c>
      <c r="AE25" s="9" t="s">
        <v>12089</v>
      </c>
    </row>
    <row r="26" spans="1:33">
      <c r="A26" s="3" t="s">
        <v>92</v>
      </c>
      <c r="D26" s="3" t="s">
        <v>4782</v>
      </c>
      <c r="E26" s="3" t="s">
        <v>4783</v>
      </c>
      <c r="F26" t="s">
        <v>11</v>
      </c>
      <c r="G26" t="s">
        <v>19</v>
      </c>
      <c r="J26" s="9" t="s">
        <v>12120</v>
      </c>
      <c r="Q26" s="10"/>
      <c r="U26" s="9" t="str">
        <f t="shared" ca="1" si="0"/>
        <v/>
      </c>
      <c r="V26" s="9" t="str">
        <f t="shared" ca="1" si="1"/>
        <v/>
      </c>
      <c r="AB26" s="9" t="s">
        <v>12738</v>
      </c>
      <c r="AD26" s="9" t="s">
        <v>19</v>
      </c>
    </row>
    <row r="27" spans="1:33" ht="43.5">
      <c r="A27" s="3" t="s">
        <v>93</v>
      </c>
      <c r="D27" s="3" t="s">
        <v>4784</v>
      </c>
      <c r="E27" s="3" t="s">
        <v>4785</v>
      </c>
      <c r="I27" t="s">
        <v>5457</v>
      </c>
      <c r="J27" s="9" t="s">
        <v>26</v>
      </c>
      <c r="Q27" s="10"/>
      <c r="U27" s="9" t="str">
        <f t="shared" ca="1" si="0"/>
        <v/>
      </c>
      <c r="V27" s="9" t="str">
        <f t="shared" ca="1" si="1"/>
        <v/>
      </c>
      <c r="AG27" s="9" t="s">
        <v>19</v>
      </c>
    </row>
    <row r="28" spans="1:33" ht="43.5">
      <c r="A28" s="3" t="s">
        <v>93</v>
      </c>
      <c r="D28" s="3" t="s">
        <v>4786</v>
      </c>
      <c r="E28" s="3" t="s">
        <v>4787</v>
      </c>
      <c r="J28" s="9" t="s">
        <v>12118</v>
      </c>
      <c r="Q28" s="10"/>
      <c r="T28" s="9" t="s">
        <v>12119</v>
      </c>
      <c r="U28" s="9" t="str">
        <f t="shared" ca="1" si="0"/>
        <v/>
      </c>
      <c r="V28" s="9" t="str">
        <f t="shared" ca="1" si="1"/>
        <v/>
      </c>
      <c r="AC28" s="9" t="s">
        <v>12130</v>
      </c>
      <c r="AD28" s="9" t="s">
        <v>19</v>
      </c>
      <c r="AE28" s="9" t="s">
        <v>12086</v>
      </c>
    </row>
    <row r="29" spans="1:33">
      <c r="A29" s="3" t="s">
        <v>93</v>
      </c>
      <c r="D29" s="3" t="s">
        <v>4788</v>
      </c>
      <c r="E29" s="3" t="s">
        <v>4789</v>
      </c>
      <c r="G29" t="s">
        <v>19</v>
      </c>
      <c r="I29" s="4"/>
      <c r="J29" s="9" t="s">
        <v>12118</v>
      </c>
      <c r="Q29" s="10"/>
      <c r="T29" s="9">
        <f>40-2</f>
        <v>38</v>
      </c>
      <c r="U29" s="9">
        <f t="shared" ca="1" si="0"/>
        <v>2</v>
      </c>
      <c r="V29" s="9">
        <f t="shared" ca="1" si="1"/>
        <v>40</v>
      </c>
    </row>
    <row r="30" spans="1:33" ht="29">
      <c r="A30" s="3" t="s">
        <v>94</v>
      </c>
      <c r="D30" s="3" t="s">
        <v>4790</v>
      </c>
      <c r="E30" s="3" t="s">
        <v>4791</v>
      </c>
      <c r="G30" t="s">
        <v>19</v>
      </c>
      <c r="J30" s="9" t="s">
        <v>12120</v>
      </c>
      <c r="Q30" s="10"/>
      <c r="U30" s="9" t="str">
        <f t="shared" ca="1" si="0"/>
        <v/>
      </c>
      <c r="V30" s="9" t="str">
        <f t="shared" ca="1" si="1"/>
        <v/>
      </c>
    </row>
    <row r="31" spans="1:33">
      <c r="A31" s="3" t="s">
        <v>95</v>
      </c>
      <c r="D31" s="3" t="s">
        <v>96</v>
      </c>
      <c r="E31" s="3" t="s">
        <v>97</v>
      </c>
      <c r="J31" s="9" t="s">
        <v>12118</v>
      </c>
      <c r="Q31" s="10"/>
      <c r="T31" s="9">
        <f>84-0</f>
        <v>84</v>
      </c>
      <c r="U31" s="9">
        <f t="shared" ca="1" si="0"/>
        <v>0</v>
      </c>
      <c r="V31" s="9">
        <f t="shared" ca="1" si="1"/>
        <v>84</v>
      </c>
      <c r="AC31" s="9" t="s">
        <v>12130</v>
      </c>
      <c r="AD31" s="9" t="s">
        <v>19</v>
      </c>
    </row>
    <row r="32" spans="1:33">
      <c r="A32" s="3" t="s">
        <v>95</v>
      </c>
      <c r="D32" s="3" t="s">
        <v>98</v>
      </c>
      <c r="E32" s="3" t="s">
        <v>99</v>
      </c>
      <c r="J32" s="9" t="s">
        <v>12120</v>
      </c>
      <c r="Q32" s="10"/>
      <c r="U32" s="9" t="str">
        <f t="shared" ca="1" si="0"/>
        <v/>
      </c>
      <c r="V32" s="9" t="str">
        <f t="shared" ca="1" si="1"/>
        <v/>
      </c>
      <c r="AG32" s="9" t="s">
        <v>19</v>
      </c>
    </row>
    <row r="33" spans="1:33">
      <c r="A33" s="3" t="s">
        <v>100</v>
      </c>
      <c r="D33" s="3" t="s">
        <v>101</v>
      </c>
      <c r="E33" s="3" t="s">
        <v>84</v>
      </c>
      <c r="J33" s="9" t="s">
        <v>12120</v>
      </c>
      <c r="Q33" s="10"/>
      <c r="U33" s="9" t="str">
        <f t="shared" ca="1" si="0"/>
        <v/>
      </c>
      <c r="V33" s="9" t="str">
        <f t="shared" ca="1" si="1"/>
        <v/>
      </c>
      <c r="AC33" s="9" t="s">
        <v>12130</v>
      </c>
      <c r="AD33" s="9" t="s">
        <v>19</v>
      </c>
    </row>
    <row r="34" spans="1:33">
      <c r="A34" s="3" t="s">
        <v>100</v>
      </c>
      <c r="D34" s="3" t="s">
        <v>4792</v>
      </c>
      <c r="E34" s="3" t="s">
        <v>4793</v>
      </c>
      <c r="J34" s="9" t="s">
        <v>12120</v>
      </c>
      <c r="Q34" s="10"/>
      <c r="U34" s="9" t="str">
        <f t="shared" ca="1" si="0"/>
        <v/>
      </c>
      <c r="V34" s="9" t="str">
        <f t="shared" ca="1" si="1"/>
        <v/>
      </c>
      <c r="AG34" s="9" t="s">
        <v>20</v>
      </c>
    </row>
    <row r="35" spans="1:33">
      <c r="A35" s="3" t="s">
        <v>102</v>
      </c>
      <c r="D35" s="3" t="s">
        <v>4794</v>
      </c>
      <c r="E35" s="3" t="s">
        <v>4795</v>
      </c>
      <c r="I35" t="s">
        <v>12631</v>
      </c>
      <c r="J35" s="9" t="s">
        <v>12118</v>
      </c>
      <c r="Q35" s="10"/>
      <c r="T35" s="9">
        <f>99-4</f>
        <v>95</v>
      </c>
      <c r="U35" s="9">
        <f t="shared" ca="1" si="0"/>
        <v>4</v>
      </c>
      <c r="V35" s="9">
        <f t="shared" ca="1" si="1"/>
        <v>99</v>
      </c>
      <c r="W35" s="9" t="s">
        <v>4</v>
      </c>
      <c r="AG35" s="9" t="s">
        <v>19</v>
      </c>
    </row>
    <row r="36" spans="1:33">
      <c r="A36" s="3" t="s">
        <v>104</v>
      </c>
      <c r="D36" s="3" t="s">
        <v>105</v>
      </c>
      <c r="E36" s="3" t="s">
        <v>4796</v>
      </c>
      <c r="G36" t="s">
        <v>19</v>
      </c>
      <c r="J36" s="9" t="s">
        <v>12118</v>
      </c>
      <c r="Q36" s="10"/>
      <c r="T36" s="9" t="s">
        <v>12131</v>
      </c>
      <c r="U36" s="9" t="str">
        <f t="shared" ca="1" si="0"/>
        <v/>
      </c>
      <c r="V36" s="9" t="str">
        <f t="shared" ca="1" si="1"/>
        <v/>
      </c>
      <c r="AB36" s="9" t="s">
        <v>12124</v>
      </c>
      <c r="AC36" s="9" t="s">
        <v>12132</v>
      </c>
      <c r="AD36" s="9" t="s">
        <v>19</v>
      </c>
    </row>
    <row r="37" spans="1:33">
      <c r="A37" s="3" t="s">
        <v>104</v>
      </c>
      <c r="D37" s="3" t="s">
        <v>4797</v>
      </c>
      <c r="E37" s="3" t="s">
        <v>4798</v>
      </c>
      <c r="G37" t="s">
        <v>19</v>
      </c>
      <c r="J37" s="9" t="s">
        <v>12118</v>
      </c>
      <c r="Q37" s="10"/>
      <c r="T37" s="9">
        <f>1-2</f>
        <v>-1</v>
      </c>
      <c r="U37" s="9">
        <f t="shared" ca="1" si="0"/>
        <v>2</v>
      </c>
      <c r="V37" s="9">
        <f t="shared" ca="1" si="1"/>
        <v>1</v>
      </c>
    </row>
    <row r="38" spans="1:33">
      <c r="A38" s="3" t="s">
        <v>106</v>
      </c>
      <c r="D38" s="3" t="s">
        <v>4799</v>
      </c>
      <c r="E38" s="3" t="s">
        <v>4800</v>
      </c>
      <c r="G38" t="s">
        <v>21</v>
      </c>
      <c r="I38" t="s">
        <v>4801</v>
      </c>
      <c r="J38" s="9" t="s">
        <v>12118</v>
      </c>
      <c r="Q38" s="10"/>
      <c r="T38" s="9" t="s">
        <v>12131</v>
      </c>
      <c r="U38" s="9" t="str">
        <f t="shared" ca="1" si="0"/>
        <v/>
      </c>
      <c r="V38" s="9" t="str">
        <f t="shared" ca="1" si="1"/>
        <v/>
      </c>
      <c r="AB38" s="9" t="s">
        <v>12124</v>
      </c>
      <c r="AD38" s="9" t="s">
        <v>19</v>
      </c>
    </row>
    <row r="39" spans="1:33" ht="29">
      <c r="A39" s="3" t="s">
        <v>107</v>
      </c>
      <c r="D39" s="3" t="s">
        <v>4802</v>
      </c>
      <c r="E39" s="3" t="s">
        <v>4803</v>
      </c>
      <c r="J39" s="9" t="s">
        <v>12120</v>
      </c>
      <c r="Q39" s="10"/>
      <c r="U39" s="9" t="str">
        <f t="shared" ca="1" si="0"/>
        <v/>
      </c>
      <c r="V39" s="9" t="str">
        <f t="shared" ca="1" si="1"/>
        <v/>
      </c>
      <c r="AB39" s="9" t="s">
        <v>12082</v>
      </c>
      <c r="AD39" s="9" t="s">
        <v>19</v>
      </c>
    </row>
    <row r="40" spans="1:33">
      <c r="A40" s="3" t="s">
        <v>108</v>
      </c>
      <c r="D40" s="3" t="s">
        <v>4804</v>
      </c>
      <c r="E40" s="3" t="s">
        <v>4805</v>
      </c>
      <c r="H40" t="s">
        <v>19</v>
      </c>
      <c r="J40" s="9" t="s">
        <v>25</v>
      </c>
      <c r="L40" s="9">
        <v>1</v>
      </c>
      <c r="M40" s="9">
        <v>2</v>
      </c>
      <c r="N40" s="9" t="s">
        <v>12078</v>
      </c>
      <c r="O40" s="9" t="s">
        <v>12119</v>
      </c>
      <c r="Q40" s="10"/>
      <c r="S40" s="9">
        <v>11843</v>
      </c>
      <c r="U40" s="9" t="str">
        <f t="shared" ca="1" si="0"/>
        <v/>
      </c>
      <c r="V40" s="9" t="str">
        <f t="shared" ca="1" si="1"/>
        <v/>
      </c>
      <c r="AG40" s="9" t="s">
        <v>20</v>
      </c>
    </row>
    <row r="41" spans="1:33">
      <c r="A41" s="3" t="s">
        <v>110</v>
      </c>
      <c r="D41" s="3" t="s">
        <v>4806</v>
      </c>
      <c r="E41" s="3" t="s">
        <v>4807</v>
      </c>
      <c r="G41" t="s">
        <v>19</v>
      </c>
      <c r="I41" t="s">
        <v>12632</v>
      </c>
      <c r="J41" s="9" t="s">
        <v>12118</v>
      </c>
      <c r="Q41" s="10"/>
      <c r="T41" s="9">
        <f>133-11843</f>
        <v>-11710</v>
      </c>
      <c r="U41" s="9">
        <f t="shared" ca="1" si="0"/>
        <v>11843</v>
      </c>
      <c r="V41" s="9">
        <f t="shared" ca="1" si="1"/>
        <v>133</v>
      </c>
      <c r="W41" s="9" t="s">
        <v>4</v>
      </c>
    </row>
    <row r="42" spans="1:33">
      <c r="A42" s="3" t="s">
        <v>111</v>
      </c>
      <c r="D42" s="3" t="s">
        <v>112</v>
      </c>
      <c r="E42" s="3" t="s">
        <v>113</v>
      </c>
      <c r="J42" s="9" t="s">
        <v>12118</v>
      </c>
      <c r="Q42" s="10"/>
      <c r="T42" s="9" t="s">
        <v>12131</v>
      </c>
      <c r="U42" s="9" t="str">
        <f t="shared" ca="1" si="0"/>
        <v/>
      </c>
      <c r="V42" s="9" t="str">
        <f t="shared" ca="1" si="1"/>
        <v/>
      </c>
      <c r="AB42" s="9" t="s">
        <v>12124</v>
      </c>
      <c r="AD42" s="9" t="s">
        <v>19</v>
      </c>
    </row>
    <row r="43" spans="1:33" ht="29">
      <c r="A43" s="3" t="s">
        <v>111</v>
      </c>
      <c r="D43" s="3" t="s">
        <v>4808</v>
      </c>
      <c r="E43" s="3" t="s">
        <v>12958</v>
      </c>
      <c r="J43" s="9" t="s">
        <v>12120</v>
      </c>
      <c r="Q43" s="10"/>
      <c r="U43" s="9" t="str">
        <f t="shared" ca="1" si="0"/>
        <v/>
      </c>
      <c r="V43" s="9" t="str">
        <f t="shared" ca="1" si="1"/>
        <v/>
      </c>
      <c r="AB43" s="9" t="s">
        <v>12124</v>
      </c>
      <c r="AD43" s="9" t="s">
        <v>19</v>
      </c>
    </row>
    <row r="44" spans="1:33" ht="29">
      <c r="A44" s="3" t="s">
        <v>111</v>
      </c>
      <c r="D44" s="3" t="s">
        <v>4809</v>
      </c>
      <c r="E44" s="3" t="s">
        <v>12133</v>
      </c>
      <c r="G44" t="s">
        <v>19</v>
      </c>
      <c r="J44" s="9" t="s">
        <v>12118</v>
      </c>
      <c r="Q44" s="10"/>
      <c r="T44" s="9" t="s">
        <v>12131</v>
      </c>
      <c r="U44" s="9" t="str">
        <f t="shared" ca="1" si="0"/>
        <v/>
      </c>
      <c r="V44" s="9" t="str">
        <f t="shared" ca="1" si="1"/>
        <v/>
      </c>
      <c r="AE44" s="9" t="s">
        <v>12086</v>
      </c>
    </row>
    <row r="45" spans="1:33">
      <c r="A45" s="3" t="s">
        <v>114</v>
      </c>
      <c r="D45" s="3" t="s">
        <v>4810</v>
      </c>
      <c r="E45" s="3" t="s">
        <v>4811</v>
      </c>
      <c r="J45" s="9" t="s">
        <v>24</v>
      </c>
      <c r="L45" s="9">
        <v>1</v>
      </c>
      <c r="M45" s="9">
        <v>2</v>
      </c>
      <c r="N45" s="9" t="s">
        <v>12087</v>
      </c>
      <c r="O45" s="9" t="s">
        <v>12119</v>
      </c>
      <c r="Q45" s="10"/>
      <c r="S45" s="9">
        <v>1966</v>
      </c>
      <c r="U45" s="9" t="str">
        <f t="shared" ca="1" si="0"/>
        <v/>
      </c>
      <c r="V45" s="9" t="str">
        <f t="shared" ca="1" si="1"/>
        <v/>
      </c>
      <c r="AG45" s="9" t="s">
        <v>19</v>
      </c>
    </row>
    <row r="46" spans="1:33">
      <c r="A46" s="3" t="s">
        <v>114</v>
      </c>
      <c r="D46" s="3" t="s">
        <v>115</v>
      </c>
      <c r="E46" s="3" t="s">
        <v>116</v>
      </c>
      <c r="J46" s="9" t="s">
        <v>12120</v>
      </c>
      <c r="Q46" s="10"/>
      <c r="U46" s="9" t="str">
        <f t="shared" ca="1" si="0"/>
        <v/>
      </c>
      <c r="V46" s="9" t="str">
        <f t="shared" ca="1" si="1"/>
        <v/>
      </c>
      <c r="AC46" s="9" t="s">
        <v>12130</v>
      </c>
      <c r="AD46" s="9" t="s">
        <v>19</v>
      </c>
      <c r="AE46" s="9" t="s">
        <v>12086</v>
      </c>
    </row>
    <row r="47" spans="1:33">
      <c r="A47" s="3" t="s">
        <v>114</v>
      </c>
      <c r="D47" s="3" t="s">
        <v>117</v>
      </c>
      <c r="E47" s="3" t="s">
        <v>118</v>
      </c>
      <c r="J47" s="9" t="s">
        <v>12118</v>
      </c>
      <c r="Q47" s="10"/>
      <c r="T47" s="9" t="s">
        <v>12131</v>
      </c>
      <c r="U47" s="9" t="str">
        <f t="shared" ca="1" si="0"/>
        <v/>
      </c>
      <c r="V47" s="9" t="str">
        <f t="shared" ca="1" si="1"/>
        <v/>
      </c>
      <c r="AB47" s="9" t="s">
        <v>12124</v>
      </c>
      <c r="AC47" s="9" t="s">
        <v>12740</v>
      </c>
      <c r="AD47" s="9" t="s">
        <v>19</v>
      </c>
    </row>
    <row r="48" spans="1:33">
      <c r="A48" s="3" t="s">
        <v>119</v>
      </c>
      <c r="D48" s="3" t="s">
        <v>120</v>
      </c>
      <c r="E48" s="3" t="s">
        <v>121</v>
      </c>
      <c r="J48" s="9" t="s">
        <v>12120</v>
      </c>
      <c r="Q48" s="10"/>
      <c r="U48" s="9" t="str">
        <f t="shared" ca="1" si="0"/>
        <v/>
      </c>
      <c r="V48" s="9" t="str">
        <f t="shared" ca="1" si="1"/>
        <v/>
      </c>
      <c r="AC48" s="9" t="s">
        <v>12744</v>
      </c>
      <c r="AD48" s="9" t="s">
        <v>19</v>
      </c>
      <c r="AE48" s="9" t="s">
        <v>12086</v>
      </c>
    </row>
    <row r="49" spans="1:33">
      <c r="A49" s="3" t="s">
        <v>122</v>
      </c>
      <c r="D49" s="3" t="s">
        <v>123</v>
      </c>
      <c r="E49" s="3" t="s">
        <v>124</v>
      </c>
      <c r="J49" s="9" t="s">
        <v>12118</v>
      </c>
      <c r="Q49" s="10"/>
      <c r="T49" s="9" t="s">
        <v>12131</v>
      </c>
      <c r="U49" s="9" t="str">
        <f t="shared" ca="1" si="0"/>
        <v/>
      </c>
      <c r="V49" s="9" t="str">
        <f t="shared" ca="1" si="1"/>
        <v/>
      </c>
      <c r="AC49" s="9" t="s">
        <v>12130</v>
      </c>
      <c r="AD49" s="9" t="s">
        <v>19</v>
      </c>
      <c r="AE49" s="9" t="s">
        <v>12086</v>
      </c>
    </row>
    <row r="50" spans="1:33">
      <c r="A50" s="3" t="s">
        <v>125</v>
      </c>
      <c r="D50" s="3" t="s">
        <v>126</v>
      </c>
      <c r="E50" s="3" t="s">
        <v>127</v>
      </c>
      <c r="J50" s="9" t="s">
        <v>12118</v>
      </c>
      <c r="Q50" s="10"/>
      <c r="T50" s="9" t="s">
        <v>12131</v>
      </c>
      <c r="U50" s="9" t="str">
        <f t="shared" ca="1" si="0"/>
        <v/>
      </c>
      <c r="V50" s="9" t="str">
        <f t="shared" ca="1" si="1"/>
        <v/>
      </c>
      <c r="AC50" s="9" t="s">
        <v>12130</v>
      </c>
      <c r="AD50" s="9" t="s">
        <v>19</v>
      </c>
      <c r="AE50" s="9" t="s">
        <v>12086</v>
      </c>
    </row>
    <row r="51" spans="1:33">
      <c r="A51" s="3" t="s">
        <v>128</v>
      </c>
      <c r="D51" s="3" t="s">
        <v>129</v>
      </c>
      <c r="E51" s="3" t="s">
        <v>130</v>
      </c>
      <c r="J51" s="9" t="s">
        <v>12120</v>
      </c>
      <c r="Q51" s="10"/>
      <c r="U51" s="9" t="str">
        <f t="shared" ca="1" si="0"/>
        <v/>
      </c>
      <c r="V51" s="9" t="str">
        <f t="shared" ca="1" si="1"/>
        <v/>
      </c>
      <c r="AC51" s="9" t="s">
        <v>12130</v>
      </c>
      <c r="AD51" s="9" t="s">
        <v>19</v>
      </c>
    </row>
    <row r="52" spans="1:33">
      <c r="A52" s="3" t="s">
        <v>131</v>
      </c>
      <c r="D52" s="3" t="s">
        <v>4818</v>
      </c>
      <c r="E52" s="3" t="s">
        <v>4819</v>
      </c>
      <c r="H52" t="s">
        <v>19</v>
      </c>
      <c r="J52" s="9" t="s">
        <v>12118</v>
      </c>
      <c r="Q52" s="10"/>
      <c r="T52" s="9">
        <f>11843-44</f>
        <v>11799</v>
      </c>
      <c r="U52" s="9">
        <f t="shared" ca="1" si="0"/>
        <v>44</v>
      </c>
      <c r="V52" s="9">
        <f t="shared" ca="1" si="1"/>
        <v>11843</v>
      </c>
      <c r="AE52" s="9" t="s">
        <v>12083</v>
      </c>
    </row>
    <row r="53" spans="1:33">
      <c r="A53" s="3" t="s">
        <v>131</v>
      </c>
      <c r="D53" s="3" t="s">
        <v>4820</v>
      </c>
      <c r="E53" s="3" t="s">
        <v>4821</v>
      </c>
      <c r="G53" t="s">
        <v>19</v>
      </c>
      <c r="J53" s="9" t="s">
        <v>12120</v>
      </c>
      <c r="Q53" s="10"/>
      <c r="U53" s="9" t="str">
        <f t="shared" ca="1" si="0"/>
        <v/>
      </c>
      <c r="V53" s="9" t="str">
        <f t="shared" ca="1" si="1"/>
        <v/>
      </c>
      <c r="AE53" s="9" t="s">
        <v>12086</v>
      </c>
    </row>
    <row r="54" spans="1:33">
      <c r="A54" s="3" t="s">
        <v>133</v>
      </c>
      <c r="D54" s="3" t="s">
        <v>134</v>
      </c>
      <c r="E54" s="3" t="s">
        <v>135</v>
      </c>
      <c r="H54" t="s">
        <v>19</v>
      </c>
      <c r="J54" s="9" t="s">
        <v>12121</v>
      </c>
      <c r="Q54" s="10"/>
      <c r="T54" s="9">
        <f>5-0</f>
        <v>5</v>
      </c>
      <c r="U54" s="9">
        <f t="shared" ca="1" si="0"/>
        <v>0</v>
      </c>
      <c r="V54" s="9">
        <f t="shared" ca="1" si="1"/>
        <v>5</v>
      </c>
      <c r="AC54" s="9" t="s">
        <v>12134</v>
      </c>
      <c r="AD54" s="9" t="s">
        <v>19</v>
      </c>
    </row>
    <row r="55" spans="1:33">
      <c r="A55" s="3" t="s">
        <v>136</v>
      </c>
      <c r="D55" s="3" t="s">
        <v>137</v>
      </c>
      <c r="E55" s="3" t="s">
        <v>138</v>
      </c>
      <c r="J55" s="9" t="s">
        <v>12118</v>
      </c>
      <c r="Q55" s="10"/>
      <c r="R55" s="9" t="s">
        <v>12074</v>
      </c>
      <c r="T55" s="9" t="s">
        <v>12131</v>
      </c>
      <c r="U55" s="9" t="str">
        <f t="shared" ca="1" si="0"/>
        <v/>
      </c>
      <c r="V55" s="9" t="str">
        <f t="shared" ca="1" si="1"/>
        <v/>
      </c>
      <c r="AE55" s="9" t="s">
        <v>12077</v>
      </c>
    </row>
    <row r="56" spans="1:33">
      <c r="A56" s="3" t="s">
        <v>139</v>
      </c>
      <c r="D56" s="3" t="s">
        <v>4822</v>
      </c>
      <c r="E56" s="3" t="s">
        <v>4823</v>
      </c>
      <c r="G56" t="s">
        <v>19</v>
      </c>
      <c r="J56" s="9" t="s">
        <v>12120</v>
      </c>
      <c r="Q56" s="10"/>
      <c r="U56" s="9" t="str">
        <f t="shared" ca="1" si="0"/>
        <v/>
      </c>
      <c r="V56" s="9" t="str">
        <f t="shared" ca="1" si="1"/>
        <v/>
      </c>
      <c r="AE56" s="9" t="s">
        <v>12089</v>
      </c>
    </row>
    <row r="57" spans="1:33">
      <c r="A57" s="3" t="s">
        <v>140</v>
      </c>
      <c r="D57" s="3" t="s">
        <v>4824</v>
      </c>
      <c r="E57" s="3" t="s">
        <v>4825</v>
      </c>
      <c r="H57" t="s">
        <v>19</v>
      </c>
      <c r="J57" s="9" t="s">
        <v>12120</v>
      </c>
      <c r="Q57" s="10"/>
      <c r="U57" s="9" t="str">
        <f t="shared" ca="1" si="0"/>
        <v/>
      </c>
      <c r="V57" s="9" t="str">
        <f t="shared" ca="1" si="1"/>
        <v/>
      </c>
      <c r="AG57" s="9" t="s">
        <v>20</v>
      </c>
    </row>
    <row r="58" spans="1:33">
      <c r="A58" s="3" t="s">
        <v>142</v>
      </c>
      <c r="D58" s="3" t="s">
        <v>143</v>
      </c>
      <c r="E58" s="5" t="s">
        <v>144</v>
      </c>
      <c r="F58" t="s">
        <v>16</v>
      </c>
      <c r="Q58" s="10"/>
      <c r="U58" s="9" t="str">
        <f t="shared" ca="1" si="0"/>
        <v/>
      </c>
      <c r="V58" s="9" t="str">
        <f t="shared" ca="1" si="1"/>
        <v/>
      </c>
    </row>
    <row r="59" spans="1:33">
      <c r="A59" s="3" t="s">
        <v>142</v>
      </c>
      <c r="D59" s="3" t="s">
        <v>4826</v>
      </c>
      <c r="E59" s="3" t="s">
        <v>4827</v>
      </c>
      <c r="J59" s="9" t="s">
        <v>12120</v>
      </c>
      <c r="Q59" s="10"/>
      <c r="U59" s="9" t="str">
        <f t="shared" ca="1" si="0"/>
        <v/>
      </c>
      <c r="V59" s="9" t="str">
        <f t="shared" ca="1" si="1"/>
        <v/>
      </c>
      <c r="AC59" s="9" t="s">
        <v>12134</v>
      </c>
      <c r="AD59" s="9" t="s">
        <v>19</v>
      </c>
    </row>
    <row r="60" spans="1:33" ht="43.5">
      <c r="A60" s="3" t="s">
        <v>142</v>
      </c>
      <c r="D60" s="3" t="s">
        <v>4828</v>
      </c>
      <c r="E60" s="3" t="s">
        <v>12959</v>
      </c>
      <c r="I60" t="s">
        <v>12139</v>
      </c>
      <c r="J60" s="9" t="s">
        <v>25</v>
      </c>
      <c r="L60" s="9">
        <v>4</v>
      </c>
      <c r="M60" s="9">
        <v>20</v>
      </c>
      <c r="O60" s="9" t="s">
        <v>12073</v>
      </c>
      <c r="P60" s="9" t="s">
        <v>12135</v>
      </c>
      <c r="Q60" s="10" t="s">
        <v>12136</v>
      </c>
      <c r="S60" s="9">
        <v>507</v>
      </c>
      <c r="U60" s="9" t="str">
        <f t="shared" ca="1" si="0"/>
        <v/>
      </c>
      <c r="V60" s="9" t="str">
        <f t="shared" ca="1" si="1"/>
        <v/>
      </c>
      <c r="AG60" s="9" t="s">
        <v>20</v>
      </c>
    </row>
    <row r="61" spans="1:33">
      <c r="A61" s="3" t="s">
        <v>147</v>
      </c>
      <c r="D61" s="3" t="s">
        <v>4829</v>
      </c>
      <c r="E61" s="3" t="s">
        <v>4830</v>
      </c>
      <c r="J61" s="9" t="s">
        <v>25</v>
      </c>
      <c r="L61" s="9">
        <v>1</v>
      </c>
      <c r="M61" s="9">
        <v>1</v>
      </c>
      <c r="N61" s="9" t="s">
        <v>12078</v>
      </c>
      <c r="O61" s="9" t="s">
        <v>12119</v>
      </c>
      <c r="Q61" s="10"/>
      <c r="S61" s="9">
        <v>11843</v>
      </c>
      <c r="U61" s="9" t="str">
        <f t="shared" ca="1" si="0"/>
        <v/>
      </c>
      <c r="V61" s="9" t="str">
        <f t="shared" ca="1" si="1"/>
        <v/>
      </c>
      <c r="AG61" s="9" t="s">
        <v>19</v>
      </c>
    </row>
    <row r="62" spans="1:33">
      <c r="A62" s="3" t="s">
        <v>148</v>
      </c>
      <c r="D62" s="3" t="s">
        <v>4831</v>
      </c>
      <c r="E62" s="3" t="s">
        <v>4832</v>
      </c>
      <c r="J62" s="9" t="s">
        <v>25</v>
      </c>
      <c r="L62" s="9">
        <v>1</v>
      </c>
      <c r="M62" s="9">
        <v>3</v>
      </c>
      <c r="N62" s="9" t="s">
        <v>12078</v>
      </c>
      <c r="O62" s="9" t="s">
        <v>12079</v>
      </c>
      <c r="Q62" s="10"/>
      <c r="S62" s="9">
        <v>11843</v>
      </c>
      <c r="U62" s="9" t="str">
        <f t="shared" ca="1" si="0"/>
        <v/>
      </c>
      <c r="V62" s="9" t="str">
        <f t="shared" ca="1" si="1"/>
        <v/>
      </c>
      <c r="AG62" s="9" t="s">
        <v>20</v>
      </c>
    </row>
    <row r="63" spans="1:33">
      <c r="A63" s="3" t="s">
        <v>149</v>
      </c>
      <c r="D63" s="5" t="s">
        <v>150</v>
      </c>
      <c r="E63" s="3" t="s">
        <v>151</v>
      </c>
      <c r="F63" t="s">
        <v>15</v>
      </c>
      <c r="Q63" s="10"/>
      <c r="U63" s="9" t="str">
        <f t="shared" ca="1" si="0"/>
        <v/>
      </c>
      <c r="V63" s="9" t="str">
        <f t="shared" ca="1" si="1"/>
        <v/>
      </c>
    </row>
    <row r="64" spans="1:33">
      <c r="A64" s="3" t="s">
        <v>152</v>
      </c>
      <c r="D64" s="3" t="s">
        <v>153</v>
      </c>
      <c r="E64" s="3" t="s">
        <v>154</v>
      </c>
      <c r="J64" s="9" t="s">
        <v>12118</v>
      </c>
      <c r="Q64" s="10"/>
      <c r="T64" s="9" t="s">
        <v>12131</v>
      </c>
      <c r="U64" s="9" t="str">
        <f t="shared" ca="1" si="0"/>
        <v/>
      </c>
      <c r="V64" s="9" t="str">
        <f t="shared" ca="1" si="1"/>
        <v/>
      </c>
      <c r="AC64" s="9" t="s">
        <v>12134</v>
      </c>
      <c r="AD64" s="9" t="s">
        <v>19</v>
      </c>
      <c r="AE64" s="9" t="s">
        <v>12086</v>
      </c>
    </row>
    <row r="65" spans="1:33">
      <c r="A65" s="3" t="s">
        <v>152</v>
      </c>
      <c r="D65" s="3" t="s">
        <v>4833</v>
      </c>
      <c r="E65" s="3" t="s">
        <v>4834</v>
      </c>
      <c r="I65" t="s">
        <v>12633</v>
      </c>
      <c r="J65" s="9" t="s">
        <v>25</v>
      </c>
      <c r="L65" s="9">
        <v>1</v>
      </c>
      <c r="M65" s="9">
        <v>4</v>
      </c>
      <c r="N65" s="9" t="s">
        <v>12094</v>
      </c>
      <c r="O65" s="9" t="s">
        <v>12079</v>
      </c>
      <c r="Q65" s="10"/>
      <c r="S65" s="9">
        <v>4240</v>
      </c>
      <c r="U65" s="9" t="str">
        <f t="shared" ref="U65:U128" ca="1" si="2">IF(ISNUMBER(T65),VALUE(MID(_xlfn.FORMULATEXT(T65),SEARCH("-",_xlfn.FORMULATEXT(T65))+1,LEN(_xlfn.FORMULATEXT(T65))-SEARCH("-",_xlfn.FORMULATEXT(T65)))), "")</f>
        <v/>
      </c>
      <c r="V65" s="9" t="str">
        <f t="shared" ref="V65:V128" ca="1" si="3">IF(ISNUMBER(T65), VALUE(MID(_xlfn.FORMULATEXT(T65), 2, SEARCH("-", _xlfn.FORMULATEXT(T65)) - 2)), "")</f>
        <v/>
      </c>
      <c r="W65" s="9" t="s">
        <v>4</v>
      </c>
      <c r="AG65" s="9" t="s">
        <v>19</v>
      </c>
    </row>
    <row r="66" spans="1:33">
      <c r="A66" s="3" t="s">
        <v>155</v>
      </c>
      <c r="D66" s="3" t="s">
        <v>4835</v>
      </c>
      <c r="E66" s="3" t="s">
        <v>4836</v>
      </c>
      <c r="J66" s="9" t="s">
        <v>12120</v>
      </c>
      <c r="Q66" s="10"/>
      <c r="U66" s="9" t="str">
        <f t="shared" ca="1" si="2"/>
        <v/>
      </c>
      <c r="V66" s="9" t="str">
        <f t="shared" ca="1" si="3"/>
        <v/>
      </c>
      <c r="AB66" s="9" t="s">
        <v>12082</v>
      </c>
      <c r="AD66" s="9" t="s">
        <v>19</v>
      </c>
    </row>
    <row r="67" spans="1:33">
      <c r="A67" s="3" t="s">
        <v>157</v>
      </c>
      <c r="D67" s="3" t="s">
        <v>4837</v>
      </c>
      <c r="E67" s="3" t="s">
        <v>4838</v>
      </c>
      <c r="G67" t="s">
        <v>19</v>
      </c>
      <c r="J67" s="9" t="s">
        <v>24</v>
      </c>
      <c r="L67" s="9">
        <v>1</v>
      </c>
      <c r="M67" s="9">
        <v>3</v>
      </c>
      <c r="N67" s="9" t="s">
        <v>12078</v>
      </c>
      <c r="O67" s="9" t="s">
        <v>12079</v>
      </c>
      <c r="Q67" s="10"/>
      <c r="S67" s="9">
        <v>11843</v>
      </c>
      <c r="U67" s="9" t="str">
        <f t="shared" ca="1" si="2"/>
        <v/>
      </c>
      <c r="V67" s="9" t="str">
        <f t="shared" ca="1" si="3"/>
        <v/>
      </c>
    </row>
    <row r="68" spans="1:33">
      <c r="A68" s="3" t="s">
        <v>157</v>
      </c>
      <c r="D68" s="3" t="s">
        <v>158</v>
      </c>
      <c r="E68" s="3" t="s">
        <v>159</v>
      </c>
      <c r="J68" s="9" t="s">
        <v>12118</v>
      </c>
      <c r="Q68" s="10"/>
      <c r="T68" s="9" t="s">
        <v>12131</v>
      </c>
      <c r="U68" s="9" t="str">
        <f t="shared" ca="1" si="2"/>
        <v/>
      </c>
      <c r="V68" s="9" t="str">
        <f t="shared" ca="1" si="3"/>
        <v/>
      </c>
      <c r="AE68" s="9" t="s">
        <v>12077</v>
      </c>
    </row>
    <row r="69" spans="1:33">
      <c r="A69" s="3" t="s">
        <v>157</v>
      </c>
      <c r="D69" s="3" t="s">
        <v>4839</v>
      </c>
      <c r="E69" s="3" t="s">
        <v>4840</v>
      </c>
      <c r="J69" s="9" t="s">
        <v>12118</v>
      </c>
      <c r="Q69" s="10"/>
      <c r="T69" s="9">
        <f>560-7</f>
        <v>553</v>
      </c>
      <c r="U69" s="9">
        <f t="shared" ca="1" si="2"/>
        <v>7</v>
      </c>
      <c r="V69" s="9">
        <f t="shared" ca="1" si="3"/>
        <v>560</v>
      </c>
      <c r="AC69" s="9" t="s">
        <v>12130</v>
      </c>
      <c r="AD69" s="9" t="s">
        <v>19</v>
      </c>
      <c r="AE69" s="9" t="s">
        <v>12089</v>
      </c>
    </row>
    <row r="70" spans="1:33">
      <c r="A70" s="3" t="s">
        <v>160</v>
      </c>
      <c r="D70" s="3" t="s">
        <v>161</v>
      </c>
      <c r="E70" s="3" t="s">
        <v>162</v>
      </c>
      <c r="J70" s="9" t="s">
        <v>12118</v>
      </c>
      <c r="Q70" s="10"/>
      <c r="T70" s="9" t="s">
        <v>12131</v>
      </c>
      <c r="U70" s="9" t="str">
        <f t="shared" ca="1" si="2"/>
        <v/>
      </c>
      <c r="V70" s="9" t="str">
        <f t="shared" ca="1" si="3"/>
        <v/>
      </c>
      <c r="AB70" s="9" t="s">
        <v>12124</v>
      </c>
      <c r="AC70" s="9" t="s">
        <v>12742</v>
      </c>
      <c r="AD70" s="9" t="s">
        <v>19</v>
      </c>
    </row>
    <row r="71" spans="1:33">
      <c r="A71" s="3" t="s">
        <v>160</v>
      </c>
      <c r="D71" s="3" t="s">
        <v>163</v>
      </c>
      <c r="E71" s="3" t="s">
        <v>164</v>
      </c>
      <c r="J71" s="9" t="s">
        <v>12118</v>
      </c>
      <c r="Q71" s="10"/>
      <c r="T71" s="9" t="s">
        <v>12131</v>
      </c>
      <c r="U71" s="9" t="str">
        <f t="shared" ca="1" si="2"/>
        <v/>
      </c>
      <c r="V71" s="9" t="str">
        <f t="shared" ca="1" si="3"/>
        <v/>
      </c>
      <c r="AB71" s="9" t="s">
        <v>12124</v>
      </c>
      <c r="AC71" s="9" t="s">
        <v>12742</v>
      </c>
      <c r="AD71" s="9" t="s">
        <v>19</v>
      </c>
    </row>
    <row r="72" spans="1:33">
      <c r="A72" s="3" t="s">
        <v>165</v>
      </c>
      <c r="D72" s="3" t="s">
        <v>4841</v>
      </c>
      <c r="E72" s="3" t="s">
        <v>4841</v>
      </c>
      <c r="G72" t="s">
        <v>20</v>
      </c>
      <c r="I72" t="s">
        <v>4846</v>
      </c>
      <c r="Q72" s="10"/>
      <c r="U72" s="9" t="str">
        <f t="shared" ca="1" si="2"/>
        <v/>
      </c>
      <c r="V72" s="9" t="str">
        <f t="shared" ca="1" si="3"/>
        <v/>
      </c>
    </row>
    <row r="73" spans="1:33">
      <c r="A73" s="3" t="s">
        <v>167</v>
      </c>
      <c r="D73" s="3" t="s">
        <v>4842</v>
      </c>
      <c r="E73" s="3" t="s">
        <v>4842</v>
      </c>
      <c r="G73" t="s">
        <v>20</v>
      </c>
      <c r="I73" t="s">
        <v>4845</v>
      </c>
      <c r="Q73" s="10"/>
      <c r="U73" s="9" t="str">
        <f t="shared" ca="1" si="2"/>
        <v/>
      </c>
      <c r="V73" s="9" t="str">
        <f t="shared" ca="1" si="3"/>
        <v/>
      </c>
    </row>
    <row r="74" spans="1:33">
      <c r="A74" s="3" t="s">
        <v>167</v>
      </c>
      <c r="D74" s="3" t="s">
        <v>4843</v>
      </c>
      <c r="E74" s="3" t="s">
        <v>4843</v>
      </c>
      <c r="G74" t="s">
        <v>20</v>
      </c>
      <c r="I74" t="s">
        <v>4844</v>
      </c>
      <c r="Q74" s="10"/>
      <c r="U74" s="9" t="str">
        <f t="shared" ca="1" si="2"/>
        <v/>
      </c>
      <c r="V74" s="9" t="str">
        <f t="shared" ca="1" si="3"/>
        <v/>
      </c>
    </row>
    <row r="75" spans="1:33">
      <c r="A75" s="3" t="s">
        <v>168</v>
      </c>
      <c r="D75" s="3" t="s">
        <v>120</v>
      </c>
      <c r="E75" s="3" t="s">
        <v>121</v>
      </c>
      <c r="J75" s="9" t="s">
        <v>12120</v>
      </c>
      <c r="Q75" s="10"/>
      <c r="U75" s="9" t="str">
        <f t="shared" ca="1" si="2"/>
        <v/>
      </c>
      <c r="V75" s="9" t="str">
        <f t="shared" ca="1" si="3"/>
        <v/>
      </c>
      <c r="AC75" s="9" t="s">
        <v>12744</v>
      </c>
      <c r="AD75" s="9" t="s">
        <v>19</v>
      </c>
      <c r="AE75" s="9" t="s">
        <v>12086</v>
      </c>
    </row>
    <row r="76" spans="1:33" ht="29">
      <c r="A76" s="3" t="s">
        <v>169</v>
      </c>
      <c r="D76" s="3" t="s">
        <v>4847</v>
      </c>
      <c r="E76" s="3" t="s">
        <v>4848</v>
      </c>
      <c r="G76" t="s">
        <v>19</v>
      </c>
      <c r="J76" s="9" t="s">
        <v>12120</v>
      </c>
      <c r="Q76" s="10"/>
      <c r="U76" s="9" t="str">
        <f t="shared" ca="1" si="2"/>
        <v/>
      </c>
      <c r="V76" s="9" t="str">
        <f t="shared" ca="1" si="3"/>
        <v/>
      </c>
      <c r="AE76" s="9" t="s">
        <v>12086</v>
      </c>
    </row>
    <row r="77" spans="1:33">
      <c r="A77" s="3" t="s">
        <v>170</v>
      </c>
      <c r="D77" s="3" t="s">
        <v>171</v>
      </c>
      <c r="E77" s="3" t="s">
        <v>172</v>
      </c>
      <c r="J77" s="9" t="s">
        <v>12118</v>
      </c>
      <c r="Q77" s="10"/>
      <c r="T77" s="9" t="s">
        <v>12131</v>
      </c>
      <c r="U77" s="9" t="str">
        <f t="shared" ca="1" si="2"/>
        <v/>
      </c>
      <c r="V77" s="9" t="str">
        <f t="shared" ca="1" si="3"/>
        <v/>
      </c>
      <c r="AC77" s="9" t="s">
        <v>12130</v>
      </c>
      <c r="AD77" s="9" t="s">
        <v>19</v>
      </c>
      <c r="AE77" s="9" t="s">
        <v>12086</v>
      </c>
    </row>
    <row r="78" spans="1:33" ht="43.5">
      <c r="A78" s="3" t="s">
        <v>173</v>
      </c>
      <c r="D78" s="3" t="s">
        <v>12634</v>
      </c>
      <c r="E78" s="3" t="s">
        <v>12635</v>
      </c>
      <c r="J78" s="9" t="s">
        <v>25</v>
      </c>
      <c r="L78" s="9">
        <v>2</v>
      </c>
      <c r="M78" s="9">
        <v>15</v>
      </c>
      <c r="O78" s="9" t="s">
        <v>12073</v>
      </c>
      <c r="P78" s="9" t="s">
        <v>12140</v>
      </c>
      <c r="Q78" s="10" t="s">
        <v>12137</v>
      </c>
      <c r="S78" s="9">
        <v>83</v>
      </c>
      <c r="U78" s="9" t="str">
        <f t="shared" ca="1" si="2"/>
        <v/>
      </c>
      <c r="V78" s="9" t="str">
        <f t="shared" ca="1" si="3"/>
        <v/>
      </c>
      <c r="AG78" s="9" t="s">
        <v>20</v>
      </c>
    </row>
    <row r="79" spans="1:33">
      <c r="A79" s="3" t="s">
        <v>174</v>
      </c>
      <c r="D79" s="3" t="s">
        <v>175</v>
      </c>
      <c r="E79" s="3" t="s">
        <v>176</v>
      </c>
      <c r="J79" s="9" t="s">
        <v>12118</v>
      </c>
      <c r="Q79" s="10"/>
      <c r="T79" s="9" t="s">
        <v>12131</v>
      </c>
      <c r="U79" s="9" t="str">
        <f t="shared" ca="1" si="2"/>
        <v/>
      </c>
      <c r="V79" s="9" t="str">
        <f t="shared" ca="1" si="3"/>
        <v/>
      </c>
      <c r="AC79" s="9" t="s">
        <v>12134</v>
      </c>
      <c r="AD79" s="9" t="s">
        <v>19</v>
      </c>
      <c r="AE79" s="9" t="s">
        <v>12086</v>
      </c>
    </row>
    <row r="80" spans="1:33">
      <c r="A80" s="3" t="s">
        <v>177</v>
      </c>
      <c r="D80" s="3" t="s">
        <v>178</v>
      </c>
      <c r="E80" s="3" t="s">
        <v>179</v>
      </c>
      <c r="J80" s="9" t="s">
        <v>12118</v>
      </c>
      <c r="Q80" s="10"/>
      <c r="T80" s="9" t="s">
        <v>12131</v>
      </c>
      <c r="U80" s="9" t="str">
        <f t="shared" ca="1" si="2"/>
        <v/>
      </c>
      <c r="V80" s="9" t="str">
        <f t="shared" ca="1" si="3"/>
        <v/>
      </c>
      <c r="AC80" s="9" t="s">
        <v>12134</v>
      </c>
      <c r="AD80" s="9" t="s">
        <v>19</v>
      </c>
      <c r="AE80" s="9" t="s">
        <v>12086</v>
      </c>
    </row>
    <row r="81" spans="1:33" ht="58">
      <c r="A81" s="3" t="s">
        <v>177</v>
      </c>
      <c r="D81" s="3" t="s">
        <v>4849</v>
      </c>
      <c r="E81" s="3" t="s">
        <v>4850</v>
      </c>
      <c r="I81" t="s">
        <v>12141</v>
      </c>
      <c r="J81" s="9" t="s">
        <v>26</v>
      </c>
      <c r="Q81" s="10"/>
      <c r="U81" s="9" t="str">
        <f t="shared" ca="1" si="2"/>
        <v/>
      </c>
      <c r="V81" s="9" t="str">
        <f t="shared" ca="1" si="3"/>
        <v/>
      </c>
      <c r="AG81" s="9" t="s">
        <v>20</v>
      </c>
    </row>
    <row r="82" spans="1:33" ht="29">
      <c r="A82" s="3" t="s">
        <v>177</v>
      </c>
      <c r="D82" s="3" t="s">
        <v>4852</v>
      </c>
      <c r="E82" s="3" t="s">
        <v>4851</v>
      </c>
      <c r="J82" s="9" t="s">
        <v>12120</v>
      </c>
      <c r="Q82" s="10"/>
      <c r="U82" s="9" t="str">
        <f t="shared" ca="1" si="2"/>
        <v/>
      </c>
      <c r="V82" s="9" t="str">
        <f t="shared" ca="1" si="3"/>
        <v/>
      </c>
      <c r="AB82" s="9" t="s">
        <v>12082</v>
      </c>
      <c r="AD82" s="9" t="s">
        <v>19</v>
      </c>
    </row>
    <row r="83" spans="1:33">
      <c r="A83" s="3" t="s">
        <v>181</v>
      </c>
      <c r="D83" s="3" t="s">
        <v>861</v>
      </c>
      <c r="E83" s="3" t="s">
        <v>166</v>
      </c>
      <c r="J83" s="9" t="s">
        <v>12118</v>
      </c>
      <c r="Q83" s="10"/>
      <c r="T83" s="9" t="s">
        <v>12119</v>
      </c>
      <c r="U83" s="9" t="str">
        <f t="shared" ca="1" si="2"/>
        <v/>
      </c>
      <c r="V83" s="9" t="str">
        <f t="shared" ca="1" si="3"/>
        <v/>
      </c>
      <c r="AB83" s="9" t="s">
        <v>12124</v>
      </c>
      <c r="AC83" s="9" t="s">
        <v>12130</v>
      </c>
      <c r="AD83" s="9" t="s">
        <v>19</v>
      </c>
    </row>
    <row r="84" spans="1:33">
      <c r="A84" s="3" t="s">
        <v>182</v>
      </c>
      <c r="D84" s="3" t="s">
        <v>4853</v>
      </c>
      <c r="E84" s="3" t="s">
        <v>4854</v>
      </c>
      <c r="G84" t="s">
        <v>19</v>
      </c>
      <c r="J84" s="9" t="s">
        <v>24</v>
      </c>
      <c r="L84" s="9">
        <v>1</v>
      </c>
      <c r="M84" s="9">
        <v>2</v>
      </c>
      <c r="N84" s="9" t="s">
        <v>12078</v>
      </c>
      <c r="O84" s="9" t="s">
        <v>12119</v>
      </c>
      <c r="Q84" s="10"/>
      <c r="S84" s="9">
        <v>11843</v>
      </c>
      <c r="U84" s="9" t="str">
        <f t="shared" ca="1" si="2"/>
        <v/>
      </c>
      <c r="V84" s="9" t="str">
        <f t="shared" ca="1" si="3"/>
        <v/>
      </c>
    </row>
    <row r="85" spans="1:33">
      <c r="A85" s="3" t="s">
        <v>183</v>
      </c>
      <c r="D85" s="3" t="s">
        <v>184</v>
      </c>
      <c r="E85" s="3" t="s">
        <v>185</v>
      </c>
      <c r="J85" s="9" t="s">
        <v>12118</v>
      </c>
      <c r="Q85" s="10"/>
      <c r="T85" s="9" t="s">
        <v>12131</v>
      </c>
      <c r="U85" s="9" t="str">
        <f t="shared" ca="1" si="2"/>
        <v/>
      </c>
      <c r="V85" s="9" t="str">
        <f t="shared" ca="1" si="3"/>
        <v/>
      </c>
      <c r="AC85" s="9" t="s">
        <v>12134</v>
      </c>
      <c r="AD85" s="9" t="s">
        <v>19</v>
      </c>
      <c r="AE85" s="9" t="s">
        <v>12077</v>
      </c>
    </row>
    <row r="86" spans="1:33">
      <c r="A86" s="3" t="s">
        <v>186</v>
      </c>
      <c r="D86" s="3" t="s">
        <v>4812</v>
      </c>
      <c r="E86" s="3" t="s">
        <v>187</v>
      </c>
      <c r="J86" s="9" t="s">
        <v>12118</v>
      </c>
      <c r="Q86" s="10"/>
      <c r="T86" s="9" t="s">
        <v>12131</v>
      </c>
      <c r="U86" s="9" t="str">
        <f t="shared" ca="1" si="2"/>
        <v/>
      </c>
      <c r="V86" s="9" t="str">
        <f t="shared" ca="1" si="3"/>
        <v/>
      </c>
      <c r="AC86" s="9" t="s">
        <v>12134</v>
      </c>
      <c r="AD86" s="9" t="s">
        <v>19</v>
      </c>
      <c r="AE86" s="9" t="s">
        <v>12086</v>
      </c>
    </row>
    <row r="87" spans="1:33">
      <c r="A87" s="3" t="s">
        <v>188</v>
      </c>
      <c r="D87" s="3" t="s">
        <v>4855</v>
      </c>
      <c r="E87" s="3" t="s">
        <v>4856</v>
      </c>
      <c r="J87" s="9" t="s">
        <v>12120</v>
      </c>
      <c r="Q87" s="10"/>
      <c r="U87" s="9" t="str">
        <f t="shared" ca="1" si="2"/>
        <v/>
      </c>
      <c r="V87" s="9" t="str">
        <f t="shared" ca="1" si="3"/>
        <v/>
      </c>
      <c r="AB87" s="9" t="s">
        <v>12738</v>
      </c>
      <c r="AD87" s="9" t="s">
        <v>19</v>
      </c>
    </row>
    <row r="88" spans="1:33">
      <c r="A88" s="3" t="s">
        <v>188</v>
      </c>
      <c r="D88" s="3" t="s">
        <v>4857</v>
      </c>
      <c r="E88" s="3" t="s">
        <v>4858</v>
      </c>
      <c r="H88" t="s">
        <v>19</v>
      </c>
      <c r="J88" s="9" t="s">
        <v>25</v>
      </c>
      <c r="L88" s="9">
        <v>1</v>
      </c>
      <c r="M88" s="9">
        <v>4</v>
      </c>
      <c r="N88" s="9" t="s">
        <v>12078</v>
      </c>
      <c r="O88" s="9" t="s">
        <v>12079</v>
      </c>
      <c r="Q88" s="10"/>
      <c r="S88" s="9">
        <v>11843</v>
      </c>
      <c r="U88" s="9" t="str">
        <f t="shared" ca="1" si="2"/>
        <v/>
      </c>
      <c r="V88" s="9" t="str">
        <f t="shared" ca="1" si="3"/>
        <v/>
      </c>
      <c r="AG88" s="9" t="s">
        <v>20</v>
      </c>
    </row>
    <row r="89" spans="1:33" ht="29">
      <c r="A89" s="3" t="s">
        <v>188</v>
      </c>
      <c r="D89" s="3" t="s">
        <v>4859</v>
      </c>
      <c r="E89" s="3" t="s">
        <v>4860</v>
      </c>
      <c r="G89" t="s">
        <v>19</v>
      </c>
      <c r="J89" s="9" t="s">
        <v>12120</v>
      </c>
      <c r="Q89" s="10"/>
      <c r="U89" s="9" t="str">
        <f t="shared" ca="1" si="2"/>
        <v/>
      </c>
      <c r="V89" s="9" t="str">
        <f t="shared" ca="1" si="3"/>
        <v/>
      </c>
    </row>
    <row r="90" spans="1:33">
      <c r="A90" s="3" t="s">
        <v>189</v>
      </c>
      <c r="D90" s="3" t="s">
        <v>4861</v>
      </c>
      <c r="E90" s="3" t="s">
        <v>4862</v>
      </c>
      <c r="G90" t="s">
        <v>19</v>
      </c>
      <c r="J90" s="9" t="s">
        <v>12118</v>
      </c>
      <c r="Q90" s="10"/>
      <c r="T90" s="9">
        <f>7-0</f>
        <v>7</v>
      </c>
      <c r="U90" s="9">
        <f t="shared" ca="1" si="2"/>
        <v>0</v>
      </c>
      <c r="V90" s="9">
        <f t="shared" ca="1" si="3"/>
        <v>7</v>
      </c>
      <c r="AE90" s="9" t="s">
        <v>12089</v>
      </c>
    </row>
    <row r="91" spans="1:33">
      <c r="A91" s="3" t="s">
        <v>190</v>
      </c>
      <c r="D91" s="3" t="s">
        <v>4863</v>
      </c>
      <c r="E91" s="3" t="s">
        <v>4864</v>
      </c>
      <c r="J91" s="9" t="s">
        <v>12120</v>
      </c>
      <c r="Q91" s="10"/>
      <c r="U91" s="9" t="str">
        <f t="shared" ca="1" si="2"/>
        <v/>
      </c>
      <c r="V91" s="9" t="str">
        <f t="shared" ca="1" si="3"/>
        <v/>
      </c>
      <c r="AB91" s="9" t="s">
        <v>12082</v>
      </c>
      <c r="AD91" s="9" t="s">
        <v>19</v>
      </c>
    </row>
    <row r="92" spans="1:33">
      <c r="A92" s="3" t="s">
        <v>190</v>
      </c>
      <c r="D92" s="3" t="s">
        <v>4865</v>
      </c>
      <c r="E92" s="3" t="s">
        <v>4866</v>
      </c>
      <c r="J92" s="9" t="s">
        <v>12120</v>
      </c>
      <c r="Q92" s="10"/>
      <c r="U92" s="9" t="str">
        <f t="shared" ca="1" si="2"/>
        <v/>
      </c>
      <c r="V92" s="9" t="str">
        <f t="shared" ca="1" si="3"/>
        <v/>
      </c>
      <c r="AB92" s="9" t="s">
        <v>12737</v>
      </c>
      <c r="AD92" s="9" t="s">
        <v>19</v>
      </c>
    </row>
    <row r="93" spans="1:33">
      <c r="A93" s="3" t="s">
        <v>191</v>
      </c>
      <c r="D93" s="3" t="s">
        <v>192</v>
      </c>
      <c r="E93" s="3" t="s">
        <v>193</v>
      </c>
      <c r="J93" s="9" t="s">
        <v>12120</v>
      </c>
      <c r="Q93" s="10"/>
      <c r="U93" s="9" t="str">
        <f t="shared" ca="1" si="2"/>
        <v/>
      </c>
      <c r="V93" s="9" t="str">
        <f t="shared" ca="1" si="3"/>
        <v/>
      </c>
      <c r="AB93" s="9" t="s">
        <v>12738</v>
      </c>
      <c r="AD93" s="9" t="s">
        <v>19</v>
      </c>
    </row>
    <row r="94" spans="1:33">
      <c r="A94" s="3" t="s">
        <v>191</v>
      </c>
      <c r="D94" s="3" t="s">
        <v>4867</v>
      </c>
      <c r="E94" s="3" t="s">
        <v>4868</v>
      </c>
      <c r="J94" s="9" t="s">
        <v>12120</v>
      </c>
      <c r="Q94" s="10"/>
      <c r="U94" s="9" t="str">
        <f t="shared" ca="1" si="2"/>
        <v/>
      </c>
      <c r="V94" s="9" t="str">
        <f t="shared" ca="1" si="3"/>
        <v/>
      </c>
      <c r="AC94" s="9" t="s">
        <v>12130</v>
      </c>
      <c r="AD94" s="9" t="s">
        <v>19</v>
      </c>
    </row>
    <row r="95" spans="1:33">
      <c r="A95" s="3" t="s">
        <v>196</v>
      </c>
      <c r="D95" s="3" t="s">
        <v>197</v>
      </c>
      <c r="E95" s="3" t="s">
        <v>198</v>
      </c>
      <c r="J95" s="9" t="s">
        <v>12118</v>
      </c>
      <c r="Q95" s="10"/>
      <c r="T95" s="9" t="s">
        <v>12131</v>
      </c>
      <c r="U95" s="9" t="str">
        <f t="shared" ca="1" si="2"/>
        <v/>
      </c>
      <c r="V95" s="9" t="str">
        <f t="shared" ca="1" si="3"/>
        <v/>
      </c>
      <c r="AC95" s="9" t="s">
        <v>12130</v>
      </c>
      <c r="AD95" s="9" t="s">
        <v>19</v>
      </c>
      <c r="AE95" s="9" t="s">
        <v>12086</v>
      </c>
    </row>
    <row r="96" spans="1:33">
      <c r="A96" s="3" t="s">
        <v>200</v>
      </c>
      <c r="D96" s="3" t="s">
        <v>4869</v>
      </c>
      <c r="E96" s="3" t="s">
        <v>4870</v>
      </c>
      <c r="J96" s="9" t="s">
        <v>26</v>
      </c>
      <c r="L96" s="9">
        <v>1</v>
      </c>
      <c r="M96" s="9">
        <v>2</v>
      </c>
      <c r="N96" s="9" t="s">
        <v>12123</v>
      </c>
      <c r="O96" s="9" t="s">
        <v>12119</v>
      </c>
      <c r="Q96" s="10"/>
      <c r="S96" s="9">
        <v>134</v>
      </c>
      <c r="U96" s="9" t="str">
        <f t="shared" ca="1" si="2"/>
        <v/>
      </c>
      <c r="V96" s="9" t="str">
        <f t="shared" ca="1" si="3"/>
        <v/>
      </c>
      <c r="AG96" s="9" t="s">
        <v>20</v>
      </c>
    </row>
    <row r="97" spans="1:33">
      <c r="A97" s="3" t="s">
        <v>201</v>
      </c>
      <c r="D97" s="3" t="s">
        <v>4871</v>
      </c>
      <c r="E97" s="3" t="s">
        <v>4872</v>
      </c>
      <c r="G97" t="s">
        <v>20</v>
      </c>
      <c r="I97" t="s">
        <v>13091</v>
      </c>
      <c r="J97" s="9" t="s">
        <v>24</v>
      </c>
      <c r="L97" s="9">
        <v>1</v>
      </c>
      <c r="M97" s="9">
        <v>2</v>
      </c>
      <c r="N97" s="9" t="s">
        <v>12087</v>
      </c>
      <c r="O97" s="9" t="s">
        <v>12119</v>
      </c>
      <c r="Q97" s="10"/>
      <c r="S97" s="9">
        <v>1966</v>
      </c>
      <c r="U97" s="9" t="str">
        <f t="shared" ca="1" si="2"/>
        <v/>
      </c>
      <c r="V97" s="9" t="str">
        <f t="shared" ca="1" si="3"/>
        <v/>
      </c>
      <c r="AG97" s="9" t="s">
        <v>20</v>
      </c>
    </row>
    <row r="98" spans="1:33">
      <c r="A98" s="3" t="s">
        <v>201</v>
      </c>
      <c r="D98" s="3" t="s">
        <v>12835</v>
      </c>
      <c r="E98" s="3" t="s">
        <v>12853</v>
      </c>
      <c r="G98" t="s">
        <v>19</v>
      </c>
      <c r="J98" s="9" t="s">
        <v>24</v>
      </c>
      <c r="L98" s="9">
        <v>1</v>
      </c>
      <c r="M98" s="9">
        <v>3</v>
      </c>
      <c r="N98" s="9" t="s">
        <v>12078</v>
      </c>
      <c r="O98" s="9" t="s">
        <v>12073</v>
      </c>
      <c r="P98" s="9" t="s">
        <v>12142</v>
      </c>
      <c r="Q98" s="10" t="s">
        <v>12143</v>
      </c>
      <c r="S98" s="9">
        <v>11843</v>
      </c>
      <c r="U98" s="9" t="str">
        <f t="shared" ca="1" si="2"/>
        <v/>
      </c>
      <c r="V98" s="9" t="str">
        <f t="shared" ca="1" si="3"/>
        <v/>
      </c>
    </row>
    <row r="99" spans="1:33">
      <c r="A99" s="3" t="s">
        <v>202</v>
      </c>
      <c r="D99" s="3" t="s">
        <v>216</v>
      </c>
      <c r="E99" s="3" t="s">
        <v>203</v>
      </c>
      <c r="J99" s="9" t="s">
        <v>12120</v>
      </c>
      <c r="Q99" s="10"/>
      <c r="U99" s="9" t="str">
        <f t="shared" ca="1" si="2"/>
        <v/>
      </c>
      <c r="V99" s="9" t="str">
        <f t="shared" ca="1" si="3"/>
        <v/>
      </c>
      <c r="AC99" s="9" t="s">
        <v>12144</v>
      </c>
      <c r="AD99" s="9" t="s">
        <v>19</v>
      </c>
    </row>
    <row r="100" spans="1:33">
      <c r="A100" s="3" t="s">
        <v>202</v>
      </c>
      <c r="D100" s="3" t="s">
        <v>4873</v>
      </c>
      <c r="E100" s="3" t="s">
        <v>4874</v>
      </c>
      <c r="J100" s="9" t="s">
        <v>12120</v>
      </c>
      <c r="Q100" s="10"/>
      <c r="U100" s="9" t="str">
        <f t="shared" ca="1" si="2"/>
        <v/>
      </c>
      <c r="V100" s="9" t="str">
        <f t="shared" ca="1" si="3"/>
        <v/>
      </c>
      <c r="AE100" s="9" t="s">
        <v>12089</v>
      </c>
    </row>
    <row r="101" spans="1:33">
      <c r="A101" s="3" t="s">
        <v>204</v>
      </c>
      <c r="D101" s="3" t="s">
        <v>12960</v>
      </c>
      <c r="E101" s="3" t="s">
        <v>12961</v>
      </c>
      <c r="J101" s="9" t="s">
        <v>12120</v>
      </c>
      <c r="Q101" s="10"/>
      <c r="U101" s="9" t="str">
        <f t="shared" ca="1" si="2"/>
        <v/>
      </c>
      <c r="V101" s="9" t="str">
        <f t="shared" ca="1" si="3"/>
        <v/>
      </c>
      <c r="AC101" s="9" t="s">
        <v>12130</v>
      </c>
      <c r="AD101" s="9" t="s">
        <v>19</v>
      </c>
    </row>
    <row r="102" spans="1:33">
      <c r="A102" s="3" t="s">
        <v>204</v>
      </c>
      <c r="D102" s="3" t="s">
        <v>205</v>
      </c>
      <c r="E102" s="11" t="s">
        <v>4875</v>
      </c>
      <c r="G102" t="s">
        <v>19</v>
      </c>
      <c r="J102" s="9" t="s">
        <v>12118</v>
      </c>
      <c r="Q102" s="10"/>
      <c r="T102" s="9">
        <f>5-0</f>
        <v>5</v>
      </c>
      <c r="U102" s="9">
        <f t="shared" ca="1" si="2"/>
        <v>0</v>
      </c>
      <c r="V102" s="9">
        <f t="shared" ca="1" si="3"/>
        <v>5</v>
      </c>
    </row>
    <row r="103" spans="1:33">
      <c r="A103" s="3" t="s">
        <v>204</v>
      </c>
      <c r="D103" s="3" t="s">
        <v>206</v>
      </c>
      <c r="E103" s="3" t="s">
        <v>207</v>
      </c>
      <c r="J103" s="9" t="s">
        <v>12120</v>
      </c>
      <c r="Q103" s="10"/>
      <c r="U103" s="9" t="str">
        <f t="shared" ca="1" si="2"/>
        <v/>
      </c>
      <c r="V103" s="9" t="str">
        <f t="shared" ca="1" si="3"/>
        <v/>
      </c>
      <c r="AC103" s="9" t="s">
        <v>12742</v>
      </c>
      <c r="AD103" s="9" t="s">
        <v>19</v>
      </c>
    </row>
    <row r="104" spans="1:33" ht="29">
      <c r="A104" s="3" t="s">
        <v>208</v>
      </c>
      <c r="D104" s="3" t="s">
        <v>4876</v>
      </c>
      <c r="E104" s="3" t="s">
        <v>4877</v>
      </c>
      <c r="J104" s="9" t="s">
        <v>12118</v>
      </c>
      <c r="Q104" s="10"/>
      <c r="T104" s="9">
        <f>7-148</f>
        <v>-141</v>
      </c>
      <c r="U104" s="9">
        <f t="shared" ca="1" si="2"/>
        <v>148</v>
      </c>
      <c r="V104" s="9">
        <f t="shared" ca="1" si="3"/>
        <v>7</v>
      </c>
      <c r="AG104" s="9" t="s">
        <v>20</v>
      </c>
    </row>
    <row r="105" spans="1:33">
      <c r="A105" s="3" t="s">
        <v>209</v>
      </c>
      <c r="D105" s="3" t="s">
        <v>192</v>
      </c>
      <c r="E105" s="3" t="s">
        <v>193</v>
      </c>
      <c r="J105" s="9" t="s">
        <v>12120</v>
      </c>
      <c r="Q105" s="10"/>
      <c r="U105" s="9" t="str">
        <f t="shared" ca="1" si="2"/>
        <v/>
      </c>
      <c r="V105" s="9" t="str">
        <f t="shared" ca="1" si="3"/>
        <v/>
      </c>
      <c r="AB105" s="9" t="s">
        <v>12738</v>
      </c>
      <c r="AD105" s="9" t="s">
        <v>19</v>
      </c>
    </row>
    <row r="106" spans="1:33">
      <c r="A106" s="3" t="s">
        <v>209</v>
      </c>
      <c r="D106" s="3" t="s">
        <v>4878</v>
      </c>
      <c r="E106" s="3" t="s">
        <v>4879</v>
      </c>
      <c r="G106" t="s">
        <v>19</v>
      </c>
      <c r="J106" s="9" t="s">
        <v>12120</v>
      </c>
      <c r="Q106" s="10"/>
      <c r="U106" s="9" t="str">
        <f t="shared" ca="1" si="2"/>
        <v/>
      </c>
      <c r="V106" s="9" t="str">
        <f t="shared" ca="1" si="3"/>
        <v/>
      </c>
    </row>
    <row r="107" spans="1:33">
      <c r="A107" s="3" t="s">
        <v>210</v>
      </c>
      <c r="D107" s="3" t="s">
        <v>4880</v>
      </c>
      <c r="E107" s="3" t="s">
        <v>4881</v>
      </c>
      <c r="G107" t="s">
        <v>19</v>
      </c>
      <c r="J107" s="9" t="s">
        <v>24</v>
      </c>
      <c r="L107" s="9">
        <v>1</v>
      </c>
      <c r="M107" s="9">
        <v>3</v>
      </c>
      <c r="N107" s="9" t="s">
        <v>12087</v>
      </c>
      <c r="O107" s="9" t="s">
        <v>12079</v>
      </c>
      <c r="Q107" s="10"/>
      <c r="S107" s="9">
        <v>124</v>
      </c>
      <c r="U107" s="9" t="str">
        <f t="shared" ca="1" si="2"/>
        <v/>
      </c>
      <c r="V107" s="9" t="str">
        <f t="shared" ca="1" si="3"/>
        <v/>
      </c>
    </row>
    <row r="108" spans="1:33">
      <c r="A108" s="3" t="s">
        <v>210</v>
      </c>
      <c r="D108" s="3" t="s">
        <v>211</v>
      </c>
      <c r="E108" s="3" t="s">
        <v>212</v>
      </c>
      <c r="J108" s="9" t="s">
        <v>12118</v>
      </c>
      <c r="Q108" s="10"/>
      <c r="T108" s="9" t="s">
        <v>12131</v>
      </c>
      <c r="U108" s="9" t="str">
        <f t="shared" ca="1" si="2"/>
        <v/>
      </c>
      <c r="V108" s="9" t="str">
        <f t="shared" ca="1" si="3"/>
        <v/>
      </c>
      <c r="AC108" s="9" t="s">
        <v>12130</v>
      </c>
      <c r="AD108" s="9" t="s">
        <v>19</v>
      </c>
      <c r="AE108" s="9" t="s">
        <v>12086</v>
      </c>
    </row>
    <row r="109" spans="1:33">
      <c r="A109" s="3" t="s">
        <v>214</v>
      </c>
      <c r="D109" s="3" t="s">
        <v>216</v>
      </c>
      <c r="E109" s="3" t="s">
        <v>203</v>
      </c>
      <c r="J109" s="9" t="s">
        <v>12120</v>
      </c>
      <c r="Q109" s="10"/>
      <c r="U109" s="9" t="str">
        <f t="shared" ca="1" si="2"/>
        <v/>
      </c>
      <c r="V109" s="9" t="str">
        <f t="shared" ca="1" si="3"/>
        <v/>
      </c>
      <c r="AC109" s="9" t="s">
        <v>12144</v>
      </c>
      <c r="AD109" s="9" t="s">
        <v>19</v>
      </c>
    </row>
    <row r="110" spans="1:33">
      <c r="A110" s="3" t="s">
        <v>215</v>
      </c>
      <c r="D110" s="3" t="s">
        <v>216</v>
      </c>
      <c r="E110" s="3" t="s">
        <v>203</v>
      </c>
      <c r="J110" s="9" t="s">
        <v>12120</v>
      </c>
      <c r="Q110" s="10"/>
      <c r="U110" s="9" t="str">
        <f t="shared" ca="1" si="2"/>
        <v/>
      </c>
      <c r="V110" s="9" t="str">
        <f t="shared" ca="1" si="3"/>
        <v/>
      </c>
      <c r="AC110" s="9" t="s">
        <v>12144</v>
      </c>
      <c r="AD110" s="9" t="s">
        <v>19</v>
      </c>
    </row>
    <row r="111" spans="1:33">
      <c r="A111" s="3" t="s">
        <v>217</v>
      </c>
      <c r="D111" s="3" t="s">
        <v>216</v>
      </c>
      <c r="E111" s="3" t="s">
        <v>203</v>
      </c>
      <c r="J111" s="9" t="s">
        <v>12120</v>
      </c>
      <c r="Q111" s="10"/>
      <c r="U111" s="9" t="str">
        <f t="shared" ca="1" si="2"/>
        <v/>
      </c>
      <c r="V111" s="9" t="str">
        <f t="shared" ca="1" si="3"/>
        <v/>
      </c>
      <c r="AC111" s="9" t="s">
        <v>12144</v>
      </c>
      <c r="AD111" s="9" t="s">
        <v>19</v>
      </c>
    </row>
    <row r="112" spans="1:33">
      <c r="A112" s="3" t="s">
        <v>217</v>
      </c>
      <c r="D112" s="3" t="s">
        <v>218</v>
      </c>
      <c r="E112" s="3" t="s">
        <v>219</v>
      </c>
      <c r="J112" s="9" t="s">
        <v>12118</v>
      </c>
      <c r="Q112" s="10"/>
      <c r="T112" s="9" t="s">
        <v>12131</v>
      </c>
      <c r="U112" s="9" t="str">
        <f t="shared" ca="1" si="2"/>
        <v/>
      </c>
      <c r="V112" s="9" t="str">
        <f t="shared" ca="1" si="3"/>
        <v/>
      </c>
      <c r="AC112" s="9" t="s">
        <v>12130</v>
      </c>
      <c r="AD112" s="9" t="s">
        <v>19</v>
      </c>
      <c r="AE112" s="9" t="s">
        <v>12086</v>
      </c>
    </row>
    <row r="113" spans="1:33" ht="29">
      <c r="A113" s="3" t="s">
        <v>220</v>
      </c>
      <c r="D113" s="3" t="s">
        <v>4882</v>
      </c>
      <c r="E113" s="3" t="s">
        <v>4883</v>
      </c>
      <c r="G113" t="s">
        <v>19</v>
      </c>
      <c r="J113" s="9" t="s">
        <v>12120</v>
      </c>
      <c r="Q113" s="10"/>
      <c r="U113" s="9" t="str">
        <f t="shared" ca="1" si="2"/>
        <v/>
      </c>
      <c r="V113" s="9" t="str">
        <f t="shared" ca="1" si="3"/>
        <v/>
      </c>
    </row>
    <row r="114" spans="1:33" ht="29">
      <c r="A114" s="3" t="s">
        <v>220</v>
      </c>
      <c r="D114" s="3" t="s">
        <v>4884</v>
      </c>
      <c r="E114" s="3" t="s">
        <v>4885</v>
      </c>
      <c r="J114" s="9" t="s">
        <v>12118</v>
      </c>
      <c r="Q114" s="10"/>
      <c r="T114" s="9" t="s">
        <v>12131</v>
      </c>
      <c r="U114" s="9" t="str">
        <f t="shared" ca="1" si="2"/>
        <v/>
      </c>
      <c r="V114" s="9" t="str">
        <f t="shared" ca="1" si="3"/>
        <v/>
      </c>
      <c r="AC114" s="9" t="s">
        <v>12130</v>
      </c>
      <c r="AD114" s="9" t="s">
        <v>19</v>
      </c>
      <c r="AE114" s="9" t="s">
        <v>12086</v>
      </c>
    </row>
    <row r="115" spans="1:33">
      <c r="A115" s="3" t="s">
        <v>223</v>
      </c>
      <c r="D115" s="3" t="s">
        <v>216</v>
      </c>
      <c r="E115" s="3" t="s">
        <v>203</v>
      </c>
      <c r="J115" s="9" t="s">
        <v>12120</v>
      </c>
      <c r="Q115" s="10"/>
      <c r="U115" s="9" t="str">
        <f t="shared" ca="1" si="2"/>
        <v/>
      </c>
      <c r="V115" s="9" t="str">
        <f t="shared" ca="1" si="3"/>
        <v/>
      </c>
      <c r="AC115" s="9" t="s">
        <v>12144</v>
      </c>
      <c r="AD115" s="9" t="s">
        <v>19</v>
      </c>
    </row>
    <row r="116" spans="1:33">
      <c r="A116" s="3" t="s">
        <v>224</v>
      </c>
      <c r="D116" s="3" t="s">
        <v>225</v>
      </c>
      <c r="E116" s="3" t="s">
        <v>226</v>
      </c>
      <c r="J116" s="9" t="s">
        <v>12118</v>
      </c>
      <c r="Q116" s="10"/>
      <c r="T116" s="9" t="s">
        <v>12131</v>
      </c>
      <c r="U116" s="9" t="str">
        <f t="shared" ca="1" si="2"/>
        <v/>
      </c>
      <c r="V116" s="9" t="str">
        <f t="shared" ca="1" si="3"/>
        <v/>
      </c>
      <c r="AC116" s="9" t="s">
        <v>12130</v>
      </c>
      <c r="AD116" s="9" t="s">
        <v>19</v>
      </c>
      <c r="AE116" s="9" t="s">
        <v>12086</v>
      </c>
    </row>
    <row r="117" spans="1:33">
      <c r="A117" s="3" t="s">
        <v>227</v>
      </c>
      <c r="D117" s="3" t="s">
        <v>228</v>
      </c>
      <c r="E117" s="3" t="s">
        <v>229</v>
      </c>
      <c r="J117" s="9" t="s">
        <v>12118</v>
      </c>
      <c r="Q117" s="10"/>
      <c r="T117" s="9" t="s">
        <v>12131</v>
      </c>
      <c r="U117" s="9" t="str">
        <f t="shared" ca="1" si="2"/>
        <v/>
      </c>
      <c r="V117" s="9" t="str">
        <f t="shared" ca="1" si="3"/>
        <v/>
      </c>
      <c r="AC117" s="9" t="s">
        <v>12130</v>
      </c>
      <c r="AD117" s="9" t="s">
        <v>19</v>
      </c>
      <c r="AE117" s="9" t="s">
        <v>12086</v>
      </c>
    </row>
    <row r="118" spans="1:33">
      <c r="A118" s="3" t="s">
        <v>230</v>
      </c>
      <c r="D118" s="3" t="s">
        <v>231</v>
      </c>
      <c r="E118" s="3" t="s">
        <v>232</v>
      </c>
      <c r="J118" s="9" t="s">
        <v>12120</v>
      </c>
      <c r="Q118" s="10"/>
      <c r="U118" s="9" t="str">
        <f t="shared" ca="1" si="2"/>
        <v/>
      </c>
      <c r="V118" s="9" t="str">
        <f t="shared" ca="1" si="3"/>
        <v/>
      </c>
      <c r="AC118" s="9" t="s">
        <v>12130</v>
      </c>
      <c r="AD118" s="9" t="s">
        <v>19</v>
      </c>
      <c r="AE118" s="9" t="s">
        <v>12086</v>
      </c>
    </row>
    <row r="119" spans="1:33">
      <c r="A119" s="3" t="s">
        <v>230</v>
      </c>
      <c r="D119" s="3" t="s">
        <v>4886</v>
      </c>
      <c r="E119" s="3" t="s">
        <v>4887</v>
      </c>
      <c r="J119" s="9" t="s">
        <v>12120</v>
      </c>
      <c r="Q119" s="10"/>
      <c r="U119" s="9" t="str">
        <f t="shared" ca="1" si="2"/>
        <v/>
      </c>
      <c r="V119" s="9" t="str">
        <f t="shared" ca="1" si="3"/>
        <v/>
      </c>
      <c r="AG119" s="9" t="s">
        <v>19</v>
      </c>
    </row>
    <row r="120" spans="1:33">
      <c r="A120" s="3" t="s">
        <v>230</v>
      </c>
      <c r="D120" s="3" t="s">
        <v>4813</v>
      </c>
      <c r="E120" s="3" t="s">
        <v>233</v>
      </c>
      <c r="J120" s="9" t="s">
        <v>12120</v>
      </c>
      <c r="Q120" s="10"/>
      <c r="U120" s="9" t="str">
        <f t="shared" ca="1" si="2"/>
        <v/>
      </c>
      <c r="V120" s="9" t="str">
        <f t="shared" ca="1" si="3"/>
        <v/>
      </c>
      <c r="AC120" s="9" t="s">
        <v>12130</v>
      </c>
      <c r="AD120" s="9" t="s">
        <v>19</v>
      </c>
    </row>
    <row r="121" spans="1:33">
      <c r="A121" s="3" t="s">
        <v>234</v>
      </c>
      <c r="D121" s="3" t="s">
        <v>216</v>
      </c>
      <c r="E121" s="3" t="s">
        <v>203</v>
      </c>
      <c r="J121" s="9" t="s">
        <v>12120</v>
      </c>
      <c r="Q121" s="10"/>
      <c r="U121" s="9" t="str">
        <f t="shared" ca="1" si="2"/>
        <v/>
      </c>
      <c r="V121" s="9" t="str">
        <f t="shared" ca="1" si="3"/>
        <v/>
      </c>
      <c r="AC121" s="9" t="s">
        <v>12144</v>
      </c>
      <c r="AD121" s="9" t="s">
        <v>19</v>
      </c>
    </row>
    <row r="122" spans="1:33">
      <c r="A122" s="3" t="s">
        <v>234</v>
      </c>
      <c r="D122" s="3" t="s">
        <v>235</v>
      </c>
      <c r="E122" s="3" t="s">
        <v>236</v>
      </c>
      <c r="J122" s="9" t="s">
        <v>12118</v>
      </c>
      <c r="Q122" s="10"/>
      <c r="T122" s="9" t="s">
        <v>12131</v>
      </c>
      <c r="U122" s="9" t="str">
        <f t="shared" ca="1" si="2"/>
        <v/>
      </c>
      <c r="V122" s="9" t="str">
        <f t="shared" ca="1" si="3"/>
        <v/>
      </c>
      <c r="AC122" s="9" t="s">
        <v>12130</v>
      </c>
      <c r="AD122" s="9" t="s">
        <v>19</v>
      </c>
      <c r="AE122" s="9" t="s">
        <v>12086</v>
      </c>
    </row>
    <row r="123" spans="1:33" ht="29">
      <c r="A123" s="3" t="s">
        <v>237</v>
      </c>
      <c r="D123" s="3" t="s">
        <v>4888</v>
      </c>
      <c r="E123" s="3" t="s">
        <v>4889</v>
      </c>
      <c r="G123" t="s">
        <v>19</v>
      </c>
      <c r="J123" s="9" t="s">
        <v>12120</v>
      </c>
      <c r="Q123" s="10"/>
      <c r="U123" s="9" t="str">
        <f t="shared" ca="1" si="2"/>
        <v/>
      </c>
      <c r="V123" s="9" t="str">
        <f t="shared" ca="1" si="3"/>
        <v/>
      </c>
    </row>
    <row r="124" spans="1:33">
      <c r="A124" s="3" t="s">
        <v>237</v>
      </c>
      <c r="D124" s="3" t="s">
        <v>238</v>
      </c>
      <c r="E124" s="3" t="s">
        <v>239</v>
      </c>
      <c r="J124" s="9" t="s">
        <v>12118</v>
      </c>
      <c r="Q124" s="10"/>
      <c r="T124" s="9" t="s">
        <v>12131</v>
      </c>
      <c r="U124" s="9" t="str">
        <f t="shared" ca="1" si="2"/>
        <v/>
      </c>
      <c r="V124" s="9" t="str">
        <f t="shared" ca="1" si="3"/>
        <v/>
      </c>
      <c r="AC124" s="9" t="s">
        <v>12130</v>
      </c>
      <c r="AD124" s="9" t="s">
        <v>19</v>
      </c>
      <c r="AE124" s="9" t="s">
        <v>12086</v>
      </c>
    </row>
    <row r="125" spans="1:33">
      <c r="A125" s="3" t="s">
        <v>237</v>
      </c>
      <c r="D125" s="3" t="s">
        <v>240</v>
      </c>
      <c r="E125" s="3" t="s">
        <v>241</v>
      </c>
      <c r="J125" s="9" t="s">
        <v>12118</v>
      </c>
      <c r="Q125" s="10"/>
      <c r="T125" s="9" t="s">
        <v>12131</v>
      </c>
      <c r="U125" s="9" t="str">
        <f t="shared" ca="1" si="2"/>
        <v/>
      </c>
      <c r="V125" s="9" t="str">
        <f t="shared" ca="1" si="3"/>
        <v/>
      </c>
      <c r="AE125" s="9" t="s">
        <v>12086</v>
      </c>
    </row>
    <row r="126" spans="1:33">
      <c r="A126" s="3" t="s">
        <v>237</v>
      </c>
      <c r="D126" s="3" t="s">
        <v>4890</v>
      </c>
      <c r="E126" s="3" t="s">
        <v>4891</v>
      </c>
      <c r="J126" s="9" t="s">
        <v>12120</v>
      </c>
      <c r="Q126" s="10"/>
      <c r="U126" s="9" t="str">
        <f t="shared" ca="1" si="2"/>
        <v/>
      </c>
      <c r="V126" s="9" t="str">
        <f t="shared" ca="1" si="3"/>
        <v/>
      </c>
      <c r="AE126" s="9" t="s">
        <v>12089</v>
      </c>
    </row>
    <row r="127" spans="1:33">
      <c r="A127" s="3" t="s">
        <v>242</v>
      </c>
      <c r="D127" s="3" t="s">
        <v>4892</v>
      </c>
      <c r="E127" s="3" t="s">
        <v>4893</v>
      </c>
      <c r="J127" s="9" t="s">
        <v>12120</v>
      </c>
      <c r="Q127" s="10"/>
      <c r="U127" s="9" t="str">
        <f t="shared" ca="1" si="2"/>
        <v/>
      </c>
      <c r="V127" s="9" t="str">
        <f t="shared" ca="1" si="3"/>
        <v/>
      </c>
      <c r="AB127" s="9" t="s">
        <v>12082</v>
      </c>
      <c r="AD127" s="9" t="s">
        <v>19</v>
      </c>
    </row>
    <row r="128" spans="1:33" ht="29">
      <c r="A128" s="3" t="s">
        <v>243</v>
      </c>
      <c r="D128" s="3" t="s">
        <v>4894</v>
      </c>
      <c r="E128" s="3" t="s">
        <v>4895</v>
      </c>
      <c r="G128" t="s">
        <v>19</v>
      </c>
      <c r="J128" s="9" t="s">
        <v>12121</v>
      </c>
      <c r="Q128" s="10"/>
      <c r="T128" s="9">
        <f>11843-1294</f>
        <v>10549</v>
      </c>
      <c r="U128" s="9">
        <f t="shared" ca="1" si="2"/>
        <v>1294</v>
      </c>
      <c r="V128" s="9">
        <f t="shared" ca="1" si="3"/>
        <v>11843</v>
      </c>
    </row>
    <row r="129" spans="1:33" ht="29">
      <c r="A129" s="3" t="s">
        <v>243</v>
      </c>
      <c r="D129" s="3" t="s">
        <v>4896</v>
      </c>
      <c r="E129" s="3" t="s">
        <v>4897</v>
      </c>
      <c r="J129" s="9" t="s">
        <v>12118</v>
      </c>
      <c r="Q129" s="10"/>
      <c r="T129" s="9" t="s">
        <v>12131</v>
      </c>
      <c r="U129" s="9" t="str">
        <f t="shared" ref="U129:U192" ca="1" si="4">IF(ISNUMBER(T129),VALUE(MID(_xlfn.FORMULATEXT(T129),SEARCH("-",_xlfn.FORMULATEXT(T129))+1,LEN(_xlfn.FORMULATEXT(T129))-SEARCH("-",_xlfn.FORMULATEXT(T129)))), "")</f>
        <v/>
      </c>
      <c r="V129" s="9" t="str">
        <f t="shared" ref="V129:V192" ca="1" si="5">IF(ISNUMBER(T129), VALUE(MID(_xlfn.FORMULATEXT(T129), 2, SEARCH("-", _xlfn.FORMULATEXT(T129)) - 2)), "")</f>
        <v/>
      </c>
      <c r="AC129" s="9" t="s">
        <v>12134</v>
      </c>
      <c r="AD129" s="9" t="s">
        <v>19</v>
      </c>
      <c r="AE129" s="9" t="s">
        <v>12086</v>
      </c>
    </row>
    <row r="130" spans="1:33">
      <c r="A130" s="3" t="s">
        <v>244</v>
      </c>
      <c r="D130" s="3" t="s">
        <v>192</v>
      </c>
      <c r="E130" s="3" t="s">
        <v>193</v>
      </c>
      <c r="J130" s="9" t="s">
        <v>12120</v>
      </c>
      <c r="Q130" s="10"/>
      <c r="U130" s="9" t="str">
        <f t="shared" ca="1" si="4"/>
        <v/>
      </c>
      <c r="V130" s="9" t="str">
        <f t="shared" ca="1" si="5"/>
        <v/>
      </c>
      <c r="AB130" s="9" t="s">
        <v>12738</v>
      </c>
      <c r="AD130" s="9" t="s">
        <v>19</v>
      </c>
    </row>
    <row r="131" spans="1:33">
      <c r="A131" s="3" t="s">
        <v>245</v>
      </c>
      <c r="D131" s="3" t="s">
        <v>192</v>
      </c>
      <c r="E131" s="3" t="s">
        <v>193</v>
      </c>
      <c r="J131" s="9" t="s">
        <v>12120</v>
      </c>
      <c r="Q131" s="10"/>
      <c r="U131" s="9" t="str">
        <f t="shared" ca="1" si="4"/>
        <v/>
      </c>
      <c r="V131" s="9" t="str">
        <f t="shared" ca="1" si="5"/>
        <v/>
      </c>
      <c r="AB131" s="9" t="s">
        <v>12738</v>
      </c>
      <c r="AD131" s="9" t="s">
        <v>19</v>
      </c>
    </row>
    <row r="132" spans="1:33">
      <c r="A132" s="3" t="s">
        <v>246</v>
      </c>
      <c r="D132" s="3" t="s">
        <v>4898</v>
      </c>
      <c r="E132" s="3" t="s">
        <v>4899</v>
      </c>
      <c r="J132" s="9" t="s">
        <v>25</v>
      </c>
      <c r="L132" s="9">
        <v>1</v>
      </c>
      <c r="M132" s="9">
        <v>1</v>
      </c>
      <c r="N132" s="9" t="s">
        <v>12078</v>
      </c>
      <c r="O132" s="9" t="s">
        <v>12119</v>
      </c>
      <c r="Q132" s="10"/>
      <c r="S132" s="9">
        <v>11843</v>
      </c>
      <c r="U132" s="9" t="str">
        <f t="shared" ca="1" si="4"/>
        <v/>
      </c>
      <c r="V132" s="9" t="str">
        <f t="shared" ca="1" si="5"/>
        <v/>
      </c>
      <c r="AG132" s="9" t="s">
        <v>20</v>
      </c>
    </row>
    <row r="133" spans="1:33">
      <c r="A133" s="3" t="s">
        <v>247</v>
      </c>
      <c r="D133" s="3" t="s">
        <v>1725</v>
      </c>
      <c r="E133" s="3" t="s">
        <v>248</v>
      </c>
      <c r="J133" s="9" t="s">
        <v>12118</v>
      </c>
      <c r="Q133" s="10"/>
      <c r="T133" s="9" t="s">
        <v>12131</v>
      </c>
      <c r="U133" s="9" t="str">
        <f t="shared" ca="1" si="4"/>
        <v/>
      </c>
      <c r="V133" s="9" t="str">
        <f t="shared" ca="1" si="5"/>
        <v/>
      </c>
      <c r="AE133" s="9" t="s">
        <v>12077</v>
      </c>
    </row>
    <row r="134" spans="1:33">
      <c r="A134" s="3" t="s">
        <v>247</v>
      </c>
      <c r="D134" s="3" t="s">
        <v>4900</v>
      </c>
      <c r="E134" s="3" t="s">
        <v>4901</v>
      </c>
      <c r="I134" t="s">
        <v>12636</v>
      </c>
      <c r="J134" s="9" t="s">
        <v>25</v>
      </c>
      <c r="L134" s="9">
        <v>1</v>
      </c>
      <c r="M134" s="9">
        <v>2</v>
      </c>
      <c r="N134" s="9" t="s">
        <v>12078</v>
      </c>
      <c r="O134" s="9" t="s">
        <v>12119</v>
      </c>
      <c r="Q134" s="10"/>
      <c r="S134" s="9">
        <v>11843</v>
      </c>
      <c r="U134" s="9" t="str">
        <f t="shared" ca="1" si="4"/>
        <v/>
      </c>
      <c r="V134" s="9" t="str">
        <f t="shared" ca="1" si="5"/>
        <v/>
      </c>
      <c r="W134" s="9" t="s">
        <v>12117</v>
      </c>
      <c r="AG134" s="9" t="s">
        <v>20</v>
      </c>
    </row>
    <row r="135" spans="1:33">
      <c r="A135" s="3" t="s">
        <v>247</v>
      </c>
      <c r="D135" s="3" t="s">
        <v>4902</v>
      </c>
      <c r="E135" s="3" t="s">
        <v>4902</v>
      </c>
      <c r="G135" t="s">
        <v>20</v>
      </c>
      <c r="I135" t="s">
        <v>4903</v>
      </c>
      <c r="Q135" s="10"/>
      <c r="U135" s="9" t="str">
        <f t="shared" ca="1" si="4"/>
        <v/>
      </c>
      <c r="V135" s="9" t="str">
        <f t="shared" ca="1" si="5"/>
        <v/>
      </c>
    </row>
    <row r="136" spans="1:33">
      <c r="A136" s="3" t="s">
        <v>249</v>
      </c>
      <c r="D136" s="3" t="s">
        <v>250</v>
      </c>
      <c r="E136" s="5" t="s">
        <v>251</v>
      </c>
      <c r="F136" t="s">
        <v>16</v>
      </c>
      <c r="I136" s="4"/>
      <c r="Q136" s="10"/>
      <c r="U136" s="9" t="str">
        <f t="shared" ca="1" si="4"/>
        <v/>
      </c>
      <c r="V136" s="9" t="str">
        <f t="shared" ca="1" si="5"/>
        <v/>
      </c>
    </row>
    <row r="137" spans="1:33">
      <c r="A137" s="3" t="s">
        <v>249</v>
      </c>
      <c r="D137" s="3" t="s">
        <v>4904</v>
      </c>
      <c r="E137" s="3" t="s">
        <v>4905</v>
      </c>
      <c r="J137" s="9" t="s">
        <v>12118</v>
      </c>
      <c r="Q137" s="10"/>
      <c r="T137" s="9">
        <f>11843-1741</f>
        <v>10102</v>
      </c>
      <c r="U137" s="9">
        <f t="shared" ca="1" si="4"/>
        <v>1741</v>
      </c>
      <c r="V137" s="9">
        <f t="shared" ca="1" si="5"/>
        <v>11843</v>
      </c>
      <c r="W137" s="9" t="s">
        <v>12117</v>
      </c>
      <c r="AG137" s="9" t="s">
        <v>20</v>
      </c>
    </row>
    <row r="138" spans="1:33">
      <c r="A138" s="3" t="s">
        <v>252</v>
      </c>
      <c r="D138" s="3" t="s">
        <v>253</v>
      </c>
      <c r="E138" s="3" t="s">
        <v>254</v>
      </c>
      <c r="G138" t="s">
        <v>21</v>
      </c>
      <c r="I138" t="s">
        <v>4906</v>
      </c>
      <c r="J138" s="9" t="s">
        <v>12118</v>
      </c>
      <c r="Q138" s="10"/>
      <c r="T138" s="9" t="s">
        <v>12131</v>
      </c>
      <c r="U138" s="9" t="str">
        <f t="shared" ca="1" si="4"/>
        <v/>
      </c>
      <c r="V138" s="9" t="str">
        <f t="shared" ca="1" si="5"/>
        <v/>
      </c>
      <c r="AE138" s="9" t="s">
        <v>12086</v>
      </c>
    </row>
    <row r="139" spans="1:33">
      <c r="A139" s="3" t="s">
        <v>257</v>
      </c>
      <c r="D139" s="3" t="s">
        <v>4907</v>
      </c>
      <c r="E139" s="3" t="s">
        <v>4907</v>
      </c>
      <c r="G139" t="s">
        <v>20</v>
      </c>
      <c r="I139" t="s">
        <v>4908</v>
      </c>
      <c r="Q139" s="10"/>
      <c r="U139" s="9" t="str">
        <f t="shared" ca="1" si="4"/>
        <v/>
      </c>
      <c r="V139" s="9" t="str">
        <f t="shared" ca="1" si="5"/>
        <v/>
      </c>
    </row>
    <row r="140" spans="1:33">
      <c r="A140" s="3" t="s">
        <v>258</v>
      </c>
      <c r="D140" s="3" t="s">
        <v>259</v>
      </c>
      <c r="E140" s="3" t="s">
        <v>260</v>
      </c>
      <c r="J140" s="9" t="s">
        <v>12118</v>
      </c>
      <c r="Q140" s="10"/>
      <c r="T140" s="9" t="s">
        <v>12131</v>
      </c>
      <c r="U140" s="9" t="str">
        <f t="shared" ca="1" si="4"/>
        <v/>
      </c>
      <c r="V140" s="9" t="str">
        <f t="shared" ca="1" si="5"/>
        <v/>
      </c>
      <c r="AC140" s="9" t="s">
        <v>12134</v>
      </c>
      <c r="AD140" s="9" t="s">
        <v>19</v>
      </c>
      <c r="AE140" s="9" t="s">
        <v>12086</v>
      </c>
    </row>
    <row r="141" spans="1:33">
      <c r="A141" s="3" t="s">
        <v>258</v>
      </c>
      <c r="D141" s="3" t="s">
        <v>261</v>
      </c>
      <c r="E141" s="3" t="s">
        <v>262</v>
      </c>
      <c r="J141" s="9" t="s">
        <v>12118</v>
      </c>
      <c r="Q141" s="10"/>
      <c r="T141" s="9" t="s">
        <v>12131</v>
      </c>
      <c r="U141" s="9" t="str">
        <f t="shared" ca="1" si="4"/>
        <v/>
      </c>
      <c r="V141" s="9" t="str">
        <f t="shared" ca="1" si="5"/>
        <v/>
      </c>
      <c r="AC141" s="9" t="s">
        <v>12134</v>
      </c>
      <c r="AD141" s="9" t="s">
        <v>19</v>
      </c>
      <c r="AE141" s="9" t="s">
        <v>12086</v>
      </c>
    </row>
    <row r="142" spans="1:33" ht="29">
      <c r="A142" s="3" t="s">
        <v>263</v>
      </c>
      <c r="D142" s="3" t="s">
        <v>4909</v>
      </c>
      <c r="E142" s="3" t="s">
        <v>4910</v>
      </c>
      <c r="J142" s="9" t="s">
        <v>24</v>
      </c>
      <c r="L142" s="9">
        <v>1</v>
      </c>
      <c r="M142" s="9">
        <v>5</v>
      </c>
      <c r="N142" s="9" t="s">
        <v>12092</v>
      </c>
      <c r="O142" s="9" t="s">
        <v>12079</v>
      </c>
      <c r="Q142" s="10"/>
      <c r="S142" s="9">
        <v>14</v>
      </c>
      <c r="U142" s="9" t="str">
        <f t="shared" ca="1" si="4"/>
        <v/>
      </c>
      <c r="V142" s="9" t="str">
        <f t="shared" ca="1" si="5"/>
        <v/>
      </c>
      <c r="AE142" s="9" t="s">
        <v>12083</v>
      </c>
    </row>
    <row r="143" spans="1:33">
      <c r="A143" s="3" t="s">
        <v>264</v>
      </c>
      <c r="D143" s="3" t="s">
        <v>4911</v>
      </c>
      <c r="E143" s="3" t="s">
        <v>4912</v>
      </c>
      <c r="G143" t="s">
        <v>19</v>
      </c>
      <c r="J143" s="9" t="s">
        <v>24</v>
      </c>
      <c r="L143" s="9">
        <v>1</v>
      </c>
      <c r="M143" s="9">
        <v>3</v>
      </c>
      <c r="N143" s="9" t="s">
        <v>12087</v>
      </c>
      <c r="O143" s="9" t="s">
        <v>12079</v>
      </c>
      <c r="Q143" s="10"/>
      <c r="S143" s="9">
        <v>431</v>
      </c>
      <c r="U143" s="9" t="str">
        <f t="shared" ca="1" si="4"/>
        <v/>
      </c>
      <c r="V143" s="9" t="str">
        <f t="shared" ca="1" si="5"/>
        <v/>
      </c>
    </row>
    <row r="144" spans="1:33">
      <c r="A144" s="3" t="s">
        <v>264</v>
      </c>
      <c r="D144" s="3" t="s">
        <v>129</v>
      </c>
      <c r="E144" s="3" t="s">
        <v>130</v>
      </c>
      <c r="J144" s="9" t="s">
        <v>12120</v>
      </c>
      <c r="Q144" s="10"/>
      <c r="U144" s="9" t="str">
        <f t="shared" ca="1" si="4"/>
        <v/>
      </c>
      <c r="V144" s="9" t="str">
        <f t="shared" ca="1" si="5"/>
        <v/>
      </c>
      <c r="AC144" s="9" t="s">
        <v>12130</v>
      </c>
      <c r="AD144" s="9" t="s">
        <v>19</v>
      </c>
    </row>
    <row r="145" spans="1:33">
      <c r="A145" s="3" t="s">
        <v>265</v>
      </c>
      <c r="D145" s="3" t="s">
        <v>266</v>
      </c>
      <c r="E145" s="3" t="s">
        <v>267</v>
      </c>
      <c r="J145" s="9" t="s">
        <v>12120</v>
      </c>
      <c r="Q145" s="10"/>
      <c r="U145" s="9" t="str">
        <f t="shared" ca="1" si="4"/>
        <v/>
      </c>
      <c r="V145" s="9" t="str">
        <f t="shared" ca="1" si="5"/>
        <v/>
      </c>
      <c r="AC145" s="9" t="s">
        <v>12130</v>
      </c>
      <c r="AD145" s="9" t="s">
        <v>19</v>
      </c>
    </row>
    <row r="146" spans="1:33">
      <c r="A146" s="3" t="s">
        <v>265</v>
      </c>
      <c r="D146" s="3" t="s">
        <v>4913</v>
      </c>
      <c r="E146" s="3" t="s">
        <v>4914</v>
      </c>
      <c r="J146" s="9" t="s">
        <v>12118</v>
      </c>
      <c r="Q146" s="10"/>
      <c r="T146" s="9">
        <f>17-207</f>
        <v>-190</v>
      </c>
      <c r="U146" s="9">
        <f t="shared" ca="1" si="4"/>
        <v>207</v>
      </c>
      <c r="V146" s="9">
        <f t="shared" ca="1" si="5"/>
        <v>17</v>
      </c>
      <c r="AG146" s="9" t="s">
        <v>19</v>
      </c>
    </row>
    <row r="147" spans="1:33">
      <c r="A147" s="3" t="s">
        <v>265</v>
      </c>
      <c r="D147" s="3" t="s">
        <v>4915</v>
      </c>
      <c r="E147" s="3" t="s">
        <v>4916</v>
      </c>
      <c r="J147" s="9" t="s">
        <v>12118</v>
      </c>
      <c r="Q147" s="10"/>
      <c r="T147" s="9" t="s">
        <v>12131</v>
      </c>
      <c r="U147" s="9" t="str">
        <f t="shared" ca="1" si="4"/>
        <v/>
      </c>
      <c r="V147" s="9" t="str">
        <f t="shared" ca="1" si="5"/>
        <v/>
      </c>
      <c r="AC147" s="9" t="s">
        <v>12130</v>
      </c>
      <c r="AD147" s="9" t="s">
        <v>19</v>
      </c>
      <c r="AE147" s="9" t="s">
        <v>12086</v>
      </c>
    </row>
    <row r="148" spans="1:33">
      <c r="A148" s="3" t="s">
        <v>268</v>
      </c>
      <c r="D148" s="3" t="s">
        <v>269</v>
      </c>
      <c r="E148" s="3" t="s">
        <v>270</v>
      </c>
      <c r="J148" s="9" t="s">
        <v>12118</v>
      </c>
      <c r="Q148" s="10"/>
      <c r="T148" s="9" t="s">
        <v>12131</v>
      </c>
      <c r="U148" s="9" t="str">
        <f t="shared" ca="1" si="4"/>
        <v/>
      </c>
      <c r="V148" s="9" t="str">
        <f t="shared" ca="1" si="5"/>
        <v/>
      </c>
      <c r="AC148" s="9" t="s">
        <v>12134</v>
      </c>
      <c r="AD148" s="9" t="s">
        <v>19</v>
      </c>
      <c r="AE148" s="9" t="s">
        <v>12086</v>
      </c>
    </row>
    <row r="149" spans="1:33">
      <c r="A149" s="3" t="s">
        <v>268</v>
      </c>
      <c r="D149" s="3" t="s">
        <v>4917</v>
      </c>
      <c r="E149" s="3" t="s">
        <v>4918</v>
      </c>
      <c r="J149" s="9" t="s">
        <v>25</v>
      </c>
      <c r="L149" s="9">
        <v>1</v>
      </c>
      <c r="M149" s="9">
        <v>2</v>
      </c>
      <c r="N149" s="9" t="s">
        <v>12078</v>
      </c>
      <c r="O149" s="9" t="s">
        <v>12119</v>
      </c>
      <c r="Q149" s="10"/>
      <c r="S149" s="9">
        <v>11843</v>
      </c>
      <c r="U149" s="9" t="str">
        <f t="shared" ca="1" si="4"/>
        <v/>
      </c>
      <c r="V149" s="9" t="str">
        <f t="shared" ca="1" si="5"/>
        <v/>
      </c>
      <c r="AG149" s="9" t="s">
        <v>20</v>
      </c>
    </row>
    <row r="150" spans="1:33">
      <c r="A150" s="3" t="s">
        <v>271</v>
      </c>
      <c r="D150" s="3" t="s">
        <v>4919</v>
      </c>
      <c r="E150" s="3" t="s">
        <v>4920</v>
      </c>
      <c r="G150" t="s">
        <v>19</v>
      </c>
      <c r="J150" s="9" t="s">
        <v>24</v>
      </c>
      <c r="L150" s="9">
        <v>1</v>
      </c>
      <c r="M150" s="9">
        <v>2</v>
      </c>
      <c r="N150" s="9" t="s">
        <v>12078</v>
      </c>
      <c r="O150" s="9" t="s">
        <v>12119</v>
      </c>
      <c r="Q150" s="10"/>
      <c r="S150" s="9">
        <v>11843</v>
      </c>
      <c r="U150" s="9" t="str">
        <f t="shared" ca="1" si="4"/>
        <v/>
      </c>
      <c r="V150" s="9" t="str">
        <f t="shared" ca="1" si="5"/>
        <v/>
      </c>
    </row>
    <row r="151" spans="1:33">
      <c r="A151" s="3" t="s">
        <v>271</v>
      </c>
      <c r="D151" s="3" t="s">
        <v>4921</v>
      </c>
      <c r="E151" s="3" t="s">
        <v>4922</v>
      </c>
      <c r="G151" t="s">
        <v>21</v>
      </c>
      <c r="I151" t="s">
        <v>12637</v>
      </c>
      <c r="J151" s="9" t="s">
        <v>12118</v>
      </c>
      <c r="Q151" s="10"/>
      <c r="T151" s="9">
        <f>11-0</f>
        <v>11</v>
      </c>
      <c r="U151" s="9">
        <f t="shared" ca="1" si="4"/>
        <v>0</v>
      </c>
      <c r="V151" s="9">
        <f t="shared" ca="1" si="5"/>
        <v>11</v>
      </c>
      <c r="W151" s="9" t="s">
        <v>4</v>
      </c>
    </row>
    <row r="152" spans="1:33">
      <c r="A152" s="3" t="s">
        <v>272</v>
      </c>
      <c r="D152" s="3" t="s">
        <v>273</v>
      </c>
      <c r="E152" s="3" t="s">
        <v>274</v>
      </c>
      <c r="J152" s="9" t="s">
        <v>12120</v>
      </c>
      <c r="Q152" s="10"/>
      <c r="U152" s="9" t="str">
        <f t="shared" ca="1" si="4"/>
        <v/>
      </c>
      <c r="V152" s="9" t="str">
        <f t="shared" ca="1" si="5"/>
        <v/>
      </c>
      <c r="AG152" s="9" t="s">
        <v>13141</v>
      </c>
    </row>
    <row r="153" spans="1:33">
      <c r="A153" s="3" t="s">
        <v>272</v>
      </c>
      <c r="D153" s="3" t="s">
        <v>129</v>
      </c>
      <c r="E153" s="3" t="s">
        <v>130</v>
      </c>
      <c r="J153" s="9" t="s">
        <v>12120</v>
      </c>
      <c r="Q153" s="10"/>
      <c r="U153" s="9" t="str">
        <f t="shared" ca="1" si="4"/>
        <v/>
      </c>
      <c r="V153" s="9" t="str">
        <f t="shared" ca="1" si="5"/>
        <v/>
      </c>
      <c r="AC153" s="9" t="s">
        <v>12130</v>
      </c>
      <c r="AD153" s="9" t="s">
        <v>19</v>
      </c>
    </row>
    <row r="154" spans="1:33">
      <c r="A154" s="3" t="s">
        <v>272</v>
      </c>
      <c r="D154" s="3" t="s">
        <v>4923</v>
      </c>
      <c r="E154" s="3" t="s">
        <v>4924</v>
      </c>
      <c r="G154" t="s">
        <v>19</v>
      </c>
      <c r="J154" s="9" t="s">
        <v>12120</v>
      </c>
      <c r="Q154" s="10"/>
      <c r="U154" s="9" t="str">
        <f t="shared" ca="1" si="4"/>
        <v/>
      </c>
      <c r="V154" s="9" t="str">
        <f t="shared" ca="1" si="5"/>
        <v/>
      </c>
    </row>
    <row r="155" spans="1:33">
      <c r="A155" s="3" t="s">
        <v>272</v>
      </c>
      <c r="D155" s="6" t="s">
        <v>4925</v>
      </c>
      <c r="E155" s="3" t="s">
        <v>4925</v>
      </c>
      <c r="F155" t="s">
        <v>4774</v>
      </c>
      <c r="G155" t="s">
        <v>20</v>
      </c>
      <c r="I155" t="s">
        <v>4926</v>
      </c>
      <c r="Q155" s="10"/>
      <c r="U155" s="9" t="str">
        <f t="shared" ca="1" si="4"/>
        <v/>
      </c>
      <c r="V155" s="9" t="str">
        <f t="shared" ca="1" si="5"/>
        <v/>
      </c>
      <c r="AF155" s="9" t="s">
        <v>19</v>
      </c>
    </row>
    <row r="156" spans="1:33" ht="29">
      <c r="A156" s="3" t="s">
        <v>275</v>
      </c>
      <c r="D156" s="3" t="s">
        <v>12962</v>
      </c>
      <c r="E156" s="5" t="s">
        <v>12964</v>
      </c>
      <c r="G156" t="s">
        <v>19</v>
      </c>
      <c r="J156" s="9" t="s">
        <v>12120</v>
      </c>
      <c r="Q156" s="10"/>
      <c r="U156" s="9" t="str">
        <f t="shared" ca="1" si="4"/>
        <v/>
      </c>
      <c r="V156" s="9" t="str">
        <f t="shared" ca="1" si="5"/>
        <v/>
      </c>
      <c r="AC156" s="9" t="s">
        <v>12130</v>
      </c>
      <c r="AD156" s="9" t="s">
        <v>19</v>
      </c>
    </row>
    <row r="157" spans="1:33" ht="29">
      <c r="A157" s="3" t="s">
        <v>275</v>
      </c>
      <c r="D157" s="3" t="s">
        <v>12963</v>
      </c>
      <c r="E157" s="5" t="s">
        <v>12965</v>
      </c>
      <c r="F157" t="s">
        <v>32</v>
      </c>
      <c r="I157" t="s">
        <v>4927</v>
      </c>
      <c r="J157" s="9" t="s">
        <v>12118</v>
      </c>
      <c r="Q157" s="10"/>
      <c r="R157" s="9" t="s">
        <v>12074</v>
      </c>
      <c r="T157" s="9" t="s">
        <v>12131</v>
      </c>
      <c r="U157" s="9" t="str">
        <f t="shared" ca="1" si="4"/>
        <v/>
      </c>
      <c r="V157" s="9" t="str">
        <f t="shared" ca="1" si="5"/>
        <v/>
      </c>
      <c r="AE157" s="9" t="s">
        <v>12086</v>
      </c>
    </row>
    <row r="158" spans="1:33" ht="29">
      <c r="A158" s="3" t="s">
        <v>276</v>
      </c>
      <c r="D158" s="3" t="s">
        <v>4928</v>
      </c>
      <c r="E158" s="3" t="s">
        <v>4929</v>
      </c>
      <c r="J158" s="9" t="s">
        <v>12120</v>
      </c>
      <c r="Q158" s="10"/>
      <c r="U158" s="9" t="str">
        <f t="shared" ca="1" si="4"/>
        <v/>
      </c>
      <c r="V158" s="9" t="str">
        <f t="shared" ca="1" si="5"/>
        <v/>
      </c>
      <c r="AB158" s="9" t="s">
        <v>12082</v>
      </c>
      <c r="AD158" s="9" t="s">
        <v>19</v>
      </c>
    </row>
    <row r="159" spans="1:33" ht="29">
      <c r="A159" s="3" t="s">
        <v>276</v>
      </c>
      <c r="D159" s="3" t="s">
        <v>4930</v>
      </c>
      <c r="E159" s="3" t="s">
        <v>4931</v>
      </c>
      <c r="G159" t="s">
        <v>19</v>
      </c>
      <c r="J159" s="9" t="s">
        <v>12118</v>
      </c>
      <c r="Q159" s="10"/>
      <c r="T159" s="9" t="s">
        <v>12131</v>
      </c>
      <c r="U159" s="9" t="str">
        <f t="shared" ca="1" si="4"/>
        <v/>
      </c>
      <c r="V159" s="9" t="str">
        <f t="shared" ca="1" si="5"/>
        <v/>
      </c>
      <c r="AE159" s="9" t="s">
        <v>12086</v>
      </c>
    </row>
    <row r="160" spans="1:33">
      <c r="A160" s="3" t="s">
        <v>277</v>
      </c>
      <c r="D160" s="3" t="s">
        <v>278</v>
      </c>
      <c r="E160" s="5" t="s">
        <v>279</v>
      </c>
      <c r="F160" t="s">
        <v>16</v>
      </c>
      <c r="I160" s="2"/>
      <c r="Q160" s="10"/>
      <c r="U160" s="9" t="str">
        <f t="shared" ca="1" si="4"/>
        <v/>
      </c>
      <c r="V160" s="9" t="str">
        <f t="shared" ca="1" si="5"/>
        <v/>
      </c>
    </row>
    <row r="161" spans="1:33">
      <c r="A161" s="3" t="s">
        <v>277</v>
      </c>
      <c r="D161" s="3" t="s">
        <v>280</v>
      </c>
      <c r="E161" s="5" t="s">
        <v>281</v>
      </c>
      <c r="F161" t="s">
        <v>16</v>
      </c>
      <c r="I161" s="2"/>
      <c r="Q161" s="10"/>
      <c r="U161" s="9" t="str">
        <f t="shared" ca="1" si="4"/>
        <v/>
      </c>
      <c r="V161" s="9" t="str">
        <f t="shared" ca="1" si="5"/>
        <v/>
      </c>
    </row>
    <row r="162" spans="1:33">
      <c r="A162" s="3" t="s">
        <v>282</v>
      </c>
      <c r="D162" s="3" t="s">
        <v>4932</v>
      </c>
      <c r="E162" s="3" t="s">
        <v>4933</v>
      </c>
      <c r="J162" s="9" t="s">
        <v>12120</v>
      </c>
      <c r="Q162" s="10"/>
      <c r="U162" s="9" t="str">
        <f t="shared" ca="1" si="4"/>
        <v/>
      </c>
      <c r="V162" s="9" t="str">
        <f t="shared" ca="1" si="5"/>
        <v/>
      </c>
      <c r="AC162" s="9" t="s">
        <v>12128</v>
      </c>
      <c r="AD162" s="9" t="s">
        <v>19</v>
      </c>
    </row>
    <row r="163" spans="1:33">
      <c r="A163" s="3" t="s">
        <v>283</v>
      </c>
      <c r="D163" s="3" t="s">
        <v>4934</v>
      </c>
      <c r="E163" s="3" t="s">
        <v>4935</v>
      </c>
      <c r="J163" s="9" t="s">
        <v>12120</v>
      </c>
      <c r="Q163" s="10"/>
      <c r="U163" s="9" t="str">
        <f t="shared" ca="1" si="4"/>
        <v/>
      </c>
      <c r="V163" s="9" t="str">
        <f t="shared" ca="1" si="5"/>
        <v/>
      </c>
      <c r="AC163" s="9" t="s">
        <v>12134</v>
      </c>
      <c r="AD163" s="9" t="s">
        <v>19</v>
      </c>
    </row>
    <row r="164" spans="1:33">
      <c r="A164" s="3" t="s">
        <v>285</v>
      </c>
      <c r="D164" s="3" t="s">
        <v>4936</v>
      </c>
      <c r="E164" s="3" t="s">
        <v>4937</v>
      </c>
      <c r="J164" s="9" t="s">
        <v>12120</v>
      </c>
      <c r="Q164" s="10"/>
      <c r="U164" s="9" t="str">
        <f t="shared" ca="1" si="4"/>
        <v/>
      </c>
      <c r="V164" s="9" t="str">
        <f t="shared" ca="1" si="5"/>
        <v/>
      </c>
      <c r="AC164" s="9" t="s">
        <v>12130</v>
      </c>
      <c r="AD164" s="9" t="s">
        <v>19</v>
      </c>
    </row>
    <row r="165" spans="1:33">
      <c r="A165" s="3" t="s">
        <v>288</v>
      </c>
      <c r="D165" s="3" t="s">
        <v>289</v>
      </c>
      <c r="E165" s="3" t="s">
        <v>290</v>
      </c>
      <c r="J165" s="9" t="s">
        <v>12118</v>
      </c>
      <c r="Q165" s="10"/>
      <c r="T165" s="9" t="s">
        <v>12131</v>
      </c>
      <c r="U165" s="9" t="str">
        <f t="shared" ca="1" si="4"/>
        <v/>
      </c>
      <c r="V165" s="9" t="str">
        <f t="shared" ca="1" si="5"/>
        <v/>
      </c>
      <c r="AB165" s="9" t="s">
        <v>12124</v>
      </c>
      <c r="AC165" s="9" t="s">
        <v>12742</v>
      </c>
      <c r="AD165" s="9" t="s">
        <v>19</v>
      </c>
    </row>
    <row r="166" spans="1:33">
      <c r="A166" s="3" t="s">
        <v>291</v>
      </c>
      <c r="D166" s="3" t="s">
        <v>4938</v>
      </c>
      <c r="E166" s="3" t="s">
        <v>4939</v>
      </c>
      <c r="G166" t="s">
        <v>19</v>
      </c>
      <c r="J166" s="9" t="s">
        <v>12118</v>
      </c>
      <c r="Q166" s="10"/>
      <c r="T166" s="9">
        <f>7-0</f>
        <v>7</v>
      </c>
      <c r="U166" s="9">
        <f t="shared" ca="1" si="4"/>
        <v>0</v>
      </c>
      <c r="V166" s="9">
        <f t="shared" ca="1" si="5"/>
        <v>7</v>
      </c>
    </row>
    <row r="167" spans="1:33" ht="29">
      <c r="A167" s="3" t="s">
        <v>292</v>
      </c>
      <c r="D167" s="3" t="s">
        <v>4940</v>
      </c>
      <c r="E167" s="3" t="s">
        <v>4941</v>
      </c>
      <c r="J167" s="9" t="s">
        <v>12120</v>
      </c>
      <c r="Q167" s="10"/>
      <c r="U167" s="9" t="str">
        <f t="shared" ca="1" si="4"/>
        <v/>
      </c>
      <c r="V167" s="9" t="str">
        <f t="shared" ca="1" si="5"/>
        <v/>
      </c>
      <c r="AC167" s="9" t="s">
        <v>12130</v>
      </c>
      <c r="AD167" s="9" t="s">
        <v>19</v>
      </c>
    </row>
    <row r="168" spans="1:33">
      <c r="A168" s="3" t="s">
        <v>294</v>
      </c>
      <c r="D168" s="3" t="s">
        <v>4942</v>
      </c>
      <c r="E168" s="3" t="s">
        <v>4943</v>
      </c>
      <c r="J168" s="9" t="s">
        <v>12120</v>
      </c>
      <c r="Q168" s="10"/>
      <c r="U168" s="9" t="str">
        <f t="shared" ca="1" si="4"/>
        <v/>
      </c>
      <c r="V168" s="9" t="str">
        <f t="shared" ca="1" si="5"/>
        <v/>
      </c>
      <c r="AB168" s="9" t="s">
        <v>12737</v>
      </c>
      <c r="AD168" s="9" t="s">
        <v>19</v>
      </c>
    </row>
    <row r="169" spans="1:33">
      <c r="A169" s="3" t="s">
        <v>297</v>
      </c>
      <c r="D169" s="3" t="s">
        <v>298</v>
      </c>
      <c r="E169" s="3" t="s">
        <v>299</v>
      </c>
      <c r="J169" s="9" t="s">
        <v>12120</v>
      </c>
      <c r="Q169" s="10"/>
      <c r="U169" s="9" t="str">
        <f t="shared" ca="1" si="4"/>
        <v/>
      </c>
      <c r="V169" s="9" t="str">
        <f t="shared" ca="1" si="5"/>
        <v/>
      </c>
      <c r="AE169" s="9" t="s">
        <v>12077</v>
      </c>
    </row>
    <row r="170" spans="1:33">
      <c r="A170" s="3" t="s">
        <v>297</v>
      </c>
      <c r="D170" s="3" t="s">
        <v>300</v>
      </c>
      <c r="E170" s="3" t="s">
        <v>301</v>
      </c>
      <c r="J170" s="9" t="s">
        <v>12118</v>
      </c>
      <c r="Q170" s="10"/>
      <c r="U170" s="9" t="str">
        <f t="shared" ca="1" si="4"/>
        <v/>
      </c>
      <c r="V170" s="9" t="str">
        <f t="shared" ca="1" si="5"/>
        <v/>
      </c>
      <c r="AC170" s="9" t="s">
        <v>12744</v>
      </c>
      <c r="AD170" s="9" t="s">
        <v>19</v>
      </c>
      <c r="AE170" s="9" t="s">
        <v>12086</v>
      </c>
    </row>
    <row r="171" spans="1:33">
      <c r="A171" s="3" t="s">
        <v>297</v>
      </c>
      <c r="D171" s="3" t="s">
        <v>4944</v>
      </c>
      <c r="E171" s="3" t="s">
        <v>4945</v>
      </c>
      <c r="G171" t="s">
        <v>19</v>
      </c>
      <c r="J171" s="9" t="s">
        <v>25</v>
      </c>
      <c r="L171" s="9">
        <v>1</v>
      </c>
      <c r="M171" s="9">
        <v>2</v>
      </c>
      <c r="N171" s="9" t="s">
        <v>12078</v>
      </c>
      <c r="O171" s="9" t="s">
        <v>12119</v>
      </c>
      <c r="Q171" s="10"/>
      <c r="S171" s="9">
        <v>11843</v>
      </c>
      <c r="U171" s="9" t="str">
        <f t="shared" ca="1" si="4"/>
        <v/>
      </c>
      <c r="V171" s="9" t="str">
        <f t="shared" ca="1" si="5"/>
        <v/>
      </c>
    </row>
    <row r="172" spans="1:33">
      <c r="A172" s="3" t="s">
        <v>297</v>
      </c>
      <c r="D172" s="3" t="s">
        <v>4946</v>
      </c>
      <c r="E172" s="3" t="s">
        <v>4947</v>
      </c>
      <c r="G172" t="s">
        <v>19</v>
      </c>
      <c r="J172" s="9" t="s">
        <v>12120</v>
      </c>
      <c r="Q172" s="10"/>
      <c r="U172" s="9" t="str">
        <f t="shared" ca="1" si="4"/>
        <v/>
      </c>
      <c r="V172" s="9" t="str">
        <f t="shared" ca="1" si="5"/>
        <v/>
      </c>
    </row>
    <row r="173" spans="1:33">
      <c r="A173" s="3" t="s">
        <v>303</v>
      </c>
      <c r="D173" s="3" t="s">
        <v>4948</v>
      </c>
      <c r="E173" s="3" t="s">
        <v>12145</v>
      </c>
      <c r="J173" s="9" t="s">
        <v>12120</v>
      </c>
      <c r="Q173" s="10"/>
      <c r="U173" s="9" t="str">
        <f t="shared" ca="1" si="4"/>
        <v/>
      </c>
      <c r="V173" s="9" t="str">
        <f t="shared" ca="1" si="5"/>
        <v/>
      </c>
      <c r="AC173" s="9" t="s">
        <v>12130</v>
      </c>
      <c r="AD173" s="9" t="s">
        <v>19</v>
      </c>
    </row>
    <row r="174" spans="1:33">
      <c r="A174" s="3" t="s">
        <v>303</v>
      </c>
      <c r="D174" s="3" t="s">
        <v>304</v>
      </c>
      <c r="E174" s="3" t="s">
        <v>305</v>
      </c>
      <c r="J174" s="9" t="s">
        <v>12120</v>
      </c>
      <c r="Q174" s="10"/>
      <c r="U174" s="9" t="str">
        <f t="shared" ca="1" si="4"/>
        <v/>
      </c>
      <c r="V174" s="9" t="str">
        <f t="shared" ca="1" si="5"/>
        <v/>
      </c>
      <c r="AC174" s="9" t="s">
        <v>12130</v>
      </c>
      <c r="AD174" s="9" t="s">
        <v>19</v>
      </c>
    </row>
    <row r="175" spans="1:33" ht="29">
      <c r="A175" s="3" t="s">
        <v>306</v>
      </c>
      <c r="D175" s="3" t="s">
        <v>4950</v>
      </c>
      <c r="E175" s="3" t="s">
        <v>4949</v>
      </c>
      <c r="I175" t="s">
        <v>12146</v>
      </c>
      <c r="J175" s="9" t="s">
        <v>25</v>
      </c>
      <c r="L175" s="9">
        <v>4</v>
      </c>
      <c r="M175" s="9">
        <v>8</v>
      </c>
      <c r="O175" s="9" t="s">
        <v>12079</v>
      </c>
      <c r="Q175" s="10"/>
      <c r="S175" s="9">
        <v>16</v>
      </c>
      <c r="U175" s="9" t="str">
        <f t="shared" ca="1" si="4"/>
        <v/>
      </c>
      <c r="V175" s="9" t="str">
        <f t="shared" ca="1" si="5"/>
        <v/>
      </c>
      <c r="AG175" s="9" t="s">
        <v>20</v>
      </c>
    </row>
    <row r="176" spans="1:33" ht="29">
      <c r="A176" s="3" t="s">
        <v>306</v>
      </c>
      <c r="D176" s="3" t="s">
        <v>4951</v>
      </c>
      <c r="E176" s="3" t="s">
        <v>4952</v>
      </c>
      <c r="J176" s="9" t="s">
        <v>12118</v>
      </c>
      <c r="Q176" s="10"/>
      <c r="T176" s="9">
        <f>1-0</f>
        <v>1</v>
      </c>
      <c r="U176" s="9">
        <f t="shared" ca="1" si="4"/>
        <v>0</v>
      </c>
      <c r="V176" s="9">
        <f t="shared" ca="1" si="5"/>
        <v>1</v>
      </c>
      <c r="AC176" s="9" t="s">
        <v>12740</v>
      </c>
      <c r="AD176" s="9" t="s">
        <v>19</v>
      </c>
      <c r="AE176" s="9" t="s">
        <v>12089</v>
      </c>
    </row>
    <row r="177" spans="1:33" ht="29">
      <c r="A177" s="3" t="s">
        <v>306</v>
      </c>
      <c r="D177" s="3" t="s">
        <v>4953</v>
      </c>
      <c r="E177" s="3" t="s">
        <v>4954</v>
      </c>
      <c r="G177" t="s">
        <v>19</v>
      </c>
      <c r="J177" s="9" t="s">
        <v>12118</v>
      </c>
      <c r="Q177" s="10"/>
      <c r="T177" s="9">
        <f xml:space="preserve"> 3-32</f>
        <v>-29</v>
      </c>
      <c r="U177" s="9">
        <f t="shared" ca="1" si="4"/>
        <v>32</v>
      </c>
      <c r="V177" s="9">
        <f t="shared" ca="1" si="5"/>
        <v>3</v>
      </c>
    </row>
    <row r="178" spans="1:33">
      <c r="A178" s="3" t="s">
        <v>308</v>
      </c>
      <c r="D178" s="3" t="s">
        <v>310</v>
      </c>
      <c r="E178" s="5" t="s">
        <v>311</v>
      </c>
      <c r="F178" t="s">
        <v>16</v>
      </c>
      <c r="Q178" s="10"/>
      <c r="U178" s="9" t="str">
        <f t="shared" ca="1" si="4"/>
        <v/>
      </c>
      <c r="V178" s="9" t="str">
        <f t="shared" ca="1" si="5"/>
        <v/>
      </c>
    </row>
    <row r="179" spans="1:33">
      <c r="A179" s="3" t="s">
        <v>312</v>
      </c>
      <c r="D179" s="3" t="s">
        <v>4955</v>
      </c>
      <c r="E179" s="3" t="s">
        <v>314</v>
      </c>
      <c r="F179" t="s">
        <v>11</v>
      </c>
      <c r="I179" t="s">
        <v>13092</v>
      </c>
      <c r="Q179" s="10"/>
      <c r="U179" s="9" t="str">
        <f t="shared" ca="1" si="4"/>
        <v/>
      </c>
      <c r="V179" s="9" t="str">
        <f t="shared" ca="1" si="5"/>
        <v/>
      </c>
    </row>
    <row r="180" spans="1:33">
      <c r="A180" s="3" t="s">
        <v>315</v>
      </c>
      <c r="D180" s="3" t="s">
        <v>4956</v>
      </c>
      <c r="E180" s="3" t="s">
        <v>4957</v>
      </c>
      <c r="J180" s="9" t="s">
        <v>12120</v>
      </c>
      <c r="Q180" s="10"/>
      <c r="U180" s="9" t="str">
        <f t="shared" ca="1" si="4"/>
        <v/>
      </c>
      <c r="V180" s="9" t="str">
        <f t="shared" ca="1" si="5"/>
        <v/>
      </c>
      <c r="AC180" s="9" t="s">
        <v>12130</v>
      </c>
      <c r="AD180" s="9" t="s">
        <v>19</v>
      </c>
    </row>
    <row r="181" spans="1:33">
      <c r="A181" s="3" t="s">
        <v>315</v>
      </c>
      <c r="D181" s="3" t="s">
        <v>310</v>
      </c>
      <c r="E181" s="5" t="s">
        <v>311</v>
      </c>
      <c r="F181" t="s">
        <v>32</v>
      </c>
      <c r="I181" t="s">
        <v>13093</v>
      </c>
      <c r="J181" s="9" t="s">
        <v>12120</v>
      </c>
      <c r="Q181" s="10"/>
      <c r="U181" s="9" t="str">
        <f t="shared" ca="1" si="4"/>
        <v/>
      </c>
      <c r="V181" s="9" t="str">
        <f t="shared" ca="1" si="5"/>
        <v/>
      </c>
      <c r="AC181" s="9" t="s">
        <v>12144</v>
      </c>
      <c r="AD181" s="9" t="s">
        <v>19</v>
      </c>
      <c r="AE181" s="9" t="s">
        <v>12083</v>
      </c>
    </row>
    <row r="182" spans="1:33">
      <c r="A182" s="3" t="s">
        <v>318</v>
      </c>
      <c r="D182" s="3" t="s">
        <v>96</v>
      </c>
      <c r="E182" s="3" t="s">
        <v>97</v>
      </c>
      <c r="J182" s="9" t="s">
        <v>12118</v>
      </c>
      <c r="Q182" s="10"/>
      <c r="T182" s="9">
        <f>84-0</f>
        <v>84</v>
      </c>
      <c r="U182" s="9">
        <f t="shared" ca="1" si="4"/>
        <v>0</v>
      </c>
      <c r="V182" s="9">
        <f t="shared" ca="1" si="5"/>
        <v>84</v>
      </c>
      <c r="AC182" s="9" t="s">
        <v>12130</v>
      </c>
      <c r="AD182" s="9" t="s">
        <v>19</v>
      </c>
    </row>
    <row r="183" spans="1:33" ht="29">
      <c r="A183" s="3" t="s">
        <v>319</v>
      </c>
      <c r="D183" s="3" t="s">
        <v>4958</v>
      </c>
      <c r="E183" s="3" t="s">
        <v>4959</v>
      </c>
      <c r="G183" t="s">
        <v>19</v>
      </c>
      <c r="J183" s="9" t="s">
        <v>12120</v>
      </c>
      <c r="Q183" s="10"/>
      <c r="U183" s="9" t="str">
        <f t="shared" ca="1" si="4"/>
        <v/>
      </c>
      <c r="V183" s="9" t="str">
        <f t="shared" ca="1" si="5"/>
        <v/>
      </c>
    </row>
    <row r="184" spans="1:33">
      <c r="A184" s="3" t="s">
        <v>320</v>
      </c>
      <c r="D184" s="3" t="s">
        <v>4960</v>
      </c>
      <c r="E184" s="3" t="s">
        <v>4961</v>
      </c>
      <c r="J184" s="9" t="s">
        <v>12120</v>
      </c>
      <c r="Q184" s="10"/>
      <c r="U184" s="9" t="str">
        <f t="shared" ca="1" si="4"/>
        <v/>
      </c>
      <c r="V184" s="9" t="str">
        <f t="shared" ca="1" si="5"/>
        <v/>
      </c>
      <c r="AC184" s="9" t="s">
        <v>12144</v>
      </c>
      <c r="AD184" s="9" t="s">
        <v>19</v>
      </c>
    </row>
    <row r="185" spans="1:33">
      <c r="A185" s="3" t="s">
        <v>321</v>
      </c>
      <c r="D185" s="3" t="s">
        <v>322</v>
      </c>
      <c r="E185" s="3" t="s">
        <v>323</v>
      </c>
      <c r="J185" s="9" t="s">
        <v>12118</v>
      </c>
      <c r="Q185" s="10"/>
      <c r="T185" s="9" t="s">
        <v>12131</v>
      </c>
      <c r="U185" s="9" t="str">
        <f t="shared" ca="1" si="4"/>
        <v/>
      </c>
      <c r="V185" s="9" t="str">
        <f t="shared" ca="1" si="5"/>
        <v/>
      </c>
      <c r="AB185" s="9" t="s">
        <v>12124</v>
      </c>
      <c r="AD185" s="9" t="s">
        <v>19</v>
      </c>
    </row>
    <row r="186" spans="1:33">
      <c r="A186" s="3" t="s">
        <v>324</v>
      </c>
      <c r="D186" s="3" t="s">
        <v>4962</v>
      </c>
      <c r="E186" s="3" t="s">
        <v>4963</v>
      </c>
      <c r="F186" t="s">
        <v>17</v>
      </c>
      <c r="Q186" s="10"/>
      <c r="U186" s="9" t="str">
        <f t="shared" ca="1" si="4"/>
        <v/>
      </c>
      <c r="V186" s="9" t="str">
        <f t="shared" ca="1" si="5"/>
        <v/>
      </c>
    </row>
    <row r="187" spans="1:33">
      <c r="A187" s="3" t="s">
        <v>324</v>
      </c>
      <c r="D187" s="3" t="s">
        <v>4964</v>
      </c>
      <c r="E187" s="3" t="s">
        <v>4965</v>
      </c>
      <c r="J187" s="9" t="s">
        <v>12120</v>
      </c>
      <c r="Q187" s="10"/>
      <c r="U187" s="9" t="str">
        <f t="shared" ca="1" si="4"/>
        <v/>
      </c>
      <c r="V187" s="9" t="str">
        <f t="shared" ca="1" si="5"/>
        <v/>
      </c>
      <c r="AE187" s="9" t="s">
        <v>12083</v>
      </c>
    </row>
    <row r="188" spans="1:33">
      <c r="A188" s="3" t="s">
        <v>327</v>
      </c>
      <c r="D188" s="3" t="s">
        <v>4966</v>
      </c>
      <c r="E188" s="3" t="s">
        <v>4967</v>
      </c>
      <c r="J188" s="9" t="s">
        <v>24</v>
      </c>
      <c r="L188" s="9">
        <v>1</v>
      </c>
      <c r="M188" s="9">
        <v>1</v>
      </c>
      <c r="N188" s="9" t="s">
        <v>12078</v>
      </c>
      <c r="O188" s="9" t="s">
        <v>12119</v>
      </c>
      <c r="Q188" s="10"/>
      <c r="S188" s="9">
        <v>11843</v>
      </c>
      <c r="U188" s="9" t="str">
        <f t="shared" ca="1" si="4"/>
        <v/>
      </c>
      <c r="V188" s="9" t="str">
        <f t="shared" ca="1" si="5"/>
        <v/>
      </c>
      <c r="AG188" s="9" t="s">
        <v>19</v>
      </c>
    </row>
    <row r="189" spans="1:33">
      <c r="A189" s="3" t="s">
        <v>327</v>
      </c>
      <c r="D189" s="3" t="s">
        <v>328</v>
      </c>
      <c r="E189" s="3" t="s">
        <v>329</v>
      </c>
      <c r="J189" s="9" t="s">
        <v>12118</v>
      </c>
      <c r="Q189" s="10"/>
      <c r="T189" s="9" t="s">
        <v>12131</v>
      </c>
      <c r="U189" s="9" t="str">
        <f t="shared" ca="1" si="4"/>
        <v/>
      </c>
      <c r="V189" s="9" t="str">
        <f t="shared" ca="1" si="5"/>
        <v/>
      </c>
      <c r="AE189" s="9" t="s">
        <v>12077</v>
      </c>
    </row>
    <row r="190" spans="1:33">
      <c r="A190" s="3" t="s">
        <v>330</v>
      </c>
      <c r="D190" s="3" t="s">
        <v>4969</v>
      </c>
      <c r="E190" s="3" t="s">
        <v>4968</v>
      </c>
      <c r="G190" t="s">
        <v>21</v>
      </c>
      <c r="I190" t="s">
        <v>13094</v>
      </c>
      <c r="J190" s="9" t="s">
        <v>12118</v>
      </c>
      <c r="Q190" s="10"/>
      <c r="T190" s="9">
        <f>11843-1294</f>
        <v>10549</v>
      </c>
      <c r="U190" s="9">
        <f t="shared" ca="1" si="4"/>
        <v>1294</v>
      </c>
      <c r="V190" s="9">
        <f t="shared" ca="1" si="5"/>
        <v>11843</v>
      </c>
    </row>
    <row r="191" spans="1:33">
      <c r="A191" s="3" t="s">
        <v>331</v>
      </c>
      <c r="D191" s="3" t="s">
        <v>12147</v>
      </c>
      <c r="E191" s="3" t="s">
        <v>12148</v>
      </c>
      <c r="J191" s="9" t="s">
        <v>12120</v>
      </c>
      <c r="Q191" s="10"/>
      <c r="U191" s="9" t="str">
        <f t="shared" ca="1" si="4"/>
        <v/>
      </c>
      <c r="V191" s="9" t="str">
        <f t="shared" ca="1" si="5"/>
        <v/>
      </c>
      <c r="AC191" s="9" t="s">
        <v>12134</v>
      </c>
      <c r="AD191" s="9" t="s">
        <v>19</v>
      </c>
      <c r="AE191" s="9" t="s">
        <v>12089</v>
      </c>
    </row>
    <row r="192" spans="1:33">
      <c r="A192" s="3" t="s">
        <v>332</v>
      </c>
      <c r="D192" s="3" t="s">
        <v>4970</v>
      </c>
      <c r="E192" s="3" t="s">
        <v>4971</v>
      </c>
      <c r="H192" t="s">
        <v>19</v>
      </c>
      <c r="J192" s="9" t="s">
        <v>25</v>
      </c>
      <c r="L192" s="9">
        <v>1</v>
      </c>
      <c r="M192" s="9">
        <v>4</v>
      </c>
      <c r="N192" s="9" t="s">
        <v>12078</v>
      </c>
      <c r="O192" s="9" t="s">
        <v>12073</v>
      </c>
      <c r="P192" s="9" t="s">
        <v>12149</v>
      </c>
      <c r="Q192" s="10" t="s">
        <v>12143</v>
      </c>
      <c r="S192" s="9">
        <v>11843</v>
      </c>
      <c r="U192" s="9" t="str">
        <f t="shared" ca="1" si="4"/>
        <v/>
      </c>
      <c r="V192" s="9" t="str">
        <f t="shared" ca="1" si="5"/>
        <v/>
      </c>
      <c r="AG192" s="9" t="s">
        <v>20</v>
      </c>
    </row>
    <row r="193" spans="1:33">
      <c r="A193" s="3" t="s">
        <v>332</v>
      </c>
      <c r="D193" s="3" t="s">
        <v>333</v>
      </c>
      <c r="E193" s="3" t="s">
        <v>334</v>
      </c>
      <c r="J193" s="9" t="s">
        <v>12120</v>
      </c>
      <c r="Q193" s="10"/>
      <c r="U193" s="9" t="str">
        <f t="shared" ref="U193:U256" ca="1" si="6">IF(ISNUMBER(T193),VALUE(MID(_xlfn.FORMULATEXT(T193),SEARCH("-",_xlfn.FORMULATEXT(T193))+1,LEN(_xlfn.FORMULATEXT(T193))-SEARCH("-",_xlfn.FORMULATEXT(T193)))), "")</f>
        <v/>
      </c>
      <c r="V193" s="9" t="str">
        <f t="shared" ref="V193:V256" ca="1" si="7">IF(ISNUMBER(T193), VALUE(MID(_xlfn.FORMULATEXT(T193), 2, SEARCH("-", _xlfn.FORMULATEXT(T193)) - 2)), "")</f>
        <v/>
      </c>
      <c r="AC193" s="9" t="s">
        <v>12744</v>
      </c>
      <c r="AD193" s="9" t="s">
        <v>19</v>
      </c>
    </row>
    <row r="194" spans="1:33" ht="29">
      <c r="A194" s="3" t="s">
        <v>332</v>
      </c>
      <c r="D194" s="3" t="s">
        <v>4972</v>
      </c>
      <c r="E194" s="3" t="s">
        <v>4973</v>
      </c>
      <c r="G194" t="s">
        <v>19</v>
      </c>
      <c r="J194" s="9" t="s">
        <v>12118</v>
      </c>
      <c r="Q194" s="10"/>
      <c r="T194" s="9" t="s">
        <v>12131</v>
      </c>
      <c r="U194" s="9" t="str">
        <f t="shared" ca="1" si="6"/>
        <v/>
      </c>
      <c r="V194" s="9" t="str">
        <f t="shared" ca="1" si="7"/>
        <v/>
      </c>
    </row>
    <row r="195" spans="1:33" ht="29">
      <c r="A195" s="3" t="s">
        <v>332</v>
      </c>
      <c r="D195" s="3" t="s">
        <v>4972</v>
      </c>
      <c r="E195" s="3" t="s">
        <v>4973</v>
      </c>
      <c r="G195" t="s">
        <v>20</v>
      </c>
      <c r="J195" s="9" t="s">
        <v>12118</v>
      </c>
      <c r="Q195" s="10"/>
      <c r="T195" s="9" t="s">
        <v>12131</v>
      </c>
      <c r="U195" s="9" t="str">
        <f t="shared" ca="1" si="6"/>
        <v/>
      </c>
      <c r="V195" s="9" t="str">
        <f t="shared" ca="1" si="7"/>
        <v/>
      </c>
      <c r="AE195" s="9" t="s">
        <v>12086</v>
      </c>
    </row>
    <row r="196" spans="1:33">
      <c r="A196" s="3" t="s">
        <v>335</v>
      </c>
      <c r="D196" s="3" t="s">
        <v>4974</v>
      </c>
      <c r="E196" s="3" t="s">
        <v>4975</v>
      </c>
      <c r="J196" s="9" t="s">
        <v>25</v>
      </c>
      <c r="L196" s="9">
        <v>1</v>
      </c>
      <c r="M196" s="9">
        <v>2</v>
      </c>
      <c r="N196" s="9" t="s">
        <v>12087</v>
      </c>
      <c r="O196" s="9" t="s">
        <v>12119</v>
      </c>
      <c r="Q196" s="10"/>
      <c r="S196" s="9">
        <v>1966</v>
      </c>
      <c r="U196" s="9" t="str">
        <f t="shared" ca="1" si="6"/>
        <v/>
      </c>
      <c r="V196" s="9" t="str">
        <f t="shared" ca="1" si="7"/>
        <v/>
      </c>
      <c r="AG196" s="9" t="s">
        <v>20</v>
      </c>
    </row>
    <row r="197" spans="1:33" ht="29">
      <c r="A197" s="3" t="s">
        <v>336</v>
      </c>
      <c r="D197" s="3" t="s">
        <v>12966</v>
      </c>
      <c r="E197" s="3" t="s">
        <v>12967</v>
      </c>
      <c r="G197" t="s">
        <v>19</v>
      </c>
      <c r="H197" t="s">
        <v>22</v>
      </c>
      <c r="I197" t="s">
        <v>4976</v>
      </c>
      <c r="J197" s="9" t="s">
        <v>25</v>
      </c>
      <c r="L197" s="9">
        <v>1</v>
      </c>
      <c r="M197" s="9">
        <v>3</v>
      </c>
      <c r="N197" s="9" t="s">
        <v>12078</v>
      </c>
      <c r="O197" s="9" t="s">
        <v>12079</v>
      </c>
      <c r="Q197" s="10"/>
      <c r="S197" s="9">
        <v>11843</v>
      </c>
      <c r="U197" s="9" t="str">
        <f t="shared" ca="1" si="6"/>
        <v/>
      </c>
      <c r="V197" s="9" t="str">
        <f t="shared" ca="1" si="7"/>
        <v/>
      </c>
    </row>
    <row r="198" spans="1:33" ht="29">
      <c r="A198" s="3" t="s">
        <v>336</v>
      </c>
      <c r="D198" s="3" t="s">
        <v>12968</v>
      </c>
      <c r="E198" s="3" t="s">
        <v>12969</v>
      </c>
      <c r="G198" t="s">
        <v>19</v>
      </c>
      <c r="I198" t="s">
        <v>4976</v>
      </c>
      <c r="J198" s="9" t="s">
        <v>12120</v>
      </c>
      <c r="Q198" s="10"/>
      <c r="U198" s="9" t="str">
        <f t="shared" ref="U198" ca="1" si="8">IF(ISNUMBER(T198),VALUE(MID(_xlfn.FORMULATEXT(T198),SEARCH("-",_xlfn.FORMULATEXT(T198))+1,LEN(_xlfn.FORMULATEXT(T198))-SEARCH("-",_xlfn.FORMULATEXT(T198)))), "")</f>
        <v/>
      </c>
      <c r="V198" s="9" t="str">
        <f t="shared" ref="V198" ca="1" si="9">IF(ISNUMBER(T198), VALUE(MID(_xlfn.FORMULATEXT(T198), 2, SEARCH("-", _xlfn.FORMULATEXT(T198)) - 2)), "")</f>
        <v/>
      </c>
    </row>
    <row r="199" spans="1:33">
      <c r="A199" s="3" t="s">
        <v>337</v>
      </c>
      <c r="D199" s="3" t="s">
        <v>4977</v>
      </c>
      <c r="E199" s="3" t="s">
        <v>4978</v>
      </c>
      <c r="G199" t="s">
        <v>19</v>
      </c>
      <c r="J199" s="9" t="s">
        <v>12120</v>
      </c>
      <c r="Q199" s="10"/>
      <c r="U199" s="9" t="str">
        <f t="shared" ca="1" si="6"/>
        <v/>
      </c>
      <c r="V199" s="9" t="str">
        <f t="shared" ca="1" si="7"/>
        <v/>
      </c>
    </row>
    <row r="200" spans="1:33">
      <c r="A200" s="3" t="s">
        <v>338</v>
      </c>
      <c r="D200" s="3" t="s">
        <v>4979</v>
      </c>
      <c r="E200" s="3" t="s">
        <v>4980</v>
      </c>
      <c r="J200" s="9" t="s">
        <v>24</v>
      </c>
      <c r="L200" s="9">
        <v>1</v>
      </c>
      <c r="M200" s="9">
        <v>2</v>
      </c>
      <c r="N200" s="9" t="s">
        <v>12087</v>
      </c>
      <c r="O200" s="9" t="s">
        <v>12119</v>
      </c>
      <c r="Q200" s="10"/>
      <c r="S200" s="9">
        <v>1966</v>
      </c>
      <c r="U200" s="9" t="str">
        <f t="shared" ca="1" si="6"/>
        <v/>
      </c>
      <c r="V200" s="9" t="str">
        <f t="shared" ca="1" si="7"/>
        <v/>
      </c>
      <c r="AG200" s="9" t="s">
        <v>19</v>
      </c>
    </row>
    <row r="201" spans="1:33" ht="29">
      <c r="A201" s="3" t="s">
        <v>338</v>
      </c>
      <c r="D201" s="3" t="s">
        <v>4981</v>
      </c>
      <c r="E201" s="3" t="s">
        <v>4982</v>
      </c>
      <c r="G201" t="s">
        <v>19</v>
      </c>
      <c r="J201" s="9" t="s">
        <v>24</v>
      </c>
      <c r="L201" s="9">
        <v>1</v>
      </c>
      <c r="M201" s="9">
        <v>1</v>
      </c>
      <c r="N201" s="9" t="s">
        <v>12078</v>
      </c>
      <c r="O201" s="9" t="s">
        <v>12119</v>
      </c>
      <c r="Q201" s="10"/>
      <c r="S201" s="9">
        <v>11843</v>
      </c>
      <c r="U201" s="9" t="str">
        <f t="shared" ca="1" si="6"/>
        <v/>
      </c>
      <c r="V201" s="9" t="str">
        <f t="shared" ca="1" si="7"/>
        <v/>
      </c>
    </row>
    <row r="202" spans="1:33" ht="29">
      <c r="A202" s="3" t="s">
        <v>338</v>
      </c>
      <c r="D202" s="3" t="s">
        <v>4983</v>
      </c>
      <c r="E202" s="3" t="s">
        <v>4984</v>
      </c>
      <c r="J202" s="9" t="s">
        <v>12118</v>
      </c>
      <c r="Q202" s="10"/>
      <c r="T202" s="9" t="s">
        <v>12131</v>
      </c>
      <c r="U202" s="9" t="str">
        <f t="shared" ca="1" si="6"/>
        <v/>
      </c>
      <c r="V202" s="9" t="str">
        <f t="shared" ca="1" si="7"/>
        <v/>
      </c>
      <c r="AB202" s="9" t="s">
        <v>12124</v>
      </c>
      <c r="AC202" s="9" t="s">
        <v>12180</v>
      </c>
      <c r="AD202" s="9" t="s">
        <v>19</v>
      </c>
    </row>
    <row r="203" spans="1:33">
      <c r="A203" s="3" t="s">
        <v>340</v>
      </c>
      <c r="D203" s="3" t="s">
        <v>341</v>
      </c>
      <c r="E203" s="3" t="s">
        <v>342</v>
      </c>
      <c r="J203" s="9" t="s">
        <v>12118</v>
      </c>
      <c r="Q203" s="10"/>
      <c r="T203" s="9" t="s">
        <v>12131</v>
      </c>
      <c r="U203" s="9" t="str">
        <f t="shared" ca="1" si="6"/>
        <v/>
      </c>
      <c r="V203" s="9" t="str">
        <f t="shared" ca="1" si="7"/>
        <v/>
      </c>
      <c r="AB203" s="9" t="s">
        <v>12124</v>
      </c>
      <c r="AC203" s="9" t="s">
        <v>12742</v>
      </c>
      <c r="AD203" s="9" t="s">
        <v>19</v>
      </c>
    </row>
    <row r="204" spans="1:33">
      <c r="A204" s="3" t="s">
        <v>343</v>
      </c>
      <c r="D204" s="3" t="s">
        <v>344</v>
      </c>
      <c r="E204" s="3" t="s">
        <v>345</v>
      </c>
      <c r="J204" s="9" t="s">
        <v>12118</v>
      </c>
      <c r="Q204" s="10"/>
      <c r="T204" s="9" t="s">
        <v>12131</v>
      </c>
      <c r="U204" s="9" t="str">
        <f t="shared" ca="1" si="6"/>
        <v/>
      </c>
      <c r="V204" s="9" t="str">
        <f t="shared" ca="1" si="7"/>
        <v/>
      </c>
      <c r="AB204" s="9" t="s">
        <v>12124</v>
      </c>
      <c r="AC204" s="9" t="s">
        <v>12742</v>
      </c>
      <c r="AD204" s="9" t="s">
        <v>19</v>
      </c>
    </row>
    <row r="205" spans="1:33">
      <c r="A205" s="3" t="s">
        <v>346</v>
      </c>
      <c r="D205" s="3" t="s">
        <v>4985</v>
      </c>
      <c r="E205" s="3" t="s">
        <v>4987</v>
      </c>
      <c r="G205" t="s">
        <v>21</v>
      </c>
      <c r="I205" t="s">
        <v>4986</v>
      </c>
      <c r="J205" s="9" t="s">
        <v>12118</v>
      </c>
      <c r="Q205" s="10"/>
      <c r="T205" s="9" t="s">
        <v>12131</v>
      </c>
      <c r="U205" s="9" t="str">
        <f t="shared" ca="1" si="6"/>
        <v/>
      </c>
      <c r="V205" s="9" t="str">
        <f t="shared" ca="1" si="7"/>
        <v/>
      </c>
      <c r="AE205" s="9" t="s">
        <v>12086</v>
      </c>
    </row>
    <row r="206" spans="1:33">
      <c r="A206" s="3" t="s">
        <v>347</v>
      </c>
      <c r="D206" s="3" t="s">
        <v>4988</v>
      </c>
      <c r="E206" s="3" t="s">
        <v>4989</v>
      </c>
      <c r="G206" t="s">
        <v>19</v>
      </c>
      <c r="J206" s="9" t="s">
        <v>12118</v>
      </c>
      <c r="Q206" s="10"/>
      <c r="T206" s="9" t="s">
        <v>12131</v>
      </c>
      <c r="U206" s="9" t="str">
        <f t="shared" ca="1" si="6"/>
        <v/>
      </c>
      <c r="V206" s="9" t="str">
        <f t="shared" ca="1" si="7"/>
        <v/>
      </c>
      <c r="AB206" s="9" t="s">
        <v>12124</v>
      </c>
      <c r="AC206" s="9" t="s">
        <v>12130</v>
      </c>
      <c r="AD206" s="9" t="s">
        <v>19</v>
      </c>
    </row>
    <row r="207" spans="1:33">
      <c r="A207" s="3" t="s">
        <v>350</v>
      </c>
      <c r="D207" s="3" t="s">
        <v>351</v>
      </c>
      <c r="E207" s="3" t="s">
        <v>352</v>
      </c>
      <c r="J207" s="9" t="s">
        <v>12120</v>
      </c>
      <c r="Q207" s="10"/>
      <c r="U207" s="9" t="str">
        <f t="shared" ca="1" si="6"/>
        <v/>
      </c>
      <c r="V207" s="9" t="str">
        <f t="shared" ca="1" si="7"/>
        <v/>
      </c>
      <c r="AG207" s="9" t="s">
        <v>19</v>
      </c>
    </row>
    <row r="208" spans="1:33" ht="29">
      <c r="A208" s="3" t="s">
        <v>350</v>
      </c>
      <c r="D208" s="3" t="s">
        <v>4991</v>
      </c>
      <c r="E208" s="3" t="s">
        <v>4992</v>
      </c>
      <c r="J208" s="9" t="s">
        <v>12120</v>
      </c>
      <c r="Q208" s="10"/>
      <c r="U208" s="9" t="str">
        <f t="shared" ca="1" si="6"/>
        <v/>
      </c>
      <c r="V208" s="9" t="str">
        <f t="shared" ca="1" si="7"/>
        <v/>
      </c>
      <c r="AG208" s="9" t="s">
        <v>19</v>
      </c>
    </row>
    <row r="209" spans="1:33" ht="29">
      <c r="A209" s="3" t="s">
        <v>350</v>
      </c>
      <c r="D209" s="3" t="s">
        <v>4993</v>
      </c>
      <c r="E209" s="3" t="s">
        <v>4990</v>
      </c>
      <c r="J209" s="9" t="s">
        <v>25</v>
      </c>
      <c r="L209" s="9">
        <v>1</v>
      </c>
      <c r="M209" s="9">
        <v>3</v>
      </c>
      <c r="N209" s="9" t="s">
        <v>12087</v>
      </c>
      <c r="O209" s="9" t="s">
        <v>12073</v>
      </c>
      <c r="P209" s="9" t="s">
        <v>12142</v>
      </c>
      <c r="Q209" s="10" t="s">
        <v>12143</v>
      </c>
      <c r="S209" s="9">
        <v>5676</v>
      </c>
      <c r="U209" s="9" t="str">
        <f t="shared" ca="1" si="6"/>
        <v/>
      </c>
      <c r="V209" s="9" t="str">
        <f t="shared" ca="1" si="7"/>
        <v/>
      </c>
      <c r="AG209" s="9" t="s">
        <v>20</v>
      </c>
    </row>
    <row r="210" spans="1:33" ht="29">
      <c r="A210" s="3" t="s">
        <v>353</v>
      </c>
      <c r="D210" s="3" t="s">
        <v>4994</v>
      </c>
      <c r="E210" s="3" t="s">
        <v>4995</v>
      </c>
      <c r="J210" s="9" t="s">
        <v>12118</v>
      </c>
      <c r="Q210" s="10"/>
      <c r="T210" s="9">
        <f>28-20</f>
        <v>8</v>
      </c>
      <c r="U210" s="9">
        <f t="shared" ca="1" si="6"/>
        <v>20</v>
      </c>
      <c r="V210" s="9">
        <f t="shared" ca="1" si="7"/>
        <v>28</v>
      </c>
      <c r="AG210" s="9" t="s">
        <v>19</v>
      </c>
    </row>
    <row r="211" spans="1:33" ht="29">
      <c r="A211" s="3" t="s">
        <v>353</v>
      </c>
      <c r="D211" s="3" t="s">
        <v>4996</v>
      </c>
      <c r="E211" s="3" t="s">
        <v>4997</v>
      </c>
      <c r="J211" s="9" t="s">
        <v>12118</v>
      </c>
      <c r="Q211" s="10"/>
      <c r="T211" s="9">
        <f>28-20</f>
        <v>8</v>
      </c>
      <c r="U211" s="9">
        <f t="shared" ca="1" si="6"/>
        <v>20</v>
      </c>
      <c r="V211" s="9">
        <f t="shared" ca="1" si="7"/>
        <v>28</v>
      </c>
      <c r="AG211" s="9" t="s">
        <v>19</v>
      </c>
    </row>
    <row r="212" spans="1:33">
      <c r="A212" s="3" t="s">
        <v>356</v>
      </c>
      <c r="D212" s="3" t="s">
        <v>357</v>
      </c>
      <c r="E212" s="3" t="s">
        <v>358</v>
      </c>
      <c r="G212" t="s">
        <v>21</v>
      </c>
      <c r="I212" t="s">
        <v>4998</v>
      </c>
      <c r="J212" s="9" t="s">
        <v>12118</v>
      </c>
      <c r="Q212" s="10"/>
      <c r="T212" s="9" t="s">
        <v>12119</v>
      </c>
      <c r="U212" s="9" t="str">
        <f t="shared" ca="1" si="6"/>
        <v/>
      </c>
      <c r="V212" s="9" t="str">
        <f t="shared" ca="1" si="7"/>
        <v/>
      </c>
      <c r="AC212" s="9" t="s">
        <v>12746</v>
      </c>
      <c r="AD212" s="9" t="s">
        <v>19</v>
      </c>
      <c r="AE212" s="9" t="s">
        <v>12086</v>
      </c>
    </row>
    <row r="213" spans="1:33">
      <c r="A213" s="3" t="s">
        <v>359</v>
      </c>
      <c r="D213" s="3" t="s">
        <v>96</v>
      </c>
      <c r="E213" s="3" t="s">
        <v>97</v>
      </c>
      <c r="H213" t="s">
        <v>19</v>
      </c>
      <c r="J213" s="9" t="s">
        <v>12118</v>
      </c>
      <c r="Q213" s="10"/>
      <c r="T213" s="9">
        <f>84-0</f>
        <v>84</v>
      </c>
      <c r="U213" s="9">
        <f t="shared" ca="1" si="6"/>
        <v>0</v>
      </c>
      <c r="V213" s="9">
        <f t="shared" ca="1" si="7"/>
        <v>84</v>
      </c>
      <c r="AC213" s="9" t="s">
        <v>12130</v>
      </c>
      <c r="AD213" s="9" t="s">
        <v>19</v>
      </c>
    </row>
    <row r="214" spans="1:33">
      <c r="A214" s="3" t="s">
        <v>360</v>
      </c>
      <c r="D214" s="3" t="s">
        <v>4999</v>
      </c>
      <c r="E214" s="3" t="s">
        <v>5000</v>
      </c>
      <c r="G214" t="s">
        <v>19</v>
      </c>
      <c r="J214" s="9" t="s">
        <v>24</v>
      </c>
      <c r="L214" s="9">
        <v>1</v>
      </c>
      <c r="M214" s="9">
        <v>1</v>
      </c>
      <c r="N214" s="9" t="s">
        <v>12078</v>
      </c>
      <c r="O214" s="9" t="s">
        <v>12119</v>
      </c>
      <c r="Q214" s="10"/>
      <c r="S214" s="9">
        <v>11843</v>
      </c>
      <c r="U214" s="9" t="str">
        <f t="shared" ca="1" si="6"/>
        <v/>
      </c>
      <c r="V214" s="9" t="str">
        <f t="shared" ca="1" si="7"/>
        <v/>
      </c>
    </row>
    <row r="215" spans="1:33">
      <c r="A215" s="3" t="s">
        <v>361</v>
      </c>
      <c r="D215" s="3" t="s">
        <v>362</v>
      </c>
      <c r="E215" s="3" t="s">
        <v>363</v>
      </c>
      <c r="J215" s="9" t="s">
        <v>12120</v>
      </c>
      <c r="Q215" s="10"/>
      <c r="U215" s="9" t="str">
        <f t="shared" ca="1" si="6"/>
        <v/>
      </c>
      <c r="V215" s="9" t="str">
        <f t="shared" ca="1" si="7"/>
        <v/>
      </c>
      <c r="AC215" s="9" t="s">
        <v>12130</v>
      </c>
      <c r="AD215" s="9" t="s">
        <v>19</v>
      </c>
      <c r="AE215" s="9" t="s">
        <v>12086</v>
      </c>
    </row>
    <row r="216" spans="1:33">
      <c r="A216" s="3" t="s">
        <v>364</v>
      </c>
      <c r="D216" s="6" t="s">
        <v>5001</v>
      </c>
      <c r="E216" s="3" t="s">
        <v>5002</v>
      </c>
      <c r="G216" t="s">
        <v>20</v>
      </c>
      <c r="J216" s="9" t="s">
        <v>25</v>
      </c>
      <c r="L216" s="9">
        <v>1</v>
      </c>
      <c r="M216" s="9">
        <v>1</v>
      </c>
      <c r="N216" s="9" t="s">
        <v>12078</v>
      </c>
      <c r="O216" s="9" t="s">
        <v>12119</v>
      </c>
      <c r="Q216" s="10"/>
      <c r="S216" s="9">
        <v>11843</v>
      </c>
      <c r="U216" s="9" t="str">
        <f t="shared" ca="1" si="6"/>
        <v/>
      </c>
      <c r="V216" s="9" t="str">
        <f t="shared" ca="1" si="7"/>
        <v/>
      </c>
      <c r="AE216" s="9" t="s">
        <v>12089</v>
      </c>
    </row>
    <row r="217" spans="1:33">
      <c r="A217" s="3" t="s">
        <v>365</v>
      </c>
      <c r="D217" s="3" t="s">
        <v>5003</v>
      </c>
      <c r="E217" s="3" t="s">
        <v>5004</v>
      </c>
      <c r="J217" s="9" t="s">
        <v>25</v>
      </c>
      <c r="L217" s="9">
        <v>1</v>
      </c>
      <c r="M217" s="9">
        <v>2</v>
      </c>
      <c r="N217" s="9" t="s">
        <v>12078</v>
      </c>
      <c r="O217" s="9" t="s">
        <v>12119</v>
      </c>
      <c r="Q217" s="10"/>
      <c r="S217" s="9">
        <v>11843</v>
      </c>
      <c r="U217" s="9" t="str">
        <f t="shared" ca="1" si="6"/>
        <v/>
      </c>
      <c r="V217" s="9" t="str">
        <f t="shared" ca="1" si="7"/>
        <v/>
      </c>
      <c r="AG217" s="9" t="s">
        <v>20</v>
      </c>
    </row>
    <row r="218" spans="1:33">
      <c r="A218" s="3" t="s">
        <v>366</v>
      </c>
      <c r="D218" s="3" t="s">
        <v>5006</v>
      </c>
      <c r="E218" s="3" t="s">
        <v>5005</v>
      </c>
      <c r="J218" s="9" t="s">
        <v>24</v>
      </c>
      <c r="L218" s="9">
        <v>1</v>
      </c>
      <c r="M218" s="9">
        <v>2</v>
      </c>
      <c r="N218" s="9" t="s">
        <v>12087</v>
      </c>
      <c r="O218" s="9" t="s">
        <v>12119</v>
      </c>
      <c r="Q218" s="10"/>
      <c r="S218" s="9">
        <v>1966</v>
      </c>
      <c r="U218" s="9" t="str">
        <f t="shared" ca="1" si="6"/>
        <v/>
      </c>
      <c r="V218" s="9" t="str">
        <f t="shared" ca="1" si="7"/>
        <v/>
      </c>
      <c r="AG218" s="9" t="s">
        <v>19</v>
      </c>
    </row>
    <row r="219" spans="1:33">
      <c r="A219" s="3" t="s">
        <v>368</v>
      </c>
      <c r="D219" s="3" t="s">
        <v>369</v>
      </c>
      <c r="E219" s="3" t="s">
        <v>370</v>
      </c>
      <c r="J219" s="9" t="s">
        <v>12118</v>
      </c>
      <c r="Q219" s="10"/>
      <c r="T219" s="9" t="s">
        <v>12131</v>
      </c>
      <c r="U219" s="9" t="str">
        <f t="shared" ca="1" si="6"/>
        <v/>
      </c>
      <c r="V219" s="9" t="str">
        <f t="shared" ca="1" si="7"/>
        <v/>
      </c>
      <c r="AC219" s="9" t="s">
        <v>12130</v>
      </c>
      <c r="AD219" s="9" t="s">
        <v>19</v>
      </c>
      <c r="AE219" s="9" t="s">
        <v>12086</v>
      </c>
    </row>
    <row r="220" spans="1:33">
      <c r="A220" s="3" t="s">
        <v>371</v>
      </c>
      <c r="D220" s="3" t="s">
        <v>12150</v>
      </c>
      <c r="E220" s="3" t="s">
        <v>12151</v>
      </c>
      <c r="J220" s="9" t="s">
        <v>12120</v>
      </c>
      <c r="Q220" s="10"/>
      <c r="U220" s="9" t="str">
        <f t="shared" ca="1" si="6"/>
        <v/>
      </c>
      <c r="V220" s="9" t="str">
        <f t="shared" ca="1" si="7"/>
        <v/>
      </c>
      <c r="AC220" s="9" t="s">
        <v>12152</v>
      </c>
      <c r="AD220" s="9" t="s">
        <v>19</v>
      </c>
    </row>
    <row r="221" spans="1:33">
      <c r="A221" s="3" t="s">
        <v>371</v>
      </c>
      <c r="D221" s="3" t="s">
        <v>372</v>
      </c>
      <c r="E221" s="3" t="s">
        <v>373</v>
      </c>
      <c r="J221" s="9" t="s">
        <v>12120</v>
      </c>
      <c r="Q221" s="10"/>
      <c r="U221" s="9" t="str">
        <f t="shared" ca="1" si="6"/>
        <v/>
      </c>
      <c r="V221" s="9" t="str">
        <f t="shared" ca="1" si="7"/>
        <v/>
      </c>
      <c r="AC221" s="9" t="s">
        <v>12153</v>
      </c>
      <c r="AD221" s="9" t="s">
        <v>19</v>
      </c>
    </row>
    <row r="222" spans="1:33">
      <c r="A222" s="3" t="s">
        <v>374</v>
      </c>
      <c r="D222" s="3" t="s">
        <v>375</v>
      </c>
      <c r="E222" s="3" t="s">
        <v>376</v>
      </c>
      <c r="J222" s="9" t="s">
        <v>12120</v>
      </c>
      <c r="Q222" s="10"/>
      <c r="U222" s="9" t="str">
        <f t="shared" ca="1" si="6"/>
        <v/>
      </c>
      <c r="V222" s="9" t="str">
        <f t="shared" ca="1" si="7"/>
        <v/>
      </c>
      <c r="AC222" s="9" t="s">
        <v>12130</v>
      </c>
      <c r="AD222" s="9" t="s">
        <v>19</v>
      </c>
    </row>
    <row r="223" spans="1:33">
      <c r="A223" s="3" t="s">
        <v>377</v>
      </c>
      <c r="D223" s="3" t="s">
        <v>5007</v>
      </c>
      <c r="E223" s="3" t="s">
        <v>5008</v>
      </c>
      <c r="J223" s="9" t="s">
        <v>24</v>
      </c>
      <c r="L223" s="9">
        <v>1</v>
      </c>
      <c r="M223" s="9">
        <v>2</v>
      </c>
      <c r="N223" s="9" t="s">
        <v>12087</v>
      </c>
      <c r="O223" s="9" t="s">
        <v>12119</v>
      </c>
      <c r="Q223" s="10"/>
      <c r="S223" s="9">
        <v>1966</v>
      </c>
      <c r="U223" s="9" t="str">
        <f t="shared" ca="1" si="6"/>
        <v/>
      </c>
      <c r="V223" s="9" t="str">
        <f t="shared" ca="1" si="7"/>
        <v/>
      </c>
      <c r="AG223" s="9" t="s">
        <v>20</v>
      </c>
    </row>
    <row r="224" spans="1:33">
      <c r="A224" s="3" t="s">
        <v>378</v>
      </c>
      <c r="D224" s="3" t="s">
        <v>379</v>
      </c>
      <c r="E224" s="3" t="s">
        <v>380</v>
      </c>
      <c r="J224" s="9" t="s">
        <v>12120</v>
      </c>
      <c r="Q224" s="10"/>
      <c r="U224" s="9" t="str">
        <f t="shared" ca="1" si="6"/>
        <v/>
      </c>
      <c r="V224" s="9" t="str">
        <f t="shared" ca="1" si="7"/>
        <v/>
      </c>
      <c r="AC224" s="9" t="s">
        <v>12740</v>
      </c>
      <c r="AD224" s="9" t="s">
        <v>19</v>
      </c>
      <c r="AE224" s="9" t="s">
        <v>12077</v>
      </c>
    </row>
    <row r="225" spans="1:33" ht="29">
      <c r="A225" s="3" t="s">
        <v>378</v>
      </c>
      <c r="D225" s="3" t="s">
        <v>5009</v>
      </c>
      <c r="E225" s="3" t="s">
        <v>5010</v>
      </c>
      <c r="G225" t="s">
        <v>19</v>
      </c>
      <c r="J225" s="9" t="s">
        <v>12118</v>
      </c>
      <c r="Q225" s="10"/>
      <c r="T225" s="9">
        <f>54-0</f>
        <v>54</v>
      </c>
      <c r="U225" s="9">
        <f t="shared" ca="1" si="6"/>
        <v>0</v>
      </c>
      <c r="V225" s="9">
        <f t="shared" ca="1" si="7"/>
        <v>54</v>
      </c>
    </row>
    <row r="226" spans="1:33">
      <c r="A226" s="3" t="s">
        <v>381</v>
      </c>
      <c r="D226" s="3" t="s">
        <v>5011</v>
      </c>
      <c r="E226" s="3" t="s">
        <v>5012</v>
      </c>
      <c r="J226" s="9" t="s">
        <v>25</v>
      </c>
      <c r="L226" s="9">
        <v>1</v>
      </c>
      <c r="M226" s="9">
        <v>3</v>
      </c>
      <c r="N226" s="9" t="s">
        <v>12078</v>
      </c>
      <c r="O226" s="9" t="s">
        <v>12073</v>
      </c>
      <c r="P226" s="9" t="s">
        <v>12142</v>
      </c>
      <c r="Q226" s="10" t="s">
        <v>12143</v>
      </c>
      <c r="S226" s="9">
        <v>11843</v>
      </c>
      <c r="U226" s="9" t="str">
        <f t="shared" ca="1" si="6"/>
        <v/>
      </c>
      <c r="V226" s="9" t="str">
        <f t="shared" ca="1" si="7"/>
        <v/>
      </c>
      <c r="AG226" s="9" t="s">
        <v>19</v>
      </c>
    </row>
    <row r="227" spans="1:33">
      <c r="A227" s="3" t="s">
        <v>382</v>
      </c>
      <c r="D227" s="3" t="s">
        <v>383</v>
      </c>
      <c r="E227" s="3" t="s">
        <v>384</v>
      </c>
      <c r="J227" s="9" t="s">
        <v>12120</v>
      </c>
      <c r="Q227" s="10"/>
      <c r="U227" s="9" t="str">
        <f t="shared" ca="1" si="6"/>
        <v/>
      </c>
      <c r="V227" s="9" t="str">
        <f t="shared" ca="1" si="7"/>
        <v/>
      </c>
      <c r="AC227" s="9" t="s">
        <v>12130</v>
      </c>
      <c r="AD227" s="9" t="s">
        <v>19</v>
      </c>
    </row>
    <row r="228" spans="1:33" ht="29">
      <c r="A228" s="3" t="s">
        <v>385</v>
      </c>
      <c r="D228" s="3" t="s">
        <v>5013</v>
      </c>
      <c r="E228" s="3" t="s">
        <v>5015</v>
      </c>
      <c r="J228" s="9" t="s">
        <v>12120</v>
      </c>
      <c r="Q228" s="10"/>
      <c r="U228" s="9" t="str">
        <f t="shared" ca="1" si="6"/>
        <v/>
      </c>
      <c r="V228" s="9" t="str">
        <f t="shared" ca="1" si="7"/>
        <v/>
      </c>
      <c r="AB228" s="9" t="s">
        <v>12738</v>
      </c>
      <c r="AD228" s="9" t="s">
        <v>19</v>
      </c>
    </row>
    <row r="229" spans="1:33">
      <c r="A229" s="3" t="s">
        <v>385</v>
      </c>
      <c r="D229" s="3" t="s">
        <v>5014</v>
      </c>
      <c r="E229" s="3" t="s">
        <v>5016</v>
      </c>
      <c r="J229" s="9" t="s">
        <v>12120</v>
      </c>
      <c r="Q229" s="10"/>
      <c r="U229" s="9" t="str">
        <f t="shared" ca="1" si="6"/>
        <v/>
      </c>
      <c r="V229" s="9" t="str">
        <f t="shared" ca="1" si="7"/>
        <v/>
      </c>
      <c r="AB229" s="9" t="s">
        <v>12738</v>
      </c>
      <c r="AD229" s="9" t="s">
        <v>19</v>
      </c>
    </row>
    <row r="230" spans="1:33">
      <c r="A230" s="3" t="s">
        <v>386</v>
      </c>
      <c r="D230" s="3" t="s">
        <v>5017</v>
      </c>
      <c r="E230" s="3" t="s">
        <v>5018</v>
      </c>
      <c r="H230" t="s">
        <v>19</v>
      </c>
      <c r="J230" s="9" t="s">
        <v>25</v>
      </c>
      <c r="L230" s="9">
        <v>1</v>
      </c>
      <c r="M230" s="9">
        <v>2</v>
      </c>
      <c r="N230" s="9" t="s">
        <v>12123</v>
      </c>
      <c r="O230" s="9" t="s">
        <v>12119</v>
      </c>
      <c r="Q230" s="10"/>
      <c r="S230" s="9">
        <v>134</v>
      </c>
      <c r="U230" s="9" t="str">
        <f t="shared" ca="1" si="6"/>
        <v/>
      </c>
      <c r="V230" s="9" t="str">
        <f t="shared" ca="1" si="7"/>
        <v/>
      </c>
      <c r="AG230" s="9" t="s">
        <v>19</v>
      </c>
    </row>
    <row r="231" spans="1:33" ht="29">
      <c r="A231" s="3" t="s">
        <v>386</v>
      </c>
      <c r="D231" s="3" t="s">
        <v>5013</v>
      </c>
      <c r="E231" s="3" t="s">
        <v>5015</v>
      </c>
      <c r="J231" s="9" t="s">
        <v>12120</v>
      </c>
      <c r="Q231" s="10"/>
      <c r="U231" s="9" t="str">
        <f t="shared" ca="1" si="6"/>
        <v/>
      </c>
      <c r="V231" s="9" t="str">
        <f t="shared" ca="1" si="7"/>
        <v/>
      </c>
      <c r="AB231" s="9" t="s">
        <v>12738</v>
      </c>
      <c r="AD231" s="9" t="s">
        <v>19</v>
      </c>
    </row>
    <row r="232" spans="1:33">
      <c r="A232" s="3" t="s">
        <v>386</v>
      </c>
      <c r="D232" s="3" t="s">
        <v>5014</v>
      </c>
      <c r="E232" s="3" t="s">
        <v>5016</v>
      </c>
      <c r="J232" s="9" t="s">
        <v>12120</v>
      </c>
      <c r="Q232" s="10"/>
      <c r="U232" s="9" t="str">
        <f t="shared" ca="1" si="6"/>
        <v/>
      </c>
      <c r="V232" s="9" t="str">
        <f t="shared" ca="1" si="7"/>
        <v/>
      </c>
      <c r="AB232" s="9" t="s">
        <v>12738</v>
      </c>
      <c r="AD232" s="9" t="s">
        <v>19</v>
      </c>
    </row>
    <row r="233" spans="1:33">
      <c r="A233" s="3" t="s">
        <v>387</v>
      </c>
      <c r="D233" s="3" t="s">
        <v>5019</v>
      </c>
      <c r="E233" s="3" t="s">
        <v>5020</v>
      </c>
      <c r="G233" t="s">
        <v>19</v>
      </c>
      <c r="I233" t="s">
        <v>12638</v>
      </c>
      <c r="J233" s="9" t="s">
        <v>12118</v>
      </c>
      <c r="Q233" s="10"/>
      <c r="R233" s="9" t="s">
        <v>12074</v>
      </c>
      <c r="T233" s="9">
        <f>32-0</f>
        <v>32</v>
      </c>
      <c r="U233" s="9">
        <f t="shared" ca="1" si="6"/>
        <v>0</v>
      </c>
      <c r="V233" s="9">
        <f t="shared" ca="1" si="7"/>
        <v>32</v>
      </c>
      <c r="W233" s="9" t="s">
        <v>4</v>
      </c>
    </row>
    <row r="234" spans="1:33">
      <c r="A234" s="3" t="s">
        <v>388</v>
      </c>
      <c r="D234" s="3" t="s">
        <v>389</v>
      </c>
      <c r="E234" s="3" t="s">
        <v>5021</v>
      </c>
      <c r="G234" t="s">
        <v>19</v>
      </c>
      <c r="J234" s="9" t="s">
        <v>12118</v>
      </c>
      <c r="Q234" s="10"/>
      <c r="T234" s="9">
        <f>1-0</f>
        <v>1</v>
      </c>
      <c r="U234" s="9">
        <f t="shared" ca="1" si="6"/>
        <v>0</v>
      </c>
      <c r="V234" s="9">
        <f t="shared" ca="1" si="7"/>
        <v>1</v>
      </c>
      <c r="AC234" s="9" t="s">
        <v>12742</v>
      </c>
      <c r="AD234" s="9" t="s">
        <v>19</v>
      </c>
    </row>
    <row r="235" spans="1:33">
      <c r="A235" s="3" t="s">
        <v>388</v>
      </c>
      <c r="D235" s="3" t="s">
        <v>5022</v>
      </c>
      <c r="E235" s="3" t="s">
        <v>5023</v>
      </c>
      <c r="I235" t="s">
        <v>12639</v>
      </c>
      <c r="J235" s="9" t="s">
        <v>24</v>
      </c>
      <c r="L235" s="9">
        <v>1</v>
      </c>
      <c r="M235" s="9">
        <v>3</v>
      </c>
      <c r="N235" s="9" t="s">
        <v>12078</v>
      </c>
      <c r="O235" s="9" t="s">
        <v>12079</v>
      </c>
      <c r="Q235" s="10"/>
      <c r="S235" s="9">
        <v>11843</v>
      </c>
      <c r="U235" s="9" t="str">
        <f t="shared" ca="1" si="6"/>
        <v/>
      </c>
      <c r="V235" s="9" t="str">
        <f t="shared" ca="1" si="7"/>
        <v/>
      </c>
      <c r="W235" s="9" t="s">
        <v>4</v>
      </c>
      <c r="AG235" s="9" t="s">
        <v>19</v>
      </c>
    </row>
    <row r="236" spans="1:33">
      <c r="A236" s="3" t="s">
        <v>388</v>
      </c>
      <c r="D236" s="3" t="s">
        <v>390</v>
      </c>
      <c r="E236" s="5" t="s">
        <v>391</v>
      </c>
      <c r="F236" t="s">
        <v>16</v>
      </c>
      <c r="Q236" s="10"/>
      <c r="U236" s="9" t="str">
        <f t="shared" ca="1" si="6"/>
        <v/>
      </c>
      <c r="V236" s="9" t="str">
        <f t="shared" ca="1" si="7"/>
        <v/>
      </c>
    </row>
    <row r="237" spans="1:33" ht="58">
      <c r="A237" s="3" t="s">
        <v>388</v>
      </c>
      <c r="D237" s="3" t="s">
        <v>5024</v>
      </c>
      <c r="E237" s="3" t="s">
        <v>5025</v>
      </c>
      <c r="I237" t="s">
        <v>12157</v>
      </c>
      <c r="J237" s="9" t="s">
        <v>25</v>
      </c>
      <c r="L237" s="9">
        <v>6</v>
      </c>
      <c r="M237" s="9">
        <v>29</v>
      </c>
      <c r="O237" s="9" t="s">
        <v>12073</v>
      </c>
      <c r="P237" s="9" t="s">
        <v>12154</v>
      </c>
      <c r="Q237" s="10" t="s">
        <v>12155</v>
      </c>
      <c r="S237" s="9">
        <v>4</v>
      </c>
      <c r="U237" s="9" t="str">
        <f t="shared" ca="1" si="6"/>
        <v/>
      </c>
      <c r="V237" s="9" t="str">
        <f t="shared" ca="1" si="7"/>
        <v/>
      </c>
      <c r="AG237" s="9" t="s">
        <v>20</v>
      </c>
    </row>
    <row r="238" spans="1:33">
      <c r="A238" s="3" t="s">
        <v>393</v>
      </c>
      <c r="D238" s="3" t="s">
        <v>394</v>
      </c>
      <c r="E238" s="3" t="s">
        <v>395</v>
      </c>
      <c r="J238" s="9" t="s">
        <v>12118</v>
      </c>
      <c r="Q238" s="10"/>
      <c r="T238" s="9" t="s">
        <v>12131</v>
      </c>
      <c r="U238" s="9" t="str">
        <f t="shared" ca="1" si="6"/>
        <v/>
      </c>
      <c r="V238" s="9" t="str">
        <f t="shared" ca="1" si="7"/>
        <v/>
      </c>
      <c r="AC238" s="9" t="s">
        <v>12130</v>
      </c>
      <c r="AD238" s="9" t="s">
        <v>19</v>
      </c>
      <c r="AE238" s="9" t="s">
        <v>12086</v>
      </c>
    </row>
    <row r="239" spans="1:33" ht="29">
      <c r="A239" s="3" t="s">
        <v>393</v>
      </c>
      <c r="D239" s="3" t="s">
        <v>5027</v>
      </c>
      <c r="E239" s="3" t="s">
        <v>5026</v>
      </c>
      <c r="I239" t="s">
        <v>5457</v>
      </c>
      <c r="J239" s="9" t="s">
        <v>26</v>
      </c>
      <c r="Q239" s="10"/>
      <c r="U239" s="9" t="str">
        <f t="shared" ca="1" si="6"/>
        <v/>
      </c>
      <c r="V239" s="9" t="str">
        <f t="shared" ca="1" si="7"/>
        <v/>
      </c>
      <c r="AG239" s="9" t="s">
        <v>20</v>
      </c>
    </row>
    <row r="240" spans="1:33">
      <c r="A240" s="3" t="s">
        <v>393</v>
      </c>
      <c r="D240" s="3" t="s">
        <v>396</v>
      </c>
      <c r="E240" s="3" t="s">
        <v>397</v>
      </c>
      <c r="F240" t="s">
        <v>13</v>
      </c>
      <c r="J240" s="9" t="s">
        <v>12120</v>
      </c>
      <c r="Q240" s="10"/>
      <c r="U240" s="9" t="str">
        <f t="shared" ca="1" si="6"/>
        <v/>
      </c>
      <c r="V240" s="9" t="str">
        <f t="shared" ca="1" si="7"/>
        <v/>
      </c>
      <c r="AC240" s="9" t="s">
        <v>12153</v>
      </c>
      <c r="AD240" s="9" t="s">
        <v>19</v>
      </c>
      <c r="AE240" s="9" t="s">
        <v>12086</v>
      </c>
    </row>
    <row r="241" spans="1:33">
      <c r="A241" s="3" t="s">
        <v>398</v>
      </c>
      <c r="D241" s="3" t="s">
        <v>5028</v>
      </c>
      <c r="E241" s="3" t="s">
        <v>5029</v>
      </c>
      <c r="H241" t="s">
        <v>19</v>
      </c>
      <c r="J241" s="9" t="s">
        <v>25</v>
      </c>
      <c r="L241" s="9">
        <v>1</v>
      </c>
      <c r="M241" s="9">
        <v>4</v>
      </c>
      <c r="N241" s="9" t="s">
        <v>12078</v>
      </c>
      <c r="O241" s="9" t="s">
        <v>12079</v>
      </c>
      <c r="Q241" s="10"/>
      <c r="S241" s="9">
        <v>11843</v>
      </c>
      <c r="U241" s="9" t="str">
        <f t="shared" ca="1" si="6"/>
        <v/>
      </c>
      <c r="V241" s="9" t="str">
        <f t="shared" ca="1" si="7"/>
        <v/>
      </c>
      <c r="AG241" s="9" t="s">
        <v>20</v>
      </c>
    </row>
    <row r="242" spans="1:33">
      <c r="A242" s="3" t="s">
        <v>399</v>
      </c>
      <c r="D242" s="3" t="s">
        <v>5030</v>
      </c>
      <c r="E242" s="3" t="s">
        <v>5031</v>
      </c>
      <c r="G242" t="s">
        <v>19</v>
      </c>
      <c r="J242" s="9" t="s">
        <v>12118</v>
      </c>
      <c r="Q242" s="10"/>
      <c r="T242" s="9">
        <f>507-17</f>
        <v>490</v>
      </c>
      <c r="U242" s="9">
        <f t="shared" ca="1" si="6"/>
        <v>17</v>
      </c>
      <c r="V242" s="9">
        <f t="shared" ca="1" si="7"/>
        <v>507</v>
      </c>
    </row>
    <row r="243" spans="1:33">
      <c r="A243" s="3" t="s">
        <v>400</v>
      </c>
      <c r="D243" s="3" t="s">
        <v>5032</v>
      </c>
      <c r="E243" s="3" t="s">
        <v>5033</v>
      </c>
      <c r="J243" s="9" t="s">
        <v>24</v>
      </c>
      <c r="L243" s="9">
        <v>1</v>
      </c>
      <c r="M243" s="9">
        <v>2</v>
      </c>
      <c r="N243" s="9" t="s">
        <v>12078</v>
      </c>
      <c r="O243" s="9" t="s">
        <v>12119</v>
      </c>
      <c r="Q243" s="10"/>
      <c r="S243" s="9">
        <v>11843</v>
      </c>
      <c r="U243" s="9" t="str">
        <f t="shared" ca="1" si="6"/>
        <v/>
      </c>
      <c r="V243" s="9" t="str">
        <f t="shared" ca="1" si="7"/>
        <v/>
      </c>
      <c r="AG243" s="9" t="s">
        <v>20</v>
      </c>
    </row>
    <row r="244" spans="1:33">
      <c r="A244" s="3" t="s">
        <v>400</v>
      </c>
      <c r="D244" s="3" t="s">
        <v>5034</v>
      </c>
      <c r="E244" s="3" t="s">
        <v>5035</v>
      </c>
      <c r="J244" s="9" t="s">
        <v>12118</v>
      </c>
      <c r="Q244" s="10"/>
      <c r="T244" s="9" t="s">
        <v>12131</v>
      </c>
      <c r="U244" s="9" t="str">
        <f t="shared" ca="1" si="6"/>
        <v/>
      </c>
      <c r="V244" s="9" t="str">
        <f t="shared" ca="1" si="7"/>
        <v/>
      </c>
      <c r="AB244" s="9" t="s">
        <v>12124</v>
      </c>
      <c r="AC244" s="9" t="s">
        <v>12740</v>
      </c>
      <c r="AD244" s="9" t="s">
        <v>19</v>
      </c>
    </row>
    <row r="245" spans="1:33">
      <c r="A245" s="3" t="s">
        <v>401</v>
      </c>
      <c r="D245" s="3" t="s">
        <v>402</v>
      </c>
      <c r="E245" s="3" t="s">
        <v>325</v>
      </c>
      <c r="G245" t="s">
        <v>19</v>
      </c>
      <c r="J245" s="9" t="s">
        <v>12118</v>
      </c>
      <c r="Q245" s="10"/>
      <c r="T245" s="9" t="s">
        <v>12131</v>
      </c>
      <c r="U245" s="9" t="str">
        <f t="shared" ca="1" si="6"/>
        <v/>
      </c>
      <c r="V245" s="9" t="str">
        <f t="shared" ca="1" si="7"/>
        <v/>
      </c>
      <c r="AE245" s="9" t="s">
        <v>12086</v>
      </c>
    </row>
    <row r="246" spans="1:33">
      <c r="A246" s="3" t="s">
        <v>401</v>
      </c>
      <c r="D246" s="3" t="s">
        <v>403</v>
      </c>
      <c r="E246" s="3" t="s">
        <v>404</v>
      </c>
      <c r="J246" s="9" t="s">
        <v>12120</v>
      </c>
      <c r="Q246" s="10"/>
      <c r="U246" s="9" t="str">
        <f t="shared" ca="1" si="6"/>
        <v/>
      </c>
      <c r="V246" s="9" t="str">
        <f t="shared" ca="1" si="7"/>
        <v/>
      </c>
      <c r="AE246" s="9" t="s">
        <v>12077</v>
      </c>
    </row>
    <row r="247" spans="1:33">
      <c r="A247" s="3" t="s">
        <v>405</v>
      </c>
      <c r="D247" s="3" t="s">
        <v>4814</v>
      </c>
      <c r="E247" s="3" t="s">
        <v>406</v>
      </c>
      <c r="J247" s="9" t="s">
        <v>12120</v>
      </c>
      <c r="Q247" s="10"/>
      <c r="U247" s="9" t="str">
        <f t="shared" ca="1" si="6"/>
        <v/>
      </c>
      <c r="V247" s="9" t="str">
        <f t="shared" ca="1" si="7"/>
        <v/>
      </c>
      <c r="AE247" s="9" t="s">
        <v>12077</v>
      </c>
    </row>
    <row r="248" spans="1:33">
      <c r="A248" s="3" t="s">
        <v>405</v>
      </c>
      <c r="D248" s="3" t="s">
        <v>5036</v>
      </c>
      <c r="E248" s="3" t="s">
        <v>5037</v>
      </c>
      <c r="J248" s="9" t="s">
        <v>24</v>
      </c>
      <c r="L248" s="9">
        <v>1</v>
      </c>
      <c r="M248" s="9">
        <v>1</v>
      </c>
      <c r="N248" s="9" t="s">
        <v>12078</v>
      </c>
      <c r="O248" s="9" t="s">
        <v>12119</v>
      </c>
      <c r="Q248" s="10"/>
      <c r="S248" s="9">
        <v>11843</v>
      </c>
      <c r="U248" s="9" t="str">
        <f t="shared" ca="1" si="6"/>
        <v/>
      </c>
      <c r="V248" s="9" t="str">
        <f t="shared" ca="1" si="7"/>
        <v/>
      </c>
      <c r="AG248" s="9" t="s">
        <v>19</v>
      </c>
    </row>
    <row r="249" spans="1:33">
      <c r="A249" s="3" t="s">
        <v>407</v>
      </c>
      <c r="D249" s="3" t="s">
        <v>5038</v>
      </c>
      <c r="E249" s="3" t="s">
        <v>5039</v>
      </c>
      <c r="J249" s="9" t="s">
        <v>12120</v>
      </c>
      <c r="Q249" s="10"/>
      <c r="U249" s="9" t="str">
        <f t="shared" ca="1" si="6"/>
        <v/>
      </c>
      <c r="V249" s="9" t="str">
        <f t="shared" ca="1" si="7"/>
        <v/>
      </c>
      <c r="AC249" s="9" t="s">
        <v>12130</v>
      </c>
      <c r="AD249" s="9" t="s">
        <v>19</v>
      </c>
    </row>
    <row r="250" spans="1:33">
      <c r="A250" s="3" t="s">
        <v>407</v>
      </c>
      <c r="D250" s="3" t="s">
        <v>5040</v>
      </c>
      <c r="E250" s="3" t="s">
        <v>5041</v>
      </c>
      <c r="G250" t="s">
        <v>19</v>
      </c>
      <c r="J250" s="9" t="s">
        <v>24</v>
      </c>
      <c r="L250" s="9">
        <v>1</v>
      </c>
      <c r="M250" s="9">
        <v>2</v>
      </c>
      <c r="N250" s="9" t="s">
        <v>12096</v>
      </c>
      <c r="O250" s="9" t="s">
        <v>12119</v>
      </c>
      <c r="Q250" s="10"/>
      <c r="S250" s="9">
        <v>1294</v>
      </c>
      <c r="U250" s="9" t="str">
        <f t="shared" ca="1" si="6"/>
        <v/>
      </c>
      <c r="V250" s="9" t="str">
        <f t="shared" ca="1" si="7"/>
        <v/>
      </c>
    </row>
    <row r="251" spans="1:33">
      <c r="A251" s="3" t="s">
        <v>407</v>
      </c>
      <c r="D251" s="3" t="s">
        <v>5042</v>
      </c>
      <c r="E251" s="3" t="s">
        <v>5043</v>
      </c>
      <c r="J251" s="9" t="s">
        <v>12120</v>
      </c>
      <c r="Q251" s="10"/>
      <c r="U251" s="9" t="str">
        <f t="shared" ca="1" si="6"/>
        <v/>
      </c>
      <c r="V251" s="9" t="str">
        <f t="shared" ca="1" si="7"/>
        <v/>
      </c>
      <c r="AC251" s="9" t="s">
        <v>12130</v>
      </c>
      <c r="AD251" s="9" t="s">
        <v>19</v>
      </c>
    </row>
    <row r="252" spans="1:33">
      <c r="A252" s="3" t="s">
        <v>408</v>
      </c>
      <c r="D252" s="3" t="s">
        <v>5038</v>
      </c>
      <c r="E252" s="3" t="s">
        <v>5039</v>
      </c>
      <c r="J252" s="9" t="s">
        <v>12120</v>
      </c>
      <c r="Q252" s="10"/>
      <c r="U252" s="9" t="str">
        <f t="shared" ca="1" si="6"/>
        <v/>
      </c>
      <c r="V252" s="9" t="str">
        <f t="shared" ca="1" si="7"/>
        <v/>
      </c>
      <c r="AC252" s="9" t="s">
        <v>12130</v>
      </c>
      <c r="AD252" s="9" t="s">
        <v>19</v>
      </c>
    </row>
    <row r="253" spans="1:33">
      <c r="A253" s="3" t="s">
        <v>409</v>
      </c>
      <c r="D253" s="3" t="s">
        <v>410</v>
      </c>
      <c r="E253" s="3" t="s">
        <v>411</v>
      </c>
      <c r="J253" s="9" t="s">
        <v>12120</v>
      </c>
      <c r="Q253" s="10"/>
      <c r="U253" s="9" t="str">
        <f t="shared" ca="1" si="6"/>
        <v/>
      </c>
      <c r="V253" s="9" t="str">
        <f t="shared" ca="1" si="7"/>
        <v/>
      </c>
      <c r="AC253" s="9" t="s">
        <v>12744</v>
      </c>
      <c r="AD253" s="9" t="s">
        <v>19</v>
      </c>
      <c r="AE253" s="9" t="s">
        <v>12086</v>
      </c>
    </row>
    <row r="254" spans="1:33">
      <c r="A254" s="3" t="s">
        <v>409</v>
      </c>
      <c r="D254" s="3" t="s">
        <v>192</v>
      </c>
      <c r="E254" s="3" t="s">
        <v>193</v>
      </c>
      <c r="J254" s="9" t="s">
        <v>12120</v>
      </c>
      <c r="Q254" s="10"/>
      <c r="U254" s="9" t="str">
        <f t="shared" ca="1" si="6"/>
        <v/>
      </c>
      <c r="V254" s="9" t="str">
        <f t="shared" ca="1" si="7"/>
        <v/>
      </c>
      <c r="AB254" s="9" t="s">
        <v>12738</v>
      </c>
      <c r="AD254" s="9" t="s">
        <v>19</v>
      </c>
    </row>
    <row r="255" spans="1:33" ht="29">
      <c r="A255" s="3" t="s">
        <v>412</v>
      </c>
      <c r="D255" s="3" t="s">
        <v>5045</v>
      </c>
      <c r="E255" s="3" t="s">
        <v>5044</v>
      </c>
      <c r="G255" t="s">
        <v>21</v>
      </c>
      <c r="I255" t="s">
        <v>5047</v>
      </c>
      <c r="J255" s="9" t="s">
        <v>25</v>
      </c>
      <c r="L255" s="9">
        <v>2</v>
      </c>
      <c r="M255" s="9">
        <v>6</v>
      </c>
      <c r="O255" s="9" t="s">
        <v>12073</v>
      </c>
      <c r="P255" s="9" t="s">
        <v>12149</v>
      </c>
      <c r="Q255" s="10" t="s">
        <v>12158</v>
      </c>
      <c r="S255" s="9">
        <v>1294</v>
      </c>
      <c r="U255" s="9" t="str">
        <f t="shared" ca="1" si="6"/>
        <v/>
      </c>
      <c r="V255" s="9" t="str">
        <f t="shared" ca="1" si="7"/>
        <v/>
      </c>
    </row>
    <row r="256" spans="1:33" ht="29">
      <c r="A256" s="3" t="s">
        <v>412</v>
      </c>
      <c r="D256" s="3" t="s">
        <v>5046</v>
      </c>
      <c r="E256" s="3" t="s">
        <v>5044</v>
      </c>
      <c r="G256" t="s">
        <v>19</v>
      </c>
      <c r="J256" s="9" t="s">
        <v>25</v>
      </c>
      <c r="L256" s="9">
        <v>1</v>
      </c>
      <c r="M256" s="9">
        <v>3</v>
      </c>
      <c r="N256" s="9" t="s">
        <v>12078</v>
      </c>
      <c r="O256" s="9" t="s">
        <v>12079</v>
      </c>
      <c r="Q256" s="10"/>
      <c r="S256" s="9">
        <v>11843</v>
      </c>
      <c r="U256" s="9" t="str">
        <f t="shared" ca="1" si="6"/>
        <v/>
      </c>
      <c r="V256" s="9" t="str">
        <f t="shared" ca="1" si="7"/>
        <v/>
      </c>
    </row>
    <row r="257" spans="1:33" ht="29">
      <c r="A257" s="3" t="s">
        <v>412</v>
      </c>
      <c r="D257" s="3" t="s">
        <v>5048</v>
      </c>
      <c r="E257" s="3" t="s">
        <v>5049</v>
      </c>
      <c r="I257" t="s">
        <v>5457</v>
      </c>
      <c r="J257" s="9" t="s">
        <v>26</v>
      </c>
      <c r="Q257" s="10"/>
      <c r="U257" s="9" t="str">
        <f t="shared" ref="U257:U320" ca="1" si="10">IF(ISNUMBER(T257),VALUE(MID(_xlfn.FORMULATEXT(T257),SEARCH("-",_xlfn.FORMULATEXT(T257))+1,LEN(_xlfn.FORMULATEXT(T257))-SEARCH("-",_xlfn.FORMULATEXT(T257)))), "")</f>
        <v/>
      </c>
      <c r="V257" s="9" t="str">
        <f t="shared" ref="V257:V320" ca="1" si="11">IF(ISNUMBER(T257), VALUE(MID(_xlfn.FORMULATEXT(T257), 2, SEARCH("-", _xlfn.FORMULATEXT(T257)) - 2)), "")</f>
        <v/>
      </c>
      <c r="AG257" s="9" t="s">
        <v>20</v>
      </c>
    </row>
    <row r="258" spans="1:33" ht="43.5">
      <c r="A258" s="3" t="s">
        <v>413</v>
      </c>
      <c r="D258" s="3" t="s">
        <v>5050</v>
      </c>
      <c r="E258" s="5" t="s">
        <v>5051</v>
      </c>
      <c r="F258" t="s">
        <v>32</v>
      </c>
      <c r="G258" t="s">
        <v>19</v>
      </c>
      <c r="I258" t="s">
        <v>12970</v>
      </c>
      <c r="J258" s="9" t="s">
        <v>24</v>
      </c>
      <c r="L258" s="9">
        <v>1</v>
      </c>
      <c r="M258" s="9">
        <v>2</v>
      </c>
      <c r="N258" s="9" t="s">
        <v>12087</v>
      </c>
      <c r="O258" s="9" t="s">
        <v>12119</v>
      </c>
      <c r="Q258" s="10"/>
      <c r="S258" s="9">
        <v>1741</v>
      </c>
      <c r="U258" s="9" t="str">
        <f t="shared" ca="1" si="10"/>
        <v/>
      </c>
      <c r="V258" s="9" t="str">
        <f t="shared" ca="1" si="11"/>
        <v/>
      </c>
    </row>
    <row r="259" spans="1:33" ht="43.5">
      <c r="A259" s="3" t="s">
        <v>413</v>
      </c>
      <c r="D259" s="3" t="s">
        <v>5052</v>
      </c>
      <c r="E259" s="3" t="s">
        <v>5053</v>
      </c>
      <c r="G259" t="s">
        <v>19</v>
      </c>
      <c r="J259" s="9" t="s">
        <v>12120</v>
      </c>
      <c r="Q259" s="10"/>
      <c r="U259" s="9" t="str">
        <f t="shared" ca="1" si="10"/>
        <v/>
      </c>
      <c r="V259" s="9" t="str">
        <f t="shared" ca="1" si="11"/>
        <v/>
      </c>
      <c r="AB259" s="9" t="s">
        <v>12124</v>
      </c>
      <c r="AD259" s="9" t="s">
        <v>19</v>
      </c>
    </row>
    <row r="260" spans="1:33" ht="29">
      <c r="A260" s="3" t="s">
        <v>414</v>
      </c>
      <c r="D260" s="3" t="s">
        <v>5054</v>
      </c>
      <c r="E260" s="3" t="s">
        <v>12159</v>
      </c>
      <c r="J260" s="9" t="s">
        <v>25</v>
      </c>
      <c r="L260" s="9">
        <v>1</v>
      </c>
      <c r="M260" s="9">
        <v>4</v>
      </c>
      <c r="N260" s="9" t="s">
        <v>12078</v>
      </c>
      <c r="O260" s="9" t="s">
        <v>12073</v>
      </c>
      <c r="P260" s="9" t="s">
        <v>12149</v>
      </c>
      <c r="Q260" s="10" t="s">
        <v>12160</v>
      </c>
      <c r="S260" s="9">
        <v>11843</v>
      </c>
      <c r="U260" s="9" t="str">
        <f t="shared" ca="1" si="10"/>
        <v/>
      </c>
      <c r="V260" s="9" t="str">
        <f t="shared" ca="1" si="11"/>
        <v/>
      </c>
      <c r="AG260" s="9" t="s">
        <v>20</v>
      </c>
    </row>
    <row r="261" spans="1:33">
      <c r="A261" s="3" t="s">
        <v>415</v>
      </c>
      <c r="D261" s="3" t="s">
        <v>5055</v>
      </c>
      <c r="E261" s="3" t="s">
        <v>5056</v>
      </c>
      <c r="I261" t="s">
        <v>12640</v>
      </c>
      <c r="J261" s="9" t="s">
        <v>12118</v>
      </c>
      <c r="Q261" s="10"/>
      <c r="T261" s="9">
        <f>54-17</f>
        <v>37</v>
      </c>
      <c r="U261" s="9">
        <f t="shared" ca="1" si="10"/>
        <v>17</v>
      </c>
      <c r="V261" s="9">
        <f t="shared" ca="1" si="11"/>
        <v>54</v>
      </c>
      <c r="W261" s="9" t="s">
        <v>12117</v>
      </c>
      <c r="AG261" s="9" t="s">
        <v>20</v>
      </c>
    </row>
    <row r="262" spans="1:33">
      <c r="A262" s="3" t="s">
        <v>416</v>
      </c>
      <c r="D262" s="3" t="s">
        <v>5057</v>
      </c>
      <c r="E262" s="3" t="s">
        <v>5058</v>
      </c>
      <c r="J262" s="9" t="s">
        <v>12118</v>
      </c>
      <c r="Q262" s="10"/>
      <c r="T262" s="9">
        <f>54-17</f>
        <v>37</v>
      </c>
      <c r="U262" s="9">
        <f t="shared" ca="1" si="10"/>
        <v>17</v>
      </c>
      <c r="V262" s="9">
        <f t="shared" ca="1" si="11"/>
        <v>54</v>
      </c>
      <c r="AC262" s="9" t="s">
        <v>12130</v>
      </c>
      <c r="AD262" s="9" t="s">
        <v>19</v>
      </c>
    </row>
    <row r="263" spans="1:33">
      <c r="A263" s="3" t="s">
        <v>418</v>
      </c>
      <c r="D263" s="3" t="s">
        <v>5059</v>
      </c>
      <c r="E263" s="3" t="s">
        <v>5060</v>
      </c>
      <c r="G263" t="s">
        <v>19</v>
      </c>
      <c r="J263" s="9" t="s">
        <v>12121</v>
      </c>
      <c r="Q263" s="10"/>
      <c r="T263" s="9">
        <f>11843-780</f>
        <v>11063</v>
      </c>
      <c r="U263" s="9">
        <f t="shared" ca="1" si="10"/>
        <v>780</v>
      </c>
      <c r="V263" s="9">
        <f t="shared" ca="1" si="11"/>
        <v>11843</v>
      </c>
      <c r="AE263" s="9" t="s">
        <v>12089</v>
      </c>
    </row>
    <row r="264" spans="1:33">
      <c r="A264" s="3" t="s">
        <v>419</v>
      </c>
      <c r="D264" s="3" t="s">
        <v>420</v>
      </c>
      <c r="E264" s="3" t="s">
        <v>421</v>
      </c>
      <c r="J264" s="9" t="s">
        <v>12118</v>
      </c>
      <c r="Q264" s="10"/>
      <c r="T264" s="9" t="s">
        <v>12131</v>
      </c>
      <c r="U264" s="9" t="str">
        <f t="shared" ca="1" si="10"/>
        <v/>
      </c>
      <c r="V264" s="9" t="str">
        <f t="shared" ca="1" si="11"/>
        <v/>
      </c>
      <c r="AB264" s="9" t="s">
        <v>12124</v>
      </c>
      <c r="AD264" s="9" t="s">
        <v>19</v>
      </c>
    </row>
    <row r="265" spans="1:33">
      <c r="A265" s="3" t="s">
        <v>419</v>
      </c>
      <c r="D265" s="3" t="s">
        <v>422</v>
      </c>
      <c r="E265" s="5" t="s">
        <v>423</v>
      </c>
      <c r="F265" t="s">
        <v>32</v>
      </c>
      <c r="I265" t="s">
        <v>5061</v>
      </c>
      <c r="J265" s="9" t="s">
        <v>12118</v>
      </c>
      <c r="Q265" s="10"/>
      <c r="T265" s="9" t="s">
        <v>12131</v>
      </c>
      <c r="U265" s="9" t="str">
        <f t="shared" ca="1" si="10"/>
        <v/>
      </c>
      <c r="V265" s="9" t="str">
        <f t="shared" ca="1" si="11"/>
        <v/>
      </c>
      <c r="AB265" s="9" t="s">
        <v>12124</v>
      </c>
      <c r="AC265" s="9" t="s">
        <v>12153</v>
      </c>
      <c r="AD265" s="9" t="s">
        <v>19</v>
      </c>
    </row>
    <row r="266" spans="1:33">
      <c r="A266" s="3" t="s">
        <v>425</v>
      </c>
      <c r="D266" s="3" t="s">
        <v>426</v>
      </c>
      <c r="E266" s="3" t="s">
        <v>424</v>
      </c>
      <c r="J266" s="9" t="s">
        <v>12118</v>
      </c>
      <c r="Q266" s="10"/>
      <c r="T266" s="9" t="s">
        <v>12131</v>
      </c>
      <c r="U266" s="9" t="str">
        <f t="shared" ca="1" si="10"/>
        <v/>
      </c>
      <c r="V266" s="9" t="str">
        <f t="shared" ca="1" si="11"/>
        <v/>
      </c>
      <c r="AB266" s="9" t="s">
        <v>12124</v>
      </c>
      <c r="AC266" s="9" t="s">
        <v>12130</v>
      </c>
      <c r="AD266" s="9" t="s">
        <v>19</v>
      </c>
    </row>
    <row r="267" spans="1:33">
      <c r="A267" s="3" t="s">
        <v>425</v>
      </c>
      <c r="D267" s="3" t="s">
        <v>5062</v>
      </c>
      <c r="E267" s="3" t="s">
        <v>5063</v>
      </c>
      <c r="G267" t="s">
        <v>19</v>
      </c>
      <c r="I267" t="s">
        <v>12161</v>
      </c>
      <c r="J267" s="9" t="s">
        <v>12121</v>
      </c>
      <c r="Q267" s="10"/>
      <c r="T267" s="9">
        <f>193-780</f>
        <v>-587</v>
      </c>
      <c r="U267" s="9">
        <f t="shared" ca="1" si="10"/>
        <v>780</v>
      </c>
      <c r="V267" s="9">
        <f t="shared" ca="1" si="11"/>
        <v>193</v>
      </c>
      <c r="AE267" s="9" t="s">
        <v>12089</v>
      </c>
    </row>
    <row r="268" spans="1:33">
      <c r="A268" s="3" t="s">
        <v>427</v>
      </c>
      <c r="D268" s="3" t="s">
        <v>163</v>
      </c>
      <c r="E268" s="3" t="s">
        <v>164</v>
      </c>
      <c r="J268" s="9" t="s">
        <v>12118</v>
      </c>
      <c r="Q268" s="10"/>
      <c r="T268" s="9" t="s">
        <v>12131</v>
      </c>
      <c r="U268" s="9" t="str">
        <f t="shared" ca="1" si="10"/>
        <v/>
      </c>
      <c r="V268" s="9" t="str">
        <f t="shared" ca="1" si="11"/>
        <v/>
      </c>
      <c r="AB268" s="9" t="s">
        <v>12124</v>
      </c>
      <c r="AC268" s="9" t="s">
        <v>12742</v>
      </c>
      <c r="AD268" s="9" t="s">
        <v>19</v>
      </c>
    </row>
    <row r="269" spans="1:33">
      <c r="A269" s="3" t="s">
        <v>427</v>
      </c>
      <c r="D269" s="3" t="s">
        <v>5064</v>
      </c>
      <c r="E269" s="3" t="s">
        <v>5065</v>
      </c>
      <c r="G269" t="s">
        <v>19</v>
      </c>
      <c r="J269" s="9" t="s">
        <v>25</v>
      </c>
      <c r="L269" s="9">
        <v>1</v>
      </c>
      <c r="M269" s="9">
        <v>1</v>
      </c>
      <c r="N269" s="9" t="s">
        <v>12087</v>
      </c>
      <c r="O269" s="9" t="s">
        <v>12119</v>
      </c>
      <c r="Q269" s="10"/>
      <c r="S269" s="9">
        <v>193</v>
      </c>
      <c r="U269" s="9" t="str">
        <f t="shared" ca="1" si="10"/>
        <v/>
      </c>
      <c r="V269" s="9" t="str">
        <f t="shared" ca="1" si="11"/>
        <v/>
      </c>
    </row>
    <row r="270" spans="1:33">
      <c r="A270" s="3" t="s">
        <v>428</v>
      </c>
      <c r="D270" s="3" t="s">
        <v>5066</v>
      </c>
      <c r="E270" s="3" t="s">
        <v>5067</v>
      </c>
      <c r="J270" s="9" t="s">
        <v>12120</v>
      </c>
      <c r="Q270" s="10"/>
      <c r="U270" s="9" t="str">
        <f t="shared" ca="1" si="10"/>
        <v/>
      </c>
      <c r="V270" s="9" t="str">
        <f t="shared" ca="1" si="11"/>
        <v/>
      </c>
      <c r="AE270" s="9" t="s">
        <v>12089</v>
      </c>
    </row>
    <row r="271" spans="1:33">
      <c r="A271" s="3" t="s">
        <v>428</v>
      </c>
      <c r="D271" s="3" t="s">
        <v>5068</v>
      </c>
      <c r="E271" s="3" t="s">
        <v>5069</v>
      </c>
      <c r="G271" t="s">
        <v>19</v>
      </c>
      <c r="J271" s="9" t="s">
        <v>12121</v>
      </c>
      <c r="Q271" s="10"/>
      <c r="T271" s="9">
        <f>193-780</f>
        <v>-587</v>
      </c>
      <c r="U271" s="9">
        <f t="shared" ca="1" si="10"/>
        <v>780</v>
      </c>
      <c r="V271" s="9">
        <f t="shared" ca="1" si="11"/>
        <v>193</v>
      </c>
      <c r="AE271" s="9" t="s">
        <v>12089</v>
      </c>
    </row>
    <row r="272" spans="1:33">
      <c r="A272" s="3" t="s">
        <v>429</v>
      </c>
      <c r="D272" s="3" t="s">
        <v>430</v>
      </c>
      <c r="E272" s="3" t="s">
        <v>431</v>
      </c>
      <c r="J272" s="9" t="s">
        <v>12118</v>
      </c>
      <c r="Q272" s="10"/>
      <c r="T272" s="9" t="s">
        <v>12131</v>
      </c>
      <c r="U272" s="9" t="str">
        <f t="shared" ca="1" si="10"/>
        <v/>
      </c>
      <c r="V272" s="9" t="str">
        <f t="shared" ca="1" si="11"/>
        <v/>
      </c>
      <c r="AC272" s="9" t="s">
        <v>12130</v>
      </c>
      <c r="AD272" s="9" t="s">
        <v>19</v>
      </c>
      <c r="AE272" s="9" t="s">
        <v>12086</v>
      </c>
    </row>
    <row r="273" spans="1:33" ht="29">
      <c r="A273" s="3" t="s">
        <v>429</v>
      </c>
      <c r="D273" s="3" t="s">
        <v>5070</v>
      </c>
      <c r="E273" s="3" t="s">
        <v>5071</v>
      </c>
      <c r="J273" s="9" t="s">
        <v>26</v>
      </c>
      <c r="Q273" s="10"/>
      <c r="T273" s="9">
        <f>3-3</f>
        <v>0</v>
      </c>
      <c r="U273" s="9">
        <f t="shared" ca="1" si="10"/>
        <v>3</v>
      </c>
      <c r="V273" s="9">
        <f t="shared" ca="1" si="11"/>
        <v>3</v>
      </c>
      <c r="AG273" s="9" t="s">
        <v>20</v>
      </c>
    </row>
    <row r="274" spans="1:33">
      <c r="A274" s="3" t="s">
        <v>432</v>
      </c>
      <c r="D274" s="3" t="s">
        <v>433</v>
      </c>
      <c r="E274" s="3" t="s">
        <v>434</v>
      </c>
      <c r="J274" s="9" t="s">
        <v>12118</v>
      </c>
      <c r="Q274" s="10"/>
      <c r="T274" s="9" t="s">
        <v>12131</v>
      </c>
      <c r="U274" s="9" t="str">
        <f t="shared" ca="1" si="10"/>
        <v/>
      </c>
      <c r="V274" s="9" t="str">
        <f t="shared" ca="1" si="11"/>
        <v/>
      </c>
      <c r="AC274" s="9" t="s">
        <v>12130</v>
      </c>
      <c r="AD274" s="9" t="s">
        <v>19</v>
      </c>
      <c r="AE274" s="9" t="s">
        <v>12086</v>
      </c>
    </row>
    <row r="275" spans="1:33">
      <c r="A275" s="3" t="s">
        <v>432</v>
      </c>
      <c r="D275" s="3" t="s">
        <v>192</v>
      </c>
      <c r="E275" s="3" t="s">
        <v>193</v>
      </c>
      <c r="J275" s="9" t="s">
        <v>12120</v>
      </c>
      <c r="Q275" s="10"/>
      <c r="U275" s="9" t="str">
        <f t="shared" ca="1" si="10"/>
        <v/>
      </c>
      <c r="V275" s="9" t="str">
        <f t="shared" ca="1" si="11"/>
        <v/>
      </c>
      <c r="AB275" s="9" t="s">
        <v>12738</v>
      </c>
      <c r="AD275" s="9" t="s">
        <v>19</v>
      </c>
    </row>
    <row r="276" spans="1:33">
      <c r="A276" s="3" t="s">
        <v>435</v>
      </c>
      <c r="D276" s="3" t="s">
        <v>5072</v>
      </c>
      <c r="E276" s="3" t="s">
        <v>5073</v>
      </c>
      <c r="J276" s="9" t="s">
        <v>12120</v>
      </c>
      <c r="Q276" s="10"/>
      <c r="U276" s="9" t="str">
        <f t="shared" ca="1" si="10"/>
        <v/>
      </c>
      <c r="V276" s="9" t="str">
        <f t="shared" ca="1" si="11"/>
        <v/>
      </c>
      <c r="AC276" s="9" t="s">
        <v>12130</v>
      </c>
      <c r="AD276" s="9" t="s">
        <v>19</v>
      </c>
    </row>
    <row r="277" spans="1:33" ht="29">
      <c r="A277" s="3" t="s">
        <v>435</v>
      </c>
      <c r="D277" s="3" t="s">
        <v>5075</v>
      </c>
      <c r="E277" s="3" t="s">
        <v>5074</v>
      </c>
      <c r="J277" s="9" t="s">
        <v>25</v>
      </c>
      <c r="L277" s="9">
        <v>1</v>
      </c>
      <c r="M277" s="9">
        <v>3</v>
      </c>
      <c r="N277" s="9" t="s">
        <v>12094</v>
      </c>
      <c r="O277" s="9" t="s">
        <v>12079</v>
      </c>
      <c r="Q277" s="10"/>
      <c r="S277" s="9">
        <v>301</v>
      </c>
      <c r="U277" s="9" t="str">
        <f t="shared" ca="1" si="10"/>
        <v/>
      </c>
      <c r="V277" s="9" t="str">
        <f t="shared" ca="1" si="11"/>
        <v/>
      </c>
      <c r="AG277" s="9" t="s">
        <v>20</v>
      </c>
    </row>
    <row r="278" spans="1:33" ht="29">
      <c r="A278" s="3" t="s">
        <v>436</v>
      </c>
      <c r="D278" s="3" t="s">
        <v>5076</v>
      </c>
      <c r="E278" s="3" t="s">
        <v>12162</v>
      </c>
      <c r="G278" t="s">
        <v>19</v>
      </c>
      <c r="J278" s="9" t="s">
        <v>25</v>
      </c>
      <c r="L278" s="9">
        <v>1</v>
      </c>
      <c r="M278" s="9">
        <v>5</v>
      </c>
      <c r="N278" s="9" t="s">
        <v>12125</v>
      </c>
      <c r="O278" s="9" t="s">
        <v>12073</v>
      </c>
      <c r="P278" s="9" t="s">
        <v>12163</v>
      </c>
      <c r="Q278" s="10" t="s">
        <v>12143</v>
      </c>
      <c r="S278" s="9">
        <v>1565</v>
      </c>
      <c r="U278" s="9" t="str">
        <f t="shared" ca="1" si="10"/>
        <v/>
      </c>
      <c r="V278" s="9" t="str">
        <f t="shared" ca="1" si="11"/>
        <v/>
      </c>
      <c r="AE278" s="9" t="s">
        <v>12089</v>
      </c>
    </row>
    <row r="279" spans="1:33">
      <c r="A279" s="3" t="s">
        <v>437</v>
      </c>
      <c r="D279" s="3" t="s">
        <v>438</v>
      </c>
      <c r="E279" s="3" t="s">
        <v>439</v>
      </c>
      <c r="J279" s="9" t="s">
        <v>12120</v>
      </c>
      <c r="Q279" s="10"/>
      <c r="U279" s="9" t="str">
        <f t="shared" ca="1" si="10"/>
        <v/>
      </c>
      <c r="V279" s="9" t="str">
        <f t="shared" ca="1" si="11"/>
        <v/>
      </c>
      <c r="AG279" s="9" t="s">
        <v>19</v>
      </c>
    </row>
    <row r="280" spans="1:33">
      <c r="A280" s="3" t="s">
        <v>441</v>
      </c>
      <c r="D280" s="3" t="s">
        <v>5077</v>
      </c>
      <c r="E280" s="3" t="s">
        <v>5078</v>
      </c>
      <c r="G280" t="s">
        <v>19</v>
      </c>
      <c r="J280" s="9" t="s">
        <v>24</v>
      </c>
      <c r="L280" s="9">
        <v>1</v>
      </c>
      <c r="M280" s="9">
        <v>4</v>
      </c>
      <c r="N280" s="9" t="s">
        <v>12078</v>
      </c>
      <c r="O280" s="9" t="s">
        <v>12079</v>
      </c>
      <c r="Q280" s="10"/>
      <c r="S280" s="9">
        <v>11843</v>
      </c>
      <c r="U280" s="9" t="str">
        <f t="shared" ca="1" si="10"/>
        <v/>
      </c>
      <c r="V280" s="9" t="str">
        <f t="shared" ca="1" si="11"/>
        <v/>
      </c>
    </row>
    <row r="281" spans="1:33">
      <c r="A281" s="3" t="s">
        <v>441</v>
      </c>
      <c r="D281" s="3" t="s">
        <v>442</v>
      </c>
      <c r="E281" s="3" t="s">
        <v>443</v>
      </c>
      <c r="J281" s="9" t="s">
        <v>12121</v>
      </c>
      <c r="Q281" s="10"/>
      <c r="T281" s="9">
        <f>17-54</f>
        <v>-37</v>
      </c>
      <c r="U281" s="9">
        <f t="shared" ca="1" si="10"/>
        <v>54</v>
      </c>
      <c r="V281" s="9">
        <f t="shared" ca="1" si="11"/>
        <v>17</v>
      </c>
      <c r="AC281" s="9" t="s">
        <v>12152</v>
      </c>
      <c r="AD281" s="9" t="s">
        <v>19</v>
      </c>
      <c r="AE281" s="9" t="s">
        <v>12086</v>
      </c>
    </row>
    <row r="282" spans="1:33" ht="29">
      <c r="A282" s="3" t="s">
        <v>441</v>
      </c>
      <c r="D282" s="3" t="s">
        <v>12164</v>
      </c>
      <c r="E282" s="3" t="s">
        <v>12165</v>
      </c>
      <c r="J282" s="9" t="s">
        <v>25</v>
      </c>
      <c r="L282" s="9">
        <v>1</v>
      </c>
      <c r="M282" s="9">
        <v>3</v>
      </c>
      <c r="N282" s="9" t="s">
        <v>12078</v>
      </c>
      <c r="O282" s="9" t="s">
        <v>12079</v>
      </c>
      <c r="Q282" s="10"/>
      <c r="S282" s="9">
        <v>11843</v>
      </c>
      <c r="U282" s="9" t="str">
        <f t="shared" ca="1" si="10"/>
        <v/>
      </c>
      <c r="V282" s="9" t="str">
        <f t="shared" ca="1" si="11"/>
        <v/>
      </c>
      <c r="AG282" s="9" t="s">
        <v>20</v>
      </c>
    </row>
    <row r="283" spans="1:33" ht="29">
      <c r="A283" s="3" t="s">
        <v>444</v>
      </c>
      <c r="D283" s="3" t="s">
        <v>5079</v>
      </c>
      <c r="E283" s="3" t="s">
        <v>5080</v>
      </c>
      <c r="I283" t="s">
        <v>5457</v>
      </c>
      <c r="J283" s="9" t="s">
        <v>26</v>
      </c>
      <c r="Q283" s="10"/>
      <c r="U283" s="9" t="str">
        <f t="shared" ca="1" si="10"/>
        <v/>
      </c>
      <c r="V283" s="9" t="str">
        <f t="shared" ca="1" si="11"/>
        <v/>
      </c>
      <c r="AG283" s="9" t="s">
        <v>20</v>
      </c>
    </row>
    <row r="284" spans="1:33" ht="29">
      <c r="A284" s="3" t="s">
        <v>444</v>
      </c>
      <c r="D284" s="3" t="s">
        <v>5081</v>
      </c>
      <c r="E284" s="3" t="s">
        <v>5082</v>
      </c>
      <c r="G284" t="s">
        <v>20</v>
      </c>
      <c r="I284" t="s">
        <v>5083</v>
      </c>
      <c r="Q284" s="10"/>
      <c r="U284" s="9" t="str">
        <f t="shared" ca="1" si="10"/>
        <v/>
      </c>
      <c r="V284" s="9" t="str">
        <f t="shared" ca="1" si="11"/>
        <v/>
      </c>
    </row>
    <row r="285" spans="1:33">
      <c r="A285" s="3" t="s">
        <v>445</v>
      </c>
      <c r="D285" s="3" t="s">
        <v>446</v>
      </c>
      <c r="E285" s="3" t="s">
        <v>447</v>
      </c>
      <c r="J285" s="9" t="s">
        <v>12121</v>
      </c>
      <c r="Q285" s="10"/>
      <c r="T285" s="9">
        <f>17-54</f>
        <v>-37</v>
      </c>
      <c r="U285" s="9">
        <f t="shared" ca="1" si="10"/>
        <v>54</v>
      </c>
      <c r="V285" s="9">
        <f t="shared" ca="1" si="11"/>
        <v>17</v>
      </c>
      <c r="AC285" s="9" t="s">
        <v>12152</v>
      </c>
      <c r="AD285" s="9" t="s">
        <v>19</v>
      </c>
      <c r="AE285" s="9" t="s">
        <v>12086</v>
      </c>
    </row>
    <row r="286" spans="1:33">
      <c r="A286" s="3" t="s">
        <v>448</v>
      </c>
      <c r="D286" s="3" t="s">
        <v>5084</v>
      </c>
      <c r="E286" s="3" t="s">
        <v>5085</v>
      </c>
      <c r="J286" s="9" t="s">
        <v>24</v>
      </c>
      <c r="L286" s="9">
        <v>1</v>
      </c>
      <c r="M286" s="9">
        <v>3</v>
      </c>
      <c r="N286" s="9" t="s">
        <v>12123</v>
      </c>
      <c r="O286" s="9" t="s">
        <v>12079</v>
      </c>
      <c r="Q286" s="10"/>
      <c r="S286" s="9">
        <v>92</v>
      </c>
      <c r="U286" s="9" t="str">
        <f t="shared" ca="1" si="10"/>
        <v/>
      </c>
      <c r="V286" s="9" t="str">
        <f t="shared" ca="1" si="11"/>
        <v/>
      </c>
      <c r="AG286" s="9" t="s">
        <v>20</v>
      </c>
    </row>
    <row r="287" spans="1:33">
      <c r="A287" s="3" t="s">
        <v>448</v>
      </c>
      <c r="D287" s="3" t="s">
        <v>5086</v>
      </c>
      <c r="E287" s="3" t="s">
        <v>5087</v>
      </c>
      <c r="J287" s="9" t="s">
        <v>12118</v>
      </c>
      <c r="Q287" s="10"/>
      <c r="T287" s="9" t="s">
        <v>12119</v>
      </c>
      <c r="U287" s="9" t="str">
        <f t="shared" ca="1" si="10"/>
        <v/>
      </c>
      <c r="V287" s="9" t="str">
        <f t="shared" ca="1" si="11"/>
        <v/>
      </c>
      <c r="AC287" s="9" t="s">
        <v>12130</v>
      </c>
      <c r="AD287" s="9" t="s">
        <v>19</v>
      </c>
      <c r="AE287" s="9" t="s">
        <v>12086</v>
      </c>
    </row>
    <row r="288" spans="1:33">
      <c r="A288" s="3" t="s">
        <v>448</v>
      </c>
      <c r="D288" s="3" t="s">
        <v>449</v>
      </c>
      <c r="E288" s="3" t="s">
        <v>450</v>
      </c>
      <c r="J288" s="9" t="s">
        <v>12118</v>
      </c>
      <c r="Q288" s="10"/>
      <c r="T288" s="9" t="s">
        <v>12131</v>
      </c>
      <c r="U288" s="9" t="str">
        <f t="shared" ca="1" si="10"/>
        <v/>
      </c>
      <c r="V288" s="9" t="str">
        <f t="shared" ca="1" si="11"/>
        <v/>
      </c>
      <c r="AC288" s="9" t="s">
        <v>12153</v>
      </c>
      <c r="AD288" s="9" t="s">
        <v>19</v>
      </c>
      <c r="AE288" s="9" t="s">
        <v>12077</v>
      </c>
    </row>
    <row r="289" spans="1:33">
      <c r="A289" s="3" t="s">
        <v>451</v>
      </c>
      <c r="D289" s="3" t="s">
        <v>5088</v>
      </c>
      <c r="E289" s="3" t="s">
        <v>5089</v>
      </c>
      <c r="J289" s="9" t="s">
        <v>24</v>
      </c>
      <c r="L289" s="9">
        <v>1</v>
      </c>
      <c r="M289" s="9">
        <v>1</v>
      </c>
      <c r="N289" s="9" t="s">
        <v>12078</v>
      </c>
      <c r="O289" s="9" t="s">
        <v>12119</v>
      </c>
      <c r="Q289" s="10"/>
      <c r="S289" s="9">
        <v>11843</v>
      </c>
      <c r="U289" s="9" t="str">
        <f t="shared" ca="1" si="10"/>
        <v/>
      </c>
      <c r="V289" s="9" t="str">
        <f t="shared" ca="1" si="11"/>
        <v/>
      </c>
      <c r="AG289" s="9" t="s">
        <v>20</v>
      </c>
    </row>
    <row r="290" spans="1:33">
      <c r="A290" s="3" t="s">
        <v>451</v>
      </c>
      <c r="D290" s="3" t="s">
        <v>5090</v>
      </c>
      <c r="E290" s="3" t="s">
        <v>5091</v>
      </c>
      <c r="J290" s="9" t="s">
        <v>12120</v>
      </c>
      <c r="Q290" s="10"/>
      <c r="U290" s="9" t="str">
        <f t="shared" ca="1" si="10"/>
        <v/>
      </c>
      <c r="V290" s="9" t="str">
        <f t="shared" ca="1" si="11"/>
        <v/>
      </c>
      <c r="AC290" s="9" t="s">
        <v>12166</v>
      </c>
      <c r="AD290" s="9" t="s">
        <v>19</v>
      </c>
      <c r="AE290" s="9" t="s">
        <v>12089</v>
      </c>
    </row>
    <row r="291" spans="1:33">
      <c r="A291" s="3" t="s">
        <v>452</v>
      </c>
      <c r="D291" s="3" t="s">
        <v>295</v>
      </c>
      <c r="E291" s="5" t="s">
        <v>453</v>
      </c>
      <c r="F291" t="s">
        <v>16</v>
      </c>
      <c r="Q291" s="10"/>
      <c r="U291" s="9" t="str">
        <f t="shared" ca="1" si="10"/>
        <v/>
      </c>
      <c r="V291" s="9" t="str">
        <f t="shared" ca="1" si="11"/>
        <v/>
      </c>
    </row>
    <row r="292" spans="1:33">
      <c r="A292" s="3" t="s">
        <v>452</v>
      </c>
      <c r="D292" s="3" t="s">
        <v>454</v>
      </c>
      <c r="E292" s="3" t="s">
        <v>455</v>
      </c>
      <c r="J292" s="9" t="s">
        <v>12118</v>
      </c>
      <c r="Q292" s="10"/>
      <c r="T292" s="9" t="s">
        <v>12131</v>
      </c>
      <c r="U292" s="9" t="str">
        <f t="shared" ca="1" si="10"/>
        <v/>
      </c>
      <c r="V292" s="9" t="str">
        <f t="shared" ca="1" si="11"/>
        <v/>
      </c>
      <c r="AC292" s="9" t="s">
        <v>12128</v>
      </c>
      <c r="AD292" s="9" t="s">
        <v>19</v>
      </c>
      <c r="AE292" s="9" t="s">
        <v>12086</v>
      </c>
    </row>
    <row r="293" spans="1:33">
      <c r="A293" s="3" t="s">
        <v>456</v>
      </c>
      <c r="D293" s="3" t="s">
        <v>5092</v>
      </c>
      <c r="E293" s="3" t="s">
        <v>5093</v>
      </c>
      <c r="J293" s="9" t="s">
        <v>25</v>
      </c>
      <c r="L293" s="9">
        <v>1</v>
      </c>
      <c r="M293" s="9">
        <v>4</v>
      </c>
      <c r="N293" s="9" t="s">
        <v>12084</v>
      </c>
      <c r="O293" s="9" t="s">
        <v>12079</v>
      </c>
      <c r="Q293" s="10"/>
      <c r="S293" s="9">
        <v>10</v>
      </c>
      <c r="U293" s="9" t="str">
        <f t="shared" ca="1" si="10"/>
        <v/>
      </c>
      <c r="V293" s="9" t="str">
        <f t="shared" ca="1" si="11"/>
        <v/>
      </c>
      <c r="AG293" s="9" t="s">
        <v>19</v>
      </c>
    </row>
    <row r="294" spans="1:33">
      <c r="A294" s="3" t="s">
        <v>457</v>
      </c>
      <c r="D294" s="3" t="s">
        <v>5094</v>
      </c>
      <c r="E294" s="3" t="s">
        <v>5095</v>
      </c>
      <c r="G294" t="s">
        <v>19</v>
      </c>
      <c r="J294" s="9" t="s">
        <v>12120</v>
      </c>
      <c r="Q294" s="10"/>
      <c r="U294" s="9" t="str">
        <f t="shared" ca="1" si="10"/>
        <v/>
      </c>
      <c r="V294" s="9" t="str">
        <f t="shared" ca="1" si="11"/>
        <v/>
      </c>
      <c r="AE294" s="9" t="s">
        <v>12089</v>
      </c>
    </row>
    <row r="295" spans="1:33">
      <c r="A295" s="3" t="s">
        <v>457</v>
      </c>
      <c r="D295" s="3" t="s">
        <v>5096</v>
      </c>
      <c r="E295" s="3" t="s">
        <v>5097</v>
      </c>
      <c r="J295" s="9" t="s">
        <v>25</v>
      </c>
      <c r="L295" s="9">
        <v>1</v>
      </c>
      <c r="M295" s="9">
        <v>4</v>
      </c>
      <c r="N295" s="9" t="s">
        <v>12125</v>
      </c>
      <c r="O295" s="9" t="s">
        <v>12079</v>
      </c>
      <c r="Q295" s="10"/>
      <c r="S295" s="9">
        <v>352</v>
      </c>
      <c r="U295" s="9" t="str">
        <f t="shared" ca="1" si="10"/>
        <v/>
      </c>
      <c r="V295" s="9" t="str">
        <f t="shared" ca="1" si="11"/>
        <v/>
      </c>
      <c r="AE295" s="9" t="s">
        <v>12083</v>
      </c>
    </row>
    <row r="296" spans="1:33">
      <c r="A296" s="3" t="s">
        <v>457</v>
      </c>
      <c r="D296" s="3" t="s">
        <v>459</v>
      </c>
      <c r="E296" s="3" t="s">
        <v>460</v>
      </c>
      <c r="J296" s="9" t="s">
        <v>12120</v>
      </c>
      <c r="Q296" s="10"/>
      <c r="U296" s="9" t="str">
        <f t="shared" ca="1" si="10"/>
        <v/>
      </c>
      <c r="V296" s="9" t="str">
        <f t="shared" ca="1" si="11"/>
        <v/>
      </c>
      <c r="AB296" s="9" t="s">
        <v>12738</v>
      </c>
      <c r="AD296" s="9" t="s">
        <v>19</v>
      </c>
    </row>
    <row r="297" spans="1:33">
      <c r="A297" s="3" t="s">
        <v>457</v>
      </c>
      <c r="D297" s="3" t="s">
        <v>461</v>
      </c>
      <c r="E297" s="3" t="s">
        <v>462</v>
      </c>
      <c r="J297" s="9" t="s">
        <v>12120</v>
      </c>
      <c r="Q297" s="10"/>
      <c r="U297" s="9" t="str">
        <f t="shared" ca="1" si="10"/>
        <v/>
      </c>
      <c r="V297" s="9" t="str">
        <f t="shared" ca="1" si="11"/>
        <v/>
      </c>
      <c r="AC297" s="9" t="s">
        <v>12130</v>
      </c>
      <c r="AD297" s="9" t="s">
        <v>19</v>
      </c>
      <c r="AE297" s="9" t="s">
        <v>12086</v>
      </c>
    </row>
    <row r="298" spans="1:33">
      <c r="A298" s="3" t="s">
        <v>457</v>
      </c>
      <c r="D298" s="3" t="s">
        <v>463</v>
      </c>
      <c r="E298" s="3" t="s">
        <v>464</v>
      </c>
      <c r="J298" s="9" t="s">
        <v>12120</v>
      </c>
      <c r="Q298" s="10"/>
      <c r="U298" s="9" t="str">
        <f t="shared" ca="1" si="10"/>
        <v/>
      </c>
      <c r="V298" s="9" t="str">
        <f t="shared" ca="1" si="11"/>
        <v/>
      </c>
      <c r="AC298" s="9" t="s">
        <v>12739</v>
      </c>
      <c r="AD298" s="9" t="s">
        <v>19</v>
      </c>
    </row>
    <row r="299" spans="1:33" ht="29">
      <c r="A299" s="3" t="s">
        <v>465</v>
      </c>
      <c r="D299" s="3" t="s">
        <v>5098</v>
      </c>
      <c r="E299" s="3" t="s">
        <v>5099</v>
      </c>
      <c r="G299" t="s">
        <v>19</v>
      </c>
      <c r="J299" s="9" t="s">
        <v>25</v>
      </c>
      <c r="L299" s="9">
        <v>1</v>
      </c>
      <c r="M299" s="9">
        <v>3</v>
      </c>
      <c r="N299" s="9" t="s">
        <v>12078</v>
      </c>
      <c r="O299" s="9" t="s">
        <v>12073</v>
      </c>
      <c r="P299" s="9" t="s">
        <v>12149</v>
      </c>
      <c r="Q299" s="10" t="s">
        <v>12143</v>
      </c>
      <c r="S299" s="9">
        <v>11843</v>
      </c>
      <c r="U299" s="9" t="str">
        <f t="shared" ca="1" si="10"/>
        <v/>
      </c>
      <c r="V299" s="9" t="str">
        <f t="shared" ca="1" si="11"/>
        <v/>
      </c>
    </row>
    <row r="300" spans="1:33">
      <c r="A300" s="3" t="s">
        <v>466</v>
      </c>
      <c r="D300" s="3" t="s">
        <v>467</v>
      </c>
      <c r="E300" s="3" t="s">
        <v>468</v>
      </c>
      <c r="J300" s="9" t="s">
        <v>12121</v>
      </c>
      <c r="Q300" s="10"/>
      <c r="T300" s="9">
        <f>10-0</f>
        <v>10</v>
      </c>
      <c r="U300" s="9">
        <f t="shared" ca="1" si="10"/>
        <v>0</v>
      </c>
      <c r="V300" s="9">
        <f t="shared" ca="1" si="11"/>
        <v>10</v>
      </c>
      <c r="AC300" s="9" t="s">
        <v>12130</v>
      </c>
      <c r="AD300" s="9" t="s">
        <v>19</v>
      </c>
      <c r="AE300" s="9" t="s">
        <v>12089</v>
      </c>
    </row>
    <row r="301" spans="1:33">
      <c r="A301" s="3" t="s">
        <v>469</v>
      </c>
      <c r="D301" s="3" t="s">
        <v>470</v>
      </c>
      <c r="E301" s="3" t="s">
        <v>471</v>
      </c>
      <c r="J301" s="9" t="s">
        <v>12118</v>
      </c>
      <c r="Q301" s="10"/>
      <c r="T301" s="9" t="s">
        <v>12131</v>
      </c>
      <c r="U301" s="9" t="str">
        <f t="shared" ca="1" si="10"/>
        <v/>
      </c>
      <c r="V301" s="9" t="str">
        <f t="shared" ca="1" si="11"/>
        <v/>
      </c>
      <c r="AB301" s="9" t="s">
        <v>12124</v>
      </c>
      <c r="AC301" s="9" t="s">
        <v>12130</v>
      </c>
      <c r="AD301" s="9" t="s">
        <v>19</v>
      </c>
    </row>
    <row r="302" spans="1:33">
      <c r="A302" s="3" t="s">
        <v>469</v>
      </c>
      <c r="D302" s="3" t="s">
        <v>472</v>
      </c>
      <c r="E302" s="3" t="s">
        <v>473</v>
      </c>
      <c r="J302" s="9" t="s">
        <v>12120</v>
      </c>
      <c r="Q302" s="10"/>
      <c r="U302" s="9" t="str">
        <f t="shared" ca="1" si="10"/>
        <v/>
      </c>
      <c r="V302" s="9" t="str">
        <f t="shared" ca="1" si="11"/>
        <v/>
      </c>
      <c r="AB302" s="9" t="s">
        <v>12738</v>
      </c>
      <c r="AD302" s="9" t="s">
        <v>19</v>
      </c>
    </row>
    <row r="303" spans="1:33">
      <c r="A303" s="3" t="s">
        <v>474</v>
      </c>
      <c r="D303" s="6" t="s">
        <v>475</v>
      </c>
      <c r="E303" s="3" t="s">
        <v>475</v>
      </c>
      <c r="F303" t="s">
        <v>4774</v>
      </c>
      <c r="G303" t="s">
        <v>20</v>
      </c>
      <c r="I303" t="s">
        <v>5100</v>
      </c>
      <c r="Q303" s="10"/>
      <c r="U303" s="9" t="str">
        <f t="shared" ca="1" si="10"/>
        <v/>
      </c>
      <c r="V303" s="9" t="str">
        <f t="shared" ca="1" si="11"/>
        <v/>
      </c>
      <c r="AF303" s="9" t="s">
        <v>19</v>
      </c>
    </row>
    <row r="304" spans="1:33">
      <c r="A304" s="3" t="s">
        <v>476</v>
      </c>
      <c r="D304" s="3" t="s">
        <v>477</v>
      </c>
      <c r="E304" s="3" t="s">
        <v>478</v>
      </c>
      <c r="J304" s="9" t="s">
        <v>12120</v>
      </c>
      <c r="Q304" s="10"/>
      <c r="U304" s="9" t="str">
        <f t="shared" ca="1" si="10"/>
        <v/>
      </c>
      <c r="V304" s="9" t="str">
        <f t="shared" ca="1" si="11"/>
        <v/>
      </c>
      <c r="AC304" s="9" t="s">
        <v>12144</v>
      </c>
      <c r="AD304" s="9" t="s">
        <v>19</v>
      </c>
    </row>
    <row r="305" spans="1:33">
      <c r="A305" s="3" t="s">
        <v>476</v>
      </c>
      <c r="D305" s="3" t="s">
        <v>479</v>
      </c>
      <c r="E305" s="3" t="s">
        <v>480</v>
      </c>
      <c r="J305" s="9" t="s">
        <v>12118</v>
      </c>
      <c r="Q305" s="10"/>
      <c r="T305" s="9">
        <f>10-40</f>
        <v>-30</v>
      </c>
      <c r="U305" s="9">
        <f t="shared" ca="1" si="10"/>
        <v>40</v>
      </c>
      <c r="V305" s="9">
        <f t="shared" ca="1" si="11"/>
        <v>10</v>
      </c>
      <c r="AG305" s="9" t="s">
        <v>20</v>
      </c>
    </row>
    <row r="306" spans="1:33" ht="43.5">
      <c r="A306" s="3" t="s">
        <v>481</v>
      </c>
      <c r="D306" s="3" t="s">
        <v>5101</v>
      </c>
      <c r="E306" s="3" t="s">
        <v>5102</v>
      </c>
      <c r="G306" t="s">
        <v>19</v>
      </c>
      <c r="J306" s="9" t="s">
        <v>24</v>
      </c>
      <c r="L306" s="9">
        <v>2</v>
      </c>
      <c r="M306" s="9">
        <v>21</v>
      </c>
      <c r="O306" s="9" t="s">
        <v>12079</v>
      </c>
      <c r="Q306" s="10"/>
      <c r="S306" s="9">
        <v>5</v>
      </c>
      <c r="U306" s="9" t="str">
        <f t="shared" ca="1" si="10"/>
        <v/>
      </c>
      <c r="V306" s="9" t="str">
        <f t="shared" ca="1" si="11"/>
        <v/>
      </c>
    </row>
    <row r="307" spans="1:33">
      <c r="A307" s="3" t="s">
        <v>481</v>
      </c>
      <c r="D307" s="3" t="s">
        <v>5103</v>
      </c>
      <c r="E307" s="3" t="s">
        <v>482</v>
      </c>
      <c r="F307" t="s">
        <v>11</v>
      </c>
      <c r="G307" t="s">
        <v>21</v>
      </c>
      <c r="I307" t="s">
        <v>5104</v>
      </c>
      <c r="Q307" s="10"/>
      <c r="U307" s="9" t="str">
        <f t="shared" ca="1" si="10"/>
        <v/>
      </c>
      <c r="V307" s="9" t="str">
        <f t="shared" ca="1" si="11"/>
        <v/>
      </c>
    </row>
    <row r="308" spans="1:33">
      <c r="A308" s="3" t="s">
        <v>481</v>
      </c>
      <c r="D308" s="3" t="s">
        <v>5106</v>
      </c>
      <c r="E308" s="3" t="s">
        <v>5105</v>
      </c>
      <c r="G308" t="s">
        <v>19</v>
      </c>
      <c r="J308" s="9" t="s">
        <v>25</v>
      </c>
      <c r="L308" s="9">
        <v>1</v>
      </c>
      <c r="M308" s="9">
        <v>2</v>
      </c>
      <c r="N308" s="9" t="s">
        <v>12123</v>
      </c>
      <c r="O308" s="9" t="s">
        <v>12119</v>
      </c>
      <c r="Q308" s="10"/>
      <c r="S308" s="9">
        <v>526</v>
      </c>
      <c r="U308" s="9" t="str">
        <f t="shared" ca="1" si="10"/>
        <v/>
      </c>
      <c r="V308" s="9" t="str">
        <f t="shared" ca="1" si="11"/>
        <v/>
      </c>
    </row>
    <row r="309" spans="1:33">
      <c r="A309" s="3" t="s">
        <v>481</v>
      </c>
      <c r="D309" s="3" t="s">
        <v>5107</v>
      </c>
      <c r="E309" s="3" t="s">
        <v>5108</v>
      </c>
      <c r="J309" s="9" t="s">
        <v>12118</v>
      </c>
      <c r="Q309" s="10"/>
      <c r="T309" s="9" t="s">
        <v>12131</v>
      </c>
      <c r="U309" s="9" t="str">
        <f t="shared" ca="1" si="10"/>
        <v/>
      </c>
      <c r="V309" s="9" t="str">
        <f t="shared" ca="1" si="11"/>
        <v/>
      </c>
      <c r="AE309" s="9" t="s">
        <v>12086</v>
      </c>
    </row>
    <row r="310" spans="1:33">
      <c r="A310" s="3" t="s">
        <v>483</v>
      </c>
      <c r="D310" s="3" t="s">
        <v>484</v>
      </c>
      <c r="E310" s="3" t="s">
        <v>5109</v>
      </c>
      <c r="G310" t="s">
        <v>19</v>
      </c>
      <c r="J310" s="9" t="s">
        <v>12120</v>
      </c>
      <c r="Q310" s="10"/>
      <c r="U310" s="9" t="str">
        <f t="shared" ca="1" si="10"/>
        <v/>
      </c>
      <c r="V310" s="9" t="str">
        <f t="shared" ca="1" si="11"/>
        <v/>
      </c>
    </row>
    <row r="311" spans="1:33">
      <c r="A311" s="3" t="s">
        <v>485</v>
      </c>
      <c r="D311" s="3" t="s">
        <v>5110</v>
      </c>
      <c r="E311" s="3" t="s">
        <v>5111</v>
      </c>
      <c r="J311" s="9" t="s">
        <v>25</v>
      </c>
      <c r="L311" s="9">
        <v>1</v>
      </c>
      <c r="M311" s="9">
        <v>3</v>
      </c>
      <c r="N311" s="9" t="s">
        <v>12078</v>
      </c>
      <c r="O311" s="9" t="s">
        <v>12079</v>
      </c>
      <c r="Q311" s="10"/>
      <c r="S311" s="9">
        <v>11843</v>
      </c>
      <c r="U311" s="9" t="str">
        <f t="shared" ca="1" si="10"/>
        <v/>
      </c>
      <c r="V311" s="9" t="str">
        <f t="shared" ca="1" si="11"/>
        <v/>
      </c>
      <c r="AG311" s="9" t="s">
        <v>20</v>
      </c>
    </row>
    <row r="312" spans="1:33">
      <c r="A312" s="3" t="s">
        <v>486</v>
      </c>
      <c r="D312" s="3" t="s">
        <v>5112</v>
      </c>
      <c r="E312" s="3" t="s">
        <v>5113</v>
      </c>
      <c r="J312" s="9" t="s">
        <v>25</v>
      </c>
      <c r="L312" s="9">
        <v>1</v>
      </c>
      <c r="M312" s="9">
        <v>3</v>
      </c>
      <c r="N312" s="9" t="s">
        <v>12087</v>
      </c>
      <c r="O312" s="9" t="s">
        <v>12079</v>
      </c>
      <c r="Q312" s="10"/>
      <c r="S312" s="9">
        <v>810</v>
      </c>
      <c r="U312" s="9" t="str">
        <f t="shared" ca="1" si="10"/>
        <v/>
      </c>
      <c r="V312" s="9" t="str">
        <f t="shared" ca="1" si="11"/>
        <v/>
      </c>
      <c r="AG312" s="9" t="s">
        <v>19</v>
      </c>
    </row>
    <row r="313" spans="1:33">
      <c r="A313" s="3" t="s">
        <v>486</v>
      </c>
      <c r="D313" s="3" t="s">
        <v>5114</v>
      </c>
      <c r="E313" s="3" t="s">
        <v>12167</v>
      </c>
      <c r="J313" s="9" t="s">
        <v>24</v>
      </c>
      <c r="L313" s="9">
        <v>1</v>
      </c>
      <c r="M313" s="9">
        <v>3</v>
      </c>
      <c r="N313" s="9" t="s">
        <v>12078</v>
      </c>
      <c r="O313" s="9" t="s">
        <v>12079</v>
      </c>
      <c r="Q313" s="10"/>
      <c r="S313" s="9">
        <v>11843</v>
      </c>
      <c r="U313" s="9" t="str">
        <f t="shared" ca="1" si="10"/>
        <v/>
      </c>
      <c r="V313" s="9" t="str">
        <f t="shared" ca="1" si="11"/>
        <v/>
      </c>
      <c r="AG313" s="9" t="s">
        <v>20</v>
      </c>
    </row>
    <row r="314" spans="1:33">
      <c r="A314" s="3" t="s">
        <v>486</v>
      </c>
      <c r="D314" s="3" t="s">
        <v>12169</v>
      </c>
      <c r="E314" s="3" t="s">
        <v>12168</v>
      </c>
      <c r="J314" s="9" t="s">
        <v>12118</v>
      </c>
      <c r="Q314" s="10"/>
      <c r="T314" s="9" t="s">
        <v>12131</v>
      </c>
      <c r="U314" s="9" t="str">
        <f t="shared" ca="1" si="10"/>
        <v/>
      </c>
      <c r="V314" s="9" t="str">
        <f t="shared" ca="1" si="11"/>
        <v/>
      </c>
      <c r="AB314" s="9" t="s">
        <v>12124</v>
      </c>
      <c r="AD314" s="9" t="s">
        <v>19</v>
      </c>
    </row>
    <row r="315" spans="1:33">
      <c r="A315" s="3" t="s">
        <v>487</v>
      </c>
      <c r="D315" s="3" t="s">
        <v>278</v>
      </c>
      <c r="E315" s="5" t="s">
        <v>279</v>
      </c>
      <c r="F315" t="s">
        <v>16</v>
      </c>
      <c r="Q315" s="10"/>
      <c r="U315" s="9" t="str">
        <f t="shared" ca="1" si="10"/>
        <v/>
      </c>
      <c r="V315" s="9" t="str">
        <f t="shared" ca="1" si="11"/>
        <v/>
      </c>
    </row>
    <row r="316" spans="1:33">
      <c r="A316" s="3" t="s">
        <v>487</v>
      </c>
      <c r="D316" s="3" t="s">
        <v>12971</v>
      </c>
      <c r="E316" s="3" t="s">
        <v>12973</v>
      </c>
      <c r="J316" s="9" t="s">
        <v>12120</v>
      </c>
      <c r="Q316" s="10"/>
      <c r="U316" s="9" t="str">
        <f t="shared" ca="1" si="10"/>
        <v/>
      </c>
      <c r="V316" s="9" t="str">
        <f t="shared" ca="1" si="11"/>
        <v/>
      </c>
      <c r="AG316" s="9" t="s">
        <v>20</v>
      </c>
    </row>
    <row r="317" spans="1:33">
      <c r="A317" s="3" t="s">
        <v>487</v>
      </c>
      <c r="D317" s="3" t="s">
        <v>12972</v>
      </c>
      <c r="E317" s="3" t="s">
        <v>12974</v>
      </c>
      <c r="G317" t="s">
        <v>19</v>
      </c>
      <c r="J317" s="9" t="s">
        <v>12120</v>
      </c>
      <c r="Q317" s="10"/>
      <c r="U317" s="9" t="str">
        <f t="shared" ca="1" si="10"/>
        <v/>
      </c>
      <c r="V317" s="9" t="str">
        <f t="shared" ca="1" si="11"/>
        <v/>
      </c>
      <c r="AE317" s="9" t="s">
        <v>12086</v>
      </c>
    </row>
    <row r="318" spans="1:33">
      <c r="A318" s="3" t="s">
        <v>487</v>
      </c>
      <c r="D318" s="3" t="s">
        <v>488</v>
      </c>
      <c r="E318" s="3" t="s">
        <v>489</v>
      </c>
      <c r="J318" s="9" t="s">
        <v>12120</v>
      </c>
      <c r="Q318" s="10"/>
      <c r="U318" s="9" t="str">
        <f t="shared" ca="1" si="10"/>
        <v/>
      </c>
      <c r="V318" s="9" t="str">
        <f t="shared" ca="1" si="11"/>
        <v/>
      </c>
      <c r="AC318" s="9" t="s">
        <v>12134</v>
      </c>
      <c r="AD318" s="9" t="s">
        <v>19</v>
      </c>
      <c r="AE318" s="9" t="s">
        <v>12086</v>
      </c>
    </row>
    <row r="319" spans="1:33">
      <c r="A319" s="3" t="s">
        <v>487</v>
      </c>
      <c r="D319" s="3" t="s">
        <v>490</v>
      </c>
      <c r="E319" s="3" t="s">
        <v>12975</v>
      </c>
      <c r="G319" t="s">
        <v>19</v>
      </c>
      <c r="J319" s="9" t="s">
        <v>12118</v>
      </c>
      <c r="Q319" s="10"/>
      <c r="T319" s="9" t="s">
        <v>12131</v>
      </c>
      <c r="U319" s="9" t="str">
        <f t="shared" ca="1" si="10"/>
        <v/>
      </c>
      <c r="V319" s="9" t="str">
        <f t="shared" ca="1" si="11"/>
        <v/>
      </c>
      <c r="AE319" s="9" t="s">
        <v>12077</v>
      </c>
    </row>
    <row r="320" spans="1:33">
      <c r="A320" s="3" t="s">
        <v>491</v>
      </c>
      <c r="D320" s="3" t="s">
        <v>5115</v>
      </c>
      <c r="E320" s="3" t="s">
        <v>5116</v>
      </c>
      <c r="J320" s="9" t="s">
        <v>12118</v>
      </c>
      <c r="Q320" s="10"/>
      <c r="T320" s="9" t="s">
        <v>12131</v>
      </c>
      <c r="U320" s="9" t="str">
        <f t="shared" ca="1" si="10"/>
        <v/>
      </c>
      <c r="V320" s="9" t="str">
        <f t="shared" ca="1" si="11"/>
        <v/>
      </c>
      <c r="AB320" s="9" t="s">
        <v>12124</v>
      </c>
      <c r="AD320" s="9" t="s">
        <v>19</v>
      </c>
    </row>
    <row r="321" spans="1:33">
      <c r="A321" s="3" t="s">
        <v>491</v>
      </c>
      <c r="D321" s="3" t="s">
        <v>5117</v>
      </c>
      <c r="E321" s="3" t="s">
        <v>5118</v>
      </c>
      <c r="I321" t="s">
        <v>5457</v>
      </c>
      <c r="J321" s="9" t="s">
        <v>26</v>
      </c>
      <c r="Q321" s="10"/>
      <c r="U321" s="9" t="str">
        <f t="shared" ref="U321:U384" ca="1" si="12">IF(ISNUMBER(T321),VALUE(MID(_xlfn.FORMULATEXT(T321),SEARCH("-",_xlfn.FORMULATEXT(T321))+1,LEN(_xlfn.FORMULATEXT(T321))-SEARCH("-",_xlfn.FORMULATEXT(T321)))), "")</f>
        <v/>
      </c>
      <c r="V321" s="9" t="str">
        <f t="shared" ref="V321:V384" ca="1" si="13">IF(ISNUMBER(T321), VALUE(MID(_xlfn.FORMULATEXT(T321), 2, SEARCH("-", _xlfn.FORMULATEXT(T321)) - 2)), "")</f>
        <v/>
      </c>
      <c r="AG321" s="9" t="s">
        <v>20</v>
      </c>
    </row>
    <row r="322" spans="1:33">
      <c r="A322" s="3" t="s">
        <v>492</v>
      </c>
      <c r="D322" s="3" t="s">
        <v>5119</v>
      </c>
      <c r="E322" s="3" t="s">
        <v>5120</v>
      </c>
      <c r="J322" s="9" t="s">
        <v>25</v>
      </c>
      <c r="L322" s="9">
        <v>1</v>
      </c>
      <c r="M322" s="9">
        <v>2</v>
      </c>
      <c r="N322" s="9" t="s">
        <v>12092</v>
      </c>
      <c r="O322" s="9" t="s">
        <v>12119</v>
      </c>
      <c r="Q322" s="10"/>
      <c r="S322" s="9">
        <v>472</v>
      </c>
      <c r="U322" s="9" t="str">
        <f t="shared" ca="1" si="12"/>
        <v/>
      </c>
      <c r="V322" s="9" t="str">
        <f t="shared" ca="1" si="13"/>
        <v/>
      </c>
      <c r="AG322" s="9" t="s">
        <v>20</v>
      </c>
    </row>
    <row r="323" spans="1:33">
      <c r="A323" s="3" t="s">
        <v>492</v>
      </c>
      <c r="D323" s="3" t="s">
        <v>493</v>
      </c>
      <c r="E323" s="3" t="s">
        <v>5121</v>
      </c>
      <c r="G323" t="s">
        <v>19</v>
      </c>
      <c r="J323" s="9" t="s">
        <v>12120</v>
      </c>
      <c r="Q323" s="10"/>
      <c r="U323" s="9" t="str">
        <f t="shared" ca="1" si="12"/>
        <v/>
      </c>
      <c r="V323" s="9" t="str">
        <f t="shared" ca="1" si="13"/>
        <v/>
      </c>
      <c r="AE323" s="9" t="s">
        <v>12089</v>
      </c>
    </row>
    <row r="324" spans="1:33">
      <c r="A324" s="3" t="s">
        <v>494</v>
      </c>
      <c r="D324" s="3" t="s">
        <v>5122</v>
      </c>
      <c r="E324" s="3" t="s">
        <v>5123</v>
      </c>
      <c r="J324" s="9" t="s">
        <v>12118</v>
      </c>
      <c r="Q324" s="10"/>
      <c r="T324" s="9">
        <f>186-165</f>
        <v>21</v>
      </c>
      <c r="U324" s="9">
        <f t="shared" ca="1" si="12"/>
        <v>165</v>
      </c>
      <c r="V324" s="9">
        <f t="shared" ca="1" si="13"/>
        <v>186</v>
      </c>
      <c r="AG324" s="9" t="s">
        <v>20</v>
      </c>
    </row>
    <row r="325" spans="1:33">
      <c r="A325" s="3" t="s">
        <v>494</v>
      </c>
      <c r="D325" s="3" t="s">
        <v>5124</v>
      </c>
      <c r="E325" s="3" t="s">
        <v>5127</v>
      </c>
      <c r="J325" s="9" t="s">
        <v>12118</v>
      </c>
      <c r="Q325" s="10"/>
      <c r="T325" s="9">
        <f>84-0</f>
        <v>84</v>
      </c>
      <c r="U325" s="9">
        <f t="shared" ca="1" si="12"/>
        <v>0</v>
      </c>
      <c r="V325" s="9">
        <f t="shared" ca="1" si="13"/>
        <v>84</v>
      </c>
      <c r="AC325" s="9" t="s">
        <v>12130</v>
      </c>
      <c r="AD325" s="9" t="s">
        <v>19</v>
      </c>
    </row>
    <row r="326" spans="1:33">
      <c r="A326" s="3" t="s">
        <v>494</v>
      </c>
      <c r="D326" s="3" t="s">
        <v>5125</v>
      </c>
      <c r="E326" s="3" t="s">
        <v>5126</v>
      </c>
      <c r="J326" s="9" t="s">
        <v>12118</v>
      </c>
      <c r="Q326" s="10"/>
      <c r="T326" s="9">
        <f>84-0</f>
        <v>84</v>
      </c>
      <c r="U326" s="9">
        <f t="shared" ca="1" si="12"/>
        <v>0</v>
      </c>
      <c r="V326" s="9">
        <f t="shared" ca="1" si="13"/>
        <v>84</v>
      </c>
      <c r="AC326" s="9" t="s">
        <v>12130</v>
      </c>
      <c r="AD326" s="9" t="s">
        <v>19</v>
      </c>
    </row>
    <row r="327" spans="1:33">
      <c r="A327" s="3" t="s">
        <v>494</v>
      </c>
      <c r="D327" s="3" t="s">
        <v>496</v>
      </c>
      <c r="E327" s="3" t="s">
        <v>497</v>
      </c>
      <c r="J327" s="9" t="s">
        <v>12120</v>
      </c>
      <c r="Q327" s="10"/>
      <c r="U327" s="9" t="str">
        <f t="shared" ca="1" si="12"/>
        <v/>
      </c>
      <c r="V327" s="9" t="str">
        <f t="shared" ca="1" si="13"/>
        <v/>
      </c>
      <c r="AG327" s="9" t="s">
        <v>20</v>
      </c>
    </row>
    <row r="328" spans="1:33">
      <c r="A328" s="3" t="s">
        <v>498</v>
      </c>
      <c r="D328" s="3" t="s">
        <v>129</v>
      </c>
      <c r="E328" s="3" t="s">
        <v>130</v>
      </c>
      <c r="J328" s="9" t="s">
        <v>12120</v>
      </c>
      <c r="Q328" s="10"/>
      <c r="U328" s="9" t="str">
        <f t="shared" ca="1" si="12"/>
        <v/>
      </c>
      <c r="V328" s="9" t="str">
        <f t="shared" ca="1" si="13"/>
        <v/>
      </c>
      <c r="AC328" s="9" t="s">
        <v>12130</v>
      </c>
      <c r="AD328" s="9" t="s">
        <v>19</v>
      </c>
    </row>
    <row r="329" spans="1:33">
      <c r="A329" s="3" t="s">
        <v>499</v>
      </c>
      <c r="D329" s="3" t="s">
        <v>5128</v>
      </c>
      <c r="E329" s="3" t="s">
        <v>5129</v>
      </c>
      <c r="J329" s="9" t="s">
        <v>12120</v>
      </c>
      <c r="Q329" s="10"/>
      <c r="U329" s="9" t="str">
        <f t="shared" ca="1" si="12"/>
        <v/>
      </c>
      <c r="V329" s="9" t="str">
        <f t="shared" ca="1" si="13"/>
        <v/>
      </c>
      <c r="AG329" s="9" t="s">
        <v>20</v>
      </c>
    </row>
    <row r="330" spans="1:33">
      <c r="A330" s="3" t="s">
        <v>499</v>
      </c>
      <c r="D330" s="3" t="s">
        <v>500</v>
      </c>
      <c r="E330" s="3" t="s">
        <v>501</v>
      </c>
      <c r="J330" s="9" t="s">
        <v>12120</v>
      </c>
      <c r="Q330" s="10"/>
      <c r="U330" s="9" t="str">
        <f t="shared" ca="1" si="12"/>
        <v/>
      </c>
      <c r="V330" s="9" t="str">
        <f t="shared" ca="1" si="13"/>
        <v/>
      </c>
      <c r="AC330" s="9" t="s">
        <v>12130</v>
      </c>
      <c r="AD330" s="9" t="s">
        <v>19</v>
      </c>
    </row>
    <row r="331" spans="1:33" ht="29">
      <c r="A331" s="3" t="s">
        <v>502</v>
      </c>
      <c r="D331" s="3" t="s">
        <v>5132</v>
      </c>
      <c r="E331" s="3" t="s">
        <v>5130</v>
      </c>
      <c r="G331" t="s">
        <v>19</v>
      </c>
      <c r="J331" s="9" t="s">
        <v>25</v>
      </c>
      <c r="L331" s="9">
        <v>1</v>
      </c>
      <c r="M331" s="9">
        <v>5</v>
      </c>
      <c r="N331" s="9" t="s">
        <v>12072</v>
      </c>
      <c r="O331" s="9" t="s">
        <v>12073</v>
      </c>
      <c r="P331" s="9" t="s">
        <v>12149</v>
      </c>
      <c r="Q331" s="10" t="s">
        <v>12160</v>
      </c>
      <c r="S331" s="9">
        <v>42</v>
      </c>
      <c r="U331" s="9" t="str">
        <f t="shared" ca="1" si="12"/>
        <v/>
      </c>
      <c r="V331" s="9" t="str">
        <f t="shared" ca="1" si="13"/>
        <v/>
      </c>
    </row>
    <row r="332" spans="1:33" ht="29">
      <c r="A332" s="3" t="s">
        <v>503</v>
      </c>
      <c r="D332" s="3" t="s">
        <v>5131</v>
      </c>
      <c r="E332" s="3" t="s">
        <v>5133</v>
      </c>
      <c r="G332" t="s">
        <v>19</v>
      </c>
      <c r="J332" s="9" t="s">
        <v>24</v>
      </c>
      <c r="L332" s="9">
        <v>1</v>
      </c>
      <c r="M332" s="9">
        <v>1</v>
      </c>
      <c r="N332" s="9" t="s">
        <v>12078</v>
      </c>
      <c r="O332" s="9" t="s">
        <v>12119</v>
      </c>
      <c r="Q332" s="10"/>
      <c r="S332" s="9">
        <v>11843</v>
      </c>
      <c r="U332" s="9" t="str">
        <f t="shared" ca="1" si="12"/>
        <v/>
      </c>
      <c r="V332" s="9" t="str">
        <f t="shared" ca="1" si="13"/>
        <v/>
      </c>
    </row>
    <row r="333" spans="1:33">
      <c r="A333" s="3" t="s">
        <v>503</v>
      </c>
      <c r="D333" s="3" t="s">
        <v>504</v>
      </c>
      <c r="E333" s="3" t="s">
        <v>505</v>
      </c>
      <c r="H333" t="s">
        <v>19</v>
      </c>
      <c r="J333" s="9" t="s">
        <v>12120</v>
      </c>
      <c r="Q333" s="10"/>
      <c r="U333" s="9" t="str">
        <f t="shared" ca="1" si="12"/>
        <v/>
      </c>
      <c r="V333" s="9" t="str">
        <f t="shared" ca="1" si="13"/>
        <v/>
      </c>
      <c r="AC333" s="9" t="s">
        <v>12740</v>
      </c>
      <c r="AD333" s="9" t="s">
        <v>19</v>
      </c>
    </row>
    <row r="334" spans="1:33">
      <c r="A334" s="3" t="s">
        <v>506</v>
      </c>
      <c r="D334" s="3" t="s">
        <v>129</v>
      </c>
      <c r="E334" s="3" t="s">
        <v>130</v>
      </c>
      <c r="J334" s="9" t="s">
        <v>12120</v>
      </c>
      <c r="Q334" s="10"/>
      <c r="U334" s="9" t="str">
        <f t="shared" ca="1" si="12"/>
        <v/>
      </c>
      <c r="V334" s="9" t="str">
        <f t="shared" ca="1" si="13"/>
        <v/>
      </c>
      <c r="AC334" s="9" t="s">
        <v>12130</v>
      </c>
      <c r="AD334" s="9" t="s">
        <v>19</v>
      </c>
    </row>
    <row r="335" spans="1:33">
      <c r="A335" s="3" t="s">
        <v>507</v>
      </c>
      <c r="D335" s="3" t="s">
        <v>5134</v>
      </c>
      <c r="E335" s="3" t="s">
        <v>5135</v>
      </c>
      <c r="J335" s="9" t="s">
        <v>12118</v>
      </c>
      <c r="Q335" s="10"/>
      <c r="T335" s="9">
        <f>5676-193</f>
        <v>5483</v>
      </c>
      <c r="U335" s="9">
        <f t="shared" ca="1" si="12"/>
        <v>193</v>
      </c>
      <c r="V335" s="9">
        <f t="shared" ca="1" si="13"/>
        <v>5676</v>
      </c>
      <c r="AG335" s="9" t="s">
        <v>19</v>
      </c>
    </row>
    <row r="336" spans="1:33" ht="29">
      <c r="A336" s="3" t="s">
        <v>508</v>
      </c>
      <c r="D336" s="3" t="s">
        <v>5137</v>
      </c>
      <c r="E336" s="3" t="s">
        <v>5136</v>
      </c>
      <c r="J336" s="9" t="s">
        <v>12118</v>
      </c>
      <c r="Q336" s="10"/>
      <c r="T336" s="9" t="s">
        <v>12131</v>
      </c>
      <c r="U336" s="9" t="str">
        <f t="shared" ca="1" si="12"/>
        <v/>
      </c>
      <c r="V336" s="9" t="str">
        <f t="shared" ca="1" si="13"/>
        <v/>
      </c>
      <c r="AC336" s="9" t="s">
        <v>12130</v>
      </c>
      <c r="AD336" s="9" t="s">
        <v>19</v>
      </c>
      <c r="AE336" s="9" t="s">
        <v>12086</v>
      </c>
    </row>
    <row r="337" spans="1:33" ht="29">
      <c r="A337" s="3" t="s">
        <v>508</v>
      </c>
      <c r="D337" s="3" t="s">
        <v>5138</v>
      </c>
      <c r="E337" s="3" t="s">
        <v>5139</v>
      </c>
      <c r="G337" t="s">
        <v>19</v>
      </c>
      <c r="J337" s="9" t="s">
        <v>12118</v>
      </c>
      <c r="Q337" s="10"/>
      <c r="T337" s="9">
        <f>4240-1741</f>
        <v>2499</v>
      </c>
      <c r="U337" s="9">
        <f t="shared" ca="1" si="12"/>
        <v>1741</v>
      </c>
      <c r="V337" s="9">
        <f t="shared" ca="1" si="13"/>
        <v>4240</v>
      </c>
    </row>
    <row r="338" spans="1:33">
      <c r="A338" s="3" t="s">
        <v>508</v>
      </c>
      <c r="D338" s="3" t="s">
        <v>5140</v>
      </c>
      <c r="E338" s="3" t="s">
        <v>5141</v>
      </c>
      <c r="J338" s="9" t="s">
        <v>12118</v>
      </c>
      <c r="Q338" s="10"/>
      <c r="T338" s="9" t="s">
        <v>12131</v>
      </c>
      <c r="U338" s="9" t="str">
        <f t="shared" ca="1" si="12"/>
        <v/>
      </c>
      <c r="V338" s="9" t="str">
        <f t="shared" ca="1" si="13"/>
        <v/>
      </c>
      <c r="AC338" s="9" t="s">
        <v>12130</v>
      </c>
      <c r="AD338" s="9" t="s">
        <v>19</v>
      </c>
      <c r="AE338" s="9" t="s">
        <v>12086</v>
      </c>
    </row>
    <row r="339" spans="1:33">
      <c r="A339" s="3" t="s">
        <v>509</v>
      </c>
      <c r="D339" s="3" t="s">
        <v>5142</v>
      </c>
      <c r="E339" s="3" t="s">
        <v>5143</v>
      </c>
      <c r="G339" t="s">
        <v>19</v>
      </c>
      <c r="J339" s="9" t="s">
        <v>12120</v>
      </c>
      <c r="Q339" s="10"/>
      <c r="U339" s="9" t="str">
        <f t="shared" ca="1" si="12"/>
        <v/>
      </c>
      <c r="V339" s="9" t="str">
        <f t="shared" ca="1" si="13"/>
        <v/>
      </c>
      <c r="AE339" s="9" t="s">
        <v>12086</v>
      </c>
    </row>
    <row r="340" spans="1:33">
      <c r="A340" s="3" t="s">
        <v>510</v>
      </c>
      <c r="D340" s="3" t="s">
        <v>511</v>
      </c>
      <c r="E340" s="3" t="s">
        <v>512</v>
      </c>
      <c r="G340" t="s">
        <v>21</v>
      </c>
      <c r="I340" t="s">
        <v>5144</v>
      </c>
      <c r="J340" s="9" t="s">
        <v>12118</v>
      </c>
      <c r="Q340" s="10"/>
      <c r="T340" s="9" t="s">
        <v>12131</v>
      </c>
      <c r="U340" s="9" t="str">
        <f t="shared" ca="1" si="12"/>
        <v/>
      </c>
      <c r="V340" s="9" t="str">
        <f t="shared" ca="1" si="13"/>
        <v/>
      </c>
      <c r="AB340" s="9" t="s">
        <v>12124</v>
      </c>
      <c r="AC340" s="9" t="s">
        <v>12130</v>
      </c>
      <c r="AD340" s="9" t="s">
        <v>19</v>
      </c>
    </row>
    <row r="341" spans="1:33">
      <c r="A341" s="3" t="s">
        <v>510</v>
      </c>
      <c r="D341" s="3" t="s">
        <v>5146</v>
      </c>
      <c r="E341" s="3" t="s">
        <v>5145</v>
      </c>
      <c r="G341" t="s">
        <v>19</v>
      </c>
      <c r="I341" t="s">
        <v>12641</v>
      </c>
      <c r="J341" s="9" t="s">
        <v>12118</v>
      </c>
      <c r="Q341" s="10"/>
      <c r="T341" s="9">
        <f>38-14</f>
        <v>24</v>
      </c>
      <c r="U341" s="9">
        <f t="shared" ca="1" si="12"/>
        <v>14</v>
      </c>
      <c r="V341" s="9">
        <f t="shared" ca="1" si="13"/>
        <v>38</v>
      </c>
      <c r="W341" s="9" t="s">
        <v>4</v>
      </c>
    </row>
    <row r="342" spans="1:33">
      <c r="A342" s="3" t="s">
        <v>510</v>
      </c>
      <c r="D342" s="3" t="s">
        <v>12172</v>
      </c>
      <c r="E342" s="11" t="s">
        <v>513</v>
      </c>
      <c r="G342" t="s">
        <v>19</v>
      </c>
      <c r="J342" s="9" t="s">
        <v>12118</v>
      </c>
      <c r="Q342" s="10"/>
      <c r="T342" s="9" t="s">
        <v>12131</v>
      </c>
      <c r="U342" s="9" t="str">
        <f t="shared" ca="1" si="12"/>
        <v/>
      </c>
      <c r="V342" s="9" t="str">
        <f t="shared" ca="1" si="13"/>
        <v/>
      </c>
      <c r="AE342" s="9" t="s">
        <v>12086</v>
      </c>
    </row>
    <row r="343" spans="1:33">
      <c r="A343" s="3" t="s">
        <v>510</v>
      </c>
      <c r="D343" s="3" t="s">
        <v>5147</v>
      </c>
      <c r="E343" s="3" t="s">
        <v>5148</v>
      </c>
      <c r="H343" t="s">
        <v>19</v>
      </c>
      <c r="J343" s="9" t="s">
        <v>24</v>
      </c>
      <c r="L343" s="9">
        <v>1</v>
      </c>
      <c r="M343" s="9">
        <v>3</v>
      </c>
      <c r="N343" s="9" t="s">
        <v>12078</v>
      </c>
      <c r="O343" s="9" t="s">
        <v>12079</v>
      </c>
      <c r="Q343" s="10"/>
      <c r="S343" s="9">
        <v>11843</v>
      </c>
      <c r="U343" s="9" t="str">
        <f t="shared" ca="1" si="12"/>
        <v/>
      </c>
      <c r="V343" s="9" t="str">
        <f t="shared" ca="1" si="13"/>
        <v/>
      </c>
      <c r="AG343" s="9" t="s">
        <v>20</v>
      </c>
    </row>
    <row r="344" spans="1:33">
      <c r="A344" s="3" t="s">
        <v>514</v>
      </c>
      <c r="D344" s="3" t="s">
        <v>5149</v>
      </c>
      <c r="E344" s="3" t="s">
        <v>5150</v>
      </c>
      <c r="G344" t="s">
        <v>19</v>
      </c>
      <c r="J344" s="9" t="s">
        <v>25</v>
      </c>
      <c r="L344" s="9">
        <v>1</v>
      </c>
      <c r="M344" s="9">
        <v>3</v>
      </c>
      <c r="N344" s="9" t="s">
        <v>12078</v>
      </c>
      <c r="O344" s="9" t="s">
        <v>12079</v>
      </c>
      <c r="Q344" s="10"/>
      <c r="S344" s="9">
        <v>11843</v>
      </c>
      <c r="U344" s="9" t="str">
        <f t="shared" ca="1" si="12"/>
        <v/>
      </c>
      <c r="V344" s="9" t="str">
        <f t="shared" ca="1" si="13"/>
        <v/>
      </c>
    </row>
    <row r="345" spans="1:33">
      <c r="A345" s="3" t="s">
        <v>514</v>
      </c>
      <c r="D345" s="3" t="s">
        <v>5151</v>
      </c>
      <c r="E345" s="3" t="s">
        <v>5152</v>
      </c>
      <c r="J345" s="9" t="s">
        <v>12120</v>
      </c>
      <c r="Q345" s="10"/>
      <c r="U345" s="9" t="str">
        <f t="shared" ca="1" si="12"/>
        <v/>
      </c>
      <c r="V345" s="9" t="str">
        <f t="shared" ca="1" si="13"/>
        <v/>
      </c>
      <c r="AC345" s="9" t="s">
        <v>12130</v>
      </c>
      <c r="AD345" s="9" t="s">
        <v>19</v>
      </c>
    </row>
    <row r="346" spans="1:33">
      <c r="A346" s="3" t="s">
        <v>515</v>
      </c>
      <c r="D346" s="3" t="s">
        <v>4152</v>
      </c>
      <c r="E346" s="3" t="s">
        <v>516</v>
      </c>
      <c r="F346" t="s">
        <v>12122</v>
      </c>
      <c r="I346" t="s">
        <v>5153</v>
      </c>
      <c r="Q346" s="10"/>
      <c r="U346" s="9" t="str">
        <f t="shared" ca="1" si="12"/>
        <v/>
      </c>
      <c r="V346" s="9" t="str">
        <f t="shared" ca="1" si="13"/>
        <v/>
      </c>
    </row>
    <row r="347" spans="1:33">
      <c r="A347" s="3" t="s">
        <v>515</v>
      </c>
      <c r="D347" s="3" t="s">
        <v>5154</v>
      </c>
      <c r="E347" s="3" t="s">
        <v>5155</v>
      </c>
      <c r="J347" s="9" t="s">
        <v>12120</v>
      </c>
      <c r="Q347" s="10"/>
      <c r="U347" s="9" t="str">
        <f t="shared" ca="1" si="12"/>
        <v/>
      </c>
      <c r="V347" s="9" t="str">
        <f t="shared" ca="1" si="13"/>
        <v/>
      </c>
      <c r="AG347" s="9" t="s">
        <v>20</v>
      </c>
    </row>
    <row r="348" spans="1:33">
      <c r="A348" s="3" t="s">
        <v>515</v>
      </c>
      <c r="D348" s="3" t="s">
        <v>517</v>
      </c>
      <c r="E348" s="3" t="s">
        <v>518</v>
      </c>
      <c r="J348" s="9" t="s">
        <v>12118</v>
      </c>
      <c r="Q348" s="10"/>
      <c r="T348" s="9" t="s">
        <v>12131</v>
      </c>
      <c r="U348" s="9" t="str">
        <f t="shared" ca="1" si="12"/>
        <v/>
      </c>
      <c r="V348" s="9" t="str">
        <f t="shared" ca="1" si="13"/>
        <v/>
      </c>
      <c r="AC348" s="9" t="s">
        <v>12130</v>
      </c>
      <c r="AD348" s="9" t="s">
        <v>19</v>
      </c>
      <c r="AE348" s="9" t="s">
        <v>12086</v>
      </c>
    </row>
    <row r="349" spans="1:33">
      <c r="A349" s="3" t="s">
        <v>519</v>
      </c>
      <c r="D349" s="3" t="s">
        <v>5156</v>
      </c>
      <c r="E349" s="3" t="s">
        <v>5157</v>
      </c>
      <c r="J349" s="9" t="s">
        <v>12120</v>
      </c>
      <c r="Q349" s="10"/>
      <c r="U349" s="9" t="str">
        <f t="shared" ca="1" si="12"/>
        <v/>
      </c>
      <c r="V349" s="9" t="str">
        <f t="shared" ca="1" si="13"/>
        <v/>
      </c>
      <c r="AC349" s="9" t="s">
        <v>12173</v>
      </c>
      <c r="AD349" s="9" t="s">
        <v>19</v>
      </c>
      <c r="AE349" s="9" t="s">
        <v>12089</v>
      </c>
    </row>
    <row r="350" spans="1:33">
      <c r="A350" s="3" t="s">
        <v>522</v>
      </c>
      <c r="D350" s="3" t="s">
        <v>523</v>
      </c>
      <c r="E350" s="3" t="s">
        <v>524</v>
      </c>
      <c r="J350" s="9" t="s">
        <v>12120</v>
      </c>
      <c r="Q350" s="10"/>
      <c r="U350" s="9" t="str">
        <f t="shared" ca="1" si="12"/>
        <v/>
      </c>
      <c r="V350" s="9" t="str">
        <f t="shared" ca="1" si="13"/>
        <v/>
      </c>
      <c r="AC350" s="9" t="s">
        <v>12130</v>
      </c>
      <c r="AD350" s="9" t="s">
        <v>19</v>
      </c>
    </row>
    <row r="351" spans="1:33" ht="29">
      <c r="A351" s="3" t="s">
        <v>522</v>
      </c>
      <c r="D351" s="3" t="s">
        <v>5158</v>
      </c>
      <c r="E351" s="3" t="s">
        <v>5159</v>
      </c>
      <c r="G351" t="s">
        <v>19</v>
      </c>
      <c r="J351" s="9" t="s">
        <v>25</v>
      </c>
      <c r="L351" s="9">
        <v>1</v>
      </c>
      <c r="M351" s="9">
        <v>5</v>
      </c>
      <c r="N351" s="9" t="s">
        <v>12094</v>
      </c>
      <c r="O351" s="9" t="s">
        <v>12073</v>
      </c>
      <c r="P351" s="9" t="s">
        <v>12149</v>
      </c>
      <c r="Q351" s="10" t="s">
        <v>12143</v>
      </c>
      <c r="S351" s="9">
        <v>4240</v>
      </c>
      <c r="U351" s="9" t="str">
        <f t="shared" ca="1" si="12"/>
        <v/>
      </c>
      <c r="V351" s="9" t="str">
        <f t="shared" ca="1" si="13"/>
        <v/>
      </c>
    </row>
    <row r="352" spans="1:33">
      <c r="A352" s="3" t="s">
        <v>522</v>
      </c>
      <c r="D352" s="3" t="s">
        <v>5160</v>
      </c>
      <c r="E352" s="3" t="s">
        <v>5161</v>
      </c>
      <c r="G352" t="s">
        <v>19</v>
      </c>
      <c r="J352" s="9" t="s">
        <v>12120</v>
      </c>
      <c r="Q352" s="10"/>
      <c r="U352" s="9" t="str">
        <f t="shared" ca="1" si="12"/>
        <v/>
      </c>
      <c r="V352" s="9" t="str">
        <f t="shared" ca="1" si="13"/>
        <v/>
      </c>
    </row>
    <row r="353" spans="1:33">
      <c r="A353" s="3" t="s">
        <v>526</v>
      </c>
      <c r="D353" s="3" t="s">
        <v>527</v>
      </c>
      <c r="E353" s="3" t="s">
        <v>528</v>
      </c>
      <c r="G353" t="s">
        <v>20</v>
      </c>
      <c r="I353" t="s">
        <v>5162</v>
      </c>
      <c r="J353" s="9" t="s">
        <v>12120</v>
      </c>
      <c r="Q353" s="10"/>
      <c r="U353" s="9" t="str">
        <f t="shared" ca="1" si="12"/>
        <v/>
      </c>
      <c r="V353" s="9" t="str">
        <f t="shared" ca="1" si="13"/>
        <v/>
      </c>
      <c r="AC353" s="9" t="s">
        <v>12180</v>
      </c>
      <c r="AD353" s="9" t="s">
        <v>19</v>
      </c>
      <c r="AE353" s="9" t="s">
        <v>12086</v>
      </c>
    </row>
    <row r="354" spans="1:33">
      <c r="A354" s="3" t="s">
        <v>529</v>
      </c>
      <c r="D354" s="3" t="s">
        <v>5163</v>
      </c>
      <c r="E354" s="3" t="s">
        <v>5164</v>
      </c>
      <c r="J354" s="9" t="s">
        <v>12118</v>
      </c>
      <c r="Q354" s="10"/>
      <c r="T354" s="9">
        <f>5676-193</f>
        <v>5483</v>
      </c>
      <c r="U354" s="9">
        <f t="shared" ca="1" si="12"/>
        <v>193</v>
      </c>
      <c r="V354" s="9">
        <f t="shared" ca="1" si="13"/>
        <v>5676</v>
      </c>
      <c r="AG354" s="9" t="s">
        <v>19</v>
      </c>
    </row>
    <row r="355" spans="1:33">
      <c r="A355" s="3" t="s">
        <v>530</v>
      </c>
      <c r="D355" s="3" t="s">
        <v>5165</v>
      </c>
      <c r="E355" s="3" t="s">
        <v>5166</v>
      </c>
      <c r="J355" s="9" t="s">
        <v>24</v>
      </c>
      <c r="L355" s="9">
        <v>1</v>
      </c>
      <c r="M355" s="9">
        <v>2</v>
      </c>
      <c r="N355" s="9" t="s">
        <v>12123</v>
      </c>
      <c r="O355" s="9" t="s">
        <v>12119</v>
      </c>
      <c r="Q355" s="10"/>
      <c r="S355" s="9">
        <v>134</v>
      </c>
      <c r="U355" s="9" t="str">
        <f t="shared" ca="1" si="12"/>
        <v/>
      </c>
      <c r="V355" s="9" t="str">
        <f t="shared" ca="1" si="13"/>
        <v/>
      </c>
      <c r="AG355" s="9" t="s">
        <v>19</v>
      </c>
    </row>
    <row r="356" spans="1:33">
      <c r="A356" s="3" t="s">
        <v>531</v>
      </c>
      <c r="D356" s="3" t="s">
        <v>5167</v>
      </c>
      <c r="E356" s="3" t="s">
        <v>5168</v>
      </c>
      <c r="G356" t="s">
        <v>19</v>
      </c>
      <c r="J356" s="9" t="s">
        <v>12118</v>
      </c>
      <c r="Q356" s="10"/>
      <c r="T356" s="9">
        <f>1294-1565</f>
        <v>-271</v>
      </c>
      <c r="U356" s="9">
        <f t="shared" ca="1" si="12"/>
        <v>1565</v>
      </c>
      <c r="V356" s="9">
        <f t="shared" ca="1" si="13"/>
        <v>1294</v>
      </c>
      <c r="AE356" s="9" t="s">
        <v>12089</v>
      </c>
    </row>
    <row r="357" spans="1:33">
      <c r="A357" s="3" t="s">
        <v>532</v>
      </c>
      <c r="D357" s="3" t="s">
        <v>533</v>
      </c>
      <c r="E357" s="3" t="s">
        <v>534</v>
      </c>
      <c r="J357" s="9" t="s">
        <v>12120</v>
      </c>
      <c r="Q357" s="10"/>
      <c r="U357" s="9" t="str">
        <f t="shared" ca="1" si="12"/>
        <v/>
      </c>
      <c r="V357" s="9" t="str">
        <f t="shared" ca="1" si="13"/>
        <v/>
      </c>
      <c r="AB357" s="9" t="s">
        <v>12738</v>
      </c>
      <c r="AD357" s="9" t="s">
        <v>19</v>
      </c>
      <c r="AE357" s="9" t="s">
        <v>12086</v>
      </c>
    </row>
    <row r="358" spans="1:33">
      <c r="A358" s="3" t="s">
        <v>532</v>
      </c>
      <c r="D358" s="3" t="s">
        <v>536</v>
      </c>
      <c r="E358" s="3" t="s">
        <v>3288</v>
      </c>
      <c r="G358" t="s">
        <v>19</v>
      </c>
      <c r="J358" s="9" t="s">
        <v>12120</v>
      </c>
      <c r="Q358" s="10"/>
      <c r="U358" s="9" t="str">
        <f t="shared" ca="1" si="12"/>
        <v/>
      </c>
      <c r="V358" s="9" t="str">
        <f t="shared" ca="1" si="13"/>
        <v/>
      </c>
      <c r="AC358" s="9" t="s">
        <v>12180</v>
      </c>
      <c r="AD358" s="9" t="s">
        <v>19</v>
      </c>
    </row>
    <row r="359" spans="1:33">
      <c r="A359" s="3" t="s">
        <v>537</v>
      </c>
      <c r="D359" s="3" t="s">
        <v>5169</v>
      </c>
      <c r="E359" s="3" t="s">
        <v>5170</v>
      </c>
      <c r="J359" s="9" t="s">
        <v>24</v>
      </c>
      <c r="L359" s="9">
        <v>1</v>
      </c>
      <c r="M359" s="9">
        <v>3</v>
      </c>
      <c r="N359" s="9" t="s">
        <v>12078</v>
      </c>
      <c r="O359" s="9" t="s">
        <v>12079</v>
      </c>
      <c r="Q359" s="10"/>
      <c r="S359" s="9">
        <v>11843</v>
      </c>
      <c r="U359" s="9" t="str">
        <f t="shared" ca="1" si="12"/>
        <v/>
      </c>
      <c r="V359" s="9" t="str">
        <f t="shared" ca="1" si="13"/>
        <v/>
      </c>
      <c r="AG359" s="9" t="s">
        <v>19</v>
      </c>
    </row>
    <row r="360" spans="1:33">
      <c r="A360" s="3" t="s">
        <v>538</v>
      </c>
      <c r="D360" s="3" t="s">
        <v>539</v>
      </c>
      <c r="E360" s="3" t="s">
        <v>540</v>
      </c>
      <c r="J360" s="9" t="s">
        <v>12120</v>
      </c>
      <c r="Q360" s="10"/>
      <c r="U360" s="9" t="str">
        <f t="shared" ca="1" si="12"/>
        <v/>
      </c>
      <c r="V360" s="9" t="str">
        <f t="shared" ca="1" si="13"/>
        <v/>
      </c>
      <c r="AC360" s="9" t="s">
        <v>12134</v>
      </c>
      <c r="AD360" s="9" t="s">
        <v>19</v>
      </c>
    </row>
    <row r="361" spans="1:33">
      <c r="A361" s="3" t="s">
        <v>538</v>
      </c>
      <c r="D361" s="3" t="s">
        <v>541</v>
      </c>
      <c r="E361" s="3" t="s">
        <v>542</v>
      </c>
      <c r="I361" t="s">
        <v>12642</v>
      </c>
      <c r="J361" s="9" t="s">
        <v>12120</v>
      </c>
      <c r="Q361" s="10"/>
      <c r="U361" s="9" t="str">
        <f t="shared" ca="1" si="12"/>
        <v/>
      </c>
      <c r="V361" s="9" t="str">
        <f t="shared" ca="1" si="13"/>
        <v/>
      </c>
      <c r="W361" s="9" t="s">
        <v>12117</v>
      </c>
      <c r="AG361" s="9" t="s">
        <v>20</v>
      </c>
    </row>
    <row r="362" spans="1:33">
      <c r="A362" s="3" t="s">
        <v>543</v>
      </c>
      <c r="D362" s="3" t="s">
        <v>5171</v>
      </c>
      <c r="E362" s="3" t="s">
        <v>5172</v>
      </c>
      <c r="J362" s="9" t="s">
        <v>12118</v>
      </c>
      <c r="Q362" s="10"/>
      <c r="T362" s="9">
        <f>92-1966</f>
        <v>-1874</v>
      </c>
      <c r="U362" s="9">
        <f t="shared" ca="1" si="12"/>
        <v>1966</v>
      </c>
      <c r="V362" s="9">
        <f t="shared" ca="1" si="13"/>
        <v>92</v>
      </c>
      <c r="AG362" s="9" t="s">
        <v>20</v>
      </c>
    </row>
    <row r="363" spans="1:33">
      <c r="A363" s="3" t="s">
        <v>543</v>
      </c>
      <c r="D363" s="3" t="s">
        <v>143</v>
      </c>
      <c r="E363" s="5" t="s">
        <v>144</v>
      </c>
      <c r="F363" t="s">
        <v>16</v>
      </c>
      <c r="Q363" s="10"/>
      <c r="U363" s="9" t="str">
        <f t="shared" ca="1" si="12"/>
        <v/>
      </c>
      <c r="V363" s="9" t="str">
        <f t="shared" ca="1" si="13"/>
        <v/>
      </c>
    </row>
    <row r="364" spans="1:33">
      <c r="A364" s="3" t="s">
        <v>544</v>
      </c>
      <c r="D364" s="3" t="s">
        <v>5173</v>
      </c>
      <c r="E364" s="3" t="s">
        <v>5174</v>
      </c>
      <c r="J364" s="9" t="s">
        <v>12120</v>
      </c>
      <c r="Q364" s="10"/>
      <c r="U364" s="9" t="str">
        <f t="shared" ca="1" si="12"/>
        <v/>
      </c>
      <c r="V364" s="9" t="str">
        <f t="shared" ca="1" si="13"/>
        <v/>
      </c>
      <c r="AB364" s="9" t="s">
        <v>12738</v>
      </c>
      <c r="AD364" s="9" t="s">
        <v>19</v>
      </c>
    </row>
    <row r="365" spans="1:33">
      <c r="A365" s="3" t="s">
        <v>545</v>
      </c>
      <c r="D365" s="3" t="s">
        <v>5175</v>
      </c>
      <c r="E365" s="3" t="s">
        <v>5176</v>
      </c>
      <c r="G365" t="s">
        <v>19</v>
      </c>
      <c r="J365" s="9" t="s">
        <v>12120</v>
      </c>
      <c r="Q365" s="10"/>
      <c r="U365" s="9" t="str">
        <f t="shared" ca="1" si="12"/>
        <v/>
      </c>
      <c r="V365" s="9" t="str">
        <f t="shared" ca="1" si="13"/>
        <v/>
      </c>
    </row>
    <row r="366" spans="1:33">
      <c r="A366" s="3" t="s">
        <v>547</v>
      </c>
      <c r="D366" s="3" t="s">
        <v>548</v>
      </c>
      <c r="E366" s="3" t="s">
        <v>549</v>
      </c>
      <c r="J366" s="9" t="s">
        <v>12118</v>
      </c>
      <c r="Q366" s="10"/>
      <c r="T366" s="9" t="s">
        <v>12131</v>
      </c>
      <c r="U366" s="9" t="str">
        <f t="shared" ca="1" si="12"/>
        <v/>
      </c>
      <c r="V366" s="9" t="str">
        <f t="shared" ca="1" si="13"/>
        <v/>
      </c>
      <c r="AC366" s="9" t="s">
        <v>12134</v>
      </c>
      <c r="AD366" s="9" t="s">
        <v>19</v>
      </c>
      <c r="AE366" s="9" t="s">
        <v>12086</v>
      </c>
    </row>
    <row r="367" spans="1:33">
      <c r="A367" s="3" t="s">
        <v>547</v>
      </c>
      <c r="D367" s="3" t="s">
        <v>5177</v>
      </c>
      <c r="E367" s="3" t="s">
        <v>5178</v>
      </c>
      <c r="J367" s="9" t="s">
        <v>25</v>
      </c>
      <c r="L367" s="9">
        <v>1</v>
      </c>
      <c r="M367" s="9">
        <v>2</v>
      </c>
      <c r="N367" s="9" t="s">
        <v>12123</v>
      </c>
      <c r="O367" s="9" t="s">
        <v>12119</v>
      </c>
      <c r="Q367" s="10"/>
      <c r="S367" s="9">
        <v>887</v>
      </c>
      <c r="U367" s="9" t="str">
        <f t="shared" ca="1" si="12"/>
        <v/>
      </c>
      <c r="V367" s="9" t="str">
        <f t="shared" ca="1" si="13"/>
        <v/>
      </c>
      <c r="AG367" s="9" t="s">
        <v>20</v>
      </c>
    </row>
    <row r="368" spans="1:33">
      <c r="A368" s="3" t="s">
        <v>550</v>
      </c>
      <c r="D368" s="3" t="s">
        <v>551</v>
      </c>
      <c r="E368" s="3" t="s">
        <v>552</v>
      </c>
      <c r="J368" s="9" t="s">
        <v>12118</v>
      </c>
      <c r="Q368" s="10"/>
      <c r="T368" s="9" t="s">
        <v>12131</v>
      </c>
      <c r="U368" s="9" t="str">
        <f t="shared" ca="1" si="12"/>
        <v/>
      </c>
      <c r="V368" s="9" t="str">
        <f t="shared" ca="1" si="13"/>
        <v/>
      </c>
      <c r="AC368" s="9" t="s">
        <v>12742</v>
      </c>
      <c r="AD368" s="9" t="s">
        <v>19</v>
      </c>
      <c r="AE368" s="9" t="s">
        <v>12077</v>
      </c>
    </row>
    <row r="369" spans="1:33">
      <c r="A369" s="3" t="s">
        <v>554</v>
      </c>
      <c r="D369" s="3" t="s">
        <v>5179</v>
      </c>
      <c r="E369" s="3" t="s">
        <v>5180</v>
      </c>
      <c r="J369" s="9" t="s">
        <v>24</v>
      </c>
      <c r="L369" s="9">
        <v>1</v>
      </c>
      <c r="M369" s="9">
        <v>2</v>
      </c>
      <c r="N369" s="9" t="s">
        <v>12078</v>
      </c>
      <c r="O369" s="9" t="s">
        <v>12119</v>
      </c>
      <c r="Q369" s="10"/>
      <c r="S369" s="9">
        <v>11843</v>
      </c>
      <c r="U369" s="9" t="str">
        <f t="shared" ca="1" si="12"/>
        <v/>
      </c>
      <c r="V369" s="9" t="str">
        <f t="shared" ca="1" si="13"/>
        <v/>
      </c>
      <c r="AG369" s="9" t="s">
        <v>19</v>
      </c>
    </row>
    <row r="370" spans="1:33">
      <c r="A370" s="3" t="s">
        <v>555</v>
      </c>
      <c r="D370" s="3" t="s">
        <v>5181</v>
      </c>
      <c r="E370" s="5" t="s">
        <v>5182</v>
      </c>
      <c r="F370" t="s">
        <v>16</v>
      </c>
      <c r="Q370" s="10"/>
      <c r="U370" s="9" t="str">
        <f t="shared" ca="1" si="12"/>
        <v/>
      </c>
      <c r="V370" s="9" t="str">
        <f t="shared" ca="1" si="13"/>
        <v/>
      </c>
    </row>
    <row r="371" spans="1:33">
      <c r="A371" s="3" t="s">
        <v>555</v>
      </c>
      <c r="D371" s="3" t="s">
        <v>5183</v>
      </c>
      <c r="E371" s="3" t="s">
        <v>5184</v>
      </c>
      <c r="J371" s="9" t="s">
        <v>12120</v>
      </c>
      <c r="Q371" s="10"/>
      <c r="U371" s="9" t="str">
        <f t="shared" ca="1" si="12"/>
        <v/>
      </c>
      <c r="V371" s="9" t="str">
        <f t="shared" ca="1" si="13"/>
        <v/>
      </c>
      <c r="AC371" s="9" t="s">
        <v>12130</v>
      </c>
      <c r="AD371" s="9" t="s">
        <v>19</v>
      </c>
    </row>
    <row r="372" spans="1:33">
      <c r="A372" s="3" t="s">
        <v>556</v>
      </c>
      <c r="D372" s="3" t="s">
        <v>557</v>
      </c>
      <c r="E372" s="3" t="s">
        <v>558</v>
      </c>
      <c r="J372" s="9" t="s">
        <v>12118</v>
      </c>
      <c r="Q372" s="10"/>
      <c r="T372" s="9">
        <f>22-3</f>
        <v>19</v>
      </c>
      <c r="U372" s="9">
        <f t="shared" ca="1" si="12"/>
        <v>3</v>
      </c>
      <c r="V372" s="9">
        <f t="shared" ca="1" si="13"/>
        <v>22</v>
      </c>
      <c r="AG372" s="9" t="s">
        <v>19</v>
      </c>
    </row>
    <row r="373" spans="1:33">
      <c r="A373" s="3" t="s">
        <v>559</v>
      </c>
      <c r="D373" s="3" t="s">
        <v>5185</v>
      </c>
      <c r="E373" s="3" t="s">
        <v>5186</v>
      </c>
      <c r="J373" s="9" t="s">
        <v>12118</v>
      </c>
      <c r="Q373" s="10"/>
      <c r="T373" s="9">
        <f>560-7</f>
        <v>553</v>
      </c>
      <c r="U373" s="9">
        <f t="shared" ca="1" si="12"/>
        <v>7</v>
      </c>
      <c r="V373" s="9">
        <f t="shared" ca="1" si="13"/>
        <v>560</v>
      </c>
      <c r="AC373" s="9" t="s">
        <v>12130</v>
      </c>
      <c r="AD373" s="9" t="s">
        <v>19</v>
      </c>
    </row>
    <row r="374" spans="1:33">
      <c r="A374" s="3" t="s">
        <v>560</v>
      </c>
      <c r="D374" s="3" t="s">
        <v>5187</v>
      </c>
      <c r="E374" s="3" t="s">
        <v>5188</v>
      </c>
      <c r="G374" t="s">
        <v>19</v>
      </c>
      <c r="J374" s="9" t="s">
        <v>24</v>
      </c>
      <c r="L374" s="9">
        <v>1</v>
      </c>
      <c r="M374" s="9">
        <v>2</v>
      </c>
      <c r="N374" s="9" t="s">
        <v>12096</v>
      </c>
      <c r="O374" s="9" t="s">
        <v>12119</v>
      </c>
      <c r="Q374" s="10"/>
      <c r="S374" s="9">
        <v>1294</v>
      </c>
      <c r="U374" s="9" t="str">
        <f t="shared" ca="1" si="12"/>
        <v/>
      </c>
      <c r="V374" s="9" t="str">
        <f t="shared" ca="1" si="13"/>
        <v/>
      </c>
    </row>
    <row r="375" spans="1:33">
      <c r="A375" s="3" t="s">
        <v>560</v>
      </c>
      <c r="D375" s="3" t="s">
        <v>561</v>
      </c>
      <c r="E375" s="3" t="s">
        <v>562</v>
      </c>
      <c r="J375" s="9" t="s">
        <v>12121</v>
      </c>
      <c r="Q375" s="10"/>
      <c r="T375" s="9" t="s">
        <v>12131</v>
      </c>
      <c r="U375" s="9" t="str">
        <f t="shared" ca="1" si="12"/>
        <v/>
      </c>
      <c r="V375" s="9" t="str">
        <f t="shared" ca="1" si="13"/>
        <v/>
      </c>
      <c r="AC375" s="9" t="s">
        <v>12174</v>
      </c>
      <c r="AD375" s="9" t="s">
        <v>20</v>
      </c>
      <c r="AE375" s="9" t="s">
        <v>12077</v>
      </c>
    </row>
    <row r="376" spans="1:33" ht="43.5">
      <c r="A376" s="3" t="s">
        <v>560</v>
      </c>
      <c r="D376" s="3" t="s">
        <v>5189</v>
      </c>
      <c r="E376" s="3" t="s">
        <v>5190</v>
      </c>
      <c r="I376" t="s">
        <v>5457</v>
      </c>
      <c r="J376" s="9" t="s">
        <v>26</v>
      </c>
      <c r="Q376" s="10"/>
      <c r="U376" s="9" t="str">
        <f t="shared" ca="1" si="12"/>
        <v/>
      </c>
      <c r="V376" s="9" t="str">
        <f t="shared" ca="1" si="13"/>
        <v/>
      </c>
      <c r="AG376" s="9" t="s">
        <v>20</v>
      </c>
    </row>
    <row r="377" spans="1:33" ht="29">
      <c r="A377" s="3" t="s">
        <v>564</v>
      </c>
      <c r="D377" s="3" t="s">
        <v>5191</v>
      </c>
      <c r="E377" s="3" t="s">
        <v>5192</v>
      </c>
      <c r="J377" s="9" t="s">
        <v>24</v>
      </c>
      <c r="L377" s="9">
        <v>1</v>
      </c>
      <c r="M377" s="9">
        <v>6</v>
      </c>
      <c r="N377" s="9" t="s">
        <v>12096</v>
      </c>
      <c r="O377" s="9" t="s">
        <v>12079</v>
      </c>
      <c r="Q377" s="10"/>
      <c r="S377" s="9">
        <v>930</v>
      </c>
      <c r="U377" s="9" t="str">
        <f t="shared" ca="1" si="12"/>
        <v/>
      </c>
      <c r="V377" s="9" t="str">
        <f t="shared" ca="1" si="13"/>
        <v/>
      </c>
      <c r="AG377" s="9" t="s">
        <v>19</v>
      </c>
    </row>
    <row r="378" spans="1:33" ht="29">
      <c r="A378" s="3" t="s">
        <v>564</v>
      </c>
      <c r="D378" s="3" t="s">
        <v>12976</v>
      </c>
      <c r="E378" s="3" t="s">
        <v>12977</v>
      </c>
      <c r="G378" t="s">
        <v>19</v>
      </c>
      <c r="J378" s="9" t="s">
        <v>12120</v>
      </c>
      <c r="Q378" s="10"/>
      <c r="U378" s="9" t="str">
        <f t="shared" ca="1" si="12"/>
        <v/>
      </c>
      <c r="V378" s="9" t="str">
        <f t="shared" ca="1" si="13"/>
        <v/>
      </c>
      <c r="AE378" s="9" t="s">
        <v>12089</v>
      </c>
    </row>
    <row r="379" spans="1:33" ht="29">
      <c r="A379" s="3" t="s">
        <v>564</v>
      </c>
      <c r="D379" s="3" t="s">
        <v>12978</v>
      </c>
      <c r="E379" s="3" t="s">
        <v>12979</v>
      </c>
      <c r="J379" s="9" t="s">
        <v>12121</v>
      </c>
      <c r="Q379" s="10"/>
      <c r="T379" s="9" t="s">
        <v>12131</v>
      </c>
      <c r="U379" s="9" t="str">
        <f t="shared" ca="1" si="12"/>
        <v/>
      </c>
      <c r="V379" s="9" t="str">
        <f t="shared" ca="1" si="13"/>
        <v/>
      </c>
      <c r="AC379" s="9" t="s">
        <v>12130</v>
      </c>
      <c r="AD379" s="9" t="s">
        <v>19</v>
      </c>
      <c r="AE379" s="9" t="s">
        <v>12083</v>
      </c>
    </row>
    <row r="380" spans="1:33">
      <c r="A380" s="3" t="s">
        <v>565</v>
      </c>
      <c r="D380" s="3" t="s">
        <v>566</v>
      </c>
      <c r="E380" s="3" t="s">
        <v>567</v>
      </c>
      <c r="J380" s="9" t="s">
        <v>12120</v>
      </c>
      <c r="Q380" s="10"/>
      <c r="U380" s="9" t="str">
        <f t="shared" ca="1" si="12"/>
        <v/>
      </c>
      <c r="V380" s="9" t="str">
        <f t="shared" ca="1" si="13"/>
        <v/>
      </c>
      <c r="AG380" s="9" t="s">
        <v>20</v>
      </c>
    </row>
    <row r="381" spans="1:33">
      <c r="A381" s="3" t="s">
        <v>568</v>
      </c>
      <c r="D381" s="3" t="s">
        <v>5193</v>
      </c>
      <c r="E381" s="3" t="s">
        <v>5194</v>
      </c>
      <c r="I381" t="s">
        <v>5457</v>
      </c>
      <c r="J381" s="9" t="s">
        <v>26</v>
      </c>
      <c r="Q381" s="10"/>
      <c r="U381" s="9" t="str">
        <f t="shared" ca="1" si="12"/>
        <v/>
      </c>
      <c r="V381" s="9" t="str">
        <f t="shared" ca="1" si="13"/>
        <v/>
      </c>
      <c r="AG381" s="9" t="s">
        <v>20</v>
      </c>
    </row>
    <row r="382" spans="1:33">
      <c r="A382" s="3" t="s">
        <v>569</v>
      </c>
      <c r="D382" s="3" t="s">
        <v>5195</v>
      </c>
      <c r="E382" s="3" t="s">
        <v>5196</v>
      </c>
      <c r="J382" s="9" t="s">
        <v>12120</v>
      </c>
      <c r="Q382" s="10"/>
      <c r="U382" s="9" t="str">
        <f t="shared" ca="1" si="12"/>
        <v/>
      </c>
      <c r="V382" s="9" t="str">
        <f t="shared" ca="1" si="13"/>
        <v/>
      </c>
      <c r="AC382" s="9" t="s">
        <v>12173</v>
      </c>
      <c r="AD382" s="9" t="s">
        <v>19</v>
      </c>
      <c r="AE382" s="9" t="s">
        <v>12083</v>
      </c>
    </row>
    <row r="383" spans="1:33">
      <c r="A383" s="3" t="s">
        <v>569</v>
      </c>
      <c r="D383" s="3" t="s">
        <v>570</v>
      </c>
      <c r="E383" s="3" t="s">
        <v>571</v>
      </c>
      <c r="J383" s="9" t="s">
        <v>12118</v>
      </c>
      <c r="Q383" s="10"/>
      <c r="T383" s="9" t="s">
        <v>12131</v>
      </c>
      <c r="U383" s="9" t="str">
        <f t="shared" ca="1" si="12"/>
        <v/>
      </c>
      <c r="V383" s="9" t="str">
        <f t="shared" ca="1" si="13"/>
        <v/>
      </c>
      <c r="AC383" s="9" t="s">
        <v>12742</v>
      </c>
      <c r="AD383" s="9" t="s">
        <v>19</v>
      </c>
      <c r="AE383" s="9" t="s">
        <v>12086</v>
      </c>
    </row>
    <row r="384" spans="1:33">
      <c r="A384" s="3" t="s">
        <v>569</v>
      </c>
      <c r="D384" s="3" t="s">
        <v>5197</v>
      </c>
      <c r="E384" s="3" t="s">
        <v>5198</v>
      </c>
      <c r="G384" t="s">
        <v>19</v>
      </c>
      <c r="J384" s="9" t="s">
        <v>24</v>
      </c>
      <c r="L384" s="9">
        <v>1</v>
      </c>
      <c r="M384" s="9">
        <v>3</v>
      </c>
      <c r="N384" s="9" t="s">
        <v>12087</v>
      </c>
      <c r="O384" s="9" t="s">
        <v>12079</v>
      </c>
      <c r="Q384" s="10"/>
      <c r="S384" s="9">
        <v>5676</v>
      </c>
      <c r="U384" s="9" t="str">
        <f t="shared" ca="1" si="12"/>
        <v/>
      </c>
      <c r="V384" s="9" t="str">
        <f t="shared" ca="1" si="13"/>
        <v/>
      </c>
    </row>
    <row r="385" spans="1:33">
      <c r="A385" s="3" t="s">
        <v>573</v>
      </c>
      <c r="D385" s="3" t="s">
        <v>574</v>
      </c>
      <c r="E385" s="3" t="s">
        <v>575</v>
      </c>
      <c r="J385" s="9" t="s">
        <v>12120</v>
      </c>
      <c r="Q385" s="10"/>
      <c r="U385" s="9" t="str">
        <f t="shared" ref="U385:U448" ca="1" si="14">IF(ISNUMBER(T385),VALUE(MID(_xlfn.FORMULATEXT(T385),SEARCH("-",_xlfn.FORMULATEXT(T385))+1,LEN(_xlfn.FORMULATEXT(T385))-SEARCH("-",_xlfn.FORMULATEXT(T385)))), "")</f>
        <v/>
      </c>
      <c r="V385" s="9" t="str">
        <f t="shared" ref="V385:V448" ca="1" si="15">IF(ISNUMBER(T385), VALUE(MID(_xlfn.FORMULATEXT(T385), 2, SEARCH("-", _xlfn.FORMULATEXT(T385)) - 2)), "")</f>
        <v/>
      </c>
      <c r="AG385" s="9" t="s">
        <v>19</v>
      </c>
    </row>
    <row r="386" spans="1:33">
      <c r="A386" s="3" t="s">
        <v>576</v>
      </c>
      <c r="D386" s="3" t="s">
        <v>577</v>
      </c>
      <c r="E386" s="3" t="s">
        <v>578</v>
      </c>
      <c r="J386" s="9" t="s">
        <v>12120</v>
      </c>
      <c r="Q386" s="10"/>
      <c r="U386" s="9" t="str">
        <f t="shared" ca="1" si="14"/>
        <v/>
      </c>
      <c r="V386" s="9" t="str">
        <f t="shared" ca="1" si="15"/>
        <v/>
      </c>
      <c r="AE386" s="9" t="s">
        <v>12083</v>
      </c>
    </row>
    <row r="387" spans="1:33">
      <c r="A387" s="3" t="s">
        <v>579</v>
      </c>
      <c r="D387" s="3" t="s">
        <v>5199</v>
      </c>
      <c r="E387" s="3" t="s">
        <v>5200</v>
      </c>
      <c r="G387" t="s">
        <v>19</v>
      </c>
      <c r="J387" s="9" t="s">
        <v>12118</v>
      </c>
      <c r="Q387" s="10"/>
      <c r="T387" s="9" t="s">
        <v>12131</v>
      </c>
      <c r="U387" s="9" t="str">
        <f t="shared" ca="1" si="14"/>
        <v/>
      </c>
      <c r="V387" s="9" t="str">
        <f t="shared" ca="1" si="15"/>
        <v/>
      </c>
      <c r="AE387" s="9" t="s">
        <v>12086</v>
      </c>
    </row>
    <row r="388" spans="1:33">
      <c r="A388" s="3" t="s">
        <v>580</v>
      </c>
      <c r="D388" s="3" t="s">
        <v>5201</v>
      </c>
      <c r="E388" s="3" t="s">
        <v>5202</v>
      </c>
      <c r="G388" t="s">
        <v>19</v>
      </c>
      <c r="J388" s="9" t="s">
        <v>24</v>
      </c>
      <c r="L388" s="9">
        <v>1</v>
      </c>
      <c r="M388" s="9">
        <v>3</v>
      </c>
      <c r="N388" s="9" t="s">
        <v>12078</v>
      </c>
      <c r="O388" s="9" t="s">
        <v>12073</v>
      </c>
      <c r="P388" s="9" t="s">
        <v>12149</v>
      </c>
      <c r="Q388" s="10" t="s">
        <v>12143</v>
      </c>
      <c r="S388" s="9">
        <v>11843</v>
      </c>
      <c r="U388" s="9" t="str">
        <f t="shared" ca="1" si="14"/>
        <v/>
      </c>
      <c r="V388" s="9" t="str">
        <f t="shared" ca="1" si="15"/>
        <v/>
      </c>
    </row>
    <row r="389" spans="1:33">
      <c r="A389" s="3" t="s">
        <v>580</v>
      </c>
      <c r="D389" s="3" t="s">
        <v>4815</v>
      </c>
      <c r="E389" s="3" t="s">
        <v>581</v>
      </c>
      <c r="J389" s="9" t="s">
        <v>12120</v>
      </c>
      <c r="Q389" s="10"/>
      <c r="U389" s="9" t="str">
        <f t="shared" ca="1" si="14"/>
        <v/>
      </c>
      <c r="V389" s="9" t="str">
        <f t="shared" ca="1" si="15"/>
        <v/>
      </c>
      <c r="AG389" s="9" t="s">
        <v>19</v>
      </c>
    </row>
    <row r="390" spans="1:33">
      <c r="A390" s="3" t="s">
        <v>580</v>
      </c>
      <c r="D390" s="3" t="s">
        <v>5203</v>
      </c>
      <c r="E390" s="3" t="s">
        <v>5204</v>
      </c>
      <c r="J390" s="9" t="s">
        <v>12120</v>
      </c>
      <c r="Q390" s="10"/>
      <c r="U390" s="9" t="str">
        <f t="shared" ca="1" si="14"/>
        <v/>
      </c>
      <c r="V390" s="9" t="str">
        <f t="shared" ca="1" si="15"/>
        <v/>
      </c>
      <c r="AC390" s="9" t="s">
        <v>12173</v>
      </c>
      <c r="AD390" s="9" t="s">
        <v>19</v>
      </c>
    </row>
    <row r="391" spans="1:33" ht="29">
      <c r="A391" s="3" t="s">
        <v>582</v>
      </c>
      <c r="D391" s="3" t="s">
        <v>5205</v>
      </c>
      <c r="E391" s="3" t="s">
        <v>5206</v>
      </c>
      <c r="J391" s="9" t="s">
        <v>24</v>
      </c>
      <c r="L391" s="9">
        <v>2</v>
      </c>
      <c r="M391" s="9">
        <v>14</v>
      </c>
      <c r="O391" s="9" t="s">
        <v>12079</v>
      </c>
      <c r="Q391" s="10"/>
      <c r="S391" s="9">
        <v>196</v>
      </c>
      <c r="U391" s="9" t="str">
        <f t="shared" ca="1" si="14"/>
        <v/>
      </c>
      <c r="V391" s="9" t="str">
        <f t="shared" ca="1" si="15"/>
        <v/>
      </c>
      <c r="AE391" s="9" t="s">
        <v>12089</v>
      </c>
    </row>
    <row r="392" spans="1:33">
      <c r="A392" s="3" t="s">
        <v>583</v>
      </c>
      <c r="D392" s="3" t="s">
        <v>584</v>
      </c>
      <c r="E392" s="3" t="s">
        <v>90</v>
      </c>
      <c r="G392" t="s">
        <v>19</v>
      </c>
      <c r="J392" s="9" t="s">
        <v>12118</v>
      </c>
      <c r="Q392" s="10"/>
      <c r="T392" s="9" t="s">
        <v>12131</v>
      </c>
      <c r="U392" s="9" t="str">
        <f t="shared" ca="1" si="14"/>
        <v/>
      </c>
      <c r="V392" s="9" t="str">
        <f t="shared" ca="1" si="15"/>
        <v/>
      </c>
      <c r="AE392" s="9" t="s">
        <v>12086</v>
      </c>
    </row>
    <row r="393" spans="1:33">
      <c r="A393" s="3" t="s">
        <v>585</v>
      </c>
      <c r="D393" s="3" t="s">
        <v>586</v>
      </c>
      <c r="E393" s="3" t="s">
        <v>141</v>
      </c>
      <c r="J393" s="9" t="s">
        <v>12120</v>
      </c>
      <c r="Q393" s="10"/>
      <c r="U393" s="9" t="str">
        <f t="shared" ca="1" si="14"/>
        <v/>
      </c>
      <c r="V393" s="9" t="str">
        <f t="shared" ca="1" si="15"/>
        <v/>
      </c>
      <c r="AC393" s="9" t="s">
        <v>12130</v>
      </c>
      <c r="AD393" s="9" t="s">
        <v>19</v>
      </c>
    </row>
    <row r="394" spans="1:33" ht="29">
      <c r="A394" s="3" t="s">
        <v>587</v>
      </c>
      <c r="D394" s="3" t="s">
        <v>5207</v>
      </c>
      <c r="E394" s="3" t="s">
        <v>5208</v>
      </c>
      <c r="G394" t="s">
        <v>19</v>
      </c>
      <c r="I394" t="s">
        <v>12175</v>
      </c>
      <c r="J394" s="9" t="s">
        <v>12118</v>
      </c>
      <c r="Q394" s="10"/>
      <c r="T394" s="9">
        <f>277-0</f>
        <v>277</v>
      </c>
      <c r="U394" s="9">
        <f t="shared" ca="1" si="14"/>
        <v>0</v>
      </c>
      <c r="V394" s="9">
        <f t="shared" ca="1" si="15"/>
        <v>277</v>
      </c>
      <c r="AE394" s="9" t="s">
        <v>12089</v>
      </c>
    </row>
    <row r="395" spans="1:33">
      <c r="A395" s="3" t="s">
        <v>588</v>
      </c>
      <c r="D395" s="3" t="s">
        <v>589</v>
      </c>
      <c r="E395" s="3" t="s">
        <v>590</v>
      </c>
      <c r="J395" s="9" t="s">
        <v>12118</v>
      </c>
      <c r="Q395" s="10"/>
      <c r="T395" s="9" t="s">
        <v>12131</v>
      </c>
      <c r="U395" s="9" t="str">
        <f t="shared" ca="1" si="14"/>
        <v/>
      </c>
      <c r="V395" s="9" t="str">
        <f t="shared" ca="1" si="15"/>
        <v/>
      </c>
      <c r="AC395" s="9" t="s">
        <v>12176</v>
      </c>
      <c r="AD395" s="9" t="s">
        <v>19</v>
      </c>
      <c r="AE395" s="9" t="s">
        <v>12086</v>
      </c>
    </row>
    <row r="396" spans="1:33">
      <c r="A396" s="3" t="s">
        <v>588</v>
      </c>
      <c r="D396" s="3" t="s">
        <v>591</v>
      </c>
      <c r="E396" s="3" t="s">
        <v>592</v>
      </c>
      <c r="J396" s="9" t="s">
        <v>12120</v>
      </c>
      <c r="Q396" s="10"/>
      <c r="U396" s="9" t="str">
        <f t="shared" ca="1" si="14"/>
        <v/>
      </c>
      <c r="V396" s="9" t="str">
        <f t="shared" ca="1" si="15"/>
        <v/>
      </c>
      <c r="AC396" s="9" t="s">
        <v>12744</v>
      </c>
      <c r="AD396" s="9" t="s">
        <v>19</v>
      </c>
      <c r="AE396" s="9" t="s">
        <v>12086</v>
      </c>
    </row>
    <row r="397" spans="1:33">
      <c r="A397" s="3" t="s">
        <v>593</v>
      </c>
      <c r="D397" s="3" t="s">
        <v>594</v>
      </c>
      <c r="E397" s="3" t="s">
        <v>595</v>
      </c>
      <c r="J397" s="9" t="s">
        <v>12120</v>
      </c>
      <c r="Q397" s="10"/>
      <c r="U397" s="9" t="str">
        <f t="shared" ca="1" si="14"/>
        <v/>
      </c>
      <c r="V397" s="9" t="str">
        <f t="shared" ca="1" si="15"/>
        <v/>
      </c>
      <c r="AG397" s="9" t="s">
        <v>19</v>
      </c>
    </row>
    <row r="398" spans="1:33" ht="29">
      <c r="A398" s="3" t="s">
        <v>593</v>
      </c>
      <c r="D398" s="3" t="s">
        <v>5209</v>
      </c>
      <c r="E398" s="3" t="s">
        <v>5210</v>
      </c>
      <c r="J398" s="9" t="s">
        <v>24</v>
      </c>
      <c r="L398" s="9">
        <v>1</v>
      </c>
      <c r="M398" s="9">
        <v>6</v>
      </c>
      <c r="N398" s="9" t="s">
        <v>12094</v>
      </c>
      <c r="O398" s="9" t="s">
        <v>12079</v>
      </c>
      <c r="Q398" s="10"/>
      <c r="S398" s="9">
        <v>930</v>
      </c>
      <c r="U398" s="9" t="str">
        <f t="shared" ca="1" si="14"/>
        <v/>
      </c>
      <c r="V398" s="9" t="str">
        <f t="shared" ca="1" si="15"/>
        <v/>
      </c>
      <c r="AG398" s="9" t="s">
        <v>19</v>
      </c>
    </row>
    <row r="399" spans="1:33">
      <c r="A399" s="3" t="s">
        <v>596</v>
      </c>
      <c r="D399" s="3" t="s">
        <v>597</v>
      </c>
      <c r="E399" s="3" t="s">
        <v>598</v>
      </c>
      <c r="J399" s="9" t="s">
        <v>12120</v>
      </c>
      <c r="Q399" s="10"/>
      <c r="U399" s="9" t="str">
        <f t="shared" ca="1" si="14"/>
        <v/>
      </c>
      <c r="V399" s="9" t="str">
        <f t="shared" ca="1" si="15"/>
        <v/>
      </c>
      <c r="AC399" s="9" t="s">
        <v>12740</v>
      </c>
      <c r="AD399" s="9" t="s">
        <v>19</v>
      </c>
    </row>
    <row r="400" spans="1:33">
      <c r="A400" s="3" t="s">
        <v>599</v>
      </c>
      <c r="D400" s="6" t="s">
        <v>600</v>
      </c>
      <c r="E400" s="3" t="s">
        <v>5211</v>
      </c>
      <c r="J400" s="9" t="s">
        <v>12118</v>
      </c>
      <c r="Q400" s="10"/>
      <c r="T400" s="9" t="s">
        <v>12131</v>
      </c>
      <c r="U400" s="9" t="str">
        <f t="shared" ca="1" si="14"/>
        <v/>
      </c>
      <c r="V400" s="9" t="str">
        <f t="shared" ca="1" si="15"/>
        <v/>
      </c>
      <c r="AE400" s="9" t="s">
        <v>12086</v>
      </c>
    </row>
    <row r="401" spans="1:33">
      <c r="A401" s="3" t="s">
        <v>601</v>
      </c>
      <c r="D401" s="3" t="s">
        <v>602</v>
      </c>
      <c r="E401" s="3" t="s">
        <v>603</v>
      </c>
      <c r="J401" s="9" t="s">
        <v>12118</v>
      </c>
      <c r="Q401" s="10"/>
      <c r="T401" s="9" t="s">
        <v>12131</v>
      </c>
      <c r="U401" s="9" t="str">
        <f t="shared" ca="1" si="14"/>
        <v/>
      </c>
      <c r="V401" s="9" t="str">
        <f t="shared" ca="1" si="15"/>
        <v/>
      </c>
      <c r="AC401" s="9" t="s">
        <v>12176</v>
      </c>
      <c r="AD401" s="9" t="s">
        <v>19</v>
      </c>
      <c r="AE401" s="9" t="s">
        <v>12086</v>
      </c>
    </row>
    <row r="402" spans="1:33">
      <c r="A402" s="3" t="s">
        <v>604</v>
      </c>
      <c r="D402" s="3" t="s">
        <v>605</v>
      </c>
      <c r="E402" s="3" t="s">
        <v>606</v>
      </c>
      <c r="J402" s="9" t="s">
        <v>12118</v>
      </c>
      <c r="Q402" s="10"/>
      <c r="T402" s="9" t="s">
        <v>12131</v>
      </c>
      <c r="U402" s="9" t="str">
        <f t="shared" ca="1" si="14"/>
        <v/>
      </c>
      <c r="V402" s="9" t="str">
        <f t="shared" ca="1" si="15"/>
        <v/>
      </c>
      <c r="AC402" s="9" t="s">
        <v>12176</v>
      </c>
      <c r="AD402" s="9" t="s">
        <v>19</v>
      </c>
      <c r="AE402" s="9" t="s">
        <v>12086</v>
      </c>
    </row>
    <row r="403" spans="1:33">
      <c r="A403" s="3" t="s">
        <v>604</v>
      </c>
      <c r="D403" s="3" t="s">
        <v>607</v>
      </c>
      <c r="E403" s="3" t="s">
        <v>608</v>
      </c>
      <c r="J403" s="9" t="s">
        <v>12118</v>
      </c>
      <c r="Q403" s="10"/>
      <c r="T403" s="9" t="s">
        <v>12131</v>
      </c>
      <c r="U403" s="9" t="str">
        <f t="shared" ca="1" si="14"/>
        <v/>
      </c>
      <c r="V403" s="9" t="str">
        <f t="shared" ca="1" si="15"/>
        <v/>
      </c>
      <c r="AC403" s="9" t="s">
        <v>12176</v>
      </c>
      <c r="AD403" s="9" t="s">
        <v>19</v>
      </c>
      <c r="AE403" s="9" t="s">
        <v>12086</v>
      </c>
    </row>
    <row r="404" spans="1:33">
      <c r="A404" s="3" t="s">
        <v>609</v>
      </c>
      <c r="D404" s="3" t="s">
        <v>610</v>
      </c>
      <c r="E404" s="3" t="s">
        <v>349</v>
      </c>
      <c r="J404" s="9" t="s">
        <v>12118</v>
      </c>
      <c r="Q404" s="10"/>
      <c r="T404" s="9" t="s">
        <v>12131</v>
      </c>
      <c r="U404" s="9" t="str">
        <f t="shared" ca="1" si="14"/>
        <v/>
      </c>
      <c r="V404" s="9" t="str">
        <f t="shared" ca="1" si="15"/>
        <v/>
      </c>
      <c r="AC404" s="9" t="s">
        <v>12134</v>
      </c>
      <c r="AD404" s="9" t="s">
        <v>19</v>
      </c>
      <c r="AE404" s="9" t="s">
        <v>12086</v>
      </c>
    </row>
    <row r="405" spans="1:33">
      <c r="A405" s="3" t="s">
        <v>611</v>
      </c>
      <c r="D405" s="3" t="s">
        <v>612</v>
      </c>
      <c r="E405" s="3" t="s">
        <v>613</v>
      </c>
      <c r="J405" s="9" t="s">
        <v>12120</v>
      </c>
      <c r="Q405" s="10"/>
      <c r="U405" s="9" t="str">
        <f t="shared" ca="1" si="14"/>
        <v/>
      </c>
      <c r="V405" s="9" t="str">
        <f t="shared" ca="1" si="15"/>
        <v/>
      </c>
      <c r="AG405" s="9" t="s">
        <v>20</v>
      </c>
    </row>
    <row r="406" spans="1:33">
      <c r="A406" s="3" t="s">
        <v>611</v>
      </c>
      <c r="D406" s="3" t="s">
        <v>5213</v>
      </c>
      <c r="E406" s="3" t="s">
        <v>5212</v>
      </c>
      <c r="J406" s="9" t="s">
        <v>25</v>
      </c>
      <c r="L406" s="9">
        <v>1</v>
      </c>
      <c r="M406" s="9">
        <v>2</v>
      </c>
      <c r="N406" s="9" t="s">
        <v>12078</v>
      </c>
      <c r="O406" s="9" t="s">
        <v>12119</v>
      </c>
      <c r="Q406" s="10"/>
      <c r="S406" s="9">
        <v>11843</v>
      </c>
      <c r="U406" s="9" t="str">
        <f t="shared" ca="1" si="14"/>
        <v/>
      </c>
      <c r="V406" s="9" t="str">
        <f t="shared" ca="1" si="15"/>
        <v/>
      </c>
      <c r="AG406" s="9" t="s">
        <v>19</v>
      </c>
    </row>
    <row r="407" spans="1:33">
      <c r="A407" s="3" t="s">
        <v>611</v>
      </c>
      <c r="D407" s="3" t="s">
        <v>5214</v>
      </c>
      <c r="E407" s="3" t="s">
        <v>5215</v>
      </c>
      <c r="J407" s="9" t="s">
        <v>12120</v>
      </c>
      <c r="Q407" s="10"/>
      <c r="U407" s="9" t="str">
        <f t="shared" ca="1" si="14"/>
        <v/>
      </c>
      <c r="V407" s="9" t="str">
        <f t="shared" ca="1" si="15"/>
        <v/>
      </c>
      <c r="AC407" s="9" t="s">
        <v>12134</v>
      </c>
      <c r="AD407" s="9" t="s">
        <v>19</v>
      </c>
    </row>
    <row r="408" spans="1:33">
      <c r="A408" s="3" t="s">
        <v>614</v>
      </c>
      <c r="D408" s="3" t="s">
        <v>591</v>
      </c>
      <c r="E408" s="3" t="s">
        <v>592</v>
      </c>
      <c r="J408" s="9" t="s">
        <v>12120</v>
      </c>
      <c r="Q408" s="10"/>
      <c r="U408" s="9" t="str">
        <f t="shared" ca="1" si="14"/>
        <v/>
      </c>
      <c r="V408" s="9" t="str">
        <f t="shared" ca="1" si="15"/>
        <v/>
      </c>
      <c r="AC408" s="9" t="s">
        <v>12744</v>
      </c>
      <c r="AD408" s="9" t="s">
        <v>19</v>
      </c>
      <c r="AE408" s="9" t="s">
        <v>12086</v>
      </c>
    </row>
    <row r="409" spans="1:33">
      <c r="A409" s="3" t="s">
        <v>615</v>
      </c>
      <c r="D409" s="3" t="s">
        <v>597</v>
      </c>
      <c r="E409" s="3" t="s">
        <v>598</v>
      </c>
      <c r="G409" t="s">
        <v>19</v>
      </c>
      <c r="J409" s="9" t="s">
        <v>12120</v>
      </c>
      <c r="Q409" s="10"/>
      <c r="U409" s="9" t="str">
        <f t="shared" ca="1" si="14"/>
        <v/>
      </c>
      <c r="V409" s="9" t="str">
        <f t="shared" ca="1" si="15"/>
        <v/>
      </c>
      <c r="AC409" s="9" t="s">
        <v>12740</v>
      </c>
      <c r="AD409" s="9" t="s">
        <v>19</v>
      </c>
    </row>
    <row r="410" spans="1:33" ht="43.5">
      <c r="A410" s="3" t="s">
        <v>616</v>
      </c>
      <c r="D410" s="3" t="s">
        <v>5216</v>
      </c>
      <c r="E410" s="3" t="s">
        <v>5217</v>
      </c>
      <c r="I410" t="s">
        <v>12177</v>
      </c>
      <c r="J410" s="9" t="s">
        <v>26</v>
      </c>
      <c r="Q410" s="10"/>
      <c r="U410" s="9" t="str">
        <f t="shared" ca="1" si="14"/>
        <v/>
      </c>
      <c r="V410" s="9" t="str">
        <f t="shared" ca="1" si="15"/>
        <v/>
      </c>
      <c r="AG410" s="9" t="s">
        <v>20</v>
      </c>
    </row>
    <row r="411" spans="1:33">
      <c r="A411" s="3" t="s">
        <v>617</v>
      </c>
      <c r="D411" s="3" t="s">
        <v>618</v>
      </c>
      <c r="E411" s="3" t="s">
        <v>619</v>
      </c>
      <c r="J411" s="9" t="s">
        <v>12118</v>
      </c>
      <c r="Q411" s="10"/>
      <c r="T411" s="9" t="s">
        <v>12131</v>
      </c>
      <c r="U411" s="9" t="str">
        <f t="shared" ca="1" si="14"/>
        <v/>
      </c>
      <c r="V411" s="9" t="str">
        <f t="shared" ca="1" si="15"/>
        <v/>
      </c>
      <c r="AC411" s="9" t="s">
        <v>12742</v>
      </c>
      <c r="AD411" s="9" t="s">
        <v>19</v>
      </c>
      <c r="AE411" s="9" t="s">
        <v>12086</v>
      </c>
    </row>
    <row r="412" spans="1:33">
      <c r="A412" s="3" t="s">
        <v>620</v>
      </c>
      <c r="D412" s="3" t="s">
        <v>621</v>
      </c>
      <c r="E412" s="3" t="s">
        <v>417</v>
      </c>
      <c r="J412" s="9" t="s">
        <v>12118</v>
      </c>
      <c r="Q412" s="10"/>
      <c r="T412" s="9" t="s">
        <v>12131</v>
      </c>
      <c r="U412" s="9" t="str">
        <f t="shared" ca="1" si="14"/>
        <v/>
      </c>
      <c r="V412" s="9" t="str">
        <f t="shared" ca="1" si="15"/>
        <v/>
      </c>
      <c r="AC412" s="9" t="s">
        <v>12130</v>
      </c>
      <c r="AD412" s="9" t="s">
        <v>19</v>
      </c>
      <c r="AE412" s="9" t="s">
        <v>12086</v>
      </c>
    </row>
    <row r="413" spans="1:33">
      <c r="A413" s="3" t="s">
        <v>622</v>
      </c>
      <c r="D413" s="3" t="s">
        <v>623</v>
      </c>
      <c r="E413" s="3" t="s">
        <v>624</v>
      </c>
      <c r="J413" s="9" t="s">
        <v>12118</v>
      </c>
      <c r="Q413" s="10"/>
      <c r="T413" s="9" t="s">
        <v>12131</v>
      </c>
      <c r="U413" s="9" t="str">
        <f t="shared" ca="1" si="14"/>
        <v/>
      </c>
      <c r="V413" s="9" t="str">
        <f t="shared" ca="1" si="15"/>
        <v/>
      </c>
      <c r="AC413" s="9" t="s">
        <v>12130</v>
      </c>
      <c r="AD413" s="9" t="s">
        <v>19</v>
      </c>
      <c r="AE413" s="9" t="s">
        <v>12086</v>
      </c>
    </row>
    <row r="414" spans="1:33">
      <c r="A414" s="3" t="s">
        <v>625</v>
      </c>
      <c r="D414" s="3" t="s">
        <v>5218</v>
      </c>
      <c r="E414" s="3" t="s">
        <v>5219</v>
      </c>
      <c r="J414" s="9" t="s">
        <v>12120</v>
      </c>
      <c r="Q414" s="10"/>
      <c r="U414" s="9" t="str">
        <f t="shared" ca="1" si="14"/>
        <v/>
      </c>
      <c r="V414" s="9" t="str">
        <f t="shared" ca="1" si="15"/>
        <v/>
      </c>
      <c r="AB414" s="9" t="s">
        <v>12082</v>
      </c>
      <c r="AD414" s="9" t="s">
        <v>19</v>
      </c>
    </row>
    <row r="415" spans="1:33">
      <c r="A415" s="3" t="s">
        <v>625</v>
      </c>
      <c r="D415" s="3" t="s">
        <v>117</v>
      </c>
      <c r="E415" s="3" t="s">
        <v>118</v>
      </c>
      <c r="J415" s="9" t="s">
        <v>12118</v>
      </c>
      <c r="Q415" s="10"/>
      <c r="T415" s="9" t="s">
        <v>12131</v>
      </c>
      <c r="U415" s="9" t="str">
        <f t="shared" ca="1" si="14"/>
        <v/>
      </c>
      <c r="V415" s="9" t="str">
        <f t="shared" ca="1" si="15"/>
        <v/>
      </c>
      <c r="AB415" s="9" t="s">
        <v>12124</v>
      </c>
      <c r="AC415" s="9" t="s">
        <v>12740</v>
      </c>
      <c r="AD415" s="9" t="s">
        <v>19</v>
      </c>
    </row>
    <row r="416" spans="1:33">
      <c r="A416" s="3" t="s">
        <v>625</v>
      </c>
      <c r="D416" s="3" t="s">
        <v>626</v>
      </c>
      <c r="E416" s="3" t="s">
        <v>5220</v>
      </c>
      <c r="G416" t="s">
        <v>19</v>
      </c>
      <c r="J416" s="9" t="s">
        <v>12118</v>
      </c>
      <c r="Q416" s="10"/>
      <c r="T416" s="9" t="s">
        <v>12131</v>
      </c>
      <c r="U416" s="9" t="str">
        <f t="shared" ca="1" si="14"/>
        <v/>
      </c>
      <c r="V416" s="9" t="str">
        <f t="shared" ca="1" si="15"/>
        <v/>
      </c>
      <c r="AE416" s="9" t="s">
        <v>12077</v>
      </c>
    </row>
    <row r="417" spans="1:33">
      <c r="A417" s="3" t="s">
        <v>627</v>
      </c>
      <c r="D417" s="3" t="s">
        <v>5221</v>
      </c>
      <c r="E417" s="3" t="s">
        <v>5222</v>
      </c>
      <c r="J417" s="9" t="s">
        <v>24</v>
      </c>
      <c r="L417" s="9">
        <v>1</v>
      </c>
      <c r="M417" s="9">
        <v>1</v>
      </c>
      <c r="N417" s="9" t="s">
        <v>12078</v>
      </c>
      <c r="O417" s="9" t="s">
        <v>12119</v>
      </c>
      <c r="Q417" s="10"/>
      <c r="S417" s="9">
        <v>11843</v>
      </c>
      <c r="U417" s="9" t="str">
        <f t="shared" ca="1" si="14"/>
        <v/>
      </c>
      <c r="V417" s="9" t="str">
        <f t="shared" ca="1" si="15"/>
        <v/>
      </c>
      <c r="AG417" s="9" t="s">
        <v>19</v>
      </c>
    </row>
    <row r="418" spans="1:33">
      <c r="A418" s="3" t="s">
        <v>628</v>
      </c>
      <c r="D418" s="3" t="s">
        <v>5223</v>
      </c>
      <c r="E418" s="3" t="s">
        <v>5224</v>
      </c>
      <c r="J418" s="9" t="s">
        <v>12118</v>
      </c>
      <c r="Q418" s="10"/>
      <c r="T418" s="9">
        <f>103-171</f>
        <v>-68</v>
      </c>
      <c r="U418" s="9">
        <f t="shared" ca="1" si="14"/>
        <v>171</v>
      </c>
      <c r="V418" s="9">
        <f t="shared" ca="1" si="15"/>
        <v>103</v>
      </c>
      <c r="AG418" s="9" t="s">
        <v>20</v>
      </c>
    </row>
    <row r="419" spans="1:33">
      <c r="A419" s="3" t="s">
        <v>629</v>
      </c>
      <c r="D419" s="3" t="s">
        <v>310</v>
      </c>
      <c r="E419" s="5" t="s">
        <v>311</v>
      </c>
      <c r="F419" t="s">
        <v>16</v>
      </c>
      <c r="Q419" s="10"/>
      <c r="U419" s="9" t="str">
        <f t="shared" ca="1" si="14"/>
        <v/>
      </c>
      <c r="V419" s="9" t="str">
        <f t="shared" ca="1" si="15"/>
        <v/>
      </c>
    </row>
    <row r="420" spans="1:33">
      <c r="A420" s="3" t="s">
        <v>630</v>
      </c>
      <c r="D420" s="3" t="s">
        <v>631</v>
      </c>
      <c r="E420" s="3" t="s">
        <v>632</v>
      </c>
      <c r="J420" s="9" t="s">
        <v>12120</v>
      </c>
      <c r="Q420" s="10"/>
      <c r="U420" s="9" t="str">
        <f t="shared" ca="1" si="14"/>
        <v/>
      </c>
      <c r="V420" s="9" t="str">
        <f t="shared" ca="1" si="15"/>
        <v/>
      </c>
      <c r="AC420" s="9" t="s">
        <v>12153</v>
      </c>
      <c r="AD420" s="9" t="s">
        <v>19</v>
      </c>
    </row>
    <row r="421" spans="1:33" ht="29">
      <c r="A421" s="3" t="s">
        <v>633</v>
      </c>
      <c r="D421" s="3" t="s">
        <v>5225</v>
      </c>
      <c r="E421" s="3" t="s">
        <v>5227</v>
      </c>
      <c r="G421" t="s">
        <v>19</v>
      </c>
      <c r="J421" s="9" t="s">
        <v>24</v>
      </c>
      <c r="L421" s="9">
        <v>1</v>
      </c>
      <c r="M421" s="9">
        <v>3</v>
      </c>
      <c r="N421" s="9" t="s">
        <v>12078</v>
      </c>
      <c r="O421" s="9" t="s">
        <v>12079</v>
      </c>
      <c r="Q421" s="10"/>
      <c r="S421" s="9">
        <v>11843</v>
      </c>
      <c r="U421" s="9" t="str">
        <f t="shared" ca="1" si="14"/>
        <v/>
      </c>
      <c r="V421" s="9" t="str">
        <f t="shared" ca="1" si="15"/>
        <v/>
      </c>
    </row>
    <row r="422" spans="1:33" ht="29">
      <c r="A422" s="3" t="s">
        <v>633</v>
      </c>
      <c r="D422" s="3" t="s">
        <v>5228</v>
      </c>
      <c r="E422" s="3" t="s">
        <v>5226</v>
      </c>
      <c r="J422" s="9" t="s">
        <v>25</v>
      </c>
      <c r="L422" s="9">
        <v>1</v>
      </c>
      <c r="M422" s="9">
        <v>7</v>
      </c>
      <c r="N422" s="9" t="s">
        <v>12092</v>
      </c>
      <c r="O422" s="9" t="s">
        <v>12079</v>
      </c>
      <c r="Q422" s="10"/>
      <c r="S422" s="9">
        <v>131</v>
      </c>
      <c r="U422" s="9" t="str">
        <f t="shared" ca="1" si="14"/>
        <v/>
      </c>
      <c r="V422" s="9" t="str">
        <f t="shared" ca="1" si="15"/>
        <v/>
      </c>
      <c r="AG422" s="9" t="s">
        <v>20</v>
      </c>
    </row>
    <row r="423" spans="1:33" ht="29">
      <c r="A423" s="3" t="s">
        <v>635</v>
      </c>
      <c r="D423" s="3" t="s">
        <v>5229</v>
      </c>
      <c r="E423" s="3" t="s">
        <v>5230</v>
      </c>
      <c r="J423" s="9" t="s">
        <v>25</v>
      </c>
      <c r="L423" s="9">
        <v>1</v>
      </c>
      <c r="M423" s="9">
        <v>3</v>
      </c>
      <c r="N423" s="9" t="s">
        <v>12087</v>
      </c>
      <c r="O423" s="9" t="s">
        <v>12079</v>
      </c>
      <c r="Q423" s="10"/>
      <c r="S423" s="9">
        <v>5676</v>
      </c>
      <c r="U423" s="9" t="str">
        <f t="shared" ca="1" si="14"/>
        <v/>
      </c>
      <c r="V423" s="9" t="str">
        <f t="shared" ca="1" si="15"/>
        <v/>
      </c>
      <c r="AG423" s="9" t="s">
        <v>20</v>
      </c>
    </row>
    <row r="424" spans="1:33">
      <c r="A424" s="3" t="s">
        <v>636</v>
      </c>
      <c r="D424" s="3" t="s">
        <v>5231</v>
      </c>
      <c r="E424" s="3" t="s">
        <v>5232</v>
      </c>
      <c r="J424" s="9" t="s">
        <v>12118</v>
      </c>
      <c r="Q424" s="10"/>
      <c r="T424" s="9" t="s">
        <v>12131</v>
      </c>
      <c r="U424" s="9" t="str">
        <f t="shared" ca="1" si="14"/>
        <v/>
      </c>
      <c r="V424" s="9" t="str">
        <f t="shared" ca="1" si="15"/>
        <v/>
      </c>
      <c r="AC424" s="9" t="s">
        <v>12130</v>
      </c>
      <c r="AD424" s="9" t="s">
        <v>19</v>
      </c>
      <c r="AE424" s="9" t="s">
        <v>12086</v>
      </c>
    </row>
    <row r="425" spans="1:33">
      <c r="A425" s="3" t="s">
        <v>637</v>
      </c>
      <c r="D425" s="3" t="s">
        <v>638</v>
      </c>
      <c r="E425" s="3" t="s">
        <v>639</v>
      </c>
      <c r="J425" s="9" t="s">
        <v>12118</v>
      </c>
      <c r="Q425" s="10"/>
      <c r="T425" s="9" t="s">
        <v>12131</v>
      </c>
      <c r="U425" s="9" t="str">
        <f t="shared" ca="1" si="14"/>
        <v/>
      </c>
      <c r="V425" s="9" t="str">
        <f t="shared" ca="1" si="15"/>
        <v/>
      </c>
      <c r="AC425" s="9" t="s">
        <v>12130</v>
      </c>
      <c r="AD425" s="9" t="s">
        <v>19</v>
      </c>
      <c r="AE425" s="9" t="s">
        <v>12086</v>
      </c>
    </row>
    <row r="426" spans="1:33">
      <c r="A426" s="3" t="s">
        <v>640</v>
      </c>
      <c r="D426" s="3" t="s">
        <v>641</v>
      </c>
      <c r="E426" s="5" t="s">
        <v>642</v>
      </c>
      <c r="F426" t="s">
        <v>16</v>
      </c>
      <c r="Q426" s="10"/>
      <c r="U426" s="9" t="str">
        <f t="shared" ca="1" si="14"/>
        <v/>
      </c>
      <c r="V426" s="9" t="str">
        <f t="shared" ca="1" si="15"/>
        <v/>
      </c>
    </row>
    <row r="427" spans="1:33">
      <c r="A427" s="3" t="s">
        <v>643</v>
      </c>
      <c r="D427" s="3" t="s">
        <v>644</v>
      </c>
      <c r="E427" s="3" t="s">
        <v>645</v>
      </c>
      <c r="J427" s="9" t="s">
        <v>12118</v>
      </c>
      <c r="Q427" s="10"/>
      <c r="T427" s="9" t="s">
        <v>12131</v>
      </c>
      <c r="U427" s="9" t="str">
        <f t="shared" ca="1" si="14"/>
        <v/>
      </c>
      <c r="V427" s="9" t="str">
        <f t="shared" ca="1" si="15"/>
        <v/>
      </c>
      <c r="AC427" s="9" t="s">
        <v>12130</v>
      </c>
      <c r="AD427" s="9" t="s">
        <v>19</v>
      </c>
      <c r="AE427" s="9" t="s">
        <v>12086</v>
      </c>
    </row>
    <row r="428" spans="1:33">
      <c r="A428" s="3" t="s">
        <v>643</v>
      </c>
      <c r="D428" s="3" t="s">
        <v>5233</v>
      </c>
      <c r="E428" s="3" t="s">
        <v>5234</v>
      </c>
      <c r="J428" s="9" t="s">
        <v>12120</v>
      </c>
      <c r="Q428" s="10"/>
      <c r="U428" s="9" t="str">
        <f t="shared" ca="1" si="14"/>
        <v/>
      </c>
      <c r="V428" s="9" t="str">
        <f t="shared" ca="1" si="15"/>
        <v/>
      </c>
      <c r="AC428" s="9" t="s">
        <v>12144</v>
      </c>
      <c r="AD428" s="9" t="s">
        <v>19</v>
      </c>
    </row>
    <row r="429" spans="1:33">
      <c r="A429" s="3" t="s">
        <v>646</v>
      </c>
      <c r="D429" s="3" t="s">
        <v>647</v>
      </c>
      <c r="E429" s="3" t="s">
        <v>5235</v>
      </c>
      <c r="G429" t="s">
        <v>19</v>
      </c>
      <c r="J429" s="9" t="s">
        <v>12120</v>
      </c>
      <c r="Q429" s="10"/>
      <c r="U429" s="9" t="str">
        <f t="shared" ca="1" si="14"/>
        <v/>
      </c>
      <c r="V429" s="9" t="str">
        <f t="shared" ca="1" si="15"/>
        <v/>
      </c>
      <c r="AC429" s="9" t="s">
        <v>12173</v>
      </c>
      <c r="AD429" s="9" t="s">
        <v>19</v>
      </c>
      <c r="AE429" s="9" t="s">
        <v>12086</v>
      </c>
    </row>
    <row r="430" spans="1:33">
      <c r="A430" s="3" t="s">
        <v>648</v>
      </c>
      <c r="D430" s="3" t="s">
        <v>5236</v>
      </c>
      <c r="E430" s="3" t="s">
        <v>5232</v>
      </c>
      <c r="J430" s="9" t="s">
        <v>12120</v>
      </c>
      <c r="Q430" s="10"/>
      <c r="U430" s="9" t="str">
        <f t="shared" ca="1" si="14"/>
        <v/>
      </c>
      <c r="V430" s="9" t="str">
        <f t="shared" ca="1" si="15"/>
        <v/>
      </c>
      <c r="AB430" s="9" t="s">
        <v>12738</v>
      </c>
      <c r="AD430" s="9" t="s">
        <v>19</v>
      </c>
    </row>
    <row r="431" spans="1:33">
      <c r="A431" s="3" t="s">
        <v>648</v>
      </c>
      <c r="D431" s="3" t="s">
        <v>638</v>
      </c>
      <c r="E431" s="3" t="s">
        <v>639</v>
      </c>
      <c r="J431" s="9" t="s">
        <v>12118</v>
      </c>
      <c r="Q431" s="10"/>
      <c r="T431" s="9" t="s">
        <v>12131</v>
      </c>
      <c r="U431" s="9" t="str">
        <f t="shared" ca="1" si="14"/>
        <v/>
      </c>
      <c r="V431" s="9" t="str">
        <f t="shared" ca="1" si="15"/>
        <v/>
      </c>
      <c r="AC431" s="9" t="s">
        <v>12130</v>
      </c>
      <c r="AD431" s="9" t="s">
        <v>19</v>
      </c>
      <c r="AE431" s="9" t="s">
        <v>12086</v>
      </c>
    </row>
    <row r="432" spans="1:33">
      <c r="A432" s="3" t="s">
        <v>649</v>
      </c>
      <c r="D432" s="3" t="s">
        <v>5237</v>
      </c>
      <c r="E432" s="3" t="s">
        <v>5238</v>
      </c>
      <c r="G432" t="s">
        <v>19</v>
      </c>
      <c r="J432" s="9" t="s">
        <v>12120</v>
      </c>
      <c r="Q432" s="10"/>
      <c r="U432" s="9" t="str">
        <f t="shared" ca="1" si="14"/>
        <v/>
      </c>
      <c r="V432" s="9" t="str">
        <f t="shared" ca="1" si="15"/>
        <v/>
      </c>
      <c r="AE432" s="9" t="s">
        <v>12089</v>
      </c>
    </row>
    <row r="433" spans="1:33">
      <c r="A433" s="3" t="s">
        <v>650</v>
      </c>
      <c r="D433" s="3" t="s">
        <v>430</v>
      </c>
      <c r="E433" s="3" t="s">
        <v>431</v>
      </c>
      <c r="J433" s="9" t="s">
        <v>12118</v>
      </c>
      <c r="Q433" s="10"/>
      <c r="T433" s="9" t="s">
        <v>12131</v>
      </c>
      <c r="U433" s="9" t="str">
        <f t="shared" ca="1" si="14"/>
        <v/>
      </c>
      <c r="V433" s="9" t="str">
        <f t="shared" ca="1" si="15"/>
        <v/>
      </c>
      <c r="AC433" s="9" t="s">
        <v>12130</v>
      </c>
      <c r="AD433" s="9" t="s">
        <v>19</v>
      </c>
      <c r="AE433" s="9" t="s">
        <v>12086</v>
      </c>
    </row>
    <row r="434" spans="1:33">
      <c r="A434" s="3" t="s">
        <v>650</v>
      </c>
      <c r="D434" s="3" t="s">
        <v>5239</v>
      </c>
      <c r="E434" s="3" t="s">
        <v>5240</v>
      </c>
      <c r="J434" s="9" t="s">
        <v>12120</v>
      </c>
      <c r="Q434" s="10"/>
      <c r="U434" s="9" t="str">
        <f t="shared" ca="1" si="14"/>
        <v/>
      </c>
      <c r="V434" s="9" t="str">
        <f t="shared" ca="1" si="15"/>
        <v/>
      </c>
      <c r="AB434" s="9" t="s">
        <v>12082</v>
      </c>
      <c r="AD434" s="9" t="s">
        <v>19</v>
      </c>
    </row>
    <row r="435" spans="1:33">
      <c r="A435" s="3" t="s">
        <v>651</v>
      </c>
      <c r="D435" s="3" t="s">
        <v>5241</v>
      </c>
      <c r="E435" s="3" t="s">
        <v>5242</v>
      </c>
      <c r="J435" s="9" t="s">
        <v>25</v>
      </c>
      <c r="L435" s="9">
        <v>1</v>
      </c>
      <c r="M435" s="9">
        <v>2</v>
      </c>
      <c r="N435" s="9" t="s">
        <v>12078</v>
      </c>
      <c r="O435" s="9" t="s">
        <v>12119</v>
      </c>
      <c r="Q435" s="10"/>
      <c r="S435" s="9">
        <v>11843</v>
      </c>
      <c r="U435" s="9" t="str">
        <f t="shared" ca="1" si="14"/>
        <v/>
      </c>
      <c r="V435" s="9" t="str">
        <f t="shared" ca="1" si="15"/>
        <v/>
      </c>
      <c r="AG435" s="9" t="s">
        <v>20</v>
      </c>
    </row>
    <row r="436" spans="1:33">
      <c r="A436" s="3" t="s">
        <v>652</v>
      </c>
      <c r="D436" s="3" t="s">
        <v>653</v>
      </c>
      <c r="E436" s="3" t="s">
        <v>654</v>
      </c>
      <c r="J436" s="9" t="s">
        <v>12118</v>
      </c>
      <c r="Q436" s="10"/>
      <c r="T436" s="9">
        <f>0-6</f>
        <v>-6</v>
      </c>
      <c r="U436" s="9">
        <f t="shared" ca="1" si="14"/>
        <v>6</v>
      </c>
      <c r="V436" s="9">
        <f t="shared" ca="1" si="15"/>
        <v>0</v>
      </c>
      <c r="AG436" s="9" t="s">
        <v>20</v>
      </c>
    </row>
    <row r="437" spans="1:33">
      <c r="A437" s="3" t="s">
        <v>652</v>
      </c>
      <c r="D437" s="3" t="s">
        <v>5243</v>
      </c>
      <c r="E437" s="3" t="s">
        <v>5244</v>
      </c>
      <c r="G437" t="s">
        <v>19</v>
      </c>
      <c r="J437" s="9" t="s">
        <v>12118</v>
      </c>
      <c r="Q437" s="10"/>
      <c r="T437" s="9" t="s">
        <v>12131</v>
      </c>
      <c r="U437" s="9" t="str">
        <f t="shared" ca="1" si="14"/>
        <v/>
      </c>
      <c r="V437" s="9" t="str">
        <f t="shared" ca="1" si="15"/>
        <v/>
      </c>
      <c r="AB437" s="9" t="s">
        <v>12124</v>
      </c>
      <c r="AD437" s="9" t="s">
        <v>19</v>
      </c>
    </row>
    <row r="438" spans="1:33">
      <c r="A438" s="3" t="s">
        <v>655</v>
      </c>
      <c r="D438" s="3" t="s">
        <v>656</v>
      </c>
      <c r="E438" s="3" t="s">
        <v>657</v>
      </c>
      <c r="J438" s="9" t="s">
        <v>12118</v>
      </c>
      <c r="Q438" s="10"/>
      <c r="T438" s="9" t="s">
        <v>12131</v>
      </c>
      <c r="U438" s="9" t="str">
        <f t="shared" ca="1" si="14"/>
        <v/>
      </c>
      <c r="V438" s="9" t="str">
        <f t="shared" ca="1" si="15"/>
        <v/>
      </c>
      <c r="AE438" s="9" t="s">
        <v>12077</v>
      </c>
    </row>
    <row r="439" spans="1:33">
      <c r="A439" s="3" t="s">
        <v>658</v>
      </c>
      <c r="D439" s="3" t="s">
        <v>659</v>
      </c>
      <c r="E439" s="3" t="s">
        <v>5245</v>
      </c>
      <c r="G439" t="s">
        <v>19</v>
      </c>
      <c r="J439" s="9" t="s">
        <v>12118</v>
      </c>
      <c r="Q439" s="10"/>
      <c r="T439" s="9">
        <f>77-8</f>
        <v>69</v>
      </c>
      <c r="U439" s="9">
        <f t="shared" ca="1" si="14"/>
        <v>8</v>
      </c>
      <c r="V439" s="9">
        <f t="shared" ca="1" si="15"/>
        <v>77</v>
      </c>
    </row>
    <row r="440" spans="1:33" ht="29">
      <c r="A440" s="3" t="s">
        <v>660</v>
      </c>
      <c r="D440" s="3" t="s">
        <v>5246</v>
      </c>
      <c r="E440" s="3" t="s">
        <v>5247</v>
      </c>
      <c r="J440" s="9" t="s">
        <v>12120</v>
      </c>
      <c r="Q440" s="10"/>
      <c r="U440" s="9" t="str">
        <f t="shared" ca="1" si="14"/>
        <v/>
      </c>
      <c r="V440" s="9" t="str">
        <f t="shared" ca="1" si="15"/>
        <v/>
      </c>
      <c r="AB440" s="9" t="s">
        <v>12082</v>
      </c>
      <c r="AD440" s="9" t="s">
        <v>19</v>
      </c>
    </row>
    <row r="441" spans="1:33" ht="29">
      <c r="A441" s="3" t="s">
        <v>661</v>
      </c>
      <c r="D441" s="3" t="s">
        <v>5248</v>
      </c>
      <c r="E441" s="3" t="s">
        <v>5249</v>
      </c>
      <c r="J441" s="9" t="s">
        <v>12120</v>
      </c>
      <c r="Q441" s="10"/>
      <c r="U441" s="9" t="str">
        <f t="shared" ca="1" si="14"/>
        <v/>
      </c>
      <c r="V441" s="9" t="str">
        <f t="shared" ca="1" si="15"/>
        <v/>
      </c>
      <c r="AE441" s="9" t="s">
        <v>12086</v>
      </c>
    </row>
    <row r="442" spans="1:33">
      <c r="A442" s="3" t="s">
        <v>662</v>
      </c>
      <c r="D442" s="3" t="s">
        <v>663</v>
      </c>
      <c r="E442" s="3" t="s">
        <v>664</v>
      </c>
      <c r="J442" s="9" t="s">
        <v>12118</v>
      </c>
      <c r="Q442" s="10"/>
      <c r="T442" s="9" t="s">
        <v>12131</v>
      </c>
      <c r="U442" s="9" t="str">
        <f t="shared" ca="1" si="14"/>
        <v/>
      </c>
      <c r="V442" s="9" t="str">
        <f t="shared" ca="1" si="15"/>
        <v/>
      </c>
      <c r="AC442" s="9" t="s">
        <v>12130</v>
      </c>
      <c r="AD442" s="9" t="s">
        <v>19</v>
      </c>
      <c r="AE442" s="9" t="s">
        <v>12086</v>
      </c>
    </row>
    <row r="443" spans="1:33">
      <c r="A443" s="3" t="s">
        <v>665</v>
      </c>
      <c r="D443" s="3" t="s">
        <v>5250</v>
      </c>
      <c r="E443" s="3" t="s">
        <v>5251</v>
      </c>
      <c r="G443" t="s">
        <v>19</v>
      </c>
      <c r="J443" s="9" t="s">
        <v>25</v>
      </c>
      <c r="L443" s="9">
        <v>1</v>
      </c>
      <c r="M443" s="9">
        <v>1</v>
      </c>
      <c r="N443" s="9" t="s">
        <v>12087</v>
      </c>
      <c r="O443" s="9" t="s">
        <v>12119</v>
      </c>
      <c r="Q443" s="10"/>
      <c r="S443" s="9">
        <v>1966</v>
      </c>
      <c r="U443" s="9" t="str">
        <f t="shared" ca="1" si="14"/>
        <v/>
      </c>
      <c r="V443" s="9" t="str">
        <f t="shared" ca="1" si="15"/>
        <v/>
      </c>
    </row>
    <row r="444" spans="1:33" ht="29">
      <c r="A444" s="3" t="s">
        <v>666</v>
      </c>
      <c r="D444" s="3" t="s">
        <v>5252</v>
      </c>
      <c r="E444" s="3" t="s">
        <v>5253</v>
      </c>
      <c r="J444" s="9" t="s">
        <v>24</v>
      </c>
      <c r="L444" s="9">
        <v>1</v>
      </c>
      <c r="M444" s="9">
        <v>3</v>
      </c>
      <c r="N444" s="9" t="s">
        <v>12087</v>
      </c>
      <c r="O444" s="9" t="s">
        <v>12079</v>
      </c>
      <c r="Q444" s="10"/>
      <c r="S444" s="9">
        <v>5676</v>
      </c>
      <c r="U444" s="9" t="str">
        <f t="shared" ca="1" si="14"/>
        <v/>
      </c>
      <c r="V444" s="9" t="str">
        <f t="shared" ca="1" si="15"/>
        <v/>
      </c>
      <c r="AG444" s="9" t="s">
        <v>19</v>
      </c>
    </row>
    <row r="445" spans="1:33">
      <c r="A445" s="3" t="s">
        <v>666</v>
      </c>
      <c r="D445" s="3" t="s">
        <v>667</v>
      </c>
      <c r="E445" s="3" t="s">
        <v>668</v>
      </c>
      <c r="J445" s="9" t="s">
        <v>12118</v>
      </c>
      <c r="Q445" s="10"/>
      <c r="T445" s="9" t="s">
        <v>12131</v>
      </c>
      <c r="U445" s="9" t="str">
        <f t="shared" ca="1" si="14"/>
        <v/>
      </c>
      <c r="V445" s="9" t="str">
        <f t="shared" ca="1" si="15"/>
        <v/>
      </c>
      <c r="AC445" s="9" t="s">
        <v>12130</v>
      </c>
      <c r="AD445" s="9" t="s">
        <v>19</v>
      </c>
      <c r="AE445" s="9" t="s">
        <v>12086</v>
      </c>
    </row>
    <row r="446" spans="1:33">
      <c r="A446" s="3" t="s">
        <v>666</v>
      </c>
      <c r="D446" s="3" t="s">
        <v>5254</v>
      </c>
      <c r="E446" s="3" t="s">
        <v>5255</v>
      </c>
      <c r="G446" t="s">
        <v>19</v>
      </c>
      <c r="J446" s="9" t="s">
        <v>12120</v>
      </c>
      <c r="Q446" s="10"/>
      <c r="U446" s="9" t="str">
        <f t="shared" ca="1" si="14"/>
        <v/>
      </c>
      <c r="V446" s="9" t="str">
        <f t="shared" ca="1" si="15"/>
        <v/>
      </c>
      <c r="AC446" s="9" t="s">
        <v>12128</v>
      </c>
      <c r="AD446" s="9" t="s">
        <v>19</v>
      </c>
    </row>
    <row r="447" spans="1:33">
      <c r="A447" s="3" t="s">
        <v>669</v>
      </c>
      <c r="D447" s="3" t="s">
        <v>5256</v>
      </c>
      <c r="E447" s="3" t="s">
        <v>5257</v>
      </c>
      <c r="J447" s="9" t="s">
        <v>12120</v>
      </c>
      <c r="Q447" s="10"/>
      <c r="U447" s="9" t="str">
        <f t="shared" ca="1" si="14"/>
        <v/>
      </c>
      <c r="V447" s="9" t="str">
        <f t="shared" ca="1" si="15"/>
        <v/>
      </c>
      <c r="AB447" s="9" t="s">
        <v>12082</v>
      </c>
      <c r="AD447" s="9" t="s">
        <v>19</v>
      </c>
    </row>
    <row r="448" spans="1:33">
      <c r="A448" s="3" t="s">
        <v>669</v>
      </c>
      <c r="D448" s="3" t="s">
        <v>663</v>
      </c>
      <c r="E448" s="3" t="s">
        <v>664</v>
      </c>
      <c r="J448" s="9" t="s">
        <v>12118</v>
      </c>
      <c r="Q448" s="10"/>
      <c r="T448" s="9" t="s">
        <v>12131</v>
      </c>
      <c r="U448" s="9" t="str">
        <f t="shared" ca="1" si="14"/>
        <v/>
      </c>
      <c r="V448" s="9" t="str">
        <f t="shared" ca="1" si="15"/>
        <v/>
      </c>
      <c r="AC448" s="9" t="s">
        <v>12130</v>
      </c>
      <c r="AD448" s="9" t="s">
        <v>19</v>
      </c>
      <c r="AE448" s="9" t="s">
        <v>12086</v>
      </c>
    </row>
    <row r="449" spans="1:33">
      <c r="A449" s="3" t="s">
        <v>670</v>
      </c>
      <c r="D449" s="3" t="s">
        <v>671</v>
      </c>
      <c r="E449" s="3" t="s">
        <v>672</v>
      </c>
      <c r="J449" s="9" t="s">
        <v>12118</v>
      </c>
      <c r="Q449" s="10"/>
      <c r="T449" s="9">
        <f>2-0</f>
        <v>2</v>
      </c>
      <c r="U449" s="9">
        <f t="shared" ref="U449:U512" ca="1" si="16">IF(ISNUMBER(T449),VALUE(MID(_xlfn.FORMULATEXT(T449),SEARCH("-",_xlfn.FORMULATEXT(T449))+1,LEN(_xlfn.FORMULATEXT(T449))-SEARCH("-",_xlfn.FORMULATEXT(T449)))), "")</f>
        <v>0</v>
      </c>
      <c r="V449" s="9">
        <f t="shared" ref="V449:V512" ca="1" si="17">IF(ISNUMBER(T449), VALUE(MID(_xlfn.FORMULATEXT(T449), 2, SEARCH("-", _xlfn.FORMULATEXT(T449)) - 2)), "")</f>
        <v>2</v>
      </c>
      <c r="AC449" s="9" t="s">
        <v>12130</v>
      </c>
      <c r="AD449" s="9" t="s">
        <v>19</v>
      </c>
    </row>
    <row r="450" spans="1:33" ht="29">
      <c r="A450" s="3" t="s">
        <v>673</v>
      </c>
      <c r="D450" s="3" t="s">
        <v>5259</v>
      </c>
      <c r="E450" s="3" t="s">
        <v>5260</v>
      </c>
      <c r="J450" s="9" t="s">
        <v>12120</v>
      </c>
      <c r="Q450" s="10"/>
      <c r="U450" s="9" t="str">
        <f t="shared" ca="1" si="16"/>
        <v/>
      </c>
      <c r="V450" s="9" t="str">
        <f t="shared" ca="1" si="17"/>
        <v/>
      </c>
      <c r="AC450" s="9" t="s">
        <v>12134</v>
      </c>
      <c r="AD450" s="9" t="s">
        <v>19</v>
      </c>
      <c r="AE450" s="9" t="s">
        <v>12086</v>
      </c>
    </row>
    <row r="451" spans="1:33" ht="29">
      <c r="A451" s="3" t="s">
        <v>673</v>
      </c>
      <c r="D451" s="3" t="s">
        <v>5261</v>
      </c>
      <c r="E451" s="3" t="s">
        <v>5258</v>
      </c>
      <c r="I451" t="s">
        <v>12643</v>
      </c>
      <c r="J451" s="9" t="s">
        <v>25</v>
      </c>
      <c r="L451" s="9">
        <v>2</v>
      </c>
      <c r="M451" s="9">
        <v>11</v>
      </c>
      <c r="O451" s="9" t="s">
        <v>12073</v>
      </c>
      <c r="P451" s="9" t="s">
        <v>12140</v>
      </c>
      <c r="Q451" s="10" t="s">
        <v>12136</v>
      </c>
      <c r="S451" s="9">
        <v>371</v>
      </c>
      <c r="U451" s="9" t="str">
        <f t="shared" ca="1" si="16"/>
        <v/>
      </c>
      <c r="V451" s="9" t="str">
        <f t="shared" ca="1" si="17"/>
        <v/>
      </c>
      <c r="W451" s="9" t="s">
        <v>12117</v>
      </c>
      <c r="AG451" s="9" t="s">
        <v>20</v>
      </c>
    </row>
    <row r="452" spans="1:33" ht="29">
      <c r="A452" s="3" t="s">
        <v>673</v>
      </c>
      <c r="D452" s="3" t="s">
        <v>5262</v>
      </c>
      <c r="E452" s="3" t="s">
        <v>5263</v>
      </c>
      <c r="I452" t="s">
        <v>12644</v>
      </c>
      <c r="J452" s="9" t="s">
        <v>25</v>
      </c>
      <c r="L452" s="9">
        <v>1</v>
      </c>
      <c r="M452" s="9">
        <v>3</v>
      </c>
      <c r="N452" s="9" t="s">
        <v>12078</v>
      </c>
      <c r="O452" s="9" t="s">
        <v>12079</v>
      </c>
      <c r="Q452" s="10"/>
      <c r="S452" s="9">
        <v>11843</v>
      </c>
      <c r="U452" s="9" t="str">
        <f t="shared" ca="1" si="16"/>
        <v/>
      </c>
      <c r="V452" s="9" t="str">
        <f t="shared" ca="1" si="17"/>
        <v/>
      </c>
      <c r="W452" s="9" t="s">
        <v>12117</v>
      </c>
      <c r="AG452" s="9" t="s">
        <v>20</v>
      </c>
    </row>
    <row r="453" spans="1:33">
      <c r="A453" s="3" t="s">
        <v>675</v>
      </c>
      <c r="D453" s="3" t="s">
        <v>430</v>
      </c>
      <c r="E453" s="3" t="s">
        <v>431</v>
      </c>
      <c r="J453" s="9" t="s">
        <v>12118</v>
      </c>
      <c r="Q453" s="10"/>
      <c r="T453" s="9" t="s">
        <v>12131</v>
      </c>
      <c r="U453" s="9" t="str">
        <f t="shared" ca="1" si="16"/>
        <v/>
      </c>
      <c r="V453" s="9" t="str">
        <f t="shared" ca="1" si="17"/>
        <v/>
      </c>
      <c r="AC453" s="9" t="s">
        <v>12130</v>
      </c>
      <c r="AD453" s="9" t="s">
        <v>19</v>
      </c>
      <c r="AE453" s="9" t="s">
        <v>12086</v>
      </c>
    </row>
    <row r="454" spans="1:33" ht="29">
      <c r="A454" s="3" t="s">
        <v>676</v>
      </c>
      <c r="D454" s="3" t="s">
        <v>5264</v>
      </c>
      <c r="E454" s="3" t="s">
        <v>5265</v>
      </c>
      <c r="J454" s="9" t="s">
        <v>25</v>
      </c>
      <c r="L454" s="9">
        <v>2</v>
      </c>
      <c r="M454" s="9">
        <v>11</v>
      </c>
      <c r="O454" s="9" t="s">
        <v>12073</v>
      </c>
      <c r="P454" s="9" t="s">
        <v>12178</v>
      </c>
      <c r="Q454" s="10" t="s">
        <v>12138</v>
      </c>
      <c r="S454" s="9">
        <v>47</v>
      </c>
      <c r="U454" s="9" t="str">
        <f t="shared" ca="1" si="16"/>
        <v/>
      </c>
      <c r="V454" s="9" t="str">
        <f t="shared" ca="1" si="17"/>
        <v/>
      </c>
      <c r="AG454" s="9" t="s">
        <v>20</v>
      </c>
    </row>
    <row r="455" spans="1:33">
      <c r="A455" s="3" t="s">
        <v>676</v>
      </c>
      <c r="D455" s="3" t="s">
        <v>677</v>
      </c>
      <c r="E455" s="3" t="s">
        <v>678</v>
      </c>
      <c r="J455" s="9" t="s">
        <v>12120</v>
      </c>
      <c r="Q455" s="10"/>
      <c r="U455" s="9" t="str">
        <f t="shared" ca="1" si="16"/>
        <v/>
      </c>
      <c r="V455" s="9" t="str">
        <f t="shared" ca="1" si="17"/>
        <v/>
      </c>
      <c r="AG455" s="9" t="s">
        <v>19</v>
      </c>
    </row>
    <row r="456" spans="1:33">
      <c r="A456" s="3" t="s">
        <v>679</v>
      </c>
      <c r="D456" s="3" t="s">
        <v>586</v>
      </c>
      <c r="E456" s="3" t="s">
        <v>141</v>
      </c>
      <c r="J456" s="9" t="s">
        <v>12120</v>
      </c>
      <c r="Q456" s="10"/>
      <c r="U456" s="9" t="str">
        <f t="shared" ca="1" si="16"/>
        <v/>
      </c>
      <c r="V456" s="9" t="str">
        <f t="shared" ca="1" si="17"/>
        <v/>
      </c>
      <c r="AC456" s="9" t="s">
        <v>12130</v>
      </c>
      <c r="AD456" s="9" t="s">
        <v>19</v>
      </c>
      <c r="AE456" s="9" t="s">
        <v>12086</v>
      </c>
    </row>
    <row r="457" spans="1:33">
      <c r="A457" s="3" t="s">
        <v>680</v>
      </c>
      <c r="D457" s="3" t="s">
        <v>681</v>
      </c>
      <c r="E457" s="3" t="s">
        <v>682</v>
      </c>
      <c r="J457" s="9" t="s">
        <v>12118</v>
      </c>
      <c r="Q457" s="10"/>
      <c r="T457" s="9" t="s">
        <v>12131</v>
      </c>
      <c r="U457" s="9" t="str">
        <f t="shared" ca="1" si="16"/>
        <v/>
      </c>
      <c r="V457" s="9" t="str">
        <f t="shared" ca="1" si="17"/>
        <v/>
      </c>
      <c r="AC457" s="9" t="s">
        <v>12130</v>
      </c>
      <c r="AD457" s="9" t="s">
        <v>19</v>
      </c>
      <c r="AE457" s="9" t="s">
        <v>12086</v>
      </c>
    </row>
    <row r="458" spans="1:33">
      <c r="A458" s="3" t="s">
        <v>683</v>
      </c>
      <c r="D458" s="3" t="s">
        <v>674</v>
      </c>
      <c r="E458" s="3" t="s">
        <v>684</v>
      </c>
      <c r="F458" t="s">
        <v>11</v>
      </c>
      <c r="G458" t="s">
        <v>19</v>
      </c>
      <c r="I458" t="s">
        <v>12645</v>
      </c>
      <c r="J458" s="9" t="s">
        <v>12120</v>
      </c>
      <c r="Q458" s="10"/>
      <c r="U458" s="9" t="str">
        <f t="shared" ca="1" si="16"/>
        <v/>
      </c>
      <c r="V458" s="9" t="str">
        <f t="shared" ca="1" si="17"/>
        <v/>
      </c>
      <c r="W458" s="9" t="s">
        <v>12117</v>
      </c>
    </row>
    <row r="459" spans="1:33">
      <c r="A459" s="3" t="s">
        <v>685</v>
      </c>
      <c r="D459" s="3" t="s">
        <v>686</v>
      </c>
      <c r="E459" s="3" t="s">
        <v>687</v>
      </c>
      <c r="J459" s="9" t="s">
        <v>12118</v>
      </c>
      <c r="Q459" s="10"/>
      <c r="T459" s="9" t="s">
        <v>12131</v>
      </c>
      <c r="U459" s="9" t="str">
        <f t="shared" ca="1" si="16"/>
        <v/>
      </c>
      <c r="V459" s="9" t="str">
        <f t="shared" ca="1" si="17"/>
        <v/>
      </c>
      <c r="AC459" s="9" t="s">
        <v>12134</v>
      </c>
      <c r="AD459" s="9" t="s">
        <v>19</v>
      </c>
      <c r="AE459" s="9" t="s">
        <v>12086</v>
      </c>
    </row>
    <row r="460" spans="1:33">
      <c r="A460" s="3" t="s">
        <v>685</v>
      </c>
      <c r="D460" s="3" t="s">
        <v>5266</v>
      </c>
      <c r="E460" s="3" t="s">
        <v>5267</v>
      </c>
      <c r="G460" t="s">
        <v>19</v>
      </c>
      <c r="J460" s="9" t="s">
        <v>12118</v>
      </c>
      <c r="Q460" s="10"/>
      <c r="T460" s="9" t="s">
        <v>12131</v>
      </c>
      <c r="U460" s="9" t="str">
        <f t="shared" ca="1" si="16"/>
        <v/>
      </c>
      <c r="V460" s="9" t="str">
        <f t="shared" ca="1" si="17"/>
        <v/>
      </c>
      <c r="AC460" s="9" t="s">
        <v>12130</v>
      </c>
      <c r="AD460" s="9" t="s">
        <v>19</v>
      </c>
      <c r="AE460" s="9" t="s">
        <v>12086</v>
      </c>
    </row>
    <row r="461" spans="1:33">
      <c r="A461" s="3" t="s">
        <v>688</v>
      </c>
      <c r="D461" s="3" t="s">
        <v>689</v>
      </c>
      <c r="E461" s="3" t="s">
        <v>690</v>
      </c>
      <c r="J461" s="9" t="s">
        <v>12118</v>
      </c>
      <c r="Q461" s="10"/>
      <c r="T461" s="9" t="s">
        <v>12131</v>
      </c>
      <c r="U461" s="9" t="str">
        <f t="shared" ca="1" si="16"/>
        <v/>
      </c>
      <c r="V461" s="9" t="str">
        <f t="shared" ca="1" si="17"/>
        <v/>
      </c>
      <c r="AC461" s="9" t="s">
        <v>12130</v>
      </c>
      <c r="AD461" s="9" t="s">
        <v>19</v>
      </c>
      <c r="AE461" s="9" t="s">
        <v>12086</v>
      </c>
    </row>
    <row r="462" spans="1:33">
      <c r="A462" s="3" t="s">
        <v>688</v>
      </c>
      <c r="D462" s="3" t="s">
        <v>5268</v>
      </c>
      <c r="E462" s="3" t="s">
        <v>5269</v>
      </c>
      <c r="J462" s="9" t="s">
        <v>12120</v>
      </c>
      <c r="Q462" s="10"/>
      <c r="U462" s="9" t="str">
        <f t="shared" ca="1" si="16"/>
        <v/>
      </c>
      <c r="V462" s="9" t="str">
        <f t="shared" ca="1" si="17"/>
        <v/>
      </c>
      <c r="AB462" s="9" t="s">
        <v>12082</v>
      </c>
      <c r="AD462" s="9" t="s">
        <v>19</v>
      </c>
    </row>
    <row r="463" spans="1:33">
      <c r="A463" s="3" t="s">
        <v>691</v>
      </c>
      <c r="D463" s="3" t="s">
        <v>692</v>
      </c>
      <c r="E463" s="3" t="s">
        <v>1114</v>
      </c>
      <c r="G463" t="s">
        <v>19</v>
      </c>
      <c r="J463" s="9" t="s">
        <v>12118</v>
      </c>
      <c r="Q463" s="10"/>
      <c r="T463" s="9" t="s">
        <v>12131</v>
      </c>
      <c r="U463" s="9" t="str">
        <f t="shared" ca="1" si="16"/>
        <v/>
      </c>
      <c r="V463" s="9" t="str">
        <f t="shared" ca="1" si="17"/>
        <v/>
      </c>
      <c r="AE463" s="9" t="s">
        <v>12086</v>
      </c>
    </row>
    <row r="464" spans="1:33">
      <c r="A464" s="3" t="s">
        <v>691</v>
      </c>
      <c r="D464" s="3" t="s">
        <v>322</v>
      </c>
      <c r="E464" s="3" t="s">
        <v>323</v>
      </c>
      <c r="J464" s="9" t="s">
        <v>12118</v>
      </c>
      <c r="Q464" s="10"/>
      <c r="T464" s="9" t="s">
        <v>12131</v>
      </c>
      <c r="U464" s="9" t="str">
        <f t="shared" ca="1" si="16"/>
        <v/>
      </c>
      <c r="V464" s="9" t="str">
        <f t="shared" ca="1" si="17"/>
        <v/>
      </c>
      <c r="AB464" s="9" t="s">
        <v>12124</v>
      </c>
      <c r="AD464" s="9" t="s">
        <v>19</v>
      </c>
    </row>
    <row r="465" spans="1:33">
      <c r="A465" s="3" t="s">
        <v>691</v>
      </c>
      <c r="D465" s="3" t="s">
        <v>310</v>
      </c>
      <c r="E465" s="5" t="s">
        <v>311</v>
      </c>
      <c r="F465" t="s">
        <v>16</v>
      </c>
      <c r="Q465" s="10"/>
      <c r="U465" s="9" t="str">
        <f t="shared" ca="1" si="16"/>
        <v/>
      </c>
      <c r="V465" s="9" t="str">
        <f t="shared" ca="1" si="17"/>
        <v/>
      </c>
    </row>
    <row r="466" spans="1:33">
      <c r="A466" s="3" t="s">
        <v>693</v>
      </c>
      <c r="D466" s="3" t="s">
        <v>694</v>
      </c>
      <c r="E466" s="3" t="s">
        <v>695</v>
      </c>
      <c r="J466" s="9" t="s">
        <v>12118</v>
      </c>
      <c r="Q466" s="10"/>
      <c r="T466" s="9" t="s">
        <v>12131</v>
      </c>
      <c r="U466" s="9" t="str">
        <f t="shared" ca="1" si="16"/>
        <v/>
      </c>
      <c r="V466" s="9" t="str">
        <f t="shared" ca="1" si="17"/>
        <v/>
      </c>
      <c r="AE466" s="9" t="s">
        <v>12086</v>
      </c>
    </row>
    <row r="467" spans="1:33" ht="29">
      <c r="A467" s="3" t="s">
        <v>693</v>
      </c>
      <c r="D467" s="3" t="s">
        <v>5271</v>
      </c>
      <c r="E467" s="3" t="s">
        <v>5270</v>
      </c>
      <c r="J467" s="9" t="s">
        <v>25</v>
      </c>
      <c r="L467" s="9">
        <v>1</v>
      </c>
      <c r="M467" s="9">
        <v>3</v>
      </c>
      <c r="N467" s="9" t="s">
        <v>12078</v>
      </c>
      <c r="O467" s="9" t="s">
        <v>12079</v>
      </c>
      <c r="Q467" s="10"/>
      <c r="S467" s="9">
        <v>11843</v>
      </c>
      <c r="U467" s="9" t="str">
        <f t="shared" ca="1" si="16"/>
        <v/>
      </c>
      <c r="V467" s="9" t="str">
        <f t="shared" ca="1" si="17"/>
        <v/>
      </c>
      <c r="AG467" s="9" t="s">
        <v>20</v>
      </c>
    </row>
    <row r="468" spans="1:33" ht="29">
      <c r="A468" s="3" t="s">
        <v>693</v>
      </c>
      <c r="D468" s="3" t="s">
        <v>5272</v>
      </c>
      <c r="E468" s="3" t="s">
        <v>5273</v>
      </c>
      <c r="J468" s="9" t="s">
        <v>12118</v>
      </c>
      <c r="Q468" s="10"/>
      <c r="T468" s="9">
        <f>361-4</f>
        <v>357</v>
      </c>
      <c r="U468" s="9">
        <f t="shared" ca="1" si="16"/>
        <v>4</v>
      </c>
      <c r="V468" s="9">
        <f t="shared" ca="1" si="17"/>
        <v>361</v>
      </c>
      <c r="AG468" s="9" t="s">
        <v>19</v>
      </c>
    </row>
    <row r="469" spans="1:33">
      <c r="A469" s="3" t="s">
        <v>696</v>
      </c>
      <c r="D469" s="3" t="s">
        <v>697</v>
      </c>
      <c r="E469" s="3" t="s">
        <v>698</v>
      </c>
      <c r="J469" s="9" t="s">
        <v>12120</v>
      </c>
      <c r="Q469" s="10"/>
      <c r="U469" s="9" t="str">
        <f t="shared" ca="1" si="16"/>
        <v/>
      </c>
      <c r="V469" s="9" t="str">
        <f t="shared" ca="1" si="17"/>
        <v/>
      </c>
      <c r="AC469" s="9" t="s">
        <v>12740</v>
      </c>
      <c r="AD469" s="9" t="s">
        <v>19</v>
      </c>
    </row>
    <row r="470" spans="1:33">
      <c r="A470" s="3" t="s">
        <v>696</v>
      </c>
      <c r="D470" s="3" t="s">
        <v>310</v>
      </c>
      <c r="E470" s="5" t="s">
        <v>311</v>
      </c>
      <c r="F470" t="s">
        <v>16</v>
      </c>
      <c r="Q470" s="10"/>
      <c r="U470" s="9" t="str">
        <f t="shared" ca="1" si="16"/>
        <v/>
      </c>
      <c r="V470" s="9" t="str">
        <f t="shared" ca="1" si="17"/>
        <v/>
      </c>
    </row>
    <row r="471" spans="1:33">
      <c r="A471" s="3" t="s">
        <v>699</v>
      </c>
      <c r="D471" s="3" t="s">
        <v>5274</v>
      </c>
      <c r="E471" s="3" t="s">
        <v>5275</v>
      </c>
      <c r="J471" s="9" t="s">
        <v>12120</v>
      </c>
      <c r="Q471" s="10"/>
      <c r="U471" s="9" t="str">
        <f t="shared" ca="1" si="16"/>
        <v/>
      </c>
      <c r="V471" s="9" t="str">
        <f t="shared" ca="1" si="17"/>
        <v/>
      </c>
      <c r="AB471" s="9" t="s">
        <v>12082</v>
      </c>
      <c r="AD471" s="9" t="s">
        <v>19</v>
      </c>
    </row>
    <row r="472" spans="1:33">
      <c r="A472" s="3" t="s">
        <v>700</v>
      </c>
      <c r="D472" s="3" t="s">
        <v>701</v>
      </c>
      <c r="E472" s="3" t="s">
        <v>702</v>
      </c>
      <c r="J472" s="9" t="s">
        <v>12120</v>
      </c>
      <c r="Q472" s="10"/>
      <c r="U472" s="9" t="str">
        <f t="shared" ca="1" si="16"/>
        <v/>
      </c>
      <c r="V472" s="9" t="str">
        <f t="shared" ca="1" si="17"/>
        <v/>
      </c>
      <c r="AC472" s="9" t="s">
        <v>12740</v>
      </c>
      <c r="AD472" s="9" t="s">
        <v>19</v>
      </c>
    </row>
    <row r="473" spans="1:33">
      <c r="A473" s="3" t="s">
        <v>703</v>
      </c>
      <c r="D473" s="3" t="s">
        <v>12854</v>
      </c>
      <c r="E473" s="3" t="s">
        <v>12855</v>
      </c>
      <c r="J473" s="9" t="s">
        <v>25</v>
      </c>
      <c r="L473" s="9">
        <v>1</v>
      </c>
      <c r="M473" s="9">
        <v>3</v>
      </c>
      <c r="N473" s="9" t="s">
        <v>12087</v>
      </c>
      <c r="O473" s="9" t="s">
        <v>12079</v>
      </c>
      <c r="Q473" s="10"/>
      <c r="S473" s="9">
        <v>5676</v>
      </c>
      <c r="U473" s="9" t="str">
        <f t="shared" ca="1" si="16"/>
        <v/>
      </c>
      <c r="V473" s="9" t="str">
        <f t="shared" ca="1" si="17"/>
        <v/>
      </c>
      <c r="AG473" s="9" t="s">
        <v>19</v>
      </c>
    </row>
    <row r="474" spans="1:33">
      <c r="A474" s="3" t="s">
        <v>703</v>
      </c>
      <c r="D474" s="3" t="s">
        <v>5276</v>
      </c>
      <c r="E474" s="3" t="s">
        <v>5277</v>
      </c>
      <c r="J474" s="9" t="s">
        <v>12118</v>
      </c>
      <c r="Q474" s="10"/>
      <c r="T474" s="9" t="s">
        <v>12131</v>
      </c>
      <c r="U474" s="9" t="str">
        <f t="shared" ca="1" si="16"/>
        <v/>
      </c>
      <c r="V474" s="9" t="str">
        <f t="shared" ca="1" si="17"/>
        <v/>
      </c>
      <c r="AC474" s="9" t="s">
        <v>12742</v>
      </c>
      <c r="AD474" s="9" t="s">
        <v>19</v>
      </c>
      <c r="AE474" s="9" t="s">
        <v>12077</v>
      </c>
    </row>
    <row r="475" spans="1:33" ht="43.5">
      <c r="A475" s="3" t="s">
        <v>704</v>
      </c>
      <c r="D475" s="3" t="s">
        <v>5278</v>
      </c>
      <c r="E475" s="3" t="s">
        <v>5279</v>
      </c>
      <c r="G475" t="s">
        <v>19</v>
      </c>
      <c r="I475" t="s">
        <v>12179</v>
      </c>
      <c r="J475" s="9" t="s">
        <v>24</v>
      </c>
      <c r="L475" s="9">
        <v>5</v>
      </c>
      <c r="M475" s="9">
        <v>22</v>
      </c>
      <c r="O475" s="9" t="s">
        <v>12079</v>
      </c>
      <c r="Q475" s="10"/>
      <c r="S475" s="9">
        <v>2</v>
      </c>
      <c r="U475" s="9" t="str">
        <f t="shared" ca="1" si="16"/>
        <v/>
      </c>
      <c r="V475" s="9" t="str">
        <f t="shared" ca="1" si="17"/>
        <v/>
      </c>
    </row>
    <row r="476" spans="1:33">
      <c r="A476" s="3" t="s">
        <v>705</v>
      </c>
      <c r="D476" s="3" t="s">
        <v>706</v>
      </c>
      <c r="E476" s="5" t="s">
        <v>707</v>
      </c>
      <c r="F476" t="s">
        <v>16</v>
      </c>
      <c r="Q476" s="10"/>
      <c r="U476" s="9" t="str">
        <f t="shared" ca="1" si="16"/>
        <v/>
      </c>
      <c r="V476" s="9" t="str">
        <f t="shared" ca="1" si="17"/>
        <v/>
      </c>
    </row>
    <row r="477" spans="1:33">
      <c r="A477" s="3" t="s">
        <v>708</v>
      </c>
      <c r="D477" s="3" t="s">
        <v>709</v>
      </c>
      <c r="E477" s="3" t="s">
        <v>710</v>
      </c>
      <c r="J477" s="9" t="s">
        <v>12120</v>
      </c>
      <c r="Q477" s="10"/>
      <c r="U477" s="9" t="str">
        <f t="shared" ca="1" si="16"/>
        <v/>
      </c>
      <c r="V477" s="9" t="str">
        <f t="shared" ca="1" si="17"/>
        <v/>
      </c>
      <c r="AC477" s="9" t="s">
        <v>12744</v>
      </c>
      <c r="AD477" s="9" t="s">
        <v>19</v>
      </c>
      <c r="AE477" s="9" t="s">
        <v>12086</v>
      </c>
    </row>
    <row r="478" spans="1:33">
      <c r="A478" s="3" t="s">
        <v>708</v>
      </c>
      <c r="D478" s="3" t="s">
        <v>711</v>
      </c>
      <c r="E478" s="3" t="s">
        <v>712</v>
      </c>
      <c r="J478" s="9" t="s">
        <v>12120</v>
      </c>
      <c r="Q478" s="10"/>
      <c r="U478" s="9" t="str">
        <f t="shared" ca="1" si="16"/>
        <v/>
      </c>
      <c r="V478" s="9" t="str">
        <f t="shared" ca="1" si="17"/>
        <v/>
      </c>
      <c r="AC478" s="9" t="s">
        <v>12134</v>
      </c>
      <c r="AD478" s="9" t="s">
        <v>19</v>
      </c>
      <c r="AE478" s="9" t="s">
        <v>12086</v>
      </c>
    </row>
    <row r="479" spans="1:33" ht="29">
      <c r="A479" s="3" t="s">
        <v>713</v>
      </c>
      <c r="D479" s="3" t="s">
        <v>5280</v>
      </c>
      <c r="E479" s="5" t="s">
        <v>5281</v>
      </c>
      <c r="F479" t="s">
        <v>16</v>
      </c>
      <c r="Q479" s="10"/>
      <c r="U479" s="9" t="str">
        <f t="shared" ca="1" si="16"/>
        <v/>
      </c>
      <c r="V479" s="9" t="str">
        <f t="shared" ca="1" si="17"/>
        <v/>
      </c>
    </row>
    <row r="480" spans="1:33" ht="29">
      <c r="A480" s="3" t="s">
        <v>713</v>
      </c>
      <c r="D480" s="3" t="s">
        <v>5282</v>
      </c>
      <c r="E480" s="3" t="s">
        <v>12181</v>
      </c>
      <c r="J480" s="9" t="s">
        <v>25</v>
      </c>
      <c r="L480" s="9">
        <v>1</v>
      </c>
      <c r="M480" s="9">
        <v>3</v>
      </c>
      <c r="N480" s="9" t="s">
        <v>12087</v>
      </c>
      <c r="O480" s="9" t="s">
        <v>12079</v>
      </c>
      <c r="Q480" s="10"/>
      <c r="S480" s="9">
        <v>5676</v>
      </c>
      <c r="U480" s="9" t="str">
        <f t="shared" ca="1" si="16"/>
        <v/>
      </c>
      <c r="V480" s="9" t="str">
        <f t="shared" ca="1" si="17"/>
        <v/>
      </c>
      <c r="AG480" s="9" t="s">
        <v>19</v>
      </c>
    </row>
    <row r="481" spans="1:33" ht="101.5">
      <c r="A481" s="3" t="s">
        <v>714</v>
      </c>
      <c r="D481" s="3" t="s">
        <v>5285</v>
      </c>
      <c r="E481" s="3" t="s">
        <v>5284</v>
      </c>
      <c r="F481" t="s">
        <v>11</v>
      </c>
      <c r="G481" t="s">
        <v>19</v>
      </c>
      <c r="I481" t="s">
        <v>5286</v>
      </c>
      <c r="Q481" s="10"/>
      <c r="U481" s="9" t="str">
        <f t="shared" ca="1" si="16"/>
        <v/>
      </c>
      <c r="V481" s="9" t="str">
        <f t="shared" ca="1" si="17"/>
        <v/>
      </c>
    </row>
    <row r="482" spans="1:33" ht="101.5">
      <c r="A482" s="3" t="s">
        <v>714</v>
      </c>
      <c r="D482" s="3" t="s">
        <v>5283</v>
      </c>
      <c r="E482" s="3" t="s">
        <v>5287</v>
      </c>
      <c r="G482" t="s">
        <v>19</v>
      </c>
      <c r="J482" s="9" t="s">
        <v>24</v>
      </c>
      <c r="L482" s="9">
        <v>9</v>
      </c>
      <c r="M482" s="9">
        <v>57</v>
      </c>
      <c r="O482" s="9" t="s">
        <v>12079</v>
      </c>
      <c r="Q482" s="10"/>
      <c r="S482" s="9">
        <v>0</v>
      </c>
      <c r="U482" s="9" t="str">
        <f t="shared" ca="1" si="16"/>
        <v/>
      </c>
      <c r="V482" s="9" t="str">
        <f t="shared" ca="1" si="17"/>
        <v/>
      </c>
    </row>
    <row r="483" spans="1:33">
      <c r="A483" s="3" t="s">
        <v>715</v>
      </c>
      <c r="D483" s="3" t="s">
        <v>716</v>
      </c>
      <c r="E483" s="3" t="s">
        <v>717</v>
      </c>
      <c r="J483" s="9" t="s">
        <v>12120</v>
      </c>
      <c r="Q483" s="10"/>
      <c r="U483" s="9" t="str">
        <f t="shared" ca="1" si="16"/>
        <v/>
      </c>
      <c r="V483" s="9" t="str">
        <f t="shared" ca="1" si="17"/>
        <v/>
      </c>
      <c r="AB483" s="9" t="s">
        <v>12738</v>
      </c>
      <c r="AD483" s="9" t="s">
        <v>19</v>
      </c>
      <c r="AE483" s="9" t="s">
        <v>12086</v>
      </c>
    </row>
    <row r="484" spans="1:33">
      <c r="A484" s="3" t="s">
        <v>715</v>
      </c>
      <c r="D484" s="3" t="s">
        <v>5288</v>
      </c>
      <c r="E484" s="3" t="s">
        <v>12182</v>
      </c>
      <c r="J484" s="9" t="s">
        <v>25</v>
      </c>
      <c r="L484" s="9">
        <v>1</v>
      </c>
      <c r="M484" s="9">
        <v>3</v>
      </c>
      <c r="N484" s="9" t="s">
        <v>12078</v>
      </c>
      <c r="O484" s="9" t="s">
        <v>12079</v>
      </c>
      <c r="Q484" s="10"/>
      <c r="S484" s="9">
        <v>11843</v>
      </c>
      <c r="U484" s="9" t="str">
        <f t="shared" ca="1" si="16"/>
        <v/>
      </c>
      <c r="V484" s="9" t="str">
        <f t="shared" ca="1" si="17"/>
        <v/>
      </c>
      <c r="AG484" s="9" t="s">
        <v>19</v>
      </c>
    </row>
    <row r="485" spans="1:33">
      <c r="A485" s="3" t="s">
        <v>718</v>
      </c>
      <c r="D485" s="3" t="s">
        <v>638</v>
      </c>
      <c r="E485" s="3" t="s">
        <v>639</v>
      </c>
      <c r="J485" s="9" t="s">
        <v>12118</v>
      </c>
      <c r="Q485" s="10"/>
      <c r="T485" s="9" t="s">
        <v>12131</v>
      </c>
      <c r="U485" s="9" t="str">
        <f t="shared" ca="1" si="16"/>
        <v/>
      </c>
      <c r="V485" s="9" t="str">
        <f t="shared" ca="1" si="17"/>
        <v/>
      </c>
      <c r="AC485" s="9" t="s">
        <v>12130</v>
      </c>
      <c r="AD485" s="9" t="s">
        <v>19</v>
      </c>
      <c r="AE485" s="9" t="s">
        <v>12086</v>
      </c>
    </row>
    <row r="486" spans="1:33">
      <c r="A486" s="3" t="s">
        <v>718</v>
      </c>
      <c r="D486" s="3" t="s">
        <v>719</v>
      </c>
      <c r="E486" s="3" t="s">
        <v>720</v>
      </c>
      <c r="J486" s="9" t="s">
        <v>12118</v>
      </c>
      <c r="Q486" s="10"/>
      <c r="T486" s="9" t="s">
        <v>12131</v>
      </c>
      <c r="U486" s="9" t="str">
        <f t="shared" ca="1" si="16"/>
        <v/>
      </c>
      <c r="V486" s="9" t="str">
        <f t="shared" ca="1" si="17"/>
        <v/>
      </c>
      <c r="AC486" s="9" t="s">
        <v>12130</v>
      </c>
      <c r="AD486" s="9" t="s">
        <v>19</v>
      </c>
      <c r="AE486" s="9" t="s">
        <v>12086</v>
      </c>
    </row>
    <row r="487" spans="1:33">
      <c r="A487" s="3" t="s">
        <v>721</v>
      </c>
      <c r="D487" s="3" t="s">
        <v>722</v>
      </c>
      <c r="E487" s="3" t="s">
        <v>723</v>
      </c>
      <c r="J487" s="9" t="s">
        <v>12118</v>
      </c>
      <c r="Q487" s="10"/>
      <c r="T487" s="9" t="s">
        <v>12131</v>
      </c>
      <c r="U487" s="9" t="str">
        <f t="shared" ca="1" si="16"/>
        <v/>
      </c>
      <c r="V487" s="9" t="str">
        <f t="shared" ca="1" si="17"/>
        <v/>
      </c>
      <c r="AC487" s="9" t="s">
        <v>12134</v>
      </c>
      <c r="AD487" s="9" t="s">
        <v>19</v>
      </c>
      <c r="AE487" s="9" t="s">
        <v>12086</v>
      </c>
    </row>
    <row r="488" spans="1:33" ht="43.5">
      <c r="A488" s="3" t="s">
        <v>724</v>
      </c>
      <c r="D488" s="3" t="s">
        <v>5289</v>
      </c>
      <c r="E488" s="3" t="s">
        <v>5290</v>
      </c>
      <c r="G488" t="s">
        <v>20</v>
      </c>
      <c r="I488" t="s">
        <v>5295</v>
      </c>
      <c r="Q488" s="10"/>
      <c r="U488" s="9" t="str">
        <f t="shared" ca="1" si="16"/>
        <v/>
      </c>
      <c r="V488" s="9" t="str">
        <f t="shared" ca="1" si="17"/>
        <v/>
      </c>
    </row>
    <row r="489" spans="1:33" ht="43.5">
      <c r="A489" s="3" t="s">
        <v>724</v>
      </c>
      <c r="D489" s="3" t="s">
        <v>5291</v>
      </c>
      <c r="E489" s="3" t="s">
        <v>5292</v>
      </c>
      <c r="J489" s="9" t="s">
        <v>12118</v>
      </c>
      <c r="Q489" s="10"/>
      <c r="T489" s="9" t="s">
        <v>12131</v>
      </c>
      <c r="U489" s="9" t="str">
        <f t="shared" ca="1" si="16"/>
        <v/>
      </c>
      <c r="V489" s="9" t="str">
        <f t="shared" ca="1" si="17"/>
        <v/>
      </c>
      <c r="AC489" s="9" t="s">
        <v>12134</v>
      </c>
      <c r="AD489" s="9" t="s">
        <v>19</v>
      </c>
      <c r="AE489" s="9" t="s">
        <v>12086</v>
      </c>
    </row>
    <row r="490" spans="1:33" ht="43.5">
      <c r="A490" s="3" t="s">
        <v>724</v>
      </c>
      <c r="D490" s="3" t="s">
        <v>5293</v>
      </c>
      <c r="E490" s="3" t="s">
        <v>5294</v>
      </c>
      <c r="G490" t="s">
        <v>21</v>
      </c>
      <c r="I490" t="s">
        <v>5296</v>
      </c>
      <c r="J490" s="9" t="s">
        <v>12118</v>
      </c>
      <c r="Q490" s="10"/>
      <c r="T490" s="9" t="s">
        <v>12131</v>
      </c>
      <c r="U490" s="9" t="str">
        <f t="shared" ca="1" si="16"/>
        <v/>
      </c>
      <c r="V490" s="9" t="str">
        <f t="shared" ca="1" si="17"/>
        <v/>
      </c>
      <c r="AC490" s="9" t="s">
        <v>12134</v>
      </c>
      <c r="AD490" s="9" t="s">
        <v>19</v>
      </c>
      <c r="AE490" s="9" t="s">
        <v>12086</v>
      </c>
    </row>
    <row r="491" spans="1:33">
      <c r="A491" s="3" t="s">
        <v>725</v>
      </c>
      <c r="D491" s="3" t="s">
        <v>5297</v>
      </c>
      <c r="E491" s="3" t="s">
        <v>5298</v>
      </c>
      <c r="J491" s="9" t="s">
        <v>24</v>
      </c>
      <c r="L491" s="9">
        <v>1</v>
      </c>
      <c r="M491" s="9">
        <v>2</v>
      </c>
      <c r="N491" s="9" t="s">
        <v>12087</v>
      </c>
      <c r="O491" s="9" t="s">
        <v>12119</v>
      </c>
      <c r="Q491" s="10"/>
      <c r="S491" s="9">
        <v>1966</v>
      </c>
      <c r="U491" s="9" t="str">
        <f t="shared" ca="1" si="16"/>
        <v/>
      </c>
      <c r="V491" s="9" t="str">
        <f t="shared" ca="1" si="17"/>
        <v/>
      </c>
      <c r="AG491" s="9" t="s">
        <v>19</v>
      </c>
    </row>
    <row r="492" spans="1:33">
      <c r="A492" s="3" t="s">
        <v>726</v>
      </c>
      <c r="D492" s="3" t="s">
        <v>727</v>
      </c>
      <c r="E492" s="3" t="s">
        <v>728</v>
      </c>
      <c r="J492" s="9" t="s">
        <v>12118</v>
      </c>
      <c r="Q492" s="10"/>
      <c r="T492" s="9">
        <f>37-87</f>
        <v>-50</v>
      </c>
      <c r="U492" s="9">
        <f t="shared" ca="1" si="16"/>
        <v>87</v>
      </c>
      <c r="V492" s="9">
        <f t="shared" ca="1" si="17"/>
        <v>37</v>
      </c>
      <c r="AG492" s="9" t="s">
        <v>20</v>
      </c>
    </row>
    <row r="493" spans="1:33">
      <c r="A493" s="3" t="s">
        <v>726</v>
      </c>
      <c r="D493" s="3" t="s">
        <v>729</v>
      </c>
      <c r="E493" s="3" t="s">
        <v>730</v>
      </c>
      <c r="J493" s="9" t="s">
        <v>12118</v>
      </c>
      <c r="Q493" s="10"/>
      <c r="T493" s="9" t="s">
        <v>12131</v>
      </c>
      <c r="U493" s="9" t="str">
        <f t="shared" ca="1" si="16"/>
        <v/>
      </c>
      <c r="V493" s="9" t="str">
        <f t="shared" ca="1" si="17"/>
        <v/>
      </c>
      <c r="AC493" s="9" t="s">
        <v>12130</v>
      </c>
      <c r="AD493" s="9" t="s">
        <v>19</v>
      </c>
      <c r="AE493" s="9" t="s">
        <v>12086</v>
      </c>
    </row>
    <row r="494" spans="1:33" ht="29">
      <c r="A494" s="3" t="s">
        <v>731</v>
      </c>
      <c r="D494" s="3" t="s">
        <v>5299</v>
      </c>
      <c r="E494" s="3" t="s">
        <v>5300</v>
      </c>
      <c r="G494" t="s">
        <v>19</v>
      </c>
      <c r="J494" s="9" t="s">
        <v>12120</v>
      </c>
      <c r="Q494" s="10"/>
      <c r="U494" s="9" t="str">
        <f t="shared" ca="1" si="16"/>
        <v/>
      </c>
      <c r="V494" s="9" t="str">
        <f t="shared" ca="1" si="17"/>
        <v/>
      </c>
    </row>
    <row r="495" spans="1:33">
      <c r="A495" s="3" t="s">
        <v>732</v>
      </c>
      <c r="D495" s="3" t="s">
        <v>5301</v>
      </c>
      <c r="E495" s="3" t="s">
        <v>5302</v>
      </c>
      <c r="J495" s="9" t="s">
        <v>12120</v>
      </c>
      <c r="Q495" s="10"/>
      <c r="U495" s="9" t="str">
        <f t="shared" ca="1" si="16"/>
        <v/>
      </c>
      <c r="V495" s="9" t="str">
        <f t="shared" ca="1" si="17"/>
        <v/>
      </c>
      <c r="AB495" s="9" t="s">
        <v>12737</v>
      </c>
      <c r="AD495" s="9" t="s">
        <v>19</v>
      </c>
    </row>
    <row r="496" spans="1:33">
      <c r="A496" s="3" t="s">
        <v>733</v>
      </c>
      <c r="D496" s="3" t="s">
        <v>734</v>
      </c>
      <c r="E496" s="3" t="s">
        <v>735</v>
      </c>
      <c r="J496" s="9" t="s">
        <v>12118</v>
      </c>
      <c r="Q496" s="10"/>
      <c r="T496" s="9" t="s">
        <v>12131</v>
      </c>
      <c r="U496" s="9" t="str">
        <f t="shared" ca="1" si="16"/>
        <v/>
      </c>
      <c r="V496" s="9" t="str">
        <f t="shared" ca="1" si="17"/>
        <v/>
      </c>
      <c r="AB496" s="9" t="s">
        <v>12124</v>
      </c>
      <c r="AD496" s="9" t="s">
        <v>19</v>
      </c>
    </row>
    <row r="497" spans="1:33">
      <c r="A497" s="3" t="s">
        <v>733</v>
      </c>
      <c r="D497" s="3" t="s">
        <v>5304</v>
      </c>
      <c r="E497" s="3" t="s">
        <v>5303</v>
      </c>
      <c r="J497" s="9" t="s">
        <v>24</v>
      </c>
      <c r="L497" s="9">
        <v>1</v>
      </c>
      <c r="M497" s="9">
        <v>5</v>
      </c>
      <c r="N497" s="9" t="s">
        <v>12094</v>
      </c>
      <c r="O497" s="9" t="s">
        <v>12079</v>
      </c>
      <c r="Q497" s="10"/>
      <c r="S497" s="9">
        <v>4240</v>
      </c>
      <c r="U497" s="9" t="str">
        <f t="shared" ca="1" si="16"/>
        <v/>
      </c>
      <c r="V497" s="9" t="str">
        <f t="shared" ca="1" si="17"/>
        <v/>
      </c>
      <c r="AG497" s="9" t="s">
        <v>19</v>
      </c>
    </row>
    <row r="498" spans="1:33" ht="29">
      <c r="A498" s="3" t="s">
        <v>733</v>
      </c>
      <c r="D498" s="3" t="s">
        <v>5305</v>
      </c>
      <c r="E498" s="3" t="s">
        <v>5306</v>
      </c>
      <c r="I498" t="s">
        <v>12646</v>
      </c>
      <c r="J498" s="9" t="s">
        <v>26</v>
      </c>
      <c r="Q498" s="10"/>
      <c r="U498" s="9" t="str">
        <f t="shared" ca="1" si="16"/>
        <v/>
      </c>
      <c r="V498" s="9" t="str">
        <f t="shared" ca="1" si="17"/>
        <v/>
      </c>
      <c r="W498" s="9" t="s">
        <v>12117</v>
      </c>
      <c r="AG498" s="9" t="s">
        <v>20</v>
      </c>
    </row>
    <row r="499" spans="1:33">
      <c r="A499" s="3" t="s">
        <v>736</v>
      </c>
      <c r="D499" s="3" t="s">
        <v>737</v>
      </c>
      <c r="E499" s="3" t="s">
        <v>738</v>
      </c>
      <c r="H499" t="s">
        <v>19</v>
      </c>
      <c r="J499" s="9" t="s">
        <v>12118</v>
      </c>
      <c r="Q499" s="10"/>
      <c r="T499" s="9" t="s">
        <v>12119</v>
      </c>
      <c r="U499" s="9" t="str">
        <f t="shared" ca="1" si="16"/>
        <v/>
      </c>
      <c r="V499" s="9" t="str">
        <f t="shared" ca="1" si="17"/>
        <v/>
      </c>
      <c r="AB499" s="9" t="s">
        <v>12124</v>
      </c>
      <c r="AC499" s="9" t="s">
        <v>12740</v>
      </c>
      <c r="AD499" s="9" t="s">
        <v>19</v>
      </c>
    </row>
    <row r="500" spans="1:33">
      <c r="A500" s="3" t="s">
        <v>736</v>
      </c>
      <c r="D500" s="3" t="s">
        <v>739</v>
      </c>
      <c r="E500" s="3" t="s">
        <v>740</v>
      </c>
      <c r="J500" s="9" t="s">
        <v>12118</v>
      </c>
      <c r="Q500" s="10"/>
      <c r="T500" s="9" t="s">
        <v>12119</v>
      </c>
      <c r="U500" s="9" t="str">
        <f t="shared" ca="1" si="16"/>
        <v/>
      </c>
      <c r="V500" s="9" t="str">
        <f t="shared" ca="1" si="17"/>
        <v/>
      </c>
      <c r="AB500" s="9" t="s">
        <v>12124</v>
      </c>
      <c r="AC500" s="9" t="s">
        <v>12144</v>
      </c>
      <c r="AD500" s="9" t="s">
        <v>19</v>
      </c>
    </row>
    <row r="501" spans="1:33" ht="29">
      <c r="A501" s="3" t="s">
        <v>741</v>
      </c>
      <c r="D501" s="3" t="s">
        <v>5307</v>
      </c>
      <c r="E501" s="3" t="s">
        <v>5308</v>
      </c>
      <c r="H501" t="s">
        <v>19</v>
      </c>
      <c r="J501" s="9" t="s">
        <v>24</v>
      </c>
      <c r="L501" s="9">
        <v>1</v>
      </c>
      <c r="M501" s="9">
        <v>6</v>
      </c>
      <c r="N501" s="9" t="s">
        <v>12092</v>
      </c>
      <c r="O501" s="9" t="s">
        <v>12079</v>
      </c>
      <c r="Q501" s="10"/>
      <c r="S501" s="9">
        <v>152</v>
      </c>
      <c r="AG501" s="9" t="s">
        <v>20</v>
      </c>
    </row>
    <row r="502" spans="1:33">
      <c r="A502" s="3" t="s">
        <v>741</v>
      </c>
      <c r="D502" s="3" t="s">
        <v>12183</v>
      </c>
      <c r="E502" s="3" t="s">
        <v>12980</v>
      </c>
      <c r="G502" t="s">
        <v>19</v>
      </c>
      <c r="J502" s="9" t="s">
        <v>12120</v>
      </c>
      <c r="Q502" s="10"/>
      <c r="U502" s="9" t="str">
        <f t="shared" ca="1" si="16"/>
        <v/>
      </c>
      <c r="V502" s="9" t="str">
        <f t="shared" ca="1" si="17"/>
        <v/>
      </c>
      <c r="AE502" s="9" t="s">
        <v>12089</v>
      </c>
    </row>
    <row r="503" spans="1:33">
      <c r="A503" s="3" t="s">
        <v>741</v>
      </c>
      <c r="D503" s="3" t="s">
        <v>12184</v>
      </c>
      <c r="E503" s="3" t="s">
        <v>12981</v>
      </c>
      <c r="J503" s="9" t="s">
        <v>12118</v>
      </c>
      <c r="Q503" s="10"/>
      <c r="T503" s="9">
        <f>47-66</f>
        <v>-19</v>
      </c>
      <c r="U503" s="9">
        <f t="shared" ca="1" si="16"/>
        <v>66</v>
      </c>
      <c r="V503" s="9">
        <f t="shared" ca="1" si="17"/>
        <v>47</v>
      </c>
      <c r="AG503" s="9" t="s">
        <v>19</v>
      </c>
    </row>
    <row r="504" spans="1:33">
      <c r="A504" s="3" t="s">
        <v>743</v>
      </c>
      <c r="D504" s="3" t="s">
        <v>5309</v>
      </c>
      <c r="E504" s="3" t="s">
        <v>12982</v>
      </c>
      <c r="J504" s="9" t="s">
        <v>25</v>
      </c>
      <c r="L504" s="9">
        <v>1</v>
      </c>
      <c r="M504" s="9">
        <v>2</v>
      </c>
      <c r="N504" s="9" t="s">
        <v>12087</v>
      </c>
      <c r="O504" s="9" t="s">
        <v>12119</v>
      </c>
      <c r="Q504" s="10"/>
      <c r="S504" s="9">
        <v>1966</v>
      </c>
      <c r="U504" s="9" t="str">
        <f t="shared" ca="1" si="16"/>
        <v/>
      </c>
      <c r="V504" s="9" t="str">
        <f t="shared" ca="1" si="17"/>
        <v/>
      </c>
      <c r="AG504" s="9" t="s">
        <v>19</v>
      </c>
    </row>
    <row r="505" spans="1:33" ht="29">
      <c r="A505" s="3" t="s">
        <v>744</v>
      </c>
      <c r="D505" s="3" t="s">
        <v>5311</v>
      </c>
      <c r="E505" s="3" t="s">
        <v>5312</v>
      </c>
      <c r="I505" t="s">
        <v>12185</v>
      </c>
      <c r="J505" s="9" t="s">
        <v>26</v>
      </c>
      <c r="Q505" s="10"/>
      <c r="U505" s="9" t="str">
        <f t="shared" ca="1" si="16"/>
        <v/>
      </c>
      <c r="V505" s="9" t="str">
        <f t="shared" ca="1" si="17"/>
        <v/>
      </c>
      <c r="AG505" s="9" t="s">
        <v>19</v>
      </c>
    </row>
    <row r="506" spans="1:33">
      <c r="A506" s="3" t="s">
        <v>745</v>
      </c>
      <c r="D506" s="3" t="s">
        <v>5313</v>
      </c>
      <c r="E506" s="3" t="s">
        <v>5314</v>
      </c>
      <c r="I506" t="s">
        <v>5457</v>
      </c>
      <c r="J506" s="9" t="s">
        <v>26</v>
      </c>
      <c r="Q506" s="10"/>
      <c r="U506" s="9" t="str">
        <f t="shared" ca="1" si="16"/>
        <v/>
      </c>
      <c r="V506" s="9" t="str">
        <f t="shared" ca="1" si="17"/>
        <v/>
      </c>
      <c r="AG506" s="9" t="s">
        <v>19</v>
      </c>
    </row>
    <row r="507" spans="1:33">
      <c r="A507" s="3" t="s">
        <v>746</v>
      </c>
      <c r="D507" s="3" t="s">
        <v>747</v>
      </c>
      <c r="E507" s="3" t="s">
        <v>748</v>
      </c>
      <c r="J507" s="9" t="s">
        <v>12118</v>
      </c>
      <c r="Q507" s="10"/>
      <c r="T507" s="9" t="s">
        <v>12119</v>
      </c>
      <c r="U507" s="9" t="str">
        <f t="shared" ca="1" si="16"/>
        <v/>
      </c>
      <c r="V507" s="9" t="str">
        <f t="shared" ca="1" si="17"/>
        <v/>
      </c>
      <c r="AC507" s="9" t="s">
        <v>12130</v>
      </c>
      <c r="AD507" s="9" t="s">
        <v>19</v>
      </c>
      <c r="AE507" s="9" t="s">
        <v>12086</v>
      </c>
    </row>
    <row r="508" spans="1:33" ht="29">
      <c r="A508" s="3" t="s">
        <v>746</v>
      </c>
      <c r="D508" s="3" t="s">
        <v>5316</v>
      </c>
      <c r="E508" s="3" t="s">
        <v>5315</v>
      </c>
      <c r="J508" s="9" t="s">
        <v>25</v>
      </c>
      <c r="L508" s="9">
        <v>1</v>
      </c>
      <c r="M508" s="9">
        <v>5</v>
      </c>
      <c r="N508" s="9" t="s">
        <v>12094</v>
      </c>
      <c r="O508" s="9" t="s">
        <v>12079</v>
      </c>
      <c r="Q508" s="10"/>
      <c r="S508" s="9">
        <v>930</v>
      </c>
      <c r="U508" s="9" t="str">
        <f t="shared" ca="1" si="16"/>
        <v/>
      </c>
      <c r="V508" s="9" t="str">
        <f t="shared" ca="1" si="17"/>
        <v/>
      </c>
      <c r="AG508" s="9" t="s">
        <v>20</v>
      </c>
    </row>
    <row r="509" spans="1:33" ht="29">
      <c r="A509" s="3" t="s">
        <v>746</v>
      </c>
      <c r="D509" s="3" t="s">
        <v>5317</v>
      </c>
      <c r="E509" s="3" t="s">
        <v>5318</v>
      </c>
      <c r="I509" t="s">
        <v>5457</v>
      </c>
      <c r="J509" s="9" t="s">
        <v>26</v>
      </c>
      <c r="Q509" s="10"/>
      <c r="U509" s="9" t="str">
        <f t="shared" ca="1" si="16"/>
        <v/>
      </c>
      <c r="V509" s="9" t="str">
        <f t="shared" ca="1" si="17"/>
        <v/>
      </c>
      <c r="AG509" s="9" t="s">
        <v>20</v>
      </c>
    </row>
    <row r="510" spans="1:33" ht="43.5">
      <c r="A510" s="3" t="s">
        <v>749</v>
      </c>
      <c r="D510" s="3" t="s">
        <v>5319</v>
      </c>
      <c r="E510" s="3" t="s">
        <v>5320</v>
      </c>
      <c r="J510" s="9" t="s">
        <v>24</v>
      </c>
      <c r="L510" s="9">
        <v>1</v>
      </c>
      <c r="M510" s="9">
        <v>1</v>
      </c>
      <c r="N510" s="9" t="s">
        <v>12078</v>
      </c>
      <c r="O510" s="9" t="s">
        <v>12119</v>
      </c>
      <c r="Q510" s="10"/>
      <c r="S510" s="9">
        <v>11843</v>
      </c>
      <c r="U510" s="9" t="str">
        <f t="shared" ca="1" si="16"/>
        <v/>
      </c>
      <c r="V510" s="9" t="str">
        <f t="shared" ca="1" si="17"/>
        <v/>
      </c>
      <c r="AG510" s="9" t="s">
        <v>19</v>
      </c>
    </row>
    <row r="511" spans="1:33" ht="43.5">
      <c r="A511" s="3" t="s">
        <v>749</v>
      </c>
      <c r="D511" s="3" t="s">
        <v>5321</v>
      </c>
      <c r="E511" s="3" t="s">
        <v>5322</v>
      </c>
      <c r="J511" s="9" t="s">
        <v>12118</v>
      </c>
      <c r="Q511" s="10"/>
      <c r="T511" s="9" t="s">
        <v>12131</v>
      </c>
      <c r="U511" s="9" t="str">
        <f t="shared" ca="1" si="16"/>
        <v/>
      </c>
      <c r="V511" s="9" t="str">
        <f t="shared" ca="1" si="17"/>
        <v/>
      </c>
      <c r="AC511" s="9" t="s">
        <v>12134</v>
      </c>
      <c r="AD511" s="9" t="s">
        <v>19</v>
      </c>
      <c r="AE511" s="9" t="s">
        <v>12086</v>
      </c>
    </row>
    <row r="512" spans="1:33" ht="43.5">
      <c r="A512" s="3" t="s">
        <v>749</v>
      </c>
      <c r="D512" s="3" t="s">
        <v>5319</v>
      </c>
      <c r="E512" s="3" t="s">
        <v>12186</v>
      </c>
      <c r="J512" s="9" t="s">
        <v>24</v>
      </c>
      <c r="L512" s="9">
        <v>2</v>
      </c>
      <c r="M512" s="9">
        <v>12</v>
      </c>
      <c r="O512" s="9" t="s">
        <v>12073</v>
      </c>
      <c r="P512" s="9" t="s">
        <v>12142</v>
      </c>
      <c r="Q512" s="10" t="s">
        <v>12187</v>
      </c>
      <c r="R512" s="9" t="s">
        <v>12074</v>
      </c>
      <c r="S512" s="9">
        <v>261</v>
      </c>
      <c r="U512" s="9" t="str">
        <f t="shared" ca="1" si="16"/>
        <v/>
      </c>
      <c r="V512" s="9" t="str">
        <f t="shared" ca="1" si="17"/>
        <v/>
      </c>
      <c r="AG512" s="9" t="s">
        <v>20</v>
      </c>
    </row>
    <row r="513" spans="1:33">
      <c r="A513" s="3" t="s">
        <v>749</v>
      </c>
      <c r="D513" s="3" t="s">
        <v>5323</v>
      </c>
      <c r="E513" s="3" t="s">
        <v>5324</v>
      </c>
      <c r="G513" t="s">
        <v>19</v>
      </c>
      <c r="J513" s="9" t="s">
        <v>12118</v>
      </c>
      <c r="Q513" s="10"/>
      <c r="T513" s="9">
        <f>64-264</f>
        <v>-200</v>
      </c>
      <c r="U513" s="9">
        <f t="shared" ref="U513:U577" ca="1" si="18">IF(ISNUMBER(T513),VALUE(MID(_xlfn.FORMULATEXT(T513),SEARCH("-",_xlfn.FORMULATEXT(T513))+1,LEN(_xlfn.FORMULATEXT(T513))-SEARCH("-",_xlfn.FORMULATEXT(T513)))), "")</f>
        <v>264</v>
      </c>
      <c r="V513" s="9">
        <f t="shared" ref="V513:V577" ca="1" si="19">IF(ISNUMBER(T513), VALUE(MID(_xlfn.FORMULATEXT(T513), 2, SEARCH("-", _xlfn.FORMULATEXT(T513)) - 2)), "")</f>
        <v>64</v>
      </c>
      <c r="AC513" s="9" t="s">
        <v>12134</v>
      </c>
      <c r="AD513" s="9" t="s">
        <v>19</v>
      </c>
      <c r="AE513" s="9" t="s">
        <v>12089</v>
      </c>
    </row>
    <row r="514" spans="1:33" ht="29">
      <c r="A514" s="3" t="s">
        <v>749</v>
      </c>
      <c r="D514" s="3" t="s">
        <v>5325</v>
      </c>
      <c r="E514" s="3" t="s">
        <v>5326</v>
      </c>
      <c r="J514" s="9" t="s">
        <v>12118</v>
      </c>
      <c r="Q514" s="10"/>
      <c r="T514" s="9">
        <f>444-114</f>
        <v>330</v>
      </c>
      <c r="U514" s="9">
        <f t="shared" ca="1" si="18"/>
        <v>114</v>
      </c>
      <c r="V514" s="9">
        <f t="shared" ca="1" si="19"/>
        <v>444</v>
      </c>
      <c r="AG514" s="9" t="s">
        <v>19</v>
      </c>
    </row>
    <row r="515" spans="1:33">
      <c r="A515" s="3" t="s">
        <v>749</v>
      </c>
      <c r="D515" s="3" t="s">
        <v>750</v>
      </c>
      <c r="E515" s="3" t="s">
        <v>751</v>
      </c>
      <c r="J515" s="9" t="s">
        <v>12118</v>
      </c>
      <c r="Q515" s="10"/>
      <c r="T515" s="9" t="s">
        <v>12119</v>
      </c>
      <c r="U515" s="9" t="str">
        <f t="shared" ca="1" si="18"/>
        <v/>
      </c>
      <c r="V515" s="9" t="str">
        <f t="shared" ca="1" si="19"/>
        <v/>
      </c>
      <c r="AC515" s="9" t="s">
        <v>12130</v>
      </c>
      <c r="AD515" s="9" t="s">
        <v>19</v>
      </c>
      <c r="AE515" s="9" t="s">
        <v>12086</v>
      </c>
    </row>
    <row r="516" spans="1:33">
      <c r="A516" s="3" t="s">
        <v>752</v>
      </c>
      <c r="D516" s="3" t="s">
        <v>753</v>
      </c>
      <c r="E516" s="3" t="s">
        <v>754</v>
      </c>
      <c r="J516" s="9" t="s">
        <v>12118</v>
      </c>
      <c r="Q516" s="10"/>
      <c r="T516" s="9" t="s">
        <v>12119</v>
      </c>
      <c r="U516" s="9" t="str">
        <f t="shared" ca="1" si="18"/>
        <v/>
      </c>
      <c r="V516" s="9" t="str">
        <f t="shared" ca="1" si="19"/>
        <v/>
      </c>
      <c r="AC516" s="9" t="s">
        <v>12130</v>
      </c>
      <c r="AD516" s="9" t="s">
        <v>19</v>
      </c>
      <c r="AE516" s="9" t="s">
        <v>12086</v>
      </c>
    </row>
    <row r="517" spans="1:33">
      <c r="A517" s="3" t="s">
        <v>752</v>
      </c>
      <c r="D517" s="3" t="s">
        <v>755</v>
      </c>
      <c r="E517" s="3" t="s">
        <v>5327</v>
      </c>
      <c r="G517" t="s">
        <v>19</v>
      </c>
      <c r="J517" s="9" t="s">
        <v>12120</v>
      </c>
      <c r="Q517" s="10"/>
      <c r="U517" s="9" t="str">
        <f t="shared" ca="1" si="18"/>
        <v/>
      </c>
      <c r="V517" s="9" t="str">
        <f t="shared" ca="1" si="19"/>
        <v/>
      </c>
      <c r="AC517" s="9" t="s">
        <v>12166</v>
      </c>
      <c r="AD517" s="9" t="s">
        <v>19</v>
      </c>
    </row>
    <row r="518" spans="1:33">
      <c r="A518" s="3" t="s">
        <v>756</v>
      </c>
      <c r="D518" s="3" t="s">
        <v>5328</v>
      </c>
      <c r="E518" s="3" t="s">
        <v>5329</v>
      </c>
      <c r="I518" t="s">
        <v>5457</v>
      </c>
      <c r="J518" s="9" t="s">
        <v>26</v>
      </c>
      <c r="Q518" s="10"/>
      <c r="U518" s="9" t="str">
        <f t="shared" ca="1" si="18"/>
        <v/>
      </c>
      <c r="V518" s="9" t="str">
        <f t="shared" ca="1" si="19"/>
        <v/>
      </c>
      <c r="AG518" s="9" t="s">
        <v>13141</v>
      </c>
    </row>
    <row r="519" spans="1:33">
      <c r="A519" s="3" t="s">
        <v>756</v>
      </c>
      <c r="D519" s="3" t="s">
        <v>5330</v>
      </c>
      <c r="E519" s="3" t="s">
        <v>5331</v>
      </c>
      <c r="J519" s="9" t="s">
        <v>24</v>
      </c>
      <c r="L519" s="9">
        <v>1</v>
      </c>
      <c r="M519" s="9">
        <v>2</v>
      </c>
      <c r="N519" s="9" t="s">
        <v>12078</v>
      </c>
      <c r="O519" s="9" t="s">
        <v>12119</v>
      </c>
      <c r="Q519" s="10"/>
      <c r="S519" s="9">
        <v>11843</v>
      </c>
      <c r="U519" s="9" t="str">
        <f t="shared" ca="1" si="18"/>
        <v/>
      </c>
      <c r="V519" s="9" t="str">
        <f t="shared" ca="1" si="19"/>
        <v/>
      </c>
      <c r="AG519" s="9" t="s">
        <v>19</v>
      </c>
    </row>
    <row r="520" spans="1:33">
      <c r="A520" s="3" t="s">
        <v>757</v>
      </c>
      <c r="D520" s="3" t="s">
        <v>5332</v>
      </c>
      <c r="E520" s="3" t="s">
        <v>5333</v>
      </c>
      <c r="J520" s="9" t="s">
        <v>12120</v>
      </c>
      <c r="Q520" s="10"/>
      <c r="U520" s="9" t="str">
        <f t="shared" ca="1" si="18"/>
        <v/>
      </c>
      <c r="V520" s="9" t="str">
        <f t="shared" ca="1" si="19"/>
        <v/>
      </c>
      <c r="AB520" s="9" t="s">
        <v>12082</v>
      </c>
      <c r="AD520" s="9" t="s">
        <v>19</v>
      </c>
    </row>
    <row r="521" spans="1:33">
      <c r="A521" s="3" t="s">
        <v>758</v>
      </c>
      <c r="D521" s="3" t="s">
        <v>759</v>
      </c>
      <c r="E521" s="3" t="s">
        <v>760</v>
      </c>
      <c r="J521" s="9" t="s">
        <v>12120</v>
      </c>
      <c r="Q521" s="10"/>
      <c r="U521" s="9" t="str">
        <f t="shared" ca="1" si="18"/>
        <v/>
      </c>
      <c r="V521" s="9" t="str">
        <f t="shared" ca="1" si="19"/>
        <v/>
      </c>
      <c r="AG521" s="9" t="s">
        <v>20</v>
      </c>
    </row>
    <row r="522" spans="1:33">
      <c r="A522" s="3" t="s">
        <v>758</v>
      </c>
      <c r="D522" s="3" t="s">
        <v>761</v>
      </c>
      <c r="E522" s="3" t="s">
        <v>762</v>
      </c>
      <c r="J522" s="9" t="s">
        <v>12120</v>
      </c>
      <c r="Q522" s="10"/>
      <c r="U522" s="9" t="str">
        <f t="shared" ca="1" si="18"/>
        <v/>
      </c>
      <c r="V522" s="9" t="str">
        <f t="shared" ca="1" si="19"/>
        <v/>
      </c>
      <c r="AG522" s="9" t="s">
        <v>20</v>
      </c>
    </row>
    <row r="523" spans="1:33">
      <c r="A523" s="3" t="s">
        <v>763</v>
      </c>
      <c r="D523" s="3" t="s">
        <v>5334</v>
      </c>
      <c r="E523" s="3" t="s">
        <v>5335</v>
      </c>
      <c r="J523" s="9" t="s">
        <v>25</v>
      </c>
      <c r="L523" s="9">
        <v>1</v>
      </c>
      <c r="M523" s="9">
        <v>5</v>
      </c>
      <c r="N523" s="9" t="s">
        <v>12072</v>
      </c>
      <c r="O523" s="9" t="s">
        <v>12073</v>
      </c>
      <c r="P523" s="9" t="s">
        <v>12149</v>
      </c>
      <c r="Q523" s="10" t="s">
        <v>12160</v>
      </c>
      <c r="S523" s="9">
        <v>95</v>
      </c>
      <c r="U523" s="9" t="str">
        <f t="shared" ca="1" si="18"/>
        <v/>
      </c>
      <c r="V523" s="9" t="str">
        <f t="shared" ca="1" si="19"/>
        <v/>
      </c>
      <c r="AG523" s="9" t="s">
        <v>19</v>
      </c>
    </row>
    <row r="524" spans="1:33">
      <c r="A524" s="3" t="s">
        <v>764</v>
      </c>
      <c r="D524" s="3" t="s">
        <v>5336</v>
      </c>
      <c r="E524" s="3" t="s">
        <v>5337</v>
      </c>
      <c r="J524" s="9" t="s">
        <v>12120</v>
      </c>
      <c r="Q524" s="10"/>
      <c r="U524" s="9" t="str">
        <f t="shared" ca="1" si="18"/>
        <v/>
      </c>
      <c r="V524" s="9" t="str">
        <f t="shared" ca="1" si="19"/>
        <v/>
      </c>
      <c r="AC524" s="9" t="s">
        <v>12130</v>
      </c>
      <c r="AD524" s="9" t="s">
        <v>19</v>
      </c>
    </row>
    <row r="525" spans="1:33">
      <c r="A525" s="3" t="s">
        <v>765</v>
      </c>
      <c r="D525" s="3" t="s">
        <v>5338</v>
      </c>
      <c r="E525" s="3" t="s">
        <v>5339</v>
      </c>
      <c r="J525" s="9" t="s">
        <v>25</v>
      </c>
      <c r="L525" s="9">
        <v>1</v>
      </c>
      <c r="M525" s="9">
        <v>3</v>
      </c>
      <c r="N525" s="9" t="s">
        <v>12078</v>
      </c>
      <c r="O525" s="9" t="s">
        <v>12119</v>
      </c>
      <c r="Q525" s="10"/>
      <c r="S525" s="9">
        <v>11843</v>
      </c>
      <c r="U525" s="9" t="str">
        <f t="shared" ca="1" si="18"/>
        <v/>
      </c>
      <c r="V525" s="9" t="str">
        <f t="shared" ca="1" si="19"/>
        <v/>
      </c>
      <c r="AG525" s="9" t="s">
        <v>19</v>
      </c>
    </row>
    <row r="526" spans="1:33">
      <c r="A526" s="3" t="s">
        <v>766</v>
      </c>
      <c r="D526" s="3" t="s">
        <v>5340</v>
      </c>
      <c r="E526" s="3" t="s">
        <v>5341</v>
      </c>
      <c r="J526" s="9" t="s">
        <v>12120</v>
      </c>
      <c r="Q526" s="10"/>
      <c r="U526" s="9" t="str">
        <f t="shared" ca="1" si="18"/>
        <v/>
      </c>
      <c r="V526" s="9" t="str">
        <f t="shared" ca="1" si="19"/>
        <v/>
      </c>
      <c r="AB526" s="9" t="s">
        <v>12082</v>
      </c>
      <c r="AD526" s="9" t="s">
        <v>19</v>
      </c>
    </row>
    <row r="527" spans="1:33">
      <c r="A527" s="3" t="s">
        <v>766</v>
      </c>
      <c r="D527" s="3" t="s">
        <v>5342</v>
      </c>
      <c r="E527" s="3" t="s">
        <v>5343</v>
      </c>
      <c r="J527" s="9" t="s">
        <v>12120</v>
      </c>
      <c r="Q527" s="10"/>
      <c r="U527" s="9" t="str">
        <f t="shared" ca="1" si="18"/>
        <v/>
      </c>
      <c r="V527" s="9" t="str">
        <f t="shared" ca="1" si="19"/>
        <v/>
      </c>
      <c r="AC527" s="9" t="s">
        <v>12130</v>
      </c>
      <c r="AD527" s="9" t="s">
        <v>19</v>
      </c>
    </row>
    <row r="528" spans="1:33">
      <c r="A528" s="3" t="s">
        <v>766</v>
      </c>
      <c r="D528" s="3" t="s">
        <v>5345</v>
      </c>
      <c r="E528" s="3" t="s">
        <v>5344</v>
      </c>
      <c r="J528" s="9" t="s">
        <v>12118</v>
      </c>
      <c r="Q528" s="10"/>
      <c r="T528" s="9">
        <f>124-1</f>
        <v>123</v>
      </c>
      <c r="U528" s="9">
        <f t="shared" ca="1" si="18"/>
        <v>1</v>
      </c>
      <c r="V528" s="9">
        <f t="shared" ca="1" si="19"/>
        <v>124</v>
      </c>
      <c r="AE528" s="9" t="s">
        <v>12083</v>
      </c>
    </row>
    <row r="529" spans="1:33">
      <c r="A529" s="3" t="s">
        <v>768</v>
      </c>
      <c r="D529" s="3" t="s">
        <v>5346</v>
      </c>
      <c r="E529" s="3" t="s">
        <v>5347</v>
      </c>
      <c r="J529" s="9" t="s">
        <v>12120</v>
      </c>
      <c r="Q529" s="10"/>
      <c r="U529" s="9" t="str">
        <f t="shared" ca="1" si="18"/>
        <v/>
      </c>
      <c r="V529" s="9" t="str">
        <f t="shared" ca="1" si="19"/>
        <v/>
      </c>
      <c r="AG529" s="9" t="s">
        <v>20</v>
      </c>
    </row>
    <row r="530" spans="1:33">
      <c r="A530" s="3" t="s">
        <v>769</v>
      </c>
      <c r="D530" s="3" t="s">
        <v>5348</v>
      </c>
      <c r="E530" s="3" t="s">
        <v>5349</v>
      </c>
      <c r="H530" t="s">
        <v>22</v>
      </c>
      <c r="I530" t="s">
        <v>5350</v>
      </c>
      <c r="J530" s="9" t="s">
        <v>12118</v>
      </c>
      <c r="Q530" s="10"/>
      <c r="R530" s="9" t="s">
        <v>12074</v>
      </c>
      <c r="T530" s="9" t="s">
        <v>12131</v>
      </c>
      <c r="U530" s="9" t="str">
        <f t="shared" ca="1" si="18"/>
        <v/>
      </c>
      <c r="V530" s="9" t="str">
        <f t="shared" ca="1" si="19"/>
        <v/>
      </c>
      <c r="AB530" s="9" t="s">
        <v>12124</v>
      </c>
      <c r="AD530" s="9" t="s">
        <v>19</v>
      </c>
      <c r="AE530" s="9" t="s">
        <v>12077</v>
      </c>
    </row>
    <row r="531" spans="1:33">
      <c r="A531" s="3" t="s">
        <v>769</v>
      </c>
      <c r="D531" s="3" t="s">
        <v>5351</v>
      </c>
      <c r="E531" s="3" t="s">
        <v>5352</v>
      </c>
      <c r="I531" t="s">
        <v>5457</v>
      </c>
      <c r="J531" s="9" t="s">
        <v>26</v>
      </c>
      <c r="Q531" s="10"/>
      <c r="U531" s="9" t="str">
        <f t="shared" ca="1" si="18"/>
        <v/>
      </c>
      <c r="V531" s="9" t="str">
        <f t="shared" ca="1" si="19"/>
        <v/>
      </c>
      <c r="AG531" s="9" t="s">
        <v>19</v>
      </c>
    </row>
    <row r="532" spans="1:33">
      <c r="A532" s="3" t="s">
        <v>770</v>
      </c>
      <c r="D532" s="3" t="s">
        <v>771</v>
      </c>
      <c r="E532" s="3" t="s">
        <v>5353</v>
      </c>
      <c r="J532" s="9" t="s">
        <v>12120</v>
      </c>
      <c r="Q532" s="10"/>
      <c r="U532" s="9" t="str">
        <f t="shared" ca="1" si="18"/>
        <v/>
      </c>
      <c r="V532" s="9" t="str">
        <f t="shared" ca="1" si="19"/>
        <v/>
      </c>
      <c r="AG532" s="9" t="s">
        <v>19</v>
      </c>
    </row>
    <row r="533" spans="1:33">
      <c r="A533" s="3" t="s">
        <v>770</v>
      </c>
      <c r="D533" s="3" t="s">
        <v>772</v>
      </c>
      <c r="E533" s="3" t="s">
        <v>773</v>
      </c>
      <c r="J533" s="9" t="s">
        <v>12120</v>
      </c>
      <c r="Q533" s="10"/>
      <c r="U533" s="9" t="str">
        <f t="shared" ca="1" si="18"/>
        <v/>
      </c>
      <c r="V533" s="9" t="str">
        <f t="shared" ca="1" si="19"/>
        <v/>
      </c>
      <c r="AC533" s="9" t="s">
        <v>12144</v>
      </c>
      <c r="AD533" s="9" t="s">
        <v>19</v>
      </c>
    </row>
    <row r="534" spans="1:33">
      <c r="A534" s="3" t="s">
        <v>774</v>
      </c>
      <c r="D534" s="3" t="s">
        <v>775</v>
      </c>
      <c r="E534" s="3" t="s">
        <v>5354</v>
      </c>
      <c r="J534" s="9" t="s">
        <v>12118</v>
      </c>
      <c r="Q534" s="10"/>
      <c r="T534" s="9" t="s">
        <v>12131</v>
      </c>
      <c r="U534" s="9" t="str">
        <f t="shared" ca="1" si="18"/>
        <v/>
      </c>
      <c r="V534" s="9" t="str">
        <f t="shared" ca="1" si="19"/>
        <v/>
      </c>
      <c r="AE534" s="9" t="s">
        <v>12086</v>
      </c>
    </row>
    <row r="535" spans="1:33">
      <c r="A535" s="3" t="s">
        <v>774</v>
      </c>
      <c r="D535" s="3" t="s">
        <v>5355</v>
      </c>
      <c r="E535" s="3" t="s">
        <v>5356</v>
      </c>
      <c r="H535" t="s">
        <v>19</v>
      </c>
      <c r="J535" s="9" t="s">
        <v>25</v>
      </c>
      <c r="L535" s="9">
        <v>1</v>
      </c>
      <c r="M535" s="9">
        <v>2</v>
      </c>
      <c r="N535" s="9" t="s">
        <v>12123</v>
      </c>
      <c r="O535" s="9" t="s">
        <v>12119</v>
      </c>
      <c r="Q535" s="10"/>
      <c r="S535" s="9">
        <v>526</v>
      </c>
      <c r="U535" s="9" t="str">
        <f t="shared" ca="1" si="18"/>
        <v/>
      </c>
      <c r="V535" s="9" t="str">
        <f t="shared" ca="1" si="19"/>
        <v/>
      </c>
      <c r="AG535" s="9" t="s">
        <v>20</v>
      </c>
    </row>
    <row r="536" spans="1:33">
      <c r="A536" s="3" t="s">
        <v>777</v>
      </c>
      <c r="D536" s="3" t="s">
        <v>778</v>
      </c>
      <c r="E536" s="3" t="s">
        <v>779</v>
      </c>
      <c r="J536" s="9" t="s">
        <v>12120</v>
      </c>
      <c r="Q536" s="10"/>
      <c r="U536" s="9" t="str">
        <f t="shared" ca="1" si="18"/>
        <v/>
      </c>
      <c r="V536" s="9" t="str">
        <f t="shared" ca="1" si="19"/>
        <v/>
      </c>
      <c r="AC536" s="9" t="s">
        <v>12144</v>
      </c>
      <c r="AD536" s="9" t="s">
        <v>19</v>
      </c>
    </row>
    <row r="537" spans="1:33">
      <c r="A537" s="3" t="s">
        <v>780</v>
      </c>
      <c r="D537" s="3" t="s">
        <v>781</v>
      </c>
      <c r="E537" s="3" t="s">
        <v>782</v>
      </c>
      <c r="J537" s="9" t="s">
        <v>12120</v>
      </c>
      <c r="Q537" s="10"/>
      <c r="U537" s="9" t="str">
        <f t="shared" ca="1" si="18"/>
        <v/>
      </c>
      <c r="V537" s="9" t="str">
        <f t="shared" ca="1" si="19"/>
        <v/>
      </c>
      <c r="AG537" s="9" t="s">
        <v>19</v>
      </c>
    </row>
    <row r="538" spans="1:33">
      <c r="A538" s="3" t="s">
        <v>783</v>
      </c>
      <c r="D538" s="3" t="s">
        <v>5357</v>
      </c>
      <c r="E538" s="3" t="s">
        <v>5358</v>
      </c>
      <c r="J538" s="9" t="s">
        <v>12120</v>
      </c>
      <c r="Q538" s="10"/>
      <c r="U538" s="9" t="str">
        <f t="shared" ca="1" si="18"/>
        <v/>
      </c>
      <c r="V538" s="9" t="str">
        <f t="shared" ca="1" si="19"/>
        <v/>
      </c>
      <c r="AB538" s="9" t="s">
        <v>12737</v>
      </c>
      <c r="AD538" s="9" t="s">
        <v>19</v>
      </c>
    </row>
    <row r="539" spans="1:33">
      <c r="A539" s="3" t="s">
        <v>784</v>
      </c>
      <c r="D539" s="3" t="s">
        <v>5359</v>
      </c>
      <c r="E539" s="3" t="s">
        <v>5360</v>
      </c>
      <c r="J539" s="9" t="s">
        <v>12120</v>
      </c>
      <c r="Q539" s="10"/>
      <c r="U539" s="9" t="str">
        <f t="shared" ca="1" si="18"/>
        <v/>
      </c>
      <c r="V539" s="9" t="str">
        <f t="shared" ca="1" si="19"/>
        <v/>
      </c>
      <c r="AB539" s="9" t="s">
        <v>12738</v>
      </c>
      <c r="AD539" s="9" t="s">
        <v>19</v>
      </c>
    </row>
    <row r="540" spans="1:33">
      <c r="A540" s="3" t="s">
        <v>784</v>
      </c>
      <c r="D540" s="3" t="s">
        <v>785</v>
      </c>
      <c r="E540" s="3" t="s">
        <v>786</v>
      </c>
      <c r="J540" s="9" t="s">
        <v>12120</v>
      </c>
      <c r="Q540" s="10"/>
      <c r="U540" s="9" t="str">
        <f t="shared" ca="1" si="18"/>
        <v/>
      </c>
      <c r="V540" s="9" t="str">
        <f t="shared" ca="1" si="19"/>
        <v/>
      </c>
      <c r="AC540" s="9" t="s">
        <v>12134</v>
      </c>
      <c r="AD540" s="9" t="s">
        <v>19</v>
      </c>
      <c r="AE540" s="9" t="s">
        <v>12086</v>
      </c>
    </row>
    <row r="541" spans="1:33">
      <c r="A541" s="3" t="s">
        <v>787</v>
      </c>
      <c r="D541" s="3" t="s">
        <v>5361</v>
      </c>
      <c r="E541" s="3" t="s">
        <v>5362</v>
      </c>
      <c r="J541" s="9" t="s">
        <v>25</v>
      </c>
      <c r="L541" s="9">
        <v>1</v>
      </c>
      <c r="M541" s="9">
        <v>6</v>
      </c>
      <c r="N541" s="9" t="s">
        <v>12084</v>
      </c>
      <c r="O541" s="9" t="s">
        <v>12079</v>
      </c>
      <c r="Q541" s="10"/>
      <c r="S541" s="9">
        <v>0</v>
      </c>
      <c r="U541" s="9" t="str">
        <f t="shared" ca="1" si="18"/>
        <v/>
      </c>
      <c r="V541" s="9" t="str">
        <f t="shared" ca="1" si="19"/>
        <v/>
      </c>
      <c r="AG541" s="9" t="s">
        <v>20</v>
      </c>
    </row>
    <row r="542" spans="1:33">
      <c r="A542" s="3" t="s">
        <v>788</v>
      </c>
      <c r="D542" s="3" t="s">
        <v>789</v>
      </c>
      <c r="E542" s="3" t="s">
        <v>790</v>
      </c>
      <c r="J542" s="9" t="s">
        <v>12118</v>
      </c>
      <c r="Q542" s="10"/>
      <c r="T542" s="9" t="s">
        <v>12131</v>
      </c>
      <c r="U542" s="9" t="str">
        <f t="shared" ca="1" si="18"/>
        <v/>
      </c>
      <c r="V542" s="9" t="str">
        <f t="shared" ca="1" si="19"/>
        <v/>
      </c>
      <c r="AE542" s="9" t="s">
        <v>12086</v>
      </c>
    </row>
    <row r="543" spans="1:33">
      <c r="A543" s="3" t="s">
        <v>791</v>
      </c>
      <c r="D543" s="3" t="s">
        <v>5236</v>
      </c>
      <c r="E543" s="3" t="s">
        <v>5232</v>
      </c>
      <c r="J543" s="9" t="s">
        <v>12120</v>
      </c>
      <c r="Q543" s="10"/>
      <c r="U543" s="9" t="str">
        <f t="shared" ca="1" si="18"/>
        <v/>
      </c>
      <c r="V543" s="9" t="str">
        <f t="shared" ca="1" si="19"/>
        <v/>
      </c>
      <c r="AB543" s="9" t="s">
        <v>12738</v>
      </c>
      <c r="AD543" s="9" t="s">
        <v>19</v>
      </c>
    </row>
    <row r="544" spans="1:33">
      <c r="A544" s="3" t="s">
        <v>792</v>
      </c>
      <c r="D544" s="3" t="s">
        <v>5363</v>
      </c>
      <c r="E544" s="3" t="s">
        <v>5364</v>
      </c>
      <c r="G544" t="s">
        <v>19</v>
      </c>
      <c r="J544" s="9" t="s">
        <v>12120</v>
      </c>
      <c r="Q544" s="10"/>
      <c r="U544" s="9" t="str">
        <f t="shared" ca="1" si="18"/>
        <v/>
      </c>
      <c r="V544" s="9" t="str">
        <f t="shared" ca="1" si="19"/>
        <v/>
      </c>
    </row>
    <row r="545" spans="1:33">
      <c r="A545" s="3" t="s">
        <v>792</v>
      </c>
      <c r="D545" s="3" t="s">
        <v>793</v>
      </c>
      <c r="E545" s="3" t="s">
        <v>794</v>
      </c>
      <c r="J545" s="9" t="s">
        <v>12120</v>
      </c>
      <c r="Q545" s="10"/>
      <c r="U545" s="9" t="str">
        <f t="shared" ca="1" si="18"/>
        <v/>
      </c>
      <c r="V545" s="9" t="str">
        <f t="shared" ca="1" si="19"/>
        <v/>
      </c>
      <c r="AC545" s="9" t="s">
        <v>12130</v>
      </c>
      <c r="AD545" s="9" t="s">
        <v>19</v>
      </c>
      <c r="AE545" s="9" t="s">
        <v>12086</v>
      </c>
    </row>
    <row r="546" spans="1:33">
      <c r="A546" s="3" t="s">
        <v>795</v>
      </c>
      <c r="D546" s="3" t="s">
        <v>796</v>
      </c>
      <c r="E546" s="3" t="s">
        <v>797</v>
      </c>
      <c r="J546" s="9" t="s">
        <v>12118</v>
      </c>
      <c r="Q546" s="10"/>
      <c r="T546" s="9" t="s">
        <v>12131</v>
      </c>
      <c r="U546" s="9" t="str">
        <f t="shared" ca="1" si="18"/>
        <v/>
      </c>
      <c r="V546" s="9" t="str">
        <f t="shared" ca="1" si="19"/>
        <v/>
      </c>
      <c r="AB546" s="9" t="s">
        <v>12124</v>
      </c>
      <c r="AC546" s="9" t="s">
        <v>12130</v>
      </c>
      <c r="AD546" s="9" t="s">
        <v>19</v>
      </c>
    </row>
    <row r="547" spans="1:33" ht="29">
      <c r="A547" s="3" t="s">
        <v>798</v>
      </c>
      <c r="D547" s="3" t="s">
        <v>12984</v>
      </c>
      <c r="E547" s="3" t="s">
        <v>12985</v>
      </c>
      <c r="J547" s="9" t="s">
        <v>12120</v>
      </c>
      <c r="Q547" s="10"/>
      <c r="U547" s="9" t="str">
        <f t="shared" ca="1" si="18"/>
        <v/>
      </c>
      <c r="V547" s="9" t="str">
        <f t="shared" ca="1" si="19"/>
        <v/>
      </c>
      <c r="AG547" s="9" t="s">
        <v>19</v>
      </c>
    </row>
    <row r="548" spans="1:33" ht="29">
      <c r="A548" s="3" t="s">
        <v>798</v>
      </c>
      <c r="D548" s="3" t="s">
        <v>12986</v>
      </c>
      <c r="E548" s="3" t="s">
        <v>12983</v>
      </c>
      <c r="J548" s="9" t="s">
        <v>25</v>
      </c>
      <c r="L548" s="9">
        <v>1</v>
      </c>
      <c r="M548" s="9">
        <v>5</v>
      </c>
      <c r="N548" s="9" t="s">
        <v>12094</v>
      </c>
      <c r="O548" s="9" t="s">
        <v>12073</v>
      </c>
      <c r="P548" s="9" t="s">
        <v>12142</v>
      </c>
      <c r="Q548" s="10" t="s">
        <v>12160</v>
      </c>
      <c r="S548" s="9">
        <v>4240</v>
      </c>
      <c r="U548" s="9" t="str">
        <f t="shared" ref="U548" ca="1" si="20">IF(ISNUMBER(T548),VALUE(MID(_xlfn.FORMULATEXT(T548),SEARCH("-",_xlfn.FORMULATEXT(T548))+1,LEN(_xlfn.FORMULATEXT(T548))-SEARCH("-",_xlfn.FORMULATEXT(T548)))), "")</f>
        <v/>
      </c>
      <c r="V548" s="9" t="str">
        <f t="shared" ref="V548" ca="1" si="21">IF(ISNUMBER(T548), VALUE(MID(_xlfn.FORMULATEXT(T548), 2, SEARCH("-", _xlfn.FORMULATEXT(T548)) - 2)), "")</f>
        <v/>
      </c>
      <c r="AG548" s="9" t="s">
        <v>20</v>
      </c>
    </row>
    <row r="549" spans="1:33">
      <c r="A549" s="3" t="s">
        <v>801</v>
      </c>
      <c r="D549" s="3" t="s">
        <v>5365</v>
      </c>
      <c r="E549" s="3" t="s">
        <v>5366</v>
      </c>
      <c r="J549" s="9" t="s">
        <v>12120</v>
      </c>
      <c r="Q549" s="10"/>
      <c r="U549" s="9" t="str">
        <f t="shared" ca="1" si="18"/>
        <v/>
      </c>
      <c r="V549" s="9" t="str">
        <f t="shared" ca="1" si="19"/>
        <v/>
      </c>
      <c r="AG549" s="9" t="s">
        <v>20</v>
      </c>
    </row>
    <row r="550" spans="1:33">
      <c r="A550" s="3" t="s">
        <v>801</v>
      </c>
      <c r="D550" s="3" t="s">
        <v>802</v>
      </c>
      <c r="E550" s="3" t="s">
        <v>803</v>
      </c>
      <c r="J550" s="9" t="s">
        <v>12120</v>
      </c>
      <c r="Q550" s="10"/>
      <c r="U550" s="9" t="str">
        <f t="shared" ca="1" si="18"/>
        <v/>
      </c>
      <c r="V550" s="9" t="str">
        <f t="shared" ca="1" si="19"/>
        <v/>
      </c>
      <c r="AG550" s="9" t="s">
        <v>13141</v>
      </c>
    </row>
    <row r="551" spans="1:33">
      <c r="A551" s="3" t="s">
        <v>801</v>
      </c>
      <c r="D551" s="3" t="s">
        <v>5367</v>
      </c>
      <c r="E551" s="3" t="s">
        <v>5368</v>
      </c>
      <c r="J551" s="9" t="s">
        <v>24</v>
      </c>
      <c r="L551" s="9">
        <v>1</v>
      </c>
      <c r="M551" s="9">
        <v>2</v>
      </c>
      <c r="N551" s="9" t="s">
        <v>12078</v>
      </c>
      <c r="O551" s="9" t="s">
        <v>12119</v>
      </c>
      <c r="Q551" s="10"/>
      <c r="S551" s="9">
        <v>11843</v>
      </c>
      <c r="U551" s="9" t="str">
        <f t="shared" ca="1" si="18"/>
        <v/>
      </c>
      <c r="V551" s="9" t="str">
        <f t="shared" ca="1" si="19"/>
        <v/>
      </c>
      <c r="AG551" s="9" t="s">
        <v>19</v>
      </c>
    </row>
    <row r="552" spans="1:33">
      <c r="A552" s="3" t="s">
        <v>801</v>
      </c>
      <c r="D552" s="3" t="s">
        <v>5370</v>
      </c>
      <c r="E552" s="3" t="s">
        <v>5369</v>
      </c>
      <c r="J552" s="9" t="s">
        <v>12120</v>
      </c>
      <c r="Q552" s="10"/>
      <c r="U552" s="9" t="str">
        <f t="shared" ca="1" si="18"/>
        <v/>
      </c>
      <c r="V552" s="9" t="str">
        <f t="shared" ca="1" si="19"/>
        <v/>
      </c>
      <c r="AC552" s="9" t="s">
        <v>12130</v>
      </c>
      <c r="AD552" s="9" t="s">
        <v>20</v>
      </c>
      <c r="AG552" s="9" t="s">
        <v>19</v>
      </c>
    </row>
    <row r="553" spans="1:33">
      <c r="A553" s="3" t="s">
        <v>804</v>
      </c>
      <c r="D553" s="3" t="s">
        <v>5371</v>
      </c>
      <c r="E553" s="3" t="s">
        <v>5372</v>
      </c>
      <c r="J553" s="9" t="s">
        <v>12120</v>
      </c>
      <c r="Q553" s="10"/>
      <c r="U553" s="9" t="str">
        <f t="shared" ca="1" si="18"/>
        <v/>
      </c>
      <c r="V553" s="9" t="str">
        <f t="shared" ca="1" si="19"/>
        <v/>
      </c>
      <c r="AB553" s="9" t="s">
        <v>12082</v>
      </c>
      <c r="AD553" s="9" t="s">
        <v>19</v>
      </c>
    </row>
    <row r="554" spans="1:33">
      <c r="A554" s="3" t="s">
        <v>805</v>
      </c>
      <c r="D554" s="3" t="s">
        <v>806</v>
      </c>
      <c r="E554" s="3" t="s">
        <v>807</v>
      </c>
      <c r="J554" s="9" t="s">
        <v>12120</v>
      </c>
      <c r="Q554" s="10"/>
      <c r="U554" s="9" t="str">
        <f t="shared" ca="1" si="18"/>
        <v/>
      </c>
      <c r="V554" s="9" t="str">
        <f t="shared" ca="1" si="19"/>
        <v/>
      </c>
      <c r="AC554" s="9" t="s">
        <v>12744</v>
      </c>
      <c r="AD554" s="9" t="s">
        <v>19</v>
      </c>
      <c r="AE554" s="9" t="s">
        <v>12086</v>
      </c>
    </row>
    <row r="555" spans="1:33">
      <c r="A555" s="3" t="s">
        <v>808</v>
      </c>
      <c r="D555" s="3" t="s">
        <v>5373</v>
      </c>
      <c r="E555" s="3" t="s">
        <v>5374</v>
      </c>
      <c r="G555" t="s">
        <v>19</v>
      </c>
      <c r="J555" s="9" t="s">
        <v>12120</v>
      </c>
      <c r="Q555" s="10"/>
      <c r="U555" s="9" t="str">
        <f t="shared" ca="1" si="18"/>
        <v/>
      </c>
      <c r="V555" s="9" t="str">
        <f t="shared" ca="1" si="19"/>
        <v/>
      </c>
      <c r="AE555" s="9" t="s">
        <v>12089</v>
      </c>
    </row>
    <row r="556" spans="1:33">
      <c r="A556" s="3" t="s">
        <v>809</v>
      </c>
      <c r="D556" s="3" t="s">
        <v>5375</v>
      </c>
      <c r="E556" s="3" t="s">
        <v>5376</v>
      </c>
      <c r="J556" s="9" t="s">
        <v>12120</v>
      </c>
      <c r="Q556" s="10"/>
      <c r="U556" s="9" t="str">
        <f t="shared" ca="1" si="18"/>
        <v/>
      </c>
      <c r="V556" s="9" t="str">
        <f t="shared" ca="1" si="19"/>
        <v/>
      </c>
      <c r="AC556" s="9" t="s">
        <v>12188</v>
      </c>
      <c r="AD556" s="9" t="s">
        <v>19</v>
      </c>
      <c r="AE556" s="9" t="s">
        <v>12086</v>
      </c>
    </row>
    <row r="557" spans="1:33">
      <c r="A557" s="3" t="s">
        <v>810</v>
      </c>
      <c r="D557" s="3" t="s">
        <v>5377</v>
      </c>
      <c r="E557" s="3" t="s">
        <v>5378</v>
      </c>
      <c r="J557" s="9" t="s">
        <v>12120</v>
      </c>
      <c r="Q557" s="10"/>
      <c r="U557" s="9" t="str">
        <f t="shared" ca="1" si="18"/>
        <v/>
      </c>
      <c r="V557" s="9" t="str">
        <f t="shared" ca="1" si="19"/>
        <v/>
      </c>
      <c r="AG557" s="9" t="s">
        <v>19</v>
      </c>
    </row>
    <row r="558" spans="1:33">
      <c r="A558" s="3" t="s">
        <v>813</v>
      </c>
      <c r="D558" s="3" t="s">
        <v>5379</v>
      </c>
      <c r="E558" s="3" t="s">
        <v>5380</v>
      </c>
      <c r="J558" s="9" t="s">
        <v>12120</v>
      </c>
      <c r="Q558" s="10"/>
      <c r="U558" s="9" t="str">
        <f t="shared" ca="1" si="18"/>
        <v/>
      </c>
      <c r="V558" s="9" t="str">
        <f t="shared" ca="1" si="19"/>
        <v/>
      </c>
      <c r="AB558" s="9" t="s">
        <v>12737</v>
      </c>
      <c r="AD558" s="9" t="s">
        <v>19</v>
      </c>
    </row>
    <row r="559" spans="1:33">
      <c r="A559" s="3" t="s">
        <v>813</v>
      </c>
      <c r="D559" s="3" t="s">
        <v>4816</v>
      </c>
      <c r="E559" s="3" t="s">
        <v>814</v>
      </c>
      <c r="J559" s="9" t="s">
        <v>12120</v>
      </c>
      <c r="Q559" s="10"/>
      <c r="U559" s="9" t="str">
        <f t="shared" ca="1" si="18"/>
        <v/>
      </c>
      <c r="V559" s="9" t="str">
        <f t="shared" ca="1" si="19"/>
        <v/>
      </c>
      <c r="AC559" s="9" t="s">
        <v>12130</v>
      </c>
      <c r="AD559" s="9" t="s">
        <v>19</v>
      </c>
      <c r="AE559" s="9" t="s">
        <v>12086</v>
      </c>
    </row>
    <row r="560" spans="1:33">
      <c r="A560" s="3" t="s">
        <v>813</v>
      </c>
      <c r="D560" s="3" t="s">
        <v>815</v>
      </c>
      <c r="E560" s="3" t="s">
        <v>816</v>
      </c>
      <c r="J560" s="9" t="s">
        <v>12118</v>
      </c>
      <c r="Q560" s="10"/>
      <c r="T560" s="9" t="s">
        <v>12131</v>
      </c>
      <c r="U560" s="9" t="str">
        <f t="shared" ca="1" si="18"/>
        <v/>
      </c>
      <c r="V560" s="9" t="str">
        <f t="shared" ca="1" si="19"/>
        <v/>
      </c>
      <c r="AC560" s="9" t="s">
        <v>12130</v>
      </c>
      <c r="AD560" s="9" t="s">
        <v>19</v>
      </c>
      <c r="AE560" s="9" t="s">
        <v>12086</v>
      </c>
    </row>
    <row r="561" spans="1:33">
      <c r="A561" s="3" t="s">
        <v>817</v>
      </c>
      <c r="D561" s="3" t="s">
        <v>5381</v>
      </c>
      <c r="E561" s="3" t="s">
        <v>5382</v>
      </c>
      <c r="J561" s="9" t="s">
        <v>25</v>
      </c>
      <c r="L561" s="9">
        <v>1</v>
      </c>
      <c r="M561" s="9">
        <v>2</v>
      </c>
      <c r="N561" s="9" t="s">
        <v>12087</v>
      </c>
      <c r="O561" s="9" t="s">
        <v>12119</v>
      </c>
      <c r="Q561" s="10"/>
      <c r="S561" s="9">
        <v>1966</v>
      </c>
      <c r="U561" s="9" t="str">
        <f t="shared" ca="1" si="18"/>
        <v/>
      </c>
      <c r="V561" s="9" t="str">
        <f t="shared" ca="1" si="19"/>
        <v/>
      </c>
      <c r="AG561" s="9" t="s">
        <v>13141</v>
      </c>
    </row>
    <row r="562" spans="1:33">
      <c r="A562" s="3" t="s">
        <v>818</v>
      </c>
      <c r="D562" s="3" t="s">
        <v>5383</v>
      </c>
      <c r="E562" s="3" t="s">
        <v>5384</v>
      </c>
      <c r="J562" s="9" t="s">
        <v>12118</v>
      </c>
      <c r="Q562" s="10"/>
      <c r="T562" s="9">
        <f>9-68</f>
        <v>-59</v>
      </c>
      <c r="U562" s="9">
        <f t="shared" ca="1" si="18"/>
        <v>68</v>
      </c>
      <c r="V562" s="9">
        <f t="shared" ca="1" si="19"/>
        <v>9</v>
      </c>
      <c r="AE562" s="9" t="s">
        <v>12083</v>
      </c>
    </row>
    <row r="563" spans="1:33">
      <c r="A563" s="3" t="s">
        <v>818</v>
      </c>
      <c r="D563" s="3" t="s">
        <v>5385</v>
      </c>
      <c r="E563" s="3" t="s">
        <v>5386</v>
      </c>
      <c r="I563" t="s">
        <v>12647</v>
      </c>
      <c r="J563" s="9" t="s">
        <v>12120</v>
      </c>
      <c r="Q563" s="10"/>
      <c r="U563" s="9" t="str">
        <f t="shared" ca="1" si="18"/>
        <v/>
      </c>
      <c r="V563" s="9" t="str">
        <f t="shared" ca="1" si="19"/>
        <v/>
      </c>
      <c r="W563" s="9" t="s">
        <v>12117</v>
      </c>
      <c r="AG563" s="9" t="s">
        <v>20</v>
      </c>
    </row>
    <row r="564" spans="1:33">
      <c r="A564" s="3" t="s">
        <v>818</v>
      </c>
      <c r="D564" s="3" t="s">
        <v>819</v>
      </c>
      <c r="E564" s="3" t="s">
        <v>820</v>
      </c>
      <c r="J564" s="9" t="s">
        <v>12118</v>
      </c>
      <c r="Q564" s="10"/>
      <c r="R564" s="9" t="s">
        <v>12074</v>
      </c>
      <c r="T564" s="9">
        <f>6-7</f>
        <v>-1</v>
      </c>
      <c r="U564" s="9">
        <f t="shared" ca="1" si="18"/>
        <v>7</v>
      </c>
      <c r="V564" s="9">
        <f t="shared" ca="1" si="19"/>
        <v>6</v>
      </c>
      <c r="AC564" s="9" t="s">
        <v>12740</v>
      </c>
      <c r="AD564" s="9" t="s">
        <v>19</v>
      </c>
    </row>
    <row r="565" spans="1:33">
      <c r="A565" s="3" t="s">
        <v>818</v>
      </c>
      <c r="D565" s="3" t="s">
        <v>495</v>
      </c>
      <c r="E565" s="3" t="s">
        <v>821</v>
      </c>
      <c r="J565" s="9" t="s">
        <v>12118</v>
      </c>
      <c r="Q565" s="10"/>
      <c r="T565" s="9" t="s">
        <v>12131</v>
      </c>
      <c r="U565" s="9" t="str">
        <f t="shared" ca="1" si="18"/>
        <v/>
      </c>
      <c r="V565" s="9" t="str">
        <f t="shared" ca="1" si="19"/>
        <v/>
      </c>
      <c r="AE565" s="9" t="s">
        <v>12077</v>
      </c>
    </row>
    <row r="566" spans="1:33">
      <c r="A566" s="3" t="s">
        <v>822</v>
      </c>
      <c r="D566" s="3" t="s">
        <v>5387</v>
      </c>
      <c r="E566" s="3" t="s">
        <v>5388</v>
      </c>
      <c r="J566" s="9" t="s">
        <v>12120</v>
      </c>
      <c r="Q566" s="10"/>
      <c r="U566" s="9" t="str">
        <f t="shared" ca="1" si="18"/>
        <v/>
      </c>
      <c r="V566" s="9" t="str">
        <f t="shared" ca="1" si="19"/>
        <v/>
      </c>
      <c r="AC566" s="9" t="s">
        <v>12166</v>
      </c>
      <c r="AD566" s="9" t="s">
        <v>19</v>
      </c>
    </row>
    <row r="567" spans="1:33">
      <c r="A567" s="3" t="s">
        <v>822</v>
      </c>
      <c r="D567" s="3" t="s">
        <v>5385</v>
      </c>
      <c r="E567" s="3" t="s">
        <v>5389</v>
      </c>
      <c r="J567" s="9" t="s">
        <v>12120</v>
      </c>
      <c r="Q567" s="10"/>
      <c r="U567" s="9" t="str">
        <f t="shared" ca="1" si="18"/>
        <v/>
      </c>
      <c r="V567" s="9" t="str">
        <f t="shared" ca="1" si="19"/>
        <v/>
      </c>
      <c r="AG567" s="9" t="s">
        <v>20</v>
      </c>
    </row>
    <row r="568" spans="1:33">
      <c r="A568" s="3" t="s">
        <v>824</v>
      </c>
      <c r="D568" s="3" t="s">
        <v>5390</v>
      </c>
      <c r="E568" s="3" t="s">
        <v>5391</v>
      </c>
      <c r="J568" s="9" t="s">
        <v>12120</v>
      </c>
      <c r="Q568" s="10"/>
      <c r="U568" s="9" t="str">
        <f t="shared" ca="1" si="18"/>
        <v/>
      </c>
      <c r="V568" s="9" t="str">
        <f t="shared" ca="1" si="19"/>
        <v/>
      </c>
      <c r="AG568" s="9" t="s">
        <v>20</v>
      </c>
    </row>
    <row r="569" spans="1:33">
      <c r="A569" s="3" t="s">
        <v>826</v>
      </c>
      <c r="D569" s="3" t="s">
        <v>5392</v>
      </c>
      <c r="E569" s="3" t="s">
        <v>5393</v>
      </c>
      <c r="J569" s="9" t="s">
        <v>25</v>
      </c>
      <c r="L569" s="9">
        <v>1</v>
      </c>
      <c r="M569" s="9">
        <v>2</v>
      </c>
      <c r="N569" s="9" t="s">
        <v>12087</v>
      </c>
      <c r="O569" s="9" t="s">
        <v>12119</v>
      </c>
      <c r="Q569" s="10"/>
      <c r="S569" s="9">
        <v>1966</v>
      </c>
      <c r="U569" s="9" t="str">
        <f t="shared" ca="1" si="18"/>
        <v/>
      </c>
      <c r="V569" s="9" t="str">
        <f t="shared" ca="1" si="19"/>
        <v/>
      </c>
      <c r="AG569" s="9" t="s">
        <v>19</v>
      </c>
    </row>
    <row r="570" spans="1:33">
      <c r="A570" s="3" t="s">
        <v>826</v>
      </c>
      <c r="D570" s="3" t="s">
        <v>5394</v>
      </c>
      <c r="E570" s="3" t="s">
        <v>827</v>
      </c>
      <c r="J570" s="9" t="s">
        <v>12120</v>
      </c>
      <c r="Q570" s="10"/>
      <c r="U570" s="9" t="str">
        <f t="shared" ca="1" si="18"/>
        <v/>
      </c>
      <c r="V570" s="9" t="str">
        <f t="shared" ca="1" si="19"/>
        <v/>
      </c>
      <c r="AC570" s="9" t="s">
        <v>12740</v>
      </c>
      <c r="AD570" s="9" t="s">
        <v>19</v>
      </c>
    </row>
    <row r="571" spans="1:33">
      <c r="A571" s="3" t="s">
        <v>826</v>
      </c>
      <c r="D571" s="3" t="s">
        <v>828</v>
      </c>
      <c r="E571" s="3" t="s">
        <v>829</v>
      </c>
      <c r="J571" s="9" t="s">
        <v>12120</v>
      </c>
      <c r="Q571" s="10"/>
      <c r="U571" s="9" t="str">
        <f t="shared" ca="1" si="18"/>
        <v/>
      </c>
      <c r="V571" s="9" t="str">
        <f t="shared" ca="1" si="19"/>
        <v/>
      </c>
      <c r="AC571" s="9" t="s">
        <v>12173</v>
      </c>
      <c r="AD571" s="9" t="s">
        <v>19</v>
      </c>
      <c r="AE571" s="9" t="s">
        <v>12077</v>
      </c>
    </row>
    <row r="572" spans="1:33">
      <c r="A572" s="3" t="s">
        <v>830</v>
      </c>
      <c r="D572" s="3" t="s">
        <v>5395</v>
      </c>
      <c r="E572" s="3" t="s">
        <v>5396</v>
      </c>
      <c r="J572" s="9" t="s">
        <v>12118</v>
      </c>
      <c r="Q572" s="10"/>
      <c r="T572" s="9">
        <f>1741-1496</f>
        <v>245</v>
      </c>
      <c r="U572" s="9">
        <f t="shared" ca="1" si="18"/>
        <v>1496</v>
      </c>
      <c r="V572" s="9">
        <f t="shared" ca="1" si="19"/>
        <v>1741</v>
      </c>
      <c r="AG572" s="9" t="s">
        <v>19</v>
      </c>
    </row>
    <row r="573" spans="1:33" ht="29">
      <c r="A573" s="3" t="s">
        <v>831</v>
      </c>
      <c r="D573" s="3" t="s">
        <v>5397</v>
      </c>
      <c r="E573" s="3" t="s">
        <v>5398</v>
      </c>
      <c r="J573" s="9" t="s">
        <v>24</v>
      </c>
      <c r="L573" s="9">
        <v>1</v>
      </c>
      <c r="M573" s="9">
        <v>3</v>
      </c>
      <c r="N573" s="9" t="s">
        <v>12087</v>
      </c>
      <c r="O573" s="9" t="s">
        <v>12079</v>
      </c>
      <c r="Q573" s="10"/>
      <c r="S573" s="9">
        <v>5676</v>
      </c>
      <c r="U573" s="9" t="str">
        <f t="shared" ca="1" si="18"/>
        <v/>
      </c>
      <c r="V573" s="9" t="str">
        <f t="shared" ca="1" si="19"/>
        <v/>
      </c>
      <c r="AG573" s="9" t="s">
        <v>19</v>
      </c>
    </row>
    <row r="574" spans="1:33" ht="29">
      <c r="A574" s="3" t="s">
        <v>831</v>
      </c>
      <c r="D574" s="3" t="s">
        <v>5399</v>
      </c>
      <c r="E574" s="3" t="s">
        <v>5400</v>
      </c>
      <c r="J574" s="9" t="s">
        <v>12120</v>
      </c>
      <c r="Q574" s="10"/>
      <c r="U574" s="9" t="str">
        <f t="shared" ca="1" si="18"/>
        <v/>
      </c>
      <c r="V574" s="9" t="str">
        <f t="shared" ca="1" si="19"/>
        <v/>
      </c>
      <c r="AC574" s="9" t="s">
        <v>12744</v>
      </c>
      <c r="AD574" s="9" t="s">
        <v>19</v>
      </c>
      <c r="AE574" s="9" t="s">
        <v>12086</v>
      </c>
    </row>
    <row r="575" spans="1:33">
      <c r="A575" s="3" t="s">
        <v>831</v>
      </c>
      <c r="D575" s="3" t="s">
        <v>832</v>
      </c>
      <c r="E575" s="3" t="s">
        <v>833</v>
      </c>
      <c r="J575" s="9" t="s">
        <v>12120</v>
      </c>
      <c r="Q575" s="10"/>
      <c r="U575" s="9" t="str">
        <f t="shared" ca="1" si="18"/>
        <v/>
      </c>
      <c r="V575" s="9" t="str">
        <f t="shared" ca="1" si="19"/>
        <v/>
      </c>
      <c r="AE575" s="9" t="s">
        <v>12086</v>
      </c>
    </row>
    <row r="576" spans="1:33">
      <c r="A576" s="3" t="s">
        <v>834</v>
      </c>
      <c r="D576" s="3" t="s">
        <v>5402</v>
      </c>
      <c r="E576" s="3" t="s">
        <v>5401</v>
      </c>
      <c r="J576" s="9" t="s">
        <v>24</v>
      </c>
      <c r="L576" s="9">
        <v>1</v>
      </c>
      <c r="M576" s="9">
        <v>2</v>
      </c>
      <c r="N576" s="9" t="s">
        <v>12123</v>
      </c>
      <c r="O576" s="9" t="s">
        <v>12119</v>
      </c>
      <c r="Q576" s="10"/>
      <c r="S576" s="9">
        <v>526</v>
      </c>
      <c r="U576" s="9" t="str">
        <f t="shared" ca="1" si="18"/>
        <v/>
      </c>
      <c r="V576" s="9" t="str">
        <f t="shared" ca="1" si="19"/>
        <v/>
      </c>
      <c r="AG576" s="9" t="s">
        <v>20</v>
      </c>
    </row>
    <row r="577" spans="1:33">
      <c r="A577" s="3" t="s">
        <v>834</v>
      </c>
      <c r="D577" s="3" t="s">
        <v>5403</v>
      </c>
      <c r="E577" s="3" t="s">
        <v>5404</v>
      </c>
      <c r="J577" s="9" t="s">
        <v>12118</v>
      </c>
      <c r="Q577" s="10"/>
      <c r="T577" s="9" t="s">
        <v>12131</v>
      </c>
      <c r="U577" s="9" t="str">
        <f t="shared" ca="1" si="18"/>
        <v/>
      </c>
      <c r="V577" s="9" t="str">
        <f t="shared" ca="1" si="19"/>
        <v/>
      </c>
      <c r="AC577" s="9" t="s">
        <v>12130</v>
      </c>
      <c r="AD577" s="9" t="s">
        <v>19</v>
      </c>
      <c r="AE577" s="9" t="s">
        <v>12086</v>
      </c>
    </row>
    <row r="578" spans="1:33" ht="29">
      <c r="A578" s="3" t="s">
        <v>834</v>
      </c>
      <c r="D578" s="3" t="s">
        <v>5405</v>
      </c>
      <c r="E578" s="3" t="s">
        <v>5406</v>
      </c>
      <c r="J578" s="9" t="s">
        <v>12118</v>
      </c>
      <c r="Q578" s="10"/>
      <c r="T578" s="9" t="s">
        <v>12131</v>
      </c>
      <c r="U578" s="9" t="str">
        <f t="shared" ref="U578:U641" ca="1" si="22">IF(ISNUMBER(T578),VALUE(MID(_xlfn.FORMULATEXT(T578),SEARCH("-",_xlfn.FORMULATEXT(T578))+1,LEN(_xlfn.FORMULATEXT(T578))-SEARCH("-",_xlfn.FORMULATEXT(T578)))), "")</f>
        <v/>
      </c>
      <c r="V578" s="9" t="str">
        <f t="shared" ref="V578:V641" ca="1" si="23">IF(ISNUMBER(T578), VALUE(MID(_xlfn.FORMULATEXT(T578), 2, SEARCH("-", _xlfn.FORMULATEXT(T578)) - 2)), "")</f>
        <v/>
      </c>
      <c r="AC578" s="9" t="s">
        <v>12130</v>
      </c>
      <c r="AD578" s="9" t="s">
        <v>19</v>
      </c>
      <c r="AE578" s="9" t="s">
        <v>12086</v>
      </c>
    </row>
    <row r="579" spans="1:33">
      <c r="A579" s="3" t="s">
        <v>835</v>
      </c>
      <c r="D579" s="3" t="s">
        <v>5407</v>
      </c>
      <c r="E579" s="3" t="s">
        <v>5407</v>
      </c>
      <c r="G579" t="s">
        <v>20</v>
      </c>
      <c r="Q579" s="10"/>
      <c r="U579" s="9" t="str">
        <f t="shared" ca="1" si="22"/>
        <v/>
      </c>
      <c r="V579" s="9" t="str">
        <f t="shared" ca="1" si="23"/>
        <v/>
      </c>
    </row>
    <row r="580" spans="1:33" ht="43.5">
      <c r="A580" s="3" t="s">
        <v>836</v>
      </c>
      <c r="D580" s="3" t="s">
        <v>12856</v>
      </c>
      <c r="E580" s="3" t="s">
        <v>5408</v>
      </c>
      <c r="I580" t="s">
        <v>12189</v>
      </c>
      <c r="J580" s="9" t="s">
        <v>26</v>
      </c>
      <c r="Q580" s="10"/>
      <c r="U580" s="9" t="str">
        <f t="shared" ca="1" si="22"/>
        <v/>
      </c>
      <c r="V580" s="9" t="str">
        <f t="shared" ca="1" si="23"/>
        <v/>
      </c>
      <c r="AG580" s="9" t="s">
        <v>20</v>
      </c>
    </row>
    <row r="581" spans="1:33" ht="43.5">
      <c r="A581" s="3" t="s">
        <v>836</v>
      </c>
      <c r="D581" s="3" t="s">
        <v>12857</v>
      </c>
      <c r="E581" s="3" t="s">
        <v>5409</v>
      </c>
      <c r="J581" s="9" t="s">
        <v>12120</v>
      </c>
      <c r="Q581" s="10"/>
      <c r="U581" s="9" t="str">
        <f t="shared" ca="1" si="22"/>
        <v/>
      </c>
      <c r="V581" s="9" t="str">
        <f t="shared" ca="1" si="23"/>
        <v/>
      </c>
      <c r="AB581" s="9" t="s">
        <v>12738</v>
      </c>
      <c r="AD581" s="9" t="s">
        <v>19</v>
      </c>
    </row>
    <row r="582" spans="1:33" ht="43.5">
      <c r="A582" s="3" t="s">
        <v>836</v>
      </c>
      <c r="D582" s="3" t="s">
        <v>12858</v>
      </c>
      <c r="E582" s="3" t="s">
        <v>5410</v>
      </c>
      <c r="J582" s="9" t="s">
        <v>12120</v>
      </c>
      <c r="Q582" s="10"/>
      <c r="U582" s="9" t="str">
        <f t="shared" ca="1" si="22"/>
        <v/>
      </c>
      <c r="V582" s="9" t="str">
        <f t="shared" ca="1" si="23"/>
        <v/>
      </c>
      <c r="AB582" s="9" t="s">
        <v>12738</v>
      </c>
      <c r="AD582" s="9" t="s">
        <v>19</v>
      </c>
    </row>
    <row r="583" spans="1:33">
      <c r="A583" s="3" t="s">
        <v>836</v>
      </c>
      <c r="D583" s="3" t="s">
        <v>5411</v>
      </c>
      <c r="E583" s="3" t="s">
        <v>5412</v>
      </c>
      <c r="G583" t="s">
        <v>19</v>
      </c>
      <c r="J583" s="9" t="s">
        <v>25</v>
      </c>
      <c r="L583" s="9">
        <v>1</v>
      </c>
      <c r="M583" s="9">
        <v>3</v>
      </c>
      <c r="N583" s="9" t="s">
        <v>12078</v>
      </c>
      <c r="O583" s="9" t="s">
        <v>12119</v>
      </c>
      <c r="Q583" s="10"/>
      <c r="S583" s="9">
        <v>11843</v>
      </c>
      <c r="U583" s="9" t="str">
        <f t="shared" ca="1" si="22"/>
        <v/>
      </c>
      <c r="V583" s="9" t="str">
        <f t="shared" ca="1" si="23"/>
        <v/>
      </c>
    </row>
    <row r="584" spans="1:33">
      <c r="A584" s="3" t="s">
        <v>837</v>
      </c>
      <c r="D584" s="3" t="s">
        <v>5414</v>
      </c>
      <c r="E584" s="3" t="s">
        <v>5413</v>
      </c>
      <c r="F584" t="s">
        <v>11</v>
      </c>
      <c r="G584" t="s">
        <v>19</v>
      </c>
      <c r="Q584" s="10"/>
      <c r="U584" s="9" t="str">
        <f t="shared" ca="1" si="22"/>
        <v/>
      </c>
      <c r="V584" s="9" t="str">
        <f t="shared" ca="1" si="23"/>
        <v/>
      </c>
    </row>
    <row r="585" spans="1:33">
      <c r="A585" s="3" t="s">
        <v>837</v>
      </c>
      <c r="D585" s="3" t="s">
        <v>5415</v>
      </c>
      <c r="E585" s="3" t="s">
        <v>5416</v>
      </c>
      <c r="F585" t="s">
        <v>11</v>
      </c>
      <c r="G585" t="s">
        <v>19</v>
      </c>
      <c r="Q585" s="10"/>
      <c r="U585" s="9" t="str">
        <f t="shared" ca="1" si="22"/>
        <v/>
      </c>
      <c r="V585" s="9" t="str">
        <f t="shared" ca="1" si="23"/>
        <v/>
      </c>
    </row>
    <row r="586" spans="1:33">
      <c r="A586" s="3" t="s">
        <v>837</v>
      </c>
      <c r="D586" s="3" t="s">
        <v>5417</v>
      </c>
      <c r="E586" s="3" t="s">
        <v>5418</v>
      </c>
      <c r="F586" t="s">
        <v>11</v>
      </c>
      <c r="Q586" s="10"/>
      <c r="U586" s="9" t="str">
        <f t="shared" ca="1" si="22"/>
        <v/>
      </c>
      <c r="V586" s="9" t="str">
        <f t="shared" ca="1" si="23"/>
        <v/>
      </c>
    </row>
    <row r="587" spans="1:33">
      <c r="A587" s="3" t="s">
        <v>838</v>
      </c>
      <c r="D587" s="3" t="s">
        <v>5419</v>
      </c>
      <c r="E587" s="3" t="s">
        <v>5420</v>
      </c>
      <c r="J587" s="9" t="s">
        <v>24</v>
      </c>
      <c r="L587" s="9">
        <v>1</v>
      </c>
      <c r="M587" s="9">
        <v>1</v>
      </c>
      <c r="N587" s="9" t="s">
        <v>12078</v>
      </c>
      <c r="O587" s="9" t="s">
        <v>12119</v>
      </c>
      <c r="Q587" s="10"/>
      <c r="S587" s="9">
        <v>11843</v>
      </c>
      <c r="U587" s="9" t="str">
        <f t="shared" ca="1" si="22"/>
        <v/>
      </c>
      <c r="V587" s="9" t="str">
        <f t="shared" ca="1" si="23"/>
        <v/>
      </c>
      <c r="AG587" s="9" t="s">
        <v>13141</v>
      </c>
    </row>
    <row r="588" spans="1:33">
      <c r="A588" s="3" t="s">
        <v>838</v>
      </c>
      <c r="D588" s="3" t="s">
        <v>5421</v>
      </c>
      <c r="E588" s="3" t="s">
        <v>5422</v>
      </c>
      <c r="J588" s="9" t="s">
        <v>25</v>
      </c>
      <c r="L588" s="9">
        <v>1</v>
      </c>
      <c r="M588" s="9">
        <v>4</v>
      </c>
      <c r="N588" s="9" t="s">
        <v>12094</v>
      </c>
      <c r="O588" s="9" t="s">
        <v>12079</v>
      </c>
      <c r="Q588" s="10"/>
      <c r="S588" s="9">
        <v>4240</v>
      </c>
      <c r="U588" s="9" t="str">
        <f t="shared" ca="1" si="22"/>
        <v/>
      </c>
      <c r="V588" s="9" t="str">
        <f t="shared" ca="1" si="23"/>
        <v/>
      </c>
      <c r="AG588" s="9" t="s">
        <v>19</v>
      </c>
    </row>
    <row r="589" spans="1:33">
      <c r="A589" s="3" t="s">
        <v>839</v>
      </c>
      <c r="D589" s="3" t="s">
        <v>5423</v>
      </c>
      <c r="E589" s="3" t="s">
        <v>5424</v>
      </c>
      <c r="J589" s="9" t="s">
        <v>12120</v>
      </c>
      <c r="Q589" s="10"/>
      <c r="U589" s="9" t="str">
        <f t="shared" ca="1" si="22"/>
        <v/>
      </c>
      <c r="V589" s="9" t="str">
        <f t="shared" ca="1" si="23"/>
        <v/>
      </c>
      <c r="AB589" s="9" t="s">
        <v>12737</v>
      </c>
      <c r="AD589" s="9" t="s">
        <v>19</v>
      </c>
    </row>
    <row r="590" spans="1:33">
      <c r="A590" s="3" t="s">
        <v>839</v>
      </c>
      <c r="D590" s="3" t="s">
        <v>5425</v>
      </c>
      <c r="E590" s="3" t="s">
        <v>5426</v>
      </c>
      <c r="G590" t="s">
        <v>19</v>
      </c>
      <c r="J590" s="9" t="s">
        <v>12118</v>
      </c>
      <c r="Q590" s="10"/>
      <c r="T590" s="9">
        <f>32-4</f>
        <v>28</v>
      </c>
      <c r="U590" s="9">
        <f t="shared" ca="1" si="22"/>
        <v>4</v>
      </c>
      <c r="V590" s="9">
        <f t="shared" ca="1" si="23"/>
        <v>32</v>
      </c>
    </row>
    <row r="591" spans="1:33">
      <c r="A591" s="3" t="s">
        <v>840</v>
      </c>
      <c r="D591" s="3" t="s">
        <v>5427</v>
      </c>
      <c r="E591" s="3" t="s">
        <v>5428</v>
      </c>
      <c r="J591" s="9" t="s">
        <v>12120</v>
      </c>
      <c r="Q591" s="10"/>
      <c r="U591" s="9" t="str">
        <f t="shared" ca="1" si="22"/>
        <v/>
      </c>
      <c r="V591" s="9" t="str">
        <f t="shared" ca="1" si="23"/>
        <v/>
      </c>
      <c r="AC591" s="9" t="s">
        <v>12173</v>
      </c>
      <c r="AD591" s="9" t="s">
        <v>19</v>
      </c>
    </row>
    <row r="592" spans="1:33">
      <c r="A592" s="3" t="s">
        <v>841</v>
      </c>
      <c r="D592" s="3" t="s">
        <v>5429</v>
      </c>
      <c r="E592" s="3" t="s">
        <v>5430</v>
      </c>
      <c r="J592" s="9" t="s">
        <v>12120</v>
      </c>
      <c r="Q592" s="10"/>
      <c r="U592" s="9" t="str">
        <f t="shared" ca="1" si="22"/>
        <v/>
      </c>
      <c r="V592" s="9" t="str">
        <f t="shared" ca="1" si="23"/>
        <v/>
      </c>
      <c r="AG592" s="9" t="s">
        <v>20</v>
      </c>
    </row>
    <row r="593" spans="1:33">
      <c r="A593" s="3" t="s">
        <v>841</v>
      </c>
      <c r="D593" s="3" t="s">
        <v>5431</v>
      </c>
      <c r="E593" s="3" t="s">
        <v>5432</v>
      </c>
      <c r="J593" s="9" t="s">
        <v>12118</v>
      </c>
      <c r="Q593" s="10"/>
      <c r="T593" s="9">
        <f>265-31</f>
        <v>234</v>
      </c>
      <c r="U593" s="9">
        <f t="shared" ca="1" si="22"/>
        <v>31</v>
      </c>
      <c r="V593" s="9">
        <f t="shared" ca="1" si="23"/>
        <v>265</v>
      </c>
      <c r="AG593" s="9" t="s">
        <v>20</v>
      </c>
    </row>
    <row r="594" spans="1:33" ht="29">
      <c r="A594" s="3" t="s">
        <v>841</v>
      </c>
      <c r="D594" s="3" t="s">
        <v>5433</v>
      </c>
      <c r="E594" s="3" t="s">
        <v>5434</v>
      </c>
      <c r="I594" t="s">
        <v>12190</v>
      </c>
      <c r="J594" s="9" t="s">
        <v>26</v>
      </c>
      <c r="Q594" s="10"/>
      <c r="U594" s="9" t="str">
        <f t="shared" ca="1" si="22"/>
        <v/>
      </c>
      <c r="V594" s="9" t="str">
        <f t="shared" ca="1" si="23"/>
        <v/>
      </c>
      <c r="AG594" s="9" t="s">
        <v>20</v>
      </c>
    </row>
    <row r="595" spans="1:33">
      <c r="A595" s="3" t="s">
        <v>841</v>
      </c>
      <c r="D595" s="3" t="s">
        <v>5435</v>
      </c>
      <c r="E595" s="3" t="s">
        <v>5436</v>
      </c>
      <c r="J595" s="9" t="s">
        <v>12120</v>
      </c>
      <c r="Q595" s="10"/>
      <c r="U595" s="9" t="str">
        <f t="shared" ca="1" si="22"/>
        <v/>
      </c>
      <c r="V595" s="9" t="str">
        <f t="shared" ca="1" si="23"/>
        <v/>
      </c>
      <c r="AB595" s="9" t="s">
        <v>12082</v>
      </c>
      <c r="AD595" s="9" t="s">
        <v>19</v>
      </c>
    </row>
    <row r="596" spans="1:33">
      <c r="A596" s="3" t="s">
        <v>841</v>
      </c>
      <c r="D596" s="3" t="s">
        <v>5437</v>
      </c>
      <c r="E596" s="3" t="s">
        <v>5438</v>
      </c>
      <c r="G596" t="s">
        <v>19</v>
      </c>
      <c r="J596" s="9" t="s">
        <v>12118</v>
      </c>
      <c r="Q596" s="10"/>
      <c r="T596" s="9" t="s">
        <v>12131</v>
      </c>
      <c r="U596" s="9" t="str">
        <f t="shared" ca="1" si="22"/>
        <v/>
      </c>
      <c r="V596" s="9" t="str">
        <f t="shared" ca="1" si="23"/>
        <v/>
      </c>
      <c r="AE596" s="9" t="s">
        <v>12086</v>
      </c>
    </row>
    <row r="597" spans="1:33">
      <c r="A597" s="3" t="s">
        <v>843</v>
      </c>
      <c r="D597" s="3" t="s">
        <v>844</v>
      </c>
      <c r="E597" s="5" t="s">
        <v>845</v>
      </c>
      <c r="F597" t="s">
        <v>16</v>
      </c>
      <c r="Q597" s="10"/>
      <c r="U597" s="9" t="str">
        <f t="shared" ca="1" si="22"/>
        <v/>
      </c>
      <c r="V597" s="9" t="str">
        <f t="shared" ca="1" si="23"/>
        <v/>
      </c>
    </row>
    <row r="598" spans="1:33">
      <c r="A598" s="3" t="s">
        <v>846</v>
      </c>
      <c r="D598" s="3" t="s">
        <v>847</v>
      </c>
      <c r="E598" s="3" t="s">
        <v>848</v>
      </c>
      <c r="J598" s="9" t="s">
        <v>12120</v>
      </c>
      <c r="Q598" s="10"/>
      <c r="U598" s="9" t="str">
        <f t="shared" ca="1" si="22"/>
        <v/>
      </c>
      <c r="V598" s="9" t="str">
        <f t="shared" ca="1" si="23"/>
        <v/>
      </c>
      <c r="AC598" s="9" t="s">
        <v>12744</v>
      </c>
      <c r="AD598" s="9" t="s">
        <v>19</v>
      </c>
      <c r="AE598" s="9" t="s">
        <v>12086</v>
      </c>
    </row>
    <row r="599" spans="1:33">
      <c r="A599" s="3" t="s">
        <v>846</v>
      </c>
      <c r="D599" s="3" t="s">
        <v>849</v>
      </c>
      <c r="E599" s="3" t="s">
        <v>850</v>
      </c>
      <c r="J599" s="9" t="s">
        <v>12120</v>
      </c>
      <c r="Q599" s="10"/>
      <c r="U599" s="9" t="str">
        <f t="shared" ca="1" si="22"/>
        <v/>
      </c>
      <c r="V599" s="9" t="str">
        <f t="shared" ca="1" si="23"/>
        <v/>
      </c>
      <c r="AC599" s="9" t="s">
        <v>12134</v>
      </c>
      <c r="AD599" s="9" t="s">
        <v>19</v>
      </c>
    </row>
    <row r="600" spans="1:33">
      <c r="A600" s="3" t="s">
        <v>851</v>
      </c>
      <c r="D600" s="3" t="s">
        <v>852</v>
      </c>
      <c r="E600" s="3" t="s">
        <v>853</v>
      </c>
      <c r="J600" s="9" t="s">
        <v>12118</v>
      </c>
      <c r="Q600" s="10"/>
      <c r="T600" s="9" t="s">
        <v>12131</v>
      </c>
      <c r="U600" s="9" t="str">
        <f t="shared" ca="1" si="22"/>
        <v/>
      </c>
      <c r="V600" s="9" t="str">
        <f t="shared" ca="1" si="23"/>
        <v/>
      </c>
      <c r="AC600" s="9" t="s">
        <v>12130</v>
      </c>
      <c r="AD600" s="9" t="s">
        <v>19</v>
      </c>
      <c r="AE600" s="9" t="s">
        <v>12086</v>
      </c>
    </row>
    <row r="601" spans="1:33">
      <c r="A601" s="3" t="s">
        <v>851</v>
      </c>
      <c r="D601" s="3" t="s">
        <v>5440</v>
      </c>
      <c r="E601" s="3" t="s">
        <v>5439</v>
      </c>
      <c r="J601" s="9" t="s">
        <v>24</v>
      </c>
      <c r="L601" s="9">
        <v>1</v>
      </c>
      <c r="M601" s="9">
        <v>3</v>
      </c>
      <c r="N601" s="9" t="s">
        <v>12094</v>
      </c>
      <c r="O601" s="9" t="s">
        <v>12079</v>
      </c>
      <c r="Q601" s="10"/>
      <c r="S601" s="9">
        <v>1496</v>
      </c>
      <c r="U601" s="9" t="str">
        <f t="shared" ca="1" si="22"/>
        <v/>
      </c>
      <c r="V601" s="9" t="str">
        <f t="shared" ca="1" si="23"/>
        <v/>
      </c>
      <c r="AG601" s="9" t="s">
        <v>19</v>
      </c>
    </row>
    <row r="602" spans="1:33">
      <c r="A602" s="3" t="s">
        <v>854</v>
      </c>
      <c r="D602" s="3" t="s">
        <v>844</v>
      </c>
      <c r="E602" s="5" t="s">
        <v>845</v>
      </c>
      <c r="F602" t="s">
        <v>16</v>
      </c>
      <c r="Q602" s="10"/>
      <c r="U602" s="9" t="str">
        <f t="shared" ca="1" si="22"/>
        <v/>
      </c>
      <c r="V602" s="9" t="str">
        <f t="shared" ca="1" si="23"/>
        <v/>
      </c>
    </row>
    <row r="603" spans="1:33" ht="29">
      <c r="A603" s="3" t="s">
        <v>855</v>
      </c>
      <c r="D603" s="3" t="s">
        <v>5441</v>
      </c>
      <c r="E603" s="3" t="s">
        <v>5442</v>
      </c>
      <c r="J603" s="9" t="s">
        <v>12118</v>
      </c>
      <c r="Q603" s="10"/>
      <c r="T603" s="9">
        <f>1966-356</f>
        <v>1610</v>
      </c>
      <c r="U603" s="9">
        <f t="shared" ca="1" si="22"/>
        <v>356</v>
      </c>
      <c r="V603" s="9">
        <f t="shared" ca="1" si="23"/>
        <v>1966</v>
      </c>
      <c r="AG603" s="9" t="s">
        <v>19</v>
      </c>
    </row>
    <row r="604" spans="1:33" ht="29">
      <c r="A604" s="3" t="s">
        <v>855</v>
      </c>
      <c r="D604" s="3" t="s">
        <v>5443</v>
      </c>
      <c r="E604" s="3" t="s">
        <v>5444</v>
      </c>
      <c r="J604" s="9" t="s">
        <v>12120</v>
      </c>
      <c r="Q604" s="10"/>
      <c r="U604" s="9" t="str">
        <f t="shared" ca="1" si="22"/>
        <v/>
      </c>
      <c r="V604" s="9" t="str">
        <f t="shared" ca="1" si="23"/>
        <v/>
      </c>
      <c r="AE604" s="9" t="s">
        <v>12083</v>
      </c>
    </row>
    <row r="605" spans="1:33">
      <c r="A605" s="3" t="s">
        <v>855</v>
      </c>
      <c r="D605" s="3" t="s">
        <v>856</v>
      </c>
      <c r="E605" s="3" t="s">
        <v>857</v>
      </c>
      <c r="J605" s="9" t="s">
        <v>12120</v>
      </c>
      <c r="Q605" s="10"/>
      <c r="U605" s="9" t="str">
        <f t="shared" ca="1" si="22"/>
        <v/>
      </c>
      <c r="V605" s="9" t="str">
        <f t="shared" ca="1" si="23"/>
        <v/>
      </c>
      <c r="AC605" s="9" t="s">
        <v>12739</v>
      </c>
      <c r="AD605" s="9" t="s">
        <v>19</v>
      </c>
    </row>
    <row r="606" spans="1:33">
      <c r="A606" s="3" t="s">
        <v>858</v>
      </c>
      <c r="D606" s="3" t="s">
        <v>5445</v>
      </c>
      <c r="E606" s="3" t="s">
        <v>5446</v>
      </c>
      <c r="J606" s="9" t="s">
        <v>12118</v>
      </c>
      <c r="Q606" s="10"/>
      <c r="T606" s="9">
        <f>7-560</f>
        <v>-553</v>
      </c>
      <c r="U606" s="9">
        <f t="shared" ca="1" si="22"/>
        <v>560</v>
      </c>
      <c r="V606" s="9">
        <f t="shared" ca="1" si="23"/>
        <v>7</v>
      </c>
      <c r="AC606" s="9" t="s">
        <v>12134</v>
      </c>
      <c r="AD606" s="9" t="s">
        <v>19</v>
      </c>
      <c r="AE606" s="9" t="s">
        <v>12089</v>
      </c>
    </row>
    <row r="607" spans="1:33">
      <c r="A607" s="3" t="s">
        <v>859</v>
      </c>
      <c r="D607" s="3" t="s">
        <v>5359</v>
      </c>
      <c r="E607" s="3" t="s">
        <v>5360</v>
      </c>
      <c r="J607" s="9" t="s">
        <v>12120</v>
      </c>
      <c r="Q607" s="10"/>
      <c r="U607" s="9" t="str">
        <f t="shared" ca="1" si="22"/>
        <v/>
      </c>
      <c r="V607" s="9" t="str">
        <f t="shared" ca="1" si="23"/>
        <v/>
      </c>
      <c r="AB607" s="9" t="s">
        <v>12738</v>
      </c>
      <c r="AD607" s="9" t="s">
        <v>19</v>
      </c>
    </row>
    <row r="608" spans="1:33">
      <c r="A608" s="3" t="s">
        <v>860</v>
      </c>
      <c r="D608" s="3" t="s">
        <v>861</v>
      </c>
      <c r="E608" s="3" t="s">
        <v>862</v>
      </c>
      <c r="J608" s="9" t="s">
        <v>12118</v>
      </c>
      <c r="Q608" s="10"/>
      <c r="T608" s="9" t="s">
        <v>12131</v>
      </c>
      <c r="U608" s="9" t="str">
        <f t="shared" ca="1" si="22"/>
        <v/>
      </c>
      <c r="V608" s="9" t="str">
        <f t="shared" ca="1" si="23"/>
        <v/>
      </c>
      <c r="AB608" s="9" t="s">
        <v>12124</v>
      </c>
      <c r="AC608" s="9" t="s">
        <v>12130</v>
      </c>
      <c r="AD608" s="9" t="s">
        <v>19</v>
      </c>
    </row>
    <row r="609" spans="1:33">
      <c r="A609" s="3" t="s">
        <v>863</v>
      </c>
      <c r="D609" s="3" t="s">
        <v>5447</v>
      </c>
      <c r="E609" s="3" t="s">
        <v>5448</v>
      </c>
      <c r="G609" t="s">
        <v>19</v>
      </c>
      <c r="J609" s="9" t="s">
        <v>12120</v>
      </c>
      <c r="Q609" s="10"/>
      <c r="U609" s="9" t="str">
        <f t="shared" ca="1" si="22"/>
        <v/>
      </c>
      <c r="V609" s="9" t="str">
        <f t="shared" ca="1" si="23"/>
        <v/>
      </c>
    </row>
    <row r="610" spans="1:33">
      <c r="A610" s="3" t="s">
        <v>864</v>
      </c>
      <c r="D610" s="3" t="s">
        <v>5449</v>
      </c>
      <c r="E610" s="3" t="s">
        <v>5450</v>
      </c>
      <c r="G610" t="s">
        <v>19</v>
      </c>
      <c r="J610" s="9" t="s">
        <v>12120</v>
      </c>
      <c r="Q610" s="10"/>
      <c r="U610" s="9" t="str">
        <f t="shared" ca="1" si="22"/>
        <v/>
      </c>
      <c r="V610" s="9" t="str">
        <f t="shared" ca="1" si="23"/>
        <v/>
      </c>
    </row>
    <row r="611" spans="1:33" ht="29">
      <c r="A611" s="3" t="s">
        <v>865</v>
      </c>
      <c r="D611" s="3" t="s">
        <v>5451</v>
      </c>
      <c r="E611" s="3" t="s">
        <v>5452</v>
      </c>
      <c r="J611" s="9" t="s">
        <v>25</v>
      </c>
      <c r="L611" s="9">
        <v>1</v>
      </c>
      <c r="M611" s="9">
        <v>8</v>
      </c>
      <c r="N611" s="9" t="s">
        <v>12092</v>
      </c>
      <c r="O611" s="9" t="s">
        <v>12079</v>
      </c>
      <c r="Q611" s="10"/>
      <c r="S611" s="9">
        <v>371</v>
      </c>
      <c r="U611" s="9" t="str">
        <f t="shared" ca="1" si="22"/>
        <v/>
      </c>
      <c r="V611" s="9" t="str">
        <f t="shared" ca="1" si="23"/>
        <v/>
      </c>
      <c r="AG611" s="9" t="s">
        <v>20</v>
      </c>
    </row>
    <row r="612" spans="1:33" ht="43.5">
      <c r="A612" s="3" t="s">
        <v>866</v>
      </c>
      <c r="D612" s="3" t="s">
        <v>5453</v>
      </c>
      <c r="E612" s="3" t="s">
        <v>5454</v>
      </c>
      <c r="I612" t="s">
        <v>5457</v>
      </c>
      <c r="J612" s="9" t="s">
        <v>26</v>
      </c>
      <c r="Q612" s="10"/>
      <c r="U612" s="9" t="str">
        <f t="shared" ca="1" si="22"/>
        <v/>
      </c>
      <c r="V612" s="9" t="str">
        <f t="shared" ca="1" si="23"/>
        <v/>
      </c>
      <c r="AG612" s="9" t="s">
        <v>19</v>
      </c>
    </row>
    <row r="613" spans="1:33" ht="43.5">
      <c r="A613" s="3" t="s">
        <v>866</v>
      </c>
      <c r="D613" s="3" t="s">
        <v>5455</v>
      </c>
      <c r="E613" s="3" t="s">
        <v>5456</v>
      </c>
      <c r="I613" t="s">
        <v>5458</v>
      </c>
      <c r="J613" s="9" t="s">
        <v>26</v>
      </c>
      <c r="Q613" s="10"/>
      <c r="U613" s="9" t="str">
        <f t="shared" ca="1" si="22"/>
        <v/>
      </c>
      <c r="V613" s="9" t="str">
        <f t="shared" ca="1" si="23"/>
        <v/>
      </c>
      <c r="AG613" s="9" t="s">
        <v>20</v>
      </c>
    </row>
    <row r="614" spans="1:33">
      <c r="A614" s="3" t="s">
        <v>868</v>
      </c>
      <c r="D614" s="3" t="s">
        <v>5459</v>
      </c>
      <c r="E614" s="3" t="s">
        <v>5460</v>
      </c>
      <c r="J614" s="9" t="s">
        <v>25</v>
      </c>
      <c r="L614" s="9">
        <v>1</v>
      </c>
      <c r="M614" s="9">
        <v>1</v>
      </c>
      <c r="N614" s="9" t="s">
        <v>12078</v>
      </c>
      <c r="O614" s="9" t="s">
        <v>12119</v>
      </c>
      <c r="Q614" s="10"/>
      <c r="S614" s="9">
        <v>11843</v>
      </c>
      <c r="U614" s="9" t="str">
        <f t="shared" ca="1" si="22"/>
        <v/>
      </c>
      <c r="V614" s="9" t="str">
        <f t="shared" ca="1" si="23"/>
        <v/>
      </c>
      <c r="AG614" s="9" t="s">
        <v>19</v>
      </c>
    </row>
    <row r="615" spans="1:33" ht="29">
      <c r="A615" s="3" t="s">
        <v>869</v>
      </c>
      <c r="D615" s="3" t="s">
        <v>5461</v>
      </c>
      <c r="E615" s="3" t="s">
        <v>5462</v>
      </c>
      <c r="G615" t="s">
        <v>19</v>
      </c>
      <c r="J615" s="9" t="s">
        <v>24</v>
      </c>
      <c r="L615" s="9">
        <v>1</v>
      </c>
      <c r="M615" s="9">
        <v>3</v>
      </c>
      <c r="N615" s="9" t="s">
        <v>12087</v>
      </c>
      <c r="O615" s="9" t="s">
        <v>12079</v>
      </c>
      <c r="Q615" s="10"/>
      <c r="S615" s="9">
        <v>5676</v>
      </c>
      <c r="U615" s="9" t="str">
        <f t="shared" ca="1" si="22"/>
        <v/>
      </c>
      <c r="V615" s="9" t="str">
        <f t="shared" ca="1" si="23"/>
        <v/>
      </c>
    </row>
    <row r="616" spans="1:33">
      <c r="A616" s="3" t="s">
        <v>871</v>
      </c>
      <c r="D616" s="3" t="s">
        <v>5463</v>
      </c>
      <c r="E616" s="3" t="s">
        <v>5464</v>
      </c>
      <c r="Q616" s="10"/>
      <c r="U616" s="9" t="str">
        <f t="shared" ca="1" si="22"/>
        <v/>
      </c>
      <c r="V616" s="9" t="str">
        <f t="shared" ca="1" si="23"/>
        <v/>
      </c>
    </row>
    <row r="617" spans="1:33">
      <c r="A617" s="3" t="s">
        <v>873</v>
      </c>
      <c r="D617" s="3" t="s">
        <v>874</v>
      </c>
      <c r="E617" s="3" t="s">
        <v>875</v>
      </c>
      <c r="J617" s="9" t="s">
        <v>12118</v>
      </c>
      <c r="Q617" s="10"/>
      <c r="T617" s="9" t="s">
        <v>12131</v>
      </c>
      <c r="U617" s="9" t="str">
        <f t="shared" ca="1" si="22"/>
        <v/>
      </c>
      <c r="V617" s="9" t="str">
        <f t="shared" ca="1" si="23"/>
        <v/>
      </c>
      <c r="AC617" s="9" t="s">
        <v>12130</v>
      </c>
      <c r="AD617" s="9" t="s">
        <v>19</v>
      </c>
      <c r="AE617" s="9" t="s">
        <v>12086</v>
      </c>
    </row>
    <row r="618" spans="1:33">
      <c r="A618" s="3" t="s">
        <v>876</v>
      </c>
      <c r="D618" s="3" t="s">
        <v>5465</v>
      </c>
      <c r="E618" s="3" t="s">
        <v>5466</v>
      </c>
      <c r="J618" s="9" t="s">
        <v>24</v>
      </c>
      <c r="L618" s="9">
        <v>1</v>
      </c>
      <c r="M618" s="9">
        <v>2</v>
      </c>
      <c r="N618" s="9" t="s">
        <v>12078</v>
      </c>
      <c r="O618" s="9" t="s">
        <v>12119</v>
      </c>
      <c r="Q618" s="10"/>
      <c r="S618" s="9">
        <v>11843</v>
      </c>
      <c r="U618" s="9" t="str">
        <f t="shared" ca="1" si="22"/>
        <v/>
      </c>
      <c r="V618" s="9" t="str">
        <f t="shared" ca="1" si="23"/>
        <v/>
      </c>
      <c r="AG618" s="9" t="s">
        <v>19</v>
      </c>
    </row>
    <row r="619" spans="1:33">
      <c r="A619" s="3" t="s">
        <v>877</v>
      </c>
      <c r="D619" s="3" t="s">
        <v>663</v>
      </c>
      <c r="E619" s="3" t="s">
        <v>664</v>
      </c>
      <c r="J619" s="9" t="s">
        <v>12118</v>
      </c>
      <c r="Q619" s="10"/>
      <c r="T619" s="9" t="s">
        <v>12131</v>
      </c>
      <c r="U619" s="9" t="str">
        <f t="shared" ca="1" si="22"/>
        <v/>
      </c>
      <c r="V619" s="9" t="str">
        <f t="shared" ca="1" si="23"/>
        <v/>
      </c>
      <c r="AC619" s="9" t="s">
        <v>12130</v>
      </c>
      <c r="AD619" s="9" t="s">
        <v>19</v>
      </c>
      <c r="AE619" s="9" t="s">
        <v>12086</v>
      </c>
    </row>
    <row r="620" spans="1:33">
      <c r="A620" s="3" t="s">
        <v>878</v>
      </c>
      <c r="D620" s="3" t="s">
        <v>5467</v>
      </c>
      <c r="E620" s="3" t="s">
        <v>5468</v>
      </c>
      <c r="J620" s="9" t="s">
        <v>12120</v>
      </c>
      <c r="Q620" s="10"/>
      <c r="U620" s="9" t="str">
        <f t="shared" ca="1" si="22"/>
        <v/>
      </c>
      <c r="V620" s="9" t="str">
        <f t="shared" ca="1" si="23"/>
        <v/>
      </c>
      <c r="AG620" s="9" t="s">
        <v>19</v>
      </c>
    </row>
    <row r="621" spans="1:33">
      <c r="A621" s="3" t="s">
        <v>879</v>
      </c>
      <c r="D621" s="3" t="s">
        <v>5469</v>
      </c>
      <c r="E621" s="3" t="s">
        <v>5469</v>
      </c>
      <c r="F621" t="s">
        <v>35</v>
      </c>
      <c r="G621" t="s">
        <v>20</v>
      </c>
      <c r="I621" t="s">
        <v>5470</v>
      </c>
      <c r="Q621" s="10"/>
      <c r="U621" s="9" t="str">
        <f t="shared" ca="1" si="22"/>
        <v/>
      </c>
      <c r="V621" s="9" t="str">
        <f t="shared" ca="1" si="23"/>
        <v/>
      </c>
    </row>
    <row r="622" spans="1:33">
      <c r="A622" s="3" t="s">
        <v>880</v>
      </c>
      <c r="D622" s="3" t="s">
        <v>5218</v>
      </c>
      <c r="E622" s="3" t="s">
        <v>5219</v>
      </c>
      <c r="J622" s="9" t="s">
        <v>12120</v>
      </c>
      <c r="Q622" s="10"/>
      <c r="U622" s="9" t="str">
        <f t="shared" ca="1" si="22"/>
        <v/>
      </c>
      <c r="V622" s="9" t="str">
        <f t="shared" ca="1" si="23"/>
        <v/>
      </c>
      <c r="AB622" s="9" t="s">
        <v>12082</v>
      </c>
      <c r="AD622" s="9" t="s">
        <v>19</v>
      </c>
    </row>
    <row r="623" spans="1:33">
      <c r="A623" s="3" t="s">
        <v>881</v>
      </c>
      <c r="D623" s="3" t="s">
        <v>129</v>
      </c>
      <c r="E623" s="3" t="s">
        <v>130</v>
      </c>
      <c r="J623" s="9" t="s">
        <v>12120</v>
      </c>
      <c r="Q623" s="10"/>
      <c r="U623" s="9" t="str">
        <f t="shared" ca="1" si="22"/>
        <v/>
      </c>
      <c r="V623" s="9" t="str">
        <f t="shared" ca="1" si="23"/>
        <v/>
      </c>
      <c r="AC623" s="9" t="s">
        <v>12130</v>
      </c>
      <c r="AD623" s="9" t="s">
        <v>19</v>
      </c>
    </row>
    <row r="624" spans="1:33">
      <c r="A624" s="3" t="s">
        <v>881</v>
      </c>
      <c r="D624" s="3" t="s">
        <v>5471</v>
      </c>
      <c r="E624" s="3" t="s">
        <v>5472</v>
      </c>
      <c r="I624" t="s">
        <v>12648</v>
      </c>
      <c r="J624" s="9" t="s">
        <v>12118</v>
      </c>
      <c r="Q624" s="10"/>
      <c r="T624" s="9">
        <f>179-472</f>
        <v>-293</v>
      </c>
      <c r="U624" s="9">
        <f t="shared" ca="1" si="22"/>
        <v>472</v>
      </c>
      <c r="V624" s="9">
        <f t="shared" ca="1" si="23"/>
        <v>179</v>
      </c>
      <c r="W624" s="9" t="s">
        <v>4</v>
      </c>
      <c r="AG624" s="9" t="s">
        <v>20</v>
      </c>
    </row>
    <row r="625" spans="1:33">
      <c r="A625" s="3" t="s">
        <v>882</v>
      </c>
      <c r="D625" s="3" t="s">
        <v>883</v>
      </c>
      <c r="E625" s="3" t="s">
        <v>884</v>
      </c>
      <c r="J625" s="9" t="s">
        <v>12120</v>
      </c>
      <c r="Q625" s="10"/>
      <c r="U625" s="9" t="str">
        <f t="shared" ca="1" si="22"/>
        <v/>
      </c>
      <c r="V625" s="9" t="str">
        <f t="shared" ca="1" si="23"/>
        <v/>
      </c>
      <c r="AB625" s="9" t="s">
        <v>12738</v>
      </c>
      <c r="AD625" s="9" t="s">
        <v>19</v>
      </c>
      <c r="AE625" s="9" t="s">
        <v>12086</v>
      </c>
    </row>
    <row r="626" spans="1:33">
      <c r="A626" s="3" t="s">
        <v>882</v>
      </c>
      <c r="D626" s="3" t="s">
        <v>5473</v>
      </c>
      <c r="E626" s="3" t="s">
        <v>5474</v>
      </c>
      <c r="G626" t="s">
        <v>19</v>
      </c>
      <c r="J626" s="9" t="s">
        <v>12118</v>
      </c>
      <c r="Q626" s="10"/>
      <c r="T626" s="9">
        <f>4-18</f>
        <v>-14</v>
      </c>
      <c r="U626" s="9">
        <f t="shared" ca="1" si="22"/>
        <v>18</v>
      </c>
      <c r="V626" s="9">
        <f t="shared" ca="1" si="23"/>
        <v>4</v>
      </c>
    </row>
    <row r="627" spans="1:33">
      <c r="A627" s="3" t="s">
        <v>885</v>
      </c>
      <c r="D627" s="3" t="s">
        <v>886</v>
      </c>
      <c r="E627" s="3" t="s">
        <v>5475</v>
      </c>
      <c r="G627" t="s">
        <v>19</v>
      </c>
      <c r="J627" s="9" t="s">
        <v>12120</v>
      </c>
      <c r="Q627" s="10"/>
      <c r="U627" s="9" t="str">
        <f t="shared" ca="1" si="22"/>
        <v/>
      </c>
      <c r="V627" s="9" t="str">
        <f t="shared" ca="1" si="23"/>
        <v/>
      </c>
    </row>
    <row r="628" spans="1:33">
      <c r="A628" s="3" t="s">
        <v>887</v>
      </c>
      <c r="D628" s="3" t="s">
        <v>888</v>
      </c>
      <c r="E628" s="3" t="s">
        <v>889</v>
      </c>
      <c r="J628" s="9" t="s">
        <v>12120</v>
      </c>
      <c r="Q628" s="10"/>
      <c r="U628" s="9" t="str">
        <f t="shared" ca="1" si="22"/>
        <v/>
      </c>
      <c r="V628" s="9" t="str">
        <f t="shared" ca="1" si="23"/>
        <v/>
      </c>
      <c r="AC628" s="9" t="s">
        <v>12744</v>
      </c>
      <c r="AD628" s="9" t="s">
        <v>19</v>
      </c>
    </row>
    <row r="629" spans="1:33">
      <c r="A629" s="3" t="s">
        <v>887</v>
      </c>
      <c r="D629" s="3" t="s">
        <v>890</v>
      </c>
      <c r="E629" s="3" t="s">
        <v>5476</v>
      </c>
      <c r="G629" t="s">
        <v>19</v>
      </c>
      <c r="J629" s="9" t="s">
        <v>12120</v>
      </c>
      <c r="Q629" s="10"/>
      <c r="U629" s="9" t="str">
        <f t="shared" ca="1" si="22"/>
        <v/>
      </c>
      <c r="V629" s="9" t="str">
        <f t="shared" ca="1" si="23"/>
        <v/>
      </c>
      <c r="AC629" s="9" t="s">
        <v>12191</v>
      </c>
      <c r="AD629" s="9" t="s">
        <v>19</v>
      </c>
    </row>
    <row r="630" spans="1:33">
      <c r="A630" s="3" t="s">
        <v>887</v>
      </c>
      <c r="D630" s="3" t="s">
        <v>5477</v>
      </c>
      <c r="E630" s="3" t="s">
        <v>5478</v>
      </c>
      <c r="G630" t="s">
        <v>19</v>
      </c>
      <c r="J630" s="9" t="s">
        <v>24</v>
      </c>
      <c r="L630" s="9">
        <v>1</v>
      </c>
      <c r="M630" s="9">
        <v>3</v>
      </c>
      <c r="N630" s="9" t="s">
        <v>12078</v>
      </c>
      <c r="O630" s="9" t="s">
        <v>12079</v>
      </c>
      <c r="Q630" s="10"/>
      <c r="S630" s="9">
        <v>11843</v>
      </c>
      <c r="U630" s="9" t="str">
        <f t="shared" ca="1" si="22"/>
        <v/>
      </c>
      <c r="V630" s="9" t="str">
        <f t="shared" ca="1" si="23"/>
        <v/>
      </c>
    </row>
    <row r="631" spans="1:33" ht="29">
      <c r="A631" s="3" t="s">
        <v>891</v>
      </c>
      <c r="D631" s="3" t="s">
        <v>5480</v>
      </c>
      <c r="E631" s="3" t="s">
        <v>5479</v>
      </c>
      <c r="J631" s="9" t="s">
        <v>25</v>
      </c>
      <c r="L631" s="9">
        <v>2</v>
      </c>
      <c r="M631" s="9">
        <v>7</v>
      </c>
      <c r="O631" s="9" t="s">
        <v>12079</v>
      </c>
      <c r="Q631" s="10"/>
      <c r="S631" s="9">
        <v>75</v>
      </c>
      <c r="U631" s="9" t="str">
        <f t="shared" ca="1" si="22"/>
        <v/>
      </c>
      <c r="V631" s="9" t="str">
        <f t="shared" ca="1" si="23"/>
        <v/>
      </c>
      <c r="AG631" s="9" t="s">
        <v>20</v>
      </c>
    </row>
    <row r="632" spans="1:33" ht="29">
      <c r="A632" s="3" t="s">
        <v>891</v>
      </c>
      <c r="D632" s="3" t="s">
        <v>5481</v>
      </c>
      <c r="E632" s="3" t="s">
        <v>5482</v>
      </c>
      <c r="G632" t="s">
        <v>21</v>
      </c>
      <c r="I632" t="s">
        <v>5485</v>
      </c>
      <c r="J632" s="9" t="s">
        <v>12118</v>
      </c>
      <c r="Q632" s="10"/>
      <c r="T632" s="9" t="s">
        <v>12131</v>
      </c>
      <c r="U632" s="9" t="str">
        <f t="shared" ca="1" si="22"/>
        <v/>
      </c>
      <c r="V632" s="9" t="str">
        <f t="shared" ca="1" si="23"/>
        <v/>
      </c>
      <c r="AE632" s="9" t="s">
        <v>12077</v>
      </c>
    </row>
    <row r="633" spans="1:33" ht="29">
      <c r="A633" s="3" t="s">
        <v>891</v>
      </c>
      <c r="D633" s="3" t="s">
        <v>5483</v>
      </c>
      <c r="E633" s="3" t="s">
        <v>5484</v>
      </c>
      <c r="J633" s="9" t="s">
        <v>12120</v>
      </c>
      <c r="Q633" s="10"/>
      <c r="U633" s="9" t="str">
        <f t="shared" ca="1" si="22"/>
        <v/>
      </c>
      <c r="V633" s="9" t="str">
        <f t="shared" ca="1" si="23"/>
        <v/>
      </c>
      <c r="AG633" s="9" t="s">
        <v>19</v>
      </c>
    </row>
    <row r="634" spans="1:33">
      <c r="A634" s="3" t="s">
        <v>892</v>
      </c>
      <c r="D634" s="3" t="s">
        <v>893</v>
      </c>
      <c r="E634" s="3" t="s">
        <v>894</v>
      </c>
      <c r="J634" s="9" t="s">
        <v>12118</v>
      </c>
      <c r="Q634" s="10"/>
      <c r="T634" s="9" t="s">
        <v>12131</v>
      </c>
      <c r="U634" s="9" t="str">
        <f t="shared" ca="1" si="22"/>
        <v/>
      </c>
      <c r="V634" s="9" t="str">
        <f t="shared" ca="1" si="23"/>
        <v/>
      </c>
      <c r="AC634" s="9" t="s">
        <v>12130</v>
      </c>
      <c r="AD634" s="9" t="s">
        <v>19</v>
      </c>
      <c r="AE634" s="9" t="s">
        <v>12086</v>
      </c>
    </row>
    <row r="635" spans="1:33">
      <c r="A635" s="3" t="s">
        <v>895</v>
      </c>
      <c r="D635" s="3" t="s">
        <v>5486</v>
      </c>
      <c r="E635" s="3" t="s">
        <v>5487</v>
      </c>
      <c r="J635" s="9" t="s">
        <v>12118</v>
      </c>
      <c r="Q635" s="10"/>
      <c r="T635" s="9">
        <f>186-0</f>
        <v>186</v>
      </c>
      <c r="U635" s="9">
        <f t="shared" ca="1" si="22"/>
        <v>0</v>
      </c>
      <c r="V635" s="9">
        <f t="shared" ca="1" si="23"/>
        <v>186</v>
      </c>
      <c r="AG635" s="9" t="s">
        <v>19</v>
      </c>
    </row>
    <row r="636" spans="1:33">
      <c r="A636" s="3" t="s">
        <v>895</v>
      </c>
      <c r="D636" s="3" t="s">
        <v>5488</v>
      </c>
      <c r="E636" s="3" t="s">
        <v>5489</v>
      </c>
      <c r="I636" t="s">
        <v>12649</v>
      </c>
      <c r="J636" s="9" t="s">
        <v>24</v>
      </c>
      <c r="L636" s="9">
        <v>1</v>
      </c>
      <c r="M636" s="9">
        <v>3</v>
      </c>
      <c r="N636" s="9" t="s">
        <v>12078</v>
      </c>
      <c r="O636" s="9" t="s">
        <v>12079</v>
      </c>
      <c r="Q636" s="10"/>
      <c r="S636" s="9">
        <v>11843</v>
      </c>
      <c r="U636" s="9" t="str">
        <f t="shared" ca="1" si="22"/>
        <v/>
      </c>
      <c r="V636" s="9" t="str">
        <f t="shared" ca="1" si="23"/>
        <v/>
      </c>
      <c r="W636" s="9" t="s">
        <v>12117</v>
      </c>
      <c r="AG636" s="9" t="s">
        <v>13141</v>
      </c>
    </row>
    <row r="637" spans="1:33">
      <c r="A637" s="3" t="s">
        <v>896</v>
      </c>
      <c r="D637" s="3" t="s">
        <v>897</v>
      </c>
      <c r="E637" s="3" t="s">
        <v>1339</v>
      </c>
      <c r="G637" t="s">
        <v>19</v>
      </c>
      <c r="J637" s="9" t="s">
        <v>12120</v>
      </c>
      <c r="Q637" s="10"/>
      <c r="U637" s="9" t="str">
        <f t="shared" ca="1" si="22"/>
        <v/>
      </c>
      <c r="V637" s="9" t="str">
        <f t="shared" ca="1" si="23"/>
        <v/>
      </c>
      <c r="AC637" s="9" t="s">
        <v>12188</v>
      </c>
      <c r="AD637" s="9" t="s">
        <v>19</v>
      </c>
      <c r="AE637" s="9" t="s">
        <v>12089</v>
      </c>
    </row>
    <row r="638" spans="1:33">
      <c r="A638" s="3" t="s">
        <v>899</v>
      </c>
      <c r="D638" s="3" t="s">
        <v>5490</v>
      </c>
      <c r="E638" s="3" t="s">
        <v>5491</v>
      </c>
      <c r="J638" s="9" t="s">
        <v>25</v>
      </c>
      <c r="L638" s="9">
        <v>1</v>
      </c>
      <c r="M638" s="9">
        <v>2</v>
      </c>
      <c r="N638" s="9" t="s">
        <v>12087</v>
      </c>
      <c r="O638" s="9" t="s">
        <v>12119</v>
      </c>
      <c r="Q638" s="10"/>
      <c r="S638" s="9">
        <v>1966</v>
      </c>
      <c r="U638" s="9" t="str">
        <f t="shared" ca="1" si="22"/>
        <v/>
      </c>
      <c r="V638" s="9" t="str">
        <f t="shared" ca="1" si="23"/>
        <v/>
      </c>
      <c r="AG638" s="9" t="s">
        <v>19</v>
      </c>
    </row>
    <row r="639" spans="1:33">
      <c r="A639" s="3" t="s">
        <v>899</v>
      </c>
      <c r="D639" s="3" t="s">
        <v>900</v>
      </c>
      <c r="E639" s="3" t="s">
        <v>5492</v>
      </c>
      <c r="F639" t="s">
        <v>11</v>
      </c>
      <c r="G639" t="s">
        <v>19</v>
      </c>
      <c r="J639" s="9" t="s">
        <v>12118</v>
      </c>
      <c r="Q639" s="10"/>
      <c r="T639" s="9">
        <f>9-2</f>
        <v>7</v>
      </c>
      <c r="U639" s="9">
        <f t="shared" ca="1" si="22"/>
        <v>2</v>
      </c>
      <c r="V639" s="9">
        <f t="shared" ca="1" si="23"/>
        <v>9</v>
      </c>
    </row>
    <row r="640" spans="1:33">
      <c r="A640" s="3" t="s">
        <v>901</v>
      </c>
      <c r="D640" s="3" t="s">
        <v>902</v>
      </c>
      <c r="E640" s="3" t="s">
        <v>5493</v>
      </c>
      <c r="G640" t="s">
        <v>19</v>
      </c>
      <c r="J640" s="9" t="s">
        <v>12118</v>
      </c>
      <c r="Q640" s="10"/>
      <c r="T640" s="9" t="s">
        <v>12131</v>
      </c>
      <c r="U640" s="9" t="str">
        <f t="shared" ca="1" si="22"/>
        <v/>
      </c>
      <c r="V640" s="9" t="str">
        <f t="shared" ca="1" si="23"/>
        <v/>
      </c>
      <c r="AC640" s="9" t="s">
        <v>12130</v>
      </c>
      <c r="AD640" s="9" t="s">
        <v>19</v>
      </c>
      <c r="AE640" s="9" t="s">
        <v>12086</v>
      </c>
    </row>
    <row r="641" spans="1:33">
      <c r="A641" s="3" t="s">
        <v>903</v>
      </c>
      <c r="D641" s="3" t="s">
        <v>638</v>
      </c>
      <c r="E641" s="3" t="s">
        <v>639</v>
      </c>
      <c r="J641" s="9" t="s">
        <v>12118</v>
      </c>
      <c r="Q641" s="10"/>
      <c r="T641" s="9" t="s">
        <v>12131</v>
      </c>
      <c r="U641" s="9" t="str">
        <f t="shared" ca="1" si="22"/>
        <v/>
      </c>
      <c r="V641" s="9" t="str">
        <f t="shared" ca="1" si="23"/>
        <v/>
      </c>
      <c r="AC641" s="9" t="s">
        <v>12130</v>
      </c>
      <c r="AD641" s="9" t="s">
        <v>19</v>
      </c>
      <c r="AE641" s="9" t="s">
        <v>12086</v>
      </c>
    </row>
    <row r="642" spans="1:33">
      <c r="A642" s="3" t="s">
        <v>904</v>
      </c>
      <c r="D642" s="3" t="s">
        <v>12844</v>
      </c>
      <c r="E642" s="3" t="s">
        <v>12845</v>
      </c>
      <c r="J642" s="9" t="s">
        <v>12120</v>
      </c>
      <c r="Q642" s="10"/>
      <c r="U642" s="9" t="str">
        <f t="shared" ref="U642:U707" ca="1" si="24">IF(ISNUMBER(T642),VALUE(MID(_xlfn.FORMULATEXT(T642),SEARCH("-",_xlfn.FORMULATEXT(T642))+1,LEN(_xlfn.FORMULATEXT(T642))-SEARCH("-",_xlfn.FORMULATEXT(T642)))), "")</f>
        <v/>
      </c>
      <c r="V642" s="9" t="str">
        <f t="shared" ref="V642:V707" ca="1" si="25">IF(ISNUMBER(T642), VALUE(MID(_xlfn.FORMULATEXT(T642), 2, SEARCH("-", _xlfn.FORMULATEXT(T642)) - 2)), "")</f>
        <v/>
      </c>
      <c r="AG642" s="9" t="s">
        <v>19</v>
      </c>
    </row>
    <row r="643" spans="1:33">
      <c r="A643" s="3" t="s">
        <v>904</v>
      </c>
      <c r="D643" s="3" t="s">
        <v>5494</v>
      </c>
      <c r="E643" s="3" t="s">
        <v>12846</v>
      </c>
      <c r="J643" s="9" t="s">
        <v>24</v>
      </c>
      <c r="L643" s="9">
        <v>1</v>
      </c>
      <c r="M643" s="9">
        <v>3</v>
      </c>
      <c r="N643" s="9" t="s">
        <v>12087</v>
      </c>
      <c r="O643" s="9" t="s">
        <v>12079</v>
      </c>
      <c r="Q643" s="10"/>
      <c r="S643" s="9">
        <v>5776</v>
      </c>
      <c r="AG643" s="9" t="s">
        <v>19</v>
      </c>
    </row>
    <row r="644" spans="1:33">
      <c r="A644" s="3" t="s">
        <v>905</v>
      </c>
      <c r="D644" s="3" t="s">
        <v>906</v>
      </c>
      <c r="E644" s="3" t="s">
        <v>907</v>
      </c>
      <c r="J644" s="9" t="s">
        <v>12120</v>
      </c>
      <c r="Q644" s="10"/>
      <c r="U644" s="9" t="str">
        <f t="shared" ca="1" si="24"/>
        <v/>
      </c>
      <c r="V644" s="9" t="str">
        <f t="shared" ca="1" si="25"/>
        <v/>
      </c>
      <c r="AC644" s="9" t="s">
        <v>12744</v>
      </c>
      <c r="AD644" s="9" t="s">
        <v>20</v>
      </c>
      <c r="AG644" s="9" t="s">
        <v>19</v>
      </c>
    </row>
    <row r="645" spans="1:33">
      <c r="A645" s="3" t="s">
        <v>908</v>
      </c>
      <c r="D645" s="3" t="s">
        <v>909</v>
      </c>
      <c r="E645" s="3" t="s">
        <v>431</v>
      </c>
      <c r="J645" s="9" t="s">
        <v>12118</v>
      </c>
      <c r="Q645" s="10"/>
      <c r="T645" s="9" t="s">
        <v>12131</v>
      </c>
      <c r="U645" s="9" t="str">
        <f t="shared" ca="1" si="24"/>
        <v/>
      </c>
      <c r="V645" s="9" t="str">
        <f t="shared" ca="1" si="25"/>
        <v/>
      </c>
      <c r="AC645" s="9" t="s">
        <v>12130</v>
      </c>
      <c r="AD645" s="9" t="s">
        <v>19</v>
      </c>
      <c r="AE645" s="9" t="s">
        <v>12086</v>
      </c>
    </row>
    <row r="646" spans="1:33">
      <c r="A646" s="3" t="s">
        <v>910</v>
      </c>
      <c r="D646" s="3" t="s">
        <v>5495</v>
      </c>
      <c r="E646" s="3" t="s">
        <v>5496</v>
      </c>
      <c r="G646" t="s">
        <v>19</v>
      </c>
      <c r="J646" s="9" t="s">
        <v>12118</v>
      </c>
      <c r="Q646" s="10"/>
      <c r="T646" s="9">
        <f>26-1565</f>
        <v>-1539</v>
      </c>
      <c r="U646" s="9">
        <f t="shared" ca="1" si="24"/>
        <v>1565</v>
      </c>
      <c r="V646" s="9">
        <f t="shared" ca="1" si="25"/>
        <v>26</v>
      </c>
    </row>
    <row r="647" spans="1:33">
      <c r="A647" s="3" t="s">
        <v>910</v>
      </c>
      <c r="D647" s="3" t="s">
        <v>5497</v>
      </c>
      <c r="E647" s="3" t="s">
        <v>5498</v>
      </c>
      <c r="J647" s="9" t="s">
        <v>12118</v>
      </c>
      <c r="Q647" s="10"/>
      <c r="T647" s="9">
        <f>193-227</f>
        <v>-34</v>
      </c>
      <c r="U647" s="9">
        <f t="shared" ca="1" si="24"/>
        <v>227</v>
      </c>
      <c r="V647" s="9">
        <f t="shared" ca="1" si="25"/>
        <v>193</v>
      </c>
      <c r="AG647" s="9" t="s">
        <v>20</v>
      </c>
    </row>
    <row r="648" spans="1:33">
      <c r="A648" s="3" t="s">
        <v>911</v>
      </c>
      <c r="D648" s="3" t="s">
        <v>5499</v>
      </c>
      <c r="E648" s="3" t="s">
        <v>5500</v>
      </c>
      <c r="J648" s="9" t="s">
        <v>12120</v>
      </c>
      <c r="Q648" s="10"/>
      <c r="U648" s="9" t="str">
        <f t="shared" ca="1" si="24"/>
        <v/>
      </c>
      <c r="V648" s="9" t="str">
        <f t="shared" ca="1" si="25"/>
        <v/>
      </c>
      <c r="AB648" s="9" t="s">
        <v>12082</v>
      </c>
      <c r="AD648" s="9" t="s">
        <v>19</v>
      </c>
    </row>
    <row r="649" spans="1:33">
      <c r="A649" s="3" t="s">
        <v>912</v>
      </c>
      <c r="D649" s="3" t="s">
        <v>5501</v>
      </c>
      <c r="E649" s="3" t="s">
        <v>5502</v>
      </c>
      <c r="J649" s="9" t="s">
        <v>12120</v>
      </c>
      <c r="Q649" s="10"/>
      <c r="U649" s="9" t="str">
        <f t="shared" ca="1" si="24"/>
        <v/>
      </c>
      <c r="V649" s="9" t="str">
        <f t="shared" ca="1" si="25"/>
        <v/>
      </c>
      <c r="AB649" s="9" t="s">
        <v>12082</v>
      </c>
      <c r="AD649" s="9" t="s">
        <v>19</v>
      </c>
    </row>
    <row r="650" spans="1:33">
      <c r="A650" s="3" t="s">
        <v>913</v>
      </c>
      <c r="D650" s="3" t="s">
        <v>914</v>
      </c>
      <c r="E650" s="3" t="s">
        <v>513</v>
      </c>
      <c r="J650" s="9" t="s">
        <v>12118</v>
      </c>
      <c r="Q650" s="10"/>
      <c r="T650" s="9" t="s">
        <v>12131</v>
      </c>
      <c r="U650" s="9" t="str">
        <f t="shared" ca="1" si="24"/>
        <v/>
      </c>
      <c r="V650" s="9" t="str">
        <f t="shared" ca="1" si="25"/>
        <v/>
      </c>
      <c r="AC650" s="9" t="s">
        <v>12130</v>
      </c>
      <c r="AD650" s="9" t="s">
        <v>19</v>
      </c>
      <c r="AE650" s="9" t="s">
        <v>12086</v>
      </c>
    </row>
    <row r="651" spans="1:33">
      <c r="A651" s="3" t="s">
        <v>915</v>
      </c>
      <c r="D651" s="3" t="s">
        <v>916</v>
      </c>
      <c r="E651" s="3" t="s">
        <v>917</v>
      </c>
      <c r="J651" s="9" t="s">
        <v>12118</v>
      </c>
      <c r="Q651" s="10"/>
      <c r="T651" s="9" t="s">
        <v>12131</v>
      </c>
      <c r="U651" s="9" t="str">
        <f t="shared" ca="1" si="24"/>
        <v/>
      </c>
      <c r="V651" s="9" t="str">
        <f t="shared" ca="1" si="25"/>
        <v/>
      </c>
      <c r="AC651" s="9" t="s">
        <v>12130</v>
      </c>
      <c r="AD651" s="9" t="s">
        <v>19</v>
      </c>
      <c r="AE651" s="9" t="s">
        <v>12086</v>
      </c>
    </row>
    <row r="652" spans="1:33" ht="43.5">
      <c r="A652" s="3" t="s">
        <v>918</v>
      </c>
      <c r="D652" s="3" t="s">
        <v>5503</v>
      </c>
      <c r="E652" s="3" t="s">
        <v>5504</v>
      </c>
      <c r="G652" t="s">
        <v>19</v>
      </c>
      <c r="J652" s="9" t="s">
        <v>12120</v>
      </c>
      <c r="Q652" s="10"/>
      <c r="U652" s="9" t="str">
        <f t="shared" ca="1" si="24"/>
        <v/>
      </c>
      <c r="V652" s="9" t="str">
        <f t="shared" ca="1" si="25"/>
        <v/>
      </c>
    </row>
    <row r="653" spans="1:33" ht="43.5">
      <c r="A653" s="3" t="s">
        <v>918</v>
      </c>
      <c r="D653" s="3" t="s">
        <v>5505</v>
      </c>
      <c r="E653" s="3" t="s">
        <v>5506</v>
      </c>
      <c r="I653" t="s">
        <v>12192</v>
      </c>
      <c r="J653" s="9" t="s">
        <v>26</v>
      </c>
      <c r="Q653" s="10"/>
      <c r="U653" s="9" t="str">
        <f t="shared" ca="1" si="24"/>
        <v/>
      </c>
      <c r="V653" s="9" t="str">
        <f t="shared" ca="1" si="25"/>
        <v/>
      </c>
      <c r="AG653" s="9" t="s">
        <v>19</v>
      </c>
    </row>
    <row r="654" spans="1:33" ht="58">
      <c r="A654" s="3" t="s">
        <v>919</v>
      </c>
      <c r="D654" s="3" t="s">
        <v>5510</v>
      </c>
      <c r="E654" s="3" t="s">
        <v>5511</v>
      </c>
      <c r="J654" s="9" t="s">
        <v>12120</v>
      </c>
      <c r="Q654" s="10"/>
      <c r="U654" s="9" t="str">
        <f t="shared" ca="1" si="24"/>
        <v/>
      </c>
      <c r="V654" s="9" t="str">
        <f t="shared" ca="1" si="25"/>
        <v/>
      </c>
      <c r="AC654" s="9" t="s">
        <v>12130</v>
      </c>
      <c r="AD654" s="9" t="s">
        <v>19</v>
      </c>
    </row>
    <row r="655" spans="1:33" ht="58">
      <c r="A655" s="3" t="s">
        <v>919</v>
      </c>
      <c r="D655" s="3" t="s">
        <v>5507</v>
      </c>
      <c r="E655" s="3" t="s">
        <v>5509</v>
      </c>
      <c r="H655" t="s">
        <v>22</v>
      </c>
      <c r="I655" t="s">
        <v>12650</v>
      </c>
      <c r="J655" s="9" t="s">
        <v>25</v>
      </c>
      <c r="L655" s="9">
        <v>4</v>
      </c>
      <c r="M655" s="9">
        <v>16</v>
      </c>
      <c r="O655" s="9" t="s">
        <v>12073</v>
      </c>
      <c r="P655" s="9" t="s">
        <v>12140</v>
      </c>
      <c r="Q655" s="10" t="s">
        <v>12136</v>
      </c>
      <c r="S655" s="9">
        <v>8</v>
      </c>
      <c r="U655" s="9" t="str">
        <f t="shared" ca="1" si="24"/>
        <v/>
      </c>
      <c r="V655" s="9" t="str">
        <f t="shared" ca="1" si="25"/>
        <v/>
      </c>
      <c r="W655" s="9" t="s">
        <v>12117</v>
      </c>
      <c r="AG655" s="9" t="s">
        <v>20</v>
      </c>
    </row>
    <row r="656" spans="1:33" ht="58">
      <c r="A656" s="3" t="s">
        <v>919</v>
      </c>
      <c r="D656" s="3" t="s">
        <v>5508</v>
      </c>
      <c r="E656" s="3" t="s">
        <v>5509</v>
      </c>
      <c r="J656" s="9" t="s">
        <v>25</v>
      </c>
      <c r="L656" s="9">
        <v>1</v>
      </c>
      <c r="M656" s="9">
        <v>4</v>
      </c>
      <c r="N656" s="9" t="s">
        <v>12094</v>
      </c>
      <c r="O656" s="9" t="s">
        <v>12079</v>
      </c>
      <c r="Q656" s="10"/>
      <c r="S656" s="9">
        <v>50</v>
      </c>
      <c r="U656" s="9" t="str">
        <f t="shared" ca="1" si="24"/>
        <v/>
      </c>
      <c r="V656" s="9" t="str">
        <f t="shared" ca="1" si="25"/>
        <v/>
      </c>
      <c r="AG656" s="9" t="s">
        <v>20</v>
      </c>
    </row>
    <row r="657" spans="1:33">
      <c r="A657" s="3" t="s">
        <v>921</v>
      </c>
      <c r="D657" s="3" t="s">
        <v>5512</v>
      </c>
      <c r="E657" s="3" t="s">
        <v>12195</v>
      </c>
      <c r="H657" t="s">
        <v>19</v>
      </c>
      <c r="J657" s="9" t="s">
        <v>12120</v>
      </c>
      <c r="Q657" s="10"/>
      <c r="U657" s="9" t="str">
        <f t="shared" ca="1" si="24"/>
        <v/>
      </c>
      <c r="V657" s="9" t="str">
        <f t="shared" ca="1" si="25"/>
        <v/>
      </c>
      <c r="AB657" s="9" t="s">
        <v>12738</v>
      </c>
      <c r="AD657" s="9" t="s">
        <v>19</v>
      </c>
    </row>
    <row r="658" spans="1:33">
      <c r="A658" s="3" t="s">
        <v>921</v>
      </c>
      <c r="D658" s="3" t="s">
        <v>5513</v>
      </c>
      <c r="E658" s="3" t="s">
        <v>5514</v>
      </c>
      <c r="J658" s="9" t="s">
        <v>12120</v>
      </c>
      <c r="Q658" s="10"/>
      <c r="U658" s="9" t="str">
        <f t="shared" ca="1" si="24"/>
        <v/>
      </c>
      <c r="V658" s="9" t="str">
        <f t="shared" ca="1" si="25"/>
        <v/>
      </c>
      <c r="AC658" s="9" t="s">
        <v>12130</v>
      </c>
      <c r="AD658" s="9" t="s">
        <v>19</v>
      </c>
    </row>
    <row r="659" spans="1:33">
      <c r="A659" s="3" t="s">
        <v>922</v>
      </c>
      <c r="D659" s="3" t="s">
        <v>129</v>
      </c>
      <c r="E659" s="3" t="s">
        <v>130</v>
      </c>
      <c r="J659" s="9" t="s">
        <v>12120</v>
      </c>
      <c r="Q659" s="10"/>
      <c r="U659" s="9" t="str">
        <f t="shared" ca="1" si="24"/>
        <v/>
      </c>
      <c r="V659" s="9" t="str">
        <f t="shared" ca="1" si="25"/>
        <v/>
      </c>
      <c r="AC659" s="9" t="s">
        <v>12130</v>
      </c>
      <c r="AD659" s="9" t="s">
        <v>19</v>
      </c>
    </row>
    <row r="660" spans="1:33">
      <c r="A660" s="3" t="s">
        <v>923</v>
      </c>
      <c r="D660" s="3" t="s">
        <v>5515</v>
      </c>
      <c r="E660" s="3" t="s">
        <v>5516</v>
      </c>
      <c r="J660" s="9" t="s">
        <v>12120</v>
      </c>
      <c r="Q660" s="10"/>
      <c r="U660" s="9" t="str">
        <f t="shared" ca="1" si="24"/>
        <v/>
      </c>
      <c r="V660" s="9" t="str">
        <f t="shared" ca="1" si="25"/>
        <v/>
      </c>
      <c r="AB660" s="9" t="s">
        <v>12082</v>
      </c>
      <c r="AD660" s="9" t="s">
        <v>19</v>
      </c>
    </row>
    <row r="661" spans="1:33">
      <c r="A661" s="3" t="s">
        <v>923</v>
      </c>
      <c r="D661" s="3" t="s">
        <v>925</v>
      </c>
      <c r="E661" s="3" t="s">
        <v>926</v>
      </c>
      <c r="J661" s="9" t="s">
        <v>12118</v>
      </c>
      <c r="Q661" s="10"/>
      <c r="T661" s="9" t="s">
        <v>12131</v>
      </c>
      <c r="U661" s="9" t="str">
        <f t="shared" ca="1" si="24"/>
        <v/>
      </c>
      <c r="V661" s="9" t="str">
        <f t="shared" ca="1" si="25"/>
        <v/>
      </c>
      <c r="AC661" s="9" t="s">
        <v>12130</v>
      </c>
      <c r="AD661" s="9" t="s">
        <v>19</v>
      </c>
      <c r="AE661" s="9" t="s">
        <v>12086</v>
      </c>
    </row>
    <row r="662" spans="1:33">
      <c r="A662" s="3" t="s">
        <v>923</v>
      </c>
      <c r="D662" s="3" t="s">
        <v>5517</v>
      </c>
      <c r="E662" s="3" t="s">
        <v>5518</v>
      </c>
      <c r="J662" s="9" t="s">
        <v>12120</v>
      </c>
      <c r="Q662" s="10"/>
      <c r="U662" s="9" t="str">
        <f t="shared" ca="1" si="24"/>
        <v/>
      </c>
      <c r="V662" s="9" t="str">
        <f t="shared" ca="1" si="25"/>
        <v/>
      </c>
      <c r="AC662" s="9" t="s">
        <v>12153</v>
      </c>
      <c r="AD662" s="9" t="s">
        <v>19</v>
      </c>
    </row>
    <row r="663" spans="1:33">
      <c r="A663" s="3" t="s">
        <v>927</v>
      </c>
      <c r="D663" s="3" t="s">
        <v>322</v>
      </c>
      <c r="E663" s="3" t="s">
        <v>323</v>
      </c>
      <c r="J663" s="9" t="s">
        <v>12118</v>
      </c>
      <c r="Q663" s="10"/>
      <c r="T663" s="9" t="s">
        <v>12131</v>
      </c>
      <c r="U663" s="9" t="str">
        <f t="shared" ca="1" si="24"/>
        <v/>
      </c>
      <c r="V663" s="9" t="str">
        <f t="shared" ca="1" si="25"/>
        <v/>
      </c>
      <c r="AB663" s="9" t="s">
        <v>12124</v>
      </c>
      <c r="AD663" s="9" t="s">
        <v>19</v>
      </c>
    </row>
    <row r="664" spans="1:33">
      <c r="A664" s="3" t="s">
        <v>928</v>
      </c>
      <c r="D664" s="3" t="s">
        <v>747</v>
      </c>
      <c r="E664" s="3" t="s">
        <v>748</v>
      </c>
      <c r="J664" s="9" t="s">
        <v>12118</v>
      </c>
      <c r="Q664" s="10"/>
      <c r="T664" s="9" t="s">
        <v>12131</v>
      </c>
      <c r="U664" s="9" t="str">
        <f t="shared" ca="1" si="24"/>
        <v/>
      </c>
      <c r="V664" s="9" t="str">
        <f t="shared" ca="1" si="25"/>
        <v/>
      </c>
      <c r="AC664" s="9" t="s">
        <v>12130</v>
      </c>
      <c r="AD664" s="9" t="s">
        <v>19</v>
      </c>
      <c r="AE664" s="9" t="s">
        <v>12086</v>
      </c>
    </row>
    <row r="665" spans="1:33" ht="29">
      <c r="A665" s="3" t="s">
        <v>928</v>
      </c>
      <c r="D665" s="3" t="s">
        <v>5519</v>
      </c>
      <c r="E665" s="3" t="s">
        <v>5522</v>
      </c>
      <c r="G665" t="s">
        <v>19</v>
      </c>
      <c r="J665" s="9" t="s">
        <v>12118</v>
      </c>
      <c r="Q665" s="10"/>
      <c r="T665" s="9" t="s">
        <v>12131</v>
      </c>
      <c r="U665" s="9" t="str">
        <f t="shared" ca="1" si="24"/>
        <v/>
      </c>
      <c r="V665" s="9" t="str">
        <f t="shared" ca="1" si="25"/>
        <v/>
      </c>
      <c r="AE665" s="9" t="s">
        <v>12086</v>
      </c>
    </row>
    <row r="666" spans="1:33" ht="29">
      <c r="A666" s="3" t="s">
        <v>928</v>
      </c>
      <c r="D666" s="3" t="s">
        <v>5520</v>
      </c>
      <c r="E666" s="3" t="s">
        <v>5521</v>
      </c>
      <c r="J666" s="9" t="s">
        <v>12118</v>
      </c>
      <c r="Q666" s="10"/>
      <c r="T666" s="9" t="s">
        <v>12131</v>
      </c>
      <c r="U666" s="9" t="str">
        <f t="shared" ca="1" si="24"/>
        <v/>
      </c>
      <c r="V666" s="9" t="str">
        <f t="shared" ca="1" si="25"/>
        <v/>
      </c>
      <c r="AC666" s="9" t="s">
        <v>12130</v>
      </c>
      <c r="AD666" s="9" t="s">
        <v>19</v>
      </c>
      <c r="AE666" s="9" t="s">
        <v>12086</v>
      </c>
    </row>
    <row r="667" spans="1:33" ht="29">
      <c r="A667" s="3" t="s">
        <v>928</v>
      </c>
      <c r="D667" s="3" t="s">
        <v>5524</v>
      </c>
      <c r="E667" s="3" t="s">
        <v>5523</v>
      </c>
      <c r="J667" s="9" t="s">
        <v>12118</v>
      </c>
      <c r="Q667" s="10"/>
      <c r="T667" s="9" t="s">
        <v>12131</v>
      </c>
      <c r="U667" s="9" t="str">
        <f t="shared" ca="1" si="24"/>
        <v/>
      </c>
      <c r="V667" s="9" t="str">
        <f t="shared" ca="1" si="25"/>
        <v/>
      </c>
      <c r="AB667" s="9" t="s">
        <v>12124</v>
      </c>
      <c r="AD667" s="9" t="s">
        <v>19</v>
      </c>
    </row>
    <row r="668" spans="1:33" ht="29">
      <c r="A668" s="3" t="s">
        <v>928</v>
      </c>
      <c r="D668" s="3" t="s">
        <v>5526</v>
      </c>
      <c r="E668" s="3" t="s">
        <v>5525</v>
      </c>
      <c r="I668" t="s">
        <v>12651</v>
      </c>
      <c r="J668" s="9" t="s">
        <v>26</v>
      </c>
      <c r="Q668" s="10"/>
      <c r="U668" s="9" t="str">
        <f t="shared" ca="1" si="24"/>
        <v/>
      </c>
      <c r="V668" s="9" t="str">
        <f t="shared" ca="1" si="25"/>
        <v/>
      </c>
      <c r="W668" s="9" t="s">
        <v>12117</v>
      </c>
      <c r="AG668" s="9" t="s">
        <v>20</v>
      </c>
    </row>
    <row r="669" spans="1:33" ht="29">
      <c r="A669" s="3" t="s">
        <v>929</v>
      </c>
      <c r="D669" s="3" t="s">
        <v>5528</v>
      </c>
      <c r="E669" s="3" t="s">
        <v>5527</v>
      </c>
      <c r="J669" s="9" t="s">
        <v>25</v>
      </c>
      <c r="L669" s="9">
        <v>1</v>
      </c>
      <c r="M669" s="9">
        <v>2</v>
      </c>
      <c r="N669" s="9" t="s">
        <v>12078</v>
      </c>
      <c r="O669" s="9" t="s">
        <v>12119</v>
      </c>
      <c r="Q669" s="10"/>
      <c r="S669" s="9">
        <v>11843</v>
      </c>
      <c r="U669" s="9" t="str">
        <f t="shared" ca="1" si="24"/>
        <v/>
      </c>
      <c r="V669" s="9" t="str">
        <f t="shared" ca="1" si="25"/>
        <v/>
      </c>
      <c r="AG669" s="9" t="s">
        <v>20</v>
      </c>
    </row>
    <row r="670" spans="1:33" ht="29">
      <c r="A670" s="3" t="s">
        <v>929</v>
      </c>
      <c r="D670" s="3" t="s">
        <v>5529</v>
      </c>
      <c r="E670" s="3" t="s">
        <v>5530</v>
      </c>
      <c r="I670" t="s">
        <v>12190</v>
      </c>
      <c r="J670" s="9" t="s">
        <v>26</v>
      </c>
      <c r="Q670" s="10"/>
      <c r="U670" s="9" t="str">
        <f t="shared" ca="1" si="24"/>
        <v/>
      </c>
      <c r="V670" s="9" t="str">
        <f t="shared" ca="1" si="25"/>
        <v/>
      </c>
      <c r="AG670" s="9" t="s">
        <v>20</v>
      </c>
    </row>
    <row r="671" spans="1:33">
      <c r="A671" s="3" t="s">
        <v>930</v>
      </c>
      <c r="D671" s="6" t="s">
        <v>5531</v>
      </c>
      <c r="E671" s="3" t="s">
        <v>5532</v>
      </c>
      <c r="F671" t="s">
        <v>4774</v>
      </c>
      <c r="G671" t="s">
        <v>19</v>
      </c>
      <c r="I671" t="s">
        <v>13095</v>
      </c>
      <c r="Q671" s="10"/>
      <c r="U671" s="9" t="str">
        <f t="shared" ca="1" si="24"/>
        <v/>
      </c>
      <c r="V671" s="9" t="str">
        <f t="shared" ca="1" si="25"/>
        <v/>
      </c>
    </row>
    <row r="672" spans="1:33">
      <c r="A672" s="3" t="s">
        <v>930</v>
      </c>
      <c r="D672" s="3" t="s">
        <v>5533</v>
      </c>
      <c r="E672" s="3" t="s">
        <v>5534</v>
      </c>
      <c r="J672" s="9" t="s">
        <v>12118</v>
      </c>
      <c r="Q672" s="10"/>
      <c r="T672" s="9">
        <f>73-2</f>
        <v>71</v>
      </c>
      <c r="U672" s="9">
        <f t="shared" ca="1" si="24"/>
        <v>2</v>
      </c>
      <c r="V672" s="9">
        <f t="shared" ca="1" si="25"/>
        <v>73</v>
      </c>
      <c r="AG672" s="9" t="s">
        <v>19</v>
      </c>
    </row>
    <row r="673" spans="1:33">
      <c r="A673" s="3" t="s">
        <v>931</v>
      </c>
      <c r="D673" s="6" t="s">
        <v>932</v>
      </c>
      <c r="E673" s="11" t="s">
        <v>5535</v>
      </c>
      <c r="F673" t="s">
        <v>4774</v>
      </c>
      <c r="G673" t="s">
        <v>19</v>
      </c>
      <c r="I673" t="s">
        <v>13096</v>
      </c>
      <c r="J673" s="9" t="s">
        <v>12118</v>
      </c>
      <c r="Q673" s="10"/>
      <c r="T673" s="9" t="s">
        <v>12131</v>
      </c>
      <c r="U673" s="9" t="str">
        <f t="shared" ca="1" si="24"/>
        <v/>
      </c>
      <c r="V673" s="9" t="str">
        <f t="shared" ca="1" si="25"/>
        <v/>
      </c>
      <c r="AB673" s="9" t="s">
        <v>12124</v>
      </c>
      <c r="AC673" s="9" t="s">
        <v>12153</v>
      </c>
      <c r="AD673" s="9" t="s">
        <v>19</v>
      </c>
    </row>
    <row r="674" spans="1:33">
      <c r="A674" s="3" t="s">
        <v>933</v>
      </c>
      <c r="D674" s="3" t="s">
        <v>5536</v>
      </c>
      <c r="E674" s="3" t="s">
        <v>5537</v>
      </c>
      <c r="G674" t="s">
        <v>19</v>
      </c>
      <c r="J674" s="9" t="s">
        <v>12120</v>
      </c>
      <c r="Q674" s="10"/>
      <c r="U674" s="9" t="str">
        <f t="shared" ca="1" si="24"/>
        <v/>
      </c>
      <c r="V674" s="9" t="str">
        <f t="shared" ca="1" si="25"/>
        <v/>
      </c>
      <c r="AB674" s="9" t="s">
        <v>12738</v>
      </c>
      <c r="AD674" s="9" t="s">
        <v>19</v>
      </c>
    </row>
    <row r="675" spans="1:33">
      <c r="A675" s="3" t="s">
        <v>934</v>
      </c>
      <c r="D675" s="3" t="s">
        <v>130</v>
      </c>
      <c r="E675" s="3" t="s">
        <v>129</v>
      </c>
      <c r="J675" s="9" t="s">
        <v>12120</v>
      </c>
      <c r="Q675" s="10"/>
      <c r="U675" s="9" t="str">
        <f t="shared" ca="1" si="24"/>
        <v/>
      </c>
      <c r="V675" s="9" t="str">
        <f t="shared" ca="1" si="25"/>
        <v/>
      </c>
      <c r="AC675" s="9" t="s">
        <v>12130</v>
      </c>
      <c r="AD675" s="9" t="s">
        <v>19</v>
      </c>
    </row>
    <row r="676" spans="1:33">
      <c r="A676" s="3" t="s">
        <v>934</v>
      </c>
      <c r="D676" s="3" t="s">
        <v>12859</v>
      </c>
      <c r="E676" s="3" t="s">
        <v>12860</v>
      </c>
      <c r="G676" t="s">
        <v>19</v>
      </c>
      <c r="I676" t="s">
        <v>5457</v>
      </c>
      <c r="J676" s="9" t="s">
        <v>26</v>
      </c>
      <c r="Q676" s="10"/>
      <c r="U676" s="9" t="str">
        <f t="shared" ca="1" si="24"/>
        <v/>
      </c>
      <c r="V676" s="9" t="str">
        <f t="shared" ca="1" si="25"/>
        <v/>
      </c>
    </row>
    <row r="677" spans="1:33">
      <c r="A677" s="3" t="s">
        <v>935</v>
      </c>
      <c r="D677" s="3" t="s">
        <v>936</v>
      </c>
      <c r="E677" s="5" t="s">
        <v>937</v>
      </c>
      <c r="F677" t="s">
        <v>16</v>
      </c>
      <c r="Q677" s="10"/>
      <c r="U677" s="9" t="str">
        <f t="shared" ca="1" si="24"/>
        <v/>
      </c>
      <c r="V677" s="9" t="str">
        <f t="shared" ca="1" si="25"/>
        <v/>
      </c>
    </row>
    <row r="678" spans="1:33">
      <c r="A678" s="3" t="s">
        <v>935</v>
      </c>
      <c r="D678" s="3" t="s">
        <v>938</v>
      </c>
      <c r="E678" s="3" t="s">
        <v>939</v>
      </c>
      <c r="J678" s="9" t="s">
        <v>12120</v>
      </c>
      <c r="Q678" s="10"/>
      <c r="U678" s="9" t="str">
        <f t="shared" ca="1" si="24"/>
        <v/>
      </c>
      <c r="V678" s="9" t="str">
        <f t="shared" ca="1" si="25"/>
        <v/>
      </c>
      <c r="AE678" s="9" t="s">
        <v>12083</v>
      </c>
    </row>
    <row r="679" spans="1:33">
      <c r="A679" s="3" t="s">
        <v>940</v>
      </c>
      <c r="D679" s="3" t="s">
        <v>5538</v>
      </c>
      <c r="E679" s="3" t="s">
        <v>5539</v>
      </c>
      <c r="J679" s="9" t="s">
        <v>25</v>
      </c>
      <c r="L679" s="9">
        <v>1</v>
      </c>
      <c r="M679" s="9">
        <v>3</v>
      </c>
      <c r="N679" s="9" t="s">
        <v>12087</v>
      </c>
      <c r="O679" s="9" t="s">
        <v>12079</v>
      </c>
      <c r="Q679" s="10"/>
      <c r="S679" s="9">
        <v>5676</v>
      </c>
      <c r="U679" s="9" t="str">
        <f t="shared" ca="1" si="24"/>
        <v/>
      </c>
      <c r="V679" s="9" t="str">
        <f t="shared" ca="1" si="25"/>
        <v/>
      </c>
      <c r="AG679" s="9" t="s">
        <v>19</v>
      </c>
    </row>
    <row r="680" spans="1:33" ht="29">
      <c r="A680" s="3" t="s">
        <v>940</v>
      </c>
      <c r="D680" s="3" t="s">
        <v>13097</v>
      </c>
      <c r="E680" s="3" t="s">
        <v>5541</v>
      </c>
      <c r="J680" s="9" t="s">
        <v>25</v>
      </c>
      <c r="L680" s="9">
        <v>1</v>
      </c>
      <c r="M680" s="9">
        <v>2</v>
      </c>
      <c r="N680" s="9" t="s">
        <v>12096</v>
      </c>
      <c r="O680" s="9" t="s">
        <v>12119</v>
      </c>
      <c r="Q680" s="10"/>
      <c r="S680" s="9">
        <v>560</v>
      </c>
      <c r="U680" s="9" t="str">
        <f t="shared" ca="1" si="24"/>
        <v/>
      </c>
      <c r="V680" s="9" t="str">
        <f t="shared" ca="1" si="25"/>
        <v/>
      </c>
      <c r="AG680" s="9" t="s">
        <v>20</v>
      </c>
    </row>
    <row r="681" spans="1:33" ht="29">
      <c r="A681" s="3" t="s">
        <v>940</v>
      </c>
      <c r="D681" s="3" t="s">
        <v>13098</v>
      </c>
      <c r="E681" s="3" t="s">
        <v>13099</v>
      </c>
      <c r="F681" t="s">
        <v>12761</v>
      </c>
      <c r="J681" s="9" t="s">
        <v>25</v>
      </c>
      <c r="L681" s="9">
        <v>1</v>
      </c>
      <c r="M681" s="9">
        <v>2</v>
      </c>
      <c r="N681" s="9" t="s">
        <v>12096</v>
      </c>
      <c r="O681" s="9" t="s">
        <v>12119</v>
      </c>
      <c r="Q681" s="10"/>
      <c r="S681" s="9">
        <v>560</v>
      </c>
      <c r="U681" s="9" t="str">
        <f t="shared" ref="U681" ca="1" si="26">IF(ISNUMBER(T681),VALUE(MID(_xlfn.FORMULATEXT(T681),SEARCH("-",_xlfn.FORMULATEXT(T681))+1,LEN(_xlfn.FORMULATEXT(T681))-SEARCH("-",_xlfn.FORMULATEXT(T681)))), "")</f>
        <v/>
      </c>
      <c r="V681" s="9" t="str">
        <f t="shared" ref="V681" ca="1" si="27">IF(ISNUMBER(T681), VALUE(MID(_xlfn.FORMULATEXT(T681), 2, SEARCH("-", _xlfn.FORMULATEXT(T681)) - 2)), "")</f>
        <v/>
      </c>
    </row>
    <row r="682" spans="1:33">
      <c r="A682" s="3" t="s">
        <v>941</v>
      </c>
      <c r="D682" s="3" t="s">
        <v>942</v>
      </c>
      <c r="E682" s="3" t="s">
        <v>943</v>
      </c>
      <c r="J682" s="9" t="s">
        <v>12120</v>
      </c>
      <c r="Q682" s="10"/>
      <c r="U682" s="9" t="str">
        <f t="shared" ca="1" si="24"/>
        <v/>
      </c>
      <c r="V682" s="9" t="str">
        <f t="shared" ca="1" si="25"/>
        <v/>
      </c>
      <c r="AE682" s="9" t="s">
        <v>12086</v>
      </c>
    </row>
    <row r="683" spans="1:33" ht="29">
      <c r="A683" s="3" t="s">
        <v>941</v>
      </c>
      <c r="D683" s="3" t="s">
        <v>5542</v>
      </c>
      <c r="E683" s="3" t="s">
        <v>5543</v>
      </c>
      <c r="G683" t="s">
        <v>21</v>
      </c>
      <c r="I683" t="s">
        <v>5546</v>
      </c>
      <c r="J683" s="9" t="s">
        <v>12120</v>
      </c>
      <c r="Q683" s="10"/>
      <c r="U683" s="9" t="str">
        <f t="shared" ca="1" si="24"/>
        <v/>
      </c>
      <c r="V683" s="9" t="str">
        <f t="shared" ca="1" si="25"/>
        <v/>
      </c>
      <c r="AC683" s="9" t="s">
        <v>12751</v>
      </c>
      <c r="AD683" s="9" t="s">
        <v>19</v>
      </c>
    </row>
    <row r="684" spans="1:33" ht="29">
      <c r="A684" s="3" t="s">
        <v>941</v>
      </c>
      <c r="D684" s="3" t="s">
        <v>5544</v>
      </c>
      <c r="E684" s="3" t="s">
        <v>5545</v>
      </c>
      <c r="J684" s="9" t="s">
        <v>12118</v>
      </c>
      <c r="Q684" s="10"/>
      <c r="T684" s="9" t="s">
        <v>12131</v>
      </c>
      <c r="U684" s="9" t="str">
        <f t="shared" ca="1" si="24"/>
        <v/>
      </c>
      <c r="V684" s="9" t="str">
        <f t="shared" ca="1" si="25"/>
        <v/>
      </c>
      <c r="AB684" s="9" t="s">
        <v>12124</v>
      </c>
      <c r="AD684" s="9" t="s">
        <v>19</v>
      </c>
    </row>
    <row r="685" spans="1:33">
      <c r="A685" s="3" t="s">
        <v>944</v>
      </c>
      <c r="D685" s="3" t="s">
        <v>161</v>
      </c>
      <c r="E685" s="3" t="s">
        <v>162</v>
      </c>
      <c r="J685" s="9" t="s">
        <v>12118</v>
      </c>
      <c r="Q685" s="10"/>
      <c r="T685" s="9" t="s">
        <v>12131</v>
      </c>
      <c r="U685" s="9" t="str">
        <f t="shared" ca="1" si="24"/>
        <v/>
      </c>
      <c r="V685" s="9" t="str">
        <f t="shared" ca="1" si="25"/>
        <v/>
      </c>
      <c r="AB685" s="9" t="s">
        <v>12124</v>
      </c>
      <c r="AC685" s="9" t="s">
        <v>12742</v>
      </c>
      <c r="AD685" s="9" t="s">
        <v>19</v>
      </c>
    </row>
    <row r="686" spans="1:33">
      <c r="A686" s="3" t="s">
        <v>945</v>
      </c>
      <c r="D686" s="3" t="s">
        <v>5547</v>
      </c>
      <c r="E686" s="3" t="s">
        <v>5548</v>
      </c>
      <c r="J686" s="9" t="s">
        <v>12120</v>
      </c>
      <c r="Q686" s="10"/>
      <c r="U686" s="9" t="str">
        <f t="shared" ca="1" si="24"/>
        <v/>
      </c>
      <c r="V686" s="9" t="str">
        <f t="shared" ca="1" si="25"/>
        <v/>
      </c>
      <c r="AB686" s="9" t="s">
        <v>12082</v>
      </c>
      <c r="AD686" s="9" t="s">
        <v>19</v>
      </c>
    </row>
    <row r="687" spans="1:33">
      <c r="A687" s="3" t="s">
        <v>947</v>
      </c>
      <c r="D687" s="3" t="s">
        <v>5549</v>
      </c>
      <c r="E687" s="3" t="s">
        <v>5550</v>
      </c>
      <c r="G687" t="s">
        <v>19</v>
      </c>
      <c r="J687" s="9" t="s">
        <v>24</v>
      </c>
      <c r="L687" s="9">
        <v>1</v>
      </c>
      <c r="M687" s="9">
        <v>1</v>
      </c>
      <c r="N687" s="9" t="s">
        <v>12078</v>
      </c>
      <c r="O687" s="9" t="s">
        <v>12119</v>
      </c>
      <c r="Q687" s="10"/>
      <c r="R687" s="9" t="s">
        <v>12074</v>
      </c>
      <c r="S687" s="9">
        <v>11843</v>
      </c>
      <c r="U687" s="9" t="str">
        <f t="shared" ca="1" si="24"/>
        <v/>
      </c>
      <c r="V687" s="9" t="str">
        <f t="shared" ca="1" si="25"/>
        <v/>
      </c>
    </row>
    <row r="688" spans="1:33">
      <c r="A688" s="3" t="s">
        <v>948</v>
      </c>
      <c r="D688" s="3" t="s">
        <v>5551</v>
      </c>
      <c r="E688" s="3" t="s">
        <v>5552</v>
      </c>
      <c r="J688" s="9" t="s">
        <v>12120</v>
      </c>
      <c r="Q688" s="10"/>
      <c r="U688" s="9" t="str">
        <f t="shared" ca="1" si="24"/>
        <v/>
      </c>
      <c r="V688" s="9" t="str">
        <f t="shared" ca="1" si="25"/>
        <v/>
      </c>
      <c r="AC688" s="9" t="s">
        <v>12130</v>
      </c>
      <c r="AD688" s="9" t="s">
        <v>19</v>
      </c>
    </row>
    <row r="689" spans="1:33" ht="43.5">
      <c r="A689" s="3" t="s">
        <v>948</v>
      </c>
      <c r="D689" s="3" t="s">
        <v>5553</v>
      </c>
      <c r="E689" s="3" t="s">
        <v>5554</v>
      </c>
      <c r="J689" s="9" t="s">
        <v>25</v>
      </c>
      <c r="L689" s="9">
        <v>3</v>
      </c>
      <c r="M689" s="9">
        <v>15</v>
      </c>
      <c r="O689" s="9" t="s">
        <v>12073</v>
      </c>
      <c r="P689" s="9" t="s">
        <v>12140</v>
      </c>
      <c r="Q689" s="10" t="s">
        <v>12137</v>
      </c>
      <c r="S689" s="9">
        <v>62</v>
      </c>
      <c r="U689" s="9" t="str">
        <f t="shared" ca="1" si="24"/>
        <v/>
      </c>
      <c r="V689" s="9" t="str">
        <f t="shared" ca="1" si="25"/>
        <v/>
      </c>
      <c r="AG689" s="9" t="s">
        <v>20</v>
      </c>
    </row>
    <row r="690" spans="1:33" ht="29">
      <c r="A690" s="3" t="s">
        <v>948</v>
      </c>
      <c r="D690" s="3" t="s">
        <v>5555</v>
      </c>
      <c r="E690" s="3" t="s">
        <v>5558</v>
      </c>
      <c r="G690" t="s">
        <v>21</v>
      </c>
      <c r="I690" t="s">
        <v>5546</v>
      </c>
      <c r="J690" s="9" t="s">
        <v>12120</v>
      </c>
      <c r="Q690" s="10"/>
      <c r="U690" s="9" t="str">
        <f t="shared" ca="1" si="24"/>
        <v/>
      </c>
      <c r="V690" s="9" t="str">
        <f t="shared" ca="1" si="25"/>
        <v/>
      </c>
      <c r="AC690" s="9" t="s">
        <v>12751</v>
      </c>
      <c r="AD690" s="9" t="s">
        <v>19</v>
      </c>
    </row>
    <row r="691" spans="1:33" ht="29">
      <c r="A691" s="3" t="s">
        <v>948</v>
      </c>
      <c r="D691" s="3" t="s">
        <v>5556</v>
      </c>
      <c r="E691" s="3" t="s">
        <v>5557</v>
      </c>
      <c r="J691" s="9" t="s">
        <v>12118</v>
      </c>
      <c r="Q691" s="10"/>
      <c r="T691" s="9" t="s">
        <v>12131</v>
      </c>
      <c r="U691" s="9" t="str">
        <f t="shared" ca="1" si="24"/>
        <v/>
      </c>
      <c r="V691" s="9" t="str">
        <f t="shared" ca="1" si="25"/>
        <v/>
      </c>
      <c r="AB691" s="9" t="s">
        <v>12124</v>
      </c>
      <c r="AD691" s="9" t="s">
        <v>19</v>
      </c>
    </row>
    <row r="692" spans="1:33">
      <c r="A692" s="3" t="s">
        <v>949</v>
      </c>
      <c r="D692" s="3" t="s">
        <v>5559</v>
      </c>
      <c r="E692" s="3" t="s">
        <v>5560</v>
      </c>
      <c r="G692" t="s">
        <v>19</v>
      </c>
      <c r="J692" s="9" t="s">
        <v>12120</v>
      </c>
      <c r="Q692" s="10"/>
      <c r="U692" s="9" t="str">
        <f t="shared" ca="1" si="24"/>
        <v/>
      </c>
      <c r="V692" s="9" t="str">
        <f t="shared" ca="1" si="25"/>
        <v/>
      </c>
      <c r="AE692" s="9" t="s">
        <v>12089</v>
      </c>
    </row>
    <row r="693" spans="1:33" ht="29">
      <c r="A693" s="3" t="s">
        <v>949</v>
      </c>
      <c r="D693" s="3" t="s">
        <v>5561</v>
      </c>
      <c r="E693" s="3" t="s">
        <v>5562</v>
      </c>
      <c r="J693" s="9" t="s">
        <v>24</v>
      </c>
      <c r="L693" s="9">
        <v>1</v>
      </c>
      <c r="M693" s="9">
        <v>3</v>
      </c>
      <c r="N693" s="9" t="s">
        <v>12087</v>
      </c>
      <c r="O693" s="9" t="s">
        <v>12079</v>
      </c>
      <c r="Q693" s="10"/>
      <c r="S693" s="9">
        <v>810</v>
      </c>
      <c r="U693" s="9" t="str">
        <f t="shared" ca="1" si="24"/>
        <v/>
      </c>
      <c r="V693" s="9" t="str">
        <f t="shared" ca="1" si="25"/>
        <v/>
      </c>
      <c r="AG693" s="9" t="s">
        <v>19</v>
      </c>
    </row>
    <row r="694" spans="1:33" ht="29">
      <c r="A694" s="3" t="s">
        <v>949</v>
      </c>
      <c r="D694" s="3" t="s">
        <v>5561</v>
      </c>
      <c r="E694" s="3" t="s">
        <v>5563</v>
      </c>
      <c r="J694" s="9" t="s">
        <v>24</v>
      </c>
      <c r="L694" s="9">
        <v>1</v>
      </c>
      <c r="M694" s="9">
        <v>3</v>
      </c>
      <c r="N694" s="9" t="s">
        <v>12078</v>
      </c>
      <c r="O694" s="9" t="s">
        <v>12079</v>
      </c>
      <c r="Q694" s="10"/>
      <c r="S694" s="9">
        <v>11843</v>
      </c>
      <c r="U694" s="9" t="str">
        <f t="shared" ca="1" si="24"/>
        <v/>
      </c>
      <c r="V694" s="9" t="str">
        <f t="shared" ca="1" si="25"/>
        <v/>
      </c>
      <c r="AG694" s="9" t="s">
        <v>20</v>
      </c>
    </row>
    <row r="695" spans="1:33">
      <c r="A695" s="3" t="s">
        <v>949</v>
      </c>
      <c r="D695" s="3" t="s">
        <v>950</v>
      </c>
      <c r="E695" s="3" t="s">
        <v>951</v>
      </c>
      <c r="J695" s="9" t="s">
        <v>12120</v>
      </c>
      <c r="Q695" s="10"/>
      <c r="U695" s="9" t="str">
        <f t="shared" ca="1" si="24"/>
        <v/>
      </c>
      <c r="V695" s="9" t="str">
        <f t="shared" ca="1" si="25"/>
        <v/>
      </c>
      <c r="AC695" s="9" t="s">
        <v>12130</v>
      </c>
      <c r="AD695" s="9" t="s">
        <v>20</v>
      </c>
      <c r="AE695" s="9" t="s">
        <v>12086</v>
      </c>
    </row>
    <row r="696" spans="1:33">
      <c r="A696" s="3" t="s">
        <v>952</v>
      </c>
      <c r="D696" s="3" t="s">
        <v>953</v>
      </c>
      <c r="E696" s="3" t="s">
        <v>954</v>
      </c>
      <c r="J696" s="9" t="s">
        <v>12120</v>
      </c>
      <c r="Q696" s="10"/>
      <c r="U696" s="9" t="str">
        <f t="shared" ca="1" si="24"/>
        <v/>
      </c>
      <c r="V696" s="9" t="str">
        <f t="shared" ca="1" si="25"/>
        <v/>
      </c>
      <c r="AC696" s="9" t="s">
        <v>12130</v>
      </c>
      <c r="AD696" s="9" t="s">
        <v>19</v>
      </c>
    </row>
    <row r="697" spans="1:33">
      <c r="A697" s="3" t="s">
        <v>955</v>
      </c>
      <c r="D697" s="3" t="s">
        <v>5564</v>
      </c>
      <c r="E697" s="3" t="s">
        <v>5565</v>
      </c>
      <c r="J697" s="9" t="s">
        <v>12118</v>
      </c>
      <c r="Q697" s="10"/>
      <c r="T697" s="9">
        <f>1741-780</f>
        <v>961</v>
      </c>
      <c r="U697" s="9">
        <f t="shared" ca="1" si="24"/>
        <v>780</v>
      </c>
      <c r="V697" s="9">
        <f t="shared" ca="1" si="25"/>
        <v>1741</v>
      </c>
      <c r="AE697" s="9" t="s">
        <v>12089</v>
      </c>
      <c r="AF697" s="9" t="s">
        <v>19</v>
      </c>
    </row>
    <row r="698" spans="1:33">
      <c r="A698" s="3" t="s">
        <v>955</v>
      </c>
      <c r="D698" s="3" t="s">
        <v>956</v>
      </c>
      <c r="E698" s="3" t="s">
        <v>957</v>
      </c>
      <c r="J698" s="9" t="s">
        <v>12120</v>
      </c>
      <c r="Q698" s="10"/>
      <c r="U698" s="9" t="str">
        <f t="shared" ca="1" si="24"/>
        <v/>
      </c>
      <c r="V698" s="9" t="str">
        <f t="shared" ca="1" si="25"/>
        <v/>
      </c>
      <c r="AE698" s="9" t="s">
        <v>12077</v>
      </c>
    </row>
    <row r="699" spans="1:33">
      <c r="A699" s="3" t="s">
        <v>958</v>
      </c>
      <c r="D699" s="3" t="s">
        <v>5566</v>
      </c>
      <c r="E699" s="3" t="s">
        <v>5566</v>
      </c>
      <c r="G699" t="s">
        <v>20</v>
      </c>
      <c r="I699" t="s">
        <v>5567</v>
      </c>
      <c r="Q699" s="10"/>
      <c r="U699" s="9" t="str">
        <f t="shared" ca="1" si="24"/>
        <v/>
      </c>
      <c r="V699" s="9" t="str">
        <f t="shared" ca="1" si="25"/>
        <v/>
      </c>
    </row>
    <row r="700" spans="1:33">
      <c r="A700" s="3" t="s">
        <v>959</v>
      </c>
      <c r="D700" s="3" t="s">
        <v>960</v>
      </c>
      <c r="E700" s="3" t="s">
        <v>431</v>
      </c>
      <c r="J700" s="9" t="s">
        <v>12118</v>
      </c>
      <c r="Q700" s="10"/>
      <c r="T700" s="9" t="s">
        <v>12131</v>
      </c>
      <c r="U700" s="9" t="str">
        <f t="shared" ca="1" si="24"/>
        <v/>
      </c>
      <c r="V700" s="9" t="str">
        <f t="shared" ca="1" si="25"/>
        <v/>
      </c>
      <c r="AE700" s="9" t="s">
        <v>12086</v>
      </c>
    </row>
    <row r="701" spans="1:33">
      <c r="A701" s="3" t="s">
        <v>961</v>
      </c>
      <c r="D701" s="3" t="s">
        <v>5568</v>
      </c>
      <c r="E701" s="3" t="s">
        <v>5569</v>
      </c>
      <c r="J701" s="9" t="s">
        <v>24</v>
      </c>
      <c r="L701" s="9">
        <v>1</v>
      </c>
      <c r="M701" s="9">
        <v>2</v>
      </c>
      <c r="N701" s="9" t="s">
        <v>12123</v>
      </c>
      <c r="O701" s="9" t="s">
        <v>12119</v>
      </c>
      <c r="Q701" s="10"/>
      <c r="S701" s="9">
        <v>134</v>
      </c>
      <c r="U701" s="9" t="str">
        <f t="shared" ca="1" si="24"/>
        <v/>
      </c>
      <c r="V701" s="9" t="str">
        <f t="shared" ca="1" si="25"/>
        <v/>
      </c>
      <c r="AG701" s="9" t="s">
        <v>19</v>
      </c>
    </row>
    <row r="702" spans="1:33">
      <c r="A702" s="3" t="s">
        <v>961</v>
      </c>
      <c r="D702" s="6" t="s">
        <v>5570</v>
      </c>
      <c r="E702" s="3" t="s">
        <v>5571</v>
      </c>
      <c r="F702" t="s">
        <v>4774</v>
      </c>
      <c r="G702" t="s">
        <v>19</v>
      </c>
      <c r="I702" t="s">
        <v>5572</v>
      </c>
      <c r="J702" s="9" t="s">
        <v>12120</v>
      </c>
      <c r="Q702" s="10"/>
      <c r="U702" s="9" t="str">
        <f t="shared" ca="1" si="24"/>
        <v/>
      </c>
      <c r="V702" s="9" t="str">
        <f t="shared" ca="1" si="25"/>
        <v/>
      </c>
      <c r="AE702" s="9" t="s">
        <v>12086</v>
      </c>
      <c r="AF702" s="9" t="s">
        <v>19</v>
      </c>
    </row>
    <row r="703" spans="1:33">
      <c r="A703" s="3" t="s">
        <v>961</v>
      </c>
      <c r="D703" s="3" t="s">
        <v>962</v>
      </c>
      <c r="E703" s="3" t="s">
        <v>963</v>
      </c>
      <c r="J703" s="9" t="s">
        <v>12120</v>
      </c>
      <c r="Q703" s="10"/>
      <c r="U703" s="9" t="str">
        <f t="shared" ca="1" si="24"/>
        <v/>
      </c>
      <c r="V703" s="9" t="str">
        <f t="shared" ca="1" si="25"/>
        <v/>
      </c>
      <c r="AG703" s="9" t="s">
        <v>13141</v>
      </c>
    </row>
    <row r="704" spans="1:33">
      <c r="A704" s="3" t="s">
        <v>964</v>
      </c>
      <c r="D704" s="3" t="s">
        <v>430</v>
      </c>
      <c r="E704" s="3" t="s">
        <v>431</v>
      </c>
      <c r="J704" s="9" t="s">
        <v>12118</v>
      </c>
      <c r="Q704" s="10"/>
      <c r="T704" s="9" t="s">
        <v>12131</v>
      </c>
      <c r="U704" s="9" t="str">
        <f t="shared" ca="1" si="24"/>
        <v/>
      </c>
      <c r="V704" s="9" t="str">
        <f t="shared" ca="1" si="25"/>
        <v/>
      </c>
      <c r="AC704" s="9" t="s">
        <v>12130</v>
      </c>
      <c r="AD704" s="9" t="s">
        <v>19</v>
      </c>
      <c r="AE704" s="9" t="s">
        <v>12086</v>
      </c>
    </row>
    <row r="705" spans="1:33">
      <c r="A705" s="3" t="s">
        <v>964</v>
      </c>
      <c r="D705" s="3" t="s">
        <v>5573</v>
      </c>
      <c r="E705" s="3" t="s">
        <v>5574</v>
      </c>
      <c r="G705" t="s">
        <v>19</v>
      </c>
      <c r="J705" s="9" t="s">
        <v>24</v>
      </c>
      <c r="L705" s="9">
        <v>1</v>
      </c>
      <c r="M705" s="9">
        <v>2</v>
      </c>
      <c r="N705" s="9" t="s">
        <v>12094</v>
      </c>
      <c r="O705" s="9" t="s">
        <v>12119</v>
      </c>
      <c r="Q705" s="10"/>
      <c r="S705" s="9">
        <v>780</v>
      </c>
      <c r="U705" s="9" t="str">
        <f t="shared" ca="1" si="24"/>
        <v/>
      </c>
      <c r="V705" s="9" t="str">
        <f t="shared" ca="1" si="25"/>
        <v/>
      </c>
    </row>
    <row r="706" spans="1:33">
      <c r="A706" s="3" t="s">
        <v>964</v>
      </c>
      <c r="D706" s="3" t="s">
        <v>965</v>
      </c>
      <c r="E706" s="3" t="s">
        <v>966</v>
      </c>
      <c r="J706" s="9" t="s">
        <v>12118</v>
      </c>
      <c r="Q706" s="10"/>
      <c r="T706" s="9" t="s">
        <v>12131</v>
      </c>
      <c r="U706" s="9" t="str">
        <f t="shared" ca="1" si="24"/>
        <v/>
      </c>
      <c r="V706" s="9" t="str">
        <f t="shared" ca="1" si="25"/>
        <v/>
      </c>
      <c r="AC706" s="9" t="s">
        <v>12134</v>
      </c>
      <c r="AD706" s="9" t="s">
        <v>19</v>
      </c>
      <c r="AE706" s="9" t="s">
        <v>12077</v>
      </c>
    </row>
    <row r="707" spans="1:33" ht="29">
      <c r="A707" s="3" t="s">
        <v>967</v>
      </c>
      <c r="D707" s="3" t="s">
        <v>5575</v>
      </c>
      <c r="E707" s="3" t="s">
        <v>5576</v>
      </c>
      <c r="J707" s="9" t="s">
        <v>24</v>
      </c>
      <c r="L707" s="9">
        <v>1</v>
      </c>
      <c r="M707" s="9">
        <v>3</v>
      </c>
      <c r="N707" s="9" t="s">
        <v>12087</v>
      </c>
      <c r="O707" s="9" t="s">
        <v>12079</v>
      </c>
      <c r="Q707" s="10"/>
      <c r="S707" s="9">
        <v>356</v>
      </c>
      <c r="U707" s="9" t="str">
        <f t="shared" ca="1" si="24"/>
        <v/>
      </c>
      <c r="V707" s="9" t="str">
        <f t="shared" ca="1" si="25"/>
        <v/>
      </c>
      <c r="AG707" s="9" t="s">
        <v>19</v>
      </c>
    </row>
    <row r="708" spans="1:33">
      <c r="A708" s="3" t="s">
        <v>968</v>
      </c>
      <c r="D708" s="3" t="s">
        <v>969</v>
      </c>
      <c r="E708" s="3" t="s">
        <v>970</v>
      </c>
      <c r="J708" s="9" t="s">
        <v>12118</v>
      </c>
      <c r="Q708" s="10"/>
      <c r="T708" s="9" t="s">
        <v>12131</v>
      </c>
      <c r="U708" s="9" t="str">
        <f t="shared" ref="U708:U772" ca="1" si="28">IF(ISNUMBER(T708),VALUE(MID(_xlfn.FORMULATEXT(T708),SEARCH("-",_xlfn.FORMULATEXT(T708))+1,LEN(_xlfn.FORMULATEXT(T708))-SEARCH("-",_xlfn.FORMULATEXT(T708)))), "")</f>
        <v/>
      </c>
      <c r="V708" s="9" t="str">
        <f t="shared" ref="V708:V772" ca="1" si="29">IF(ISNUMBER(T708), VALUE(MID(_xlfn.FORMULATEXT(T708), 2, SEARCH("-", _xlfn.FORMULATEXT(T708)) - 2)), "")</f>
        <v/>
      </c>
      <c r="AC708" s="9" t="s">
        <v>12130</v>
      </c>
      <c r="AD708" s="9" t="s">
        <v>19</v>
      </c>
      <c r="AE708" s="9" t="s">
        <v>12086</v>
      </c>
    </row>
    <row r="709" spans="1:33">
      <c r="A709" s="3" t="s">
        <v>971</v>
      </c>
      <c r="D709" s="3" t="s">
        <v>130</v>
      </c>
      <c r="E709" s="3" t="s">
        <v>129</v>
      </c>
      <c r="J709" s="9" t="s">
        <v>12120</v>
      </c>
      <c r="Q709" s="10"/>
      <c r="U709" s="9" t="str">
        <f t="shared" ca="1" si="28"/>
        <v/>
      </c>
      <c r="V709" s="9" t="str">
        <f t="shared" ca="1" si="29"/>
        <v/>
      </c>
      <c r="AC709" s="9" t="s">
        <v>12130</v>
      </c>
      <c r="AD709" s="9" t="s">
        <v>19</v>
      </c>
    </row>
    <row r="710" spans="1:33">
      <c r="A710" s="3" t="s">
        <v>971</v>
      </c>
      <c r="D710" s="3" t="s">
        <v>5577</v>
      </c>
      <c r="E710" s="3" t="s">
        <v>5578</v>
      </c>
      <c r="J710" s="9" t="s">
        <v>12120</v>
      </c>
      <c r="Q710" s="10"/>
      <c r="U710" s="9" t="str">
        <f t="shared" ca="1" si="28"/>
        <v/>
      </c>
      <c r="V710" s="9" t="str">
        <f t="shared" ca="1" si="29"/>
        <v/>
      </c>
      <c r="AB710" s="9" t="s">
        <v>12082</v>
      </c>
      <c r="AD710" s="9" t="s">
        <v>19</v>
      </c>
    </row>
    <row r="711" spans="1:33" ht="29">
      <c r="A711" s="3" t="s">
        <v>971</v>
      </c>
      <c r="D711" s="3" t="s">
        <v>5580</v>
      </c>
      <c r="E711" s="3" t="s">
        <v>5581</v>
      </c>
      <c r="G711" t="s">
        <v>20</v>
      </c>
      <c r="I711" t="s">
        <v>5583</v>
      </c>
      <c r="J711" s="9" t="s">
        <v>12120</v>
      </c>
      <c r="Q711" s="10"/>
      <c r="U711" s="9" t="str">
        <f t="shared" ca="1" si="28"/>
        <v/>
      </c>
      <c r="V711" s="9" t="str">
        <f t="shared" ca="1" si="29"/>
        <v/>
      </c>
      <c r="AE711" s="9" t="s">
        <v>12083</v>
      </c>
    </row>
    <row r="712" spans="1:33" ht="29">
      <c r="A712" s="3" t="s">
        <v>971</v>
      </c>
      <c r="D712" s="3" t="s">
        <v>5579</v>
      </c>
      <c r="E712" s="3" t="s">
        <v>5582</v>
      </c>
      <c r="J712" s="9" t="s">
        <v>24</v>
      </c>
      <c r="L712" s="9">
        <v>1</v>
      </c>
      <c r="M712" s="9">
        <v>3</v>
      </c>
      <c r="N712" s="9" t="s">
        <v>12094</v>
      </c>
      <c r="O712" s="9" t="s">
        <v>12079</v>
      </c>
      <c r="Q712" s="10"/>
      <c r="S712" s="9">
        <v>1496</v>
      </c>
      <c r="U712" s="9" t="str">
        <f t="shared" ca="1" si="28"/>
        <v/>
      </c>
      <c r="V712" s="9" t="str">
        <f t="shared" ca="1" si="29"/>
        <v/>
      </c>
      <c r="AG712" s="9" t="s">
        <v>19</v>
      </c>
    </row>
    <row r="713" spans="1:33">
      <c r="A713" s="3" t="s">
        <v>972</v>
      </c>
      <c r="D713" s="3" t="s">
        <v>430</v>
      </c>
      <c r="E713" s="3" t="s">
        <v>431</v>
      </c>
      <c r="J713" s="9" t="s">
        <v>12118</v>
      </c>
      <c r="Q713" s="10"/>
      <c r="T713" s="9" t="s">
        <v>12131</v>
      </c>
      <c r="U713" s="9" t="str">
        <f t="shared" ca="1" si="28"/>
        <v/>
      </c>
      <c r="V713" s="9" t="str">
        <f t="shared" ca="1" si="29"/>
        <v/>
      </c>
      <c r="AC713" s="9" t="s">
        <v>12130</v>
      </c>
      <c r="AD713" s="9" t="s">
        <v>19</v>
      </c>
      <c r="AE713" s="9" t="s">
        <v>12086</v>
      </c>
    </row>
    <row r="714" spans="1:33" ht="29">
      <c r="A714" s="3" t="s">
        <v>972</v>
      </c>
      <c r="D714" s="3" t="s">
        <v>5584</v>
      </c>
      <c r="E714" s="3" t="s">
        <v>5585</v>
      </c>
      <c r="G714" t="s">
        <v>19</v>
      </c>
      <c r="J714" s="9" t="s">
        <v>12118</v>
      </c>
      <c r="Q714" s="10"/>
      <c r="R714" s="9" t="s">
        <v>12074</v>
      </c>
      <c r="T714" s="9" t="s">
        <v>12131</v>
      </c>
      <c r="U714" s="9" t="str">
        <f t="shared" ca="1" si="28"/>
        <v/>
      </c>
      <c r="V714" s="9" t="str">
        <f t="shared" ca="1" si="29"/>
        <v/>
      </c>
      <c r="AE714" s="9" t="s">
        <v>12086</v>
      </c>
    </row>
    <row r="715" spans="1:33" ht="29">
      <c r="A715" s="3" t="s">
        <v>973</v>
      </c>
      <c r="D715" s="3" t="s">
        <v>5586</v>
      </c>
      <c r="E715" s="3" t="s">
        <v>5587</v>
      </c>
      <c r="J715" s="9" t="s">
        <v>25</v>
      </c>
      <c r="L715" s="9">
        <v>1</v>
      </c>
      <c r="M715" s="9">
        <v>2</v>
      </c>
      <c r="N715" s="9" t="s">
        <v>12087</v>
      </c>
      <c r="O715" s="9" t="s">
        <v>12119</v>
      </c>
      <c r="Q715" s="10"/>
      <c r="S715" s="9">
        <v>1966</v>
      </c>
      <c r="U715" s="9" t="str">
        <f t="shared" ca="1" si="28"/>
        <v/>
      </c>
      <c r="V715" s="9" t="str">
        <f t="shared" ca="1" si="29"/>
        <v/>
      </c>
      <c r="AG715" s="9" t="s">
        <v>19</v>
      </c>
    </row>
    <row r="716" spans="1:33">
      <c r="A716" s="3" t="s">
        <v>973</v>
      </c>
      <c r="D716" s="3" t="s">
        <v>430</v>
      </c>
      <c r="E716" s="3" t="s">
        <v>431</v>
      </c>
      <c r="J716" s="9" t="s">
        <v>12118</v>
      </c>
      <c r="Q716" s="10"/>
      <c r="T716" s="9" t="s">
        <v>12131</v>
      </c>
      <c r="U716" s="9" t="str">
        <f t="shared" ca="1" si="28"/>
        <v/>
      </c>
      <c r="V716" s="9" t="str">
        <f t="shared" ca="1" si="29"/>
        <v/>
      </c>
      <c r="AC716" s="9" t="s">
        <v>12130</v>
      </c>
      <c r="AD716" s="9" t="s">
        <v>19</v>
      </c>
      <c r="AE716" s="9" t="s">
        <v>12086</v>
      </c>
    </row>
    <row r="717" spans="1:33" ht="43.5">
      <c r="A717" s="3" t="s">
        <v>973</v>
      </c>
      <c r="D717" s="3" t="s">
        <v>5589</v>
      </c>
      <c r="E717" s="3" t="s">
        <v>5590</v>
      </c>
      <c r="I717" t="s">
        <v>5457</v>
      </c>
      <c r="J717" s="9" t="s">
        <v>26</v>
      </c>
      <c r="Q717" s="10"/>
      <c r="U717" s="9" t="str">
        <f t="shared" ca="1" si="28"/>
        <v/>
      </c>
      <c r="V717" s="9" t="str">
        <f t="shared" ca="1" si="29"/>
        <v/>
      </c>
      <c r="AG717" s="9" t="s">
        <v>20</v>
      </c>
    </row>
    <row r="718" spans="1:33" ht="43.5">
      <c r="A718" s="3" t="s">
        <v>973</v>
      </c>
      <c r="D718" s="3" t="s">
        <v>5591</v>
      </c>
      <c r="E718" s="3" t="s">
        <v>5588</v>
      </c>
      <c r="I718" t="s">
        <v>12196</v>
      </c>
      <c r="J718" s="9" t="s">
        <v>25</v>
      </c>
      <c r="L718" s="9">
        <v>3</v>
      </c>
      <c r="M718" s="9">
        <v>13</v>
      </c>
      <c r="O718" s="9" t="s">
        <v>12079</v>
      </c>
      <c r="Q718" s="10"/>
      <c r="S718" s="9">
        <v>105</v>
      </c>
      <c r="U718" s="9" t="str">
        <f t="shared" ca="1" si="28"/>
        <v/>
      </c>
      <c r="V718" s="9" t="str">
        <f t="shared" ca="1" si="29"/>
        <v/>
      </c>
      <c r="AG718" s="9" t="s">
        <v>20</v>
      </c>
    </row>
    <row r="719" spans="1:33">
      <c r="A719" s="3" t="s">
        <v>974</v>
      </c>
      <c r="D719" s="3" t="s">
        <v>12197</v>
      </c>
      <c r="E719" s="3" t="s">
        <v>12198</v>
      </c>
      <c r="G719" t="s">
        <v>19</v>
      </c>
      <c r="J719" s="9" t="s">
        <v>12118</v>
      </c>
      <c r="Q719" s="10"/>
      <c r="T719" s="9">
        <f>113-0</f>
        <v>113</v>
      </c>
      <c r="U719" s="9">
        <f t="shared" ca="1" si="28"/>
        <v>0</v>
      </c>
      <c r="V719" s="9">
        <f t="shared" ca="1" si="29"/>
        <v>113</v>
      </c>
      <c r="AC719" s="9" t="s">
        <v>12173</v>
      </c>
      <c r="AD719" s="9" t="s">
        <v>19</v>
      </c>
      <c r="AE719" s="9" t="s">
        <v>12089</v>
      </c>
    </row>
    <row r="720" spans="1:33">
      <c r="A720" s="3" t="s">
        <v>976</v>
      </c>
      <c r="D720" s="3" t="s">
        <v>5592</v>
      </c>
      <c r="E720" s="3" t="s">
        <v>5593</v>
      </c>
      <c r="J720" s="9" t="s">
        <v>12120</v>
      </c>
      <c r="Q720" s="10"/>
      <c r="U720" s="9" t="str">
        <f t="shared" ca="1" si="28"/>
        <v/>
      </c>
      <c r="V720" s="9" t="str">
        <f t="shared" ca="1" si="29"/>
        <v/>
      </c>
      <c r="AC720" s="9" t="s">
        <v>12130</v>
      </c>
      <c r="AD720" s="9" t="s">
        <v>19</v>
      </c>
    </row>
    <row r="721" spans="1:33">
      <c r="A721" s="3" t="s">
        <v>977</v>
      </c>
      <c r="D721" s="3" t="s">
        <v>5594</v>
      </c>
      <c r="E721" s="3" t="s">
        <v>5595</v>
      </c>
      <c r="J721" s="9" t="s">
        <v>12120</v>
      </c>
      <c r="Q721" s="10"/>
      <c r="U721" s="9" t="str">
        <f t="shared" ca="1" si="28"/>
        <v/>
      </c>
      <c r="V721" s="9" t="str">
        <f t="shared" ca="1" si="29"/>
        <v/>
      </c>
      <c r="AB721" s="9" t="s">
        <v>12082</v>
      </c>
      <c r="AD721" s="9" t="s">
        <v>19</v>
      </c>
    </row>
    <row r="722" spans="1:33">
      <c r="A722" s="3" t="s">
        <v>978</v>
      </c>
      <c r="D722" s="3" t="s">
        <v>5596</v>
      </c>
      <c r="E722" s="3" t="s">
        <v>5597</v>
      </c>
      <c r="G722" t="s">
        <v>19</v>
      </c>
      <c r="J722" s="9" t="s">
        <v>12120</v>
      </c>
      <c r="Q722" s="10"/>
      <c r="U722" s="9" t="str">
        <f t="shared" ca="1" si="28"/>
        <v/>
      </c>
      <c r="V722" s="9" t="str">
        <f t="shared" ca="1" si="29"/>
        <v/>
      </c>
      <c r="AE722" s="9" t="s">
        <v>12089</v>
      </c>
    </row>
    <row r="723" spans="1:33">
      <c r="A723" s="3" t="s">
        <v>978</v>
      </c>
      <c r="D723" s="3" t="s">
        <v>979</v>
      </c>
      <c r="E723" s="3" t="s">
        <v>980</v>
      </c>
      <c r="J723" s="9" t="s">
        <v>12118</v>
      </c>
      <c r="Q723" s="10"/>
      <c r="T723" s="9" t="s">
        <v>12131</v>
      </c>
      <c r="U723" s="9" t="str">
        <f t="shared" ca="1" si="28"/>
        <v/>
      </c>
      <c r="V723" s="9" t="str">
        <f t="shared" ca="1" si="29"/>
        <v/>
      </c>
      <c r="AC723" s="9" t="s">
        <v>12130</v>
      </c>
      <c r="AD723" s="9" t="s">
        <v>19</v>
      </c>
      <c r="AE723" s="9" t="s">
        <v>12086</v>
      </c>
    </row>
    <row r="724" spans="1:33">
      <c r="A724" s="3" t="s">
        <v>981</v>
      </c>
      <c r="D724" s="3" t="s">
        <v>5599</v>
      </c>
      <c r="E724" s="3" t="s">
        <v>5598</v>
      </c>
      <c r="J724" s="9" t="s">
        <v>24</v>
      </c>
      <c r="L724" s="9">
        <v>1</v>
      </c>
      <c r="M724" s="9">
        <v>4</v>
      </c>
      <c r="N724" s="9" t="s">
        <v>12096</v>
      </c>
      <c r="O724" s="9" t="s">
        <v>12079</v>
      </c>
      <c r="Q724" s="10"/>
      <c r="S724" s="9">
        <v>508</v>
      </c>
      <c r="U724" s="9" t="str">
        <f t="shared" ca="1" si="28"/>
        <v/>
      </c>
      <c r="V724" s="9" t="str">
        <f t="shared" ca="1" si="29"/>
        <v/>
      </c>
      <c r="AE724" s="9" t="s">
        <v>12083</v>
      </c>
    </row>
    <row r="725" spans="1:33">
      <c r="A725" s="3" t="s">
        <v>981</v>
      </c>
      <c r="D725" s="3" t="s">
        <v>982</v>
      </c>
      <c r="E725" s="3" t="s">
        <v>983</v>
      </c>
      <c r="J725" s="9" t="s">
        <v>12120</v>
      </c>
      <c r="Q725" s="10"/>
      <c r="U725" s="9" t="str">
        <f t="shared" ca="1" si="28"/>
        <v/>
      </c>
      <c r="V725" s="9" t="str">
        <f t="shared" ca="1" si="29"/>
        <v/>
      </c>
      <c r="AC725" s="9" t="s">
        <v>12128</v>
      </c>
      <c r="AD725" s="9" t="s">
        <v>19</v>
      </c>
      <c r="AE725" s="9" t="s">
        <v>12086</v>
      </c>
    </row>
    <row r="726" spans="1:33">
      <c r="A726" s="3" t="s">
        <v>984</v>
      </c>
      <c r="D726" s="3" t="s">
        <v>985</v>
      </c>
      <c r="E726" s="3" t="s">
        <v>986</v>
      </c>
      <c r="J726" s="9" t="s">
        <v>12120</v>
      </c>
      <c r="Q726" s="10"/>
      <c r="U726" s="9" t="str">
        <f t="shared" ca="1" si="28"/>
        <v/>
      </c>
      <c r="V726" s="9" t="str">
        <f t="shared" ca="1" si="29"/>
        <v/>
      </c>
      <c r="AG726" s="9" t="s">
        <v>19</v>
      </c>
    </row>
    <row r="727" spans="1:33">
      <c r="A727" s="3" t="s">
        <v>987</v>
      </c>
      <c r="D727" s="3" t="s">
        <v>5600</v>
      </c>
      <c r="E727" s="3" t="s">
        <v>5601</v>
      </c>
      <c r="J727" s="9" t="s">
        <v>12120</v>
      </c>
      <c r="Q727" s="10"/>
      <c r="U727" s="9" t="str">
        <f t="shared" ca="1" si="28"/>
        <v/>
      </c>
      <c r="V727" s="9" t="str">
        <f t="shared" ca="1" si="29"/>
        <v/>
      </c>
      <c r="AG727" s="9" t="s">
        <v>20</v>
      </c>
    </row>
    <row r="728" spans="1:33">
      <c r="A728" s="3" t="s">
        <v>987</v>
      </c>
      <c r="D728" s="3" t="s">
        <v>988</v>
      </c>
      <c r="E728" s="3" t="s">
        <v>989</v>
      </c>
      <c r="J728" s="9" t="s">
        <v>12120</v>
      </c>
      <c r="Q728" s="10"/>
      <c r="U728" s="9" t="str">
        <f t="shared" ca="1" si="28"/>
        <v/>
      </c>
      <c r="V728" s="9" t="str">
        <f t="shared" ca="1" si="29"/>
        <v/>
      </c>
      <c r="AC728" s="9" t="s">
        <v>12173</v>
      </c>
      <c r="AD728" s="9" t="s">
        <v>19</v>
      </c>
    </row>
    <row r="729" spans="1:33">
      <c r="A729" s="3" t="s">
        <v>990</v>
      </c>
      <c r="D729" s="3" t="s">
        <v>991</v>
      </c>
      <c r="E729" s="3" t="s">
        <v>992</v>
      </c>
      <c r="J729" s="9" t="s">
        <v>12118</v>
      </c>
      <c r="Q729" s="10"/>
      <c r="T729" s="9" t="s">
        <v>12131</v>
      </c>
      <c r="U729" s="9" t="str">
        <f t="shared" ca="1" si="28"/>
        <v/>
      </c>
      <c r="V729" s="9" t="str">
        <f t="shared" ca="1" si="29"/>
        <v/>
      </c>
      <c r="AC729" s="9" t="s">
        <v>12130</v>
      </c>
      <c r="AD729" s="9" t="s">
        <v>19</v>
      </c>
      <c r="AE729" s="9" t="s">
        <v>12086</v>
      </c>
    </row>
    <row r="730" spans="1:33">
      <c r="A730" s="3" t="s">
        <v>990</v>
      </c>
      <c r="D730" s="3" t="s">
        <v>5602</v>
      </c>
      <c r="E730" s="3" t="s">
        <v>5603</v>
      </c>
      <c r="G730" t="s">
        <v>19</v>
      </c>
      <c r="J730" s="9" t="s">
        <v>12118</v>
      </c>
      <c r="Q730" s="10"/>
      <c r="T730" s="9">
        <f>1496-1741</f>
        <v>-245</v>
      </c>
      <c r="U730" s="9">
        <f t="shared" ca="1" si="28"/>
        <v>1741</v>
      </c>
      <c r="V730" s="9">
        <f t="shared" ca="1" si="29"/>
        <v>1496</v>
      </c>
    </row>
    <row r="731" spans="1:33">
      <c r="A731" s="3" t="s">
        <v>993</v>
      </c>
      <c r="D731" s="3" t="s">
        <v>994</v>
      </c>
      <c r="E731" s="3" t="s">
        <v>392</v>
      </c>
      <c r="J731" s="9" t="s">
        <v>12118</v>
      </c>
      <c r="Q731" s="10"/>
      <c r="T731" s="9" t="s">
        <v>12131</v>
      </c>
      <c r="U731" s="9" t="str">
        <f t="shared" ca="1" si="28"/>
        <v/>
      </c>
      <c r="V731" s="9" t="str">
        <f t="shared" ca="1" si="29"/>
        <v/>
      </c>
      <c r="AE731" s="9" t="s">
        <v>12086</v>
      </c>
    </row>
    <row r="732" spans="1:33">
      <c r="A732" s="3" t="s">
        <v>995</v>
      </c>
      <c r="D732" s="3" t="s">
        <v>996</v>
      </c>
      <c r="E732" s="3" t="s">
        <v>997</v>
      </c>
      <c r="J732" s="9" t="s">
        <v>12120</v>
      </c>
      <c r="Q732" s="10"/>
      <c r="U732" s="9" t="str">
        <f t="shared" ca="1" si="28"/>
        <v/>
      </c>
      <c r="V732" s="9" t="str">
        <f t="shared" ca="1" si="29"/>
        <v/>
      </c>
      <c r="AG732" s="9" t="s">
        <v>20</v>
      </c>
    </row>
    <row r="733" spans="1:33">
      <c r="A733" s="3" t="s">
        <v>995</v>
      </c>
      <c r="D733" s="3" t="s">
        <v>998</v>
      </c>
      <c r="E733" s="3" t="s">
        <v>999</v>
      </c>
      <c r="J733" s="9" t="s">
        <v>12118</v>
      </c>
      <c r="Q733" s="10"/>
      <c r="T733" s="9" t="s">
        <v>12131</v>
      </c>
      <c r="U733" s="9" t="str">
        <f t="shared" ca="1" si="28"/>
        <v/>
      </c>
      <c r="V733" s="9" t="str">
        <f t="shared" ca="1" si="29"/>
        <v/>
      </c>
      <c r="AC733" s="9" t="s">
        <v>12130</v>
      </c>
      <c r="AD733" s="9" t="s">
        <v>19</v>
      </c>
      <c r="AE733" s="9" t="s">
        <v>12086</v>
      </c>
    </row>
    <row r="734" spans="1:33">
      <c r="A734" s="3" t="s">
        <v>995</v>
      </c>
      <c r="D734" s="3" t="s">
        <v>1000</v>
      </c>
      <c r="E734" s="5" t="s">
        <v>1001</v>
      </c>
      <c r="F734" t="s">
        <v>16</v>
      </c>
      <c r="Q734" s="10"/>
      <c r="U734" s="9" t="str">
        <f t="shared" ca="1" si="28"/>
        <v/>
      </c>
      <c r="V734" s="9" t="str">
        <f t="shared" ca="1" si="29"/>
        <v/>
      </c>
    </row>
    <row r="735" spans="1:33">
      <c r="A735" s="3" t="s">
        <v>1002</v>
      </c>
      <c r="D735" s="3" t="s">
        <v>5604</v>
      </c>
      <c r="E735" s="3" t="s">
        <v>5605</v>
      </c>
      <c r="J735" s="9" t="s">
        <v>12118</v>
      </c>
      <c r="Q735" s="10"/>
      <c r="T735" s="9">
        <f>1101-560</f>
        <v>541</v>
      </c>
      <c r="U735" s="9">
        <f t="shared" ca="1" si="28"/>
        <v>560</v>
      </c>
      <c r="V735" s="9">
        <f t="shared" ca="1" si="29"/>
        <v>1101</v>
      </c>
      <c r="AG735" s="9" t="s">
        <v>19</v>
      </c>
    </row>
    <row r="736" spans="1:33">
      <c r="A736" s="3" t="s">
        <v>1003</v>
      </c>
      <c r="D736" s="3" t="s">
        <v>5606</v>
      </c>
      <c r="E736" s="3" t="s">
        <v>5607</v>
      </c>
      <c r="J736" s="9" t="s">
        <v>12121</v>
      </c>
      <c r="Q736" s="10"/>
      <c r="T736" s="9">
        <f xml:space="preserve"> 3-61</f>
        <v>-58</v>
      </c>
      <c r="U736" s="9">
        <f t="shared" ca="1" si="28"/>
        <v>61</v>
      </c>
      <c r="V736" s="9">
        <f t="shared" ca="1" si="29"/>
        <v>3</v>
      </c>
      <c r="AC736" s="9" t="s">
        <v>12741</v>
      </c>
      <c r="AD736" s="9" t="s">
        <v>19</v>
      </c>
      <c r="AE736" s="9" t="s">
        <v>12089</v>
      </c>
    </row>
    <row r="737" spans="1:33">
      <c r="A737" s="3" t="s">
        <v>1004</v>
      </c>
      <c r="D737" s="3" t="s">
        <v>472</v>
      </c>
      <c r="E737" s="3" t="s">
        <v>473</v>
      </c>
      <c r="J737" s="9" t="s">
        <v>12120</v>
      </c>
      <c r="Q737" s="10"/>
      <c r="U737" s="9" t="str">
        <f t="shared" ca="1" si="28"/>
        <v/>
      </c>
      <c r="V737" s="9" t="str">
        <f t="shared" ca="1" si="29"/>
        <v/>
      </c>
      <c r="AB737" s="9" t="s">
        <v>12738</v>
      </c>
      <c r="AD737" s="9" t="s">
        <v>19</v>
      </c>
    </row>
    <row r="738" spans="1:33">
      <c r="A738" s="3" t="s">
        <v>1005</v>
      </c>
      <c r="D738" s="3" t="s">
        <v>5608</v>
      </c>
      <c r="E738" s="3" t="s">
        <v>5608</v>
      </c>
      <c r="G738" t="s">
        <v>20</v>
      </c>
      <c r="I738" t="s">
        <v>5609</v>
      </c>
      <c r="Q738" s="10"/>
      <c r="U738" s="9" t="str">
        <f t="shared" ca="1" si="28"/>
        <v/>
      </c>
      <c r="V738" s="9" t="str">
        <f t="shared" ca="1" si="29"/>
        <v/>
      </c>
    </row>
    <row r="739" spans="1:33" ht="29">
      <c r="A739" s="3" t="s">
        <v>1006</v>
      </c>
      <c r="D739" s="3" t="s">
        <v>5610</v>
      </c>
      <c r="E739" s="3" t="s">
        <v>5611</v>
      </c>
      <c r="J739" s="9" t="s">
        <v>24</v>
      </c>
      <c r="L739" s="9">
        <v>1</v>
      </c>
      <c r="M739" s="9">
        <v>3</v>
      </c>
      <c r="N739" s="9" t="s">
        <v>12087</v>
      </c>
      <c r="O739" s="9" t="s">
        <v>12079</v>
      </c>
      <c r="Q739" s="10"/>
      <c r="S739" s="9">
        <v>5676</v>
      </c>
      <c r="U739" s="9" t="str">
        <f t="shared" ca="1" si="28"/>
        <v/>
      </c>
      <c r="V739" s="9" t="str">
        <f t="shared" ca="1" si="29"/>
        <v/>
      </c>
      <c r="AG739" s="9" t="s">
        <v>19</v>
      </c>
    </row>
    <row r="740" spans="1:33">
      <c r="A740" s="3" t="s">
        <v>1007</v>
      </c>
      <c r="D740" s="3" t="s">
        <v>1008</v>
      </c>
      <c r="E740" s="3" t="s">
        <v>1009</v>
      </c>
      <c r="J740" s="9" t="s">
        <v>12120</v>
      </c>
      <c r="Q740" s="10"/>
      <c r="U740" s="9" t="str">
        <f t="shared" ca="1" si="28"/>
        <v/>
      </c>
      <c r="V740" s="9" t="str">
        <f t="shared" ca="1" si="29"/>
        <v/>
      </c>
      <c r="AG740" s="9" t="s">
        <v>19</v>
      </c>
    </row>
    <row r="741" spans="1:33">
      <c r="A741" s="3" t="s">
        <v>1010</v>
      </c>
      <c r="D741" s="3" t="s">
        <v>5612</v>
      </c>
      <c r="E741" s="3" t="s">
        <v>5613</v>
      </c>
      <c r="J741" s="9" t="s">
        <v>12120</v>
      </c>
      <c r="Q741" s="10"/>
      <c r="U741" s="9" t="str">
        <f t="shared" ca="1" si="28"/>
        <v/>
      </c>
      <c r="V741" s="9" t="str">
        <f t="shared" ca="1" si="29"/>
        <v/>
      </c>
      <c r="AB741" s="9" t="s">
        <v>12082</v>
      </c>
      <c r="AD741" s="9" t="s">
        <v>19</v>
      </c>
    </row>
    <row r="742" spans="1:33">
      <c r="A742" s="3" t="s">
        <v>1011</v>
      </c>
      <c r="D742" s="3" t="s">
        <v>5614</v>
      </c>
      <c r="E742" s="3" t="s">
        <v>5615</v>
      </c>
      <c r="J742" s="9" t="s">
        <v>24</v>
      </c>
      <c r="L742" s="9">
        <v>2</v>
      </c>
      <c r="M742" s="9">
        <v>4</v>
      </c>
      <c r="O742" s="9" t="s">
        <v>12079</v>
      </c>
      <c r="Q742" s="10"/>
      <c r="S742" s="9">
        <v>5676</v>
      </c>
      <c r="U742" s="9" t="str">
        <f t="shared" ca="1" si="28"/>
        <v/>
      </c>
      <c r="V742" s="9" t="str">
        <f t="shared" ca="1" si="29"/>
        <v/>
      </c>
      <c r="AG742" s="9" t="s">
        <v>20</v>
      </c>
    </row>
    <row r="743" spans="1:33">
      <c r="A743" s="3" t="s">
        <v>1012</v>
      </c>
      <c r="D743" s="3" t="s">
        <v>430</v>
      </c>
      <c r="E743" s="3" t="s">
        <v>431</v>
      </c>
      <c r="J743" s="9" t="s">
        <v>12118</v>
      </c>
      <c r="Q743" s="10"/>
      <c r="T743" s="9" t="s">
        <v>12131</v>
      </c>
      <c r="U743" s="9" t="str">
        <f t="shared" ca="1" si="28"/>
        <v/>
      </c>
      <c r="V743" s="9" t="str">
        <f t="shared" ca="1" si="29"/>
        <v/>
      </c>
      <c r="AC743" s="9" t="s">
        <v>12130</v>
      </c>
      <c r="AD743" s="9" t="s">
        <v>19</v>
      </c>
      <c r="AE743" s="9" t="s">
        <v>12086</v>
      </c>
    </row>
    <row r="744" spans="1:33">
      <c r="A744" s="3" t="s">
        <v>1013</v>
      </c>
      <c r="D744" s="3" t="s">
        <v>1014</v>
      </c>
      <c r="E744" s="3" t="s">
        <v>1015</v>
      </c>
      <c r="J744" s="9" t="s">
        <v>12118</v>
      </c>
      <c r="Q744" s="10"/>
      <c r="T744" s="9" t="s">
        <v>12131</v>
      </c>
      <c r="U744" s="9" t="str">
        <f t="shared" ca="1" si="28"/>
        <v/>
      </c>
      <c r="V744" s="9" t="str">
        <f t="shared" ca="1" si="29"/>
        <v/>
      </c>
      <c r="AC744" s="9" t="s">
        <v>12130</v>
      </c>
      <c r="AD744" s="9" t="s">
        <v>19</v>
      </c>
      <c r="AE744" s="9" t="s">
        <v>12086</v>
      </c>
    </row>
    <row r="745" spans="1:33">
      <c r="A745" s="3" t="s">
        <v>1013</v>
      </c>
      <c r="D745" s="3" t="s">
        <v>5616</v>
      </c>
      <c r="E745" s="3" t="s">
        <v>5617</v>
      </c>
      <c r="J745" s="9" t="s">
        <v>12120</v>
      </c>
      <c r="Q745" s="10"/>
      <c r="U745" s="9" t="str">
        <f t="shared" ca="1" si="28"/>
        <v/>
      </c>
      <c r="V745" s="9" t="str">
        <f t="shared" ca="1" si="29"/>
        <v/>
      </c>
      <c r="AB745" s="9" t="s">
        <v>12737</v>
      </c>
      <c r="AD745" s="9" t="s">
        <v>19</v>
      </c>
    </row>
    <row r="746" spans="1:33">
      <c r="A746" s="3" t="s">
        <v>1016</v>
      </c>
      <c r="D746" s="3" t="s">
        <v>1017</v>
      </c>
      <c r="E746" s="3" t="s">
        <v>41</v>
      </c>
      <c r="J746" s="9" t="s">
        <v>12118</v>
      </c>
      <c r="Q746" s="10"/>
      <c r="T746" s="9" t="s">
        <v>12131</v>
      </c>
      <c r="U746" s="9" t="str">
        <f t="shared" ca="1" si="28"/>
        <v/>
      </c>
      <c r="V746" s="9" t="str">
        <f t="shared" ca="1" si="29"/>
        <v/>
      </c>
      <c r="AB746" s="9" t="s">
        <v>12124</v>
      </c>
      <c r="AD746" s="9" t="s">
        <v>19</v>
      </c>
    </row>
    <row r="747" spans="1:33">
      <c r="A747" s="3" t="s">
        <v>1018</v>
      </c>
      <c r="D747" s="3" t="s">
        <v>470</v>
      </c>
      <c r="E747" s="3" t="s">
        <v>471</v>
      </c>
      <c r="J747" s="9" t="s">
        <v>12118</v>
      </c>
      <c r="Q747" s="10"/>
      <c r="T747" s="9" t="s">
        <v>12131</v>
      </c>
      <c r="U747" s="9" t="str">
        <f t="shared" ca="1" si="28"/>
        <v/>
      </c>
      <c r="V747" s="9" t="str">
        <f t="shared" ca="1" si="29"/>
        <v/>
      </c>
      <c r="AB747" s="9" t="s">
        <v>12124</v>
      </c>
      <c r="AC747" s="9" t="s">
        <v>12130</v>
      </c>
      <c r="AD747" s="9" t="s">
        <v>19</v>
      </c>
      <c r="AE747" s="9" t="s">
        <v>12086</v>
      </c>
    </row>
    <row r="748" spans="1:33">
      <c r="A748" s="3" t="s">
        <v>1018</v>
      </c>
      <c r="D748" s="3" t="s">
        <v>5618</v>
      </c>
      <c r="E748" s="3" t="s">
        <v>5619</v>
      </c>
      <c r="J748" s="9" t="s">
        <v>12120</v>
      </c>
      <c r="Q748" s="10"/>
      <c r="U748" s="9" t="str">
        <f t="shared" ca="1" si="28"/>
        <v/>
      </c>
      <c r="V748" s="9" t="str">
        <f t="shared" ca="1" si="29"/>
        <v/>
      </c>
      <c r="AG748" s="9" t="s">
        <v>19</v>
      </c>
    </row>
    <row r="749" spans="1:33" ht="29">
      <c r="A749" s="3" t="s">
        <v>1019</v>
      </c>
      <c r="D749" s="3" t="s">
        <v>5620</v>
      </c>
      <c r="E749" s="3" t="s">
        <v>5621</v>
      </c>
      <c r="I749" t="s">
        <v>12291</v>
      </c>
      <c r="J749" s="9" t="s">
        <v>26</v>
      </c>
      <c r="Q749" s="10"/>
      <c r="U749" s="9" t="str">
        <f t="shared" ca="1" si="28"/>
        <v/>
      </c>
      <c r="V749" s="9" t="str">
        <f t="shared" ca="1" si="29"/>
        <v/>
      </c>
      <c r="AG749" s="9" t="s">
        <v>20</v>
      </c>
    </row>
    <row r="750" spans="1:33">
      <c r="A750" s="3" t="s">
        <v>1020</v>
      </c>
      <c r="D750" s="3" t="s">
        <v>1021</v>
      </c>
      <c r="E750" s="3" t="s">
        <v>440</v>
      </c>
      <c r="J750" s="9" t="s">
        <v>12118</v>
      </c>
      <c r="Q750" s="10"/>
      <c r="T750" s="9" t="s">
        <v>12131</v>
      </c>
      <c r="U750" s="9" t="str">
        <f t="shared" ca="1" si="28"/>
        <v/>
      </c>
      <c r="V750" s="9" t="str">
        <f t="shared" ca="1" si="29"/>
        <v/>
      </c>
      <c r="AC750" s="9" t="s">
        <v>12130</v>
      </c>
      <c r="AD750" s="9" t="s">
        <v>19</v>
      </c>
      <c r="AE750" s="9" t="s">
        <v>12086</v>
      </c>
    </row>
    <row r="751" spans="1:33">
      <c r="A751" s="3" t="s">
        <v>1022</v>
      </c>
      <c r="D751" s="3" t="s">
        <v>5622</v>
      </c>
      <c r="E751" s="3" t="s">
        <v>5622</v>
      </c>
      <c r="G751" t="s">
        <v>20</v>
      </c>
      <c r="I751" t="s">
        <v>5623</v>
      </c>
      <c r="Q751" s="10"/>
      <c r="U751" s="9" t="str">
        <f t="shared" ca="1" si="28"/>
        <v/>
      </c>
      <c r="V751" s="9" t="str">
        <f t="shared" ca="1" si="29"/>
        <v/>
      </c>
    </row>
    <row r="752" spans="1:33">
      <c r="A752" s="3" t="s">
        <v>1023</v>
      </c>
      <c r="D752" s="3" t="s">
        <v>322</v>
      </c>
      <c r="E752" s="3" t="s">
        <v>323</v>
      </c>
      <c r="J752" s="9" t="s">
        <v>12118</v>
      </c>
      <c r="Q752" s="10"/>
      <c r="T752" s="9" t="s">
        <v>12131</v>
      </c>
      <c r="U752" s="9" t="str">
        <f t="shared" ca="1" si="28"/>
        <v/>
      </c>
      <c r="V752" s="9" t="str">
        <f t="shared" ca="1" si="29"/>
        <v/>
      </c>
      <c r="AB752" s="9" t="s">
        <v>12124</v>
      </c>
      <c r="AD752" s="9" t="s">
        <v>19</v>
      </c>
    </row>
    <row r="753" spans="1:33">
      <c r="A753" s="3" t="s">
        <v>1024</v>
      </c>
      <c r="D753" s="3" t="s">
        <v>322</v>
      </c>
      <c r="E753" s="3" t="s">
        <v>323</v>
      </c>
      <c r="J753" s="9" t="s">
        <v>12118</v>
      </c>
      <c r="Q753" s="10"/>
      <c r="T753" s="9" t="s">
        <v>12131</v>
      </c>
      <c r="U753" s="9" t="str">
        <f t="shared" ca="1" si="28"/>
        <v/>
      </c>
      <c r="V753" s="9" t="str">
        <f t="shared" ca="1" si="29"/>
        <v/>
      </c>
      <c r="AB753" s="9" t="s">
        <v>12124</v>
      </c>
      <c r="AD753" s="9" t="s">
        <v>19</v>
      </c>
    </row>
    <row r="754" spans="1:33">
      <c r="A754" s="3" t="s">
        <v>1025</v>
      </c>
      <c r="D754" s="3" t="s">
        <v>1026</v>
      </c>
      <c r="E754" s="3" t="s">
        <v>1027</v>
      </c>
      <c r="J754" s="9" t="s">
        <v>12118</v>
      </c>
      <c r="Q754" s="10"/>
      <c r="T754" s="9" t="s">
        <v>12131</v>
      </c>
      <c r="U754" s="9" t="str">
        <f t="shared" ca="1" si="28"/>
        <v/>
      </c>
      <c r="V754" s="9" t="str">
        <f t="shared" ca="1" si="29"/>
        <v/>
      </c>
      <c r="AC754" s="9" t="s">
        <v>12742</v>
      </c>
      <c r="AD754" s="9" t="s">
        <v>19</v>
      </c>
      <c r="AE754" s="9" t="s">
        <v>12086</v>
      </c>
    </row>
    <row r="755" spans="1:33">
      <c r="A755" s="3" t="s">
        <v>1028</v>
      </c>
      <c r="D755" s="3" t="s">
        <v>322</v>
      </c>
      <c r="E755" s="3" t="s">
        <v>323</v>
      </c>
      <c r="J755" s="9" t="s">
        <v>12118</v>
      </c>
      <c r="Q755" s="10"/>
      <c r="T755" s="9" t="s">
        <v>12131</v>
      </c>
      <c r="U755" s="9" t="str">
        <f t="shared" ca="1" si="28"/>
        <v/>
      </c>
      <c r="V755" s="9" t="str">
        <f t="shared" ca="1" si="29"/>
        <v/>
      </c>
      <c r="AB755" s="9" t="s">
        <v>12124</v>
      </c>
      <c r="AD755" s="9" t="s">
        <v>19</v>
      </c>
    </row>
    <row r="756" spans="1:33">
      <c r="A756" s="3" t="s">
        <v>1029</v>
      </c>
      <c r="D756" s="3" t="s">
        <v>1030</v>
      </c>
      <c r="E756" s="3" t="s">
        <v>1031</v>
      </c>
      <c r="J756" s="9" t="s">
        <v>12118</v>
      </c>
      <c r="Q756" s="10"/>
      <c r="T756" s="9" t="s">
        <v>12131</v>
      </c>
      <c r="U756" s="9" t="str">
        <f t="shared" ca="1" si="28"/>
        <v/>
      </c>
      <c r="V756" s="9" t="str">
        <f t="shared" ca="1" si="29"/>
        <v/>
      </c>
      <c r="AC756" s="9" t="s">
        <v>12130</v>
      </c>
      <c r="AD756" s="9" t="s">
        <v>19</v>
      </c>
      <c r="AE756" s="9" t="s">
        <v>12086</v>
      </c>
    </row>
    <row r="757" spans="1:33">
      <c r="A757" s="3" t="s">
        <v>1032</v>
      </c>
      <c r="D757" s="3" t="s">
        <v>5624</v>
      </c>
      <c r="E757" s="3" t="s">
        <v>5625</v>
      </c>
      <c r="J757" s="9" t="s">
        <v>25</v>
      </c>
      <c r="L757" s="9">
        <v>1</v>
      </c>
      <c r="M757" s="9">
        <v>1</v>
      </c>
      <c r="N757" s="9" t="s">
        <v>12078</v>
      </c>
      <c r="O757" s="9" t="s">
        <v>12119</v>
      </c>
      <c r="Q757" s="10"/>
      <c r="S757" s="9">
        <v>11843</v>
      </c>
      <c r="U757" s="9" t="str">
        <f t="shared" ca="1" si="28"/>
        <v/>
      </c>
      <c r="V757" s="9" t="str">
        <f t="shared" ca="1" si="29"/>
        <v/>
      </c>
      <c r="AG757" s="9" t="s">
        <v>20</v>
      </c>
    </row>
    <row r="758" spans="1:33" ht="29">
      <c r="A758" s="3" t="s">
        <v>1034</v>
      </c>
      <c r="D758" s="3" t="s">
        <v>5626</v>
      </c>
      <c r="E758" s="3" t="s">
        <v>5627</v>
      </c>
      <c r="G758" t="s">
        <v>19</v>
      </c>
      <c r="J758" s="9" t="s">
        <v>25</v>
      </c>
      <c r="L758" s="9">
        <v>2</v>
      </c>
      <c r="M758" s="9">
        <v>8</v>
      </c>
      <c r="O758" s="9" t="s">
        <v>12073</v>
      </c>
      <c r="P758" s="9" t="s">
        <v>12142</v>
      </c>
      <c r="Q758" s="10" t="s">
        <v>12199</v>
      </c>
      <c r="R758" s="9" t="s">
        <v>12074</v>
      </c>
      <c r="S758" s="9">
        <v>591</v>
      </c>
      <c r="U758" s="9" t="str">
        <f t="shared" ca="1" si="28"/>
        <v/>
      </c>
      <c r="V758" s="9" t="str">
        <f t="shared" ca="1" si="29"/>
        <v/>
      </c>
    </row>
    <row r="759" spans="1:33" ht="29">
      <c r="A759" s="3" t="s">
        <v>1034</v>
      </c>
      <c r="D759" s="3" t="s">
        <v>5628</v>
      </c>
      <c r="E759" s="3" t="s">
        <v>5629</v>
      </c>
      <c r="I759" t="s">
        <v>12141</v>
      </c>
      <c r="J759" s="9" t="s">
        <v>26</v>
      </c>
      <c r="Q759" s="10"/>
      <c r="U759" s="9" t="str">
        <f t="shared" ca="1" si="28"/>
        <v/>
      </c>
      <c r="V759" s="9" t="str">
        <f t="shared" ca="1" si="29"/>
        <v/>
      </c>
      <c r="AG759" s="9" t="s">
        <v>19</v>
      </c>
    </row>
    <row r="760" spans="1:33" ht="29">
      <c r="A760" s="3" t="s">
        <v>1035</v>
      </c>
      <c r="D760" s="3" t="s">
        <v>5630</v>
      </c>
      <c r="E760" s="3" t="s">
        <v>5630</v>
      </c>
      <c r="G760" t="s">
        <v>20</v>
      </c>
      <c r="Q760" s="10"/>
      <c r="U760" s="9" t="str">
        <f t="shared" ca="1" si="28"/>
        <v/>
      </c>
      <c r="V760" s="9" t="str">
        <f t="shared" ca="1" si="29"/>
        <v/>
      </c>
    </row>
    <row r="761" spans="1:33">
      <c r="A761" s="3" t="s">
        <v>1035</v>
      </c>
      <c r="D761" s="3" t="s">
        <v>5631</v>
      </c>
      <c r="E761" s="3" t="s">
        <v>5632</v>
      </c>
      <c r="G761" t="s">
        <v>19</v>
      </c>
      <c r="J761" s="9" t="s">
        <v>12118</v>
      </c>
      <c r="Q761" s="10"/>
      <c r="T761" s="9" t="s">
        <v>12131</v>
      </c>
      <c r="U761" s="9" t="str">
        <f t="shared" ca="1" si="28"/>
        <v/>
      </c>
      <c r="V761" s="9" t="str">
        <f t="shared" ca="1" si="29"/>
        <v/>
      </c>
      <c r="AE761" s="9" t="s">
        <v>12086</v>
      </c>
    </row>
    <row r="762" spans="1:33" ht="29">
      <c r="A762" s="3" t="s">
        <v>1036</v>
      </c>
      <c r="D762" s="3" t="s">
        <v>5633</v>
      </c>
      <c r="E762" s="3" t="s">
        <v>12200</v>
      </c>
      <c r="J762" s="9" t="s">
        <v>12118</v>
      </c>
      <c r="Q762" s="10"/>
      <c r="T762" s="9">
        <f>166-1966</f>
        <v>-1800</v>
      </c>
      <c r="U762" s="9">
        <f t="shared" ca="1" si="28"/>
        <v>1966</v>
      </c>
      <c r="V762" s="9">
        <f t="shared" ca="1" si="29"/>
        <v>166</v>
      </c>
      <c r="AG762" s="9" t="s">
        <v>19</v>
      </c>
    </row>
    <row r="763" spans="1:33" ht="29">
      <c r="A763" s="3" t="s">
        <v>1036</v>
      </c>
      <c r="D763" s="3" t="s">
        <v>5634</v>
      </c>
      <c r="E763" s="3" t="s">
        <v>12201</v>
      </c>
      <c r="G763" t="s">
        <v>19</v>
      </c>
      <c r="J763" s="9" t="s">
        <v>25</v>
      </c>
      <c r="L763" s="9">
        <v>1</v>
      </c>
      <c r="M763" s="9">
        <v>3</v>
      </c>
      <c r="N763" s="9" t="s">
        <v>12078</v>
      </c>
      <c r="O763" s="9" t="s">
        <v>12073</v>
      </c>
      <c r="P763" s="9" t="s">
        <v>12142</v>
      </c>
      <c r="Q763" s="10" t="s">
        <v>12143</v>
      </c>
      <c r="R763" s="9" t="s">
        <v>12074</v>
      </c>
      <c r="S763" s="9">
        <v>11843</v>
      </c>
      <c r="U763" s="9" t="str">
        <f t="shared" ca="1" si="28"/>
        <v/>
      </c>
      <c r="V763" s="9" t="str">
        <f t="shared" ca="1" si="29"/>
        <v/>
      </c>
      <c r="AE763" s="9" t="s">
        <v>12089</v>
      </c>
    </row>
    <row r="764" spans="1:33" ht="29">
      <c r="A764" s="3" t="s">
        <v>1036</v>
      </c>
      <c r="D764" s="3" t="s">
        <v>12987</v>
      </c>
      <c r="E764" s="5" t="s">
        <v>12988</v>
      </c>
      <c r="F764" t="s">
        <v>32</v>
      </c>
      <c r="I764" t="s">
        <v>12989</v>
      </c>
      <c r="J764" s="9" t="s">
        <v>12120</v>
      </c>
      <c r="Q764" s="10"/>
      <c r="T764" s="9">
        <f>166-1966</f>
        <v>-1800</v>
      </c>
      <c r="U764" s="9">
        <f t="shared" ca="1" si="28"/>
        <v>1966</v>
      </c>
      <c r="V764" s="9">
        <f t="shared" ca="1" si="29"/>
        <v>166</v>
      </c>
      <c r="AC764" s="9" t="s">
        <v>12173</v>
      </c>
      <c r="AD764" s="9" t="s">
        <v>19</v>
      </c>
    </row>
    <row r="765" spans="1:33">
      <c r="A765" s="3" t="s">
        <v>1037</v>
      </c>
      <c r="D765" s="3" t="s">
        <v>5635</v>
      </c>
      <c r="E765" s="3" t="s">
        <v>5636</v>
      </c>
      <c r="J765" s="9" t="s">
        <v>25</v>
      </c>
      <c r="L765" s="9">
        <v>1</v>
      </c>
      <c r="M765" s="9">
        <v>4</v>
      </c>
      <c r="N765" s="9" t="s">
        <v>12078</v>
      </c>
      <c r="O765" s="9" t="s">
        <v>12073</v>
      </c>
      <c r="P765" s="9" t="s">
        <v>12149</v>
      </c>
      <c r="Q765" s="10" t="s">
        <v>12143</v>
      </c>
      <c r="S765" s="9">
        <v>11843</v>
      </c>
      <c r="U765" s="9" t="str">
        <f t="shared" ca="1" si="28"/>
        <v/>
      </c>
      <c r="V765" s="9" t="str">
        <f t="shared" ca="1" si="29"/>
        <v/>
      </c>
      <c r="AG765" s="9" t="s">
        <v>20</v>
      </c>
    </row>
    <row r="766" spans="1:33">
      <c r="A766" s="3" t="s">
        <v>1039</v>
      </c>
      <c r="D766" s="3" t="s">
        <v>5637</v>
      </c>
      <c r="E766" s="3" t="s">
        <v>5638</v>
      </c>
      <c r="J766" s="9" t="s">
        <v>24</v>
      </c>
      <c r="L766" s="9">
        <v>1</v>
      </c>
      <c r="M766" s="9">
        <v>4</v>
      </c>
      <c r="N766" s="9" t="s">
        <v>12078</v>
      </c>
      <c r="O766" s="9" t="s">
        <v>12073</v>
      </c>
      <c r="P766" s="9" t="s">
        <v>12149</v>
      </c>
      <c r="Q766" s="10" t="s">
        <v>12143</v>
      </c>
      <c r="S766" s="9">
        <v>11843</v>
      </c>
      <c r="U766" s="9" t="str">
        <f t="shared" ca="1" si="28"/>
        <v/>
      </c>
      <c r="V766" s="9" t="str">
        <f t="shared" ca="1" si="29"/>
        <v/>
      </c>
      <c r="AG766" s="9" t="s">
        <v>19</v>
      </c>
    </row>
    <row r="767" spans="1:33">
      <c r="A767" s="3" t="s">
        <v>1040</v>
      </c>
      <c r="D767" s="3" t="s">
        <v>1041</v>
      </c>
      <c r="E767" s="3" t="s">
        <v>1042</v>
      </c>
      <c r="J767" s="9" t="s">
        <v>12118</v>
      </c>
      <c r="Q767" s="10"/>
      <c r="T767" s="9" t="s">
        <v>12131</v>
      </c>
      <c r="U767" s="9" t="str">
        <f t="shared" ca="1" si="28"/>
        <v/>
      </c>
      <c r="V767" s="9" t="str">
        <f t="shared" ca="1" si="29"/>
        <v/>
      </c>
      <c r="AC767" s="9" t="s">
        <v>12130</v>
      </c>
      <c r="AD767" s="9" t="s">
        <v>19</v>
      </c>
      <c r="AE767" s="9" t="s">
        <v>12086</v>
      </c>
    </row>
    <row r="768" spans="1:33">
      <c r="A768" s="3" t="s">
        <v>1043</v>
      </c>
      <c r="D768" s="3" t="s">
        <v>5639</v>
      </c>
      <c r="E768" s="3" t="s">
        <v>5640</v>
      </c>
      <c r="G768" t="s">
        <v>19</v>
      </c>
      <c r="J768" s="9" t="s">
        <v>24</v>
      </c>
      <c r="L768" s="9">
        <v>1</v>
      </c>
      <c r="M768" s="9">
        <v>2</v>
      </c>
      <c r="N768" s="9" t="s">
        <v>12078</v>
      </c>
      <c r="O768" s="9" t="s">
        <v>12119</v>
      </c>
      <c r="Q768" s="10"/>
      <c r="S768" s="9">
        <v>11843</v>
      </c>
      <c r="U768" s="9" t="str">
        <f t="shared" ca="1" si="28"/>
        <v/>
      </c>
      <c r="V768" s="9" t="str">
        <f t="shared" ca="1" si="29"/>
        <v/>
      </c>
    </row>
    <row r="769" spans="1:33">
      <c r="A769" s="3" t="s">
        <v>1043</v>
      </c>
      <c r="D769" s="3" t="s">
        <v>5641</v>
      </c>
      <c r="E769" s="3" t="s">
        <v>5642</v>
      </c>
      <c r="J769" s="9" t="s">
        <v>12120</v>
      </c>
      <c r="Q769" s="10"/>
      <c r="U769" s="9" t="str">
        <f t="shared" ca="1" si="28"/>
        <v/>
      </c>
      <c r="V769" s="9" t="str">
        <f t="shared" ca="1" si="29"/>
        <v/>
      </c>
      <c r="AB769" s="9" t="s">
        <v>12737</v>
      </c>
      <c r="AD769" s="9" t="s">
        <v>19</v>
      </c>
    </row>
    <row r="770" spans="1:33">
      <c r="A770" s="3" t="s">
        <v>1044</v>
      </c>
      <c r="D770" s="3" t="s">
        <v>5643</v>
      </c>
      <c r="E770" s="3" t="s">
        <v>5644</v>
      </c>
      <c r="J770" s="9" t="s">
        <v>12120</v>
      </c>
      <c r="Q770" s="10"/>
      <c r="U770" s="9" t="str">
        <f t="shared" ca="1" si="28"/>
        <v/>
      </c>
      <c r="V770" s="9" t="str">
        <f t="shared" ca="1" si="29"/>
        <v/>
      </c>
      <c r="AE770" s="9" t="s">
        <v>12089</v>
      </c>
    </row>
    <row r="771" spans="1:33" ht="87">
      <c r="A771" s="3" t="s">
        <v>1045</v>
      </c>
      <c r="D771" s="3" t="s">
        <v>5646</v>
      </c>
      <c r="E771" s="3" t="s">
        <v>5647</v>
      </c>
      <c r="J771" s="9" t="s">
        <v>12120</v>
      </c>
      <c r="Q771" s="10"/>
      <c r="U771" s="9" t="str">
        <f t="shared" ca="1" si="28"/>
        <v/>
      </c>
      <c r="V771" s="9" t="str">
        <f t="shared" ca="1" si="29"/>
        <v/>
      </c>
      <c r="AC771" s="9" t="s">
        <v>12173</v>
      </c>
      <c r="AD771" s="9" t="s">
        <v>19</v>
      </c>
      <c r="AE771" s="9" t="s">
        <v>12077</v>
      </c>
    </row>
    <row r="772" spans="1:33" ht="87">
      <c r="A772" s="3" t="s">
        <v>1045</v>
      </c>
      <c r="D772" s="3" t="s">
        <v>5645</v>
      </c>
      <c r="E772" s="3" t="s">
        <v>5648</v>
      </c>
      <c r="I772" t="s">
        <v>13100</v>
      </c>
      <c r="J772" s="9" t="s">
        <v>24</v>
      </c>
      <c r="L772" s="9">
        <v>7</v>
      </c>
      <c r="M772" s="9">
        <v>31</v>
      </c>
      <c r="O772" s="9" t="s">
        <v>12073</v>
      </c>
      <c r="P772" s="9" t="s">
        <v>12142</v>
      </c>
      <c r="Q772" s="10" t="s">
        <v>12202</v>
      </c>
      <c r="R772" s="9" t="s">
        <v>12074</v>
      </c>
      <c r="S772" s="9">
        <v>8</v>
      </c>
      <c r="U772" s="9" t="str">
        <f t="shared" ca="1" si="28"/>
        <v/>
      </c>
      <c r="V772" s="9" t="str">
        <f t="shared" ca="1" si="29"/>
        <v/>
      </c>
      <c r="AE772" s="9" t="s">
        <v>12083</v>
      </c>
    </row>
    <row r="773" spans="1:33">
      <c r="A773" s="3" t="s">
        <v>1046</v>
      </c>
      <c r="D773" s="3" t="s">
        <v>1047</v>
      </c>
      <c r="E773" s="3" t="s">
        <v>1048</v>
      </c>
      <c r="J773" s="9" t="s">
        <v>12118</v>
      </c>
      <c r="Q773" s="10"/>
      <c r="T773" s="9" t="s">
        <v>12131</v>
      </c>
      <c r="U773" s="9" t="str">
        <f t="shared" ref="U773:U836" ca="1" si="30">IF(ISNUMBER(T773),VALUE(MID(_xlfn.FORMULATEXT(T773),SEARCH("-",_xlfn.FORMULATEXT(T773))+1,LEN(_xlfn.FORMULATEXT(T773))-SEARCH("-",_xlfn.FORMULATEXT(T773)))), "")</f>
        <v/>
      </c>
      <c r="V773" s="9" t="str">
        <f t="shared" ref="V773:V836" ca="1" si="31">IF(ISNUMBER(T773), VALUE(MID(_xlfn.FORMULATEXT(T773), 2, SEARCH("-", _xlfn.FORMULATEXT(T773)) - 2)), "")</f>
        <v/>
      </c>
      <c r="AE773" s="9" t="s">
        <v>12077</v>
      </c>
    </row>
    <row r="774" spans="1:33">
      <c r="A774" s="3" t="s">
        <v>1049</v>
      </c>
      <c r="D774" s="3" t="s">
        <v>1047</v>
      </c>
      <c r="E774" s="3" t="s">
        <v>1048</v>
      </c>
      <c r="J774" s="9" t="s">
        <v>12118</v>
      </c>
      <c r="Q774" s="10"/>
      <c r="T774" s="9" t="s">
        <v>12131</v>
      </c>
      <c r="U774" s="9" t="str">
        <f t="shared" ca="1" si="30"/>
        <v/>
      </c>
      <c r="V774" s="9" t="str">
        <f t="shared" ca="1" si="31"/>
        <v/>
      </c>
      <c r="AE774" s="9" t="s">
        <v>12077</v>
      </c>
    </row>
    <row r="775" spans="1:33">
      <c r="A775" s="3" t="s">
        <v>1050</v>
      </c>
      <c r="D775" s="3" t="s">
        <v>5649</v>
      </c>
      <c r="E775" s="3" t="s">
        <v>5650</v>
      </c>
      <c r="J775" s="9" t="s">
        <v>12120</v>
      </c>
      <c r="Q775" s="10"/>
      <c r="U775" s="9" t="str">
        <f t="shared" ca="1" si="30"/>
        <v/>
      </c>
      <c r="V775" s="9" t="str">
        <f t="shared" ca="1" si="31"/>
        <v/>
      </c>
      <c r="AE775" s="9" t="s">
        <v>12089</v>
      </c>
    </row>
    <row r="776" spans="1:33">
      <c r="A776" s="3" t="s">
        <v>1052</v>
      </c>
      <c r="D776" s="3" t="s">
        <v>5651</v>
      </c>
      <c r="E776" s="3" t="s">
        <v>5652</v>
      </c>
      <c r="G776" t="s">
        <v>19</v>
      </c>
      <c r="J776" s="9" t="s">
        <v>24</v>
      </c>
      <c r="L776" s="9">
        <v>1</v>
      </c>
      <c r="M776" s="9">
        <v>2</v>
      </c>
      <c r="N776" s="9" t="s">
        <v>12078</v>
      </c>
      <c r="O776" s="9" t="s">
        <v>12119</v>
      </c>
      <c r="Q776" s="10"/>
      <c r="R776" s="9" t="s">
        <v>12074</v>
      </c>
      <c r="S776" s="9">
        <v>11843</v>
      </c>
      <c r="U776" s="9" t="str">
        <f t="shared" ca="1" si="30"/>
        <v/>
      </c>
      <c r="V776" s="9" t="str">
        <f t="shared" ca="1" si="31"/>
        <v/>
      </c>
    </row>
    <row r="777" spans="1:33" ht="29">
      <c r="A777" s="3" t="s">
        <v>1052</v>
      </c>
      <c r="D777" s="3" t="s">
        <v>5653</v>
      </c>
      <c r="E777" s="3" t="s">
        <v>5654</v>
      </c>
      <c r="J777" s="9" t="s">
        <v>12120</v>
      </c>
      <c r="Q777" s="10"/>
      <c r="U777" s="9" t="str">
        <f t="shared" ca="1" si="30"/>
        <v/>
      </c>
      <c r="V777" s="9" t="str">
        <f t="shared" ca="1" si="31"/>
        <v/>
      </c>
      <c r="AG777" s="9" t="s">
        <v>19</v>
      </c>
    </row>
    <row r="778" spans="1:33">
      <c r="A778" s="3" t="s">
        <v>1052</v>
      </c>
      <c r="D778" s="3" t="s">
        <v>1053</v>
      </c>
      <c r="E778" s="3" t="s">
        <v>1054</v>
      </c>
      <c r="J778" s="9" t="s">
        <v>12118</v>
      </c>
      <c r="Q778" s="10"/>
      <c r="T778" s="9">
        <f>1-0</f>
        <v>1</v>
      </c>
      <c r="U778" s="9">
        <f t="shared" ca="1" si="30"/>
        <v>0</v>
      </c>
      <c r="V778" s="9">
        <f t="shared" ca="1" si="31"/>
        <v>1</v>
      </c>
      <c r="AC778" s="9" t="s">
        <v>12130</v>
      </c>
      <c r="AD778" s="9" t="s">
        <v>19</v>
      </c>
      <c r="AE778" s="9" t="s">
        <v>12086</v>
      </c>
    </row>
    <row r="779" spans="1:33">
      <c r="A779" s="3" t="s">
        <v>1055</v>
      </c>
      <c r="D779" s="3" t="s">
        <v>1056</v>
      </c>
      <c r="E779" s="3" t="s">
        <v>1057</v>
      </c>
      <c r="J779" s="9" t="s">
        <v>12118</v>
      </c>
      <c r="Q779" s="10"/>
      <c r="T779" s="9" t="s">
        <v>12131</v>
      </c>
      <c r="U779" s="9" t="str">
        <f t="shared" ca="1" si="30"/>
        <v/>
      </c>
      <c r="V779" s="9" t="str">
        <f t="shared" ca="1" si="31"/>
        <v/>
      </c>
      <c r="AC779" s="9" t="s">
        <v>12130</v>
      </c>
      <c r="AD779" s="9" t="s">
        <v>19</v>
      </c>
      <c r="AE779" s="9" t="s">
        <v>12086</v>
      </c>
    </row>
    <row r="780" spans="1:33" ht="29">
      <c r="A780" s="3" t="s">
        <v>1058</v>
      </c>
      <c r="D780" s="3" t="s">
        <v>5655</v>
      </c>
      <c r="E780" s="3" t="s">
        <v>5656</v>
      </c>
      <c r="I780" t="s">
        <v>12189</v>
      </c>
      <c r="J780" s="9" t="s">
        <v>26</v>
      </c>
      <c r="Q780" s="10"/>
      <c r="U780" s="9" t="str">
        <f t="shared" ca="1" si="30"/>
        <v/>
      </c>
      <c r="V780" s="9" t="str">
        <f t="shared" ca="1" si="31"/>
        <v/>
      </c>
      <c r="AG780" s="9" t="s">
        <v>20</v>
      </c>
    </row>
    <row r="781" spans="1:33">
      <c r="A781" s="3" t="s">
        <v>1058</v>
      </c>
      <c r="D781" s="3" t="s">
        <v>1059</v>
      </c>
      <c r="E781" s="3" t="s">
        <v>1060</v>
      </c>
      <c r="J781" s="9" t="s">
        <v>12120</v>
      </c>
      <c r="Q781" s="10"/>
      <c r="U781" s="9" t="str">
        <f t="shared" ca="1" si="30"/>
        <v/>
      </c>
      <c r="V781" s="9" t="str">
        <f t="shared" ca="1" si="31"/>
        <v/>
      </c>
      <c r="AC781" s="9" t="s">
        <v>12134</v>
      </c>
      <c r="AD781" s="9" t="s">
        <v>19</v>
      </c>
      <c r="AE781" s="9" t="s">
        <v>12086</v>
      </c>
    </row>
    <row r="782" spans="1:33">
      <c r="A782" s="3" t="s">
        <v>1061</v>
      </c>
      <c r="D782" s="3" t="s">
        <v>5359</v>
      </c>
      <c r="E782" s="3" t="s">
        <v>5360</v>
      </c>
      <c r="J782" s="9" t="s">
        <v>12120</v>
      </c>
      <c r="Q782" s="10"/>
      <c r="U782" s="9" t="str">
        <f t="shared" ca="1" si="30"/>
        <v/>
      </c>
      <c r="V782" s="9" t="str">
        <f t="shared" ca="1" si="31"/>
        <v/>
      </c>
      <c r="AB782" s="9" t="s">
        <v>12738</v>
      </c>
      <c r="AD782" s="9" t="s">
        <v>19</v>
      </c>
    </row>
    <row r="783" spans="1:33">
      <c r="A783" s="3" t="s">
        <v>1063</v>
      </c>
      <c r="D783" s="3" t="s">
        <v>5657</v>
      </c>
      <c r="E783" s="3" t="s">
        <v>5658</v>
      </c>
      <c r="J783" s="9" t="s">
        <v>12120</v>
      </c>
      <c r="Q783" s="10"/>
      <c r="U783" s="9" t="str">
        <f t="shared" ca="1" si="30"/>
        <v/>
      </c>
      <c r="V783" s="9" t="str">
        <f t="shared" ca="1" si="31"/>
        <v/>
      </c>
      <c r="AG783" s="9" t="s">
        <v>19</v>
      </c>
    </row>
    <row r="784" spans="1:33">
      <c r="A784" s="3" t="s">
        <v>1064</v>
      </c>
      <c r="D784" s="5" t="s">
        <v>1065</v>
      </c>
      <c r="E784" s="3" t="s">
        <v>1066</v>
      </c>
      <c r="F784" t="s">
        <v>15</v>
      </c>
      <c r="Q784" s="10"/>
      <c r="U784" s="9" t="str">
        <f t="shared" ca="1" si="30"/>
        <v/>
      </c>
      <c r="V784" s="9" t="str">
        <f t="shared" ca="1" si="31"/>
        <v/>
      </c>
    </row>
    <row r="785" spans="1:33">
      <c r="A785" s="3" t="s">
        <v>1064</v>
      </c>
      <c r="D785" s="3" t="s">
        <v>4817</v>
      </c>
      <c r="E785" s="3" t="s">
        <v>1067</v>
      </c>
      <c r="J785" s="9" t="s">
        <v>12120</v>
      </c>
      <c r="Q785" s="10"/>
      <c r="U785" s="9" t="str">
        <f t="shared" ca="1" si="30"/>
        <v/>
      </c>
      <c r="V785" s="9" t="str">
        <f t="shared" ca="1" si="31"/>
        <v/>
      </c>
      <c r="AC785" s="9" t="s">
        <v>12153</v>
      </c>
      <c r="AD785" s="9" t="s">
        <v>19</v>
      </c>
    </row>
    <row r="786" spans="1:33">
      <c r="A786" s="3" t="s">
        <v>1068</v>
      </c>
      <c r="D786" s="3" t="s">
        <v>1069</v>
      </c>
      <c r="E786" s="3" t="s">
        <v>1070</v>
      </c>
      <c r="J786" s="9" t="s">
        <v>12120</v>
      </c>
      <c r="Q786" s="10"/>
      <c r="U786" s="9" t="str">
        <f t="shared" ca="1" si="30"/>
        <v/>
      </c>
      <c r="V786" s="9" t="str">
        <f t="shared" ca="1" si="31"/>
        <v/>
      </c>
      <c r="AC786" s="9" t="s">
        <v>12739</v>
      </c>
      <c r="AD786" s="9" t="s">
        <v>19</v>
      </c>
    </row>
    <row r="787" spans="1:33">
      <c r="A787" s="3" t="s">
        <v>1071</v>
      </c>
      <c r="D787" s="3" t="s">
        <v>1072</v>
      </c>
      <c r="E787" s="3" t="s">
        <v>1073</v>
      </c>
      <c r="J787" s="9" t="s">
        <v>12118</v>
      </c>
      <c r="Q787" s="10"/>
      <c r="T787" s="9" t="s">
        <v>12131</v>
      </c>
      <c r="U787" s="9" t="str">
        <f t="shared" ca="1" si="30"/>
        <v/>
      </c>
      <c r="V787" s="9" t="str">
        <f t="shared" ca="1" si="31"/>
        <v/>
      </c>
      <c r="AC787" s="9" t="s">
        <v>12742</v>
      </c>
      <c r="AD787" s="9" t="s">
        <v>19</v>
      </c>
      <c r="AE787" s="9" t="s">
        <v>12086</v>
      </c>
    </row>
    <row r="788" spans="1:33">
      <c r="A788" s="3" t="s">
        <v>1071</v>
      </c>
      <c r="D788" s="3" t="s">
        <v>1074</v>
      </c>
      <c r="E788" s="3" t="s">
        <v>1075</v>
      </c>
      <c r="J788" s="9" t="s">
        <v>12118</v>
      </c>
      <c r="Q788" s="10"/>
      <c r="T788" s="9" t="s">
        <v>12131</v>
      </c>
      <c r="U788" s="9" t="str">
        <f t="shared" ca="1" si="30"/>
        <v/>
      </c>
      <c r="V788" s="9" t="str">
        <f t="shared" ca="1" si="31"/>
        <v/>
      </c>
      <c r="AB788" s="9" t="s">
        <v>12124</v>
      </c>
      <c r="AC788" s="9" t="s">
        <v>12130</v>
      </c>
      <c r="AD788" s="9" t="s">
        <v>19</v>
      </c>
    </row>
    <row r="789" spans="1:33">
      <c r="A789" s="3" t="s">
        <v>1076</v>
      </c>
      <c r="D789" s="3" t="s">
        <v>1077</v>
      </c>
      <c r="E789" s="3" t="s">
        <v>1078</v>
      </c>
      <c r="J789" s="9" t="s">
        <v>12118</v>
      </c>
      <c r="Q789" s="10"/>
      <c r="R789" s="9" t="s">
        <v>12074</v>
      </c>
      <c r="T789" s="9" t="s">
        <v>12131</v>
      </c>
      <c r="U789" s="9" t="str">
        <f t="shared" ca="1" si="30"/>
        <v/>
      </c>
      <c r="V789" s="9" t="str">
        <f t="shared" ca="1" si="31"/>
        <v/>
      </c>
      <c r="AE789" s="9" t="s">
        <v>12077</v>
      </c>
    </row>
    <row r="790" spans="1:33">
      <c r="A790" s="3" t="s">
        <v>1079</v>
      </c>
      <c r="D790" s="3" t="s">
        <v>5659</v>
      </c>
      <c r="E790" s="3" t="s">
        <v>5660</v>
      </c>
      <c r="J790" s="9" t="s">
        <v>12118</v>
      </c>
      <c r="Q790" s="10"/>
      <c r="T790" s="9">
        <f>160-4240</f>
        <v>-4080</v>
      </c>
      <c r="U790" s="9">
        <f t="shared" ca="1" si="30"/>
        <v>4240</v>
      </c>
      <c r="V790" s="9">
        <f t="shared" ca="1" si="31"/>
        <v>160</v>
      </c>
      <c r="AG790" s="9" t="s">
        <v>19</v>
      </c>
    </row>
    <row r="791" spans="1:33">
      <c r="A791" s="3" t="s">
        <v>1081</v>
      </c>
      <c r="D791" s="3" t="s">
        <v>5661</v>
      </c>
      <c r="E791" s="3" t="s">
        <v>5662</v>
      </c>
      <c r="J791" s="9" t="s">
        <v>24</v>
      </c>
      <c r="L791" s="9">
        <v>1</v>
      </c>
      <c r="M791" s="9">
        <v>1</v>
      </c>
      <c r="N791" s="9" t="s">
        <v>12078</v>
      </c>
      <c r="O791" s="9" t="s">
        <v>12119</v>
      </c>
      <c r="Q791" s="10"/>
      <c r="S791" s="9">
        <v>11843</v>
      </c>
      <c r="U791" s="9" t="str">
        <f t="shared" ca="1" si="30"/>
        <v/>
      </c>
      <c r="V791" s="9" t="str">
        <f t="shared" ca="1" si="31"/>
        <v/>
      </c>
      <c r="AG791" s="9" t="s">
        <v>20</v>
      </c>
    </row>
    <row r="792" spans="1:33">
      <c r="A792" s="3" t="s">
        <v>1082</v>
      </c>
      <c r="D792" s="3" t="s">
        <v>5663</v>
      </c>
      <c r="E792" s="3" t="s">
        <v>5664</v>
      </c>
      <c r="J792" s="9" t="s">
        <v>25</v>
      </c>
      <c r="L792" s="9">
        <v>1</v>
      </c>
      <c r="M792" s="9">
        <v>3</v>
      </c>
      <c r="N792" s="9" t="s">
        <v>12087</v>
      </c>
      <c r="O792" s="9" t="s">
        <v>12079</v>
      </c>
      <c r="Q792" s="10"/>
      <c r="S792" s="9">
        <v>810</v>
      </c>
      <c r="U792" s="9" t="str">
        <f t="shared" ca="1" si="30"/>
        <v/>
      </c>
      <c r="V792" s="9" t="str">
        <f t="shared" ca="1" si="31"/>
        <v/>
      </c>
      <c r="AG792" s="9" t="s">
        <v>19</v>
      </c>
    </row>
    <row r="793" spans="1:33">
      <c r="A793" s="3" t="s">
        <v>1083</v>
      </c>
      <c r="D793" s="3" t="s">
        <v>430</v>
      </c>
      <c r="E793" s="3" t="s">
        <v>431</v>
      </c>
      <c r="J793" s="9" t="s">
        <v>12118</v>
      </c>
      <c r="Q793" s="10"/>
      <c r="T793" s="9" t="s">
        <v>12131</v>
      </c>
      <c r="U793" s="9" t="str">
        <f t="shared" ca="1" si="30"/>
        <v/>
      </c>
      <c r="V793" s="9" t="str">
        <f t="shared" ca="1" si="31"/>
        <v/>
      </c>
      <c r="AC793" s="9" t="s">
        <v>12130</v>
      </c>
      <c r="AD793" s="9" t="s">
        <v>19</v>
      </c>
      <c r="AE793" s="9" t="s">
        <v>12086</v>
      </c>
    </row>
    <row r="794" spans="1:33">
      <c r="A794" s="3" t="s">
        <v>1083</v>
      </c>
      <c r="D794" s="3" t="s">
        <v>5663</v>
      </c>
      <c r="E794" s="3" t="s">
        <v>5664</v>
      </c>
      <c r="J794" s="9" t="s">
        <v>25</v>
      </c>
      <c r="L794" s="9">
        <v>1</v>
      </c>
      <c r="M794" s="9">
        <v>3</v>
      </c>
      <c r="N794" s="9" t="s">
        <v>12087</v>
      </c>
      <c r="O794" s="9" t="s">
        <v>12079</v>
      </c>
      <c r="Q794" s="10"/>
      <c r="S794" s="9">
        <v>810</v>
      </c>
      <c r="U794" s="9" t="str">
        <f t="shared" ca="1" si="30"/>
        <v/>
      </c>
      <c r="V794" s="9" t="str">
        <f t="shared" ca="1" si="31"/>
        <v/>
      </c>
      <c r="AG794" s="9" t="s">
        <v>19</v>
      </c>
    </row>
    <row r="795" spans="1:33">
      <c r="A795" s="3" t="s">
        <v>1084</v>
      </c>
      <c r="D795" s="3" t="s">
        <v>5665</v>
      </c>
      <c r="E795" s="3" t="s">
        <v>5666</v>
      </c>
      <c r="J795" s="9" t="s">
        <v>24</v>
      </c>
      <c r="L795" s="9">
        <v>1</v>
      </c>
      <c r="M795" s="9">
        <v>2</v>
      </c>
      <c r="N795" s="9" t="s">
        <v>12094</v>
      </c>
      <c r="O795" s="9" t="s">
        <v>12119</v>
      </c>
      <c r="Q795" s="10"/>
      <c r="R795" s="9" t="s">
        <v>12074</v>
      </c>
      <c r="S795" s="9">
        <v>412</v>
      </c>
      <c r="U795" s="9" t="str">
        <f t="shared" ca="1" si="30"/>
        <v/>
      </c>
      <c r="V795" s="9" t="str">
        <f t="shared" ca="1" si="31"/>
        <v/>
      </c>
      <c r="AG795" s="9" t="s">
        <v>20</v>
      </c>
    </row>
    <row r="796" spans="1:33">
      <c r="A796" s="3" t="s">
        <v>1085</v>
      </c>
      <c r="D796" s="3" t="s">
        <v>1086</v>
      </c>
      <c r="E796" s="3" t="s">
        <v>1087</v>
      </c>
      <c r="J796" s="9" t="s">
        <v>12120</v>
      </c>
      <c r="Q796" s="10"/>
      <c r="U796" s="9" t="str">
        <f t="shared" ca="1" si="30"/>
        <v/>
      </c>
      <c r="V796" s="9" t="str">
        <f t="shared" ca="1" si="31"/>
        <v/>
      </c>
      <c r="AC796" s="9" t="s">
        <v>12188</v>
      </c>
      <c r="AD796" s="9" t="s">
        <v>19</v>
      </c>
    </row>
    <row r="797" spans="1:33">
      <c r="A797" s="3" t="s">
        <v>1085</v>
      </c>
      <c r="D797" s="3" t="s">
        <v>5668</v>
      </c>
      <c r="E797" s="3" t="s">
        <v>5667</v>
      </c>
      <c r="J797" s="9" t="s">
        <v>24</v>
      </c>
      <c r="L797" s="9">
        <v>1</v>
      </c>
      <c r="M797" s="9">
        <v>3</v>
      </c>
      <c r="N797" s="9" t="s">
        <v>12078</v>
      </c>
      <c r="O797" s="9" t="s">
        <v>12079</v>
      </c>
      <c r="Q797" s="10"/>
      <c r="S797" s="9">
        <v>11843</v>
      </c>
      <c r="U797" s="9" t="str">
        <f t="shared" ca="1" si="30"/>
        <v/>
      </c>
      <c r="V797" s="9" t="str">
        <f t="shared" ca="1" si="31"/>
        <v/>
      </c>
      <c r="AG797" s="9" t="s">
        <v>20</v>
      </c>
    </row>
    <row r="798" spans="1:33">
      <c r="A798" s="3" t="s">
        <v>1089</v>
      </c>
      <c r="D798" s="3" t="s">
        <v>5669</v>
      </c>
      <c r="E798" s="3" t="s">
        <v>5670</v>
      </c>
      <c r="G798" t="s">
        <v>19</v>
      </c>
      <c r="J798" s="9" t="s">
        <v>12118</v>
      </c>
      <c r="Q798" s="10"/>
      <c r="T798" s="9">
        <f>3-0</f>
        <v>3</v>
      </c>
      <c r="U798" s="9">
        <f t="shared" ca="1" si="30"/>
        <v>0</v>
      </c>
      <c r="V798" s="9">
        <f t="shared" ca="1" si="31"/>
        <v>3</v>
      </c>
    </row>
    <row r="799" spans="1:33">
      <c r="A799" s="3" t="s">
        <v>1090</v>
      </c>
      <c r="D799" s="3" t="s">
        <v>1091</v>
      </c>
      <c r="E799" s="3" t="s">
        <v>1092</v>
      </c>
      <c r="J799" s="9" t="s">
        <v>12121</v>
      </c>
      <c r="Q799" s="10"/>
      <c r="T799" s="9" t="s">
        <v>12131</v>
      </c>
      <c r="U799" s="9" t="str">
        <f t="shared" ca="1" si="30"/>
        <v/>
      </c>
      <c r="V799" s="9" t="str">
        <f t="shared" ca="1" si="31"/>
        <v/>
      </c>
      <c r="AC799" s="9" t="s">
        <v>12130</v>
      </c>
      <c r="AD799" s="9" t="s">
        <v>19</v>
      </c>
      <c r="AE799" s="9" t="s">
        <v>12086</v>
      </c>
    </row>
    <row r="800" spans="1:33">
      <c r="A800" s="3" t="s">
        <v>1090</v>
      </c>
      <c r="D800" s="3" t="s">
        <v>799</v>
      </c>
      <c r="E800" s="3" t="s">
        <v>800</v>
      </c>
      <c r="J800" s="9" t="s">
        <v>12120</v>
      </c>
      <c r="Q800" s="10"/>
      <c r="U800" s="9" t="str">
        <f t="shared" ca="1" si="30"/>
        <v/>
      </c>
      <c r="V800" s="9" t="str">
        <f t="shared" ca="1" si="31"/>
        <v/>
      </c>
      <c r="AC800" s="9" t="s">
        <v>12739</v>
      </c>
      <c r="AD800" s="9" t="s">
        <v>19</v>
      </c>
    </row>
    <row r="801" spans="1:33">
      <c r="A801" s="3" t="s">
        <v>1090</v>
      </c>
      <c r="D801" s="3" t="s">
        <v>5671</v>
      </c>
      <c r="E801" s="3" t="s">
        <v>5672</v>
      </c>
      <c r="G801" t="s">
        <v>19</v>
      </c>
      <c r="J801" s="9" t="s">
        <v>24</v>
      </c>
      <c r="L801" s="9">
        <v>1</v>
      </c>
      <c r="M801" s="9">
        <v>3</v>
      </c>
      <c r="N801" s="9" t="s">
        <v>12078</v>
      </c>
      <c r="O801" s="9" t="s">
        <v>12079</v>
      </c>
      <c r="Q801" s="10"/>
      <c r="S801" s="9">
        <v>11843</v>
      </c>
      <c r="U801" s="9" t="str">
        <f t="shared" ca="1" si="30"/>
        <v/>
      </c>
      <c r="V801" s="9" t="str">
        <f t="shared" ca="1" si="31"/>
        <v/>
      </c>
    </row>
    <row r="802" spans="1:33">
      <c r="A802" s="3" t="s">
        <v>1093</v>
      </c>
      <c r="D802" s="3" t="s">
        <v>1094</v>
      </c>
      <c r="E802" s="3" t="s">
        <v>1095</v>
      </c>
      <c r="J802" s="9" t="s">
        <v>12118</v>
      </c>
      <c r="Q802" s="10"/>
      <c r="T802" s="9" t="s">
        <v>12131</v>
      </c>
      <c r="U802" s="9" t="str">
        <f t="shared" ca="1" si="30"/>
        <v/>
      </c>
      <c r="V802" s="9" t="str">
        <f t="shared" ca="1" si="31"/>
        <v/>
      </c>
      <c r="AC802" s="9" t="s">
        <v>12130</v>
      </c>
      <c r="AD802" s="9" t="s">
        <v>19</v>
      </c>
      <c r="AE802" s="9" t="s">
        <v>12086</v>
      </c>
    </row>
    <row r="803" spans="1:33">
      <c r="A803" s="3" t="s">
        <v>1096</v>
      </c>
      <c r="D803" s="3" t="s">
        <v>5673</v>
      </c>
      <c r="E803" s="3" t="s">
        <v>5674</v>
      </c>
      <c r="J803" s="9" t="s">
        <v>12120</v>
      </c>
      <c r="Q803" s="10"/>
      <c r="U803" s="9" t="str">
        <f t="shared" ca="1" si="30"/>
        <v/>
      </c>
      <c r="V803" s="9" t="str">
        <f t="shared" ca="1" si="31"/>
        <v/>
      </c>
      <c r="AC803" s="9" t="s">
        <v>12130</v>
      </c>
      <c r="AD803" s="9" t="s">
        <v>19</v>
      </c>
    </row>
    <row r="804" spans="1:33">
      <c r="A804" s="3" t="s">
        <v>1096</v>
      </c>
      <c r="D804" s="3" t="s">
        <v>1097</v>
      </c>
      <c r="E804" s="3" t="s">
        <v>1098</v>
      </c>
      <c r="J804" s="9" t="s">
        <v>12118</v>
      </c>
      <c r="Q804" s="10"/>
      <c r="T804" s="9" t="s">
        <v>12131</v>
      </c>
      <c r="U804" s="9" t="str">
        <f t="shared" ca="1" si="30"/>
        <v/>
      </c>
      <c r="V804" s="9" t="str">
        <f t="shared" ca="1" si="31"/>
        <v/>
      </c>
      <c r="AE804" s="9" t="s">
        <v>12077</v>
      </c>
    </row>
    <row r="805" spans="1:33" ht="29">
      <c r="A805" s="3" t="s">
        <v>1096</v>
      </c>
      <c r="D805" s="3" t="s">
        <v>5675</v>
      </c>
      <c r="E805" s="3" t="s">
        <v>5676</v>
      </c>
      <c r="G805" t="s">
        <v>19</v>
      </c>
      <c r="J805" s="9" t="s">
        <v>12120</v>
      </c>
      <c r="Q805" s="10"/>
      <c r="U805" s="9" t="str">
        <f t="shared" ca="1" si="30"/>
        <v/>
      </c>
      <c r="V805" s="9" t="str">
        <f t="shared" ca="1" si="31"/>
        <v/>
      </c>
      <c r="AB805" s="9" t="s">
        <v>12124</v>
      </c>
      <c r="AD805" s="9" t="s">
        <v>19</v>
      </c>
    </row>
    <row r="806" spans="1:33">
      <c r="A806" s="3" t="s">
        <v>1096</v>
      </c>
      <c r="D806" s="3" t="s">
        <v>5678</v>
      </c>
      <c r="E806" s="3" t="s">
        <v>5679</v>
      </c>
      <c r="G806" t="s">
        <v>19</v>
      </c>
      <c r="J806" s="9" t="s">
        <v>12120</v>
      </c>
      <c r="Q806" s="10"/>
      <c r="U806" s="9" t="str">
        <f t="shared" ca="1" si="30"/>
        <v/>
      </c>
      <c r="V806" s="9" t="str">
        <f t="shared" ca="1" si="31"/>
        <v/>
      </c>
      <c r="AC806" s="9" t="s">
        <v>12173</v>
      </c>
      <c r="AD806" s="9" t="s">
        <v>19</v>
      </c>
    </row>
    <row r="807" spans="1:33">
      <c r="A807" s="3" t="s">
        <v>1096</v>
      </c>
      <c r="D807" s="3" t="s">
        <v>5677</v>
      </c>
      <c r="E807" s="3" t="s">
        <v>5680</v>
      </c>
      <c r="J807" s="9" t="s">
        <v>24</v>
      </c>
      <c r="L807" s="9">
        <v>1</v>
      </c>
      <c r="M807" s="9">
        <v>2</v>
      </c>
      <c r="N807" s="9" t="s">
        <v>12078</v>
      </c>
      <c r="O807" s="9" t="s">
        <v>12119</v>
      </c>
      <c r="Q807" s="10"/>
      <c r="S807" s="9">
        <v>11843</v>
      </c>
      <c r="U807" s="9" t="str">
        <f t="shared" ca="1" si="30"/>
        <v/>
      </c>
      <c r="V807" s="9" t="str">
        <f t="shared" ca="1" si="31"/>
        <v/>
      </c>
      <c r="AG807" s="9" t="s">
        <v>20</v>
      </c>
    </row>
    <row r="808" spans="1:33">
      <c r="A808" s="3" t="s">
        <v>1100</v>
      </c>
      <c r="D808" s="3" t="s">
        <v>5681</v>
      </c>
      <c r="E808" s="3" t="s">
        <v>5682</v>
      </c>
      <c r="J808" s="9" t="s">
        <v>25</v>
      </c>
      <c r="L808" s="9">
        <v>1</v>
      </c>
      <c r="M808" s="9">
        <v>2</v>
      </c>
      <c r="N808" s="9" t="s">
        <v>12087</v>
      </c>
      <c r="O808" s="9" t="s">
        <v>12119</v>
      </c>
      <c r="Q808" s="10"/>
      <c r="S808" s="9">
        <v>1966</v>
      </c>
      <c r="U808" s="9" t="str">
        <f t="shared" ca="1" si="30"/>
        <v/>
      </c>
      <c r="V808" s="9" t="str">
        <f t="shared" ca="1" si="31"/>
        <v/>
      </c>
      <c r="AG808" s="9" t="s">
        <v>19</v>
      </c>
    </row>
    <row r="809" spans="1:33">
      <c r="A809" s="3" t="s">
        <v>1102</v>
      </c>
      <c r="D809" s="3" t="s">
        <v>1103</v>
      </c>
      <c r="E809" s="3" t="s">
        <v>1104</v>
      </c>
      <c r="J809" s="9" t="s">
        <v>12118</v>
      </c>
      <c r="Q809" s="10"/>
      <c r="T809" s="9" t="s">
        <v>12131</v>
      </c>
      <c r="U809" s="9" t="str">
        <f t="shared" ca="1" si="30"/>
        <v/>
      </c>
      <c r="V809" s="9" t="str">
        <f t="shared" ca="1" si="31"/>
        <v/>
      </c>
      <c r="AC809" s="9" t="s">
        <v>12130</v>
      </c>
      <c r="AD809" s="9" t="s">
        <v>19</v>
      </c>
      <c r="AE809" s="9" t="s">
        <v>12086</v>
      </c>
    </row>
    <row r="810" spans="1:33">
      <c r="A810" s="3" t="s">
        <v>1102</v>
      </c>
      <c r="D810" s="3" t="s">
        <v>5683</v>
      </c>
      <c r="E810" s="3" t="s">
        <v>5684</v>
      </c>
      <c r="G810" t="s">
        <v>19</v>
      </c>
      <c r="J810" s="9" t="s">
        <v>12120</v>
      </c>
      <c r="Q810" s="10"/>
      <c r="U810" s="9" t="str">
        <f t="shared" ca="1" si="30"/>
        <v/>
      </c>
      <c r="V810" s="9" t="str">
        <f t="shared" ca="1" si="31"/>
        <v/>
      </c>
    </row>
    <row r="811" spans="1:33">
      <c r="A811" s="3" t="s">
        <v>1106</v>
      </c>
      <c r="D811" s="3" t="s">
        <v>1107</v>
      </c>
      <c r="E811" s="3" t="s">
        <v>1108</v>
      </c>
      <c r="J811" s="9" t="s">
        <v>12118</v>
      </c>
      <c r="Q811" s="10"/>
      <c r="T811" s="9" t="s">
        <v>12131</v>
      </c>
      <c r="U811" s="9" t="str">
        <f t="shared" ca="1" si="30"/>
        <v/>
      </c>
      <c r="V811" s="9" t="str">
        <f t="shared" ca="1" si="31"/>
        <v/>
      </c>
      <c r="AC811" s="9" t="s">
        <v>12130</v>
      </c>
      <c r="AD811" s="9" t="s">
        <v>19</v>
      </c>
      <c r="AE811" s="9" t="s">
        <v>12086</v>
      </c>
    </row>
    <row r="812" spans="1:33">
      <c r="A812" s="3" t="s">
        <v>1106</v>
      </c>
      <c r="D812" s="3" t="s">
        <v>5685</v>
      </c>
      <c r="E812" s="3" t="s">
        <v>5686</v>
      </c>
      <c r="J812" s="9" t="s">
        <v>12120</v>
      </c>
      <c r="Q812" s="10"/>
      <c r="U812" s="9" t="str">
        <f t="shared" ca="1" si="30"/>
        <v/>
      </c>
      <c r="V812" s="9" t="str">
        <f t="shared" ca="1" si="31"/>
        <v/>
      </c>
      <c r="AB812" s="9" t="s">
        <v>12082</v>
      </c>
      <c r="AD812" s="9" t="s">
        <v>19</v>
      </c>
    </row>
    <row r="813" spans="1:33" ht="29">
      <c r="A813" s="3" t="s">
        <v>1106</v>
      </c>
      <c r="D813" s="3" t="s">
        <v>5687</v>
      </c>
      <c r="E813" s="3" t="s">
        <v>5688</v>
      </c>
      <c r="J813" s="9" t="s">
        <v>25</v>
      </c>
      <c r="L813" s="9">
        <v>1</v>
      </c>
      <c r="M813" s="9">
        <v>3</v>
      </c>
      <c r="N813" s="9" t="s">
        <v>12087</v>
      </c>
      <c r="O813" s="9" t="s">
        <v>12079</v>
      </c>
      <c r="Q813" s="10"/>
      <c r="S813" s="9">
        <v>5676</v>
      </c>
      <c r="U813" s="9" t="str">
        <f t="shared" ca="1" si="30"/>
        <v/>
      </c>
      <c r="V813" s="9" t="str">
        <f t="shared" ca="1" si="31"/>
        <v/>
      </c>
      <c r="AG813" s="9" t="s">
        <v>20</v>
      </c>
    </row>
    <row r="814" spans="1:33">
      <c r="A814" s="3" t="s">
        <v>1109</v>
      </c>
      <c r="D814" s="3" t="s">
        <v>5689</v>
      </c>
      <c r="E814" s="3" t="s">
        <v>5690</v>
      </c>
      <c r="J814" s="9" t="s">
        <v>12120</v>
      </c>
      <c r="Q814" s="10"/>
      <c r="U814" s="9" t="str">
        <f t="shared" ca="1" si="30"/>
        <v/>
      </c>
      <c r="V814" s="9" t="str">
        <f t="shared" ca="1" si="31"/>
        <v/>
      </c>
      <c r="AG814" s="9" t="s">
        <v>19</v>
      </c>
    </row>
    <row r="815" spans="1:33">
      <c r="A815" s="3" t="s">
        <v>1109</v>
      </c>
      <c r="D815" s="3" t="s">
        <v>1110</v>
      </c>
      <c r="E815" s="3" t="s">
        <v>1111</v>
      </c>
      <c r="J815" s="9" t="s">
        <v>12118</v>
      </c>
      <c r="Q815" s="10"/>
      <c r="T815" s="9" t="s">
        <v>12131</v>
      </c>
      <c r="U815" s="9" t="str">
        <f t="shared" ca="1" si="30"/>
        <v/>
      </c>
      <c r="V815" s="9" t="str">
        <f t="shared" ca="1" si="31"/>
        <v/>
      </c>
      <c r="AC815" s="9" t="s">
        <v>12130</v>
      </c>
      <c r="AD815" s="9" t="s">
        <v>19</v>
      </c>
      <c r="AE815" s="9" t="s">
        <v>12086</v>
      </c>
    </row>
    <row r="816" spans="1:33">
      <c r="A816" s="3" t="s">
        <v>1112</v>
      </c>
      <c r="D816" s="3" t="s">
        <v>1091</v>
      </c>
      <c r="E816" s="3" t="s">
        <v>1113</v>
      </c>
      <c r="J816" s="9" t="s">
        <v>12120</v>
      </c>
      <c r="Q816" s="10"/>
      <c r="U816" s="9" t="str">
        <f t="shared" ca="1" si="30"/>
        <v/>
      </c>
      <c r="V816" s="9" t="str">
        <f t="shared" ca="1" si="31"/>
        <v/>
      </c>
      <c r="AC816" s="9" t="s">
        <v>12130</v>
      </c>
      <c r="AD816" s="9" t="s">
        <v>19</v>
      </c>
      <c r="AE816" s="9" t="s">
        <v>12086</v>
      </c>
    </row>
    <row r="817" spans="1:33" ht="29">
      <c r="A817" s="3" t="s">
        <v>1112</v>
      </c>
      <c r="D817" s="3" t="s">
        <v>5691</v>
      </c>
      <c r="E817" s="3" t="s">
        <v>5692</v>
      </c>
      <c r="J817" s="9" t="s">
        <v>12120</v>
      </c>
      <c r="Q817" s="10"/>
      <c r="U817" s="9" t="str">
        <f t="shared" ca="1" si="30"/>
        <v/>
      </c>
      <c r="V817" s="9" t="str">
        <f t="shared" ca="1" si="31"/>
        <v/>
      </c>
      <c r="AG817" s="9" t="s">
        <v>20</v>
      </c>
    </row>
    <row r="818" spans="1:33" ht="29">
      <c r="A818" s="3" t="s">
        <v>1115</v>
      </c>
      <c r="D818" s="3" t="s">
        <v>5695</v>
      </c>
      <c r="E818" s="3" t="s">
        <v>5694</v>
      </c>
      <c r="J818" s="9" t="s">
        <v>25</v>
      </c>
      <c r="L818" s="9">
        <v>1</v>
      </c>
      <c r="M818" s="9">
        <v>3</v>
      </c>
      <c r="N818" s="9" t="s">
        <v>12078</v>
      </c>
      <c r="O818" s="9" t="s">
        <v>12079</v>
      </c>
      <c r="Q818" s="10"/>
      <c r="S818" s="9">
        <v>11843</v>
      </c>
      <c r="U818" s="9" t="str">
        <f t="shared" ca="1" si="30"/>
        <v/>
      </c>
      <c r="V818" s="9" t="str">
        <f t="shared" ca="1" si="31"/>
        <v/>
      </c>
      <c r="AG818" s="9" t="s">
        <v>19</v>
      </c>
    </row>
    <row r="819" spans="1:33" ht="29">
      <c r="A819" s="3" t="s">
        <v>1115</v>
      </c>
      <c r="D819" s="3" t="s">
        <v>5693</v>
      </c>
      <c r="E819" s="3" t="s">
        <v>5696</v>
      </c>
      <c r="J819" s="9" t="s">
        <v>24</v>
      </c>
      <c r="L819" s="9">
        <v>1</v>
      </c>
      <c r="M819" s="9">
        <v>4</v>
      </c>
      <c r="N819" s="9" t="s">
        <v>12078</v>
      </c>
      <c r="O819" s="9" t="s">
        <v>12073</v>
      </c>
      <c r="P819" s="9" t="s">
        <v>12149</v>
      </c>
      <c r="Q819" s="10" t="s">
        <v>12143</v>
      </c>
      <c r="S819" s="9">
        <v>11843</v>
      </c>
      <c r="U819" s="9" t="str">
        <f t="shared" ca="1" si="30"/>
        <v/>
      </c>
      <c r="V819" s="9" t="str">
        <f t="shared" ca="1" si="31"/>
        <v/>
      </c>
      <c r="AG819" s="9" t="s">
        <v>13141</v>
      </c>
    </row>
    <row r="820" spans="1:33" ht="29">
      <c r="A820" s="3" t="s">
        <v>1115</v>
      </c>
      <c r="D820" s="3" t="s">
        <v>5697</v>
      </c>
      <c r="E820" s="3" t="s">
        <v>5698</v>
      </c>
      <c r="I820" t="s">
        <v>12189</v>
      </c>
      <c r="J820" s="9" t="s">
        <v>26</v>
      </c>
      <c r="Q820" s="10"/>
      <c r="U820" s="9" t="str">
        <f t="shared" ca="1" si="30"/>
        <v/>
      </c>
      <c r="V820" s="9" t="str">
        <f t="shared" ca="1" si="31"/>
        <v/>
      </c>
      <c r="AG820" s="9" t="s">
        <v>19</v>
      </c>
    </row>
    <row r="821" spans="1:33" ht="29">
      <c r="A821" s="3" t="s">
        <v>1116</v>
      </c>
      <c r="D821" s="3" t="s">
        <v>5699</v>
      </c>
      <c r="E821" s="3" t="s">
        <v>5700</v>
      </c>
      <c r="J821" s="9" t="s">
        <v>12120</v>
      </c>
      <c r="Q821" s="10"/>
      <c r="U821" s="9" t="str">
        <f t="shared" ca="1" si="30"/>
        <v/>
      </c>
      <c r="V821" s="9" t="str">
        <f t="shared" ca="1" si="31"/>
        <v/>
      </c>
      <c r="AB821" s="9" t="s">
        <v>12082</v>
      </c>
      <c r="AD821" s="9" t="s">
        <v>19</v>
      </c>
    </row>
    <row r="822" spans="1:33" ht="116">
      <c r="A822" s="3" t="s">
        <v>1116</v>
      </c>
      <c r="D822" s="3" t="s">
        <v>5702</v>
      </c>
      <c r="E822" s="3" t="s">
        <v>5701</v>
      </c>
      <c r="I822" t="s">
        <v>13101</v>
      </c>
      <c r="J822" s="15" t="s">
        <v>25</v>
      </c>
      <c r="K822" s="15"/>
      <c r="L822" s="15">
        <v>15</v>
      </c>
      <c r="M822" s="15">
        <v>90</v>
      </c>
      <c r="N822" s="15"/>
      <c r="O822" s="15" t="s">
        <v>12079</v>
      </c>
      <c r="P822" s="15"/>
      <c r="Q822" s="16"/>
      <c r="R822" s="15"/>
      <c r="S822" s="15">
        <v>1</v>
      </c>
      <c r="T822" s="15"/>
      <c r="U822" s="15" t="str">
        <f t="shared" ca="1" si="30"/>
        <v/>
      </c>
      <c r="V822" s="15" t="str">
        <f t="shared" ca="1" si="31"/>
        <v/>
      </c>
      <c r="W822" s="15"/>
      <c r="X822" s="15"/>
      <c r="Y822" s="15"/>
      <c r="Z822" s="15"/>
      <c r="AA822" s="15"/>
      <c r="AB822" s="15"/>
      <c r="AC822" s="15"/>
      <c r="AD822" s="15"/>
      <c r="AE822" s="15"/>
      <c r="AF822" s="15"/>
      <c r="AG822" s="15" t="s">
        <v>19</v>
      </c>
    </row>
    <row r="823" spans="1:33">
      <c r="A823" s="3" t="s">
        <v>1117</v>
      </c>
      <c r="D823" s="3" t="s">
        <v>1118</v>
      </c>
      <c r="E823" s="3" t="s">
        <v>1119</v>
      </c>
      <c r="J823" s="9" t="s">
        <v>12120</v>
      </c>
      <c r="Q823" s="10"/>
      <c r="U823" s="9" t="str">
        <f t="shared" ca="1" si="30"/>
        <v/>
      </c>
      <c r="V823" s="9" t="str">
        <f t="shared" ca="1" si="31"/>
        <v/>
      </c>
      <c r="AC823" s="9" t="s">
        <v>12744</v>
      </c>
      <c r="AD823" s="9" t="s">
        <v>19</v>
      </c>
    </row>
    <row r="824" spans="1:33">
      <c r="A824" s="3" t="s">
        <v>1120</v>
      </c>
      <c r="D824" s="3" t="s">
        <v>5359</v>
      </c>
      <c r="E824" s="3" t="s">
        <v>5360</v>
      </c>
      <c r="J824" s="9" t="s">
        <v>12120</v>
      </c>
      <c r="Q824" s="10"/>
      <c r="U824" s="9" t="str">
        <f t="shared" ca="1" si="30"/>
        <v/>
      </c>
      <c r="V824" s="9" t="str">
        <f t="shared" ca="1" si="31"/>
        <v/>
      </c>
      <c r="AB824" s="9" t="s">
        <v>12738</v>
      </c>
      <c r="AD824" s="9" t="s">
        <v>19</v>
      </c>
    </row>
    <row r="825" spans="1:33">
      <c r="A825" s="3" t="s">
        <v>1120</v>
      </c>
      <c r="D825" s="3" t="s">
        <v>1118</v>
      </c>
      <c r="E825" s="3" t="s">
        <v>1119</v>
      </c>
      <c r="J825" s="9" t="s">
        <v>12120</v>
      </c>
      <c r="Q825" s="10"/>
      <c r="U825" s="9" t="str">
        <f t="shared" ca="1" si="30"/>
        <v/>
      </c>
      <c r="V825" s="9" t="str">
        <f t="shared" ca="1" si="31"/>
        <v/>
      </c>
      <c r="AC825" s="9" t="s">
        <v>12744</v>
      </c>
      <c r="AD825" s="9" t="s">
        <v>19</v>
      </c>
    </row>
    <row r="826" spans="1:33">
      <c r="A826" s="3" t="s">
        <v>1120</v>
      </c>
      <c r="D826" s="3" t="s">
        <v>1121</v>
      </c>
      <c r="E826" s="5" t="s">
        <v>1122</v>
      </c>
      <c r="F826" t="s">
        <v>16</v>
      </c>
      <c r="Q826" s="10"/>
      <c r="U826" s="9" t="str">
        <f t="shared" ca="1" si="30"/>
        <v/>
      </c>
      <c r="V826" s="9" t="str">
        <f t="shared" ca="1" si="31"/>
        <v/>
      </c>
    </row>
    <row r="827" spans="1:33">
      <c r="A827" s="3" t="s">
        <v>1123</v>
      </c>
      <c r="D827" s="3" t="s">
        <v>1124</v>
      </c>
      <c r="E827" s="3" t="s">
        <v>1125</v>
      </c>
      <c r="J827" s="9" t="s">
        <v>12120</v>
      </c>
      <c r="Q827" s="10"/>
      <c r="U827" s="9" t="str">
        <f t="shared" ca="1" si="30"/>
        <v/>
      </c>
      <c r="V827" s="9" t="str">
        <f t="shared" ca="1" si="31"/>
        <v/>
      </c>
      <c r="AG827" s="9" t="s">
        <v>19</v>
      </c>
    </row>
    <row r="828" spans="1:33">
      <c r="A828" s="3" t="s">
        <v>1126</v>
      </c>
      <c r="D828" s="3" t="s">
        <v>5703</v>
      </c>
      <c r="E828" s="3" t="s">
        <v>5704</v>
      </c>
      <c r="J828" s="9" t="s">
        <v>12120</v>
      </c>
      <c r="Q828" s="10"/>
      <c r="U828" s="9" t="str">
        <f t="shared" ca="1" si="30"/>
        <v/>
      </c>
      <c r="V828" s="9" t="str">
        <f t="shared" ca="1" si="31"/>
        <v/>
      </c>
      <c r="AG828" s="9" t="s">
        <v>20</v>
      </c>
    </row>
    <row r="829" spans="1:33">
      <c r="A829" s="3" t="s">
        <v>1127</v>
      </c>
      <c r="D829" s="7" t="s">
        <v>5705</v>
      </c>
      <c r="E829" s="7" t="s">
        <v>5706</v>
      </c>
      <c r="G829" t="s">
        <v>20</v>
      </c>
      <c r="H829" t="s">
        <v>19</v>
      </c>
      <c r="Q829" s="10"/>
      <c r="U829" s="9" t="str">
        <f t="shared" ca="1" si="30"/>
        <v/>
      </c>
      <c r="V829" s="9" t="str">
        <f t="shared" ca="1" si="31"/>
        <v/>
      </c>
    </row>
    <row r="830" spans="1:33">
      <c r="A830" s="3" t="s">
        <v>1127</v>
      </c>
      <c r="D830" s="3" t="s">
        <v>5707</v>
      </c>
      <c r="E830" s="3" t="s">
        <v>5708</v>
      </c>
      <c r="J830" s="9" t="s">
        <v>12118</v>
      </c>
      <c r="Q830" s="10"/>
      <c r="T830" s="9" t="s">
        <v>12131</v>
      </c>
      <c r="U830" s="9" t="str">
        <f t="shared" ca="1" si="30"/>
        <v/>
      </c>
      <c r="V830" s="9" t="str">
        <f t="shared" ca="1" si="31"/>
        <v/>
      </c>
      <c r="AE830" s="9" t="s">
        <v>12077</v>
      </c>
    </row>
    <row r="831" spans="1:33">
      <c r="A831" s="3" t="s">
        <v>1129</v>
      </c>
      <c r="D831" s="3" t="s">
        <v>1041</v>
      </c>
      <c r="E831" s="5" t="s">
        <v>1042</v>
      </c>
      <c r="F831" t="s">
        <v>16</v>
      </c>
      <c r="Q831" s="10"/>
      <c r="U831" s="9" t="str">
        <f t="shared" ca="1" si="30"/>
        <v/>
      </c>
      <c r="V831" s="9" t="str">
        <f t="shared" ca="1" si="31"/>
        <v/>
      </c>
    </row>
    <row r="832" spans="1:33">
      <c r="A832" s="3" t="s">
        <v>1130</v>
      </c>
      <c r="D832" s="3" t="s">
        <v>500</v>
      </c>
      <c r="E832" s="3" t="s">
        <v>1131</v>
      </c>
      <c r="J832" s="9" t="s">
        <v>12120</v>
      </c>
      <c r="Q832" s="10"/>
      <c r="U832" s="9" t="str">
        <f t="shared" ca="1" si="30"/>
        <v/>
      </c>
      <c r="V832" s="9" t="str">
        <f t="shared" ca="1" si="31"/>
        <v/>
      </c>
      <c r="AC832" s="9" t="s">
        <v>12188</v>
      </c>
      <c r="AD832" s="9" t="s">
        <v>19</v>
      </c>
    </row>
    <row r="833" spans="1:33">
      <c r="A833" s="3" t="s">
        <v>1132</v>
      </c>
      <c r="D833" s="3" t="s">
        <v>5709</v>
      </c>
      <c r="E833" s="3" t="s">
        <v>5710</v>
      </c>
      <c r="J833" s="9" t="s">
        <v>12120</v>
      </c>
      <c r="Q833" s="10"/>
      <c r="U833" s="9" t="str">
        <f t="shared" ca="1" si="30"/>
        <v/>
      </c>
      <c r="V833" s="9" t="str">
        <f t="shared" ca="1" si="31"/>
        <v/>
      </c>
      <c r="AC833" s="9" t="s">
        <v>12188</v>
      </c>
      <c r="AD833" s="9" t="s">
        <v>19</v>
      </c>
      <c r="AE833" s="9" t="s">
        <v>12089</v>
      </c>
    </row>
    <row r="834" spans="1:33">
      <c r="A834" s="3" t="s">
        <v>1132</v>
      </c>
      <c r="D834" s="3" t="s">
        <v>5711</v>
      </c>
      <c r="E834" s="3" t="s">
        <v>12652</v>
      </c>
      <c r="I834" t="s">
        <v>12185</v>
      </c>
      <c r="J834" s="9" t="s">
        <v>26</v>
      </c>
      <c r="Q834" s="10"/>
      <c r="U834" s="9" t="str">
        <f t="shared" ca="1" si="30"/>
        <v/>
      </c>
      <c r="V834" s="9" t="str">
        <f t="shared" ca="1" si="31"/>
        <v/>
      </c>
      <c r="AG834" s="9" t="s">
        <v>20</v>
      </c>
    </row>
    <row r="835" spans="1:33">
      <c r="A835" s="3" t="s">
        <v>1132</v>
      </c>
      <c r="D835" s="3" t="s">
        <v>5712</v>
      </c>
      <c r="E835" s="3" t="s">
        <v>5713</v>
      </c>
      <c r="J835" s="9" t="s">
        <v>12120</v>
      </c>
      <c r="Q835" s="10"/>
      <c r="U835" s="9" t="str">
        <f t="shared" ca="1" si="30"/>
        <v/>
      </c>
      <c r="V835" s="9" t="str">
        <f t="shared" ca="1" si="31"/>
        <v/>
      </c>
      <c r="AC835" s="9" t="s">
        <v>12188</v>
      </c>
      <c r="AD835" s="9" t="s">
        <v>19</v>
      </c>
    </row>
    <row r="836" spans="1:33">
      <c r="A836" s="3" t="s">
        <v>1133</v>
      </c>
      <c r="D836" s="3" t="s">
        <v>5714</v>
      </c>
      <c r="E836" s="3" t="s">
        <v>5715</v>
      </c>
      <c r="J836" s="9" t="s">
        <v>12118</v>
      </c>
      <c r="Q836" s="10"/>
      <c r="T836" s="9">
        <f xml:space="preserve"> 22-431</f>
        <v>-409</v>
      </c>
      <c r="U836" s="9">
        <f t="shared" ca="1" si="30"/>
        <v>431</v>
      </c>
      <c r="V836" s="9">
        <f t="shared" ca="1" si="31"/>
        <v>22</v>
      </c>
      <c r="AG836" s="9" t="s">
        <v>19</v>
      </c>
    </row>
    <row r="837" spans="1:33">
      <c r="A837" s="3" t="s">
        <v>1134</v>
      </c>
      <c r="D837" s="3" t="s">
        <v>1135</v>
      </c>
      <c r="E837" s="3" t="s">
        <v>1136</v>
      </c>
      <c r="J837" s="9" t="s">
        <v>12120</v>
      </c>
      <c r="Q837" s="10"/>
      <c r="U837" s="9" t="str">
        <f t="shared" ref="U837:U900" ca="1" si="32">IF(ISNUMBER(T837),VALUE(MID(_xlfn.FORMULATEXT(T837),SEARCH("-",_xlfn.FORMULATEXT(T837))+1,LEN(_xlfn.FORMULATEXT(T837))-SEARCH("-",_xlfn.FORMULATEXT(T837)))), "")</f>
        <v/>
      </c>
      <c r="V837" s="9" t="str">
        <f t="shared" ref="V837:V900" ca="1" si="33">IF(ISNUMBER(T837), VALUE(MID(_xlfn.FORMULATEXT(T837), 2, SEARCH("-", _xlfn.FORMULATEXT(T837)) - 2)), "")</f>
        <v/>
      </c>
      <c r="AC837" s="9" t="s">
        <v>12134</v>
      </c>
      <c r="AD837" s="9" t="s">
        <v>19</v>
      </c>
      <c r="AE837" s="9" t="s">
        <v>12086</v>
      </c>
    </row>
    <row r="838" spans="1:33">
      <c r="A838" s="3" t="s">
        <v>1137</v>
      </c>
      <c r="D838" s="3" t="s">
        <v>5716</v>
      </c>
      <c r="E838" s="3" t="s">
        <v>5717</v>
      </c>
      <c r="J838" s="9" t="s">
        <v>12120</v>
      </c>
      <c r="Q838" s="10"/>
      <c r="U838" s="9" t="str">
        <f t="shared" ca="1" si="32"/>
        <v/>
      </c>
      <c r="V838" s="9" t="str">
        <f t="shared" ca="1" si="33"/>
        <v/>
      </c>
      <c r="AG838" s="9" t="s">
        <v>19</v>
      </c>
    </row>
    <row r="839" spans="1:33">
      <c r="A839" s="3" t="s">
        <v>1137</v>
      </c>
      <c r="D839" s="3" t="s">
        <v>5718</v>
      </c>
      <c r="E839" s="3" t="s">
        <v>5719</v>
      </c>
      <c r="J839" s="9" t="s">
        <v>12120</v>
      </c>
      <c r="Q839" s="10"/>
      <c r="U839" s="9" t="str">
        <f t="shared" ca="1" si="32"/>
        <v/>
      </c>
      <c r="V839" s="9" t="str">
        <f t="shared" ca="1" si="33"/>
        <v/>
      </c>
      <c r="AG839" s="9" t="s">
        <v>19</v>
      </c>
    </row>
    <row r="840" spans="1:33">
      <c r="A840" s="3" t="s">
        <v>1138</v>
      </c>
      <c r="D840" s="3" t="s">
        <v>5720</v>
      </c>
      <c r="E840" s="3" t="s">
        <v>5721</v>
      </c>
      <c r="J840" s="9" t="s">
        <v>12118</v>
      </c>
      <c r="Q840" s="10"/>
      <c r="T840" s="9">
        <f>280-87</f>
        <v>193</v>
      </c>
      <c r="U840" s="9">
        <f t="shared" ca="1" si="32"/>
        <v>87</v>
      </c>
      <c r="V840" s="9">
        <f t="shared" ca="1" si="33"/>
        <v>280</v>
      </c>
      <c r="AG840" s="9" t="s">
        <v>20</v>
      </c>
    </row>
    <row r="841" spans="1:33" ht="29">
      <c r="A841" s="3" t="s">
        <v>1139</v>
      </c>
      <c r="D841" s="3" t="s">
        <v>5722</v>
      </c>
      <c r="E841" s="3" t="s">
        <v>5723</v>
      </c>
      <c r="J841" s="9" t="s">
        <v>12120</v>
      </c>
      <c r="Q841" s="10"/>
      <c r="U841" s="9" t="str">
        <f t="shared" ca="1" si="32"/>
        <v/>
      </c>
      <c r="V841" s="9" t="str">
        <f t="shared" ca="1" si="33"/>
        <v/>
      </c>
      <c r="AE841" s="9" t="s">
        <v>12083</v>
      </c>
    </row>
    <row r="842" spans="1:33" ht="29">
      <c r="A842" s="3" t="s">
        <v>1139</v>
      </c>
      <c r="D842" s="3" t="s">
        <v>5724</v>
      </c>
      <c r="E842" s="3" t="s">
        <v>5725</v>
      </c>
      <c r="I842" t="s">
        <v>12653</v>
      </c>
      <c r="J842" s="9" t="s">
        <v>12118</v>
      </c>
      <c r="Q842" s="10"/>
      <c r="T842" s="9">
        <f>4240-160</f>
        <v>4080</v>
      </c>
      <c r="U842" s="9">
        <f t="shared" ca="1" si="32"/>
        <v>160</v>
      </c>
      <c r="V842" s="9">
        <f t="shared" ca="1" si="33"/>
        <v>4240</v>
      </c>
      <c r="W842" s="9" t="s">
        <v>4</v>
      </c>
      <c r="AG842" s="9" t="s">
        <v>19</v>
      </c>
    </row>
    <row r="843" spans="1:33">
      <c r="A843" s="3" t="s">
        <v>1140</v>
      </c>
      <c r="D843" s="6" t="s">
        <v>1141</v>
      </c>
      <c r="E843" s="3" t="s">
        <v>5726</v>
      </c>
      <c r="F843" t="s">
        <v>12</v>
      </c>
      <c r="G843" t="s">
        <v>19</v>
      </c>
      <c r="J843" s="9" t="s">
        <v>12120</v>
      </c>
      <c r="Q843" s="10"/>
      <c r="U843" s="9" t="str">
        <f t="shared" ca="1" si="32"/>
        <v/>
      </c>
      <c r="V843" s="9" t="str">
        <f t="shared" ca="1" si="33"/>
        <v/>
      </c>
      <c r="AF843" s="9" t="s">
        <v>19</v>
      </c>
    </row>
    <row r="844" spans="1:33">
      <c r="A844" s="3" t="s">
        <v>1142</v>
      </c>
      <c r="D844" s="11" t="s">
        <v>5728</v>
      </c>
      <c r="E844" s="11" t="s">
        <v>5727</v>
      </c>
      <c r="J844" s="9" t="s">
        <v>24</v>
      </c>
      <c r="L844" s="9">
        <v>1</v>
      </c>
      <c r="M844" s="9">
        <v>7</v>
      </c>
      <c r="N844" s="9" t="s">
        <v>12094</v>
      </c>
      <c r="O844" s="9" t="s">
        <v>12073</v>
      </c>
      <c r="P844" s="9" t="s">
        <v>12203</v>
      </c>
      <c r="Q844" s="10" t="s">
        <v>12204</v>
      </c>
      <c r="S844" s="9">
        <v>202</v>
      </c>
      <c r="U844" s="9" t="str">
        <f t="shared" ca="1" si="32"/>
        <v/>
      </c>
      <c r="V844" s="9" t="str">
        <f t="shared" ca="1" si="33"/>
        <v/>
      </c>
      <c r="AG844" s="9" t="s">
        <v>19</v>
      </c>
    </row>
    <row r="845" spans="1:33">
      <c r="A845" s="3" t="s">
        <v>1143</v>
      </c>
      <c r="D845" s="3" t="s">
        <v>1144</v>
      </c>
      <c r="E845" s="3" t="s">
        <v>1145</v>
      </c>
      <c r="J845" s="9" t="s">
        <v>12118</v>
      </c>
      <c r="Q845" s="10"/>
      <c r="T845" s="9" t="s">
        <v>12131</v>
      </c>
      <c r="U845" s="9" t="str">
        <f t="shared" ca="1" si="32"/>
        <v/>
      </c>
      <c r="V845" s="9" t="str">
        <f t="shared" ca="1" si="33"/>
        <v/>
      </c>
      <c r="AE845" s="9" t="s">
        <v>12086</v>
      </c>
    </row>
    <row r="846" spans="1:33">
      <c r="A846" s="3" t="s">
        <v>1146</v>
      </c>
      <c r="D846" s="3" t="s">
        <v>5730</v>
      </c>
      <c r="E846" s="3" t="s">
        <v>5729</v>
      </c>
      <c r="J846" s="9" t="s">
        <v>12120</v>
      </c>
      <c r="Q846" s="10"/>
      <c r="U846" s="9" t="str">
        <f t="shared" ca="1" si="32"/>
        <v/>
      </c>
      <c r="V846" s="9" t="str">
        <f t="shared" ca="1" si="33"/>
        <v/>
      </c>
      <c r="AE846" s="9" t="s">
        <v>12083</v>
      </c>
    </row>
    <row r="847" spans="1:33">
      <c r="A847" s="3" t="s">
        <v>1146</v>
      </c>
      <c r="D847" s="6" t="s">
        <v>5731</v>
      </c>
      <c r="E847" s="3" t="s">
        <v>5732</v>
      </c>
      <c r="F847" t="s">
        <v>4774</v>
      </c>
      <c r="G847" t="s">
        <v>19</v>
      </c>
      <c r="I847" t="s">
        <v>5735</v>
      </c>
      <c r="J847" s="9" t="s">
        <v>12120</v>
      </c>
      <c r="Q847" s="10"/>
      <c r="U847" s="9" t="str">
        <f t="shared" ca="1" si="32"/>
        <v/>
      </c>
      <c r="V847" s="9" t="str">
        <f t="shared" ca="1" si="33"/>
        <v/>
      </c>
      <c r="AF847" s="9" t="s">
        <v>19</v>
      </c>
    </row>
    <row r="848" spans="1:33">
      <c r="A848" s="3" t="s">
        <v>1146</v>
      </c>
      <c r="D848" s="3" t="s">
        <v>5733</v>
      </c>
      <c r="E848" s="3" t="s">
        <v>5734</v>
      </c>
      <c r="J848" s="9" t="s">
        <v>12120</v>
      </c>
      <c r="Q848" s="10"/>
      <c r="U848" s="9" t="str">
        <f t="shared" ca="1" si="32"/>
        <v/>
      </c>
      <c r="V848" s="9" t="str">
        <f t="shared" ca="1" si="33"/>
        <v/>
      </c>
      <c r="AC848" s="9" t="s">
        <v>12134</v>
      </c>
      <c r="AD848" s="9" t="s">
        <v>19</v>
      </c>
    </row>
    <row r="849" spans="1:33">
      <c r="A849" s="3" t="s">
        <v>1146</v>
      </c>
      <c r="D849" s="3" t="s">
        <v>1147</v>
      </c>
      <c r="E849" s="3" t="s">
        <v>1148</v>
      </c>
      <c r="J849" s="9" t="s">
        <v>12120</v>
      </c>
      <c r="Q849" s="10"/>
      <c r="U849" s="9" t="str">
        <f t="shared" ca="1" si="32"/>
        <v/>
      </c>
      <c r="V849" s="9" t="str">
        <f t="shared" ca="1" si="33"/>
        <v/>
      </c>
      <c r="AG849" s="9" t="s">
        <v>20</v>
      </c>
    </row>
    <row r="850" spans="1:33">
      <c r="A850" s="3" t="s">
        <v>1149</v>
      </c>
      <c r="D850" s="3" t="s">
        <v>1150</v>
      </c>
      <c r="E850" s="5" t="s">
        <v>1151</v>
      </c>
      <c r="F850" t="s">
        <v>16</v>
      </c>
      <c r="Q850" s="10"/>
      <c r="U850" s="9" t="str">
        <f t="shared" ca="1" si="32"/>
        <v/>
      </c>
      <c r="V850" s="9" t="str">
        <f t="shared" ca="1" si="33"/>
        <v/>
      </c>
    </row>
    <row r="851" spans="1:33" ht="29">
      <c r="A851" s="3" t="s">
        <v>1152</v>
      </c>
      <c r="D851" s="3" t="s">
        <v>5736</v>
      </c>
      <c r="E851" s="3" t="s">
        <v>5737</v>
      </c>
      <c r="I851" t="s">
        <v>12205</v>
      </c>
      <c r="J851" s="9" t="s">
        <v>25</v>
      </c>
      <c r="L851" s="9">
        <v>3</v>
      </c>
      <c r="M851" s="9">
        <v>4</v>
      </c>
      <c r="O851" s="9" t="s">
        <v>12073</v>
      </c>
      <c r="P851" s="9" t="s">
        <v>12140</v>
      </c>
      <c r="Q851" s="10" t="s">
        <v>12136</v>
      </c>
      <c r="S851" s="9">
        <v>113</v>
      </c>
      <c r="U851" s="9" t="str">
        <f t="shared" ca="1" si="32"/>
        <v/>
      </c>
      <c r="V851" s="9" t="str">
        <f t="shared" ca="1" si="33"/>
        <v/>
      </c>
      <c r="AG851" s="9" t="s">
        <v>20</v>
      </c>
    </row>
    <row r="852" spans="1:33">
      <c r="A852" s="3" t="s">
        <v>1153</v>
      </c>
      <c r="D852" s="3" t="s">
        <v>5738</v>
      </c>
      <c r="E852" s="3" t="s">
        <v>5739</v>
      </c>
      <c r="J852" s="9" t="s">
        <v>25</v>
      </c>
      <c r="L852" s="9">
        <v>1</v>
      </c>
      <c r="M852" s="9">
        <v>3</v>
      </c>
      <c r="N852" s="9" t="s">
        <v>12096</v>
      </c>
      <c r="O852" s="9" t="s">
        <v>12079</v>
      </c>
      <c r="Q852" s="10"/>
      <c r="R852" s="9" t="s">
        <v>12074</v>
      </c>
      <c r="S852" s="9">
        <v>560</v>
      </c>
      <c r="U852" s="9" t="str">
        <f t="shared" ca="1" si="32"/>
        <v/>
      </c>
      <c r="V852" s="9" t="str">
        <f t="shared" ca="1" si="33"/>
        <v/>
      </c>
      <c r="AE852" s="9" t="s">
        <v>12089</v>
      </c>
    </row>
    <row r="853" spans="1:33" ht="29">
      <c r="A853" s="3" t="s">
        <v>1154</v>
      </c>
      <c r="D853" s="3" t="s">
        <v>5741</v>
      </c>
      <c r="E853" s="3" t="s">
        <v>5742</v>
      </c>
      <c r="I853" t="s">
        <v>12654</v>
      </c>
      <c r="J853" s="9" t="s">
        <v>12118</v>
      </c>
      <c r="Q853" s="10"/>
      <c r="T853" s="9">
        <f>9-0</f>
        <v>9</v>
      </c>
      <c r="U853" s="9">
        <f t="shared" ca="1" si="32"/>
        <v>0</v>
      </c>
      <c r="V853" s="9">
        <f t="shared" ca="1" si="33"/>
        <v>9</v>
      </c>
      <c r="W853" s="9" t="s">
        <v>12117</v>
      </c>
      <c r="AG853" s="9" t="s">
        <v>19</v>
      </c>
    </row>
    <row r="854" spans="1:33" ht="29">
      <c r="A854" s="3" t="s">
        <v>1154</v>
      </c>
      <c r="D854" s="3" t="s">
        <v>5740</v>
      </c>
      <c r="E854" s="3" t="s">
        <v>5743</v>
      </c>
      <c r="I854" t="s">
        <v>12654</v>
      </c>
      <c r="J854" s="9" t="s">
        <v>24</v>
      </c>
      <c r="L854" s="9">
        <v>2</v>
      </c>
      <c r="M854" s="9">
        <v>8</v>
      </c>
      <c r="O854" s="9" t="s">
        <v>12079</v>
      </c>
      <c r="Q854" s="10"/>
      <c r="S854" s="9">
        <v>560</v>
      </c>
      <c r="U854" s="9" t="str">
        <f t="shared" ca="1" si="32"/>
        <v/>
      </c>
      <c r="V854" s="9" t="str">
        <f t="shared" ca="1" si="33"/>
        <v/>
      </c>
      <c r="W854" s="9" t="s">
        <v>12117</v>
      </c>
      <c r="AG854" s="9" t="s">
        <v>19</v>
      </c>
    </row>
    <row r="855" spans="1:33">
      <c r="A855" s="3" t="s">
        <v>1155</v>
      </c>
      <c r="D855" s="3" t="s">
        <v>5738</v>
      </c>
      <c r="E855" s="3" t="s">
        <v>5739</v>
      </c>
      <c r="J855" s="9" t="s">
        <v>25</v>
      </c>
      <c r="L855" s="9">
        <v>1</v>
      </c>
      <c r="M855" s="9">
        <v>3</v>
      </c>
      <c r="N855" s="9" t="s">
        <v>12096</v>
      </c>
      <c r="O855" s="9" t="s">
        <v>12079</v>
      </c>
      <c r="Q855" s="10"/>
      <c r="R855" s="9" t="s">
        <v>12074</v>
      </c>
      <c r="S855" s="9">
        <v>560</v>
      </c>
      <c r="U855" s="9" t="str">
        <f t="shared" ca="1" si="32"/>
        <v/>
      </c>
      <c r="V855" s="9" t="str">
        <f t="shared" ca="1" si="33"/>
        <v/>
      </c>
      <c r="AE855" s="9" t="s">
        <v>12089</v>
      </c>
    </row>
    <row r="856" spans="1:33" ht="29">
      <c r="A856" s="3" t="s">
        <v>1156</v>
      </c>
      <c r="D856" s="3" t="s">
        <v>5744</v>
      </c>
      <c r="E856" s="3" t="s">
        <v>5746</v>
      </c>
      <c r="J856" s="9" t="s">
        <v>24</v>
      </c>
      <c r="L856" s="9">
        <v>1</v>
      </c>
      <c r="M856" s="9">
        <v>3</v>
      </c>
      <c r="N856" s="9" t="s">
        <v>12087</v>
      </c>
      <c r="O856" s="9" t="s">
        <v>12079</v>
      </c>
      <c r="Q856" s="10"/>
      <c r="S856" s="9">
        <v>5676</v>
      </c>
      <c r="U856" s="9" t="str">
        <f t="shared" ca="1" si="32"/>
        <v/>
      </c>
      <c r="V856" s="9" t="str">
        <f t="shared" ca="1" si="33"/>
        <v/>
      </c>
      <c r="AG856" s="9" t="s">
        <v>19</v>
      </c>
    </row>
    <row r="857" spans="1:33" ht="29">
      <c r="A857" s="3" t="s">
        <v>1156</v>
      </c>
      <c r="D857" s="3" t="s">
        <v>5747</v>
      </c>
      <c r="E857" s="3" t="s">
        <v>5745</v>
      </c>
      <c r="J857" s="9" t="s">
        <v>25</v>
      </c>
      <c r="L857" s="9">
        <v>1</v>
      </c>
      <c r="M857" s="9">
        <v>2</v>
      </c>
      <c r="N857" s="9" t="s">
        <v>12078</v>
      </c>
      <c r="O857" s="9" t="s">
        <v>12119</v>
      </c>
      <c r="Q857" s="10"/>
      <c r="S857" s="9">
        <v>11843</v>
      </c>
      <c r="U857" s="9" t="str">
        <f t="shared" ca="1" si="32"/>
        <v/>
      </c>
      <c r="V857" s="9" t="str">
        <f t="shared" ca="1" si="33"/>
        <v/>
      </c>
      <c r="AG857" s="9" t="s">
        <v>20</v>
      </c>
    </row>
    <row r="858" spans="1:33" ht="29">
      <c r="A858" s="3" t="s">
        <v>1156</v>
      </c>
      <c r="D858" s="3" t="s">
        <v>5748</v>
      </c>
      <c r="E858" s="3" t="s">
        <v>5749</v>
      </c>
      <c r="G858" t="s">
        <v>19</v>
      </c>
      <c r="J858" s="9" t="s">
        <v>12120</v>
      </c>
      <c r="Q858" s="10"/>
      <c r="U858" s="9" t="str">
        <f t="shared" ca="1" si="32"/>
        <v/>
      </c>
      <c r="V858" s="9" t="str">
        <f t="shared" ca="1" si="33"/>
        <v/>
      </c>
      <c r="AE858" s="9" t="s">
        <v>12089</v>
      </c>
    </row>
    <row r="859" spans="1:33" ht="29">
      <c r="A859" s="3" t="s">
        <v>1156</v>
      </c>
      <c r="D859" s="3" t="s">
        <v>5750</v>
      </c>
      <c r="E859" s="3" t="s">
        <v>5751</v>
      </c>
      <c r="I859" t="s">
        <v>12655</v>
      </c>
      <c r="J859" s="9" t="s">
        <v>12118</v>
      </c>
      <c r="Q859" s="10"/>
      <c r="T859" s="9">
        <f>8-65</f>
        <v>-57</v>
      </c>
      <c r="U859" s="9">
        <f t="shared" ca="1" si="32"/>
        <v>65</v>
      </c>
      <c r="V859" s="9">
        <f t="shared" ca="1" si="33"/>
        <v>8</v>
      </c>
      <c r="AG859" s="9" t="s">
        <v>19</v>
      </c>
    </row>
    <row r="860" spans="1:33" ht="29">
      <c r="A860" s="3" t="s">
        <v>1157</v>
      </c>
      <c r="D860" s="3" t="s">
        <v>5752</v>
      </c>
      <c r="E860" s="3" t="s">
        <v>5753</v>
      </c>
      <c r="I860" t="s">
        <v>12655</v>
      </c>
      <c r="J860" s="9" t="s">
        <v>12118</v>
      </c>
      <c r="Q860" s="10"/>
      <c r="T860" s="9">
        <f>65-8</f>
        <v>57</v>
      </c>
      <c r="U860" s="9">
        <f t="shared" ca="1" si="32"/>
        <v>8</v>
      </c>
      <c r="V860" s="9">
        <f t="shared" ca="1" si="33"/>
        <v>65</v>
      </c>
      <c r="AG860" s="9" t="s">
        <v>20</v>
      </c>
    </row>
    <row r="861" spans="1:33">
      <c r="A861" s="3" t="s">
        <v>1158</v>
      </c>
      <c r="D861" s="3" t="s">
        <v>5754</v>
      </c>
      <c r="E861" s="3" t="s">
        <v>5755</v>
      </c>
      <c r="J861" s="9" t="s">
        <v>25</v>
      </c>
      <c r="L861" s="9">
        <v>1</v>
      </c>
      <c r="M861" s="9">
        <v>2</v>
      </c>
      <c r="N861" s="9" t="s">
        <v>12123</v>
      </c>
      <c r="O861" s="9" t="s">
        <v>12119</v>
      </c>
      <c r="Q861" s="10"/>
      <c r="S861" s="9">
        <v>134</v>
      </c>
      <c r="U861" s="9" t="str">
        <f t="shared" ca="1" si="32"/>
        <v/>
      </c>
      <c r="V861" s="9" t="str">
        <f t="shared" ca="1" si="33"/>
        <v/>
      </c>
      <c r="AG861" s="9" t="s">
        <v>20</v>
      </c>
    </row>
    <row r="862" spans="1:33">
      <c r="A862" s="3" t="s">
        <v>1159</v>
      </c>
      <c r="D862" s="3" t="s">
        <v>1160</v>
      </c>
      <c r="E862" s="3" t="s">
        <v>1161</v>
      </c>
      <c r="J862" s="9" t="s">
        <v>12120</v>
      </c>
      <c r="Q862" s="10"/>
      <c r="U862" s="9" t="str">
        <f t="shared" ca="1" si="32"/>
        <v/>
      </c>
      <c r="V862" s="9" t="str">
        <f t="shared" ca="1" si="33"/>
        <v/>
      </c>
      <c r="AC862" s="9" t="s">
        <v>12188</v>
      </c>
      <c r="AD862" s="9" t="s">
        <v>19</v>
      </c>
      <c r="AE862" s="9" t="s">
        <v>12086</v>
      </c>
    </row>
    <row r="863" spans="1:33">
      <c r="A863" s="3" t="s">
        <v>1162</v>
      </c>
      <c r="D863" s="3" t="s">
        <v>5756</v>
      </c>
      <c r="E863" s="3" t="s">
        <v>5757</v>
      </c>
      <c r="J863" s="9" t="s">
        <v>24</v>
      </c>
      <c r="L863" s="9">
        <v>1</v>
      </c>
      <c r="M863" s="9">
        <v>5</v>
      </c>
      <c r="N863" s="9" t="s">
        <v>12072</v>
      </c>
      <c r="O863" s="9" t="s">
        <v>12073</v>
      </c>
      <c r="P863" s="9" t="s">
        <v>12142</v>
      </c>
      <c r="Q863" s="10" t="s">
        <v>12143</v>
      </c>
      <c r="S863" s="9">
        <v>591</v>
      </c>
      <c r="U863" s="9" t="str">
        <f t="shared" ca="1" si="32"/>
        <v/>
      </c>
      <c r="V863" s="9" t="str">
        <f t="shared" ca="1" si="33"/>
        <v/>
      </c>
      <c r="AG863" s="9" t="s">
        <v>19</v>
      </c>
    </row>
    <row r="864" spans="1:33">
      <c r="A864" s="3" t="s">
        <v>1162</v>
      </c>
      <c r="D864" s="3" t="s">
        <v>5758</v>
      </c>
      <c r="E864" s="3" t="s">
        <v>5759</v>
      </c>
      <c r="J864" s="9" t="s">
        <v>25</v>
      </c>
      <c r="L864" s="9">
        <v>1</v>
      </c>
      <c r="M864" s="9">
        <v>2</v>
      </c>
      <c r="N864" s="9" t="s">
        <v>12087</v>
      </c>
      <c r="O864" s="9" t="s">
        <v>12119</v>
      </c>
      <c r="Q864" s="10"/>
      <c r="S864" s="9">
        <v>1966</v>
      </c>
      <c r="U864" s="9" t="str">
        <f t="shared" ca="1" si="32"/>
        <v/>
      </c>
      <c r="V864" s="9" t="str">
        <f t="shared" ca="1" si="33"/>
        <v/>
      </c>
      <c r="AG864" s="9" t="s">
        <v>19</v>
      </c>
    </row>
    <row r="865" spans="1:33" ht="29">
      <c r="A865" s="3" t="s">
        <v>1163</v>
      </c>
      <c r="D865" s="3" t="s">
        <v>5761</v>
      </c>
      <c r="E865" s="3" t="s">
        <v>5762</v>
      </c>
      <c r="J865" s="9" t="s">
        <v>12121</v>
      </c>
      <c r="Q865" s="10"/>
      <c r="T865" s="9">
        <f xml:space="preserve"> 77-92</f>
        <v>-15</v>
      </c>
      <c r="U865" s="9">
        <f t="shared" ca="1" si="32"/>
        <v>92</v>
      </c>
      <c r="V865" s="9">
        <f t="shared" ca="1" si="33"/>
        <v>77</v>
      </c>
      <c r="AG865" s="9" t="s">
        <v>13141</v>
      </c>
    </row>
    <row r="866" spans="1:33" ht="29">
      <c r="A866" s="3" t="s">
        <v>1163</v>
      </c>
      <c r="D866" s="3" t="s">
        <v>5763</v>
      </c>
      <c r="E866" s="3" t="s">
        <v>5760</v>
      </c>
      <c r="J866" s="9" t="s">
        <v>25</v>
      </c>
      <c r="L866" s="9">
        <v>1</v>
      </c>
      <c r="M866" s="9">
        <v>3</v>
      </c>
      <c r="N866" s="9" t="s">
        <v>12084</v>
      </c>
      <c r="O866" s="9" t="s">
        <v>12079</v>
      </c>
      <c r="Q866" s="10"/>
      <c r="S866" s="9">
        <v>52</v>
      </c>
      <c r="U866" s="9" t="str">
        <f t="shared" ca="1" si="32"/>
        <v/>
      </c>
      <c r="V866" s="9" t="str">
        <f t="shared" ca="1" si="33"/>
        <v/>
      </c>
      <c r="AG866" s="9" t="s">
        <v>19</v>
      </c>
    </row>
    <row r="867" spans="1:33">
      <c r="A867" s="3" t="s">
        <v>1163</v>
      </c>
      <c r="D867" s="3" t="s">
        <v>5764</v>
      </c>
      <c r="E867" s="3" t="s">
        <v>5765</v>
      </c>
      <c r="J867" s="9" t="s">
        <v>12118</v>
      </c>
      <c r="Q867" s="10"/>
      <c r="T867" s="9">
        <f>52-3</f>
        <v>49</v>
      </c>
      <c r="U867" s="9">
        <f t="shared" ca="1" si="32"/>
        <v>3</v>
      </c>
      <c r="V867" s="9">
        <f t="shared" ca="1" si="33"/>
        <v>52</v>
      </c>
      <c r="AG867" s="9" t="s">
        <v>20</v>
      </c>
    </row>
    <row r="868" spans="1:33">
      <c r="A868" s="3" t="s">
        <v>1164</v>
      </c>
      <c r="D868" s="3" t="s">
        <v>5766</v>
      </c>
      <c r="E868" s="3" t="s">
        <v>5767</v>
      </c>
      <c r="J868" s="9" t="s">
        <v>24</v>
      </c>
      <c r="L868" s="9">
        <v>1</v>
      </c>
      <c r="M868" s="9">
        <v>3</v>
      </c>
      <c r="N868" s="9" t="s">
        <v>12123</v>
      </c>
      <c r="O868" s="9" t="s">
        <v>12079</v>
      </c>
      <c r="Q868" s="10"/>
      <c r="S868" s="9">
        <v>92</v>
      </c>
      <c r="U868" s="9" t="str">
        <f t="shared" ca="1" si="32"/>
        <v/>
      </c>
      <c r="V868" s="9" t="str">
        <f t="shared" ca="1" si="33"/>
        <v/>
      </c>
      <c r="AG868" s="9" t="s">
        <v>19</v>
      </c>
    </row>
    <row r="869" spans="1:33">
      <c r="A869" s="3" t="s">
        <v>1164</v>
      </c>
      <c r="D869" s="3" t="s">
        <v>1165</v>
      </c>
      <c r="E869" s="3" t="s">
        <v>1166</v>
      </c>
      <c r="J869" s="9" t="s">
        <v>12118</v>
      </c>
      <c r="Q869" s="10"/>
      <c r="T869" s="9" t="s">
        <v>12131</v>
      </c>
      <c r="U869" s="9" t="str">
        <f t="shared" ca="1" si="32"/>
        <v/>
      </c>
      <c r="V869" s="9" t="str">
        <f t="shared" ca="1" si="33"/>
        <v/>
      </c>
      <c r="AE869" s="9" t="s">
        <v>12077</v>
      </c>
    </row>
    <row r="870" spans="1:33">
      <c r="A870" s="3" t="s">
        <v>1167</v>
      </c>
      <c r="D870" s="3" t="s">
        <v>1168</v>
      </c>
      <c r="E870" s="3" t="s">
        <v>1169</v>
      </c>
      <c r="J870" s="9" t="s">
        <v>12118</v>
      </c>
      <c r="Q870" s="10"/>
      <c r="T870" s="9" t="s">
        <v>12131</v>
      </c>
      <c r="U870" s="9" t="str">
        <f t="shared" ca="1" si="32"/>
        <v/>
      </c>
      <c r="V870" s="9" t="str">
        <f t="shared" ca="1" si="33"/>
        <v/>
      </c>
      <c r="AC870" s="9" t="s">
        <v>12130</v>
      </c>
      <c r="AD870" s="9" t="s">
        <v>19</v>
      </c>
      <c r="AE870" s="9" t="s">
        <v>12086</v>
      </c>
    </row>
    <row r="871" spans="1:33">
      <c r="A871" s="3" t="s">
        <v>1171</v>
      </c>
      <c r="D871" s="3" t="s">
        <v>5768</v>
      </c>
      <c r="E871" s="3" t="s">
        <v>5769</v>
      </c>
      <c r="J871" s="9" t="s">
        <v>12120</v>
      </c>
      <c r="Q871" s="10"/>
      <c r="U871" s="9" t="str">
        <f t="shared" ca="1" si="32"/>
        <v/>
      </c>
      <c r="V871" s="9" t="str">
        <f t="shared" ca="1" si="33"/>
        <v/>
      </c>
      <c r="AC871" s="9" t="s">
        <v>12128</v>
      </c>
      <c r="AD871" s="9" t="s">
        <v>19</v>
      </c>
      <c r="AE871" s="9" t="s">
        <v>12086</v>
      </c>
    </row>
    <row r="872" spans="1:33">
      <c r="A872" s="3" t="s">
        <v>1172</v>
      </c>
      <c r="D872" s="3" t="s">
        <v>1173</v>
      </c>
      <c r="E872" s="3" t="s">
        <v>1174</v>
      </c>
      <c r="J872" s="9" t="s">
        <v>12118</v>
      </c>
      <c r="Q872" s="10"/>
      <c r="T872" s="9" t="s">
        <v>12131</v>
      </c>
      <c r="U872" s="9" t="str">
        <f t="shared" ca="1" si="32"/>
        <v/>
      </c>
      <c r="V872" s="9" t="str">
        <f t="shared" ca="1" si="33"/>
        <v/>
      </c>
      <c r="AC872" s="9" t="s">
        <v>12130</v>
      </c>
      <c r="AD872" s="9" t="s">
        <v>19</v>
      </c>
      <c r="AE872" s="9" t="s">
        <v>12086</v>
      </c>
    </row>
    <row r="873" spans="1:33" ht="29">
      <c r="A873" s="3" t="s">
        <v>1175</v>
      </c>
      <c r="D873" s="3" t="s">
        <v>5770</v>
      </c>
      <c r="E873" s="3" t="s">
        <v>5771</v>
      </c>
      <c r="I873" t="s">
        <v>5457</v>
      </c>
      <c r="J873" s="9" t="s">
        <v>26</v>
      </c>
      <c r="Q873" s="10"/>
      <c r="U873" s="9" t="str">
        <f t="shared" ca="1" si="32"/>
        <v/>
      </c>
      <c r="V873" s="9" t="str">
        <f t="shared" ca="1" si="33"/>
        <v/>
      </c>
      <c r="AG873" s="9" t="s">
        <v>19</v>
      </c>
    </row>
    <row r="874" spans="1:33" ht="29">
      <c r="A874" s="3" t="s">
        <v>1176</v>
      </c>
      <c r="D874" s="3" t="s">
        <v>5772</v>
      </c>
      <c r="E874" s="3" t="s">
        <v>5773</v>
      </c>
      <c r="J874" s="9" t="s">
        <v>12118</v>
      </c>
      <c r="Q874" s="10"/>
      <c r="T874" s="9">
        <f xml:space="preserve"> 5676-193</f>
        <v>5483</v>
      </c>
      <c r="U874" s="9">
        <f t="shared" ca="1" si="32"/>
        <v>193</v>
      </c>
      <c r="V874" s="9">
        <f t="shared" ca="1" si="33"/>
        <v>5676</v>
      </c>
      <c r="AG874" s="9" t="s">
        <v>20</v>
      </c>
    </row>
    <row r="875" spans="1:33" ht="29">
      <c r="A875" s="3" t="s">
        <v>1177</v>
      </c>
      <c r="D875" s="3" t="s">
        <v>5775</v>
      </c>
      <c r="E875" s="3" t="s">
        <v>5776</v>
      </c>
      <c r="J875" s="9" t="s">
        <v>12118</v>
      </c>
      <c r="Q875" s="10"/>
      <c r="T875" s="9" t="s">
        <v>12131</v>
      </c>
      <c r="U875" s="9" t="str">
        <f t="shared" ca="1" si="32"/>
        <v/>
      </c>
      <c r="V875" s="9" t="str">
        <f t="shared" ca="1" si="33"/>
        <v/>
      </c>
      <c r="AC875" s="9" t="s">
        <v>12130</v>
      </c>
      <c r="AD875" s="9" t="s">
        <v>19</v>
      </c>
      <c r="AE875" s="9" t="s">
        <v>12086</v>
      </c>
    </row>
    <row r="876" spans="1:33">
      <c r="A876" s="3" t="s">
        <v>1177</v>
      </c>
      <c r="D876" s="3" t="s">
        <v>5777</v>
      </c>
      <c r="E876" s="3" t="s">
        <v>5774</v>
      </c>
      <c r="J876" s="9" t="s">
        <v>25</v>
      </c>
      <c r="L876" s="9">
        <v>1</v>
      </c>
      <c r="M876" s="9">
        <v>4</v>
      </c>
      <c r="N876" s="9" t="s">
        <v>12125</v>
      </c>
      <c r="O876" s="9" t="s">
        <v>12073</v>
      </c>
      <c r="P876" s="9" t="s">
        <v>12142</v>
      </c>
      <c r="Q876" s="10" t="s">
        <v>12143</v>
      </c>
      <c r="S876" s="9">
        <v>2042</v>
      </c>
      <c r="U876" s="9" t="str">
        <f t="shared" ca="1" si="32"/>
        <v/>
      </c>
      <c r="V876" s="9" t="str">
        <f t="shared" ca="1" si="33"/>
        <v/>
      </c>
      <c r="AG876" s="9" t="s">
        <v>20</v>
      </c>
    </row>
    <row r="877" spans="1:33">
      <c r="A877" s="3" t="s">
        <v>1179</v>
      </c>
      <c r="D877" s="3" t="s">
        <v>1180</v>
      </c>
      <c r="E877" s="3" t="s">
        <v>1178</v>
      </c>
      <c r="J877" s="9" t="s">
        <v>12120</v>
      </c>
      <c r="Q877" s="10"/>
      <c r="U877" s="9" t="str">
        <f t="shared" ca="1" si="32"/>
        <v/>
      </c>
      <c r="V877" s="9" t="str">
        <f t="shared" ca="1" si="33"/>
        <v/>
      </c>
      <c r="AC877" s="9" t="s">
        <v>12134</v>
      </c>
      <c r="AD877" s="9" t="s">
        <v>19</v>
      </c>
      <c r="AE877" s="9" t="s">
        <v>12086</v>
      </c>
    </row>
    <row r="878" spans="1:33" ht="29">
      <c r="A878" s="3" t="s">
        <v>1181</v>
      </c>
      <c r="D878" s="3" t="s">
        <v>5778</v>
      </c>
      <c r="E878" s="3" t="s">
        <v>5779</v>
      </c>
      <c r="J878" s="9" t="s">
        <v>25</v>
      </c>
      <c r="L878" s="9">
        <v>1</v>
      </c>
      <c r="M878" s="9">
        <v>3</v>
      </c>
      <c r="N878" s="9" t="s">
        <v>12087</v>
      </c>
      <c r="O878" s="9" t="s">
        <v>12073</v>
      </c>
      <c r="P878" s="9" t="s">
        <v>12142</v>
      </c>
      <c r="Q878" s="10" t="s">
        <v>12143</v>
      </c>
      <c r="S878" s="9">
        <v>5676</v>
      </c>
      <c r="U878" s="9" t="str">
        <f t="shared" ca="1" si="32"/>
        <v/>
      </c>
      <c r="V878" s="9" t="str">
        <f t="shared" ca="1" si="33"/>
        <v/>
      </c>
      <c r="AG878" s="9" t="s">
        <v>20</v>
      </c>
    </row>
    <row r="879" spans="1:33">
      <c r="A879" s="3" t="s">
        <v>1181</v>
      </c>
      <c r="D879" s="3" t="s">
        <v>1173</v>
      </c>
      <c r="E879" s="3" t="s">
        <v>1174</v>
      </c>
      <c r="J879" s="9" t="s">
        <v>12118</v>
      </c>
      <c r="Q879" s="10"/>
      <c r="T879" s="9" t="s">
        <v>12131</v>
      </c>
      <c r="U879" s="9" t="str">
        <f t="shared" ca="1" si="32"/>
        <v/>
      </c>
      <c r="V879" s="9" t="str">
        <f t="shared" ca="1" si="33"/>
        <v/>
      </c>
      <c r="AC879" s="9" t="s">
        <v>12130</v>
      </c>
      <c r="AD879" s="9" t="s">
        <v>19</v>
      </c>
      <c r="AE879" s="9" t="s">
        <v>12086</v>
      </c>
    </row>
    <row r="880" spans="1:33" ht="29">
      <c r="A880" s="3" t="s">
        <v>1182</v>
      </c>
      <c r="D880" s="3" t="s">
        <v>5780</v>
      </c>
      <c r="E880" s="3" t="s">
        <v>5781</v>
      </c>
      <c r="I880" t="s">
        <v>5782</v>
      </c>
      <c r="J880" s="9" t="s">
        <v>24</v>
      </c>
      <c r="L880" s="9">
        <v>1</v>
      </c>
      <c r="M880" s="9">
        <v>5</v>
      </c>
      <c r="N880" s="9" t="s">
        <v>12092</v>
      </c>
      <c r="O880" s="9" t="s">
        <v>12079</v>
      </c>
      <c r="Q880" s="10"/>
      <c r="S880" s="9">
        <v>14</v>
      </c>
      <c r="U880" s="9" t="str">
        <f t="shared" ca="1" si="32"/>
        <v/>
      </c>
      <c r="V880" s="9" t="str">
        <f t="shared" ca="1" si="33"/>
        <v/>
      </c>
      <c r="AE880" s="9" t="s">
        <v>12083</v>
      </c>
    </row>
    <row r="881" spans="1:33">
      <c r="A881" s="3" t="s">
        <v>1183</v>
      </c>
      <c r="D881" s="3" t="s">
        <v>5783</v>
      </c>
      <c r="E881" s="3" t="s">
        <v>5784</v>
      </c>
      <c r="G881" t="s">
        <v>19</v>
      </c>
      <c r="J881" s="9" t="s">
        <v>12118</v>
      </c>
      <c r="Q881" s="10"/>
      <c r="T881" s="9" t="s">
        <v>12131</v>
      </c>
      <c r="U881" s="9" t="str">
        <f t="shared" ca="1" si="32"/>
        <v/>
      </c>
      <c r="V881" s="9" t="str">
        <f t="shared" ca="1" si="33"/>
        <v/>
      </c>
      <c r="AE881" s="9" t="s">
        <v>12086</v>
      </c>
    </row>
    <row r="882" spans="1:33" ht="29">
      <c r="A882" s="3" t="s">
        <v>1183</v>
      </c>
      <c r="D882" s="3" t="s">
        <v>5785</v>
      </c>
      <c r="E882" s="3" t="s">
        <v>5786</v>
      </c>
      <c r="J882" s="9" t="s">
        <v>24</v>
      </c>
      <c r="L882" s="9">
        <v>2</v>
      </c>
      <c r="M882" s="9">
        <v>11</v>
      </c>
      <c r="O882" s="9" t="s">
        <v>12079</v>
      </c>
      <c r="Q882" s="10"/>
      <c r="S882" s="9">
        <v>173</v>
      </c>
      <c r="U882" s="9" t="str">
        <f t="shared" ca="1" si="32"/>
        <v/>
      </c>
      <c r="V882" s="9" t="str">
        <f t="shared" ca="1" si="33"/>
        <v/>
      </c>
      <c r="AG882" s="9" t="s">
        <v>19</v>
      </c>
    </row>
    <row r="883" spans="1:33" ht="29">
      <c r="A883" s="3" t="s">
        <v>1184</v>
      </c>
      <c r="D883" s="3" t="s">
        <v>5787</v>
      </c>
      <c r="E883" s="3" t="s">
        <v>5788</v>
      </c>
      <c r="J883" s="9" t="s">
        <v>12118</v>
      </c>
      <c r="Q883" s="10"/>
      <c r="T883" s="9">
        <f>67-810</f>
        <v>-743</v>
      </c>
      <c r="U883" s="9">
        <f t="shared" ca="1" si="32"/>
        <v>810</v>
      </c>
      <c r="V883" s="9">
        <f t="shared" ca="1" si="33"/>
        <v>67</v>
      </c>
      <c r="AG883" s="9" t="s">
        <v>20</v>
      </c>
    </row>
    <row r="884" spans="1:33" ht="43.5">
      <c r="A884" s="3" t="s">
        <v>1186</v>
      </c>
      <c r="D884" s="3" t="s">
        <v>5789</v>
      </c>
      <c r="E884" s="3" t="s">
        <v>5790</v>
      </c>
      <c r="I884" t="s">
        <v>12206</v>
      </c>
      <c r="J884" s="9" t="s">
        <v>24</v>
      </c>
      <c r="L884" s="9">
        <v>3</v>
      </c>
      <c r="M884" s="9">
        <v>15</v>
      </c>
      <c r="O884" s="9" t="s">
        <v>12073</v>
      </c>
      <c r="P884" s="9" t="s">
        <v>12154</v>
      </c>
      <c r="Q884" s="10" t="s">
        <v>12207</v>
      </c>
      <c r="S884" s="9">
        <v>62</v>
      </c>
      <c r="U884" s="9" t="str">
        <f t="shared" ca="1" si="32"/>
        <v/>
      </c>
      <c r="V884" s="9" t="str">
        <f t="shared" ca="1" si="33"/>
        <v/>
      </c>
      <c r="AG884" s="9" t="s">
        <v>19</v>
      </c>
    </row>
    <row r="885" spans="1:33">
      <c r="A885" s="3" t="s">
        <v>1186</v>
      </c>
      <c r="D885" s="3" t="s">
        <v>12990</v>
      </c>
      <c r="E885" s="3" t="s">
        <v>12991</v>
      </c>
      <c r="J885" s="9" t="s">
        <v>12118</v>
      </c>
      <c r="Q885" s="10"/>
      <c r="T885" s="9" t="s">
        <v>12119</v>
      </c>
      <c r="U885" s="9" t="str">
        <f t="shared" ca="1" si="32"/>
        <v/>
      </c>
      <c r="V885" s="9" t="str">
        <f t="shared" ca="1" si="33"/>
        <v/>
      </c>
      <c r="AB885" s="9" t="s">
        <v>12124</v>
      </c>
      <c r="AD885" s="9" t="s">
        <v>19</v>
      </c>
    </row>
    <row r="886" spans="1:33">
      <c r="A886" s="3" t="s">
        <v>1189</v>
      </c>
      <c r="D886" s="3" t="s">
        <v>5791</v>
      </c>
      <c r="E886" s="3" t="s">
        <v>5792</v>
      </c>
      <c r="J886" s="9" t="s">
        <v>12120</v>
      </c>
      <c r="Q886" s="10"/>
      <c r="U886" s="9" t="str">
        <f t="shared" ca="1" si="32"/>
        <v/>
      </c>
      <c r="V886" s="9" t="str">
        <f t="shared" ca="1" si="33"/>
        <v/>
      </c>
      <c r="AG886" s="9" t="s">
        <v>20</v>
      </c>
    </row>
    <row r="887" spans="1:33" ht="29">
      <c r="A887" s="3" t="s">
        <v>1189</v>
      </c>
      <c r="D887" s="3" t="s">
        <v>5793</v>
      </c>
      <c r="E887" s="3" t="s">
        <v>12992</v>
      </c>
      <c r="I887" t="s">
        <v>5457</v>
      </c>
      <c r="J887" s="9" t="s">
        <v>26</v>
      </c>
      <c r="Q887" s="10"/>
      <c r="U887" s="9" t="str">
        <f t="shared" ca="1" si="32"/>
        <v/>
      </c>
      <c r="V887" s="9" t="str">
        <f t="shared" ca="1" si="33"/>
        <v/>
      </c>
      <c r="AG887" s="9" t="s">
        <v>19</v>
      </c>
    </row>
    <row r="888" spans="1:33" ht="29">
      <c r="A888" s="3" t="s">
        <v>1190</v>
      </c>
      <c r="D888" s="3" t="s">
        <v>5794</v>
      </c>
      <c r="E888" s="3" t="s">
        <v>5795</v>
      </c>
      <c r="G888" t="s">
        <v>19</v>
      </c>
      <c r="J888" s="9" t="s">
        <v>12118</v>
      </c>
      <c r="Q888" s="10"/>
      <c r="T888" s="9" t="s">
        <v>12131</v>
      </c>
      <c r="U888" s="9" t="str">
        <f t="shared" ca="1" si="32"/>
        <v/>
      </c>
      <c r="V888" s="9" t="str">
        <f t="shared" ca="1" si="33"/>
        <v/>
      </c>
      <c r="AE888" s="9" t="s">
        <v>12086</v>
      </c>
    </row>
    <row r="889" spans="1:33" ht="29">
      <c r="A889" s="3" t="s">
        <v>1191</v>
      </c>
      <c r="D889" s="3" t="s">
        <v>5797</v>
      </c>
      <c r="E889" s="3" t="s">
        <v>5798</v>
      </c>
      <c r="J889" s="9" t="s">
        <v>12120</v>
      </c>
      <c r="Q889" s="10"/>
      <c r="U889" s="9" t="str">
        <f t="shared" ca="1" si="32"/>
        <v/>
      </c>
      <c r="V889" s="9" t="str">
        <f t="shared" ca="1" si="33"/>
        <v/>
      </c>
      <c r="AG889" s="9" t="s">
        <v>19</v>
      </c>
    </row>
    <row r="890" spans="1:33" ht="29">
      <c r="A890" s="3" t="s">
        <v>1191</v>
      </c>
      <c r="D890" s="3" t="s">
        <v>5799</v>
      </c>
      <c r="E890" s="3" t="s">
        <v>5796</v>
      </c>
      <c r="J890" s="9" t="s">
        <v>25</v>
      </c>
      <c r="L890" s="9">
        <v>1</v>
      </c>
      <c r="M890" s="9">
        <v>5</v>
      </c>
      <c r="N890" s="9" t="s">
        <v>12094</v>
      </c>
      <c r="O890" s="9" t="s">
        <v>12073</v>
      </c>
      <c r="P890" s="9" t="s">
        <v>12149</v>
      </c>
      <c r="Q890" s="10" t="s">
        <v>12143</v>
      </c>
      <c r="S890" s="9">
        <v>4240</v>
      </c>
      <c r="U890" s="9" t="str">
        <f t="shared" ca="1" si="32"/>
        <v/>
      </c>
      <c r="V890" s="9" t="str">
        <f t="shared" ca="1" si="33"/>
        <v/>
      </c>
      <c r="AG890" s="9" t="s">
        <v>20</v>
      </c>
    </row>
    <row r="891" spans="1:33" ht="29">
      <c r="A891" s="3" t="s">
        <v>1192</v>
      </c>
      <c r="D891" s="3" t="s">
        <v>5800</v>
      </c>
      <c r="E891" s="3" t="s">
        <v>5801</v>
      </c>
      <c r="J891" s="9" t="s">
        <v>24</v>
      </c>
      <c r="L891" s="9">
        <v>1</v>
      </c>
      <c r="M891" s="9">
        <v>5</v>
      </c>
      <c r="N891" s="9" t="s">
        <v>12094</v>
      </c>
      <c r="O891" s="9" t="s">
        <v>12079</v>
      </c>
      <c r="Q891" s="10"/>
      <c r="S891" s="9">
        <v>4240</v>
      </c>
      <c r="U891" s="9" t="str">
        <f t="shared" ca="1" si="32"/>
        <v/>
      </c>
      <c r="V891" s="9" t="str">
        <f t="shared" ca="1" si="33"/>
        <v/>
      </c>
      <c r="AG891" s="9" t="s">
        <v>19</v>
      </c>
    </row>
    <row r="892" spans="1:33">
      <c r="A892" s="3" t="s">
        <v>1193</v>
      </c>
      <c r="D892" s="3" t="s">
        <v>5802</v>
      </c>
      <c r="E892" s="3" t="s">
        <v>5803</v>
      </c>
      <c r="J892" s="9" t="s">
        <v>25</v>
      </c>
      <c r="L892" s="9">
        <v>1</v>
      </c>
      <c r="M892" s="9">
        <v>5</v>
      </c>
      <c r="N892" s="9" t="s">
        <v>12094</v>
      </c>
      <c r="O892" s="9" t="s">
        <v>12079</v>
      </c>
      <c r="Q892" s="10"/>
      <c r="S892" s="9">
        <v>930</v>
      </c>
      <c r="U892" s="9" t="str">
        <f t="shared" ca="1" si="32"/>
        <v/>
      </c>
      <c r="V892" s="9" t="str">
        <f t="shared" ca="1" si="33"/>
        <v/>
      </c>
      <c r="AG892" s="9" t="s">
        <v>20</v>
      </c>
    </row>
    <row r="893" spans="1:33">
      <c r="A893" s="3" t="s">
        <v>1194</v>
      </c>
      <c r="D893" s="3" t="s">
        <v>5804</v>
      </c>
      <c r="E893" s="3" t="s">
        <v>5805</v>
      </c>
      <c r="J893" s="9" t="s">
        <v>12118</v>
      </c>
      <c r="Q893" s="10"/>
      <c r="R893" s="9" t="s">
        <v>12074</v>
      </c>
      <c r="T893" s="9" t="s">
        <v>12131</v>
      </c>
      <c r="U893" s="9" t="str">
        <f t="shared" ca="1" si="32"/>
        <v/>
      </c>
      <c r="V893" s="9" t="str">
        <f t="shared" ca="1" si="33"/>
        <v/>
      </c>
      <c r="AE893" s="9" t="s">
        <v>12086</v>
      </c>
    </row>
    <row r="894" spans="1:33">
      <c r="A894" s="3" t="s">
        <v>1195</v>
      </c>
      <c r="D894" s="3" t="s">
        <v>5806</v>
      </c>
      <c r="E894" s="3" t="s">
        <v>5807</v>
      </c>
      <c r="J894" s="9" t="s">
        <v>12120</v>
      </c>
      <c r="Q894" s="10"/>
      <c r="U894" s="9" t="str">
        <f t="shared" ca="1" si="32"/>
        <v/>
      </c>
      <c r="V894" s="9" t="str">
        <f t="shared" ca="1" si="33"/>
        <v/>
      </c>
      <c r="AC894" s="9" t="s">
        <v>12166</v>
      </c>
      <c r="AD894" s="9" t="s">
        <v>19</v>
      </c>
      <c r="AE894" s="9" t="s">
        <v>12086</v>
      </c>
    </row>
    <row r="895" spans="1:33" ht="87">
      <c r="A895" s="3" t="s">
        <v>1196</v>
      </c>
      <c r="D895" s="3" t="s">
        <v>5808</v>
      </c>
      <c r="E895" s="3" t="s">
        <v>12993</v>
      </c>
      <c r="G895" t="s">
        <v>19</v>
      </c>
      <c r="I895" s="4" t="s">
        <v>13102</v>
      </c>
      <c r="J895" s="9" t="s">
        <v>24</v>
      </c>
      <c r="L895" s="9">
        <v>4</v>
      </c>
      <c r="M895" s="9">
        <v>26</v>
      </c>
      <c r="O895" s="9" t="s">
        <v>12079</v>
      </c>
      <c r="Q895" s="10"/>
      <c r="S895" s="9">
        <v>11</v>
      </c>
      <c r="U895" s="9" t="str">
        <f t="shared" ca="1" si="32"/>
        <v/>
      </c>
      <c r="V895" s="9" t="str">
        <f t="shared" ca="1" si="33"/>
        <v/>
      </c>
    </row>
    <row r="896" spans="1:33" ht="87">
      <c r="A896" s="3" t="s">
        <v>1196</v>
      </c>
      <c r="D896" s="3" t="s">
        <v>5810</v>
      </c>
      <c r="E896" s="3" t="s">
        <v>12994</v>
      </c>
      <c r="G896" t="s">
        <v>20</v>
      </c>
      <c r="J896" s="9" t="s">
        <v>12120</v>
      </c>
      <c r="Q896" s="10"/>
      <c r="U896" s="9" t="str">
        <f t="shared" ca="1" si="32"/>
        <v/>
      </c>
      <c r="V896" s="9" t="str">
        <f t="shared" ca="1" si="33"/>
        <v/>
      </c>
      <c r="AG896" s="9" t="s">
        <v>20</v>
      </c>
    </row>
    <row r="897" spans="1:33" ht="87">
      <c r="A897" s="3" t="s">
        <v>1196</v>
      </c>
      <c r="D897" s="3" t="s">
        <v>5809</v>
      </c>
      <c r="E897" s="3" t="s">
        <v>12995</v>
      </c>
      <c r="G897" t="s">
        <v>19</v>
      </c>
      <c r="I897" s="4" t="s">
        <v>13103</v>
      </c>
      <c r="J897" s="9" t="s">
        <v>25</v>
      </c>
      <c r="L897" s="9">
        <v>7</v>
      </c>
      <c r="M897" s="9">
        <v>31</v>
      </c>
      <c r="O897" s="9" t="s">
        <v>12073</v>
      </c>
      <c r="P897" s="9" t="s">
        <v>12208</v>
      </c>
      <c r="Q897" s="10" t="s">
        <v>12209</v>
      </c>
      <c r="R897" s="9" t="s">
        <v>12074</v>
      </c>
      <c r="S897" s="9">
        <v>132</v>
      </c>
      <c r="U897" s="9" t="str">
        <f t="shared" ca="1" si="32"/>
        <v/>
      </c>
      <c r="V897" s="9" t="str">
        <f t="shared" ca="1" si="33"/>
        <v/>
      </c>
    </row>
    <row r="898" spans="1:33">
      <c r="A898" s="3" t="s">
        <v>1197</v>
      </c>
      <c r="D898" s="3" t="s">
        <v>5811</v>
      </c>
      <c r="E898" s="3" t="s">
        <v>5812</v>
      </c>
      <c r="G898" t="s">
        <v>19</v>
      </c>
      <c r="J898" s="9" t="s">
        <v>12120</v>
      </c>
      <c r="Q898" s="10"/>
      <c r="U898" s="9" t="str">
        <f t="shared" ca="1" si="32"/>
        <v/>
      </c>
      <c r="V898" s="9" t="str">
        <f t="shared" ca="1" si="33"/>
        <v/>
      </c>
    </row>
    <row r="899" spans="1:33">
      <c r="A899" s="3" t="s">
        <v>1198</v>
      </c>
      <c r="D899" s="3" t="s">
        <v>5813</v>
      </c>
      <c r="E899" s="3" t="s">
        <v>5814</v>
      </c>
      <c r="J899" s="9" t="s">
        <v>12118</v>
      </c>
      <c r="Q899" s="10"/>
      <c r="T899" s="9" t="s">
        <v>12131</v>
      </c>
      <c r="U899" s="9" t="str">
        <f t="shared" ca="1" si="32"/>
        <v/>
      </c>
      <c r="V899" s="9" t="str">
        <f t="shared" ca="1" si="33"/>
        <v/>
      </c>
      <c r="AE899" s="9" t="s">
        <v>12086</v>
      </c>
    </row>
    <row r="900" spans="1:33">
      <c r="A900" s="3" t="s">
        <v>1199</v>
      </c>
      <c r="D900" s="3" t="s">
        <v>1200</v>
      </c>
      <c r="E900" s="3" t="s">
        <v>1201</v>
      </c>
      <c r="J900" s="9" t="s">
        <v>12120</v>
      </c>
      <c r="Q900" s="10"/>
      <c r="U900" s="9" t="str">
        <f t="shared" ca="1" si="32"/>
        <v/>
      </c>
      <c r="V900" s="9" t="str">
        <f t="shared" ca="1" si="33"/>
        <v/>
      </c>
      <c r="AC900" s="9" t="s">
        <v>12166</v>
      </c>
      <c r="AD900" s="9" t="s">
        <v>19</v>
      </c>
    </row>
    <row r="901" spans="1:33">
      <c r="A901" s="3" t="s">
        <v>1202</v>
      </c>
      <c r="D901" s="3" t="s">
        <v>1118</v>
      </c>
      <c r="E901" s="3" t="s">
        <v>1119</v>
      </c>
      <c r="J901" s="9" t="s">
        <v>12120</v>
      </c>
      <c r="Q901" s="10"/>
      <c r="U901" s="9" t="str">
        <f t="shared" ref="U901:U967" ca="1" si="34">IF(ISNUMBER(T901),VALUE(MID(_xlfn.FORMULATEXT(T901),SEARCH("-",_xlfn.FORMULATEXT(T901))+1,LEN(_xlfn.FORMULATEXT(T901))-SEARCH("-",_xlfn.FORMULATEXT(T901)))), "")</f>
        <v/>
      </c>
      <c r="V901" s="9" t="str">
        <f t="shared" ref="V901:V967" ca="1" si="35">IF(ISNUMBER(T901), VALUE(MID(_xlfn.FORMULATEXT(T901), 2, SEARCH("-", _xlfn.FORMULATEXT(T901)) - 2)), "")</f>
        <v/>
      </c>
      <c r="AC901" s="9" t="s">
        <v>12744</v>
      </c>
      <c r="AD901" s="9" t="s">
        <v>19</v>
      </c>
    </row>
    <row r="902" spans="1:33">
      <c r="A902" s="3" t="s">
        <v>1203</v>
      </c>
      <c r="D902" s="3" t="s">
        <v>960</v>
      </c>
      <c r="E902" s="3" t="s">
        <v>431</v>
      </c>
      <c r="G902" t="s">
        <v>19</v>
      </c>
      <c r="J902" s="9" t="s">
        <v>12118</v>
      </c>
      <c r="Q902" s="10"/>
      <c r="U902" s="9" t="str">
        <f t="shared" ca="1" si="34"/>
        <v/>
      </c>
      <c r="V902" s="9" t="str">
        <f t="shared" ca="1" si="35"/>
        <v/>
      </c>
      <c r="AE902" s="9" t="s">
        <v>12086</v>
      </c>
    </row>
    <row r="903" spans="1:33" ht="43.5">
      <c r="A903" s="3" t="s">
        <v>1203</v>
      </c>
      <c r="D903" s="3" t="s">
        <v>5816</v>
      </c>
      <c r="E903" s="3" t="s">
        <v>5815</v>
      </c>
      <c r="I903" t="s">
        <v>12210</v>
      </c>
      <c r="J903" s="9" t="s">
        <v>26</v>
      </c>
      <c r="Q903" s="10"/>
      <c r="U903" s="9" t="str">
        <f t="shared" ca="1" si="34"/>
        <v/>
      </c>
      <c r="V903" s="9" t="str">
        <f t="shared" ca="1" si="35"/>
        <v/>
      </c>
      <c r="AG903" s="9" t="s">
        <v>20</v>
      </c>
    </row>
    <row r="904" spans="1:33">
      <c r="A904" s="3" t="s">
        <v>1204</v>
      </c>
      <c r="D904" s="3" t="s">
        <v>5817</v>
      </c>
      <c r="E904" s="3" t="s">
        <v>5818</v>
      </c>
      <c r="J904" s="9" t="s">
        <v>25</v>
      </c>
      <c r="L904" s="9">
        <v>1</v>
      </c>
      <c r="M904" s="9">
        <v>3</v>
      </c>
      <c r="N904" s="9" t="s">
        <v>12087</v>
      </c>
      <c r="O904" s="9" t="s">
        <v>12079</v>
      </c>
      <c r="Q904" s="10"/>
      <c r="S904" s="9">
        <v>356</v>
      </c>
      <c r="U904" s="9" t="str">
        <f t="shared" ca="1" si="34"/>
        <v/>
      </c>
      <c r="V904" s="9" t="str">
        <f t="shared" ca="1" si="35"/>
        <v/>
      </c>
      <c r="AG904" s="9" t="s">
        <v>19</v>
      </c>
    </row>
    <row r="905" spans="1:33" ht="29">
      <c r="A905" s="3" t="s">
        <v>1205</v>
      </c>
      <c r="D905" s="3" t="s">
        <v>5819</v>
      </c>
      <c r="E905" s="3" t="s">
        <v>5820</v>
      </c>
      <c r="J905" s="9" t="s">
        <v>12118</v>
      </c>
      <c r="Q905" s="10"/>
      <c r="T905" s="9">
        <f>13-25</f>
        <v>-12</v>
      </c>
      <c r="U905" s="9">
        <f t="shared" ca="1" si="34"/>
        <v>25</v>
      </c>
      <c r="V905" s="9">
        <f t="shared" ca="1" si="35"/>
        <v>13</v>
      </c>
      <c r="AG905" s="9" t="s">
        <v>20</v>
      </c>
    </row>
    <row r="906" spans="1:33">
      <c r="A906" s="3" t="s">
        <v>1205</v>
      </c>
      <c r="D906" s="3" t="s">
        <v>1206</v>
      </c>
      <c r="E906" s="3" t="s">
        <v>1207</v>
      </c>
      <c r="J906" s="9" t="s">
        <v>12120</v>
      </c>
      <c r="Q906" s="10"/>
      <c r="U906" s="9" t="str">
        <f t="shared" ca="1" si="34"/>
        <v/>
      </c>
      <c r="V906" s="9" t="str">
        <f t="shared" ca="1" si="35"/>
        <v/>
      </c>
      <c r="AC906" s="9" t="s">
        <v>12188</v>
      </c>
      <c r="AD906" s="9" t="s">
        <v>19</v>
      </c>
    </row>
    <row r="907" spans="1:33">
      <c r="A907" s="3" t="s">
        <v>1208</v>
      </c>
      <c r="D907" s="3" t="s">
        <v>1209</v>
      </c>
      <c r="E907" s="3" t="s">
        <v>1210</v>
      </c>
      <c r="J907" s="9" t="s">
        <v>12118</v>
      </c>
      <c r="Q907" s="10"/>
      <c r="T907" s="9" t="s">
        <v>12131</v>
      </c>
      <c r="U907" s="9" t="str">
        <f t="shared" ca="1" si="34"/>
        <v/>
      </c>
      <c r="V907" s="9" t="str">
        <f t="shared" ca="1" si="35"/>
        <v/>
      </c>
      <c r="AC907" s="9" t="s">
        <v>12130</v>
      </c>
      <c r="AD907" s="9" t="s">
        <v>19</v>
      </c>
      <c r="AE907" s="9" t="s">
        <v>12086</v>
      </c>
    </row>
    <row r="908" spans="1:33">
      <c r="A908" s="3" t="s">
        <v>1211</v>
      </c>
      <c r="D908" s="3" t="s">
        <v>5821</v>
      </c>
      <c r="E908" s="3" t="s">
        <v>5822</v>
      </c>
      <c r="J908" s="9" t="s">
        <v>12118</v>
      </c>
      <c r="Q908" s="10"/>
      <c r="T908" s="9">
        <f>235-32</f>
        <v>203</v>
      </c>
      <c r="U908" s="9">
        <f t="shared" ca="1" si="34"/>
        <v>32</v>
      </c>
      <c r="V908" s="9">
        <f t="shared" ca="1" si="35"/>
        <v>235</v>
      </c>
      <c r="AG908" s="9" t="s">
        <v>19</v>
      </c>
    </row>
    <row r="909" spans="1:33">
      <c r="A909" s="3" t="s">
        <v>1211</v>
      </c>
      <c r="D909" s="3" t="s">
        <v>1212</v>
      </c>
      <c r="E909" s="3" t="s">
        <v>1073</v>
      </c>
      <c r="J909" s="9" t="s">
        <v>12120</v>
      </c>
      <c r="Q909" s="10"/>
      <c r="U909" s="9" t="str">
        <f t="shared" ca="1" si="34"/>
        <v/>
      </c>
      <c r="V909" s="9" t="str">
        <f t="shared" ca="1" si="35"/>
        <v/>
      </c>
      <c r="AC909" s="9" t="s">
        <v>12740</v>
      </c>
      <c r="AD909" s="9" t="s">
        <v>19</v>
      </c>
    </row>
    <row r="910" spans="1:33">
      <c r="A910" s="3" t="s">
        <v>1213</v>
      </c>
      <c r="D910" s="3" t="s">
        <v>5664</v>
      </c>
      <c r="E910" s="3" t="s">
        <v>5823</v>
      </c>
      <c r="J910" s="9" t="s">
        <v>24</v>
      </c>
      <c r="L910" s="9">
        <v>1</v>
      </c>
      <c r="M910" s="9">
        <v>3</v>
      </c>
      <c r="N910" s="9" t="s">
        <v>12087</v>
      </c>
      <c r="O910" s="9" t="s">
        <v>12079</v>
      </c>
      <c r="Q910" s="10"/>
      <c r="S910" s="9">
        <v>810</v>
      </c>
      <c r="U910" s="9" t="str">
        <f t="shared" ca="1" si="34"/>
        <v/>
      </c>
      <c r="V910" s="9" t="str">
        <f t="shared" ca="1" si="35"/>
        <v/>
      </c>
      <c r="AG910" s="9" t="s">
        <v>19</v>
      </c>
    </row>
    <row r="911" spans="1:33">
      <c r="A911" s="3" t="s">
        <v>1213</v>
      </c>
      <c r="D911" s="3" t="s">
        <v>5824</v>
      </c>
      <c r="E911" s="3" t="s">
        <v>5825</v>
      </c>
      <c r="J911" s="9" t="s">
        <v>12120</v>
      </c>
      <c r="Q911" s="10"/>
      <c r="U911" s="9" t="str">
        <f t="shared" ca="1" si="34"/>
        <v/>
      </c>
      <c r="V911" s="9" t="str">
        <f t="shared" ca="1" si="35"/>
        <v/>
      </c>
      <c r="AG911" s="9" t="s">
        <v>19</v>
      </c>
    </row>
    <row r="912" spans="1:33">
      <c r="A912" s="3" t="s">
        <v>1213</v>
      </c>
      <c r="D912" s="3" t="s">
        <v>812</v>
      </c>
      <c r="E912" s="3" t="s">
        <v>349</v>
      </c>
      <c r="J912" s="9" t="s">
        <v>12118</v>
      </c>
      <c r="Q912" s="10"/>
      <c r="T912" s="9" t="s">
        <v>12131</v>
      </c>
      <c r="U912" s="9" t="str">
        <f t="shared" ca="1" si="34"/>
        <v/>
      </c>
      <c r="V912" s="9" t="str">
        <f t="shared" ca="1" si="35"/>
        <v/>
      </c>
      <c r="AC912" s="9" t="s">
        <v>12130</v>
      </c>
      <c r="AD912" s="9" t="s">
        <v>19</v>
      </c>
      <c r="AE912" s="9" t="s">
        <v>12086</v>
      </c>
    </row>
    <row r="913" spans="1:33" ht="29">
      <c r="A913" s="3" t="s">
        <v>1213</v>
      </c>
      <c r="D913" s="3" t="s">
        <v>5826</v>
      </c>
      <c r="E913" s="3" t="s">
        <v>12996</v>
      </c>
      <c r="I913" s="4" t="s">
        <v>13104</v>
      </c>
      <c r="J913" s="9" t="s">
        <v>24</v>
      </c>
      <c r="L913" s="9">
        <v>1</v>
      </c>
      <c r="M913" s="9">
        <v>5</v>
      </c>
      <c r="N913" s="9" t="s">
        <v>12092</v>
      </c>
      <c r="O913" s="9" t="s">
        <v>12079</v>
      </c>
      <c r="Q913" s="10"/>
      <c r="S913" s="9">
        <v>14</v>
      </c>
      <c r="U913" s="9" t="str">
        <f t="shared" ca="1" si="34"/>
        <v/>
      </c>
      <c r="V913" s="9" t="str">
        <f t="shared" ca="1" si="35"/>
        <v/>
      </c>
      <c r="AE913" s="9" t="s">
        <v>12083</v>
      </c>
    </row>
    <row r="914" spans="1:33">
      <c r="A914" s="3" t="s">
        <v>1214</v>
      </c>
      <c r="D914" s="3" t="s">
        <v>5827</v>
      </c>
      <c r="E914" s="3" t="s">
        <v>5828</v>
      </c>
      <c r="J914" s="9" t="s">
        <v>12118</v>
      </c>
      <c r="Q914" s="10"/>
      <c r="T914" s="9">
        <f>165-186</f>
        <v>-21</v>
      </c>
      <c r="U914" s="9">
        <f t="shared" ca="1" si="34"/>
        <v>186</v>
      </c>
      <c r="V914" s="9">
        <f t="shared" ca="1" si="35"/>
        <v>165</v>
      </c>
      <c r="AG914" s="9" t="s">
        <v>20</v>
      </c>
    </row>
    <row r="915" spans="1:33">
      <c r="A915" s="3" t="s">
        <v>1216</v>
      </c>
      <c r="D915" s="3" t="s">
        <v>5829</v>
      </c>
      <c r="E915" s="3" t="s">
        <v>5830</v>
      </c>
      <c r="J915" s="9" t="s">
        <v>24</v>
      </c>
      <c r="L915" s="9">
        <v>1</v>
      </c>
      <c r="M915" s="9">
        <v>3</v>
      </c>
      <c r="N915" s="9" t="s">
        <v>12087</v>
      </c>
      <c r="O915" s="9" t="s">
        <v>12079</v>
      </c>
      <c r="Q915" s="10"/>
      <c r="S915" s="9">
        <v>5676</v>
      </c>
      <c r="U915" s="9" t="str">
        <f t="shared" ca="1" si="34"/>
        <v/>
      </c>
      <c r="V915" s="9" t="str">
        <f t="shared" ca="1" si="35"/>
        <v/>
      </c>
      <c r="AG915" s="9" t="s">
        <v>19</v>
      </c>
    </row>
    <row r="916" spans="1:33">
      <c r="A916" s="3" t="s">
        <v>1217</v>
      </c>
      <c r="D916" s="3" t="s">
        <v>1218</v>
      </c>
      <c r="E916" s="3" t="s">
        <v>1219</v>
      </c>
      <c r="F916" t="s">
        <v>12</v>
      </c>
      <c r="J916" s="9" t="s">
        <v>12120</v>
      </c>
      <c r="Q916" s="10"/>
      <c r="U916" s="9" t="str">
        <f t="shared" ca="1" si="34"/>
        <v/>
      </c>
      <c r="V916" s="9" t="str">
        <f t="shared" ca="1" si="35"/>
        <v/>
      </c>
      <c r="AC916" s="9" t="s">
        <v>12130</v>
      </c>
      <c r="AD916" s="9" t="s">
        <v>19</v>
      </c>
      <c r="AE916" s="9" t="s">
        <v>12086</v>
      </c>
    </row>
    <row r="917" spans="1:33">
      <c r="A917" s="3" t="s">
        <v>1217</v>
      </c>
      <c r="D917" s="3" t="s">
        <v>1220</v>
      </c>
      <c r="E917" s="3" t="s">
        <v>1221</v>
      </c>
      <c r="H917" t="s">
        <v>19</v>
      </c>
      <c r="J917" s="9" t="s">
        <v>12118</v>
      </c>
      <c r="Q917" s="10"/>
      <c r="T917" s="9" t="s">
        <v>12131</v>
      </c>
      <c r="U917" s="9" t="str">
        <f t="shared" ca="1" si="34"/>
        <v/>
      </c>
      <c r="V917" s="9" t="str">
        <f t="shared" ca="1" si="35"/>
        <v/>
      </c>
      <c r="AE917" s="9" t="s">
        <v>12077</v>
      </c>
    </row>
    <row r="918" spans="1:33">
      <c r="A918" s="3" t="s">
        <v>1222</v>
      </c>
      <c r="D918" s="3" t="s">
        <v>5831</v>
      </c>
      <c r="E918" s="3" t="s">
        <v>5832</v>
      </c>
      <c r="J918" s="9" t="s">
        <v>24</v>
      </c>
      <c r="L918" s="9">
        <v>1</v>
      </c>
      <c r="M918" s="9">
        <v>2</v>
      </c>
      <c r="N918" s="9" t="s">
        <v>12087</v>
      </c>
      <c r="O918" s="9" t="s">
        <v>12119</v>
      </c>
      <c r="Q918" s="10"/>
      <c r="S918" s="9">
        <v>1966</v>
      </c>
      <c r="U918" s="9" t="str">
        <f t="shared" ca="1" si="34"/>
        <v/>
      </c>
      <c r="V918" s="9" t="str">
        <f t="shared" ca="1" si="35"/>
        <v/>
      </c>
      <c r="AG918" s="9" t="s">
        <v>20</v>
      </c>
    </row>
    <row r="919" spans="1:33">
      <c r="A919" s="3" t="s">
        <v>1223</v>
      </c>
      <c r="D919" s="3" t="s">
        <v>1224</v>
      </c>
      <c r="E919" s="3" t="s">
        <v>1225</v>
      </c>
      <c r="J919" s="9" t="s">
        <v>12118</v>
      </c>
      <c r="Q919" s="10"/>
      <c r="T919" s="9" t="s">
        <v>12131</v>
      </c>
      <c r="U919" s="9" t="str">
        <f t="shared" ca="1" si="34"/>
        <v/>
      </c>
      <c r="V919" s="9" t="str">
        <f t="shared" ca="1" si="35"/>
        <v/>
      </c>
      <c r="AB919" s="9" t="s">
        <v>12124</v>
      </c>
      <c r="AD919" s="9" t="s">
        <v>19</v>
      </c>
    </row>
    <row r="920" spans="1:33">
      <c r="A920" s="3" t="s">
        <v>1223</v>
      </c>
      <c r="D920" s="3" t="s">
        <v>1226</v>
      </c>
      <c r="E920" s="3" t="s">
        <v>1227</v>
      </c>
      <c r="J920" s="9" t="s">
        <v>12120</v>
      </c>
      <c r="Q920" s="10"/>
      <c r="U920" s="9" t="str">
        <f t="shared" ca="1" si="34"/>
        <v/>
      </c>
      <c r="V920" s="9" t="str">
        <f t="shared" ca="1" si="35"/>
        <v/>
      </c>
      <c r="AC920" s="9" t="s">
        <v>12166</v>
      </c>
      <c r="AD920" s="9" t="s">
        <v>19</v>
      </c>
    </row>
    <row r="921" spans="1:33">
      <c r="A921" s="3" t="s">
        <v>1228</v>
      </c>
      <c r="D921" s="3" t="s">
        <v>1229</v>
      </c>
      <c r="E921" s="3" t="s">
        <v>1230</v>
      </c>
      <c r="J921" s="9" t="s">
        <v>12118</v>
      </c>
      <c r="Q921" s="10"/>
      <c r="T921" s="9">
        <f>8-77</f>
        <v>-69</v>
      </c>
      <c r="U921" s="9">
        <f t="shared" ca="1" si="34"/>
        <v>77</v>
      </c>
      <c r="V921" s="9">
        <f t="shared" ca="1" si="35"/>
        <v>8</v>
      </c>
      <c r="AG921" s="9" t="s">
        <v>19</v>
      </c>
    </row>
    <row r="922" spans="1:33">
      <c r="A922" s="3" t="s">
        <v>1228</v>
      </c>
      <c r="D922" s="11" t="s">
        <v>12211</v>
      </c>
      <c r="E922" s="11" t="s">
        <v>12212</v>
      </c>
      <c r="J922" s="9" t="s">
        <v>12118</v>
      </c>
      <c r="Q922" s="10"/>
      <c r="T922" s="9">
        <f>560-7</f>
        <v>553</v>
      </c>
      <c r="U922" s="9">
        <f t="shared" ca="1" si="34"/>
        <v>7</v>
      </c>
      <c r="V922" s="9">
        <f t="shared" ca="1" si="35"/>
        <v>560</v>
      </c>
      <c r="AC922" s="9" t="s">
        <v>12130</v>
      </c>
      <c r="AD922" s="9" t="s">
        <v>19</v>
      </c>
      <c r="AE922" s="9" t="s">
        <v>12089</v>
      </c>
    </row>
    <row r="923" spans="1:33" ht="29">
      <c r="A923" s="3" t="s">
        <v>1231</v>
      </c>
      <c r="D923" s="3" t="s">
        <v>5833</v>
      </c>
      <c r="E923" s="3" t="s">
        <v>5834</v>
      </c>
      <c r="G923" t="s">
        <v>21</v>
      </c>
      <c r="I923" t="s">
        <v>5835</v>
      </c>
      <c r="J923" s="9" t="s">
        <v>12118</v>
      </c>
      <c r="Q923" s="10"/>
      <c r="T923" s="9">
        <f>261-4240</f>
        <v>-3979</v>
      </c>
      <c r="U923" s="9">
        <f t="shared" ca="1" si="34"/>
        <v>4240</v>
      </c>
      <c r="V923" s="9">
        <f t="shared" ca="1" si="35"/>
        <v>261</v>
      </c>
    </row>
    <row r="924" spans="1:33" ht="29">
      <c r="A924" s="3" t="s">
        <v>1232</v>
      </c>
      <c r="D924" s="3" t="s">
        <v>5837</v>
      </c>
      <c r="E924" s="3" t="s">
        <v>5836</v>
      </c>
      <c r="J924" s="9" t="s">
        <v>24</v>
      </c>
      <c r="L924" s="9">
        <v>2</v>
      </c>
      <c r="M924" s="9">
        <v>6</v>
      </c>
      <c r="O924" s="9" t="s">
        <v>12079</v>
      </c>
      <c r="Q924" s="10"/>
      <c r="S924" s="9">
        <v>444</v>
      </c>
      <c r="U924" s="9" t="str">
        <f t="shared" ca="1" si="34"/>
        <v/>
      </c>
      <c r="V924" s="9" t="str">
        <f t="shared" ca="1" si="35"/>
        <v/>
      </c>
      <c r="AG924" s="9" t="s">
        <v>19</v>
      </c>
    </row>
    <row r="925" spans="1:33">
      <c r="A925" s="3" t="s">
        <v>1233</v>
      </c>
      <c r="D925" s="3" t="s">
        <v>5838</v>
      </c>
      <c r="E925" s="3" t="s">
        <v>5839</v>
      </c>
      <c r="G925" t="s">
        <v>19</v>
      </c>
      <c r="J925" s="9" t="s">
        <v>12120</v>
      </c>
      <c r="Q925" s="10"/>
      <c r="U925" s="9" t="str">
        <f t="shared" ca="1" si="34"/>
        <v/>
      </c>
      <c r="V925" s="9" t="str">
        <f t="shared" ca="1" si="35"/>
        <v/>
      </c>
      <c r="AE925" s="9" t="s">
        <v>12089</v>
      </c>
    </row>
    <row r="926" spans="1:33" ht="29">
      <c r="A926" s="3" t="s">
        <v>1236</v>
      </c>
      <c r="D926" s="3" t="s">
        <v>5840</v>
      </c>
      <c r="E926" s="3" t="s">
        <v>5841</v>
      </c>
      <c r="J926" s="9" t="s">
        <v>12118</v>
      </c>
      <c r="Q926" s="10"/>
      <c r="T926" s="9">
        <f>5676-1966</f>
        <v>3710</v>
      </c>
      <c r="U926" s="9">
        <f t="shared" ca="1" si="34"/>
        <v>1966</v>
      </c>
      <c r="V926" s="9">
        <f t="shared" ca="1" si="35"/>
        <v>5676</v>
      </c>
      <c r="AG926" s="9" t="s">
        <v>19</v>
      </c>
    </row>
    <row r="927" spans="1:33">
      <c r="A927" s="3" t="s">
        <v>1237</v>
      </c>
      <c r="D927" s="3" t="s">
        <v>5842</v>
      </c>
      <c r="E927" s="3" t="s">
        <v>5843</v>
      </c>
      <c r="J927" s="9" t="s">
        <v>25</v>
      </c>
      <c r="L927" s="9">
        <v>1</v>
      </c>
      <c r="M927" s="9">
        <v>2</v>
      </c>
      <c r="N927" s="9" t="s">
        <v>12087</v>
      </c>
      <c r="O927" s="9" t="s">
        <v>12119</v>
      </c>
      <c r="Q927" s="10"/>
      <c r="S927" s="9">
        <v>1966</v>
      </c>
      <c r="U927" s="9" t="str">
        <f t="shared" ca="1" si="34"/>
        <v/>
      </c>
      <c r="V927" s="9" t="str">
        <f t="shared" ca="1" si="35"/>
        <v/>
      </c>
      <c r="AG927" s="9" t="s">
        <v>19</v>
      </c>
    </row>
    <row r="928" spans="1:33">
      <c r="A928" s="3" t="s">
        <v>1237</v>
      </c>
      <c r="D928" s="3" t="s">
        <v>5844</v>
      </c>
      <c r="E928" s="3" t="s">
        <v>5845</v>
      </c>
      <c r="J928" s="9" t="s">
        <v>12120</v>
      </c>
      <c r="Q928" s="10"/>
      <c r="U928" s="9" t="str">
        <f t="shared" ca="1" si="34"/>
        <v/>
      </c>
      <c r="V928" s="9" t="str">
        <f t="shared" ca="1" si="35"/>
        <v/>
      </c>
      <c r="AC928" s="9" t="s">
        <v>12166</v>
      </c>
      <c r="AD928" s="9" t="s">
        <v>19</v>
      </c>
    </row>
    <row r="929" spans="1:33">
      <c r="A929" s="3" t="s">
        <v>1238</v>
      </c>
      <c r="D929" s="3" t="s">
        <v>5846</v>
      </c>
      <c r="E929" s="3" t="s">
        <v>5847</v>
      </c>
      <c r="J929" s="9" t="s">
        <v>25</v>
      </c>
      <c r="L929" s="9">
        <v>1</v>
      </c>
      <c r="M929" s="9">
        <v>3</v>
      </c>
      <c r="N929" s="9" t="s">
        <v>12087</v>
      </c>
      <c r="O929" s="9" t="s">
        <v>12079</v>
      </c>
      <c r="Q929" s="10"/>
      <c r="S929" s="9">
        <v>5676</v>
      </c>
      <c r="U929" s="9" t="str">
        <f t="shared" ca="1" si="34"/>
        <v/>
      </c>
      <c r="V929" s="9" t="str">
        <f t="shared" ca="1" si="35"/>
        <v/>
      </c>
      <c r="AG929" s="9" t="s">
        <v>19</v>
      </c>
    </row>
    <row r="930" spans="1:33" ht="43.5">
      <c r="A930" s="3" t="s">
        <v>1239</v>
      </c>
      <c r="D930" s="3" t="s">
        <v>5850</v>
      </c>
      <c r="E930" s="3" t="s">
        <v>5849</v>
      </c>
      <c r="J930" s="9" t="s">
        <v>25</v>
      </c>
      <c r="L930" s="9">
        <v>2</v>
      </c>
      <c r="M930" s="9">
        <v>13</v>
      </c>
      <c r="O930" s="9" t="s">
        <v>12073</v>
      </c>
      <c r="P930" s="9" t="s">
        <v>12135</v>
      </c>
      <c r="Q930" s="10" t="s">
        <v>12136</v>
      </c>
      <c r="S930" s="9">
        <v>25</v>
      </c>
      <c r="U930" s="9" t="str">
        <f t="shared" ca="1" si="34"/>
        <v/>
      </c>
      <c r="V930" s="9" t="str">
        <f t="shared" ca="1" si="35"/>
        <v/>
      </c>
      <c r="AG930" s="9" t="s">
        <v>20</v>
      </c>
    </row>
    <row r="931" spans="1:33" ht="43.5">
      <c r="A931" s="3" t="s">
        <v>1239</v>
      </c>
      <c r="D931" s="3" t="s">
        <v>5848</v>
      </c>
      <c r="E931" s="3" t="s">
        <v>5851</v>
      </c>
      <c r="J931" s="9" t="s">
        <v>24</v>
      </c>
      <c r="L931" s="9">
        <v>1</v>
      </c>
      <c r="M931" s="9">
        <v>1</v>
      </c>
      <c r="N931" s="9" t="s">
        <v>12123</v>
      </c>
      <c r="O931" s="9" t="s">
        <v>12119</v>
      </c>
      <c r="Q931" s="10"/>
      <c r="S931" s="9">
        <v>193</v>
      </c>
      <c r="U931" s="9" t="str">
        <f t="shared" ca="1" si="34"/>
        <v/>
      </c>
      <c r="V931" s="9" t="str">
        <f t="shared" ca="1" si="35"/>
        <v/>
      </c>
      <c r="AG931" s="9" t="s">
        <v>19</v>
      </c>
    </row>
    <row r="932" spans="1:33" ht="43.5">
      <c r="A932" s="3" t="s">
        <v>1239</v>
      </c>
      <c r="D932" s="3" t="s">
        <v>5852</v>
      </c>
      <c r="E932" s="3" t="s">
        <v>5853</v>
      </c>
      <c r="G932" t="s">
        <v>21</v>
      </c>
      <c r="I932" t="s">
        <v>5854</v>
      </c>
      <c r="J932" s="9" t="s">
        <v>12120</v>
      </c>
      <c r="Q932" s="10"/>
      <c r="U932" s="9" t="str">
        <f t="shared" ca="1" si="34"/>
        <v/>
      </c>
      <c r="V932" s="9" t="str">
        <f t="shared" ca="1" si="35"/>
        <v/>
      </c>
    </row>
    <row r="933" spans="1:33">
      <c r="A933" s="3" t="s">
        <v>1240</v>
      </c>
      <c r="D933" s="3" t="s">
        <v>5855</v>
      </c>
      <c r="E933" s="3" t="s">
        <v>5856</v>
      </c>
      <c r="J933" s="9" t="s">
        <v>12120</v>
      </c>
      <c r="Q933" s="10"/>
      <c r="U933" s="9" t="str">
        <f t="shared" ca="1" si="34"/>
        <v/>
      </c>
      <c r="V933" s="9" t="str">
        <f t="shared" ca="1" si="35"/>
        <v/>
      </c>
      <c r="AB933" s="9" t="s">
        <v>12738</v>
      </c>
      <c r="AD933" s="9" t="s">
        <v>19</v>
      </c>
    </row>
    <row r="934" spans="1:33">
      <c r="A934" s="3" t="s">
        <v>1241</v>
      </c>
      <c r="D934" s="3" t="s">
        <v>1242</v>
      </c>
      <c r="E934" s="3" t="s">
        <v>1243</v>
      </c>
      <c r="J934" s="9" t="s">
        <v>12118</v>
      </c>
      <c r="Q934" s="10"/>
      <c r="T934" s="9" t="s">
        <v>12131</v>
      </c>
      <c r="U934" s="9" t="str">
        <f t="shared" ca="1" si="34"/>
        <v/>
      </c>
      <c r="V934" s="9" t="str">
        <f t="shared" ca="1" si="35"/>
        <v/>
      </c>
      <c r="AB934" s="9" t="s">
        <v>12124</v>
      </c>
      <c r="AD934" s="9" t="s">
        <v>19</v>
      </c>
    </row>
    <row r="935" spans="1:33">
      <c r="A935" s="3" t="s">
        <v>1244</v>
      </c>
      <c r="D935" s="3" t="s">
        <v>5857</v>
      </c>
      <c r="E935" s="3" t="s">
        <v>5858</v>
      </c>
      <c r="J935" s="9" t="s">
        <v>12120</v>
      </c>
      <c r="Q935" s="10"/>
      <c r="U935" s="9" t="str">
        <f t="shared" ca="1" si="34"/>
        <v/>
      </c>
      <c r="V935" s="9" t="str">
        <f t="shared" ca="1" si="35"/>
        <v/>
      </c>
      <c r="AC935" s="9" t="s">
        <v>12130</v>
      </c>
      <c r="AD935" s="9" t="s">
        <v>19</v>
      </c>
    </row>
    <row r="936" spans="1:33" ht="130.5">
      <c r="A936" s="3" t="s">
        <v>1246</v>
      </c>
      <c r="D936" s="3" t="s">
        <v>12998</v>
      </c>
      <c r="E936" s="3" t="s">
        <v>12999</v>
      </c>
      <c r="J936" s="9" t="s">
        <v>12120</v>
      </c>
      <c r="Q936" s="10"/>
      <c r="U936" s="9" t="str">
        <f t="shared" ca="1" si="34"/>
        <v/>
      </c>
      <c r="V936" s="9" t="str">
        <f t="shared" ca="1" si="35"/>
        <v/>
      </c>
      <c r="AG936" s="9" t="s">
        <v>19</v>
      </c>
    </row>
    <row r="937" spans="1:33" ht="116">
      <c r="A937" s="3" t="s">
        <v>1246</v>
      </c>
      <c r="D937" s="3" t="s">
        <v>13000</v>
      </c>
      <c r="E937" s="3" t="s">
        <v>13001</v>
      </c>
      <c r="J937" s="9" t="s">
        <v>12120</v>
      </c>
      <c r="L937" s="9">
        <v>9</v>
      </c>
      <c r="M937" s="9">
        <v>48</v>
      </c>
      <c r="O937" s="9" t="s">
        <v>12073</v>
      </c>
      <c r="P937" s="9" t="s">
        <v>12208</v>
      </c>
      <c r="Q937" s="10" t="s">
        <v>12214</v>
      </c>
      <c r="R937" s="9" t="s">
        <v>12074</v>
      </c>
      <c r="S937" s="9">
        <v>1</v>
      </c>
      <c r="U937" s="9" t="str">
        <f t="shared" ref="U937" ca="1" si="36">IF(ISNUMBER(T937),VALUE(MID(_xlfn.FORMULATEXT(T937),SEARCH("-",_xlfn.FORMULATEXT(T937))+1,LEN(_xlfn.FORMULATEXT(T937))-SEARCH("-",_xlfn.FORMULATEXT(T937)))), "")</f>
        <v/>
      </c>
      <c r="V937" s="9" t="str">
        <f t="shared" ref="V937" ca="1" si="37">IF(ISNUMBER(T937), VALUE(MID(_xlfn.FORMULATEXT(T937), 2, SEARCH("-", _xlfn.FORMULATEXT(T937)) - 2)), "")</f>
        <v/>
      </c>
      <c r="AB937" s="9" t="s">
        <v>12738</v>
      </c>
      <c r="AD937" s="9" t="s">
        <v>19</v>
      </c>
    </row>
    <row r="938" spans="1:33" ht="116">
      <c r="A938" s="3" t="s">
        <v>1246</v>
      </c>
      <c r="D938" s="3" t="s">
        <v>13002</v>
      </c>
      <c r="E938" s="3" t="s">
        <v>12997</v>
      </c>
      <c r="J938" s="9" t="s">
        <v>25</v>
      </c>
      <c r="L938" s="9">
        <v>1</v>
      </c>
      <c r="M938" s="9">
        <v>2</v>
      </c>
      <c r="N938" s="9" t="s">
        <v>12078</v>
      </c>
      <c r="O938" s="9" t="s">
        <v>12119</v>
      </c>
      <c r="Q938" s="10"/>
      <c r="S938" s="9">
        <v>11843</v>
      </c>
      <c r="U938" s="9" t="str">
        <f t="shared" ref="U938" ca="1" si="38">IF(ISNUMBER(T938),VALUE(MID(_xlfn.FORMULATEXT(T938),SEARCH("-",_xlfn.FORMULATEXT(T938))+1,LEN(_xlfn.FORMULATEXT(T938))-SEARCH("-",_xlfn.FORMULATEXT(T938)))), "")</f>
        <v/>
      </c>
      <c r="V938" s="9" t="str">
        <f t="shared" ref="V938" ca="1" si="39">IF(ISNUMBER(T938), VALUE(MID(_xlfn.FORMULATEXT(T938), 2, SEARCH("-", _xlfn.FORMULATEXT(T938)) - 2)), "")</f>
        <v/>
      </c>
      <c r="AG938" s="9" t="s">
        <v>20</v>
      </c>
    </row>
    <row r="939" spans="1:33" ht="116">
      <c r="A939" s="3" t="s">
        <v>1246</v>
      </c>
      <c r="D939" s="3" t="s">
        <v>12213</v>
      </c>
      <c r="E939" s="3" t="s">
        <v>12997</v>
      </c>
      <c r="I939" t="s">
        <v>12215</v>
      </c>
      <c r="J939" s="9" t="s">
        <v>25</v>
      </c>
      <c r="L939" s="9">
        <v>9</v>
      </c>
      <c r="M939" s="9">
        <v>48</v>
      </c>
      <c r="O939" s="9" t="s">
        <v>12073</v>
      </c>
      <c r="P939" s="9" t="s">
        <v>12208</v>
      </c>
      <c r="Q939" s="10" t="s">
        <v>12214</v>
      </c>
      <c r="R939" s="9" t="s">
        <v>12074</v>
      </c>
      <c r="S939" s="9">
        <v>1</v>
      </c>
      <c r="U939" s="9" t="str">
        <f t="shared" ca="1" si="34"/>
        <v/>
      </c>
      <c r="V939" s="9" t="str">
        <f t="shared" ca="1" si="35"/>
        <v/>
      </c>
      <c r="AE939" s="9" t="s">
        <v>12089</v>
      </c>
    </row>
    <row r="940" spans="1:33" ht="43.5">
      <c r="A940" s="3" t="s">
        <v>1247</v>
      </c>
      <c r="D940" s="3" t="s">
        <v>12216</v>
      </c>
      <c r="E940" s="3" t="s">
        <v>12217</v>
      </c>
      <c r="G940" t="s">
        <v>19</v>
      </c>
      <c r="J940" s="9" t="s">
        <v>12120</v>
      </c>
      <c r="Q940" s="10"/>
      <c r="U940" s="9" t="str">
        <f t="shared" ca="1" si="34"/>
        <v/>
      </c>
      <c r="V940" s="9" t="str">
        <f t="shared" ca="1" si="35"/>
        <v/>
      </c>
    </row>
    <row r="941" spans="1:33">
      <c r="A941" s="3" t="s">
        <v>1249</v>
      </c>
      <c r="D941" s="3" t="s">
        <v>5859</v>
      </c>
      <c r="E941" s="3" t="s">
        <v>5860</v>
      </c>
      <c r="J941" s="9" t="s">
        <v>25</v>
      </c>
      <c r="L941" s="9">
        <v>1</v>
      </c>
      <c r="M941" s="9">
        <v>2</v>
      </c>
      <c r="N941" s="9" t="s">
        <v>12125</v>
      </c>
      <c r="O941" s="9" t="s">
        <v>12119</v>
      </c>
      <c r="Q941" s="10"/>
      <c r="S941" s="9">
        <v>1565</v>
      </c>
      <c r="U941" s="9" t="str">
        <f t="shared" ca="1" si="34"/>
        <v/>
      </c>
      <c r="V941" s="9" t="str">
        <f t="shared" ca="1" si="35"/>
        <v/>
      </c>
      <c r="AG941" s="9" t="s">
        <v>20</v>
      </c>
    </row>
    <row r="942" spans="1:33" ht="29">
      <c r="A942" s="3" t="s">
        <v>1251</v>
      </c>
      <c r="D942" s="3" t="s">
        <v>5862</v>
      </c>
      <c r="E942" s="3" t="s">
        <v>5863</v>
      </c>
      <c r="J942" s="9" t="s">
        <v>12118</v>
      </c>
      <c r="Q942" s="10"/>
      <c r="T942" s="9" t="s">
        <v>12131</v>
      </c>
      <c r="U942" s="9" t="str">
        <f t="shared" ca="1" si="34"/>
        <v/>
      </c>
      <c r="V942" s="9" t="str">
        <f t="shared" ca="1" si="35"/>
        <v/>
      </c>
      <c r="AC942" s="9" t="s">
        <v>12130</v>
      </c>
      <c r="AD942" s="9" t="s">
        <v>19</v>
      </c>
      <c r="AE942" s="9" t="s">
        <v>12086</v>
      </c>
    </row>
    <row r="943" spans="1:33" ht="29">
      <c r="A943" s="3" t="s">
        <v>1251</v>
      </c>
      <c r="D943" s="3" t="s">
        <v>5861</v>
      </c>
      <c r="E943" s="3" t="s">
        <v>5864</v>
      </c>
      <c r="J943" s="9" t="s">
        <v>24</v>
      </c>
      <c r="L943" s="9">
        <v>1</v>
      </c>
      <c r="M943" s="9">
        <v>5</v>
      </c>
      <c r="N943" s="9" t="s">
        <v>12094</v>
      </c>
      <c r="O943" s="9" t="s">
        <v>12079</v>
      </c>
      <c r="Q943" s="10"/>
      <c r="S943" s="9">
        <v>4240</v>
      </c>
      <c r="U943" s="9" t="str">
        <f t="shared" ca="1" si="34"/>
        <v/>
      </c>
      <c r="V943" s="9" t="str">
        <f t="shared" ca="1" si="35"/>
        <v/>
      </c>
      <c r="AG943" s="9" t="s">
        <v>19</v>
      </c>
    </row>
    <row r="944" spans="1:33" ht="43.5">
      <c r="A944" s="3" t="s">
        <v>1252</v>
      </c>
      <c r="D944" s="3" t="s">
        <v>5865</v>
      </c>
      <c r="E944" s="3" t="s">
        <v>5866</v>
      </c>
      <c r="I944" t="s">
        <v>5457</v>
      </c>
      <c r="J944" s="9" t="s">
        <v>26</v>
      </c>
      <c r="Q944" s="10"/>
      <c r="U944" s="9" t="str">
        <f t="shared" ca="1" si="34"/>
        <v/>
      </c>
      <c r="V944" s="9" t="str">
        <f t="shared" ca="1" si="35"/>
        <v/>
      </c>
      <c r="AG944" s="9" t="s">
        <v>20</v>
      </c>
    </row>
    <row r="945" spans="1:33">
      <c r="A945" s="3" t="s">
        <v>1253</v>
      </c>
      <c r="D945" s="3" t="s">
        <v>1254</v>
      </c>
      <c r="E945" s="3" t="s">
        <v>1255</v>
      </c>
      <c r="J945" s="9" t="s">
        <v>12118</v>
      </c>
      <c r="Q945" s="10"/>
      <c r="T945" s="9" t="s">
        <v>12119</v>
      </c>
      <c r="U945" s="9" t="str">
        <f t="shared" ca="1" si="34"/>
        <v/>
      </c>
      <c r="V945" s="9" t="str">
        <f t="shared" ca="1" si="35"/>
        <v/>
      </c>
      <c r="AB945" s="9" t="s">
        <v>12124</v>
      </c>
      <c r="AC945" s="9" t="s">
        <v>12130</v>
      </c>
      <c r="AD945" s="9" t="s">
        <v>19</v>
      </c>
    </row>
    <row r="946" spans="1:33">
      <c r="A946" s="3" t="s">
        <v>1256</v>
      </c>
      <c r="D946" s="3" t="s">
        <v>1257</v>
      </c>
      <c r="E946" s="3" t="s">
        <v>1258</v>
      </c>
      <c r="J946" s="9" t="s">
        <v>12120</v>
      </c>
      <c r="Q946" s="10"/>
      <c r="U946" s="9" t="str">
        <f t="shared" ca="1" si="34"/>
        <v/>
      </c>
      <c r="V946" s="9" t="str">
        <f t="shared" ca="1" si="35"/>
        <v/>
      </c>
      <c r="AG946" s="9" t="s">
        <v>20</v>
      </c>
    </row>
    <row r="947" spans="1:33">
      <c r="A947" s="3" t="s">
        <v>1259</v>
      </c>
      <c r="D947" s="3" t="s">
        <v>5867</v>
      </c>
      <c r="E947" s="3" t="s">
        <v>5868</v>
      </c>
      <c r="J947" s="9" t="s">
        <v>12118</v>
      </c>
      <c r="Q947" s="10"/>
      <c r="T947" s="9" t="s">
        <v>12131</v>
      </c>
      <c r="U947" s="9" t="str">
        <f t="shared" ca="1" si="34"/>
        <v/>
      </c>
      <c r="V947" s="9" t="str">
        <f t="shared" ca="1" si="35"/>
        <v/>
      </c>
      <c r="AE947" s="9" t="s">
        <v>12077</v>
      </c>
    </row>
    <row r="948" spans="1:33">
      <c r="A948" s="3" t="s">
        <v>1260</v>
      </c>
      <c r="D948" s="3" t="s">
        <v>5870</v>
      </c>
      <c r="E948" s="3" t="s">
        <v>5869</v>
      </c>
      <c r="J948" s="9" t="s">
        <v>24</v>
      </c>
      <c r="L948" s="9">
        <v>1</v>
      </c>
      <c r="M948" s="9">
        <v>4</v>
      </c>
      <c r="N948" s="9" t="s">
        <v>12094</v>
      </c>
      <c r="O948" s="9" t="s">
        <v>12079</v>
      </c>
      <c r="Q948" s="10"/>
      <c r="S948" s="9">
        <v>4240</v>
      </c>
      <c r="U948" s="9" t="str">
        <f t="shared" ca="1" si="34"/>
        <v/>
      </c>
      <c r="V948" s="9" t="str">
        <f t="shared" ca="1" si="35"/>
        <v/>
      </c>
      <c r="AG948" s="9" t="s">
        <v>19</v>
      </c>
    </row>
    <row r="949" spans="1:33">
      <c r="A949" s="3" t="s">
        <v>1260</v>
      </c>
      <c r="D949" s="3" t="s">
        <v>5871</v>
      </c>
      <c r="E949" s="3" t="s">
        <v>5872</v>
      </c>
      <c r="J949" s="9" t="s">
        <v>12120</v>
      </c>
      <c r="Q949" s="10"/>
      <c r="U949" s="9" t="str">
        <f t="shared" ca="1" si="34"/>
        <v/>
      </c>
      <c r="V949" s="9" t="str">
        <f t="shared" ca="1" si="35"/>
        <v/>
      </c>
      <c r="AB949" s="9" t="s">
        <v>12082</v>
      </c>
      <c r="AD949" s="9" t="s">
        <v>19</v>
      </c>
    </row>
    <row r="950" spans="1:33">
      <c r="A950" s="3" t="s">
        <v>1261</v>
      </c>
      <c r="D950" s="3" t="s">
        <v>472</v>
      </c>
      <c r="E950" s="3" t="s">
        <v>473</v>
      </c>
      <c r="J950" s="9" t="s">
        <v>12120</v>
      </c>
      <c r="Q950" s="10"/>
      <c r="U950" s="9" t="str">
        <f t="shared" ca="1" si="34"/>
        <v/>
      </c>
      <c r="V950" s="9" t="str">
        <f t="shared" ca="1" si="35"/>
        <v/>
      </c>
      <c r="AB950" s="9" t="s">
        <v>12738</v>
      </c>
      <c r="AD950" s="9" t="s">
        <v>19</v>
      </c>
    </row>
    <row r="951" spans="1:33">
      <c r="A951" s="3" t="s">
        <v>1261</v>
      </c>
      <c r="D951" s="3" t="s">
        <v>5873</v>
      </c>
      <c r="E951" s="3" t="s">
        <v>5874</v>
      </c>
      <c r="J951" s="9" t="s">
        <v>12118</v>
      </c>
      <c r="Q951" s="10"/>
      <c r="T951" s="9">
        <f>41-309</f>
        <v>-268</v>
      </c>
      <c r="U951" s="9">
        <f t="shared" ca="1" si="34"/>
        <v>309</v>
      </c>
      <c r="V951" s="9">
        <f t="shared" ca="1" si="35"/>
        <v>41</v>
      </c>
      <c r="AG951" s="9" t="s">
        <v>19</v>
      </c>
    </row>
    <row r="952" spans="1:33" ht="43.5">
      <c r="A952" s="3" t="s">
        <v>1262</v>
      </c>
      <c r="D952" s="3" t="s">
        <v>12218</v>
      </c>
      <c r="E952" s="3" t="s">
        <v>12219</v>
      </c>
      <c r="G952" t="s">
        <v>19</v>
      </c>
      <c r="J952" s="9" t="s">
        <v>12118</v>
      </c>
      <c r="Q952" s="10"/>
      <c r="T952" s="9">
        <f>21-0</f>
        <v>21</v>
      </c>
      <c r="U952" s="9">
        <f t="shared" ca="1" si="34"/>
        <v>0</v>
      </c>
      <c r="V952" s="9">
        <f t="shared" ca="1" si="35"/>
        <v>21</v>
      </c>
    </row>
    <row r="953" spans="1:33" ht="43.5">
      <c r="A953" s="3" t="s">
        <v>1262</v>
      </c>
      <c r="D953" s="3" t="s">
        <v>5875</v>
      </c>
      <c r="E953" s="3" t="s">
        <v>12220</v>
      </c>
      <c r="J953" s="9" t="s">
        <v>24</v>
      </c>
      <c r="L953" s="9">
        <v>1</v>
      </c>
      <c r="M953" s="9">
        <v>3</v>
      </c>
      <c r="N953" s="9" t="s">
        <v>12094</v>
      </c>
      <c r="O953" s="9" t="s">
        <v>12079</v>
      </c>
      <c r="Q953" s="10"/>
      <c r="S953" s="9">
        <v>1741</v>
      </c>
      <c r="U953" s="9" t="str">
        <f t="shared" ca="1" si="34"/>
        <v/>
      </c>
      <c r="V953" s="9" t="str">
        <f t="shared" ca="1" si="35"/>
        <v/>
      </c>
      <c r="AG953" s="9" t="s">
        <v>13141</v>
      </c>
    </row>
    <row r="954" spans="1:33">
      <c r="A954" s="3" t="s">
        <v>1264</v>
      </c>
      <c r="D954" s="3" t="s">
        <v>5876</v>
      </c>
      <c r="E954" s="3" t="s">
        <v>5877</v>
      </c>
      <c r="J954" s="9" t="s">
        <v>12118</v>
      </c>
      <c r="Q954" s="10"/>
      <c r="T954" s="9">
        <f>508-214</f>
        <v>294</v>
      </c>
      <c r="U954" s="9">
        <f t="shared" ca="1" si="34"/>
        <v>214</v>
      </c>
      <c r="V954" s="9">
        <f t="shared" ca="1" si="35"/>
        <v>508</v>
      </c>
      <c r="AG954" s="9" t="s">
        <v>20</v>
      </c>
    </row>
    <row r="955" spans="1:33" ht="29">
      <c r="A955" s="3" t="s">
        <v>1265</v>
      </c>
      <c r="D955" s="3" t="s">
        <v>5878</v>
      </c>
      <c r="E955" s="3" t="s">
        <v>5879</v>
      </c>
      <c r="J955" s="9" t="s">
        <v>25</v>
      </c>
      <c r="L955" s="9">
        <v>1</v>
      </c>
      <c r="M955" s="9">
        <v>3</v>
      </c>
      <c r="N955" s="9" t="s">
        <v>12078</v>
      </c>
      <c r="O955" s="9" t="s">
        <v>12079</v>
      </c>
      <c r="Q955" s="10"/>
      <c r="S955" s="9">
        <v>11843</v>
      </c>
      <c r="U955" s="9" t="str">
        <f t="shared" ca="1" si="34"/>
        <v/>
      </c>
      <c r="V955" s="9" t="str">
        <f t="shared" ca="1" si="35"/>
        <v/>
      </c>
      <c r="AG955" s="9" t="s">
        <v>19</v>
      </c>
    </row>
    <row r="956" spans="1:33" ht="29">
      <c r="A956" s="3" t="s">
        <v>1266</v>
      </c>
      <c r="D956" s="3" t="s">
        <v>5880</v>
      </c>
      <c r="E956" s="3" t="s">
        <v>5881</v>
      </c>
      <c r="I956" t="s">
        <v>5457</v>
      </c>
      <c r="J956" s="9" t="s">
        <v>26</v>
      </c>
      <c r="Q956" s="10"/>
      <c r="U956" s="9" t="str">
        <f t="shared" ca="1" si="34"/>
        <v/>
      </c>
      <c r="V956" s="9" t="str">
        <f t="shared" ca="1" si="35"/>
        <v/>
      </c>
      <c r="AG956" s="9" t="s">
        <v>19</v>
      </c>
    </row>
    <row r="957" spans="1:33" ht="29">
      <c r="A957" s="3" t="s">
        <v>1267</v>
      </c>
      <c r="D957" s="3" t="s">
        <v>5883</v>
      </c>
      <c r="E957" s="3" t="s">
        <v>5884</v>
      </c>
      <c r="J957" s="9" t="s">
        <v>12118</v>
      </c>
      <c r="Q957" s="10"/>
      <c r="T957" s="9">
        <f xml:space="preserve"> 103-171</f>
        <v>-68</v>
      </c>
      <c r="U957" s="9">
        <f t="shared" ca="1" si="34"/>
        <v>171</v>
      </c>
      <c r="V957" s="9">
        <f t="shared" ca="1" si="35"/>
        <v>103</v>
      </c>
      <c r="AG957" s="9" t="s">
        <v>20</v>
      </c>
    </row>
    <row r="958" spans="1:33" ht="29">
      <c r="A958" s="3" t="s">
        <v>1267</v>
      </c>
      <c r="D958" s="3" t="s">
        <v>5882</v>
      </c>
      <c r="E958" s="3" t="s">
        <v>5885</v>
      </c>
      <c r="J958" s="9" t="s">
        <v>24</v>
      </c>
      <c r="L958" s="9">
        <v>1</v>
      </c>
      <c r="M958" s="9">
        <v>3</v>
      </c>
      <c r="N958" s="9" t="s">
        <v>12087</v>
      </c>
      <c r="O958" s="9" t="s">
        <v>12079</v>
      </c>
      <c r="Q958" s="10"/>
      <c r="S958" s="9">
        <v>5676</v>
      </c>
      <c r="U958" s="9" t="str">
        <f t="shared" ca="1" si="34"/>
        <v/>
      </c>
      <c r="V958" s="9" t="str">
        <f t="shared" ca="1" si="35"/>
        <v/>
      </c>
      <c r="AG958" s="9" t="s">
        <v>20</v>
      </c>
    </row>
    <row r="959" spans="1:33">
      <c r="A959" s="3" t="s">
        <v>1268</v>
      </c>
      <c r="D959" s="3" t="s">
        <v>5886</v>
      </c>
      <c r="E959" s="5" t="s">
        <v>5887</v>
      </c>
      <c r="F959" t="s">
        <v>29</v>
      </c>
      <c r="J959" s="9" t="s">
        <v>12120</v>
      </c>
      <c r="Q959" s="10"/>
      <c r="U959" s="9" t="str">
        <f t="shared" ca="1" si="34"/>
        <v/>
      </c>
      <c r="V959" s="9" t="str">
        <f t="shared" ca="1" si="35"/>
        <v/>
      </c>
    </row>
    <row r="960" spans="1:33">
      <c r="A960" s="3" t="s">
        <v>1268</v>
      </c>
      <c r="D960" s="3" t="s">
        <v>1269</v>
      </c>
      <c r="E960" s="3" t="s">
        <v>1248</v>
      </c>
      <c r="J960" s="9" t="s">
        <v>12120</v>
      </c>
      <c r="Q960" s="10"/>
      <c r="U960" s="9" t="str">
        <f t="shared" ca="1" si="34"/>
        <v/>
      </c>
      <c r="V960" s="9" t="str">
        <f t="shared" ca="1" si="35"/>
        <v/>
      </c>
      <c r="AG960" s="9" t="s">
        <v>19</v>
      </c>
    </row>
    <row r="961" spans="1:33">
      <c r="A961" s="3" t="s">
        <v>1270</v>
      </c>
      <c r="D961" s="3" t="s">
        <v>1316</v>
      </c>
      <c r="E961" s="3" t="s">
        <v>1263</v>
      </c>
      <c r="J961" s="9" t="s">
        <v>12118</v>
      </c>
      <c r="Q961" s="10"/>
      <c r="T961" s="9" t="s">
        <v>12119</v>
      </c>
      <c r="U961" s="9" t="str">
        <f t="shared" ca="1" si="34"/>
        <v/>
      </c>
      <c r="V961" s="9" t="str">
        <f t="shared" ca="1" si="35"/>
        <v/>
      </c>
      <c r="AB961" s="9" t="s">
        <v>12124</v>
      </c>
      <c r="AC961" s="9" t="s">
        <v>12130</v>
      </c>
      <c r="AD961" s="9" t="s">
        <v>19</v>
      </c>
    </row>
    <row r="962" spans="1:33">
      <c r="A962" s="3" t="s">
        <v>1271</v>
      </c>
      <c r="D962" s="3" t="s">
        <v>1272</v>
      </c>
      <c r="E962" s="3" t="s">
        <v>943</v>
      </c>
      <c r="J962" s="9" t="s">
        <v>12120</v>
      </c>
      <c r="Q962" s="10"/>
      <c r="U962" s="9" t="str">
        <f t="shared" ca="1" si="34"/>
        <v/>
      </c>
      <c r="V962" s="9" t="str">
        <f t="shared" ca="1" si="35"/>
        <v/>
      </c>
      <c r="AG962" s="9" t="s">
        <v>19</v>
      </c>
    </row>
    <row r="963" spans="1:33">
      <c r="A963" s="3" t="s">
        <v>1273</v>
      </c>
      <c r="D963" s="3" t="s">
        <v>5888</v>
      </c>
      <c r="E963" s="3" t="s">
        <v>5889</v>
      </c>
      <c r="J963" s="9" t="s">
        <v>12118</v>
      </c>
      <c r="Q963" s="10"/>
      <c r="T963" s="9">
        <f>16-1</f>
        <v>15</v>
      </c>
      <c r="U963" s="9">
        <f t="shared" ca="1" si="34"/>
        <v>1</v>
      </c>
      <c r="V963" s="9">
        <f t="shared" ca="1" si="35"/>
        <v>16</v>
      </c>
      <c r="AG963" s="9" t="s">
        <v>20</v>
      </c>
    </row>
    <row r="964" spans="1:33">
      <c r="A964" s="3" t="s">
        <v>1273</v>
      </c>
      <c r="D964" s="3" t="s">
        <v>5890</v>
      </c>
      <c r="E964" s="3" t="s">
        <v>5891</v>
      </c>
      <c r="H964" t="s">
        <v>19</v>
      </c>
      <c r="J964" s="9" t="s">
        <v>25</v>
      </c>
      <c r="L964" s="9">
        <v>1</v>
      </c>
      <c r="M964" s="9">
        <v>3</v>
      </c>
      <c r="N964" s="9" t="s">
        <v>12078</v>
      </c>
      <c r="O964" s="9" t="s">
        <v>12079</v>
      </c>
      <c r="Q964" s="10"/>
      <c r="S964" s="9">
        <v>11843</v>
      </c>
      <c r="U964" s="9" t="str">
        <f t="shared" ca="1" si="34"/>
        <v/>
      </c>
      <c r="V964" s="9" t="str">
        <f t="shared" ca="1" si="35"/>
        <v/>
      </c>
      <c r="AG964" s="9" t="s">
        <v>20</v>
      </c>
    </row>
    <row r="965" spans="1:33">
      <c r="A965" s="3" t="s">
        <v>1274</v>
      </c>
      <c r="D965" s="3" t="s">
        <v>1275</v>
      </c>
      <c r="E965" s="3" t="s">
        <v>5892</v>
      </c>
      <c r="G965" t="s">
        <v>19</v>
      </c>
      <c r="J965" s="9" t="s">
        <v>12118</v>
      </c>
      <c r="Q965" s="10"/>
      <c r="T965" s="9" t="s">
        <v>12131</v>
      </c>
      <c r="U965" s="9" t="str">
        <f t="shared" ca="1" si="34"/>
        <v/>
      </c>
      <c r="V965" s="9" t="str">
        <f t="shared" ca="1" si="35"/>
        <v/>
      </c>
      <c r="AE965" s="9" t="s">
        <v>12086</v>
      </c>
    </row>
    <row r="966" spans="1:33">
      <c r="A966" s="3" t="s">
        <v>1276</v>
      </c>
      <c r="D966" s="3" t="s">
        <v>5893</v>
      </c>
      <c r="E966" s="3" t="s">
        <v>5894</v>
      </c>
      <c r="J966" s="9" t="s">
        <v>12120</v>
      </c>
      <c r="Q966" s="10"/>
      <c r="U966" s="9" t="str">
        <f t="shared" ca="1" si="34"/>
        <v/>
      </c>
      <c r="V966" s="9" t="str">
        <f t="shared" ca="1" si="35"/>
        <v/>
      </c>
      <c r="AE966" s="9" t="s">
        <v>12089</v>
      </c>
    </row>
    <row r="967" spans="1:33" ht="29">
      <c r="A967" s="3" t="s">
        <v>1277</v>
      </c>
      <c r="D967" s="3" t="s">
        <v>5896</v>
      </c>
      <c r="E967" s="3" t="s">
        <v>5895</v>
      </c>
      <c r="J967" s="9" t="s">
        <v>25</v>
      </c>
      <c r="L967" s="9">
        <v>1</v>
      </c>
      <c r="M967" s="9">
        <v>3</v>
      </c>
      <c r="N967" s="9" t="s">
        <v>12087</v>
      </c>
      <c r="O967" s="9" t="s">
        <v>12079</v>
      </c>
      <c r="Q967" s="10"/>
      <c r="S967" s="9">
        <v>5676</v>
      </c>
      <c r="U967" s="9" t="str">
        <f t="shared" ca="1" si="34"/>
        <v/>
      </c>
      <c r="V967" s="9" t="str">
        <f t="shared" ca="1" si="35"/>
        <v/>
      </c>
      <c r="AG967" s="9" t="s">
        <v>20</v>
      </c>
    </row>
    <row r="968" spans="1:33" ht="29">
      <c r="A968" s="3" t="s">
        <v>1277</v>
      </c>
      <c r="D968" s="3" t="s">
        <v>5897</v>
      </c>
      <c r="E968" s="5" t="s">
        <v>5898</v>
      </c>
      <c r="F968" t="s">
        <v>32</v>
      </c>
      <c r="I968" t="s">
        <v>5899</v>
      </c>
      <c r="J968" s="9" t="s">
        <v>12118</v>
      </c>
      <c r="Q968" s="10"/>
      <c r="T968" s="9" t="s">
        <v>12131</v>
      </c>
      <c r="U968" s="9" t="str">
        <f t="shared" ref="U968:U1032" ca="1" si="40">IF(ISNUMBER(T968),VALUE(MID(_xlfn.FORMULATEXT(T968),SEARCH("-",_xlfn.FORMULATEXT(T968))+1,LEN(_xlfn.FORMULATEXT(T968))-SEARCH("-",_xlfn.FORMULATEXT(T968)))), "")</f>
        <v/>
      </c>
      <c r="V968" s="9" t="str">
        <f t="shared" ref="V968:V1032" ca="1" si="41">IF(ISNUMBER(T968), VALUE(MID(_xlfn.FORMULATEXT(T968), 2, SEARCH("-", _xlfn.FORMULATEXT(T968)) - 2)), "")</f>
        <v/>
      </c>
      <c r="AC968" s="9" t="s">
        <v>12747</v>
      </c>
      <c r="AD968" s="9" t="s">
        <v>19</v>
      </c>
      <c r="AE968" s="9" t="s">
        <v>12077</v>
      </c>
    </row>
    <row r="969" spans="1:33">
      <c r="A969" s="3" t="s">
        <v>1278</v>
      </c>
      <c r="D969" s="3" t="s">
        <v>5901</v>
      </c>
      <c r="E969" s="3" t="s">
        <v>5900</v>
      </c>
      <c r="J969" s="9" t="s">
        <v>25</v>
      </c>
      <c r="L969" s="9">
        <v>1</v>
      </c>
      <c r="M969" s="9">
        <v>2</v>
      </c>
      <c r="N969" s="9" t="s">
        <v>12078</v>
      </c>
      <c r="O969" s="9" t="s">
        <v>12119</v>
      </c>
      <c r="Q969" s="10"/>
      <c r="S969" s="9">
        <v>11843</v>
      </c>
      <c r="U969" s="9" t="str">
        <f t="shared" ca="1" si="40"/>
        <v/>
      </c>
      <c r="V969" s="9" t="str">
        <f t="shared" ca="1" si="41"/>
        <v/>
      </c>
      <c r="AG969" s="9" t="s">
        <v>20</v>
      </c>
    </row>
    <row r="970" spans="1:33">
      <c r="A970" s="3" t="s">
        <v>1278</v>
      </c>
      <c r="D970" s="3" t="s">
        <v>5902</v>
      </c>
      <c r="E970" s="3" t="s">
        <v>5903</v>
      </c>
      <c r="J970" s="9" t="s">
        <v>12118</v>
      </c>
      <c r="Q970" s="10"/>
      <c r="T970" s="9" t="s">
        <v>12131</v>
      </c>
      <c r="U970" s="9" t="str">
        <f t="shared" ca="1" si="40"/>
        <v/>
      </c>
      <c r="V970" s="9" t="str">
        <f t="shared" ca="1" si="41"/>
        <v/>
      </c>
      <c r="AC970" s="9" t="s">
        <v>12130</v>
      </c>
      <c r="AD970" s="9" t="s">
        <v>19</v>
      </c>
      <c r="AE970" s="9" t="s">
        <v>12086</v>
      </c>
    </row>
    <row r="971" spans="1:33">
      <c r="A971" s="3" t="s">
        <v>1278</v>
      </c>
      <c r="D971" s="3" t="s">
        <v>1279</v>
      </c>
      <c r="E971" s="3" t="s">
        <v>1280</v>
      </c>
      <c r="J971" s="9" t="s">
        <v>12121</v>
      </c>
      <c r="Q971" s="10"/>
      <c r="T971" s="9" t="s">
        <v>12131</v>
      </c>
      <c r="U971" s="9" t="str">
        <f t="shared" ca="1" si="40"/>
        <v/>
      </c>
      <c r="V971" s="9" t="str">
        <f t="shared" ca="1" si="41"/>
        <v/>
      </c>
      <c r="AC971" s="9" t="s">
        <v>12180</v>
      </c>
      <c r="AD971" s="9" t="s">
        <v>20</v>
      </c>
      <c r="AE971" s="9" t="s">
        <v>12077</v>
      </c>
    </row>
    <row r="972" spans="1:33">
      <c r="A972" s="3" t="s">
        <v>1278</v>
      </c>
      <c r="D972" s="3" t="s">
        <v>5904</v>
      </c>
      <c r="E972" s="3" t="s">
        <v>5905</v>
      </c>
      <c r="J972" s="9" t="s">
        <v>12120</v>
      </c>
      <c r="Q972" s="10"/>
      <c r="U972" s="9" t="str">
        <f t="shared" ca="1" si="40"/>
        <v/>
      </c>
      <c r="V972" s="9" t="str">
        <f t="shared" ca="1" si="41"/>
        <v/>
      </c>
      <c r="AG972" s="9" t="s">
        <v>19</v>
      </c>
    </row>
    <row r="973" spans="1:33" ht="29">
      <c r="A973" s="3" t="s">
        <v>1281</v>
      </c>
      <c r="D973" s="3" t="s">
        <v>5906</v>
      </c>
      <c r="E973" s="3" t="s">
        <v>5907</v>
      </c>
      <c r="J973" s="9" t="s">
        <v>12120</v>
      </c>
      <c r="Q973" s="10"/>
      <c r="U973" s="9" t="str">
        <f t="shared" ca="1" si="40"/>
        <v/>
      </c>
      <c r="V973" s="9" t="str">
        <f t="shared" ca="1" si="41"/>
        <v/>
      </c>
      <c r="AG973" s="9" t="s">
        <v>20</v>
      </c>
    </row>
    <row r="974" spans="1:33">
      <c r="A974" s="3" t="s">
        <v>1281</v>
      </c>
      <c r="D974" s="3" t="s">
        <v>1282</v>
      </c>
      <c r="E974" s="3" t="s">
        <v>1283</v>
      </c>
      <c r="J974" s="9" t="s">
        <v>12118</v>
      </c>
      <c r="Q974" s="10"/>
      <c r="T974" s="9" t="s">
        <v>12131</v>
      </c>
      <c r="U974" s="9" t="str">
        <f t="shared" ca="1" si="40"/>
        <v/>
      </c>
      <c r="V974" s="9" t="str">
        <f t="shared" ca="1" si="41"/>
        <v/>
      </c>
      <c r="AC974" s="9" t="s">
        <v>12744</v>
      </c>
      <c r="AD974" s="9" t="s">
        <v>19</v>
      </c>
      <c r="AE974" s="9" t="s">
        <v>12086</v>
      </c>
    </row>
    <row r="975" spans="1:33">
      <c r="A975" s="3" t="s">
        <v>1284</v>
      </c>
      <c r="D975" s="3" t="s">
        <v>1285</v>
      </c>
      <c r="E975" s="3" t="s">
        <v>1286</v>
      </c>
      <c r="J975" s="9" t="s">
        <v>12118</v>
      </c>
      <c r="Q975" s="10"/>
      <c r="T975" s="9" t="s">
        <v>12131</v>
      </c>
      <c r="U975" s="9" t="str">
        <f t="shared" ca="1" si="40"/>
        <v/>
      </c>
      <c r="V975" s="9" t="str">
        <f t="shared" ca="1" si="41"/>
        <v/>
      </c>
      <c r="AB975" s="9" t="s">
        <v>12124</v>
      </c>
      <c r="AD975" s="9" t="s">
        <v>19</v>
      </c>
    </row>
    <row r="976" spans="1:33">
      <c r="A976" s="3" t="s">
        <v>1284</v>
      </c>
      <c r="D976" s="3" t="s">
        <v>5908</v>
      </c>
      <c r="E976" s="3" t="s">
        <v>5909</v>
      </c>
      <c r="J976" s="9" t="s">
        <v>12120</v>
      </c>
      <c r="Q976" s="10"/>
      <c r="U976" s="9" t="str">
        <f t="shared" ca="1" si="40"/>
        <v/>
      </c>
      <c r="V976" s="9" t="str">
        <f t="shared" ca="1" si="41"/>
        <v/>
      </c>
      <c r="AG976" s="9" t="s">
        <v>19</v>
      </c>
    </row>
    <row r="977" spans="1:33">
      <c r="A977" s="3" t="s">
        <v>1287</v>
      </c>
      <c r="D977" s="3" t="s">
        <v>1288</v>
      </c>
      <c r="E977" s="3" t="s">
        <v>1289</v>
      </c>
      <c r="J977" s="9" t="s">
        <v>12120</v>
      </c>
      <c r="Q977" s="10"/>
      <c r="U977" s="9" t="str">
        <f t="shared" ca="1" si="40"/>
        <v/>
      </c>
      <c r="V977" s="9" t="str">
        <f t="shared" ca="1" si="41"/>
        <v/>
      </c>
      <c r="AG977" s="9" t="s">
        <v>19</v>
      </c>
    </row>
    <row r="978" spans="1:33">
      <c r="A978" s="3" t="s">
        <v>1287</v>
      </c>
      <c r="D978" s="3" t="s">
        <v>1290</v>
      </c>
      <c r="E978" s="3" t="s">
        <v>1291</v>
      </c>
      <c r="J978" s="9" t="s">
        <v>12120</v>
      </c>
      <c r="Q978" s="10"/>
      <c r="U978" s="9" t="str">
        <f t="shared" ca="1" si="40"/>
        <v/>
      </c>
      <c r="V978" s="9" t="str">
        <f t="shared" ca="1" si="41"/>
        <v/>
      </c>
      <c r="AC978" s="9" t="s">
        <v>12130</v>
      </c>
      <c r="AD978" s="9" t="s">
        <v>19</v>
      </c>
    </row>
    <row r="979" spans="1:33">
      <c r="A979" s="3" t="s">
        <v>1287</v>
      </c>
      <c r="D979" s="3" t="s">
        <v>5910</v>
      </c>
      <c r="E979" s="3" t="s">
        <v>5911</v>
      </c>
      <c r="J979" s="9" t="s">
        <v>12120</v>
      </c>
      <c r="Q979" s="10"/>
      <c r="U979" s="9" t="str">
        <f t="shared" ca="1" si="40"/>
        <v/>
      </c>
      <c r="V979" s="9" t="str">
        <f t="shared" ca="1" si="41"/>
        <v/>
      </c>
      <c r="AG979" s="9" t="s">
        <v>19</v>
      </c>
    </row>
    <row r="980" spans="1:33">
      <c r="A980" s="3" t="s">
        <v>1287</v>
      </c>
      <c r="D980" s="3" t="s">
        <v>5912</v>
      </c>
      <c r="E980" s="3" t="s">
        <v>5913</v>
      </c>
      <c r="J980" s="9" t="s">
        <v>12120</v>
      </c>
      <c r="Q980" s="10"/>
      <c r="U980" s="9" t="str">
        <f t="shared" ca="1" si="40"/>
        <v/>
      </c>
      <c r="V980" s="9" t="str">
        <f t="shared" ca="1" si="41"/>
        <v/>
      </c>
      <c r="AG980" s="9" t="s">
        <v>19</v>
      </c>
    </row>
    <row r="981" spans="1:33">
      <c r="A981" s="3" t="s">
        <v>1292</v>
      </c>
      <c r="D981" s="3" t="s">
        <v>1293</v>
      </c>
      <c r="E981" s="3" t="s">
        <v>1294</v>
      </c>
      <c r="J981" s="9" t="s">
        <v>12120</v>
      </c>
      <c r="Q981" s="10"/>
      <c r="U981" s="9" t="str">
        <f t="shared" ca="1" si="40"/>
        <v/>
      </c>
      <c r="V981" s="9" t="str">
        <f t="shared" ca="1" si="41"/>
        <v/>
      </c>
      <c r="AC981" s="9" t="s">
        <v>12740</v>
      </c>
      <c r="AD981" s="9" t="s">
        <v>19</v>
      </c>
    </row>
    <row r="982" spans="1:33">
      <c r="A982" s="3" t="s">
        <v>1295</v>
      </c>
      <c r="D982" s="3" t="s">
        <v>1296</v>
      </c>
      <c r="E982" s="3" t="s">
        <v>1297</v>
      </c>
      <c r="J982" s="9" t="s">
        <v>12118</v>
      </c>
      <c r="Q982" s="10"/>
      <c r="T982" s="9" t="s">
        <v>12131</v>
      </c>
      <c r="U982" s="9" t="str">
        <f t="shared" ca="1" si="40"/>
        <v/>
      </c>
      <c r="V982" s="9" t="str">
        <f t="shared" ca="1" si="41"/>
        <v/>
      </c>
      <c r="AC982" s="9" t="s">
        <v>12130</v>
      </c>
      <c r="AD982" s="9" t="s">
        <v>19</v>
      </c>
      <c r="AE982" s="9" t="s">
        <v>12086</v>
      </c>
    </row>
    <row r="983" spans="1:33">
      <c r="A983" s="3" t="s">
        <v>1298</v>
      </c>
      <c r="D983" s="3" t="s">
        <v>5914</v>
      </c>
      <c r="E983" s="3" t="s">
        <v>5915</v>
      </c>
      <c r="J983" s="9" t="s">
        <v>12118</v>
      </c>
      <c r="Q983" s="10"/>
      <c r="T983" s="9">
        <f>30-1</f>
        <v>29</v>
      </c>
      <c r="U983" s="9">
        <f t="shared" ca="1" si="40"/>
        <v>1</v>
      </c>
      <c r="V983" s="9">
        <f t="shared" ca="1" si="41"/>
        <v>30</v>
      </c>
      <c r="AG983" s="9" t="s">
        <v>20</v>
      </c>
    </row>
    <row r="984" spans="1:33">
      <c r="A984" s="3" t="s">
        <v>1298</v>
      </c>
      <c r="D984" s="3" t="s">
        <v>5916</v>
      </c>
      <c r="E984" s="3" t="s">
        <v>5917</v>
      </c>
      <c r="J984" s="9" t="s">
        <v>25</v>
      </c>
      <c r="L984" s="9">
        <v>1</v>
      </c>
      <c r="M984" s="9">
        <v>3</v>
      </c>
      <c r="N984" s="9" t="s">
        <v>12087</v>
      </c>
      <c r="O984" s="9" t="s">
        <v>12073</v>
      </c>
      <c r="P984" s="9" t="s">
        <v>12149</v>
      </c>
      <c r="Q984" s="10" t="s">
        <v>12143</v>
      </c>
      <c r="S984" s="9">
        <v>5676</v>
      </c>
      <c r="U984" s="9" t="str">
        <f t="shared" ca="1" si="40"/>
        <v/>
      </c>
      <c r="V984" s="9" t="str">
        <f t="shared" ca="1" si="41"/>
        <v/>
      </c>
      <c r="AG984" s="9" t="s">
        <v>19</v>
      </c>
    </row>
    <row r="985" spans="1:33">
      <c r="A985" s="3" t="s">
        <v>1299</v>
      </c>
      <c r="D985" s="3" t="s">
        <v>5918</v>
      </c>
      <c r="E985" s="3" t="s">
        <v>5919</v>
      </c>
      <c r="J985" s="9" t="s">
        <v>25</v>
      </c>
      <c r="L985" s="9">
        <v>1</v>
      </c>
      <c r="M985" s="9">
        <v>3</v>
      </c>
      <c r="N985" s="9" t="s">
        <v>12078</v>
      </c>
      <c r="O985" s="9" t="s">
        <v>12073</v>
      </c>
      <c r="P985" s="9" t="s">
        <v>12149</v>
      </c>
      <c r="Q985" s="10" t="s">
        <v>12143</v>
      </c>
      <c r="S985" s="9">
        <v>11843</v>
      </c>
      <c r="U985" s="9" t="str">
        <f t="shared" ca="1" si="40"/>
        <v/>
      </c>
      <c r="V985" s="9" t="str">
        <f t="shared" ca="1" si="41"/>
        <v/>
      </c>
      <c r="AG985" s="9" t="s">
        <v>20</v>
      </c>
    </row>
    <row r="986" spans="1:33">
      <c r="A986" s="3" t="s">
        <v>1300</v>
      </c>
      <c r="D986" s="3" t="s">
        <v>5921</v>
      </c>
      <c r="E986" s="11" t="s">
        <v>5920</v>
      </c>
      <c r="J986" s="9" t="s">
        <v>24</v>
      </c>
      <c r="L986" s="9">
        <v>1</v>
      </c>
      <c r="M986" s="9">
        <v>2</v>
      </c>
      <c r="N986" s="9" t="s">
        <v>12087</v>
      </c>
      <c r="O986" s="9" t="s">
        <v>12119</v>
      </c>
      <c r="Q986" s="10"/>
      <c r="S986" s="9">
        <v>227</v>
      </c>
      <c r="U986" s="9" t="str">
        <f t="shared" ca="1" si="40"/>
        <v/>
      </c>
      <c r="V986" s="9" t="str">
        <f t="shared" ca="1" si="41"/>
        <v/>
      </c>
      <c r="AG986" s="9" t="s">
        <v>19</v>
      </c>
    </row>
    <row r="987" spans="1:33" ht="29">
      <c r="A987" s="3" t="s">
        <v>1301</v>
      </c>
      <c r="D987" s="3" t="s">
        <v>12861</v>
      </c>
      <c r="E987" s="3" t="s">
        <v>12221</v>
      </c>
      <c r="G987" t="s">
        <v>19</v>
      </c>
      <c r="J987" s="9" t="s">
        <v>12120</v>
      </c>
      <c r="Q987" s="10"/>
      <c r="U987" s="9" t="str">
        <f t="shared" ca="1" si="40"/>
        <v/>
      </c>
      <c r="V987" s="9" t="str">
        <f t="shared" ca="1" si="41"/>
        <v/>
      </c>
      <c r="AE987" s="9" t="s">
        <v>12089</v>
      </c>
    </row>
    <row r="988" spans="1:33">
      <c r="A988" s="3" t="s">
        <v>1302</v>
      </c>
      <c r="D988" s="3" t="s">
        <v>5922</v>
      </c>
      <c r="E988" s="3" t="s">
        <v>5923</v>
      </c>
      <c r="H988" t="s">
        <v>19</v>
      </c>
      <c r="J988" s="9" t="s">
        <v>24</v>
      </c>
      <c r="L988" s="9">
        <v>1</v>
      </c>
      <c r="M988" s="9">
        <v>1</v>
      </c>
      <c r="N988" s="9" t="s">
        <v>12078</v>
      </c>
      <c r="O988" s="9" t="s">
        <v>12119</v>
      </c>
      <c r="Q988" s="10"/>
      <c r="S988" s="9">
        <v>11843</v>
      </c>
      <c r="U988" s="9" t="str">
        <f t="shared" ca="1" si="40"/>
        <v/>
      </c>
      <c r="V988" s="9" t="str">
        <f t="shared" ca="1" si="41"/>
        <v/>
      </c>
      <c r="AG988" s="9" t="s">
        <v>19</v>
      </c>
    </row>
    <row r="989" spans="1:33">
      <c r="A989" s="3" t="s">
        <v>1302</v>
      </c>
      <c r="D989" s="3" t="s">
        <v>1303</v>
      </c>
      <c r="E989" s="11" t="s">
        <v>5924</v>
      </c>
      <c r="G989" t="s">
        <v>19</v>
      </c>
      <c r="J989" s="9" t="s">
        <v>12120</v>
      </c>
      <c r="Q989" s="10"/>
      <c r="U989" s="9" t="str">
        <f t="shared" ca="1" si="40"/>
        <v/>
      </c>
      <c r="V989" s="9" t="str">
        <f t="shared" ca="1" si="41"/>
        <v/>
      </c>
    </row>
    <row r="990" spans="1:33">
      <c r="A990" s="3" t="s">
        <v>1302</v>
      </c>
      <c r="D990" s="3" t="s">
        <v>13003</v>
      </c>
      <c r="E990" s="3" t="s">
        <v>13004</v>
      </c>
      <c r="H990" t="s">
        <v>19</v>
      </c>
      <c r="I990" t="s">
        <v>5457</v>
      </c>
      <c r="J990" s="9" t="s">
        <v>26</v>
      </c>
      <c r="Q990" s="10"/>
      <c r="U990" s="9" t="str">
        <f t="shared" ca="1" si="40"/>
        <v/>
      </c>
      <c r="V990" s="9" t="str">
        <f t="shared" ca="1" si="41"/>
        <v/>
      </c>
      <c r="AG990" s="9" t="s">
        <v>20</v>
      </c>
    </row>
    <row r="991" spans="1:33">
      <c r="A991" s="3" t="s">
        <v>1302</v>
      </c>
      <c r="D991" s="3" t="s">
        <v>13005</v>
      </c>
      <c r="E991" s="3" t="s">
        <v>13006</v>
      </c>
      <c r="F991" t="s">
        <v>32</v>
      </c>
      <c r="I991" t="s">
        <v>13007</v>
      </c>
      <c r="J991" s="9" t="s">
        <v>12120</v>
      </c>
      <c r="Q991" s="10"/>
      <c r="U991" s="9" t="str">
        <f t="shared" ref="U991" ca="1" si="42">IF(ISNUMBER(T991),VALUE(MID(_xlfn.FORMULATEXT(T991),SEARCH("-",_xlfn.FORMULATEXT(T991))+1,LEN(_xlfn.FORMULATEXT(T991))-SEARCH("-",_xlfn.FORMULATEXT(T991)))), "")</f>
        <v/>
      </c>
      <c r="V991" s="9" t="str">
        <f t="shared" ref="V991" ca="1" si="43">IF(ISNUMBER(T991), VALUE(MID(_xlfn.FORMULATEXT(T991), 2, SEARCH("-", _xlfn.FORMULATEXT(T991)) - 2)), "")</f>
        <v/>
      </c>
      <c r="AB991" s="9" t="s">
        <v>12076</v>
      </c>
      <c r="AC991" s="9" t="s">
        <v>12744</v>
      </c>
      <c r="AD991" s="9" t="s">
        <v>19</v>
      </c>
    </row>
    <row r="992" spans="1:33">
      <c r="A992" s="3" t="s">
        <v>1305</v>
      </c>
      <c r="D992" s="3" t="s">
        <v>1306</v>
      </c>
      <c r="E992" s="3" t="s">
        <v>1307</v>
      </c>
      <c r="H992" t="s">
        <v>19</v>
      </c>
      <c r="J992" s="9" t="s">
        <v>12118</v>
      </c>
      <c r="Q992" s="10"/>
      <c r="T992" s="9" t="s">
        <v>12131</v>
      </c>
      <c r="U992" s="9" t="str">
        <f t="shared" ca="1" si="40"/>
        <v/>
      </c>
      <c r="V992" s="9" t="str">
        <f t="shared" ca="1" si="41"/>
        <v/>
      </c>
      <c r="AC992" s="9" t="s">
        <v>12744</v>
      </c>
      <c r="AD992" s="9" t="s">
        <v>19</v>
      </c>
    </row>
    <row r="993" spans="1:33" ht="29">
      <c r="A993" s="3" t="s">
        <v>1308</v>
      </c>
      <c r="D993" s="3" t="s">
        <v>12862</v>
      </c>
      <c r="E993" s="5" t="s">
        <v>5925</v>
      </c>
      <c r="F993" t="s">
        <v>16</v>
      </c>
      <c r="Q993" s="10"/>
      <c r="U993" s="9" t="str">
        <f t="shared" ca="1" si="40"/>
        <v/>
      </c>
      <c r="V993" s="9" t="str">
        <f t="shared" ca="1" si="41"/>
        <v/>
      </c>
    </row>
    <row r="994" spans="1:33">
      <c r="A994" s="3" t="s">
        <v>1308</v>
      </c>
      <c r="D994" s="3" t="s">
        <v>5926</v>
      </c>
      <c r="E994" s="5" t="s">
        <v>5927</v>
      </c>
      <c r="F994" t="s">
        <v>32</v>
      </c>
      <c r="G994" t="s">
        <v>19</v>
      </c>
      <c r="I994" t="s">
        <v>5928</v>
      </c>
      <c r="J994" s="9" t="s">
        <v>12118</v>
      </c>
      <c r="Q994" s="10"/>
      <c r="T994" s="9">
        <f>8-19</f>
        <v>-11</v>
      </c>
      <c r="U994" s="9">
        <f t="shared" ca="1" si="40"/>
        <v>19</v>
      </c>
      <c r="V994" s="9">
        <f t="shared" ca="1" si="41"/>
        <v>8</v>
      </c>
    </row>
    <row r="995" spans="1:33" ht="29">
      <c r="A995" s="3" t="s">
        <v>1309</v>
      </c>
      <c r="D995" s="3" t="s">
        <v>5929</v>
      </c>
      <c r="E995" s="3" t="s">
        <v>5930</v>
      </c>
      <c r="G995" t="s">
        <v>19</v>
      </c>
      <c r="J995" s="9" t="s">
        <v>12118</v>
      </c>
      <c r="Q995" s="10"/>
      <c r="T995" s="9" t="s">
        <v>12131</v>
      </c>
      <c r="U995" s="9" t="str">
        <f t="shared" ca="1" si="40"/>
        <v/>
      </c>
      <c r="V995" s="9" t="str">
        <f t="shared" ca="1" si="41"/>
        <v/>
      </c>
      <c r="AE995" s="9" t="s">
        <v>12086</v>
      </c>
    </row>
    <row r="996" spans="1:33">
      <c r="A996" s="3" t="s">
        <v>1309</v>
      </c>
      <c r="D996" s="3" t="s">
        <v>5931</v>
      </c>
      <c r="E996" s="3" t="s">
        <v>5932</v>
      </c>
      <c r="I996" t="s">
        <v>5457</v>
      </c>
      <c r="J996" s="9" t="s">
        <v>26</v>
      </c>
      <c r="Q996" s="10"/>
      <c r="U996" s="9" t="str">
        <f t="shared" ca="1" si="40"/>
        <v/>
      </c>
      <c r="V996" s="9" t="str">
        <f t="shared" ca="1" si="41"/>
        <v/>
      </c>
      <c r="AG996" s="9" t="s">
        <v>19</v>
      </c>
    </row>
    <row r="997" spans="1:33" ht="29">
      <c r="A997" s="3" t="s">
        <v>1310</v>
      </c>
      <c r="D997" s="3" t="s">
        <v>5933</v>
      </c>
      <c r="E997" s="3" t="s">
        <v>5934</v>
      </c>
      <c r="H997" t="s">
        <v>19</v>
      </c>
      <c r="J997" s="9" t="s">
        <v>24</v>
      </c>
      <c r="L997" s="9">
        <v>1</v>
      </c>
      <c r="M997" s="9">
        <v>4</v>
      </c>
      <c r="N997" s="9" t="s">
        <v>12084</v>
      </c>
      <c r="O997" s="9" t="s">
        <v>12079</v>
      </c>
      <c r="Q997" s="10"/>
      <c r="S997" s="9">
        <v>10</v>
      </c>
      <c r="U997" s="9" t="str">
        <f t="shared" ca="1" si="40"/>
        <v/>
      </c>
      <c r="V997" s="9" t="str">
        <f t="shared" ca="1" si="41"/>
        <v/>
      </c>
      <c r="AG997" s="9" t="s">
        <v>19</v>
      </c>
    </row>
    <row r="998" spans="1:33">
      <c r="A998" s="3" t="s">
        <v>1310</v>
      </c>
      <c r="D998" s="3" t="s">
        <v>5935</v>
      </c>
      <c r="E998" s="3" t="s">
        <v>5936</v>
      </c>
      <c r="J998" s="9" t="s">
        <v>12118</v>
      </c>
      <c r="Q998" s="10"/>
      <c r="T998" s="9" t="s">
        <v>12119</v>
      </c>
      <c r="U998" s="9" t="str">
        <f t="shared" ca="1" si="40"/>
        <v/>
      </c>
      <c r="V998" s="9" t="str">
        <f t="shared" ca="1" si="41"/>
        <v/>
      </c>
      <c r="AB998" s="9" t="s">
        <v>12124</v>
      </c>
      <c r="AD998" s="9" t="s">
        <v>20</v>
      </c>
      <c r="AE998" s="9" t="s">
        <v>12086</v>
      </c>
    </row>
    <row r="999" spans="1:33">
      <c r="A999" s="3" t="s">
        <v>1311</v>
      </c>
      <c r="D999" s="3" t="s">
        <v>5937</v>
      </c>
      <c r="E999" s="3" t="s">
        <v>5938</v>
      </c>
      <c r="G999" t="s">
        <v>19</v>
      </c>
      <c r="J999" s="9" t="s">
        <v>24</v>
      </c>
      <c r="L999" s="9">
        <v>1</v>
      </c>
      <c r="M999" s="9">
        <v>1</v>
      </c>
      <c r="N999" s="9" t="s">
        <v>12078</v>
      </c>
      <c r="O999" s="9" t="s">
        <v>12119</v>
      </c>
      <c r="Q999" s="10"/>
      <c r="S999" s="9">
        <v>11843</v>
      </c>
      <c r="U999" s="9" t="str">
        <f t="shared" ca="1" si="40"/>
        <v/>
      </c>
      <c r="V999" s="9" t="str">
        <f t="shared" ca="1" si="41"/>
        <v/>
      </c>
    </row>
    <row r="1000" spans="1:33">
      <c r="A1000" s="3" t="s">
        <v>1311</v>
      </c>
      <c r="D1000" s="3" t="s">
        <v>5939</v>
      </c>
      <c r="E1000" s="3" t="s">
        <v>5939</v>
      </c>
      <c r="G1000" t="s">
        <v>20</v>
      </c>
      <c r="I1000" t="s">
        <v>5940</v>
      </c>
      <c r="Q1000" s="10"/>
      <c r="U1000" s="9" t="str">
        <f t="shared" ca="1" si="40"/>
        <v/>
      </c>
      <c r="V1000" s="9" t="str">
        <f t="shared" ca="1" si="41"/>
        <v/>
      </c>
    </row>
    <row r="1001" spans="1:33">
      <c r="A1001" s="3" t="s">
        <v>1312</v>
      </c>
      <c r="D1001" s="3" t="s">
        <v>1313</v>
      </c>
      <c r="E1001" s="3" t="s">
        <v>1314</v>
      </c>
      <c r="J1001" s="9" t="s">
        <v>12118</v>
      </c>
      <c r="Q1001" s="10"/>
      <c r="T1001" s="9" t="s">
        <v>12131</v>
      </c>
      <c r="U1001" s="9" t="str">
        <f t="shared" ca="1" si="40"/>
        <v/>
      </c>
      <c r="V1001" s="9" t="str">
        <f t="shared" ca="1" si="41"/>
        <v/>
      </c>
      <c r="AC1001" s="9" t="s">
        <v>12144</v>
      </c>
      <c r="AD1001" s="9" t="s">
        <v>19</v>
      </c>
      <c r="AE1001" s="9" t="s">
        <v>12077</v>
      </c>
    </row>
    <row r="1002" spans="1:33">
      <c r="A1002" s="3" t="s">
        <v>1315</v>
      </c>
      <c r="D1002" s="3" t="s">
        <v>5941</v>
      </c>
      <c r="E1002" s="3" t="s">
        <v>5942</v>
      </c>
      <c r="J1002" s="9" t="s">
        <v>12120</v>
      </c>
      <c r="Q1002" s="10"/>
      <c r="U1002" s="9" t="str">
        <f t="shared" ca="1" si="40"/>
        <v/>
      </c>
      <c r="V1002" s="9" t="str">
        <f t="shared" ca="1" si="41"/>
        <v/>
      </c>
      <c r="AC1002" s="9" t="s">
        <v>12166</v>
      </c>
      <c r="AD1002" s="9" t="s">
        <v>19</v>
      </c>
      <c r="AE1002" s="9" t="s">
        <v>12083</v>
      </c>
    </row>
    <row r="1003" spans="1:33">
      <c r="A1003" s="3" t="s">
        <v>1315</v>
      </c>
      <c r="D1003" s="3" t="s">
        <v>1316</v>
      </c>
      <c r="E1003" s="3" t="s">
        <v>1263</v>
      </c>
      <c r="J1003" s="9" t="s">
        <v>12118</v>
      </c>
      <c r="Q1003" s="10"/>
      <c r="T1003" s="9" t="s">
        <v>12131</v>
      </c>
      <c r="U1003" s="9" t="str">
        <f t="shared" ca="1" si="40"/>
        <v/>
      </c>
      <c r="V1003" s="9" t="str">
        <f t="shared" ca="1" si="41"/>
        <v/>
      </c>
      <c r="AB1003" s="9" t="s">
        <v>12124</v>
      </c>
      <c r="AC1003" s="9" t="s">
        <v>12130</v>
      </c>
      <c r="AD1003" s="9" t="s">
        <v>19</v>
      </c>
    </row>
    <row r="1004" spans="1:33">
      <c r="A1004" s="3" t="s">
        <v>1317</v>
      </c>
      <c r="D1004" s="3" t="s">
        <v>5943</v>
      </c>
      <c r="E1004" s="3" t="s">
        <v>5944</v>
      </c>
      <c r="H1004" t="s">
        <v>19</v>
      </c>
      <c r="J1004" s="9" t="s">
        <v>25</v>
      </c>
      <c r="L1004" s="9">
        <v>1</v>
      </c>
      <c r="M1004" s="9">
        <v>2</v>
      </c>
      <c r="N1004" s="9" t="s">
        <v>12096</v>
      </c>
      <c r="O1004" s="9" t="s">
        <v>12119</v>
      </c>
      <c r="Q1004" s="10"/>
      <c r="S1004" s="9">
        <v>1294</v>
      </c>
      <c r="U1004" s="9" t="str">
        <f t="shared" ca="1" si="40"/>
        <v/>
      </c>
      <c r="V1004" s="9" t="str">
        <f t="shared" ca="1" si="41"/>
        <v/>
      </c>
      <c r="AG1004" s="9" t="s">
        <v>19</v>
      </c>
    </row>
    <row r="1005" spans="1:33">
      <c r="A1005" s="3" t="s">
        <v>1318</v>
      </c>
      <c r="D1005" s="3" t="s">
        <v>1319</v>
      </c>
      <c r="E1005" s="3" t="s">
        <v>1320</v>
      </c>
      <c r="H1005" t="s">
        <v>19</v>
      </c>
      <c r="J1005" s="9" t="s">
        <v>12118</v>
      </c>
      <c r="Q1005" s="10"/>
      <c r="T1005" s="9" t="s">
        <v>12131</v>
      </c>
      <c r="U1005" s="9" t="str">
        <f t="shared" ca="1" si="40"/>
        <v/>
      </c>
      <c r="V1005" s="9" t="str">
        <f t="shared" ca="1" si="41"/>
        <v/>
      </c>
      <c r="AC1005" s="9" t="s">
        <v>12134</v>
      </c>
      <c r="AD1005" s="9" t="s">
        <v>19</v>
      </c>
      <c r="AE1005" s="9" t="s">
        <v>12086</v>
      </c>
    </row>
    <row r="1006" spans="1:33">
      <c r="A1006" s="3" t="s">
        <v>1318</v>
      </c>
      <c r="D1006" s="3" t="s">
        <v>1321</v>
      </c>
      <c r="E1006" s="3" t="s">
        <v>5945</v>
      </c>
      <c r="G1006" t="s">
        <v>19</v>
      </c>
      <c r="J1006" s="9" t="s">
        <v>12118</v>
      </c>
      <c r="Q1006" s="10"/>
      <c r="R1006" s="9" t="s">
        <v>12074</v>
      </c>
      <c r="T1006" s="9" t="s">
        <v>12131</v>
      </c>
      <c r="U1006" s="9" t="str">
        <f t="shared" ca="1" si="40"/>
        <v/>
      </c>
      <c r="V1006" s="9" t="str">
        <f t="shared" ca="1" si="41"/>
        <v/>
      </c>
      <c r="AE1006" s="9" t="s">
        <v>12086</v>
      </c>
    </row>
    <row r="1007" spans="1:33">
      <c r="A1007" s="3" t="s">
        <v>1318</v>
      </c>
      <c r="D1007" s="3" t="s">
        <v>1150</v>
      </c>
      <c r="E1007" s="5" t="s">
        <v>1151</v>
      </c>
      <c r="F1007" t="s">
        <v>16</v>
      </c>
      <c r="Q1007" s="10"/>
      <c r="U1007" s="9" t="str">
        <f t="shared" ca="1" si="40"/>
        <v/>
      </c>
      <c r="V1007" s="9" t="str">
        <f t="shared" ca="1" si="41"/>
        <v/>
      </c>
    </row>
    <row r="1008" spans="1:33">
      <c r="A1008" s="3" t="s">
        <v>1322</v>
      </c>
      <c r="D1008" s="3" t="s">
        <v>5937</v>
      </c>
      <c r="E1008" s="5" t="s">
        <v>5937</v>
      </c>
      <c r="F1008" t="s">
        <v>32</v>
      </c>
      <c r="G1008" t="s">
        <v>19</v>
      </c>
      <c r="H1008" t="s">
        <v>19</v>
      </c>
      <c r="I1008" t="s">
        <v>5946</v>
      </c>
      <c r="J1008" s="9" t="s">
        <v>24</v>
      </c>
      <c r="L1008" s="9">
        <v>1</v>
      </c>
      <c r="M1008" s="9">
        <v>1</v>
      </c>
      <c r="N1008" s="9" t="s">
        <v>12078</v>
      </c>
      <c r="O1008" s="9" t="s">
        <v>12119</v>
      </c>
      <c r="Q1008" s="10"/>
      <c r="S1008" s="9">
        <v>11843</v>
      </c>
      <c r="U1008" s="9" t="str">
        <f t="shared" ca="1" si="40"/>
        <v/>
      </c>
      <c r="V1008" s="9" t="str">
        <f t="shared" ca="1" si="41"/>
        <v/>
      </c>
    </row>
    <row r="1009" spans="1:33">
      <c r="A1009" s="3" t="s">
        <v>1322</v>
      </c>
      <c r="D1009" s="3" t="s">
        <v>5948</v>
      </c>
      <c r="E1009" s="3" t="s">
        <v>5947</v>
      </c>
      <c r="H1009" t="s">
        <v>19</v>
      </c>
      <c r="J1009" s="9" t="s">
        <v>24</v>
      </c>
      <c r="L1009" s="9">
        <v>1</v>
      </c>
      <c r="M1009" s="9">
        <v>1</v>
      </c>
      <c r="N1009" s="9" t="s">
        <v>12078</v>
      </c>
      <c r="O1009" s="9" t="s">
        <v>12119</v>
      </c>
      <c r="Q1009" s="10"/>
      <c r="S1009" s="9">
        <v>11843</v>
      </c>
      <c r="U1009" s="9" t="str">
        <f t="shared" ca="1" si="40"/>
        <v/>
      </c>
      <c r="V1009" s="9" t="str">
        <f t="shared" ca="1" si="41"/>
        <v/>
      </c>
      <c r="AG1009" s="9" t="s">
        <v>19</v>
      </c>
    </row>
    <row r="1010" spans="1:33">
      <c r="A1010" s="3" t="s">
        <v>1323</v>
      </c>
      <c r="D1010" s="3" t="s">
        <v>1324</v>
      </c>
      <c r="E1010" s="3" t="s">
        <v>1325</v>
      </c>
      <c r="H1010" t="s">
        <v>19</v>
      </c>
      <c r="J1010" s="9" t="s">
        <v>12118</v>
      </c>
      <c r="Q1010" s="10"/>
      <c r="T1010" s="9" t="s">
        <v>12131</v>
      </c>
      <c r="U1010" s="9" t="str">
        <f t="shared" ca="1" si="40"/>
        <v/>
      </c>
      <c r="V1010" s="9" t="str">
        <f t="shared" ca="1" si="41"/>
        <v/>
      </c>
      <c r="AE1010" s="9" t="s">
        <v>12077</v>
      </c>
    </row>
    <row r="1011" spans="1:33" ht="29">
      <c r="A1011" s="3" t="s">
        <v>1323</v>
      </c>
      <c r="D1011" s="3" t="s">
        <v>5949</v>
      </c>
      <c r="E1011" s="3" t="s">
        <v>5950</v>
      </c>
      <c r="J1011" s="9" t="s">
        <v>24</v>
      </c>
      <c r="L1011" s="9">
        <v>2</v>
      </c>
      <c r="M1011" s="9">
        <v>5</v>
      </c>
      <c r="O1011" s="9" t="s">
        <v>12073</v>
      </c>
      <c r="P1011" s="9" t="s">
        <v>12142</v>
      </c>
      <c r="Q1011" s="10" t="s">
        <v>12170</v>
      </c>
      <c r="R1011" s="9" t="s">
        <v>12074</v>
      </c>
      <c r="S1011" s="9">
        <v>5676</v>
      </c>
      <c r="U1011" s="9" t="str">
        <f t="shared" ca="1" si="40"/>
        <v/>
      </c>
      <c r="V1011" s="9" t="str">
        <f t="shared" ca="1" si="41"/>
        <v/>
      </c>
      <c r="AE1011" s="9" t="s">
        <v>12083</v>
      </c>
    </row>
    <row r="1012" spans="1:33">
      <c r="A1012" s="3" t="s">
        <v>1326</v>
      </c>
      <c r="D1012" s="3" t="s">
        <v>5952</v>
      </c>
      <c r="E1012" s="3" t="s">
        <v>5951</v>
      </c>
      <c r="H1012" t="s">
        <v>19</v>
      </c>
      <c r="J1012" s="9" t="s">
        <v>24</v>
      </c>
      <c r="L1012" s="9">
        <v>1</v>
      </c>
      <c r="M1012" s="9">
        <v>3</v>
      </c>
      <c r="N1012" s="9" t="s">
        <v>12078</v>
      </c>
      <c r="O1012" s="9" t="s">
        <v>12079</v>
      </c>
      <c r="Q1012" s="10"/>
      <c r="S1012" s="9">
        <v>11843</v>
      </c>
      <c r="U1012" s="9" t="str">
        <f t="shared" ca="1" si="40"/>
        <v/>
      </c>
      <c r="V1012" s="9" t="str">
        <f t="shared" ca="1" si="41"/>
        <v/>
      </c>
      <c r="AG1012" s="9" t="s">
        <v>13141</v>
      </c>
    </row>
    <row r="1013" spans="1:33">
      <c r="A1013" s="3" t="s">
        <v>1326</v>
      </c>
      <c r="D1013" s="3" t="s">
        <v>5953</v>
      </c>
      <c r="E1013" s="3" t="s">
        <v>5954</v>
      </c>
      <c r="H1013" t="s">
        <v>19</v>
      </c>
      <c r="J1013" s="9" t="s">
        <v>12120</v>
      </c>
      <c r="Q1013" s="10"/>
      <c r="U1013" s="9" t="str">
        <f t="shared" ca="1" si="40"/>
        <v/>
      </c>
      <c r="V1013" s="9" t="str">
        <f t="shared" ca="1" si="41"/>
        <v/>
      </c>
      <c r="AG1013" s="9" t="s">
        <v>19</v>
      </c>
    </row>
    <row r="1014" spans="1:33" ht="29">
      <c r="A1014" s="3" t="s">
        <v>1328</v>
      </c>
      <c r="D1014" s="3" t="s">
        <v>5955</v>
      </c>
      <c r="E1014" s="3" t="s">
        <v>5956</v>
      </c>
      <c r="G1014" t="s">
        <v>19</v>
      </c>
      <c r="I1014" t="s">
        <v>12222</v>
      </c>
      <c r="J1014" s="9" t="s">
        <v>12118</v>
      </c>
      <c r="Q1014" s="10"/>
      <c r="T1014" s="9">
        <f>3-3</f>
        <v>0</v>
      </c>
      <c r="U1014" s="9">
        <f t="shared" ca="1" si="40"/>
        <v>3</v>
      </c>
      <c r="V1014" s="9">
        <f t="shared" ca="1" si="41"/>
        <v>3</v>
      </c>
    </row>
    <row r="1015" spans="1:33" ht="29">
      <c r="A1015" s="3" t="s">
        <v>1329</v>
      </c>
      <c r="D1015" s="3" t="s">
        <v>5957</v>
      </c>
      <c r="E1015" s="3" t="s">
        <v>5958</v>
      </c>
      <c r="G1015" t="s">
        <v>19</v>
      </c>
      <c r="J1015" s="9" t="s">
        <v>12120</v>
      </c>
      <c r="Q1015" s="10"/>
      <c r="U1015" s="9" t="str">
        <f t="shared" ca="1" si="40"/>
        <v/>
      </c>
      <c r="V1015" s="9" t="str">
        <f t="shared" ca="1" si="41"/>
        <v/>
      </c>
    </row>
    <row r="1016" spans="1:33" ht="29">
      <c r="A1016" s="3" t="s">
        <v>1329</v>
      </c>
      <c r="D1016" s="3" t="s">
        <v>5959</v>
      </c>
      <c r="E1016" s="3" t="s">
        <v>5960</v>
      </c>
      <c r="H1016" t="s">
        <v>19</v>
      </c>
      <c r="J1016" s="9" t="s">
        <v>12118</v>
      </c>
      <c r="Q1016" s="10"/>
      <c r="T1016" s="9">
        <f>3-3</f>
        <v>0</v>
      </c>
      <c r="U1016" s="9">
        <f t="shared" ca="1" si="40"/>
        <v>3</v>
      </c>
      <c r="V1016" s="9">
        <f t="shared" ca="1" si="41"/>
        <v>3</v>
      </c>
      <c r="AG1016" s="9" t="s">
        <v>19</v>
      </c>
    </row>
    <row r="1017" spans="1:33">
      <c r="A1017" s="3" t="s">
        <v>1330</v>
      </c>
      <c r="D1017" s="3" t="s">
        <v>5937</v>
      </c>
      <c r="E1017" s="3" t="s">
        <v>5938</v>
      </c>
      <c r="G1017" t="s">
        <v>19</v>
      </c>
      <c r="J1017" s="9" t="s">
        <v>24</v>
      </c>
      <c r="L1017" s="9">
        <v>1</v>
      </c>
      <c r="M1017" s="9">
        <v>1</v>
      </c>
      <c r="N1017" s="9" t="s">
        <v>12078</v>
      </c>
      <c r="O1017" s="9" t="s">
        <v>12119</v>
      </c>
      <c r="Q1017" s="10"/>
      <c r="S1017" s="9">
        <v>11843</v>
      </c>
      <c r="U1017" s="9" t="str">
        <f t="shared" ca="1" si="40"/>
        <v/>
      </c>
      <c r="V1017" s="9" t="str">
        <f t="shared" ca="1" si="41"/>
        <v/>
      </c>
    </row>
    <row r="1018" spans="1:33">
      <c r="A1018" s="3" t="s">
        <v>1331</v>
      </c>
      <c r="D1018" s="3" t="s">
        <v>5961</v>
      </c>
      <c r="E1018" s="3" t="s">
        <v>5962</v>
      </c>
      <c r="F1018" t="s">
        <v>12</v>
      </c>
      <c r="H1018" t="s">
        <v>19</v>
      </c>
      <c r="J1018" s="9" t="s">
        <v>12118</v>
      </c>
      <c r="Q1018" s="10"/>
      <c r="T1018" s="9">
        <f xml:space="preserve"> 485-444</f>
        <v>41</v>
      </c>
      <c r="U1018" s="9">
        <f t="shared" ca="1" si="40"/>
        <v>444</v>
      </c>
      <c r="V1018" s="9">
        <f t="shared" ca="1" si="41"/>
        <v>485</v>
      </c>
      <c r="AG1018" s="9" t="s">
        <v>19</v>
      </c>
    </row>
    <row r="1019" spans="1:33" ht="29">
      <c r="A1019" s="3" t="s">
        <v>1331</v>
      </c>
      <c r="D1019" s="3" t="s">
        <v>5963</v>
      </c>
      <c r="E1019" s="5" t="s">
        <v>5964</v>
      </c>
      <c r="F1019" t="s">
        <v>32</v>
      </c>
      <c r="H1019" t="s">
        <v>19</v>
      </c>
      <c r="I1019" t="s">
        <v>12223</v>
      </c>
      <c r="J1019" s="9" t="s">
        <v>24</v>
      </c>
      <c r="L1019" s="9">
        <v>3</v>
      </c>
      <c r="M1019" s="9">
        <v>11</v>
      </c>
      <c r="O1019" s="9" t="s">
        <v>12079</v>
      </c>
      <c r="Q1019" s="10"/>
      <c r="S1019" s="9">
        <v>31</v>
      </c>
      <c r="U1019" s="9" t="str">
        <f t="shared" ca="1" si="40"/>
        <v/>
      </c>
      <c r="V1019" s="9" t="str">
        <f t="shared" ca="1" si="41"/>
        <v/>
      </c>
      <c r="AG1019" s="9" t="s">
        <v>19</v>
      </c>
    </row>
    <row r="1020" spans="1:33">
      <c r="A1020" s="3" t="s">
        <v>1332</v>
      </c>
      <c r="D1020" s="3" t="s">
        <v>5965</v>
      </c>
      <c r="E1020" s="3" t="s">
        <v>5966</v>
      </c>
      <c r="J1020" s="9" t="s">
        <v>12120</v>
      </c>
      <c r="Q1020" s="10"/>
      <c r="U1020" s="9" t="str">
        <f t="shared" ca="1" si="40"/>
        <v/>
      </c>
      <c r="V1020" s="9" t="str">
        <f t="shared" ca="1" si="41"/>
        <v/>
      </c>
      <c r="AC1020" s="9" t="s">
        <v>12130</v>
      </c>
      <c r="AD1020" s="9" t="s">
        <v>19</v>
      </c>
    </row>
    <row r="1021" spans="1:33">
      <c r="A1021" s="3" t="s">
        <v>1333</v>
      </c>
      <c r="D1021" s="3" t="s">
        <v>1334</v>
      </c>
      <c r="E1021" s="3" t="s">
        <v>1335</v>
      </c>
      <c r="J1021" s="9" t="s">
        <v>12120</v>
      </c>
      <c r="Q1021" s="10"/>
      <c r="U1021" s="9" t="str">
        <f t="shared" ca="1" si="40"/>
        <v/>
      </c>
      <c r="V1021" s="9" t="str">
        <f t="shared" ca="1" si="41"/>
        <v/>
      </c>
      <c r="AC1021" s="9" t="s">
        <v>12144</v>
      </c>
      <c r="AD1021" s="9" t="s">
        <v>19</v>
      </c>
      <c r="AE1021" s="9" t="s">
        <v>12077</v>
      </c>
    </row>
    <row r="1022" spans="1:33">
      <c r="A1022" s="3" t="s">
        <v>1336</v>
      </c>
      <c r="D1022" s="3" t="s">
        <v>5967</v>
      </c>
      <c r="E1022" s="3" t="s">
        <v>5968</v>
      </c>
      <c r="F1022" t="s">
        <v>17</v>
      </c>
      <c r="Q1022" s="10"/>
      <c r="U1022" s="9" t="str">
        <f t="shared" ca="1" si="40"/>
        <v/>
      </c>
      <c r="V1022" s="9" t="str">
        <f t="shared" ca="1" si="41"/>
        <v/>
      </c>
    </row>
    <row r="1023" spans="1:33" ht="43.5">
      <c r="A1023" s="3" t="s">
        <v>1336</v>
      </c>
      <c r="D1023" s="3" t="s">
        <v>5969</v>
      </c>
      <c r="E1023" s="3" t="s">
        <v>5970</v>
      </c>
      <c r="H1023" t="s">
        <v>19</v>
      </c>
      <c r="I1023" t="s">
        <v>12224</v>
      </c>
      <c r="J1023" s="9" t="s">
        <v>24</v>
      </c>
      <c r="L1023" s="9">
        <v>3</v>
      </c>
      <c r="M1023" s="9">
        <v>12</v>
      </c>
      <c r="O1023" s="9" t="s">
        <v>12079</v>
      </c>
      <c r="Q1023" s="10"/>
      <c r="S1023" s="9">
        <v>58</v>
      </c>
      <c r="U1023" s="9" t="str">
        <f t="shared" ca="1" si="40"/>
        <v/>
      </c>
      <c r="V1023" s="9" t="str">
        <f t="shared" ca="1" si="41"/>
        <v/>
      </c>
      <c r="AG1023" s="9" t="s">
        <v>19</v>
      </c>
    </row>
    <row r="1024" spans="1:33" ht="29">
      <c r="A1024" s="3" t="s">
        <v>1336</v>
      </c>
      <c r="D1024" s="3" t="s">
        <v>5969</v>
      </c>
      <c r="E1024" s="3" t="s">
        <v>5971</v>
      </c>
      <c r="H1024" t="s">
        <v>19</v>
      </c>
      <c r="J1024" s="9" t="s">
        <v>24</v>
      </c>
      <c r="L1024" s="9">
        <v>1</v>
      </c>
      <c r="M1024" s="9">
        <v>4</v>
      </c>
      <c r="N1024" s="9" t="s">
        <v>12099</v>
      </c>
      <c r="O1024" s="9" t="s">
        <v>12079</v>
      </c>
      <c r="Q1024" s="10"/>
      <c r="S1024" s="9">
        <v>153</v>
      </c>
      <c r="U1024" s="9" t="str">
        <f t="shared" ca="1" si="40"/>
        <v/>
      </c>
      <c r="V1024" s="9" t="str">
        <f t="shared" ca="1" si="41"/>
        <v/>
      </c>
      <c r="AG1024" s="9" t="s">
        <v>19</v>
      </c>
    </row>
    <row r="1025" spans="1:33">
      <c r="A1025" s="3" t="s">
        <v>1336</v>
      </c>
      <c r="D1025" s="3" t="s">
        <v>5972</v>
      </c>
      <c r="E1025" s="3" t="s">
        <v>5973</v>
      </c>
      <c r="J1025" s="9" t="s">
        <v>12120</v>
      </c>
      <c r="Q1025" s="10"/>
      <c r="U1025" s="9" t="str">
        <f t="shared" ca="1" si="40"/>
        <v/>
      </c>
      <c r="V1025" s="9" t="str">
        <f t="shared" ca="1" si="41"/>
        <v/>
      </c>
      <c r="AC1025" s="9" t="s">
        <v>12134</v>
      </c>
      <c r="AD1025" s="9" t="s">
        <v>19</v>
      </c>
    </row>
    <row r="1026" spans="1:33" ht="29">
      <c r="A1026" s="3" t="s">
        <v>1337</v>
      </c>
      <c r="D1026" s="3" t="s">
        <v>5975</v>
      </c>
      <c r="E1026" s="3" t="s">
        <v>5974</v>
      </c>
      <c r="H1026" t="s">
        <v>19</v>
      </c>
      <c r="J1026" s="9" t="s">
        <v>25</v>
      </c>
      <c r="L1026" s="9">
        <v>1</v>
      </c>
      <c r="M1026" s="9">
        <v>3</v>
      </c>
      <c r="N1026" s="9" t="s">
        <v>12087</v>
      </c>
      <c r="O1026" s="9" t="s">
        <v>12079</v>
      </c>
      <c r="Q1026" s="10"/>
      <c r="S1026" s="9">
        <v>5676</v>
      </c>
      <c r="U1026" s="9" t="str">
        <f t="shared" ca="1" si="40"/>
        <v/>
      </c>
      <c r="V1026" s="9" t="str">
        <f t="shared" ca="1" si="41"/>
        <v/>
      </c>
      <c r="AG1026" s="9" t="s">
        <v>20</v>
      </c>
    </row>
    <row r="1027" spans="1:33" ht="29">
      <c r="A1027" s="3" t="s">
        <v>1337</v>
      </c>
      <c r="D1027" s="3" t="s">
        <v>5976</v>
      </c>
      <c r="E1027" s="3" t="s">
        <v>5974</v>
      </c>
      <c r="J1027" s="9" t="s">
        <v>25</v>
      </c>
      <c r="L1027" s="9">
        <v>1</v>
      </c>
      <c r="M1027" s="9">
        <v>1</v>
      </c>
      <c r="N1027" s="9" t="s">
        <v>12078</v>
      </c>
      <c r="O1027" s="9" t="s">
        <v>12119</v>
      </c>
      <c r="Q1027" s="10"/>
      <c r="S1027" s="9">
        <v>11843</v>
      </c>
      <c r="U1027" s="9" t="str">
        <f t="shared" ca="1" si="40"/>
        <v/>
      </c>
      <c r="V1027" s="9" t="str">
        <f t="shared" ca="1" si="41"/>
        <v/>
      </c>
      <c r="AG1027" s="9" t="s">
        <v>20</v>
      </c>
    </row>
    <row r="1028" spans="1:33">
      <c r="A1028" s="3" t="s">
        <v>1338</v>
      </c>
      <c r="D1028" s="3" t="s">
        <v>897</v>
      </c>
      <c r="E1028" s="3" t="s">
        <v>1339</v>
      </c>
      <c r="J1028" s="9" t="s">
        <v>12120</v>
      </c>
      <c r="Q1028" s="10"/>
      <c r="U1028" s="9" t="str">
        <f t="shared" ca="1" si="40"/>
        <v/>
      </c>
      <c r="V1028" s="9" t="str">
        <f t="shared" ca="1" si="41"/>
        <v/>
      </c>
      <c r="AC1028" s="9" t="s">
        <v>12188</v>
      </c>
      <c r="AD1028" s="9" t="s">
        <v>19</v>
      </c>
      <c r="AE1028" s="9" t="s">
        <v>12089</v>
      </c>
    </row>
    <row r="1029" spans="1:33">
      <c r="A1029" s="3" t="s">
        <v>1338</v>
      </c>
      <c r="D1029" s="3" t="s">
        <v>5977</v>
      </c>
      <c r="E1029" s="3" t="s">
        <v>5978</v>
      </c>
      <c r="G1029" t="s">
        <v>19</v>
      </c>
      <c r="J1029" s="9" t="s">
        <v>24</v>
      </c>
      <c r="L1029" s="9">
        <v>1</v>
      </c>
      <c r="M1029" s="9">
        <v>3</v>
      </c>
      <c r="N1029" s="9" t="s">
        <v>12078</v>
      </c>
      <c r="O1029" s="9" t="s">
        <v>12079</v>
      </c>
      <c r="Q1029" s="10"/>
      <c r="S1029" s="9">
        <v>11843</v>
      </c>
      <c r="U1029" s="9" t="str">
        <f t="shared" ca="1" si="40"/>
        <v/>
      </c>
      <c r="V1029" s="9" t="str">
        <f t="shared" ca="1" si="41"/>
        <v/>
      </c>
    </row>
    <row r="1030" spans="1:33">
      <c r="A1030" s="3" t="s">
        <v>1341</v>
      </c>
      <c r="D1030" s="3" t="s">
        <v>472</v>
      </c>
      <c r="E1030" s="3" t="s">
        <v>473</v>
      </c>
      <c r="J1030" s="9" t="s">
        <v>12120</v>
      </c>
      <c r="Q1030" s="10"/>
      <c r="U1030" s="9" t="str">
        <f t="shared" ca="1" si="40"/>
        <v/>
      </c>
      <c r="V1030" s="9" t="str">
        <f t="shared" ca="1" si="41"/>
        <v/>
      </c>
      <c r="AB1030" s="9" t="s">
        <v>12738</v>
      </c>
      <c r="AD1030" s="9" t="s">
        <v>19</v>
      </c>
      <c r="AE1030" s="9" t="s">
        <v>12086</v>
      </c>
    </row>
    <row r="1031" spans="1:33">
      <c r="A1031" s="3" t="s">
        <v>1342</v>
      </c>
      <c r="D1031" s="3" t="s">
        <v>5979</v>
      </c>
      <c r="E1031" s="3" t="s">
        <v>5980</v>
      </c>
      <c r="G1031" t="s">
        <v>19</v>
      </c>
      <c r="J1031" s="9" t="s">
        <v>12118</v>
      </c>
      <c r="Q1031" s="10"/>
      <c r="T1031" s="9">
        <f>148-134</f>
        <v>14</v>
      </c>
      <c r="U1031" s="9">
        <f t="shared" ca="1" si="40"/>
        <v>134</v>
      </c>
      <c r="V1031" s="9">
        <f t="shared" ca="1" si="41"/>
        <v>148</v>
      </c>
    </row>
    <row r="1032" spans="1:33" ht="29">
      <c r="A1032" s="3" t="s">
        <v>1343</v>
      </c>
      <c r="D1032" s="3" t="s">
        <v>5982</v>
      </c>
      <c r="E1032" s="3" t="s">
        <v>5981</v>
      </c>
      <c r="J1032" s="9" t="s">
        <v>25</v>
      </c>
      <c r="L1032" s="9">
        <v>1</v>
      </c>
      <c r="M1032" s="9">
        <v>3</v>
      </c>
      <c r="N1032" s="9" t="s">
        <v>12078</v>
      </c>
      <c r="O1032" s="9" t="s">
        <v>12073</v>
      </c>
      <c r="P1032" s="9" t="s">
        <v>12149</v>
      </c>
      <c r="Q1032" s="10" t="s">
        <v>12143</v>
      </c>
      <c r="S1032" s="9">
        <v>11843</v>
      </c>
      <c r="U1032" s="9" t="str">
        <f t="shared" ca="1" si="40"/>
        <v/>
      </c>
      <c r="V1032" s="9" t="str">
        <f t="shared" ca="1" si="41"/>
        <v/>
      </c>
      <c r="AG1032" s="9" t="s">
        <v>19</v>
      </c>
    </row>
    <row r="1033" spans="1:33" ht="29">
      <c r="A1033" s="3" t="s">
        <v>1343</v>
      </c>
      <c r="D1033" s="3" t="s">
        <v>5983</v>
      </c>
      <c r="E1033" s="3" t="s">
        <v>5984</v>
      </c>
      <c r="H1033" t="s">
        <v>19</v>
      </c>
      <c r="J1033" s="9" t="s">
        <v>12118</v>
      </c>
      <c r="Q1033" s="10"/>
      <c r="T1033" s="9">
        <f xml:space="preserve"> 6-124</f>
        <v>-118</v>
      </c>
      <c r="U1033" s="9">
        <f t="shared" ref="U1033:U1097" ca="1" si="44">IF(ISNUMBER(T1033),VALUE(MID(_xlfn.FORMULATEXT(T1033),SEARCH("-",_xlfn.FORMULATEXT(T1033))+1,LEN(_xlfn.FORMULATEXT(T1033))-SEARCH("-",_xlfn.FORMULATEXT(T1033)))), "")</f>
        <v>124</v>
      </c>
      <c r="V1033" s="9">
        <f t="shared" ref="V1033:V1097" ca="1" si="45">IF(ISNUMBER(T1033), VALUE(MID(_xlfn.FORMULATEXT(T1033), 2, SEARCH("-", _xlfn.FORMULATEXT(T1033)) - 2)), "")</f>
        <v>6</v>
      </c>
      <c r="AG1033" s="9" t="s">
        <v>19</v>
      </c>
    </row>
    <row r="1034" spans="1:33">
      <c r="A1034" s="3" t="s">
        <v>1345</v>
      </c>
      <c r="D1034" s="3" t="s">
        <v>4966</v>
      </c>
      <c r="E1034" s="3" t="s">
        <v>4967</v>
      </c>
      <c r="J1034" s="9" t="s">
        <v>24</v>
      </c>
      <c r="L1034" s="9">
        <v>1</v>
      </c>
      <c r="M1034" s="9">
        <v>1</v>
      </c>
      <c r="N1034" s="9" t="s">
        <v>12078</v>
      </c>
      <c r="O1034" s="9" t="s">
        <v>12119</v>
      </c>
      <c r="Q1034" s="10"/>
      <c r="S1034" s="9">
        <v>11843</v>
      </c>
      <c r="U1034" s="9" t="str">
        <f t="shared" ca="1" si="44"/>
        <v/>
      </c>
      <c r="V1034" s="9" t="str">
        <f t="shared" ca="1" si="45"/>
        <v/>
      </c>
      <c r="AG1034" s="9" t="s">
        <v>19</v>
      </c>
    </row>
    <row r="1035" spans="1:33">
      <c r="A1035" s="3" t="s">
        <v>1346</v>
      </c>
      <c r="D1035" s="3" t="s">
        <v>5985</v>
      </c>
      <c r="E1035" s="3" t="s">
        <v>5986</v>
      </c>
      <c r="J1035" s="9" t="s">
        <v>25</v>
      </c>
      <c r="L1035" s="9">
        <v>1</v>
      </c>
      <c r="M1035" s="9">
        <v>3</v>
      </c>
      <c r="N1035" s="9" t="s">
        <v>12078</v>
      </c>
      <c r="O1035" s="9" t="s">
        <v>12079</v>
      </c>
      <c r="Q1035" s="10"/>
      <c r="S1035" s="9">
        <v>11843</v>
      </c>
      <c r="U1035" s="9" t="str">
        <f t="shared" ca="1" si="44"/>
        <v/>
      </c>
      <c r="V1035" s="9" t="str">
        <f t="shared" ca="1" si="45"/>
        <v/>
      </c>
      <c r="AG1035" s="9" t="s">
        <v>19</v>
      </c>
    </row>
    <row r="1036" spans="1:33">
      <c r="A1036" s="3" t="s">
        <v>1347</v>
      </c>
      <c r="D1036" s="3" t="s">
        <v>1348</v>
      </c>
      <c r="E1036" s="3" t="s">
        <v>1349</v>
      </c>
      <c r="H1036" t="s">
        <v>19</v>
      </c>
      <c r="J1036" s="9" t="s">
        <v>12120</v>
      </c>
      <c r="Q1036" s="10"/>
      <c r="U1036" s="9" t="str">
        <f t="shared" ca="1" si="44"/>
        <v/>
      </c>
      <c r="V1036" s="9" t="str">
        <f t="shared" ca="1" si="45"/>
        <v/>
      </c>
      <c r="AG1036" s="9" t="s">
        <v>19</v>
      </c>
    </row>
    <row r="1037" spans="1:33">
      <c r="A1037" s="3" t="s">
        <v>1352</v>
      </c>
      <c r="D1037" s="3" t="s">
        <v>5987</v>
      </c>
      <c r="E1037" s="3" t="s">
        <v>5988</v>
      </c>
      <c r="G1037" t="s">
        <v>19</v>
      </c>
      <c r="J1037" s="9" t="s">
        <v>12120</v>
      </c>
      <c r="Q1037" s="10"/>
      <c r="U1037" s="9" t="str">
        <f t="shared" ca="1" si="44"/>
        <v/>
      </c>
      <c r="V1037" s="9" t="str">
        <f t="shared" ca="1" si="45"/>
        <v/>
      </c>
      <c r="AE1037" s="9" t="s">
        <v>12089</v>
      </c>
    </row>
    <row r="1038" spans="1:33">
      <c r="A1038" s="3" t="s">
        <v>1353</v>
      </c>
      <c r="D1038" s="3" t="s">
        <v>1354</v>
      </c>
      <c r="E1038" s="3" t="s">
        <v>1355</v>
      </c>
      <c r="J1038" s="9" t="s">
        <v>12120</v>
      </c>
      <c r="Q1038" s="10"/>
      <c r="U1038" s="9" t="str">
        <f t="shared" ca="1" si="44"/>
        <v/>
      </c>
      <c r="V1038" s="9" t="str">
        <f t="shared" ca="1" si="45"/>
        <v/>
      </c>
      <c r="AC1038" s="9" t="s">
        <v>12173</v>
      </c>
      <c r="AD1038" s="9" t="s">
        <v>19</v>
      </c>
      <c r="AE1038" s="9" t="s">
        <v>12083</v>
      </c>
    </row>
    <row r="1039" spans="1:33">
      <c r="A1039" s="3" t="s">
        <v>1356</v>
      </c>
      <c r="D1039" s="11" t="s">
        <v>5990</v>
      </c>
      <c r="E1039" s="11" t="s">
        <v>5989</v>
      </c>
      <c r="H1039" t="s">
        <v>19</v>
      </c>
      <c r="J1039" s="9" t="s">
        <v>24</v>
      </c>
      <c r="L1039" s="9">
        <v>1</v>
      </c>
      <c r="M1039" s="9">
        <v>2</v>
      </c>
      <c r="N1039" s="9" t="s">
        <v>12078</v>
      </c>
      <c r="O1039" s="9" t="s">
        <v>12119</v>
      </c>
      <c r="Q1039" s="10"/>
      <c r="S1039" s="9">
        <v>11843</v>
      </c>
      <c r="U1039" s="9" t="str">
        <f t="shared" ca="1" si="44"/>
        <v/>
      </c>
      <c r="V1039" s="9" t="str">
        <f t="shared" ca="1" si="45"/>
        <v/>
      </c>
      <c r="AG1039" s="9" t="s">
        <v>19</v>
      </c>
    </row>
    <row r="1040" spans="1:33">
      <c r="A1040" s="3" t="s">
        <v>1356</v>
      </c>
      <c r="D1040" s="3" t="s">
        <v>5991</v>
      </c>
      <c r="E1040" s="3" t="s">
        <v>5992</v>
      </c>
      <c r="J1040" s="9" t="s">
        <v>24</v>
      </c>
      <c r="L1040" s="9">
        <v>1</v>
      </c>
      <c r="M1040" s="9">
        <v>2</v>
      </c>
      <c r="N1040" s="9" t="s">
        <v>12078</v>
      </c>
      <c r="O1040" s="9" t="s">
        <v>12119</v>
      </c>
      <c r="Q1040" s="10"/>
      <c r="S1040" s="9">
        <v>11843</v>
      </c>
      <c r="U1040" s="9" t="str">
        <f t="shared" ca="1" si="44"/>
        <v/>
      </c>
      <c r="V1040" s="9" t="str">
        <f t="shared" ca="1" si="45"/>
        <v/>
      </c>
      <c r="AG1040" s="9" t="s">
        <v>19</v>
      </c>
    </row>
    <row r="1041" spans="1:33" ht="29">
      <c r="A1041" s="3" t="s">
        <v>1356</v>
      </c>
      <c r="D1041" s="3" t="s">
        <v>5993</v>
      </c>
      <c r="E1041" s="3" t="s">
        <v>5994</v>
      </c>
      <c r="J1041" s="9" t="s">
        <v>12120</v>
      </c>
      <c r="Q1041" s="10"/>
      <c r="U1041" s="9" t="str">
        <f t="shared" ca="1" si="44"/>
        <v/>
      </c>
      <c r="V1041" s="9" t="str">
        <f t="shared" ca="1" si="45"/>
        <v/>
      </c>
      <c r="AE1041" s="9" t="s">
        <v>12083</v>
      </c>
    </row>
    <row r="1042" spans="1:33">
      <c r="A1042" s="3" t="s">
        <v>1357</v>
      </c>
      <c r="D1042" s="3" t="s">
        <v>5995</v>
      </c>
      <c r="E1042" s="3" t="s">
        <v>5996</v>
      </c>
      <c r="H1042" t="s">
        <v>19</v>
      </c>
      <c r="J1042" s="9" t="s">
        <v>24</v>
      </c>
      <c r="L1042" s="9">
        <v>1</v>
      </c>
      <c r="M1042" s="9">
        <v>1</v>
      </c>
      <c r="N1042" s="9" t="s">
        <v>12078</v>
      </c>
      <c r="O1042" s="9" t="s">
        <v>12119</v>
      </c>
      <c r="Q1042" s="10"/>
      <c r="S1042" s="9">
        <v>11843</v>
      </c>
      <c r="U1042" s="9" t="str">
        <f t="shared" ca="1" si="44"/>
        <v/>
      </c>
      <c r="V1042" s="9" t="str">
        <f t="shared" ca="1" si="45"/>
        <v/>
      </c>
      <c r="AG1042" s="9" t="s">
        <v>20</v>
      </c>
    </row>
    <row r="1043" spans="1:33">
      <c r="A1043" s="3" t="s">
        <v>1357</v>
      </c>
      <c r="D1043" s="3" t="s">
        <v>1358</v>
      </c>
      <c r="E1043" s="3" t="s">
        <v>1358</v>
      </c>
      <c r="G1043" t="s">
        <v>20</v>
      </c>
      <c r="I1043" t="s">
        <v>5997</v>
      </c>
      <c r="Q1043" s="10"/>
      <c r="U1043" s="9" t="str">
        <f t="shared" ca="1" si="44"/>
        <v/>
      </c>
      <c r="V1043" s="9" t="str">
        <f t="shared" ca="1" si="45"/>
        <v/>
      </c>
    </row>
    <row r="1044" spans="1:33">
      <c r="A1044" s="3" t="s">
        <v>1359</v>
      </c>
      <c r="D1044" s="3" t="s">
        <v>172</v>
      </c>
      <c r="E1044" s="3" t="s">
        <v>171</v>
      </c>
      <c r="J1044" s="9" t="s">
        <v>12118</v>
      </c>
      <c r="Q1044" s="10"/>
      <c r="T1044" s="9" t="s">
        <v>12131</v>
      </c>
      <c r="U1044" s="9" t="str">
        <f t="shared" ca="1" si="44"/>
        <v/>
      </c>
      <c r="V1044" s="9" t="str">
        <f t="shared" ca="1" si="45"/>
        <v/>
      </c>
      <c r="AC1044" s="9" t="s">
        <v>12134</v>
      </c>
      <c r="AD1044" s="9" t="s">
        <v>19</v>
      </c>
    </row>
    <row r="1045" spans="1:33">
      <c r="A1045" s="3" t="s">
        <v>1359</v>
      </c>
      <c r="D1045" s="3" t="s">
        <v>5998</v>
      </c>
      <c r="E1045" s="3" t="s">
        <v>5999</v>
      </c>
      <c r="H1045" t="s">
        <v>19</v>
      </c>
      <c r="J1045" s="9" t="s">
        <v>24</v>
      </c>
      <c r="L1045" s="9">
        <v>1</v>
      </c>
      <c r="M1045" s="9">
        <v>5</v>
      </c>
      <c r="N1045" s="9" t="s">
        <v>12098</v>
      </c>
      <c r="O1045" s="9" t="s">
        <v>12073</v>
      </c>
      <c r="P1045" s="9" t="s">
        <v>12142</v>
      </c>
      <c r="Q1045" s="10" t="s">
        <v>12143</v>
      </c>
      <c r="S1045" s="9">
        <v>2</v>
      </c>
      <c r="U1045" s="9" t="str">
        <f t="shared" ca="1" si="44"/>
        <v/>
      </c>
      <c r="V1045" s="9" t="str">
        <f t="shared" ca="1" si="45"/>
        <v/>
      </c>
      <c r="AG1045" s="9" t="s">
        <v>19</v>
      </c>
    </row>
    <row r="1046" spans="1:33" ht="58">
      <c r="A1046" s="3" t="s">
        <v>1360</v>
      </c>
      <c r="D1046" s="3" t="s">
        <v>6000</v>
      </c>
      <c r="E1046" s="3" t="s">
        <v>6001</v>
      </c>
      <c r="H1046" t="s">
        <v>20</v>
      </c>
      <c r="I1046" t="s">
        <v>13105</v>
      </c>
      <c r="J1046" s="9" t="s">
        <v>24</v>
      </c>
      <c r="L1046" s="9">
        <v>6</v>
      </c>
      <c r="M1046" s="9">
        <v>25</v>
      </c>
      <c r="O1046" s="9" t="s">
        <v>12079</v>
      </c>
      <c r="Q1046" s="10"/>
      <c r="S1046" s="9">
        <v>46</v>
      </c>
      <c r="U1046" s="9" t="str">
        <f t="shared" ca="1" si="44"/>
        <v/>
      </c>
      <c r="V1046" s="9" t="str">
        <f t="shared" ca="1" si="45"/>
        <v/>
      </c>
      <c r="AG1046" s="9" t="s">
        <v>19</v>
      </c>
    </row>
    <row r="1047" spans="1:33">
      <c r="A1047" s="3" t="s">
        <v>1360</v>
      </c>
      <c r="D1047" s="3" t="s">
        <v>1361</v>
      </c>
      <c r="E1047" s="3" t="s">
        <v>1099</v>
      </c>
      <c r="J1047" s="9" t="s">
        <v>12118</v>
      </c>
      <c r="Q1047" s="10"/>
      <c r="T1047" s="9" t="s">
        <v>12131</v>
      </c>
      <c r="U1047" s="9" t="str">
        <f t="shared" ca="1" si="44"/>
        <v/>
      </c>
      <c r="V1047" s="9" t="str">
        <f t="shared" ca="1" si="45"/>
        <v/>
      </c>
      <c r="AC1047" s="9" t="s">
        <v>12130</v>
      </c>
      <c r="AD1047" s="9" t="s">
        <v>19</v>
      </c>
      <c r="AE1047" s="9" t="s">
        <v>12086</v>
      </c>
    </row>
    <row r="1048" spans="1:33" ht="29">
      <c r="A1048" s="3" t="s">
        <v>1362</v>
      </c>
      <c r="D1048" s="3" t="s">
        <v>6002</v>
      </c>
      <c r="E1048" s="3" t="s">
        <v>6003</v>
      </c>
      <c r="G1048" t="s">
        <v>19</v>
      </c>
      <c r="J1048" s="9" t="s">
        <v>12118</v>
      </c>
      <c r="Q1048" s="10"/>
      <c r="T1048" s="9">
        <f>1101-635</f>
        <v>466</v>
      </c>
      <c r="U1048" s="9">
        <f t="shared" ca="1" si="44"/>
        <v>635</v>
      </c>
      <c r="V1048" s="9">
        <f t="shared" ca="1" si="45"/>
        <v>1101</v>
      </c>
      <c r="AC1048" s="9" t="s">
        <v>12134</v>
      </c>
      <c r="AD1048" s="9" t="s">
        <v>19</v>
      </c>
    </row>
    <row r="1049" spans="1:33" ht="29">
      <c r="A1049" s="3" t="s">
        <v>1362</v>
      </c>
      <c r="D1049" s="3" t="s">
        <v>6004</v>
      </c>
      <c r="E1049" s="3" t="s">
        <v>6005</v>
      </c>
      <c r="G1049" t="s">
        <v>19</v>
      </c>
      <c r="J1049" s="9" t="s">
        <v>12120</v>
      </c>
      <c r="Q1049" s="10"/>
      <c r="U1049" s="9" t="str">
        <f t="shared" ca="1" si="44"/>
        <v/>
      </c>
      <c r="V1049" s="9" t="str">
        <f t="shared" ca="1" si="45"/>
        <v/>
      </c>
      <c r="AE1049" s="9" t="s">
        <v>12089</v>
      </c>
    </row>
    <row r="1050" spans="1:33">
      <c r="A1050" s="3" t="s">
        <v>1363</v>
      </c>
      <c r="D1050" s="3" t="s">
        <v>6006</v>
      </c>
      <c r="E1050" s="3" t="s">
        <v>6007</v>
      </c>
      <c r="G1050" t="s">
        <v>19</v>
      </c>
      <c r="J1050" s="9" t="s">
        <v>12120</v>
      </c>
      <c r="Q1050" s="10"/>
      <c r="U1050" s="9" t="str">
        <f t="shared" ca="1" si="44"/>
        <v/>
      </c>
      <c r="V1050" s="9" t="str">
        <f t="shared" ca="1" si="45"/>
        <v/>
      </c>
      <c r="AE1050" s="9" t="s">
        <v>12089</v>
      </c>
    </row>
    <row r="1051" spans="1:33">
      <c r="A1051" s="3" t="s">
        <v>1363</v>
      </c>
      <c r="D1051" s="3" t="s">
        <v>2548</v>
      </c>
      <c r="E1051" s="3" t="s">
        <v>2548</v>
      </c>
      <c r="G1051" t="s">
        <v>20</v>
      </c>
      <c r="I1051" t="s">
        <v>6008</v>
      </c>
      <c r="Q1051" s="10"/>
      <c r="U1051" s="9" t="str">
        <f t="shared" ca="1" si="44"/>
        <v/>
      </c>
      <c r="V1051" s="9" t="str">
        <f t="shared" ca="1" si="45"/>
        <v/>
      </c>
    </row>
    <row r="1052" spans="1:33">
      <c r="A1052" s="3" t="s">
        <v>1364</v>
      </c>
      <c r="D1052" s="3" t="s">
        <v>6009</v>
      </c>
      <c r="E1052" s="3" t="s">
        <v>6009</v>
      </c>
      <c r="G1052" t="s">
        <v>20</v>
      </c>
      <c r="H1052" t="s">
        <v>23</v>
      </c>
      <c r="I1052" t="s">
        <v>6010</v>
      </c>
      <c r="Q1052" s="10"/>
      <c r="U1052" s="9" t="str">
        <f t="shared" ca="1" si="44"/>
        <v/>
      </c>
      <c r="V1052" s="9" t="str">
        <f t="shared" ca="1" si="45"/>
        <v/>
      </c>
    </row>
    <row r="1053" spans="1:33" ht="43.5">
      <c r="A1053" s="3" t="s">
        <v>1365</v>
      </c>
      <c r="D1053" s="3" t="s">
        <v>6012</v>
      </c>
      <c r="E1053" s="3" t="s">
        <v>6013</v>
      </c>
      <c r="H1053" t="s">
        <v>19</v>
      </c>
      <c r="J1053" s="9" t="s">
        <v>12118</v>
      </c>
      <c r="Q1053" s="10"/>
      <c r="T1053" s="9">
        <f>1966-5676</f>
        <v>-3710</v>
      </c>
      <c r="U1053" s="9">
        <f t="shared" ca="1" si="44"/>
        <v>5676</v>
      </c>
      <c r="V1053" s="9">
        <f t="shared" ca="1" si="45"/>
        <v>1966</v>
      </c>
      <c r="AG1053" s="9" t="s">
        <v>19</v>
      </c>
    </row>
    <row r="1054" spans="1:33" ht="43.5">
      <c r="A1054" s="3" t="s">
        <v>1365</v>
      </c>
      <c r="D1054" s="3" t="s">
        <v>6014</v>
      </c>
      <c r="E1054" s="3" t="s">
        <v>6011</v>
      </c>
      <c r="H1054" t="s">
        <v>19</v>
      </c>
      <c r="J1054" s="9" t="s">
        <v>25</v>
      </c>
      <c r="L1054" s="9">
        <v>1</v>
      </c>
      <c r="M1054" s="9">
        <v>3</v>
      </c>
      <c r="N1054" s="9" t="s">
        <v>12078</v>
      </c>
      <c r="O1054" s="9" t="s">
        <v>12079</v>
      </c>
      <c r="Q1054" s="10"/>
      <c r="S1054" s="9">
        <v>11843</v>
      </c>
      <c r="U1054" s="9" t="str">
        <f t="shared" ca="1" si="44"/>
        <v/>
      </c>
      <c r="V1054" s="9" t="str">
        <f t="shared" ca="1" si="45"/>
        <v/>
      </c>
      <c r="AG1054" s="9" t="s">
        <v>20</v>
      </c>
    </row>
    <row r="1055" spans="1:33">
      <c r="A1055" s="3" t="s">
        <v>1366</v>
      </c>
      <c r="D1055" s="3" t="s">
        <v>1367</v>
      </c>
      <c r="E1055" s="3" t="s">
        <v>1368</v>
      </c>
      <c r="H1055" t="s">
        <v>19</v>
      </c>
      <c r="J1055" s="9" t="s">
        <v>12120</v>
      </c>
      <c r="Q1055" s="10"/>
      <c r="U1055" s="9" t="str">
        <f t="shared" ca="1" si="44"/>
        <v/>
      </c>
      <c r="V1055" s="9" t="str">
        <f t="shared" ca="1" si="45"/>
        <v/>
      </c>
      <c r="AG1055" s="9" t="s">
        <v>19</v>
      </c>
    </row>
    <row r="1056" spans="1:33">
      <c r="A1056" s="3" t="s">
        <v>1366</v>
      </c>
      <c r="D1056" s="3" t="s">
        <v>12863</v>
      </c>
      <c r="E1056" s="3" t="s">
        <v>12864</v>
      </c>
      <c r="G1056" t="s">
        <v>19</v>
      </c>
      <c r="J1056" s="9" t="s">
        <v>12120</v>
      </c>
      <c r="Q1056" s="10"/>
      <c r="U1056" s="9" t="str">
        <f t="shared" ca="1" si="44"/>
        <v/>
      </c>
      <c r="V1056" s="9" t="str">
        <f t="shared" ca="1" si="45"/>
        <v/>
      </c>
      <c r="AE1056" s="9" t="s">
        <v>12083</v>
      </c>
    </row>
    <row r="1057" spans="1:33" ht="43.5">
      <c r="A1057" s="3" t="s">
        <v>1369</v>
      </c>
      <c r="D1057" s="3" t="s">
        <v>6015</v>
      </c>
      <c r="E1057" s="3" t="s">
        <v>6016</v>
      </c>
      <c r="H1057" t="s">
        <v>19</v>
      </c>
      <c r="J1057" s="9" t="s">
        <v>24</v>
      </c>
      <c r="L1057" s="9">
        <v>2</v>
      </c>
      <c r="M1057" s="9">
        <v>10</v>
      </c>
      <c r="O1057" s="9" t="s">
        <v>12079</v>
      </c>
      <c r="Q1057" s="10"/>
      <c r="S1057" s="9">
        <v>75</v>
      </c>
      <c r="U1057" s="9" t="str">
        <f t="shared" ca="1" si="44"/>
        <v/>
      </c>
      <c r="V1057" s="9" t="str">
        <f t="shared" ca="1" si="45"/>
        <v/>
      </c>
      <c r="AG1057" s="9" t="s">
        <v>19</v>
      </c>
    </row>
    <row r="1058" spans="1:33" ht="29">
      <c r="A1058" s="3" t="s">
        <v>1370</v>
      </c>
      <c r="D1058" s="3" t="s">
        <v>6017</v>
      </c>
      <c r="E1058" s="3" t="s">
        <v>6018</v>
      </c>
      <c r="J1058" s="9" t="s">
        <v>24</v>
      </c>
      <c r="L1058" s="9">
        <v>1</v>
      </c>
      <c r="M1058" s="9">
        <v>6</v>
      </c>
      <c r="N1058" s="9" t="s">
        <v>12092</v>
      </c>
      <c r="O1058" s="9" t="s">
        <v>12073</v>
      </c>
      <c r="P1058" s="9" t="s">
        <v>12142</v>
      </c>
      <c r="Q1058" s="10" t="s">
        <v>12158</v>
      </c>
      <c r="R1058" s="9" t="s">
        <v>12074</v>
      </c>
      <c r="S1058" s="9">
        <v>5</v>
      </c>
      <c r="U1058" s="9" t="str">
        <f t="shared" ca="1" si="44"/>
        <v/>
      </c>
      <c r="V1058" s="9" t="str">
        <f t="shared" ca="1" si="45"/>
        <v/>
      </c>
      <c r="AG1058" s="9" t="s">
        <v>20</v>
      </c>
    </row>
    <row r="1059" spans="1:33">
      <c r="A1059" s="3" t="s">
        <v>1371</v>
      </c>
      <c r="D1059" s="3" t="s">
        <v>1372</v>
      </c>
      <c r="E1059" s="3" t="s">
        <v>6019</v>
      </c>
      <c r="G1059" t="s">
        <v>19</v>
      </c>
      <c r="J1059" s="9" t="s">
        <v>12118</v>
      </c>
      <c r="Q1059" s="10"/>
      <c r="T1059" s="9">
        <f>5-0</f>
        <v>5</v>
      </c>
      <c r="U1059" s="9">
        <f t="shared" ca="1" si="44"/>
        <v>0</v>
      </c>
      <c r="V1059" s="9">
        <f t="shared" ca="1" si="45"/>
        <v>5</v>
      </c>
    </row>
    <row r="1060" spans="1:33" ht="58">
      <c r="A1060" s="3" t="s">
        <v>1373</v>
      </c>
      <c r="D1060" s="3" t="s">
        <v>6020</v>
      </c>
      <c r="E1060" s="3" t="s">
        <v>13008</v>
      </c>
      <c r="H1060" t="s">
        <v>19</v>
      </c>
      <c r="I1060" t="s">
        <v>10402</v>
      </c>
      <c r="J1060" s="9" t="s">
        <v>26</v>
      </c>
      <c r="Q1060" s="10"/>
      <c r="U1060" s="9" t="str">
        <f t="shared" ca="1" si="44"/>
        <v/>
      </c>
      <c r="V1060" s="9" t="str">
        <f t="shared" ca="1" si="45"/>
        <v/>
      </c>
      <c r="AG1060" s="9" t="s">
        <v>20</v>
      </c>
    </row>
    <row r="1061" spans="1:33" ht="58">
      <c r="A1061" s="3" t="s">
        <v>1373</v>
      </c>
      <c r="D1061" s="3" t="s">
        <v>6021</v>
      </c>
      <c r="E1061" s="3" t="s">
        <v>6022</v>
      </c>
      <c r="H1061" t="s">
        <v>19</v>
      </c>
      <c r="I1061" t="s">
        <v>12225</v>
      </c>
      <c r="J1061" s="9" t="s">
        <v>24</v>
      </c>
      <c r="L1061" s="9">
        <v>1</v>
      </c>
      <c r="M1061" s="9">
        <v>5</v>
      </c>
      <c r="N1061" s="9" t="s">
        <v>12096</v>
      </c>
      <c r="O1061" s="9" t="s">
        <v>12079</v>
      </c>
      <c r="Q1061" s="10"/>
      <c r="S1061" s="9">
        <v>28</v>
      </c>
      <c r="U1061" s="9" t="str">
        <f t="shared" ca="1" si="44"/>
        <v/>
      </c>
      <c r="V1061" s="9" t="str">
        <f t="shared" ca="1" si="45"/>
        <v/>
      </c>
      <c r="AG1061" s="9" t="s">
        <v>19</v>
      </c>
    </row>
    <row r="1062" spans="1:33">
      <c r="A1062" s="3" t="s">
        <v>1374</v>
      </c>
      <c r="D1062" s="3" t="s">
        <v>1375</v>
      </c>
      <c r="E1062" s="3" t="s">
        <v>1376</v>
      </c>
      <c r="H1062" t="s">
        <v>19</v>
      </c>
      <c r="J1062" s="9" t="s">
        <v>12120</v>
      </c>
      <c r="Q1062" s="10"/>
      <c r="U1062" s="9" t="str">
        <f t="shared" ca="1" si="44"/>
        <v/>
      </c>
      <c r="V1062" s="9" t="str">
        <f t="shared" ca="1" si="45"/>
        <v/>
      </c>
      <c r="AE1062" s="9" t="s">
        <v>12077</v>
      </c>
    </row>
    <row r="1063" spans="1:33">
      <c r="A1063" s="3" t="s">
        <v>1377</v>
      </c>
      <c r="D1063" s="11" t="s">
        <v>6023</v>
      </c>
      <c r="E1063" s="11" t="s">
        <v>6024</v>
      </c>
      <c r="G1063" t="s">
        <v>19</v>
      </c>
      <c r="J1063" s="9" t="s">
        <v>24</v>
      </c>
      <c r="L1063" s="9">
        <v>1</v>
      </c>
      <c r="M1063" s="9">
        <v>3</v>
      </c>
      <c r="N1063" s="9" t="s">
        <v>12087</v>
      </c>
      <c r="O1063" s="9" t="s">
        <v>12079</v>
      </c>
      <c r="Q1063" s="10"/>
      <c r="S1063" s="9">
        <v>5676</v>
      </c>
      <c r="U1063" s="9" t="str">
        <f t="shared" ca="1" si="44"/>
        <v/>
      </c>
      <c r="V1063" s="9" t="str">
        <f t="shared" ca="1" si="45"/>
        <v/>
      </c>
    </row>
    <row r="1064" spans="1:33">
      <c r="A1064" s="3" t="s">
        <v>1377</v>
      </c>
      <c r="D1064" s="11" t="s">
        <v>6026</v>
      </c>
      <c r="E1064" s="11" t="s">
        <v>6025</v>
      </c>
      <c r="H1064" t="s">
        <v>19</v>
      </c>
      <c r="J1064" s="9" t="s">
        <v>12120</v>
      </c>
      <c r="Q1064" s="10"/>
      <c r="U1064" s="9" t="str">
        <f t="shared" ca="1" si="44"/>
        <v/>
      </c>
      <c r="V1064" s="9" t="str">
        <f t="shared" ca="1" si="45"/>
        <v/>
      </c>
      <c r="AB1064" s="9" t="s">
        <v>12738</v>
      </c>
      <c r="AD1064" s="9" t="s">
        <v>19</v>
      </c>
    </row>
    <row r="1065" spans="1:33">
      <c r="A1065" s="3" t="s">
        <v>1378</v>
      </c>
      <c r="D1065" s="3" t="s">
        <v>6027</v>
      </c>
      <c r="E1065" s="3" t="s">
        <v>6028</v>
      </c>
      <c r="J1065" s="9" t="s">
        <v>12120</v>
      </c>
      <c r="Q1065" s="10"/>
      <c r="U1065" s="9" t="str">
        <f t="shared" ca="1" si="44"/>
        <v/>
      </c>
      <c r="V1065" s="9" t="str">
        <f t="shared" ca="1" si="45"/>
        <v/>
      </c>
      <c r="AE1065" s="9" t="s">
        <v>12086</v>
      </c>
    </row>
    <row r="1066" spans="1:33">
      <c r="A1066" s="3" t="s">
        <v>1379</v>
      </c>
      <c r="D1066" s="3" t="s">
        <v>747</v>
      </c>
      <c r="E1066" s="3" t="s">
        <v>747</v>
      </c>
      <c r="G1066" t="s">
        <v>20</v>
      </c>
      <c r="Q1066" s="10"/>
      <c r="U1066" s="9" t="str">
        <f t="shared" ca="1" si="44"/>
        <v/>
      </c>
      <c r="V1066" s="9" t="str">
        <f t="shared" ca="1" si="45"/>
        <v/>
      </c>
    </row>
    <row r="1067" spans="1:33" ht="72.5">
      <c r="A1067" s="3" t="s">
        <v>1380</v>
      </c>
      <c r="D1067" s="3" t="s">
        <v>6030</v>
      </c>
      <c r="E1067" s="3" t="s">
        <v>6031</v>
      </c>
      <c r="H1067" t="s">
        <v>19</v>
      </c>
      <c r="I1067" t="s">
        <v>12226</v>
      </c>
      <c r="J1067" s="9" t="s">
        <v>26</v>
      </c>
      <c r="Q1067" s="10"/>
      <c r="U1067" s="9" t="str">
        <f t="shared" ca="1" si="44"/>
        <v/>
      </c>
      <c r="V1067" s="9" t="str">
        <f t="shared" ca="1" si="45"/>
        <v/>
      </c>
      <c r="AG1067" s="9" t="s">
        <v>20</v>
      </c>
    </row>
    <row r="1068" spans="1:33" ht="72.5">
      <c r="A1068" s="3" t="s">
        <v>1380</v>
      </c>
      <c r="D1068" s="3" t="s">
        <v>6032</v>
      </c>
      <c r="E1068" s="3" t="s">
        <v>6029</v>
      </c>
      <c r="H1068" t="s">
        <v>22</v>
      </c>
      <c r="I1068" t="s">
        <v>12227</v>
      </c>
      <c r="J1068" s="9" t="s">
        <v>25</v>
      </c>
      <c r="L1068" s="9">
        <v>3</v>
      </c>
      <c r="M1068" s="9">
        <v>14</v>
      </c>
      <c r="O1068" s="9" t="s">
        <v>12079</v>
      </c>
      <c r="Q1068" s="10"/>
      <c r="S1068" s="9">
        <v>186</v>
      </c>
      <c r="U1068" s="9" t="str">
        <f t="shared" ca="1" si="44"/>
        <v/>
      </c>
      <c r="V1068" s="9" t="str">
        <f t="shared" ca="1" si="45"/>
        <v/>
      </c>
      <c r="AG1068" s="9" t="s">
        <v>20</v>
      </c>
    </row>
    <row r="1069" spans="1:33" ht="29">
      <c r="A1069" s="3" t="s">
        <v>1381</v>
      </c>
      <c r="D1069" s="3" t="s">
        <v>6033</v>
      </c>
      <c r="E1069" s="5" t="s">
        <v>6034</v>
      </c>
      <c r="F1069" t="s">
        <v>32</v>
      </c>
      <c r="G1069" t="s">
        <v>20</v>
      </c>
      <c r="I1069" t="s">
        <v>6035</v>
      </c>
      <c r="J1069" s="9" t="s">
        <v>12120</v>
      </c>
      <c r="Q1069" s="10"/>
      <c r="U1069" s="9" t="str">
        <f t="shared" ca="1" si="44"/>
        <v/>
      </c>
      <c r="V1069" s="9" t="str">
        <f t="shared" ca="1" si="45"/>
        <v/>
      </c>
      <c r="AE1069" s="9" t="s">
        <v>12089</v>
      </c>
    </row>
    <row r="1070" spans="1:33">
      <c r="A1070" s="3" t="s">
        <v>1382</v>
      </c>
      <c r="D1070" s="3" t="s">
        <v>97</v>
      </c>
      <c r="E1070" s="3" t="s">
        <v>96</v>
      </c>
      <c r="J1070" s="9" t="s">
        <v>12118</v>
      </c>
      <c r="Q1070" s="10"/>
      <c r="T1070" s="9">
        <f>0-84</f>
        <v>-84</v>
      </c>
      <c r="U1070" s="9">
        <f t="shared" ca="1" si="44"/>
        <v>84</v>
      </c>
      <c r="V1070" s="9">
        <f t="shared" ca="1" si="45"/>
        <v>0</v>
      </c>
      <c r="AC1070" s="9" t="s">
        <v>12134</v>
      </c>
      <c r="AD1070" s="9" t="s">
        <v>19</v>
      </c>
    </row>
    <row r="1071" spans="1:33">
      <c r="A1071" s="3" t="s">
        <v>1382</v>
      </c>
      <c r="D1071" s="3" t="s">
        <v>1383</v>
      </c>
      <c r="E1071" s="3" t="s">
        <v>634</v>
      </c>
      <c r="J1071" s="9" t="s">
        <v>12118</v>
      </c>
      <c r="Q1071" s="10"/>
      <c r="T1071" s="9" t="s">
        <v>12131</v>
      </c>
      <c r="U1071" s="9" t="str">
        <f t="shared" ca="1" si="44"/>
        <v/>
      </c>
      <c r="V1071" s="9" t="str">
        <f t="shared" ca="1" si="45"/>
        <v/>
      </c>
      <c r="AB1071" s="9" t="s">
        <v>12124</v>
      </c>
      <c r="AC1071" s="9" t="s">
        <v>12740</v>
      </c>
      <c r="AD1071" s="9" t="s">
        <v>19</v>
      </c>
    </row>
    <row r="1072" spans="1:33">
      <c r="A1072" s="3" t="s">
        <v>1384</v>
      </c>
      <c r="D1072" s="3" t="s">
        <v>1229</v>
      </c>
      <c r="E1072" s="3" t="s">
        <v>1230</v>
      </c>
      <c r="J1072" s="9" t="s">
        <v>12118</v>
      </c>
      <c r="Q1072" s="10"/>
      <c r="T1072" s="9">
        <f>8-77</f>
        <v>-69</v>
      </c>
      <c r="U1072" s="9">
        <f t="shared" ca="1" si="44"/>
        <v>77</v>
      </c>
      <c r="V1072" s="9">
        <f t="shared" ca="1" si="45"/>
        <v>8</v>
      </c>
      <c r="AG1072" s="9" t="s">
        <v>20</v>
      </c>
    </row>
    <row r="1073" spans="1:33" ht="43.5">
      <c r="A1073" s="3" t="s">
        <v>1384</v>
      </c>
      <c r="D1073" s="3" t="s">
        <v>6037</v>
      </c>
      <c r="E1073" s="3" t="s">
        <v>6036</v>
      </c>
      <c r="H1073" t="s">
        <v>19</v>
      </c>
      <c r="J1073" s="9" t="s">
        <v>25</v>
      </c>
      <c r="L1073" s="9">
        <v>1</v>
      </c>
      <c r="M1073" s="9">
        <v>8</v>
      </c>
      <c r="N1073" s="9" t="s">
        <v>12098</v>
      </c>
      <c r="O1073" s="9" t="s">
        <v>12079</v>
      </c>
      <c r="Q1073" s="10"/>
      <c r="S1073" s="9">
        <v>35</v>
      </c>
      <c r="U1073" s="9" t="str">
        <f t="shared" ca="1" si="44"/>
        <v/>
      </c>
      <c r="V1073" s="9" t="str">
        <f t="shared" ca="1" si="45"/>
        <v/>
      </c>
      <c r="AG1073" s="9" t="s">
        <v>20</v>
      </c>
    </row>
    <row r="1074" spans="1:33" ht="43.5">
      <c r="A1074" s="3" t="s">
        <v>1384</v>
      </c>
      <c r="D1074" s="3" t="s">
        <v>6038</v>
      </c>
      <c r="E1074" s="3" t="s">
        <v>6036</v>
      </c>
      <c r="H1074" t="s">
        <v>19</v>
      </c>
      <c r="J1074" s="9" t="s">
        <v>25</v>
      </c>
      <c r="L1074" s="9">
        <v>1</v>
      </c>
      <c r="M1074" s="9">
        <v>5</v>
      </c>
      <c r="N1074" s="9" t="s">
        <v>12094</v>
      </c>
      <c r="O1074" s="9" t="s">
        <v>12079</v>
      </c>
      <c r="Q1074" s="10"/>
      <c r="S1074" s="9">
        <v>4240</v>
      </c>
      <c r="U1074" s="9" t="str">
        <f t="shared" ca="1" si="44"/>
        <v/>
      </c>
      <c r="V1074" s="9" t="str">
        <f t="shared" ca="1" si="45"/>
        <v/>
      </c>
      <c r="AG1074" s="9" t="s">
        <v>20</v>
      </c>
    </row>
    <row r="1075" spans="1:33" ht="43.5">
      <c r="A1075" s="3" t="s">
        <v>1384</v>
      </c>
      <c r="D1075" s="3" t="s">
        <v>6039</v>
      </c>
      <c r="E1075" s="3" t="s">
        <v>6036</v>
      </c>
      <c r="H1075" t="s">
        <v>19</v>
      </c>
      <c r="J1075" s="9" t="s">
        <v>25</v>
      </c>
      <c r="L1075" s="9">
        <v>1</v>
      </c>
      <c r="M1075" s="9">
        <v>6</v>
      </c>
      <c r="N1075" s="9" t="s">
        <v>12084</v>
      </c>
      <c r="O1075" s="9" t="s">
        <v>12079</v>
      </c>
      <c r="Q1075" s="10"/>
      <c r="S1075" s="9">
        <v>32</v>
      </c>
      <c r="U1075" s="9" t="str">
        <f t="shared" ca="1" si="44"/>
        <v/>
      </c>
      <c r="V1075" s="9" t="str">
        <f t="shared" ca="1" si="45"/>
        <v/>
      </c>
      <c r="AG1075" s="9" t="s">
        <v>20</v>
      </c>
    </row>
    <row r="1076" spans="1:33">
      <c r="A1076" s="3" t="s">
        <v>1385</v>
      </c>
      <c r="D1076" s="3" t="s">
        <v>1386</v>
      </c>
      <c r="E1076" s="3" t="s">
        <v>6040</v>
      </c>
      <c r="J1076" s="9" t="s">
        <v>12120</v>
      </c>
      <c r="Q1076" s="10"/>
      <c r="U1076" s="9" t="str">
        <f t="shared" ca="1" si="44"/>
        <v/>
      </c>
      <c r="V1076" s="9" t="str">
        <f t="shared" ca="1" si="45"/>
        <v/>
      </c>
      <c r="AB1076" s="9" t="s">
        <v>12085</v>
      </c>
      <c r="AD1076" s="9" t="s">
        <v>19</v>
      </c>
    </row>
    <row r="1077" spans="1:33">
      <c r="A1077" s="3" t="s">
        <v>1387</v>
      </c>
      <c r="D1077" s="3" t="s">
        <v>6041</v>
      </c>
      <c r="E1077" s="3" t="s">
        <v>6042</v>
      </c>
      <c r="J1077" s="9" t="s">
        <v>25</v>
      </c>
      <c r="L1077" s="9">
        <v>1</v>
      </c>
      <c r="M1077" s="9">
        <v>3</v>
      </c>
      <c r="N1077" s="9" t="s">
        <v>12078</v>
      </c>
      <c r="O1077" s="9" t="s">
        <v>12079</v>
      </c>
      <c r="Q1077" s="10"/>
      <c r="S1077" s="9">
        <v>11843</v>
      </c>
      <c r="U1077" s="9" t="str">
        <f t="shared" ca="1" si="44"/>
        <v/>
      </c>
      <c r="V1077" s="9" t="str">
        <f t="shared" ca="1" si="45"/>
        <v/>
      </c>
      <c r="AG1077" s="9" t="s">
        <v>19</v>
      </c>
    </row>
    <row r="1078" spans="1:33">
      <c r="A1078" s="3" t="s">
        <v>1387</v>
      </c>
      <c r="D1078" s="3" t="s">
        <v>1388</v>
      </c>
      <c r="E1078" s="5" t="s">
        <v>1389</v>
      </c>
      <c r="F1078" t="s">
        <v>32</v>
      </c>
      <c r="I1078" s="4" t="s">
        <v>13106</v>
      </c>
      <c r="J1078" s="9" t="s">
        <v>12120</v>
      </c>
      <c r="Q1078" s="10"/>
      <c r="U1078" s="9" t="str">
        <f t="shared" ca="1" si="44"/>
        <v/>
      </c>
      <c r="V1078" s="9" t="str">
        <f t="shared" ca="1" si="45"/>
        <v/>
      </c>
      <c r="AE1078" s="9" t="s">
        <v>12086</v>
      </c>
    </row>
    <row r="1079" spans="1:33">
      <c r="A1079" s="3" t="s">
        <v>1390</v>
      </c>
      <c r="D1079" s="3" t="s">
        <v>6043</v>
      </c>
      <c r="E1079" s="3" t="s">
        <v>6044</v>
      </c>
      <c r="G1079" t="s">
        <v>20</v>
      </c>
      <c r="I1079" t="s">
        <v>6045</v>
      </c>
      <c r="J1079" s="9" t="s">
        <v>12118</v>
      </c>
      <c r="Q1079" s="10"/>
      <c r="T1079" s="9">
        <f>67-166</f>
        <v>-99</v>
      </c>
      <c r="U1079" s="9">
        <f t="shared" ca="1" si="44"/>
        <v>166</v>
      </c>
      <c r="V1079" s="9">
        <f t="shared" ca="1" si="45"/>
        <v>67</v>
      </c>
      <c r="AE1079" s="9" t="s">
        <v>12083</v>
      </c>
    </row>
    <row r="1080" spans="1:33">
      <c r="A1080" s="3" t="s">
        <v>1391</v>
      </c>
      <c r="D1080" s="3" t="s">
        <v>12847</v>
      </c>
      <c r="E1080" s="3" t="s">
        <v>6046</v>
      </c>
      <c r="J1080" s="9" t="s">
        <v>25</v>
      </c>
      <c r="L1080" s="9">
        <v>1</v>
      </c>
      <c r="M1080" s="9">
        <v>3</v>
      </c>
      <c r="N1080" s="9" t="s">
        <v>12087</v>
      </c>
      <c r="O1080" s="9" t="s">
        <v>12079</v>
      </c>
      <c r="Q1080" s="10"/>
      <c r="S1080" s="9">
        <v>1942</v>
      </c>
      <c r="AG1080" s="9" t="s">
        <v>19</v>
      </c>
    </row>
    <row r="1081" spans="1:33">
      <c r="A1081" s="3" t="s">
        <v>1391</v>
      </c>
      <c r="D1081" s="3" t="s">
        <v>12848</v>
      </c>
      <c r="E1081" s="3" t="s">
        <v>12849</v>
      </c>
      <c r="J1081" s="9" t="s">
        <v>12120</v>
      </c>
      <c r="Q1081" s="10"/>
      <c r="AG1081" s="9" t="s">
        <v>19</v>
      </c>
    </row>
    <row r="1082" spans="1:33" ht="29">
      <c r="A1082" s="3" t="s">
        <v>1392</v>
      </c>
      <c r="D1082" s="3" t="s">
        <v>6047</v>
      </c>
      <c r="E1082" s="3" t="s">
        <v>6048</v>
      </c>
      <c r="J1082" s="9" t="s">
        <v>24</v>
      </c>
      <c r="L1082" s="9">
        <v>1</v>
      </c>
      <c r="M1082" s="9">
        <v>6</v>
      </c>
      <c r="N1082" s="9" t="s">
        <v>12094</v>
      </c>
      <c r="O1082" s="9" t="s">
        <v>12073</v>
      </c>
      <c r="P1082" s="9" t="s">
        <v>12142</v>
      </c>
      <c r="Q1082" s="10" t="s">
        <v>12158</v>
      </c>
      <c r="R1082" s="9" t="s">
        <v>12074</v>
      </c>
      <c r="S1082" s="9">
        <v>4240</v>
      </c>
      <c r="U1082" s="9" t="str">
        <f t="shared" ca="1" si="44"/>
        <v/>
      </c>
      <c r="V1082" s="9" t="str">
        <f t="shared" ca="1" si="45"/>
        <v/>
      </c>
      <c r="AE1082" s="9" t="s">
        <v>12083</v>
      </c>
    </row>
    <row r="1083" spans="1:33">
      <c r="A1083" s="3" t="s">
        <v>1392</v>
      </c>
      <c r="D1083" s="3" t="s">
        <v>1118</v>
      </c>
      <c r="E1083" s="3" t="s">
        <v>1119</v>
      </c>
      <c r="J1083" s="9" t="s">
        <v>12120</v>
      </c>
      <c r="Q1083" s="10"/>
      <c r="U1083" s="9" t="str">
        <f t="shared" ca="1" si="44"/>
        <v/>
      </c>
      <c r="V1083" s="9" t="str">
        <f t="shared" ca="1" si="45"/>
        <v/>
      </c>
      <c r="AC1083" s="9" t="s">
        <v>12744</v>
      </c>
      <c r="AD1083" s="9" t="s">
        <v>19</v>
      </c>
    </row>
    <row r="1084" spans="1:33">
      <c r="A1084" s="3" t="s">
        <v>1393</v>
      </c>
      <c r="D1084" s="3" t="s">
        <v>1394</v>
      </c>
      <c r="E1084" s="3" t="s">
        <v>1395</v>
      </c>
      <c r="J1084" s="9" t="s">
        <v>12118</v>
      </c>
      <c r="Q1084" s="10"/>
      <c r="T1084" s="9" t="s">
        <v>12131</v>
      </c>
      <c r="U1084" s="9" t="str">
        <f t="shared" ca="1" si="44"/>
        <v/>
      </c>
      <c r="V1084" s="9" t="str">
        <f t="shared" ca="1" si="45"/>
        <v/>
      </c>
      <c r="AB1084" s="9" t="s">
        <v>12124</v>
      </c>
      <c r="AC1084" s="9" t="s">
        <v>12130</v>
      </c>
      <c r="AD1084" s="9" t="s">
        <v>19</v>
      </c>
    </row>
    <row r="1085" spans="1:33">
      <c r="A1085" s="3" t="s">
        <v>1396</v>
      </c>
      <c r="D1085" s="3" t="s">
        <v>6049</v>
      </c>
      <c r="E1085" s="3" t="s">
        <v>6050</v>
      </c>
      <c r="J1085" s="9" t="s">
        <v>12118</v>
      </c>
      <c r="Q1085" s="10"/>
      <c r="T1085" s="9" t="s">
        <v>12131</v>
      </c>
      <c r="U1085" s="9" t="str">
        <f t="shared" ca="1" si="44"/>
        <v/>
      </c>
      <c r="V1085" s="9" t="str">
        <f t="shared" ca="1" si="45"/>
        <v/>
      </c>
      <c r="AE1085" s="9" t="s">
        <v>12077</v>
      </c>
    </row>
    <row r="1086" spans="1:33">
      <c r="A1086" s="3" t="s">
        <v>1397</v>
      </c>
      <c r="D1086" s="3" t="s">
        <v>1398</v>
      </c>
      <c r="E1086" s="3" t="s">
        <v>1399</v>
      </c>
      <c r="J1086" s="9" t="s">
        <v>12120</v>
      </c>
      <c r="Q1086" s="10"/>
      <c r="U1086" s="9" t="str">
        <f t="shared" ca="1" si="44"/>
        <v/>
      </c>
      <c r="V1086" s="9" t="str">
        <f t="shared" ca="1" si="45"/>
        <v/>
      </c>
      <c r="AE1086" s="9" t="s">
        <v>12086</v>
      </c>
    </row>
    <row r="1087" spans="1:33">
      <c r="A1087" s="3" t="s">
        <v>1400</v>
      </c>
      <c r="D1087" s="3" t="s">
        <v>6051</v>
      </c>
      <c r="E1087" s="3" t="s">
        <v>1401</v>
      </c>
      <c r="J1087" s="9" t="s">
        <v>12118</v>
      </c>
      <c r="Q1087" s="10"/>
      <c r="T1087" s="9" t="s">
        <v>12131</v>
      </c>
      <c r="U1087" s="9" t="str">
        <f t="shared" ca="1" si="44"/>
        <v/>
      </c>
      <c r="V1087" s="9" t="str">
        <f t="shared" ca="1" si="45"/>
        <v/>
      </c>
      <c r="AC1087" s="9" t="s">
        <v>12744</v>
      </c>
      <c r="AD1087" s="9" t="s">
        <v>19</v>
      </c>
      <c r="AE1087" s="9" t="s">
        <v>12086</v>
      </c>
    </row>
    <row r="1088" spans="1:33">
      <c r="A1088" s="3" t="s">
        <v>1402</v>
      </c>
      <c r="D1088" s="3" t="s">
        <v>1403</v>
      </c>
      <c r="E1088" s="3" t="s">
        <v>1404</v>
      </c>
      <c r="J1088" s="9" t="s">
        <v>12118</v>
      </c>
      <c r="Q1088" s="10"/>
      <c r="T1088" s="9" t="s">
        <v>12131</v>
      </c>
      <c r="U1088" s="9" t="str">
        <f t="shared" ca="1" si="44"/>
        <v/>
      </c>
      <c r="V1088" s="9" t="str">
        <f t="shared" ca="1" si="45"/>
        <v/>
      </c>
      <c r="AC1088" s="9" t="s">
        <v>12130</v>
      </c>
      <c r="AD1088" s="9" t="s">
        <v>19</v>
      </c>
      <c r="AE1088" s="9" t="s">
        <v>12086</v>
      </c>
    </row>
    <row r="1089" spans="1:33">
      <c r="A1089" s="3" t="s">
        <v>1402</v>
      </c>
      <c r="D1089" s="3" t="s">
        <v>6053</v>
      </c>
      <c r="E1089" s="3" t="s">
        <v>6052</v>
      </c>
      <c r="J1089" s="9" t="s">
        <v>24</v>
      </c>
      <c r="L1089" s="9">
        <v>1</v>
      </c>
      <c r="M1089" s="9">
        <v>3</v>
      </c>
      <c r="N1089" s="9" t="s">
        <v>12078</v>
      </c>
      <c r="O1089" s="9" t="s">
        <v>12079</v>
      </c>
      <c r="Q1089" s="10"/>
      <c r="S1089" s="9">
        <v>11843</v>
      </c>
      <c r="U1089" s="9" t="str">
        <f t="shared" ca="1" si="44"/>
        <v/>
      </c>
      <c r="V1089" s="9" t="str">
        <f t="shared" ca="1" si="45"/>
        <v/>
      </c>
      <c r="AG1089" s="9" t="s">
        <v>20</v>
      </c>
    </row>
    <row r="1090" spans="1:33">
      <c r="A1090" s="3" t="s">
        <v>1402</v>
      </c>
      <c r="D1090" s="3" t="s">
        <v>6055</v>
      </c>
      <c r="E1090" s="3" t="s">
        <v>6054</v>
      </c>
      <c r="J1090" s="9" t="s">
        <v>12120</v>
      </c>
      <c r="Q1090" s="10"/>
      <c r="U1090" s="9" t="str">
        <f t="shared" ca="1" si="44"/>
        <v/>
      </c>
      <c r="V1090" s="9" t="str">
        <f t="shared" ca="1" si="45"/>
        <v/>
      </c>
      <c r="AB1090" s="9" t="s">
        <v>12737</v>
      </c>
      <c r="AD1090" s="9" t="s">
        <v>19</v>
      </c>
    </row>
    <row r="1091" spans="1:33">
      <c r="A1091" s="3" t="s">
        <v>1402</v>
      </c>
      <c r="D1091" s="3" t="s">
        <v>1405</v>
      </c>
      <c r="E1091" s="3" t="s">
        <v>1406</v>
      </c>
      <c r="I1091" s="4"/>
      <c r="J1091" s="9" t="s">
        <v>12118</v>
      </c>
      <c r="Q1091" s="10"/>
      <c r="T1091" s="9">
        <f>0-2</f>
        <v>-2</v>
      </c>
      <c r="U1091" s="9">
        <f t="shared" ca="1" si="44"/>
        <v>2</v>
      </c>
      <c r="V1091" s="9">
        <f t="shared" ca="1" si="45"/>
        <v>0</v>
      </c>
      <c r="AG1091" s="9" t="s">
        <v>19</v>
      </c>
    </row>
    <row r="1092" spans="1:33">
      <c r="A1092" s="3" t="s">
        <v>1407</v>
      </c>
      <c r="D1092" s="3" t="s">
        <v>1408</v>
      </c>
      <c r="E1092" s="11" t="s">
        <v>1324</v>
      </c>
      <c r="G1092" t="s">
        <v>19</v>
      </c>
      <c r="J1092" s="9" t="s">
        <v>12118</v>
      </c>
      <c r="Q1092" s="10"/>
      <c r="T1092" s="9" t="s">
        <v>12131</v>
      </c>
      <c r="U1092" s="9" t="str">
        <f t="shared" ca="1" si="44"/>
        <v/>
      </c>
      <c r="V1092" s="9" t="str">
        <f t="shared" ca="1" si="45"/>
        <v/>
      </c>
      <c r="AC1092" s="9" t="s">
        <v>12742</v>
      </c>
      <c r="AD1092" s="9" t="s">
        <v>19</v>
      </c>
      <c r="AE1092" s="9" t="s">
        <v>12086</v>
      </c>
    </row>
    <row r="1093" spans="1:33" ht="29">
      <c r="A1093" s="3" t="s">
        <v>1409</v>
      </c>
      <c r="D1093" s="3" t="s">
        <v>6058</v>
      </c>
      <c r="E1093" s="3" t="s">
        <v>6057</v>
      </c>
      <c r="J1093" s="9" t="s">
        <v>12118</v>
      </c>
      <c r="Q1093" s="10"/>
      <c r="T1093" s="9">
        <f>2-27</f>
        <v>-25</v>
      </c>
      <c r="U1093" s="9">
        <f t="shared" ca="1" si="44"/>
        <v>27</v>
      </c>
      <c r="V1093" s="9">
        <f t="shared" ca="1" si="45"/>
        <v>2</v>
      </c>
      <c r="AG1093" s="9" t="s">
        <v>20</v>
      </c>
    </row>
    <row r="1094" spans="1:33" ht="29">
      <c r="A1094" s="3" t="s">
        <v>1409</v>
      </c>
      <c r="D1094" s="3" t="s">
        <v>6056</v>
      </c>
      <c r="E1094" s="3" t="s">
        <v>6059</v>
      </c>
      <c r="J1094" s="9" t="s">
        <v>24</v>
      </c>
      <c r="L1094" s="9">
        <v>1</v>
      </c>
      <c r="M1094" s="9">
        <v>4</v>
      </c>
      <c r="N1094" s="9" t="s">
        <v>12094</v>
      </c>
      <c r="O1094" s="9" t="s">
        <v>12079</v>
      </c>
      <c r="Q1094" s="10"/>
      <c r="S1094" s="9">
        <v>4240</v>
      </c>
      <c r="U1094" s="9" t="str">
        <f t="shared" ca="1" si="44"/>
        <v/>
      </c>
      <c r="V1094" s="9" t="str">
        <f t="shared" ca="1" si="45"/>
        <v/>
      </c>
      <c r="AG1094" s="9" t="s">
        <v>19</v>
      </c>
    </row>
    <row r="1095" spans="1:33">
      <c r="A1095" s="3" t="s">
        <v>1409</v>
      </c>
      <c r="D1095" s="3" t="s">
        <v>1410</v>
      </c>
      <c r="E1095" s="3" t="s">
        <v>1411</v>
      </c>
      <c r="J1095" s="9" t="s">
        <v>12120</v>
      </c>
      <c r="Q1095" s="10"/>
      <c r="U1095" s="9" t="str">
        <f t="shared" ca="1" si="44"/>
        <v/>
      </c>
      <c r="V1095" s="9" t="str">
        <f t="shared" ca="1" si="45"/>
        <v/>
      </c>
      <c r="AC1095" s="9" t="s">
        <v>12740</v>
      </c>
      <c r="AD1095" s="9" t="s">
        <v>19</v>
      </c>
    </row>
    <row r="1096" spans="1:33" ht="43.5">
      <c r="A1096" s="3" t="s">
        <v>1412</v>
      </c>
      <c r="D1096" s="3" t="s">
        <v>6060</v>
      </c>
      <c r="E1096" s="3" t="s">
        <v>6061</v>
      </c>
      <c r="G1096" t="s">
        <v>19</v>
      </c>
      <c r="J1096" s="9" t="s">
        <v>12118</v>
      </c>
      <c r="Q1096" s="10"/>
      <c r="T1096" s="9">
        <f>412-2</f>
        <v>410</v>
      </c>
      <c r="U1096" s="9">
        <f t="shared" ca="1" si="44"/>
        <v>2</v>
      </c>
      <c r="V1096" s="9">
        <f t="shared" ca="1" si="45"/>
        <v>412</v>
      </c>
      <c r="AE1096" s="9" t="s">
        <v>12089</v>
      </c>
    </row>
    <row r="1097" spans="1:33" ht="43.5">
      <c r="A1097" s="3" t="s">
        <v>1412</v>
      </c>
      <c r="D1097" s="3" t="s">
        <v>6062</v>
      </c>
      <c r="E1097" s="3" t="s">
        <v>6063</v>
      </c>
      <c r="I1097" t="s">
        <v>5457</v>
      </c>
      <c r="J1097" s="9" t="s">
        <v>26</v>
      </c>
      <c r="Q1097" s="10"/>
      <c r="U1097" s="9" t="str">
        <f t="shared" ca="1" si="44"/>
        <v/>
      </c>
      <c r="V1097" s="9" t="str">
        <f t="shared" ca="1" si="45"/>
        <v/>
      </c>
      <c r="AG1097" s="9" t="s">
        <v>20</v>
      </c>
    </row>
    <row r="1098" spans="1:33" ht="58">
      <c r="A1098" s="3" t="s">
        <v>1412</v>
      </c>
      <c r="D1098" s="3" t="s">
        <v>6064</v>
      </c>
      <c r="E1098" s="3" t="s">
        <v>6065</v>
      </c>
      <c r="J1098" s="9" t="s">
        <v>12121</v>
      </c>
      <c r="Q1098" s="10"/>
      <c r="T1098" s="9">
        <f xml:space="preserve"> 9-15</f>
        <v>-6</v>
      </c>
      <c r="U1098" s="9">
        <f t="shared" ref="U1098:U1161" ca="1" si="46">IF(ISNUMBER(T1098),VALUE(MID(_xlfn.FORMULATEXT(T1098),SEARCH("-",_xlfn.FORMULATEXT(T1098))+1,LEN(_xlfn.FORMULATEXT(T1098))-SEARCH("-",_xlfn.FORMULATEXT(T1098)))), "")</f>
        <v>15</v>
      </c>
      <c r="V1098" s="9">
        <f t="shared" ref="V1098:V1161" ca="1" si="47">IF(ISNUMBER(T1098), VALUE(MID(_xlfn.FORMULATEXT(T1098), 2, SEARCH("-", _xlfn.FORMULATEXT(T1098)) - 2)), "")</f>
        <v>9</v>
      </c>
      <c r="AG1098" s="9" t="s">
        <v>19</v>
      </c>
    </row>
    <row r="1099" spans="1:33">
      <c r="A1099" s="3" t="s">
        <v>1412</v>
      </c>
      <c r="D1099" s="3" t="s">
        <v>6066</v>
      </c>
      <c r="E1099" s="3" t="s">
        <v>6066</v>
      </c>
      <c r="G1099" t="s">
        <v>20</v>
      </c>
      <c r="I1099" t="s">
        <v>6069</v>
      </c>
      <c r="Q1099" s="10"/>
      <c r="U1099" s="9" t="str">
        <f t="shared" ca="1" si="46"/>
        <v/>
      </c>
      <c r="V1099" s="9" t="str">
        <f t="shared" ca="1" si="47"/>
        <v/>
      </c>
    </row>
    <row r="1100" spans="1:33">
      <c r="A1100" s="3" t="s">
        <v>1412</v>
      </c>
      <c r="D1100" s="3" t="s">
        <v>6067</v>
      </c>
      <c r="E1100" s="3" t="s">
        <v>6068</v>
      </c>
      <c r="J1100" s="9" t="s">
        <v>24</v>
      </c>
      <c r="L1100" s="9">
        <v>1</v>
      </c>
      <c r="M1100" s="9">
        <v>3</v>
      </c>
      <c r="N1100" s="9" t="s">
        <v>12072</v>
      </c>
      <c r="O1100" s="9" t="s">
        <v>12079</v>
      </c>
      <c r="Q1100" s="10"/>
      <c r="S1100" s="9">
        <v>214</v>
      </c>
      <c r="U1100" s="9" t="str">
        <f t="shared" ca="1" si="46"/>
        <v/>
      </c>
      <c r="V1100" s="9" t="str">
        <f t="shared" ca="1" si="47"/>
        <v/>
      </c>
      <c r="AG1100" s="9" t="s">
        <v>19</v>
      </c>
    </row>
    <row r="1101" spans="1:33" ht="87">
      <c r="A1101" s="3" t="s">
        <v>1413</v>
      </c>
      <c r="D1101" s="3" t="s">
        <v>6070</v>
      </c>
      <c r="E1101" s="3" t="s">
        <v>6071</v>
      </c>
      <c r="I1101" t="s">
        <v>13107</v>
      </c>
      <c r="J1101" s="9" t="s">
        <v>26</v>
      </c>
      <c r="Q1101" s="10"/>
      <c r="U1101" s="9" t="str">
        <f t="shared" ca="1" si="46"/>
        <v/>
      </c>
      <c r="V1101" s="9" t="str">
        <f t="shared" ca="1" si="47"/>
        <v/>
      </c>
      <c r="AG1101" s="9" t="s">
        <v>20</v>
      </c>
    </row>
    <row r="1102" spans="1:33">
      <c r="A1102" s="3" t="s">
        <v>1415</v>
      </c>
      <c r="D1102" s="3" t="s">
        <v>1410</v>
      </c>
      <c r="E1102" s="3" t="s">
        <v>1416</v>
      </c>
      <c r="J1102" s="9" t="s">
        <v>12120</v>
      </c>
      <c r="Q1102" s="10"/>
      <c r="U1102" s="9" t="str">
        <f t="shared" ca="1" si="46"/>
        <v/>
      </c>
      <c r="V1102" s="9" t="str">
        <f t="shared" ca="1" si="47"/>
        <v/>
      </c>
      <c r="AC1102" s="9" t="s">
        <v>12740</v>
      </c>
      <c r="AD1102" s="9" t="s">
        <v>19</v>
      </c>
    </row>
    <row r="1103" spans="1:33">
      <c r="A1103" s="3" t="s">
        <v>1417</v>
      </c>
      <c r="D1103" s="3" t="s">
        <v>6072</v>
      </c>
      <c r="E1103" s="3" t="s">
        <v>6073</v>
      </c>
      <c r="J1103" s="9" t="s">
        <v>12118</v>
      </c>
      <c r="Q1103" s="10"/>
      <c r="T1103" s="9">
        <f>10-16</f>
        <v>-6</v>
      </c>
      <c r="U1103" s="9">
        <f t="shared" ca="1" si="46"/>
        <v>16</v>
      </c>
      <c r="V1103" s="9">
        <f t="shared" ca="1" si="47"/>
        <v>10</v>
      </c>
      <c r="AG1103" s="9" t="s">
        <v>20</v>
      </c>
    </row>
    <row r="1104" spans="1:33" ht="29">
      <c r="A1104" s="3" t="s">
        <v>1417</v>
      </c>
      <c r="D1104" s="3" t="s">
        <v>6074</v>
      </c>
      <c r="E1104" s="3" t="s">
        <v>6075</v>
      </c>
      <c r="I1104" t="s">
        <v>5457</v>
      </c>
      <c r="J1104" s="9" t="s">
        <v>26</v>
      </c>
      <c r="Q1104" s="10"/>
      <c r="U1104" s="9" t="str">
        <f t="shared" ca="1" si="46"/>
        <v/>
      </c>
      <c r="V1104" s="9" t="str">
        <f t="shared" ca="1" si="47"/>
        <v/>
      </c>
      <c r="AG1104" s="9" t="s">
        <v>19</v>
      </c>
    </row>
    <row r="1105" spans="1:33">
      <c r="A1105" s="3" t="s">
        <v>1419</v>
      </c>
      <c r="D1105" s="3" t="s">
        <v>6076</v>
      </c>
      <c r="E1105" s="3" t="s">
        <v>6077</v>
      </c>
      <c r="G1105" t="s">
        <v>19</v>
      </c>
      <c r="J1105" s="9" t="s">
        <v>24</v>
      </c>
      <c r="L1105" s="9">
        <v>1</v>
      </c>
      <c r="M1105" s="9">
        <v>1</v>
      </c>
      <c r="N1105" s="9" t="s">
        <v>12078</v>
      </c>
      <c r="O1105" s="9" t="s">
        <v>12119</v>
      </c>
      <c r="Q1105" s="10"/>
      <c r="R1105" s="9" t="s">
        <v>12074</v>
      </c>
      <c r="S1105" s="9">
        <v>11843</v>
      </c>
      <c r="U1105" s="9" t="str">
        <f t="shared" ca="1" si="46"/>
        <v/>
      </c>
      <c r="V1105" s="9" t="str">
        <f t="shared" ca="1" si="47"/>
        <v/>
      </c>
    </row>
    <row r="1106" spans="1:33" ht="29">
      <c r="A1106" s="3" t="s">
        <v>1419</v>
      </c>
      <c r="D1106" s="3" t="s">
        <v>6078</v>
      </c>
      <c r="E1106" s="3" t="s">
        <v>6079</v>
      </c>
      <c r="J1106" s="9" t="s">
        <v>25</v>
      </c>
      <c r="L1106" s="9">
        <v>1</v>
      </c>
      <c r="M1106" s="9">
        <v>6</v>
      </c>
      <c r="N1106" s="9" t="s">
        <v>12094</v>
      </c>
      <c r="O1106" s="9" t="s">
        <v>12079</v>
      </c>
      <c r="Q1106" s="10"/>
      <c r="S1106" s="9">
        <v>4240</v>
      </c>
      <c r="U1106" s="9" t="str">
        <f t="shared" ca="1" si="46"/>
        <v/>
      </c>
      <c r="V1106" s="9" t="str">
        <f t="shared" ca="1" si="47"/>
        <v/>
      </c>
      <c r="AG1106" s="9" t="s">
        <v>20</v>
      </c>
    </row>
    <row r="1107" spans="1:33">
      <c r="A1107" s="3" t="s">
        <v>1420</v>
      </c>
      <c r="D1107" s="3" t="s">
        <v>6080</v>
      </c>
      <c r="E1107" s="3" t="s">
        <v>6081</v>
      </c>
      <c r="J1107" s="9" t="s">
        <v>25</v>
      </c>
      <c r="L1107" s="9">
        <v>1</v>
      </c>
      <c r="M1107" s="9">
        <v>2</v>
      </c>
      <c r="N1107" s="9" t="s">
        <v>12078</v>
      </c>
      <c r="O1107" s="9" t="s">
        <v>12119</v>
      </c>
      <c r="Q1107" s="10"/>
      <c r="R1107" s="9" t="s">
        <v>12074</v>
      </c>
      <c r="S1107" s="9">
        <v>11843</v>
      </c>
      <c r="U1107" s="9" t="str">
        <f t="shared" ca="1" si="46"/>
        <v/>
      </c>
      <c r="V1107" s="9" t="str">
        <f t="shared" ca="1" si="47"/>
        <v/>
      </c>
      <c r="AG1107" s="9" t="s">
        <v>19</v>
      </c>
    </row>
    <row r="1108" spans="1:33">
      <c r="A1108" s="3" t="s">
        <v>1421</v>
      </c>
      <c r="D1108" s="3" t="s">
        <v>6082</v>
      </c>
      <c r="E1108" s="3" t="s">
        <v>6083</v>
      </c>
      <c r="J1108" s="9" t="s">
        <v>25</v>
      </c>
      <c r="L1108" s="9">
        <v>1</v>
      </c>
      <c r="M1108" s="9">
        <v>3</v>
      </c>
      <c r="N1108" s="9" t="s">
        <v>12078</v>
      </c>
      <c r="O1108" s="9" t="s">
        <v>12073</v>
      </c>
      <c r="P1108" s="9" t="s">
        <v>12149</v>
      </c>
      <c r="Q1108" s="10" t="s">
        <v>12143</v>
      </c>
      <c r="S1108" s="9">
        <v>11843</v>
      </c>
      <c r="U1108" s="9" t="str">
        <f t="shared" ca="1" si="46"/>
        <v/>
      </c>
      <c r="V1108" s="9" t="str">
        <f t="shared" ca="1" si="47"/>
        <v/>
      </c>
      <c r="AG1108" s="9" t="s">
        <v>20</v>
      </c>
    </row>
    <row r="1109" spans="1:33">
      <c r="A1109" s="3" t="s">
        <v>1421</v>
      </c>
      <c r="D1109" s="3" t="s">
        <v>6084</v>
      </c>
      <c r="E1109" s="3" t="s">
        <v>6085</v>
      </c>
      <c r="J1109" s="9" t="s">
        <v>25</v>
      </c>
      <c r="L1109" s="9">
        <v>1</v>
      </c>
      <c r="M1109" s="9">
        <v>3</v>
      </c>
      <c r="N1109" s="9" t="s">
        <v>12078</v>
      </c>
      <c r="O1109" s="9" t="s">
        <v>12073</v>
      </c>
      <c r="P1109" s="9" t="s">
        <v>12149</v>
      </c>
      <c r="Q1109" s="10" t="s">
        <v>12143</v>
      </c>
      <c r="S1109" s="9">
        <v>11843</v>
      </c>
      <c r="U1109" s="9" t="str">
        <f t="shared" ca="1" si="46"/>
        <v/>
      </c>
      <c r="V1109" s="9" t="str">
        <f t="shared" ca="1" si="47"/>
        <v/>
      </c>
      <c r="AG1109" s="9" t="s">
        <v>20</v>
      </c>
    </row>
    <row r="1110" spans="1:33" ht="29">
      <c r="A1110" s="3" t="s">
        <v>1422</v>
      </c>
      <c r="D1110" s="3" t="s">
        <v>6086</v>
      </c>
      <c r="E1110" s="3" t="s">
        <v>6087</v>
      </c>
      <c r="G1110" t="s">
        <v>19</v>
      </c>
      <c r="J1110" s="9" t="s">
        <v>12120</v>
      </c>
      <c r="Q1110" s="10"/>
      <c r="U1110" s="9" t="str">
        <f t="shared" ca="1" si="46"/>
        <v/>
      </c>
      <c r="V1110" s="9" t="str">
        <f t="shared" ca="1" si="47"/>
        <v/>
      </c>
    </row>
    <row r="1111" spans="1:33">
      <c r="A1111" s="3" t="s">
        <v>1423</v>
      </c>
      <c r="D1111" s="3" t="s">
        <v>1424</v>
      </c>
      <c r="E1111" s="3" t="s">
        <v>1425</v>
      </c>
      <c r="J1111" s="9" t="s">
        <v>12118</v>
      </c>
      <c r="Q1111" s="10"/>
      <c r="T1111" s="9" t="s">
        <v>12131</v>
      </c>
      <c r="U1111" s="9" t="str">
        <f t="shared" ca="1" si="46"/>
        <v/>
      </c>
      <c r="V1111" s="9" t="str">
        <f t="shared" ca="1" si="47"/>
        <v/>
      </c>
      <c r="AC1111" s="9" t="s">
        <v>12740</v>
      </c>
      <c r="AD1111" s="9" t="s">
        <v>19</v>
      </c>
    </row>
    <row r="1112" spans="1:33">
      <c r="A1112" s="3" t="s">
        <v>1423</v>
      </c>
      <c r="D1112" s="3" t="s">
        <v>1426</v>
      </c>
      <c r="E1112" s="3" t="s">
        <v>1427</v>
      </c>
      <c r="J1112" s="9" t="s">
        <v>12118</v>
      </c>
      <c r="Q1112" s="10"/>
      <c r="T1112" s="9">
        <f>0-0</f>
        <v>0</v>
      </c>
      <c r="U1112" s="9">
        <f t="shared" ca="1" si="46"/>
        <v>0</v>
      </c>
      <c r="V1112" s="9">
        <f t="shared" ca="1" si="47"/>
        <v>0</v>
      </c>
      <c r="AG1112" s="9" t="s">
        <v>20</v>
      </c>
    </row>
    <row r="1113" spans="1:33">
      <c r="A1113" s="3" t="s">
        <v>1423</v>
      </c>
      <c r="D1113" s="3" t="s">
        <v>1327</v>
      </c>
      <c r="E1113" s="3" t="s">
        <v>525</v>
      </c>
      <c r="J1113" s="9" t="s">
        <v>12120</v>
      </c>
      <c r="Q1113" s="10"/>
      <c r="U1113" s="9" t="str">
        <f t="shared" ca="1" si="46"/>
        <v/>
      </c>
      <c r="V1113" s="9" t="str">
        <f t="shared" ca="1" si="47"/>
        <v/>
      </c>
      <c r="AC1113" s="9" t="s">
        <v>12173</v>
      </c>
      <c r="AD1113" s="9" t="s">
        <v>19</v>
      </c>
      <c r="AE1113" s="9" t="s">
        <v>12077</v>
      </c>
    </row>
    <row r="1114" spans="1:33">
      <c r="A1114" s="3" t="s">
        <v>1423</v>
      </c>
      <c r="D1114" s="3" t="s">
        <v>523</v>
      </c>
      <c r="E1114" s="3" t="s">
        <v>524</v>
      </c>
      <c r="J1114" s="9" t="s">
        <v>12120</v>
      </c>
      <c r="Q1114" s="10"/>
      <c r="U1114" s="9" t="str">
        <f t="shared" ca="1" si="46"/>
        <v/>
      </c>
      <c r="V1114" s="9" t="str">
        <f t="shared" ca="1" si="47"/>
        <v/>
      </c>
      <c r="AC1114" s="9" t="s">
        <v>12130</v>
      </c>
      <c r="AD1114" s="9" t="s">
        <v>19</v>
      </c>
    </row>
    <row r="1115" spans="1:33">
      <c r="A1115" s="3" t="s">
        <v>1428</v>
      </c>
      <c r="D1115" s="3" t="s">
        <v>1429</v>
      </c>
      <c r="E1115" s="3" t="s">
        <v>307</v>
      </c>
      <c r="J1115" s="9" t="s">
        <v>12120</v>
      </c>
      <c r="Q1115" s="10"/>
      <c r="U1115" s="9" t="str">
        <f t="shared" ca="1" si="46"/>
        <v/>
      </c>
      <c r="V1115" s="9" t="str">
        <f t="shared" ca="1" si="47"/>
        <v/>
      </c>
      <c r="AG1115" s="9" t="s">
        <v>19</v>
      </c>
    </row>
    <row r="1116" spans="1:33">
      <c r="A1116" s="3" t="s">
        <v>1431</v>
      </c>
      <c r="D1116" s="3" t="s">
        <v>446</v>
      </c>
      <c r="E1116" s="3" t="s">
        <v>447</v>
      </c>
      <c r="J1116" s="9" t="s">
        <v>12118</v>
      </c>
      <c r="Q1116" s="10"/>
      <c r="T1116" s="9">
        <f>17-54</f>
        <v>-37</v>
      </c>
      <c r="U1116" s="9">
        <f t="shared" ca="1" si="46"/>
        <v>54</v>
      </c>
      <c r="V1116" s="9">
        <f t="shared" ca="1" si="47"/>
        <v>17</v>
      </c>
      <c r="AC1116" s="9" t="s">
        <v>12134</v>
      </c>
      <c r="AD1116" s="9" t="s">
        <v>19</v>
      </c>
      <c r="AE1116" s="9" t="s">
        <v>12086</v>
      </c>
    </row>
    <row r="1117" spans="1:33" ht="29">
      <c r="A1117" s="3" t="s">
        <v>1432</v>
      </c>
      <c r="D1117" s="3" t="s">
        <v>6088</v>
      </c>
      <c r="E1117" s="3" t="s">
        <v>6089</v>
      </c>
      <c r="J1117" s="9" t="s">
        <v>24</v>
      </c>
      <c r="L1117" s="9">
        <v>1</v>
      </c>
      <c r="M1117" s="9">
        <v>3</v>
      </c>
      <c r="N1117" s="9" t="s">
        <v>12078</v>
      </c>
      <c r="O1117" s="9" t="s">
        <v>12073</v>
      </c>
      <c r="P1117" s="9" t="s">
        <v>12142</v>
      </c>
      <c r="Q1117" s="10" t="s">
        <v>12143</v>
      </c>
      <c r="R1117" s="9" t="s">
        <v>12074</v>
      </c>
      <c r="S1117" s="9">
        <v>11843</v>
      </c>
      <c r="U1117" s="9" t="str">
        <f t="shared" ca="1" si="46"/>
        <v/>
      </c>
      <c r="V1117" s="9" t="str">
        <f t="shared" ca="1" si="47"/>
        <v/>
      </c>
      <c r="AG1117" s="9" t="s">
        <v>20</v>
      </c>
    </row>
    <row r="1118" spans="1:33" ht="43.5">
      <c r="A1118" s="3" t="s">
        <v>1432</v>
      </c>
      <c r="D1118" s="3" t="s">
        <v>6090</v>
      </c>
      <c r="E1118" s="3" t="s">
        <v>6091</v>
      </c>
      <c r="I1118" t="s">
        <v>12228</v>
      </c>
      <c r="J1118" s="9" t="s">
        <v>25</v>
      </c>
      <c r="L1118" s="9">
        <v>6</v>
      </c>
      <c r="M1118" s="9">
        <v>26</v>
      </c>
      <c r="O1118" s="9" t="s">
        <v>12079</v>
      </c>
      <c r="Q1118" s="10"/>
      <c r="S1118" s="9">
        <v>265</v>
      </c>
      <c r="U1118" s="9" t="str">
        <f t="shared" ca="1" si="46"/>
        <v/>
      </c>
      <c r="V1118" s="9" t="str">
        <f t="shared" ca="1" si="47"/>
        <v/>
      </c>
      <c r="AG1118" s="9" t="s">
        <v>19</v>
      </c>
    </row>
    <row r="1119" spans="1:33" ht="29">
      <c r="A1119" s="3" t="s">
        <v>1433</v>
      </c>
      <c r="D1119" s="3" t="s">
        <v>6092</v>
      </c>
      <c r="E1119" s="3" t="s">
        <v>6093</v>
      </c>
      <c r="J1119" s="9" t="s">
        <v>12120</v>
      </c>
      <c r="Q1119" s="10"/>
      <c r="U1119" s="9" t="str">
        <f t="shared" ca="1" si="46"/>
        <v/>
      </c>
      <c r="V1119" s="9" t="str">
        <f t="shared" ca="1" si="47"/>
        <v/>
      </c>
      <c r="AG1119" s="9" t="s">
        <v>19</v>
      </c>
    </row>
    <row r="1120" spans="1:33" ht="29">
      <c r="A1120" s="3" t="s">
        <v>1434</v>
      </c>
      <c r="D1120" s="3" t="s">
        <v>6094</v>
      </c>
      <c r="E1120" s="3" t="s">
        <v>6095</v>
      </c>
      <c r="G1120" t="s">
        <v>20</v>
      </c>
      <c r="I1120" t="s">
        <v>13108</v>
      </c>
      <c r="J1120" s="9" t="s">
        <v>26</v>
      </c>
      <c r="Q1120" s="10"/>
      <c r="U1120" s="9" t="str">
        <f t="shared" ca="1" si="46"/>
        <v/>
      </c>
      <c r="V1120" s="9" t="str">
        <f t="shared" ca="1" si="47"/>
        <v/>
      </c>
      <c r="W1120" s="9" t="s">
        <v>4</v>
      </c>
      <c r="AG1120" s="9" t="s">
        <v>20</v>
      </c>
    </row>
    <row r="1121" spans="1:33" ht="29">
      <c r="A1121" s="3" t="s">
        <v>1434</v>
      </c>
      <c r="D1121" s="3" t="s">
        <v>6096</v>
      </c>
      <c r="E1121" s="3" t="s">
        <v>6097</v>
      </c>
      <c r="I1121" t="s">
        <v>13109</v>
      </c>
      <c r="J1121" s="9" t="s">
        <v>12118</v>
      </c>
      <c r="Q1121" s="10"/>
      <c r="T1121" s="9">
        <f>7-11</f>
        <v>-4</v>
      </c>
      <c r="U1121" s="9">
        <f t="shared" ca="1" si="46"/>
        <v>11</v>
      </c>
      <c r="V1121" s="9">
        <f t="shared" ca="1" si="47"/>
        <v>7</v>
      </c>
      <c r="W1121" s="9" t="s">
        <v>4</v>
      </c>
      <c r="AG1121" s="9" t="s">
        <v>20</v>
      </c>
    </row>
    <row r="1122" spans="1:33" ht="43.5">
      <c r="A1122" s="3" t="s">
        <v>1435</v>
      </c>
      <c r="D1122" s="3" t="s">
        <v>6099</v>
      </c>
      <c r="E1122" s="3" t="s">
        <v>6098</v>
      </c>
      <c r="J1122" s="9" t="s">
        <v>25</v>
      </c>
      <c r="L1122" s="9">
        <v>1</v>
      </c>
      <c r="M1122" s="9">
        <v>2</v>
      </c>
      <c r="N1122" s="9" t="s">
        <v>12096</v>
      </c>
      <c r="O1122" s="9" t="s">
        <v>12119</v>
      </c>
      <c r="Q1122" s="10"/>
      <c r="S1122" s="9">
        <v>1294</v>
      </c>
      <c r="U1122" s="9" t="str">
        <f t="shared" ca="1" si="46"/>
        <v/>
      </c>
      <c r="V1122" s="9" t="str">
        <f t="shared" ca="1" si="47"/>
        <v/>
      </c>
      <c r="AG1122" s="9" t="s">
        <v>19</v>
      </c>
    </row>
    <row r="1123" spans="1:33" ht="43.5">
      <c r="A1123" s="3" t="s">
        <v>1435</v>
      </c>
      <c r="D1123" s="3" t="s">
        <v>6100</v>
      </c>
      <c r="E1123" s="3" t="s">
        <v>6098</v>
      </c>
      <c r="J1123" s="9" t="s">
        <v>25</v>
      </c>
      <c r="L1123" s="9">
        <v>1</v>
      </c>
      <c r="M1123" s="9">
        <v>2</v>
      </c>
      <c r="N1123" s="9" t="s">
        <v>12094</v>
      </c>
      <c r="O1123" s="9" t="s">
        <v>12119</v>
      </c>
      <c r="Q1123" s="10"/>
      <c r="S1123" s="9">
        <v>301</v>
      </c>
      <c r="U1123" s="9" t="str">
        <f t="shared" ca="1" si="46"/>
        <v/>
      </c>
      <c r="V1123" s="9" t="str">
        <f t="shared" ca="1" si="47"/>
        <v/>
      </c>
      <c r="AG1123" s="9" t="s">
        <v>19</v>
      </c>
    </row>
    <row r="1124" spans="1:33" ht="43.5">
      <c r="A1124" s="3" t="s">
        <v>1435</v>
      </c>
      <c r="D1124" s="3" t="s">
        <v>6101</v>
      </c>
      <c r="E1124" s="3" t="s">
        <v>6102</v>
      </c>
      <c r="I1124" t="s">
        <v>12229</v>
      </c>
      <c r="J1124" s="9" t="s">
        <v>12118</v>
      </c>
      <c r="Q1124" s="10"/>
      <c r="T1124" s="9">
        <f>4-42</f>
        <v>-38</v>
      </c>
      <c r="U1124" s="9">
        <f t="shared" ca="1" si="46"/>
        <v>42</v>
      </c>
      <c r="V1124" s="9">
        <f t="shared" ca="1" si="47"/>
        <v>4</v>
      </c>
      <c r="AG1124" s="9" t="s">
        <v>19</v>
      </c>
    </row>
    <row r="1125" spans="1:33">
      <c r="A1125" s="3" t="s">
        <v>1435</v>
      </c>
      <c r="D1125" s="6" t="s">
        <v>1436</v>
      </c>
      <c r="E1125" s="3" t="s">
        <v>3337</v>
      </c>
      <c r="F1125" t="s">
        <v>4774</v>
      </c>
      <c r="G1125" t="s">
        <v>19</v>
      </c>
      <c r="I1125" t="s">
        <v>6103</v>
      </c>
      <c r="J1125" s="9" t="s">
        <v>12121</v>
      </c>
      <c r="Q1125" s="10"/>
      <c r="T1125" s="9">
        <f>54-68</f>
        <v>-14</v>
      </c>
      <c r="U1125" s="9">
        <f t="shared" ca="1" si="46"/>
        <v>68</v>
      </c>
      <c r="V1125" s="9">
        <f t="shared" ca="1" si="47"/>
        <v>54</v>
      </c>
      <c r="AF1125" s="9" t="s">
        <v>19</v>
      </c>
    </row>
    <row r="1126" spans="1:33" ht="43.5">
      <c r="A1126" s="3" t="s">
        <v>1437</v>
      </c>
      <c r="D1126" s="3" t="s">
        <v>6104</v>
      </c>
      <c r="E1126" s="3" t="s">
        <v>6105</v>
      </c>
      <c r="J1126" s="9" t="s">
        <v>24</v>
      </c>
      <c r="L1126" s="9">
        <v>1</v>
      </c>
      <c r="M1126" s="9">
        <v>6</v>
      </c>
      <c r="N1126" s="9" t="s">
        <v>12094</v>
      </c>
      <c r="O1126" s="9" t="s">
        <v>12073</v>
      </c>
      <c r="P1126" s="9" t="s">
        <v>12142</v>
      </c>
      <c r="Q1126" s="10" t="s">
        <v>12158</v>
      </c>
      <c r="R1126" s="9" t="s">
        <v>12074</v>
      </c>
      <c r="S1126" s="9">
        <v>4240</v>
      </c>
      <c r="U1126" s="9" t="str">
        <f t="shared" ca="1" si="46"/>
        <v/>
      </c>
      <c r="V1126" s="9" t="str">
        <f t="shared" ca="1" si="47"/>
        <v/>
      </c>
      <c r="AE1126" s="9" t="s">
        <v>12083</v>
      </c>
    </row>
    <row r="1127" spans="1:33">
      <c r="A1127" s="3" t="s">
        <v>1437</v>
      </c>
      <c r="D1127" s="3" t="s">
        <v>6106</v>
      </c>
      <c r="E1127" s="3" t="s">
        <v>6107</v>
      </c>
      <c r="J1127" s="9" t="s">
        <v>12120</v>
      </c>
      <c r="Q1127" s="10"/>
      <c r="U1127" s="9" t="str">
        <f t="shared" ca="1" si="46"/>
        <v/>
      </c>
      <c r="V1127" s="9" t="str">
        <f t="shared" ca="1" si="47"/>
        <v/>
      </c>
      <c r="AB1127" s="9" t="s">
        <v>12082</v>
      </c>
      <c r="AD1127" s="9" t="s">
        <v>19</v>
      </c>
    </row>
    <row r="1128" spans="1:33" ht="29">
      <c r="A1128" s="3" t="s">
        <v>1437</v>
      </c>
      <c r="D1128" s="3" t="s">
        <v>6108</v>
      </c>
      <c r="E1128" s="3" t="s">
        <v>6109</v>
      </c>
      <c r="J1128" s="9" t="s">
        <v>12118</v>
      </c>
      <c r="Q1128" s="10"/>
      <c r="T1128" s="9">
        <f>10-32</f>
        <v>-22</v>
      </c>
      <c r="U1128" s="9">
        <f t="shared" ca="1" si="46"/>
        <v>32</v>
      </c>
      <c r="V1128" s="9">
        <f t="shared" ca="1" si="47"/>
        <v>10</v>
      </c>
      <c r="AG1128" s="9" t="s">
        <v>19</v>
      </c>
    </row>
    <row r="1129" spans="1:33" ht="29">
      <c r="A1129" s="3" t="s">
        <v>1438</v>
      </c>
      <c r="D1129" s="3" t="s">
        <v>6110</v>
      </c>
      <c r="E1129" s="3" t="s">
        <v>6111</v>
      </c>
      <c r="J1129" s="9" t="s">
        <v>24</v>
      </c>
      <c r="L1129" s="9">
        <v>1</v>
      </c>
      <c r="M1129" s="9">
        <v>6</v>
      </c>
      <c r="N1129" s="9" t="s">
        <v>12084</v>
      </c>
      <c r="O1129" s="9" t="s">
        <v>12079</v>
      </c>
      <c r="Q1129" s="10"/>
      <c r="S1129" s="9">
        <v>32</v>
      </c>
      <c r="U1129" s="9" t="str">
        <f t="shared" ca="1" si="46"/>
        <v/>
      </c>
      <c r="V1129" s="9" t="str">
        <f t="shared" ca="1" si="47"/>
        <v/>
      </c>
      <c r="AG1129" s="9" t="s">
        <v>19</v>
      </c>
    </row>
    <row r="1130" spans="1:33">
      <c r="A1130" s="3" t="s">
        <v>1438</v>
      </c>
      <c r="D1130" s="6" t="s">
        <v>1439</v>
      </c>
      <c r="E1130" s="3" t="s">
        <v>1818</v>
      </c>
      <c r="F1130" t="s">
        <v>4774</v>
      </c>
      <c r="G1130" t="s">
        <v>19</v>
      </c>
      <c r="I1130" t="s">
        <v>6112</v>
      </c>
      <c r="J1130" s="9" t="s">
        <v>12118</v>
      </c>
      <c r="Q1130" s="10"/>
      <c r="T1130" s="9" t="s">
        <v>12131</v>
      </c>
      <c r="U1130" s="9" t="str">
        <f t="shared" ca="1" si="46"/>
        <v/>
      </c>
      <c r="V1130" s="9" t="str">
        <f t="shared" ca="1" si="47"/>
        <v/>
      </c>
      <c r="AE1130" s="9" t="s">
        <v>12086</v>
      </c>
    </row>
    <row r="1131" spans="1:33" ht="29">
      <c r="A1131" s="3" t="s">
        <v>1440</v>
      </c>
      <c r="D1131" s="3" t="s">
        <v>12230</v>
      </c>
      <c r="E1131" s="3" t="s">
        <v>12231</v>
      </c>
      <c r="I1131" t="s">
        <v>12232</v>
      </c>
      <c r="J1131" s="9" t="s">
        <v>12118</v>
      </c>
      <c r="Q1131" s="10"/>
      <c r="T1131" s="9">
        <f>28-171</f>
        <v>-143</v>
      </c>
      <c r="U1131" s="9">
        <f t="shared" ca="1" si="46"/>
        <v>171</v>
      </c>
      <c r="V1131" s="9">
        <f t="shared" ca="1" si="47"/>
        <v>28</v>
      </c>
      <c r="AG1131" s="9" t="s">
        <v>19</v>
      </c>
    </row>
    <row r="1132" spans="1:33" ht="29">
      <c r="A1132" s="3" t="s">
        <v>1440</v>
      </c>
      <c r="D1132" s="3" t="s">
        <v>6113</v>
      </c>
      <c r="E1132" s="3" t="s">
        <v>6114</v>
      </c>
      <c r="J1132" s="9" t="s">
        <v>12118</v>
      </c>
      <c r="Q1132" s="10"/>
      <c r="T1132" s="9" t="s">
        <v>12119</v>
      </c>
      <c r="U1132" s="9" t="str">
        <f t="shared" ca="1" si="46"/>
        <v/>
      </c>
      <c r="V1132" s="9" t="str">
        <f t="shared" ca="1" si="47"/>
        <v/>
      </c>
      <c r="AB1132" s="9" t="s">
        <v>12124</v>
      </c>
      <c r="AC1132" s="9" t="s">
        <v>12130</v>
      </c>
      <c r="AD1132" s="9" t="s">
        <v>19</v>
      </c>
    </row>
    <row r="1133" spans="1:33" ht="58">
      <c r="A1133" s="3" t="s">
        <v>1441</v>
      </c>
      <c r="D1133" s="3" t="s">
        <v>6116</v>
      </c>
      <c r="E1133" s="3" t="s">
        <v>6115</v>
      </c>
      <c r="J1133" s="9" t="s">
        <v>25</v>
      </c>
      <c r="L1133" s="9">
        <v>1</v>
      </c>
      <c r="M1133" s="9">
        <v>2</v>
      </c>
      <c r="N1133" s="9" t="s">
        <v>12078</v>
      </c>
      <c r="O1133" s="9" t="s">
        <v>12119</v>
      </c>
      <c r="Q1133" s="10"/>
      <c r="S1133" s="9">
        <v>11843</v>
      </c>
      <c r="U1133" s="9" t="str">
        <f t="shared" ca="1" si="46"/>
        <v/>
      </c>
      <c r="V1133" s="9" t="str">
        <f t="shared" ca="1" si="47"/>
        <v/>
      </c>
      <c r="AG1133" s="9" t="s">
        <v>19</v>
      </c>
    </row>
    <row r="1134" spans="1:33" ht="58">
      <c r="A1134" s="3" t="s">
        <v>1441</v>
      </c>
      <c r="D1134" s="3" t="s">
        <v>6117</v>
      </c>
      <c r="E1134" s="3" t="s">
        <v>6115</v>
      </c>
      <c r="I1134" t="s">
        <v>12234</v>
      </c>
      <c r="J1134" s="9" t="s">
        <v>25</v>
      </c>
      <c r="L1134" s="9">
        <v>4</v>
      </c>
      <c r="M1134" s="9">
        <v>14</v>
      </c>
      <c r="O1134" s="9" t="s">
        <v>12073</v>
      </c>
      <c r="P1134" s="9" t="s">
        <v>12135</v>
      </c>
      <c r="Q1134" s="10" t="s">
        <v>12233</v>
      </c>
      <c r="S1134" s="9">
        <v>11</v>
      </c>
      <c r="U1134" s="9" t="str">
        <f t="shared" ca="1" si="46"/>
        <v/>
      </c>
      <c r="V1134" s="9" t="str">
        <f t="shared" ca="1" si="47"/>
        <v/>
      </c>
      <c r="AG1134" s="9" t="s">
        <v>20</v>
      </c>
    </row>
    <row r="1135" spans="1:33">
      <c r="A1135" s="3" t="s">
        <v>1442</v>
      </c>
      <c r="D1135" s="3" t="s">
        <v>156</v>
      </c>
      <c r="E1135" s="3" t="s">
        <v>1269</v>
      </c>
      <c r="J1135" s="9" t="s">
        <v>12120</v>
      </c>
      <c r="Q1135" s="10"/>
      <c r="U1135" s="9" t="str">
        <f t="shared" ca="1" si="46"/>
        <v/>
      </c>
      <c r="V1135" s="9" t="str">
        <f t="shared" ca="1" si="47"/>
        <v/>
      </c>
      <c r="AG1135" s="9" t="s">
        <v>20</v>
      </c>
    </row>
    <row r="1136" spans="1:33" ht="29">
      <c r="A1136" s="3" t="s">
        <v>1442</v>
      </c>
      <c r="D1136" s="3" t="s">
        <v>6118</v>
      </c>
      <c r="E1136" s="3" t="s">
        <v>6119</v>
      </c>
      <c r="J1136" s="9" t="s">
        <v>25</v>
      </c>
      <c r="L1136" s="9">
        <v>1</v>
      </c>
      <c r="M1136" s="9">
        <v>6</v>
      </c>
      <c r="N1136" s="9" t="s">
        <v>12072</v>
      </c>
      <c r="O1136" s="9" t="s">
        <v>12073</v>
      </c>
      <c r="P1136" s="9" t="s">
        <v>12149</v>
      </c>
      <c r="Q1136" s="10" t="s">
        <v>12170</v>
      </c>
      <c r="S1136" s="9">
        <v>287</v>
      </c>
      <c r="U1136" s="9" t="str">
        <f t="shared" ca="1" si="46"/>
        <v/>
      </c>
      <c r="V1136" s="9" t="str">
        <f t="shared" ca="1" si="47"/>
        <v/>
      </c>
      <c r="AG1136" s="9" t="s">
        <v>19</v>
      </c>
    </row>
    <row r="1137" spans="1:33">
      <c r="A1137" s="3" t="s">
        <v>1443</v>
      </c>
      <c r="D1137" s="3" t="s">
        <v>6120</v>
      </c>
      <c r="E1137" s="3" t="s">
        <v>6121</v>
      </c>
      <c r="J1137" s="9" t="s">
        <v>25</v>
      </c>
      <c r="L1137" s="9">
        <v>1</v>
      </c>
      <c r="M1137" s="9">
        <v>2</v>
      </c>
      <c r="N1137" s="9" t="s">
        <v>12096</v>
      </c>
      <c r="O1137" s="9" t="s">
        <v>12119</v>
      </c>
      <c r="Q1137" s="10"/>
      <c r="R1137" s="9" t="s">
        <v>12074</v>
      </c>
      <c r="S1137" s="9">
        <v>1294</v>
      </c>
      <c r="U1137" s="9" t="str">
        <f t="shared" ca="1" si="46"/>
        <v/>
      </c>
      <c r="V1137" s="9" t="str">
        <f t="shared" ca="1" si="47"/>
        <v/>
      </c>
      <c r="AG1137" s="9" t="s">
        <v>19</v>
      </c>
    </row>
    <row r="1138" spans="1:33" ht="29">
      <c r="A1138" s="3" t="s">
        <v>1444</v>
      </c>
      <c r="D1138" s="3" t="s">
        <v>6122</v>
      </c>
      <c r="E1138" s="3" t="s">
        <v>6123</v>
      </c>
      <c r="J1138" s="9" t="s">
        <v>24</v>
      </c>
      <c r="L1138" s="9">
        <v>1</v>
      </c>
      <c r="M1138" s="9">
        <v>2</v>
      </c>
      <c r="N1138" s="9" t="s">
        <v>12078</v>
      </c>
      <c r="O1138" s="9" t="s">
        <v>12119</v>
      </c>
      <c r="Q1138" s="10"/>
      <c r="S1138" s="9">
        <v>11843</v>
      </c>
      <c r="U1138" s="9" t="str">
        <f t="shared" ca="1" si="46"/>
        <v/>
      </c>
      <c r="V1138" s="9" t="str">
        <f t="shared" ca="1" si="47"/>
        <v/>
      </c>
      <c r="AG1138" s="9" t="s">
        <v>19</v>
      </c>
    </row>
    <row r="1139" spans="1:33" ht="29">
      <c r="A1139" s="3" t="s">
        <v>1444</v>
      </c>
      <c r="D1139" s="3" t="s">
        <v>6124</v>
      </c>
      <c r="E1139" s="3" t="s">
        <v>6125</v>
      </c>
      <c r="F1139" t="s">
        <v>4774</v>
      </c>
      <c r="J1139" s="9" t="s">
        <v>12120</v>
      </c>
      <c r="Q1139" s="10"/>
      <c r="U1139" s="9" t="str">
        <f t="shared" ca="1" si="46"/>
        <v/>
      </c>
      <c r="V1139" s="9" t="str">
        <f t="shared" ca="1" si="47"/>
        <v/>
      </c>
      <c r="AB1139" s="9" t="s">
        <v>12091</v>
      </c>
      <c r="AD1139" s="9" t="s">
        <v>19</v>
      </c>
      <c r="AE1139" s="9" t="s">
        <v>12083</v>
      </c>
    </row>
    <row r="1140" spans="1:33" ht="29">
      <c r="A1140" s="3" t="s">
        <v>1444</v>
      </c>
      <c r="D1140" s="3" t="s">
        <v>6122</v>
      </c>
      <c r="E1140" s="3" t="s">
        <v>6126</v>
      </c>
      <c r="J1140" s="9" t="s">
        <v>24</v>
      </c>
      <c r="L1140" s="9">
        <v>1</v>
      </c>
      <c r="M1140" s="9">
        <v>2</v>
      </c>
      <c r="N1140" s="9" t="s">
        <v>12078</v>
      </c>
      <c r="O1140" s="9" t="s">
        <v>12119</v>
      </c>
      <c r="Q1140" s="10"/>
      <c r="R1140" s="9" t="s">
        <v>12074</v>
      </c>
      <c r="S1140" s="9">
        <v>11843</v>
      </c>
      <c r="U1140" s="9" t="str">
        <f t="shared" ca="1" si="46"/>
        <v/>
      </c>
      <c r="V1140" s="9" t="str">
        <f t="shared" ca="1" si="47"/>
        <v/>
      </c>
      <c r="AG1140" s="9" t="s">
        <v>19</v>
      </c>
    </row>
    <row r="1141" spans="1:33">
      <c r="A1141" s="3" t="s">
        <v>1444</v>
      </c>
      <c r="D1141" s="3" t="s">
        <v>6127</v>
      </c>
      <c r="E1141" s="3" t="s">
        <v>6128</v>
      </c>
      <c r="J1141" s="9" t="s">
        <v>24</v>
      </c>
      <c r="L1141" s="9">
        <v>1</v>
      </c>
      <c r="M1141" s="9">
        <v>3</v>
      </c>
      <c r="N1141" s="9" t="s">
        <v>12087</v>
      </c>
      <c r="O1141" s="9" t="s">
        <v>12079</v>
      </c>
      <c r="Q1141" s="10"/>
      <c r="S1141" s="9">
        <v>810</v>
      </c>
      <c r="U1141" s="9" t="str">
        <f t="shared" ca="1" si="46"/>
        <v/>
      </c>
      <c r="V1141" s="9" t="str">
        <f t="shared" ca="1" si="47"/>
        <v/>
      </c>
      <c r="AG1141" s="9" t="s">
        <v>19</v>
      </c>
    </row>
    <row r="1142" spans="1:33">
      <c r="A1142" s="3" t="s">
        <v>1445</v>
      </c>
      <c r="D1142" s="3" t="s">
        <v>1446</v>
      </c>
      <c r="E1142" s="3" t="s">
        <v>1447</v>
      </c>
      <c r="J1142" s="9" t="s">
        <v>12120</v>
      </c>
      <c r="Q1142" s="10"/>
      <c r="U1142" s="9" t="str">
        <f t="shared" ca="1" si="46"/>
        <v/>
      </c>
      <c r="V1142" s="9" t="str">
        <f t="shared" ca="1" si="47"/>
        <v/>
      </c>
      <c r="AG1142" s="9" t="s">
        <v>20</v>
      </c>
    </row>
    <row r="1143" spans="1:33">
      <c r="A1143" s="3" t="s">
        <v>1445</v>
      </c>
      <c r="D1143" s="3" t="s">
        <v>2035</v>
      </c>
      <c r="E1143" s="3" t="s">
        <v>475</v>
      </c>
      <c r="J1143" s="9" t="s">
        <v>12120</v>
      </c>
      <c r="Q1143" s="10"/>
      <c r="U1143" s="9" t="str">
        <f t="shared" ca="1" si="46"/>
        <v/>
      </c>
      <c r="V1143" s="9" t="str">
        <f t="shared" ca="1" si="47"/>
        <v/>
      </c>
      <c r="AG1143" s="9" t="s">
        <v>19</v>
      </c>
    </row>
    <row r="1144" spans="1:33">
      <c r="A1144" s="3" t="s">
        <v>1448</v>
      </c>
      <c r="D1144" s="3" t="s">
        <v>1449</v>
      </c>
      <c r="E1144" s="3" t="s">
        <v>6129</v>
      </c>
      <c r="G1144" t="s">
        <v>19</v>
      </c>
      <c r="J1144" s="9" t="s">
        <v>12120</v>
      </c>
      <c r="Q1144" s="10"/>
      <c r="U1144" s="9" t="str">
        <f t="shared" ca="1" si="46"/>
        <v/>
      </c>
      <c r="V1144" s="9" t="str">
        <f t="shared" ca="1" si="47"/>
        <v/>
      </c>
      <c r="AC1144" s="9" t="s">
        <v>12740</v>
      </c>
      <c r="AD1144" s="9" t="s">
        <v>19</v>
      </c>
    </row>
    <row r="1145" spans="1:33">
      <c r="A1145" s="3" t="s">
        <v>1450</v>
      </c>
      <c r="D1145" s="3" t="s">
        <v>6131</v>
      </c>
      <c r="E1145" s="3" t="s">
        <v>6130</v>
      </c>
      <c r="J1145" s="9" t="s">
        <v>25</v>
      </c>
      <c r="L1145" s="9">
        <v>1</v>
      </c>
      <c r="M1145" s="9">
        <v>3</v>
      </c>
      <c r="N1145" s="9" t="s">
        <v>12078</v>
      </c>
      <c r="O1145" s="9" t="s">
        <v>12079</v>
      </c>
      <c r="Q1145" s="10"/>
      <c r="S1145" s="9">
        <v>11843</v>
      </c>
      <c r="U1145" s="9" t="str">
        <f t="shared" ca="1" si="46"/>
        <v/>
      </c>
      <c r="V1145" s="9" t="str">
        <f t="shared" ca="1" si="47"/>
        <v/>
      </c>
      <c r="AG1145" s="9" t="s">
        <v>19</v>
      </c>
    </row>
    <row r="1146" spans="1:33" ht="29">
      <c r="A1146" s="3" t="s">
        <v>1450</v>
      </c>
      <c r="D1146" s="3" t="s">
        <v>6132</v>
      </c>
      <c r="E1146" s="3" t="s">
        <v>6133</v>
      </c>
      <c r="J1146" s="9" t="s">
        <v>12118</v>
      </c>
      <c r="Q1146" s="10"/>
      <c r="T1146" s="9">
        <f>36-4240</f>
        <v>-4204</v>
      </c>
      <c r="U1146" s="9">
        <f t="shared" ca="1" si="46"/>
        <v>4240</v>
      </c>
      <c r="V1146" s="9">
        <f t="shared" ca="1" si="47"/>
        <v>36</v>
      </c>
      <c r="AG1146" s="9" t="s">
        <v>19</v>
      </c>
    </row>
    <row r="1147" spans="1:33">
      <c r="A1147" s="3" t="s">
        <v>1450</v>
      </c>
      <c r="D1147" s="3" t="s">
        <v>6134</v>
      </c>
      <c r="E1147" s="3" t="s">
        <v>6135</v>
      </c>
      <c r="J1147" s="9" t="s">
        <v>12120</v>
      </c>
      <c r="Q1147" s="10"/>
      <c r="U1147" s="9" t="str">
        <f t="shared" ca="1" si="46"/>
        <v/>
      </c>
      <c r="V1147" s="9" t="str">
        <f t="shared" ca="1" si="47"/>
        <v/>
      </c>
      <c r="AG1147" s="9" t="s">
        <v>19</v>
      </c>
    </row>
    <row r="1148" spans="1:33">
      <c r="A1148" s="3" t="s">
        <v>1450</v>
      </c>
      <c r="D1148" s="3" t="s">
        <v>6136</v>
      </c>
      <c r="E1148" s="3" t="s">
        <v>6137</v>
      </c>
      <c r="J1148" s="9" t="s">
        <v>12120</v>
      </c>
      <c r="Q1148" s="10"/>
      <c r="U1148" s="9" t="str">
        <f t="shared" ca="1" si="46"/>
        <v/>
      </c>
      <c r="V1148" s="9" t="str">
        <f t="shared" ca="1" si="47"/>
        <v/>
      </c>
      <c r="AB1148" s="9" t="s">
        <v>12124</v>
      </c>
      <c r="AC1148" s="9" t="s">
        <v>12144</v>
      </c>
      <c r="AD1148" s="9" t="s">
        <v>19</v>
      </c>
    </row>
    <row r="1149" spans="1:33">
      <c r="A1149" s="3" t="s">
        <v>1451</v>
      </c>
      <c r="D1149" s="3" t="s">
        <v>289</v>
      </c>
      <c r="E1149" s="3" t="s">
        <v>290</v>
      </c>
      <c r="J1149" s="9" t="s">
        <v>12118</v>
      </c>
      <c r="Q1149" s="10"/>
      <c r="T1149" s="9" t="s">
        <v>12131</v>
      </c>
      <c r="U1149" s="9" t="str">
        <f t="shared" ca="1" si="46"/>
        <v/>
      </c>
      <c r="V1149" s="9" t="str">
        <f t="shared" ca="1" si="47"/>
        <v/>
      </c>
      <c r="AB1149" s="9" t="s">
        <v>12124</v>
      </c>
      <c r="AC1149" s="9" t="s">
        <v>12742</v>
      </c>
      <c r="AD1149" s="9" t="s">
        <v>19</v>
      </c>
    </row>
    <row r="1150" spans="1:33">
      <c r="A1150" s="3" t="s">
        <v>1451</v>
      </c>
      <c r="D1150" s="3" t="s">
        <v>6138</v>
      </c>
      <c r="E1150" s="3" t="s">
        <v>6139</v>
      </c>
      <c r="J1150" s="9" t="s">
        <v>12120</v>
      </c>
      <c r="Q1150" s="10"/>
      <c r="U1150" s="9" t="str">
        <f t="shared" ca="1" si="46"/>
        <v/>
      </c>
      <c r="V1150" s="9" t="str">
        <f t="shared" ca="1" si="47"/>
        <v/>
      </c>
      <c r="AE1150" s="9" t="s">
        <v>12089</v>
      </c>
    </row>
    <row r="1151" spans="1:33">
      <c r="A1151" s="3" t="s">
        <v>1452</v>
      </c>
      <c r="D1151" s="3" t="s">
        <v>6140</v>
      </c>
      <c r="E1151" s="3" t="s">
        <v>6141</v>
      </c>
      <c r="J1151" s="9" t="s">
        <v>12120</v>
      </c>
      <c r="Q1151" s="10"/>
      <c r="U1151" s="9" t="str">
        <f t="shared" ca="1" si="46"/>
        <v/>
      </c>
      <c r="V1151" s="9" t="str">
        <f t="shared" ca="1" si="47"/>
        <v/>
      </c>
      <c r="AB1151" s="9" t="s">
        <v>12124</v>
      </c>
      <c r="AD1151" s="9" t="s">
        <v>19</v>
      </c>
    </row>
    <row r="1152" spans="1:33" ht="29">
      <c r="A1152" s="3" t="s">
        <v>1453</v>
      </c>
      <c r="D1152" s="3" t="s">
        <v>6143</v>
      </c>
      <c r="E1152" s="3" t="s">
        <v>6142</v>
      </c>
      <c r="I1152" t="s">
        <v>12177</v>
      </c>
      <c r="J1152" s="9" t="s">
        <v>26</v>
      </c>
      <c r="Q1152" s="10"/>
      <c r="U1152" s="9" t="str">
        <f t="shared" ca="1" si="46"/>
        <v/>
      </c>
      <c r="V1152" s="9" t="str">
        <f t="shared" ca="1" si="47"/>
        <v/>
      </c>
      <c r="AG1152" s="9" t="s">
        <v>20</v>
      </c>
    </row>
    <row r="1153" spans="1:33">
      <c r="A1153" s="3" t="s">
        <v>1454</v>
      </c>
      <c r="D1153" s="3" t="s">
        <v>6144</v>
      </c>
      <c r="E1153" s="3" t="s">
        <v>6145</v>
      </c>
      <c r="G1153" t="s">
        <v>19</v>
      </c>
      <c r="J1153" s="9" t="s">
        <v>12121</v>
      </c>
      <c r="Q1153" s="10"/>
      <c r="T1153" s="9" t="s">
        <v>12119</v>
      </c>
      <c r="U1153" s="9" t="str">
        <f t="shared" ca="1" si="46"/>
        <v/>
      </c>
      <c r="V1153" s="9" t="str">
        <f t="shared" ca="1" si="47"/>
        <v/>
      </c>
      <c r="AE1153" s="9" t="s">
        <v>12086</v>
      </c>
    </row>
    <row r="1154" spans="1:33">
      <c r="A1154" s="3" t="s">
        <v>1454</v>
      </c>
      <c r="D1154" s="3" t="s">
        <v>6146</v>
      </c>
      <c r="E1154" s="3" t="s">
        <v>6147</v>
      </c>
      <c r="J1154" s="9" t="s">
        <v>12120</v>
      </c>
      <c r="Q1154" s="10"/>
      <c r="U1154" s="9" t="str">
        <f t="shared" ca="1" si="46"/>
        <v/>
      </c>
      <c r="V1154" s="9" t="str">
        <f t="shared" ca="1" si="47"/>
        <v/>
      </c>
      <c r="AE1154" s="9" t="s">
        <v>12086</v>
      </c>
    </row>
    <row r="1155" spans="1:33" ht="29">
      <c r="A1155" s="3" t="s">
        <v>1454</v>
      </c>
      <c r="D1155" s="3" t="s">
        <v>6149</v>
      </c>
      <c r="E1155" s="3" t="s">
        <v>6150</v>
      </c>
      <c r="J1155" s="9" t="s">
        <v>12120</v>
      </c>
      <c r="Q1155" s="10"/>
      <c r="U1155" s="9" t="str">
        <f t="shared" ca="1" si="46"/>
        <v/>
      </c>
      <c r="V1155" s="9" t="str">
        <f t="shared" ca="1" si="47"/>
        <v/>
      </c>
      <c r="AE1155" s="9" t="s">
        <v>12086</v>
      </c>
    </row>
    <row r="1156" spans="1:33" ht="29">
      <c r="A1156" s="3" t="s">
        <v>1454</v>
      </c>
      <c r="D1156" s="3" t="s">
        <v>6151</v>
      </c>
      <c r="E1156" s="3" t="s">
        <v>6148</v>
      </c>
      <c r="J1156" s="9" t="s">
        <v>25</v>
      </c>
      <c r="L1156" s="9">
        <v>1</v>
      </c>
      <c r="M1156" s="9">
        <v>6</v>
      </c>
      <c r="N1156" s="9" t="s">
        <v>12094</v>
      </c>
      <c r="O1156" s="9" t="s">
        <v>12079</v>
      </c>
      <c r="Q1156" s="10"/>
      <c r="S1156" s="9">
        <v>4240</v>
      </c>
      <c r="U1156" s="9" t="str">
        <f t="shared" ca="1" si="46"/>
        <v/>
      </c>
      <c r="V1156" s="9" t="str">
        <f t="shared" ca="1" si="47"/>
        <v/>
      </c>
      <c r="AG1156" s="9" t="s">
        <v>19</v>
      </c>
    </row>
    <row r="1157" spans="1:33">
      <c r="A1157" s="3" t="s">
        <v>1455</v>
      </c>
      <c r="D1157" s="3" t="s">
        <v>1456</v>
      </c>
      <c r="E1157" s="3" t="s">
        <v>1457</v>
      </c>
      <c r="J1157" s="9" t="s">
        <v>12120</v>
      </c>
      <c r="Q1157" s="10"/>
      <c r="U1157" s="9" t="str">
        <f t="shared" ca="1" si="46"/>
        <v/>
      </c>
      <c r="V1157" s="9" t="str">
        <f t="shared" ca="1" si="47"/>
        <v/>
      </c>
      <c r="AC1157" s="9" t="s">
        <v>12740</v>
      </c>
      <c r="AD1157" s="9" t="s">
        <v>19</v>
      </c>
    </row>
    <row r="1158" spans="1:33">
      <c r="A1158" s="3" t="s">
        <v>1458</v>
      </c>
      <c r="D1158" s="3" t="s">
        <v>6152</v>
      </c>
      <c r="E1158" s="3" t="s">
        <v>6153</v>
      </c>
      <c r="I1158" t="s">
        <v>12657</v>
      </c>
      <c r="J1158" s="9" t="s">
        <v>24</v>
      </c>
      <c r="L1158" s="9">
        <v>1</v>
      </c>
      <c r="M1158" s="9">
        <v>2</v>
      </c>
      <c r="N1158" s="9" t="s">
        <v>12123</v>
      </c>
      <c r="O1158" s="9" t="s">
        <v>12119</v>
      </c>
      <c r="Q1158" s="10"/>
      <c r="R1158" s="9" t="s">
        <v>12074</v>
      </c>
      <c r="S1158" s="9">
        <v>887</v>
      </c>
      <c r="U1158" s="9" t="str">
        <f t="shared" ca="1" si="46"/>
        <v/>
      </c>
      <c r="V1158" s="9" t="str">
        <f t="shared" ca="1" si="47"/>
        <v/>
      </c>
      <c r="W1158" s="9" t="s">
        <v>12117</v>
      </c>
      <c r="AG1158" s="9" t="s">
        <v>20</v>
      </c>
    </row>
    <row r="1159" spans="1:33">
      <c r="A1159" s="3" t="s">
        <v>1459</v>
      </c>
      <c r="D1159" s="3" t="s">
        <v>1460</v>
      </c>
      <c r="E1159" s="3" t="s">
        <v>1461</v>
      </c>
      <c r="J1159" s="9" t="s">
        <v>12118</v>
      </c>
      <c r="Q1159" s="10"/>
      <c r="T1159" s="9">
        <f>84-0</f>
        <v>84</v>
      </c>
      <c r="U1159" s="9">
        <f t="shared" ca="1" si="46"/>
        <v>0</v>
      </c>
      <c r="V1159" s="9">
        <f t="shared" ca="1" si="47"/>
        <v>84</v>
      </c>
      <c r="AC1159" s="9" t="s">
        <v>12130</v>
      </c>
      <c r="AD1159" s="9" t="s">
        <v>19</v>
      </c>
    </row>
    <row r="1160" spans="1:33">
      <c r="A1160" s="3" t="s">
        <v>1462</v>
      </c>
      <c r="D1160" s="3" t="s">
        <v>6154</v>
      </c>
      <c r="E1160" s="3" t="s">
        <v>6155</v>
      </c>
      <c r="I1160" t="s">
        <v>12658</v>
      </c>
      <c r="J1160" s="9" t="s">
        <v>12118</v>
      </c>
      <c r="Q1160" s="10"/>
      <c r="T1160" s="9">
        <f>227-148</f>
        <v>79</v>
      </c>
      <c r="U1160" s="9">
        <f t="shared" ca="1" si="46"/>
        <v>148</v>
      </c>
      <c r="V1160" s="9">
        <f t="shared" ca="1" si="47"/>
        <v>227</v>
      </c>
      <c r="W1160" s="9" t="s">
        <v>12117</v>
      </c>
      <c r="AG1160" s="9" t="s">
        <v>19</v>
      </c>
    </row>
    <row r="1161" spans="1:33">
      <c r="A1161" s="3" t="s">
        <v>1462</v>
      </c>
      <c r="D1161" s="3" t="s">
        <v>1463</v>
      </c>
      <c r="E1161" s="3" t="s">
        <v>6156</v>
      </c>
      <c r="J1161" s="9" t="s">
        <v>12120</v>
      </c>
      <c r="Q1161" s="10"/>
      <c r="U1161" s="9" t="str">
        <f t="shared" ca="1" si="46"/>
        <v/>
      </c>
      <c r="V1161" s="9" t="str">
        <f t="shared" ca="1" si="47"/>
        <v/>
      </c>
      <c r="AC1161" s="9" t="s">
        <v>12742</v>
      </c>
      <c r="AD1161" s="9" t="s">
        <v>19</v>
      </c>
    </row>
    <row r="1162" spans="1:33">
      <c r="A1162" s="3" t="s">
        <v>1464</v>
      </c>
      <c r="D1162" s="3" t="s">
        <v>1465</v>
      </c>
      <c r="E1162" s="3" t="s">
        <v>497</v>
      </c>
      <c r="J1162" s="9" t="s">
        <v>12120</v>
      </c>
      <c r="Q1162" s="10"/>
      <c r="U1162" s="9" t="str">
        <f t="shared" ref="U1162:U1226" ca="1" si="48">IF(ISNUMBER(T1162),VALUE(MID(_xlfn.FORMULATEXT(T1162),SEARCH("-",_xlfn.FORMULATEXT(T1162))+1,LEN(_xlfn.FORMULATEXT(T1162))-SEARCH("-",_xlfn.FORMULATEXT(T1162)))), "")</f>
        <v/>
      </c>
      <c r="V1162" s="9" t="str">
        <f t="shared" ref="V1162:V1226" ca="1" si="49">IF(ISNUMBER(T1162), VALUE(MID(_xlfn.FORMULATEXT(T1162), 2, SEARCH("-", _xlfn.FORMULATEXT(T1162)) - 2)), "")</f>
        <v/>
      </c>
      <c r="AG1162" s="9" t="s">
        <v>13141</v>
      </c>
    </row>
    <row r="1163" spans="1:33" ht="58">
      <c r="A1163" s="3" t="s">
        <v>1466</v>
      </c>
      <c r="D1163" s="3" t="s">
        <v>6158</v>
      </c>
      <c r="E1163" s="3" t="s">
        <v>6157</v>
      </c>
      <c r="J1163" s="9" t="s">
        <v>25</v>
      </c>
      <c r="L1163" s="9">
        <v>2</v>
      </c>
      <c r="M1163" s="9">
        <v>12</v>
      </c>
      <c r="O1163" s="9" t="s">
        <v>12079</v>
      </c>
      <c r="Q1163" s="10"/>
      <c r="S1163" s="9">
        <v>2</v>
      </c>
      <c r="U1163" s="9" t="str">
        <f t="shared" ca="1" si="48"/>
        <v/>
      </c>
      <c r="V1163" s="9" t="str">
        <f t="shared" ca="1" si="49"/>
        <v/>
      </c>
      <c r="AG1163" s="9" t="s">
        <v>19</v>
      </c>
    </row>
    <row r="1164" spans="1:33" ht="58">
      <c r="A1164" s="3" t="s">
        <v>1466</v>
      </c>
      <c r="D1164" s="3" t="s">
        <v>6159</v>
      </c>
      <c r="E1164" s="5" t="s">
        <v>6160</v>
      </c>
      <c r="F1164" t="s">
        <v>16</v>
      </c>
      <c r="Q1164" s="10"/>
      <c r="U1164" s="9" t="str">
        <f t="shared" ca="1" si="48"/>
        <v/>
      </c>
      <c r="V1164" s="9" t="str">
        <f t="shared" ca="1" si="49"/>
        <v/>
      </c>
    </row>
    <row r="1165" spans="1:33" ht="58">
      <c r="A1165" s="3" t="s">
        <v>1466</v>
      </c>
      <c r="D1165" s="3" t="s">
        <v>6161</v>
      </c>
      <c r="E1165" s="3" t="s">
        <v>6162</v>
      </c>
      <c r="J1165" s="9" t="s">
        <v>12120</v>
      </c>
      <c r="Q1165" s="10"/>
      <c r="U1165" s="9" t="str">
        <f t="shared" ca="1" si="48"/>
        <v/>
      </c>
      <c r="V1165" s="9" t="str">
        <f t="shared" ca="1" si="49"/>
        <v/>
      </c>
      <c r="AG1165" s="9" t="s">
        <v>19</v>
      </c>
    </row>
    <row r="1166" spans="1:33">
      <c r="A1166" s="3" t="s">
        <v>1467</v>
      </c>
      <c r="D1166" s="3" t="s">
        <v>6163</v>
      </c>
      <c r="E1166" s="3" t="s">
        <v>6164</v>
      </c>
      <c r="I1166" t="s">
        <v>5457</v>
      </c>
      <c r="J1166" s="9" t="s">
        <v>26</v>
      </c>
      <c r="Q1166" s="10"/>
      <c r="U1166" s="9" t="str">
        <f t="shared" ca="1" si="48"/>
        <v/>
      </c>
      <c r="V1166" s="9" t="str">
        <f t="shared" ca="1" si="49"/>
        <v/>
      </c>
      <c r="AG1166" s="9" t="s">
        <v>19</v>
      </c>
    </row>
    <row r="1167" spans="1:33">
      <c r="A1167" s="3" t="s">
        <v>1467</v>
      </c>
      <c r="D1167" s="3" t="s">
        <v>6165</v>
      </c>
      <c r="E1167" s="3" t="s">
        <v>6166</v>
      </c>
      <c r="J1167" s="9" t="s">
        <v>12120</v>
      </c>
      <c r="Q1167" s="10"/>
      <c r="U1167" s="9" t="str">
        <f t="shared" ca="1" si="48"/>
        <v/>
      </c>
      <c r="V1167" s="9" t="str">
        <f t="shared" ca="1" si="49"/>
        <v/>
      </c>
      <c r="AB1167" s="9" t="s">
        <v>12737</v>
      </c>
      <c r="AD1167" s="9" t="s">
        <v>19</v>
      </c>
    </row>
    <row r="1168" spans="1:33">
      <c r="A1168" s="3" t="s">
        <v>1467</v>
      </c>
      <c r="D1168" s="3" t="s">
        <v>6167</v>
      </c>
      <c r="E1168" s="3" t="s">
        <v>6168</v>
      </c>
      <c r="J1168" s="9" t="s">
        <v>12120</v>
      </c>
      <c r="Q1168" s="10"/>
      <c r="U1168" s="9" t="str">
        <f t="shared" ca="1" si="48"/>
        <v/>
      </c>
      <c r="V1168" s="9" t="str">
        <f t="shared" ca="1" si="49"/>
        <v/>
      </c>
      <c r="AB1168" s="9" t="s">
        <v>12737</v>
      </c>
      <c r="AD1168" s="9" t="s">
        <v>19</v>
      </c>
    </row>
    <row r="1169" spans="1:33">
      <c r="A1169" s="3" t="s">
        <v>1467</v>
      </c>
      <c r="D1169" s="3" t="s">
        <v>6169</v>
      </c>
      <c r="E1169" s="3" t="s">
        <v>6170</v>
      </c>
      <c r="J1169" s="9" t="s">
        <v>12118</v>
      </c>
      <c r="Q1169" s="10"/>
      <c r="T1169" s="9">
        <f>7-214</f>
        <v>-207</v>
      </c>
      <c r="U1169" s="9">
        <f t="shared" ca="1" si="48"/>
        <v>214</v>
      </c>
      <c r="V1169" s="9">
        <f t="shared" ca="1" si="49"/>
        <v>7</v>
      </c>
      <c r="AG1169" s="9" t="s">
        <v>19</v>
      </c>
    </row>
    <row r="1170" spans="1:33" ht="29">
      <c r="A1170" s="3" t="s">
        <v>1468</v>
      </c>
      <c r="D1170" s="3" t="s">
        <v>6171</v>
      </c>
      <c r="E1170" s="3" t="s">
        <v>6172</v>
      </c>
      <c r="J1170" s="9" t="s">
        <v>12120</v>
      </c>
      <c r="Q1170" s="10"/>
      <c r="U1170" s="9" t="str">
        <f t="shared" ca="1" si="48"/>
        <v/>
      </c>
      <c r="V1170" s="9" t="str">
        <f t="shared" ca="1" si="49"/>
        <v/>
      </c>
      <c r="AG1170" s="9" t="s">
        <v>19</v>
      </c>
    </row>
    <row r="1171" spans="1:33" ht="29">
      <c r="A1171" s="3" t="s">
        <v>1468</v>
      </c>
      <c r="D1171" s="3" t="s">
        <v>6173</v>
      </c>
      <c r="E1171" s="3" t="s">
        <v>6174</v>
      </c>
      <c r="J1171" s="9" t="s">
        <v>12120</v>
      </c>
      <c r="Q1171" s="10"/>
      <c r="U1171" s="9" t="str">
        <f t="shared" ca="1" si="48"/>
        <v/>
      </c>
      <c r="V1171" s="9" t="str">
        <f t="shared" ca="1" si="49"/>
        <v/>
      </c>
      <c r="AG1171" s="9" t="s">
        <v>19</v>
      </c>
    </row>
    <row r="1172" spans="1:33" ht="29">
      <c r="A1172" s="3" t="s">
        <v>1469</v>
      </c>
      <c r="D1172" s="3" t="s">
        <v>13010</v>
      </c>
      <c r="E1172" s="3" t="s">
        <v>13009</v>
      </c>
      <c r="J1172" s="9" t="s">
        <v>12118</v>
      </c>
      <c r="Q1172" s="10"/>
      <c r="T1172" s="9">
        <f>128-508</f>
        <v>-380</v>
      </c>
      <c r="U1172" s="9">
        <f t="shared" ca="1" si="48"/>
        <v>508</v>
      </c>
      <c r="V1172" s="9">
        <f t="shared" ca="1" si="49"/>
        <v>128</v>
      </c>
      <c r="AG1172" s="9" t="s">
        <v>19</v>
      </c>
    </row>
    <row r="1173" spans="1:33">
      <c r="A1173" s="3" t="s">
        <v>1469</v>
      </c>
      <c r="D1173" s="3" t="s">
        <v>1470</v>
      </c>
      <c r="E1173" s="3" t="s">
        <v>535</v>
      </c>
      <c r="G1173" t="s">
        <v>19</v>
      </c>
      <c r="J1173" s="9" t="s">
        <v>12120</v>
      </c>
      <c r="Q1173" s="10"/>
      <c r="U1173" s="9" t="str">
        <f t="shared" ca="1" si="48"/>
        <v/>
      </c>
      <c r="V1173" s="9" t="str">
        <f t="shared" ca="1" si="49"/>
        <v/>
      </c>
      <c r="AC1173" s="9" t="s">
        <v>12742</v>
      </c>
      <c r="AD1173" s="9" t="s">
        <v>19</v>
      </c>
      <c r="AE1173" s="9" t="s">
        <v>12089</v>
      </c>
    </row>
    <row r="1174" spans="1:33" ht="43.5">
      <c r="A1174" s="3" t="s">
        <v>1471</v>
      </c>
      <c r="D1174" s="3" t="s">
        <v>12869</v>
      </c>
      <c r="E1174" s="3" t="s">
        <v>12865</v>
      </c>
      <c r="F1174" t="s">
        <v>11</v>
      </c>
      <c r="J1174" s="9" t="s">
        <v>24</v>
      </c>
      <c r="L1174" s="9">
        <v>2</v>
      </c>
      <c r="M1174" s="9">
        <v>10</v>
      </c>
      <c r="O1174" s="9" t="s">
        <v>12073</v>
      </c>
      <c r="P1174" s="9" t="s">
        <v>12142</v>
      </c>
      <c r="Q1174" s="10" t="s">
        <v>12170</v>
      </c>
      <c r="S1174" s="9">
        <v>37</v>
      </c>
      <c r="U1174" s="9" t="str">
        <f t="shared" ca="1" si="48"/>
        <v/>
      </c>
      <c r="V1174" s="9" t="str">
        <f t="shared" ca="1" si="49"/>
        <v/>
      </c>
    </row>
    <row r="1175" spans="1:33" ht="43.5">
      <c r="A1175" s="3" t="s">
        <v>1471</v>
      </c>
      <c r="D1175" s="3" t="s">
        <v>12869</v>
      </c>
      <c r="E1175" s="3" t="s">
        <v>12866</v>
      </c>
      <c r="J1175" s="9" t="s">
        <v>24</v>
      </c>
      <c r="L1175" s="9">
        <v>1</v>
      </c>
      <c r="M1175" s="9">
        <v>7</v>
      </c>
      <c r="N1175" s="9" t="s">
        <v>12125</v>
      </c>
      <c r="O1175" s="9" t="s">
        <v>12073</v>
      </c>
      <c r="P1175" s="9" t="s">
        <v>12149</v>
      </c>
      <c r="Q1175" s="10" t="s">
        <v>12143</v>
      </c>
      <c r="S1175" s="9">
        <v>437</v>
      </c>
      <c r="U1175" s="9" t="str">
        <f t="shared" ca="1" si="48"/>
        <v/>
      </c>
      <c r="V1175" s="9" t="str">
        <f t="shared" ca="1" si="49"/>
        <v/>
      </c>
      <c r="AG1175" s="9" t="s">
        <v>19</v>
      </c>
    </row>
    <row r="1176" spans="1:33" ht="43.5">
      <c r="A1176" s="3" t="s">
        <v>1471</v>
      </c>
      <c r="D1176" s="3" t="s">
        <v>12870</v>
      </c>
      <c r="E1176" s="3" t="s">
        <v>12868</v>
      </c>
      <c r="J1176" s="9" t="s">
        <v>25</v>
      </c>
      <c r="L1176" s="9">
        <v>1</v>
      </c>
      <c r="M1176" s="9">
        <v>1</v>
      </c>
      <c r="N1176" s="9" t="s">
        <v>12087</v>
      </c>
      <c r="O1176" s="9" t="s">
        <v>12119</v>
      </c>
      <c r="Q1176" s="10"/>
      <c r="S1176" s="9">
        <v>166</v>
      </c>
      <c r="U1176" s="9" t="str">
        <f t="shared" ref="U1176" ca="1" si="50">IF(ISNUMBER(T1176),VALUE(MID(_xlfn.FORMULATEXT(T1176),SEARCH("-",_xlfn.FORMULATEXT(T1176))+1,LEN(_xlfn.FORMULATEXT(T1176))-SEARCH("-",_xlfn.FORMULATEXT(T1176)))), "")</f>
        <v/>
      </c>
      <c r="V1176" s="9" t="str">
        <f t="shared" ref="V1176" ca="1" si="51">IF(ISNUMBER(T1176), VALUE(MID(_xlfn.FORMULATEXT(T1176), 2, SEARCH("-", _xlfn.FORMULATEXT(T1176)) - 2)), "")</f>
        <v/>
      </c>
      <c r="AG1176" s="9" t="s">
        <v>19</v>
      </c>
    </row>
    <row r="1177" spans="1:33" ht="43.5">
      <c r="A1177" s="3" t="s">
        <v>1471</v>
      </c>
      <c r="D1177" s="3" t="s">
        <v>12871</v>
      </c>
      <c r="E1177" s="3" t="s">
        <v>12867</v>
      </c>
      <c r="J1177" s="9" t="s">
        <v>12120</v>
      </c>
      <c r="Q1177" s="10"/>
      <c r="T1177" s="9" t="s">
        <v>12119</v>
      </c>
      <c r="U1177" s="9" t="str">
        <f t="shared" ca="1" si="48"/>
        <v/>
      </c>
      <c r="V1177" s="9" t="str">
        <f t="shared" ca="1" si="49"/>
        <v/>
      </c>
      <c r="AE1177" s="9" t="s">
        <v>12086</v>
      </c>
    </row>
    <row r="1178" spans="1:33">
      <c r="A1178" s="3" t="s">
        <v>1471</v>
      </c>
      <c r="D1178" s="3" t="s">
        <v>1472</v>
      </c>
      <c r="E1178" s="3" t="s">
        <v>1473</v>
      </c>
      <c r="J1178" s="9" t="s">
        <v>12120</v>
      </c>
      <c r="Q1178" s="10"/>
      <c r="U1178" s="9" t="str">
        <f t="shared" ca="1" si="48"/>
        <v/>
      </c>
      <c r="V1178" s="9" t="str">
        <f t="shared" ca="1" si="49"/>
        <v/>
      </c>
      <c r="AG1178" s="9" t="s">
        <v>19</v>
      </c>
    </row>
    <row r="1179" spans="1:33">
      <c r="A1179" s="3" t="s">
        <v>1474</v>
      </c>
      <c r="D1179" s="3" t="s">
        <v>1475</v>
      </c>
      <c r="E1179" s="3" t="s">
        <v>1475</v>
      </c>
      <c r="G1179" t="s">
        <v>20</v>
      </c>
      <c r="I1179" t="s">
        <v>6175</v>
      </c>
      <c r="Q1179" s="10"/>
      <c r="U1179" s="9" t="str">
        <f t="shared" ca="1" si="48"/>
        <v/>
      </c>
      <c r="V1179" s="9" t="str">
        <f t="shared" ca="1" si="49"/>
        <v/>
      </c>
    </row>
    <row r="1180" spans="1:33" ht="43.5">
      <c r="A1180" s="3" t="s">
        <v>1476</v>
      </c>
      <c r="D1180" s="3" t="s">
        <v>6176</v>
      </c>
      <c r="E1180" s="3" t="s">
        <v>6177</v>
      </c>
      <c r="F1180" t="s">
        <v>4774</v>
      </c>
      <c r="J1180" s="15" t="s">
        <v>27</v>
      </c>
      <c r="K1180" s="15"/>
      <c r="L1180" s="15"/>
      <c r="M1180" s="15"/>
      <c r="N1180" s="15"/>
      <c r="O1180" s="15"/>
      <c r="P1180" s="15"/>
      <c r="Q1180" s="16"/>
      <c r="R1180" s="15"/>
      <c r="S1180" s="15"/>
      <c r="T1180" s="15"/>
      <c r="U1180" s="15" t="str">
        <f t="shared" ca="1" si="48"/>
        <v/>
      </c>
      <c r="V1180" s="15" t="str">
        <f t="shared" ca="1" si="49"/>
        <v/>
      </c>
      <c r="W1180" s="15"/>
      <c r="X1180" s="15"/>
      <c r="Y1180" s="15"/>
      <c r="Z1180" s="15"/>
      <c r="AA1180" s="15"/>
      <c r="AB1180" s="15"/>
      <c r="AC1180" s="15"/>
      <c r="AD1180" s="15"/>
      <c r="AE1180" s="15"/>
      <c r="AF1180" s="15"/>
      <c r="AG1180" s="15"/>
    </row>
    <row r="1181" spans="1:33" ht="43.5">
      <c r="A1181" s="3" t="s">
        <v>1476</v>
      </c>
      <c r="D1181" s="3" t="s">
        <v>12236</v>
      </c>
      <c r="E1181" s="3" t="s">
        <v>12237</v>
      </c>
      <c r="F1181" t="s">
        <v>4774</v>
      </c>
      <c r="J1181" s="9" t="s">
        <v>12118</v>
      </c>
      <c r="Q1181" s="10"/>
      <c r="T1181" s="9">
        <f>1966-5676</f>
        <v>-3710</v>
      </c>
      <c r="U1181" s="9">
        <f t="shared" ca="1" si="48"/>
        <v>5676</v>
      </c>
      <c r="V1181" s="9">
        <f t="shared" ca="1" si="49"/>
        <v>1966</v>
      </c>
    </row>
    <row r="1182" spans="1:33" ht="43.5">
      <c r="A1182" s="3" t="s">
        <v>1476</v>
      </c>
      <c r="D1182" s="3" t="s">
        <v>12238</v>
      </c>
      <c r="E1182" s="3" t="s">
        <v>12235</v>
      </c>
      <c r="F1182" t="s">
        <v>12761</v>
      </c>
      <c r="I1182" t="s">
        <v>13110</v>
      </c>
      <c r="J1182" s="9" t="s">
        <v>25</v>
      </c>
      <c r="L1182" s="9">
        <v>1</v>
      </c>
      <c r="M1182" s="9">
        <v>3</v>
      </c>
      <c r="N1182" s="9" t="s">
        <v>12087</v>
      </c>
      <c r="O1182" s="9" t="s">
        <v>12079</v>
      </c>
      <c r="Q1182" s="10"/>
      <c r="S1182" s="9">
        <v>67</v>
      </c>
      <c r="U1182" s="9" t="str">
        <f t="shared" ca="1" si="48"/>
        <v/>
      </c>
      <c r="V1182" s="9" t="str">
        <f t="shared" ca="1" si="49"/>
        <v/>
      </c>
    </row>
    <row r="1183" spans="1:33" ht="43.5">
      <c r="A1183" s="3" t="s">
        <v>1476</v>
      </c>
      <c r="D1183" s="3" t="s">
        <v>12239</v>
      </c>
      <c r="E1183" s="3" t="s">
        <v>12240</v>
      </c>
      <c r="F1183" t="s">
        <v>4774</v>
      </c>
      <c r="I1183" t="s">
        <v>12189</v>
      </c>
      <c r="J1183" s="9" t="s">
        <v>26</v>
      </c>
      <c r="Q1183" s="10"/>
      <c r="U1183" s="9" t="str">
        <f t="shared" ca="1" si="48"/>
        <v/>
      </c>
      <c r="V1183" s="9" t="str">
        <f t="shared" ca="1" si="49"/>
        <v/>
      </c>
    </row>
    <row r="1184" spans="1:33" ht="43.5">
      <c r="A1184" s="3" t="s">
        <v>1476</v>
      </c>
      <c r="D1184" s="3" t="s">
        <v>12241</v>
      </c>
      <c r="E1184" s="3" t="s">
        <v>12235</v>
      </c>
      <c r="F1184" t="s">
        <v>4774</v>
      </c>
      <c r="J1184" s="9" t="s">
        <v>25</v>
      </c>
      <c r="L1184" s="9">
        <v>1</v>
      </c>
      <c r="M1184" s="9">
        <v>1</v>
      </c>
      <c r="N1184" s="9" t="s">
        <v>12078</v>
      </c>
      <c r="O1184" s="9" t="s">
        <v>12119</v>
      </c>
      <c r="Q1184" s="10"/>
      <c r="S1184" s="9">
        <v>11843</v>
      </c>
      <c r="U1184" s="9" t="str">
        <f t="shared" ca="1" si="48"/>
        <v/>
      </c>
      <c r="V1184" s="9" t="str">
        <f t="shared" ca="1" si="49"/>
        <v/>
      </c>
    </row>
    <row r="1185" spans="1:33" ht="43.5">
      <c r="A1185" s="3" t="s">
        <v>1476</v>
      </c>
      <c r="D1185" s="3" t="s">
        <v>6178</v>
      </c>
      <c r="E1185" s="3" t="s">
        <v>6179</v>
      </c>
      <c r="F1185" t="s">
        <v>4774</v>
      </c>
      <c r="J1185" s="9" t="s">
        <v>12120</v>
      </c>
      <c r="Q1185" s="10"/>
      <c r="U1185" s="9" t="str">
        <f t="shared" ca="1" si="48"/>
        <v/>
      </c>
      <c r="V1185" s="9" t="str">
        <f t="shared" ca="1" si="49"/>
        <v/>
      </c>
    </row>
    <row r="1186" spans="1:33">
      <c r="A1186" s="3" t="s">
        <v>1477</v>
      </c>
      <c r="D1186" s="3" t="s">
        <v>6180</v>
      </c>
      <c r="E1186" s="3" t="s">
        <v>6181</v>
      </c>
      <c r="J1186" s="9" t="s">
        <v>12118</v>
      </c>
      <c r="Q1186" s="10"/>
      <c r="T1186" s="9">
        <f>1101-560</f>
        <v>541</v>
      </c>
      <c r="U1186" s="9">
        <f t="shared" ca="1" si="48"/>
        <v>560</v>
      </c>
      <c r="V1186" s="9">
        <f t="shared" ca="1" si="49"/>
        <v>1101</v>
      </c>
      <c r="AG1186" s="9" t="s">
        <v>19</v>
      </c>
    </row>
    <row r="1187" spans="1:33">
      <c r="A1187" s="3" t="s">
        <v>1478</v>
      </c>
      <c r="D1187" s="3" t="s">
        <v>1479</v>
      </c>
      <c r="E1187" s="3" t="s">
        <v>458</v>
      </c>
      <c r="J1187" s="9" t="s">
        <v>12120</v>
      </c>
      <c r="Q1187" s="10"/>
      <c r="U1187" s="9" t="str">
        <f t="shared" ca="1" si="48"/>
        <v/>
      </c>
      <c r="V1187" s="9" t="str">
        <f t="shared" ca="1" si="49"/>
        <v/>
      </c>
      <c r="AC1187" s="9" t="s">
        <v>12134</v>
      </c>
      <c r="AD1187" s="9" t="s">
        <v>19</v>
      </c>
      <c r="AE1187" s="9" t="s">
        <v>12086</v>
      </c>
    </row>
    <row r="1188" spans="1:33">
      <c r="A1188" s="3" t="s">
        <v>1478</v>
      </c>
      <c r="D1188" s="3" t="s">
        <v>1480</v>
      </c>
      <c r="E1188" s="3" t="s">
        <v>1481</v>
      </c>
      <c r="J1188" s="9" t="s">
        <v>12118</v>
      </c>
      <c r="Q1188" s="10"/>
      <c r="T1188" s="9" t="s">
        <v>12131</v>
      </c>
      <c r="U1188" s="9" t="str">
        <f t="shared" ca="1" si="48"/>
        <v/>
      </c>
      <c r="V1188" s="9" t="str">
        <f t="shared" ca="1" si="49"/>
        <v/>
      </c>
      <c r="AC1188" s="9" t="s">
        <v>12130</v>
      </c>
      <c r="AD1188" s="9" t="s">
        <v>19</v>
      </c>
      <c r="AE1188" s="9" t="s">
        <v>12086</v>
      </c>
    </row>
    <row r="1189" spans="1:33">
      <c r="A1189" s="3" t="s">
        <v>1482</v>
      </c>
      <c r="D1189" s="3" t="s">
        <v>6182</v>
      </c>
      <c r="E1189" s="3" t="s">
        <v>6183</v>
      </c>
      <c r="J1189" s="9" t="s">
        <v>12118</v>
      </c>
      <c r="Q1189" s="10"/>
      <c r="T1189" s="9">
        <f>1966-5676</f>
        <v>-3710</v>
      </c>
      <c r="U1189" s="9">
        <f t="shared" ca="1" si="48"/>
        <v>5676</v>
      </c>
      <c r="V1189" s="9">
        <f t="shared" ca="1" si="49"/>
        <v>1966</v>
      </c>
      <c r="AG1189" s="9" t="s">
        <v>19</v>
      </c>
    </row>
    <row r="1190" spans="1:33" ht="58">
      <c r="A1190" s="3" t="s">
        <v>1482</v>
      </c>
      <c r="D1190" s="3" t="s">
        <v>12242</v>
      </c>
      <c r="E1190" s="3" t="s">
        <v>12243</v>
      </c>
      <c r="F1190" t="s">
        <v>4774</v>
      </c>
      <c r="J1190" s="15" t="s">
        <v>27</v>
      </c>
      <c r="K1190" s="15"/>
      <c r="L1190" s="15"/>
      <c r="M1190" s="15"/>
      <c r="N1190" s="15"/>
      <c r="O1190" s="15"/>
      <c r="P1190" s="15"/>
      <c r="Q1190" s="16"/>
      <c r="R1190" s="15"/>
      <c r="S1190" s="15"/>
      <c r="T1190" s="15"/>
      <c r="U1190" s="15" t="str">
        <f t="shared" ca="1" si="48"/>
        <v/>
      </c>
      <c r="V1190" s="15" t="str">
        <f t="shared" ca="1" si="49"/>
        <v/>
      </c>
      <c r="W1190" s="15"/>
      <c r="X1190" s="15"/>
      <c r="Y1190" s="15"/>
      <c r="Z1190" s="15"/>
      <c r="AA1190" s="15"/>
      <c r="AB1190" s="15"/>
      <c r="AC1190" s="15"/>
      <c r="AD1190" s="15"/>
      <c r="AE1190" s="15"/>
      <c r="AF1190" s="15"/>
      <c r="AG1190" s="15"/>
    </row>
    <row r="1191" spans="1:33" ht="58">
      <c r="A1191" s="3" t="s">
        <v>1482</v>
      </c>
      <c r="D1191" s="3" t="s">
        <v>12244</v>
      </c>
      <c r="E1191" s="3" t="s">
        <v>12243</v>
      </c>
      <c r="F1191" t="s">
        <v>4774</v>
      </c>
      <c r="J1191" s="9" t="s">
        <v>25</v>
      </c>
      <c r="L1191" s="9">
        <v>1</v>
      </c>
      <c r="M1191" s="9">
        <v>5</v>
      </c>
      <c r="N1191" s="9" t="s">
        <v>12094</v>
      </c>
      <c r="O1191" s="9" t="s">
        <v>12079</v>
      </c>
      <c r="Q1191" s="10"/>
      <c r="S1191" s="9">
        <v>4240</v>
      </c>
      <c r="U1191" s="9" t="str">
        <f t="shared" ca="1" si="48"/>
        <v/>
      </c>
      <c r="V1191" s="9" t="str">
        <f t="shared" ca="1" si="49"/>
        <v/>
      </c>
    </row>
    <row r="1192" spans="1:33" ht="58">
      <c r="A1192" s="3" t="s">
        <v>1482</v>
      </c>
      <c r="D1192" s="3" t="s">
        <v>12245</v>
      </c>
      <c r="E1192" s="3" t="s">
        <v>12243</v>
      </c>
      <c r="F1192" t="s">
        <v>4774</v>
      </c>
      <c r="J1192" s="9" t="s">
        <v>25</v>
      </c>
      <c r="L1192" s="9">
        <v>1</v>
      </c>
      <c r="M1192" s="9">
        <v>3</v>
      </c>
      <c r="N1192" s="9" t="s">
        <v>12094</v>
      </c>
      <c r="O1192" s="9" t="s">
        <v>12079</v>
      </c>
      <c r="Q1192" s="10"/>
      <c r="S1192" s="9">
        <v>412</v>
      </c>
      <c r="U1192" s="9" t="str">
        <f t="shared" ca="1" si="48"/>
        <v/>
      </c>
      <c r="V1192" s="9" t="str">
        <f t="shared" ca="1" si="49"/>
        <v/>
      </c>
    </row>
    <row r="1193" spans="1:33" ht="58">
      <c r="A1193" s="3" t="s">
        <v>1482</v>
      </c>
      <c r="D1193" s="3" t="s">
        <v>12246</v>
      </c>
      <c r="E1193" s="3" t="s">
        <v>12247</v>
      </c>
      <c r="F1193" t="s">
        <v>4774</v>
      </c>
      <c r="J1193" s="9" t="s">
        <v>12120</v>
      </c>
      <c r="Q1193" s="10"/>
      <c r="U1193" s="9" t="str">
        <f t="shared" ca="1" si="48"/>
        <v/>
      </c>
      <c r="V1193" s="9" t="str">
        <f t="shared" ca="1" si="49"/>
        <v/>
      </c>
    </row>
    <row r="1194" spans="1:33" ht="58">
      <c r="A1194" s="3" t="s">
        <v>1482</v>
      </c>
      <c r="D1194" s="3" t="s">
        <v>12248</v>
      </c>
      <c r="E1194" s="3" t="s">
        <v>12243</v>
      </c>
      <c r="F1194" t="s">
        <v>4774</v>
      </c>
      <c r="J1194" s="9" t="s">
        <v>25</v>
      </c>
      <c r="L1194" s="9">
        <v>1</v>
      </c>
      <c r="M1194" s="9">
        <v>4</v>
      </c>
      <c r="N1194" s="9" t="s">
        <v>12094</v>
      </c>
      <c r="O1194" s="9" t="s">
        <v>12079</v>
      </c>
      <c r="Q1194" s="10"/>
      <c r="S1194" s="9">
        <v>4240</v>
      </c>
      <c r="U1194" s="9" t="str">
        <f t="shared" ca="1" si="48"/>
        <v/>
      </c>
      <c r="V1194" s="9" t="str">
        <f t="shared" ca="1" si="49"/>
        <v/>
      </c>
    </row>
    <row r="1195" spans="1:33">
      <c r="A1195" s="3" t="s">
        <v>1483</v>
      </c>
      <c r="D1195" s="3" t="s">
        <v>546</v>
      </c>
      <c r="E1195" s="3" t="s">
        <v>2403</v>
      </c>
      <c r="G1195" t="s">
        <v>19</v>
      </c>
      <c r="J1195" s="9" t="s">
        <v>12120</v>
      </c>
      <c r="Q1195" s="10"/>
      <c r="U1195" s="9" t="str">
        <f t="shared" ca="1" si="48"/>
        <v/>
      </c>
      <c r="V1195" s="9" t="str">
        <f t="shared" ca="1" si="49"/>
        <v/>
      </c>
    </row>
    <row r="1196" spans="1:33">
      <c r="A1196" s="3" t="s">
        <v>1483</v>
      </c>
      <c r="D1196" s="3" t="s">
        <v>6184</v>
      </c>
      <c r="E1196" s="3" t="s">
        <v>6184</v>
      </c>
      <c r="G1196" t="s">
        <v>20</v>
      </c>
      <c r="I1196" t="s">
        <v>6185</v>
      </c>
      <c r="Q1196" s="10"/>
      <c r="U1196" s="9" t="str">
        <f t="shared" ca="1" si="48"/>
        <v/>
      </c>
      <c r="V1196" s="9" t="str">
        <f t="shared" ca="1" si="49"/>
        <v/>
      </c>
    </row>
    <row r="1197" spans="1:33">
      <c r="A1197" s="3" t="s">
        <v>1485</v>
      </c>
      <c r="D1197" s="3" t="s">
        <v>1484</v>
      </c>
      <c r="E1197" s="3" t="s">
        <v>553</v>
      </c>
      <c r="G1197" t="s">
        <v>19</v>
      </c>
      <c r="J1197" s="9" t="s">
        <v>12120</v>
      </c>
      <c r="Q1197" s="10"/>
      <c r="U1197" s="9" t="str">
        <f t="shared" ca="1" si="48"/>
        <v/>
      </c>
      <c r="V1197" s="9" t="str">
        <f t="shared" ca="1" si="49"/>
        <v/>
      </c>
    </row>
    <row r="1198" spans="1:33">
      <c r="A1198" s="3" t="s">
        <v>1486</v>
      </c>
      <c r="D1198" s="3" t="s">
        <v>12249</v>
      </c>
      <c r="E1198" s="3" t="s">
        <v>12250</v>
      </c>
      <c r="J1198" s="9" t="s">
        <v>12120</v>
      </c>
      <c r="Q1198" s="10"/>
      <c r="U1198" s="9" t="str">
        <f t="shared" ca="1" si="48"/>
        <v/>
      </c>
      <c r="V1198" s="9" t="str">
        <f t="shared" ca="1" si="49"/>
        <v/>
      </c>
      <c r="AE1198" s="9" t="s">
        <v>12089</v>
      </c>
    </row>
    <row r="1199" spans="1:33" ht="29">
      <c r="A1199" s="3" t="s">
        <v>1486</v>
      </c>
      <c r="D1199" s="3" t="s">
        <v>6186</v>
      </c>
      <c r="E1199" s="3" t="s">
        <v>6187</v>
      </c>
      <c r="J1199" s="9" t="s">
        <v>24</v>
      </c>
      <c r="L1199" s="9">
        <v>1</v>
      </c>
      <c r="M1199" s="9">
        <v>6</v>
      </c>
      <c r="N1199" s="9" t="s">
        <v>12084</v>
      </c>
      <c r="O1199" s="9" t="s">
        <v>12079</v>
      </c>
      <c r="Q1199" s="10"/>
      <c r="S1199" s="9">
        <v>32</v>
      </c>
      <c r="U1199" s="9" t="str">
        <f t="shared" ca="1" si="48"/>
        <v/>
      </c>
      <c r="V1199" s="9" t="str">
        <f t="shared" ca="1" si="49"/>
        <v/>
      </c>
      <c r="AG1199" s="9" t="s">
        <v>19</v>
      </c>
    </row>
    <row r="1200" spans="1:33">
      <c r="A1200" s="3" t="s">
        <v>1487</v>
      </c>
      <c r="D1200" s="3" t="s">
        <v>6188</v>
      </c>
      <c r="E1200" s="3" t="s">
        <v>6189</v>
      </c>
      <c r="J1200" s="9" t="s">
        <v>12118</v>
      </c>
      <c r="Q1200" s="10"/>
      <c r="T1200" s="9">
        <f>193-5676</f>
        <v>-5483</v>
      </c>
      <c r="U1200" s="9">
        <f t="shared" ca="1" si="48"/>
        <v>5676</v>
      </c>
      <c r="V1200" s="9">
        <f t="shared" ca="1" si="49"/>
        <v>193</v>
      </c>
      <c r="AG1200" s="9" t="s">
        <v>19</v>
      </c>
    </row>
    <row r="1201" spans="1:33" ht="29">
      <c r="A1201" s="3" t="s">
        <v>1488</v>
      </c>
      <c r="D1201" s="3" t="s">
        <v>6191</v>
      </c>
      <c r="E1201" s="3" t="s">
        <v>6192</v>
      </c>
      <c r="J1201" s="9" t="s">
        <v>12120</v>
      </c>
      <c r="Q1201" s="10"/>
      <c r="U1201" s="9" t="str">
        <f t="shared" ca="1" si="48"/>
        <v/>
      </c>
      <c r="V1201" s="9" t="str">
        <f t="shared" ca="1" si="49"/>
        <v/>
      </c>
      <c r="AE1201" s="9" t="s">
        <v>12089</v>
      </c>
    </row>
    <row r="1202" spans="1:33" ht="29">
      <c r="A1202" s="3" t="s">
        <v>1488</v>
      </c>
      <c r="D1202" s="3" t="s">
        <v>6193</v>
      </c>
      <c r="E1202" s="3" t="s">
        <v>6194</v>
      </c>
      <c r="J1202" s="9" t="s">
        <v>12118</v>
      </c>
      <c r="Q1202" s="10"/>
      <c r="T1202" s="9">
        <f>34-6</f>
        <v>28</v>
      </c>
      <c r="U1202" s="9">
        <f t="shared" ca="1" si="48"/>
        <v>6</v>
      </c>
      <c r="V1202" s="9">
        <f t="shared" ca="1" si="49"/>
        <v>34</v>
      </c>
      <c r="AG1202" s="9" t="s">
        <v>19</v>
      </c>
    </row>
    <row r="1203" spans="1:33" ht="29">
      <c r="A1203" s="3" t="s">
        <v>1488</v>
      </c>
      <c r="D1203" s="3" t="s">
        <v>6190</v>
      </c>
      <c r="E1203" s="3" t="s">
        <v>6195</v>
      </c>
      <c r="J1203" s="9" t="s">
        <v>24</v>
      </c>
      <c r="L1203" s="9">
        <v>1</v>
      </c>
      <c r="M1203" s="9">
        <v>2</v>
      </c>
      <c r="N1203" s="9" t="s">
        <v>12078</v>
      </c>
      <c r="O1203" s="9" t="s">
        <v>12119</v>
      </c>
      <c r="Q1203" s="10"/>
      <c r="S1203" s="9">
        <v>11843</v>
      </c>
      <c r="U1203" s="9" t="str">
        <f t="shared" ca="1" si="48"/>
        <v/>
      </c>
      <c r="V1203" s="9" t="str">
        <f t="shared" ca="1" si="49"/>
        <v/>
      </c>
      <c r="AG1203" s="9" t="s">
        <v>13141</v>
      </c>
    </row>
    <row r="1204" spans="1:33">
      <c r="A1204" s="3" t="s">
        <v>1488</v>
      </c>
      <c r="D1204" s="3" t="s">
        <v>1489</v>
      </c>
      <c r="E1204" s="3" t="s">
        <v>1490</v>
      </c>
      <c r="J1204" s="9" t="s">
        <v>12120</v>
      </c>
      <c r="Q1204" s="10"/>
      <c r="U1204" s="9" t="str">
        <f t="shared" ca="1" si="48"/>
        <v/>
      </c>
      <c r="V1204" s="9" t="str">
        <f t="shared" ca="1" si="49"/>
        <v/>
      </c>
      <c r="AB1204" s="9" t="s">
        <v>12738</v>
      </c>
      <c r="AD1204" s="9" t="s">
        <v>19</v>
      </c>
    </row>
    <row r="1205" spans="1:33">
      <c r="A1205" s="3" t="s">
        <v>1491</v>
      </c>
      <c r="D1205" s="3" t="s">
        <v>1492</v>
      </c>
      <c r="E1205" s="3" t="s">
        <v>1493</v>
      </c>
      <c r="J1205" s="9" t="s">
        <v>12120</v>
      </c>
      <c r="Q1205" s="10"/>
      <c r="U1205" s="9" t="str">
        <f t="shared" ca="1" si="48"/>
        <v/>
      </c>
      <c r="V1205" s="9" t="str">
        <f t="shared" ca="1" si="49"/>
        <v/>
      </c>
      <c r="AG1205" s="9" t="s">
        <v>20</v>
      </c>
    </row>
    <row r="1206" spans="1:33" ht="29">
      <c r="A1206" s="3" t="s">
        <v>1494</v>
      </c>
      <c r="D1206" s="3" t="s">
        <v>6196</v>
      </c>
      <c r="E1206" s="3" t="s">
        <v>6197</v>
      </c>
      <c r="I1206" t="s">
        <v>12189</v>
      </c>
      <c r="J1206" s="9" t="s">
        <v>26</v>
      </c>
      <c r="Q1206" s="10"/>
      <c r="U1206" s="9" t="str">
        <f t="shared" ca="1" si="48"/>
        <v/>
      </c>
      <c r="V1206" s="9" t="str">
        <f t="shared" ca="1" si="49"/>
        <v/>
      </c>
      <c r="AG1206" s="9" t="s">
        <v>20</v>
      </c>
    </row>
    <row r="1207" spans="1:33">
      <c r="A1207" s="3" t="s">
        <v>1494</v>
      </c>
      <c r="D1207" s="3" t="s">
        <v>6198</v>
      </c>
      <c r="E1207" s="3" t="s">
        <v>6199</v>
      </c>
      <c r="J1207" s="9" t="s">
        <v>12120</v>
      </c>
      <c r="Q1207" s="10"/>
      <c r="U1207" s="9" t="str">
        <f t="shared" ca="1" si="48"/>
        <v/>
      </c>
      <c r="V1207" s="9" t="str">
        <f t="shared" ca="1" si="49"/>
        <v/>
      </c>
      <c r="AB1207" s="9" t="s">
        <v>12738</v>
      </c>
      <c r="AD1207" s="9" t="s">
        <v>19</v>
      </c>
    </row>
    <row r="1208" spans="1:33" ht="58">
      <c r="A1208" s="3" t="s">
        <v>1495</v>
      </c>
      <c r="D1208" s="3" t="s">
        <v>12252</v>
      </c>
      <c r="E1208" s="3" t="s">
        <v>12251</v>
      </c>
      <c r="I1208" t="s">
        <v>12253</v>
      </c>
      <c r="J1208" s="9" t="s">
        <v>25</v>
      </c>
      <c r="L1208" s="9">
        <v>6</v>
      </c>
      <c r="M1208" s="9">
        <v>31</v>
      </c>
      <c r="O1208" s="9" t="s">
        <v>12073</v>
      </c>
      <c r="P1208" s="9" t="s">
        <v>12140</v>
      </c>
      <c r="Q1208" s="10" t="s">
        <v>12193</v>
      </c>
      <c r="S1208" s="9">
        <v>81</v>
      </c>
      <c r="U1208" s="9" t="str">
        <f t="shared" ca="1" si="48"/>
        <v/>
      </c>
      <c r="V1208" s="9" t="str">
        <f t="shared" ca="1" si="49"/>
        <v/>
      </c>
      <c r="AG1208" s="9" t="s">
        <v>20</v>
      </c>
    </row>
    <row r="1209" spans="1:33">
      <c r="A1209" s="3" t="s">
        <v>1497</v>
      </c>
      <c r="D1209" s="3" t="s">
        <v>6200</v>
      </c>
      <c r="E1209" s="3" t="s">
        <v>6201</v>
      </c>
      <c r="J1209" s="9" t="s">
        <v>12121</v>
      </c>
      <c r="Q1209" s="10"/>
      <c r="T1209" s="9">
        <v>1</v>
      </c>
      <c r="U1209" s="9">
        <v>0</v>
      </c>
      <c r="V1209" s="9">
        <v>1</v>
      </c>
      <c r="AG1209" s="9" t="s">
        <v>19</v>
      </c>
    </row>
    <row r="1210" spans="1:33">
      <c r="A1210" s="3" t="s">
        <v>1497</v>
      </c>
      <c r="D1210" s="3" t="s">
        <v>1498</v>
      </c>
      <c r="E1210" s="3" t="s">
        <v>1499</v>
      </c>
      <c r="J1210" s="9" t="s">
        <v>12120</v>
      </c>
      <c r="Q1210" s="10"/>
      <c r="U1210" s="9" t="str">
        <f t="shared" ca="1" si="48"/>
        <v/>
      </c>
      <c r="V1210" s="9" t="str">
        <f t="shared" ca="1" si="49"/>
        <v/>
      </c>
      <c r="AC1210" s="9" t="s">
        <v>12153</v>
      </c>
      <c r="AD1210" s="9" t="s">
        <v>19</v>
      </c>
    </row>
    <row r="1211" spans="1:33">
      <c r="A1211" s="3" t="s">
        <v>1500</v>
      </c>
      <c r="D1211" s="3" t="s">
        <v>1501</v>
      </c>
      <c r="E1211" s="3" t="s">
        <v>1502</v>
      </c>
      <c r="J1211" s="9" t="s">
        <v>12118</v>
      </c>
      <c r="Q1211" s="10"/>
      <c r="T1211" s="9" t="s">
        <v>12131</v>
      </c>
      <c r="U1211" s="9" t="str">
        <f t="shared" ca="1" si="48"/>
        <v/>
      </c>
      <c r="V1211" s="9" t="str">
        <f t="shared" ca="1" si="49"/>
        <v/>
      </c>
      <c r="AC1211" s="9" t="s">
        <v>12130</v>
      </c>
      <c r="AD1211" s="9" t="s">
        <v>19</v>
      </c>
      <c r="AE1211" s="9" t="s">
        <v>12086</v>
      </c>
    </row>
    <row r="1212" spans="1:33">
      <c r="A1212" s="3" t="s">
        <v>1503</v>
      </c>
      <c r="D1212" s="3" t="s">
        <v>6203</v>
      </c>
      <c r="E1212" s="3" t="s">
        <v>6202</v>
      </c>
      <c r="J1212" s="9" t="s">
        <v>25</v>
      </c>
      <c r="L1212" s="9">
        <v>1</v>
      </c>
      <c r="M1212" s="9">
        <v>5</v>
      </c>
      <c r="N1212" s="9" t="s">
        <v>12125</v>
      </c>
      <c r="O1212" s="9" t="s">
        <v>12079</v>
      </c>
      <c r="Q1212" s="10"/>
      <c r="S1212" s="9">
        <v>1565</v>
      </c>
      <c r="U1212" s="9" t="str">
        <f t="shared" ca="1" si="48"/>
        <v/>
      </c>
      <c r="V1212" s="9" t="str">
        <f t="shared" ca="1" si="49"/>
        <v/>
      </c>
      <c r="AG1212" s="9" t="s">
        <v>20</v>
      </c>
    </row>
    <row r="1213" spans="1:33" ht="29">
      <c r="A1213" s="3" t="s">
        <v>1503</v>
      </c>
      <c r="D1213" s="3" t="s">
        <v>6206</v>
      </c>
      <c r="E1213" s="3" t="s">
        <v>6207</v>
      </c>
      <c r="G1213" t="s">
        <v>21</v>
      </c>
      <c r="I1213" t="s">
        <v>6208</v>
      </c>
      <c r="J1213" s="9" t="s">
        <v>12118</v>
      </c>
      <c r="Q1213" s="10"/>
      <c r="T1213" s="9">
        <f>207-780</f>
        <v>-573</v>
      </c>
      <c r="U1213" s="9">
        <f t="shared" ca="1" si="48"/>
        <v>780</v>
      </c>
      <c r="V1213" s="9">
        <f t="shared" ca="1" si="49"/>
        <v>207</v>
      </c>
    </row>
    <row r="1214" spans="1:33" ht="29">
      <c r="A1214" s="3" t="s">
        <v>1503</v>
      </c>
      <c r="D1214" s="3" t="s">
        <v>6204</v>
      </c>
      <c r="E1214" s="3" t="s">
        <v>6205</v>
      </c>
      <c r="G1214" t="s">
        <v>19</v>
      </c>
      <c r="I1214" t="s">
        <v>12254</v>
      </c>
      <c r="J1214" s="9" t="s">
        <v>12118</v>
      </c>
      <c r="Q1214" s="10"/>
      <c r="T1214" s="9">
        <f>88-134</f>
        <v>-46</v>
      </c>
      <c r="U1214" s="9">
        <f t="shared" ca="1" si="48"/>
        <v>134</v>
      </c>
      <c r="V1214" s="9">
        <f t="shared" ca="1" si="49"/>
        <v>88</v>
      </c>
    </row>
    <row r="1215" spans="1:33">
      <c r="A1215" s="3" t="s">
        <v>1503</v>
      </c>
      <c r="D1215" s="3" t="s">
        <v>6209</v>
      </c>
      <c r="E1215" s="3" t="s">
        <v>6210</v>
      </c>
      <c r="G1215" t="s">
        <v>21</v>
      </c>
      <c r="I1215" t="s">
        <v>6211</v>
      </c>
      <c r="J1215" s="9" t="s">
        <v>12120</v>
      </c>
      <c r="Q1215" s="10"/>
      <c r="U1215" s="9" t="str">
        <f t="shared" ca="1" si="48"/>
        <v/>
      </c>
      <c r="V1215" s="9" t="str">
        <f t="shared" ca="1" si="49"/>
        <v/>
      </c>
      <c r="AC1215" s="9" t="s">
        <v>12130</v>
      </c>
      <c r="AD1215" s="9" t="s">
        <v>19</v>
      </c>
    </row>
    <row r="1216" spans="1:33">
      <c r="A1216" s="3" t="s">
        <v>1504</v>
      </c>
      <c r="D1216" s="3" t="s">
        <v>6213</v>
      </c>
      <c r="E1216" s="5" t="s">
        <v>6212</v>
      </c>
      <c r="F1216" t="s">
        <v>32</v>
      </c>
      <c r="I1216" t="s">
        <v>13111</v>
      </c>
      <c r="J1216" s="9" t="s">
        <v>24</v>
      </c>
      <c r="L1216" s="9">
        <v>1</v>
      </c>
      <c r="M1216" s="9">
        <v>3</v>
      </c>
      <c r="N1216" s="9" t="s">
        <v>12078</v>
      </c>
      <c r="O1216" s="9" t="s">
        <v>12073</v>
      </c>
      <c r="P1216" s="9" t="s">
        <v>12142</v>
      </c>
      <c r="Q1216" s="10" t="s">
        <v>12143</v>
      </c>
      <c r="R1216" s="9" t="s">
        <v>12074</v>
      </c>
      <c r="S1216" s="9">
        <v>11843</v>
      </c>
      <c r="U1216" s="9" t="str">
        <f t="shared" ca="1" si="48"/>
        <v/>
      </c>
      <c r="V1216" s="9" t="str">
        <f t="shared" ca="1" si="49"/>
        <v/>
      </c>
      <c r="AE1216" s="9" t="s">
        <v>12083</v>
      </c>
    </row>
    <row r="1217" spans="1:33">
      <c r="A1217" s="3" t="s">
        <v>1505</v>
      </c>
      <c r="D1217" s="3" t="s">
        <v>6214</v>
      </c>
      <c r="E1217" s="3" t="s">
        <v>6214</v>
      </c>
      <c r="G1217" t="s">
        <v>20</v>
      </c>
      <c r="I1217" t="s">
        <v>6215</v>
      </c>
      <c r="Q1217" s="10"/>
      <c r="U1217" s="9" t="str">
        <f t="shared" ca="1" si="48"/>
        <v/>
      </c>
      <c r="V1217" s="9" t="str">
        <f t="shared" ca="1" si="49"/>
        <v/>
      </c>
    </row>
    <row r="1218" spans="1:33">
      <c r="A1218" s="3" t="s">
        <v>1506</v>
      </c>
      <c r="D1218" s="3" t="s">
        <v>13011</v>
      </c>
      <c r="E1218" s="5" t="s">
        <v>13011</v>
      </c>
      <c r="F1218" t="s">
        <v>32</v>
      </c>
      <c r="I1218" t="s">
        <v>13012</v>
      </c>
      <c r="J1218" s="9" t="s">
        <v>12120</v>
      </c>
      <c r="Q1218" s="10"/>
      <c r="U1218" s="9" t="str">
        <f t="shared" ca="1" si="48"/>
        <v/>
      </c>
      <c r="V1218" s="9" t="str">
        <f t="shared" ca="1" si="49"/>
        <v/>
      </c>
      <c r="AG1218" s="9" t="s">
        <v>20</v>
      </c>
    </row>
    <row r="1219" spans="1:33">
      <c r="A1219" s="3" t="s">
        <v>1507</v>
      </c>
      <c r="D1219" s="3" t="s">
        <v>6216</v>
      </c>
      <c r="E1219" s="3" t="s">
        <v>6217</v>
      </c>
      <c r="J1219" s="9" t="s">
        <v>12118</v>
      </c>
      <c r="Q1219" s="10"/>
      <c r="T1219" s="9">
        <f xml:space="preserve"> 4-99</f>
        <v>-95</v>
      </c>
      <c r="U1219" s="9">
        <f t="shared" ca="1" si="48"/>
        <v>99</v>
      </c>
      <c r="V1219" s="9">
        <f t="shared" ca="1" si="49"/>
        <v>4</v>
      </c>
      <c r="AG1219" s="9" t="s">
        <v>19</v>
      </c>
    </row>
    <row r="1220" spans="1:33">
      <c r="A1220" s="3" t="s">
        <v>1509</v>
      </c>
      <c r="D1220" s="3" t="s">
        <v>1304</v>
      </c>
      <c r="E1220" s="3" t="s">
        <v>1510</v>
      </c>
      <c r="J1220" s="9" t="s">
        <v>12120</v>
      </c>
      <c r="Q1220" s="10"/>
      <c r="U1220" s="9" t="str">
        <f t="shared" ca="1" si="48"/>
        <v/>
      </c>
      <c r="V1220" s="9" t="str">
        <f t="shared" ca="1" si="49"/>
        <v/>
      </c>
      <c r="AG1220" s="9" t="s">
        <v>20</v>
      </c>
    </row>
    <row r="1221" spans="1:33" ht="43.5">
      <c r="A1221" s="3" t="s">
        <v>1509</v>
      </c>
      <c r="D1221" s="3" t="s">
        <v>6219</v>
      </c>
      <c r="E1221" s="3" t="s">
        <v>6220</v>
      </c>
      <c r="I1221" t="s">
        <v>12177</v>
      </c>
      <c r="J1221" s="9" t="s">
        <v>26</v>
      </c>
      <c r="Q1221" s="10"/>
      <c r="U1221" s="9" t="str">
        <f t="shared" ca="1" si="48"/>
        <v/>
      </c>
      <c r="V1221" s="9" t="str">
        <f t="shared" ca="1" si="49"/>
        <v/>
      </c>
      <c r="AG1221" s="9" t="s">
        <v>19</v>
      </c>
    </row>
    <row r="1222" spans="1:33" ht="43.5">
      <c r="A1222" s="3" t="s">
        <v>1509</v>
      </c>
      <c r="D1222" s="3" t="s">
        <v>6221</v>
      </c>
      <c r="E1222" s="3" t="s">
        <v>6222</v>
      </c>
      <c r="J1222" s="9" t="s">
        <v>12120</v>
      </c>
      <c r="Q1222" s="10"/>
      <c r="U1222" s="9" t="str">
        <f t="shared" ca="1" si="48"/>
        <v/>
      </c>
      <c r="V1222" s="9" t="str">
        <f t="shared" ca="1" si="49"/>
        <v/>
      </c>
      <c r="AG1222" s="9" t="s">
        <v>19</v>
      </c>
    </row>
    <row r="1223" spans="1:33" ht="43.5">
      <c r="A1223" s="3" t="s">
        <v>1509</v>
      </c>
      <c r="D1223" s="3" t="s">
        <v>6218</v>
      </c>
      <c r="E1223" s="3" t="s">
        <v>6223</v>
      </c>
      <c r="J1223" s="9" t="s">
        <v>24</v>
      </c>
      <c r="L1223" s="9">
        <v>1</v>
      </c>
      <c r="M1223" s="9">
        <v>4</v>
      </c>
      <c r="N1223" s="9" t="s">
        <v>12094</v>
      </c>
      <c r="O1223" s="9" t="s">
        <v>12079</v>
      </c>
      <c r="Q1223" s="10"/>
      <c r="S1223" s="9">
        <v>4240</v>
      </c>
      <c r="U1223" s="9" t="str">
        <f t="shared" ca="1" si="48"/>
        <v/>
      </c>
      <c r="V1223" s="9" t="str">
        <f t="shared" ca="1" si="49"/>
        <v/>
      </c>
      <c r="AG1223" s="9" t="s">
        <v>19</v>
      </c>
    </row>
    <row r="1224" spans="1:33">
      <c r="A1224" s="3" t="s">
        <v>1511</v>
      </c>
      <c r="D1224" s="3" t="s">
        <v>1512</v>
      </c>
      <c r="E1224" s="11" t="s">
        <v>2438</v>
      </c>
      <c r="G1224" t="s">
        <v>19</v>
      </c>
      <c r="J1224" s="9" t="s">
        <v>12118</v>
      </c>
      <c r="Q1224" s="10"/>
      <c r="T1224" s="9" t="s">
        <v>12119</v>
      </c>
      <c r="U1224" s="9" t="str">
        <f t="shared" ca="1" si="48"/>
        <v/>
      </c>
      <c r="V1224" s="9" t="str">
        <f t="shared" ca="1" si="49"/>
        <v/>
      </c>
      <c r="AB1224" s="9" t="s">
        <v>12124</v>
      </c>
      <c r="AD1224" s="9" t="s">
        <v>19</v>
      </c>
    </row>
    <row r="1225" spans="1:33">
      <c r="A1225" s="3" t="s">
        <v>1513</v>
      </c>
      <c r="D1225" s="3" t="s">
        <v>6224</v>
      </c>
      <c r="E1225" s="11" t="s">
        <v>6225</v>
      </c>
      <c r="J1225" s="9" t="s">
        <v>12118</v>
      </c>
      <c r="Q1225" s="10"/>
      <c r="T1225" s="9">
        <f xml:space="preserve"> 2-10</f>
        <v>-8</v>
      </c>
      <c r="U1225" s="9">
        <f t="shared" ca="1" si="48"/>
        <v>10</v>
      </c>
      <c r="V1225" s="9">
        <f t="shared" ca="1" si="49"/>
        <v>2</v>
      </c>
      <c r="AG1225" s="9" t="s">
        <v>19</v>
      </c>
    </row>
    <row r="1226" spans="1:33">
      <c r="A1226" s="3" t="s">
        <v>1513</v>
      </c>
      <c r="D1226" s="3" t="s">
        <v>1514</v>
      </c>
      <c r="E1226" s="3" t="s">
        <v>1515</v>
      </c>
      <c r="J1226" s="9" t="s">
        <v>12118</v>
      </c>
      <c r="Q1226" s="10"/>
      <c r="T1226" s="9" t="s">
        <v>12131</v>
      </c>
      <c r="U1226" s="9" t="str">
        <f t="shared" ca="1" si="48"/>
        <v/>
      </c>
      <c r="V1226" s="9" t="str">
        <f t="shared" ca="1" si="49"/>
        <v/>
      </c>
      <c r="AC1226" s="9" t="s">
        <v>12134</v>
      </c>
      <c r="AD1226" s="9" t="s">
        <v>19</v>
      </c>
      <c r="AE1226" s="9" t="s">
        <v>12086</v>
      </c>
    </row>
    <row r="1227" spans="1:33">
      <c r="A1227" s="3" t="s">
        <v>1517</v>
      </c>
      <c r="D1227" s="3" t="s">
        <v>6226</v>
      </c>
      <c r="E1227" s="3" t="s">
        <v>6227</v>
      </c>
      <c r="J1227" s="9" t="s">
        <v>25</v>
      </c>
      <c r="L1227" s="9">
        <v>1</v>
      </c>
      <c r="M1227" s="9">
        <v>3</v>
      </c>
      <c r="N1227" s="9" t="s">
        <v>12078</v>
      </c>
      <c r="O1227" s="9" t="s">
        <v>12073</v>
      </c>
      <c r="P1227" s="9" t="s">
        <v>12149</v>
      </c>
      <c r="Q1227" s="10" t="s">
        <v>12136</v>
      </c>
      <c r="S1227" s="9">
        <v>11843</v>
      </c>
      <c r="U1227" s="9" t="str">
        <f t="shared" ref="U1227:U1290" ca="1" si="52">IF(ISNUMBER(T1227),VALUE(MID(_xlfn.FORMULATEXT(T1227),SEARCH("-",_xlfn.FORMULATEXT(T1227))+1,LEN(_xlfn.FORMULATEXT(T1227))-SEARCH("-",_xlfn.FORMULATEXT(T1227)))), "")</f>
        <v/>
      </c>
      <c r="V1227" s="9" t="str">
        <f t="shared" ref="V1227:V1290" ca="1" si="53">IF(ISNUMBER(T1227), VALUE(MID(_xlfn.FORMULATEXT(T1227), 2, SEARCH("-", _xlfn.FORMULATEXT(T1227)) - 2)), "")</f>
        <v/>
      </c>
      <c r="AG1227" s="9" t="s">
        <v>20</v>
      </c>
    </row>
    <row r="1228" spans="1:33">
      <c r="A1228" s="3" t="s">
        <v>1517</v>
      </c>
      <c r="D1228" s="3" t="s">
        <v>727</v>
      </c>
      <c r="E1228" s="3" t="s">
        <v>728</v>
      </c>
      <c r="J1228" s="9" t="s">
        <v>12118</v>
      </c>
      <c r="Q1228" s="10"/>
      <c r="T1228" s="9">
        <f xml:space="preserve"> 37-87</f>
        <v>-50</v>
      </c>
      <c r="U1228" s="9">
        <f t="shared" ca="1" si="52"/>
        <v>87</v>
      </c>
      <c r="V1228" s="9">
        <f t="shared" ca="1" si="53"/>
        <v>37</v>
      </c>
      <c r="AG1228" s="9" t="s">
        <v>19</v>
      </c>
    </row>
    <row r="1229" spans="1:33">
      <c r="A1229" s="3" t="s">
        <v>1518</v>
      </c>
      <c r="D1229" s="3" t="s">
        <v>6228</v>
      </c>
      <c r="E1229" s="3" t="s">
        <v>6229</v>
      </c>
      <c r="J1229" s="9" t="s">
        <v>12120</v>
      </c>
      <c r="Q1229" s="10"/>
      <c r="U1229" s="9" t="str">
        <f t="shared" ca="1" si="52"/>
        <v/>
      </c>
      <c r="V1229" s="9" t="str">
        <f t="shared" ca="1" si="53"/>
        <v/>
      </c>
      <c r="AE1229" s="9" t="s">
        <v>12083</v>
      </c>
    </row>
    <row r="1230" spans="1:33" ht="29">
      <c r="A1230" s="3" t="s">
        <v>1518</v>
      </c>
      <c r="D1230" s="3" t="s">
        <v>6230</v>
      </c>
      <c r="E1230" s="3" t="s">
        <v>6231</v>
      </c>
      <c r="J1230" s="9" t="s">
        <v>12121</v>
      </c>
      <c r="Q1230" s="10"/>
      <c r="T1230" s="9">
        <f>156-45</f>
        <v>111</v>
      </c>
      <c r="U1230" s="9">
        <f t="shared" ca="1" si="52"/>
        <v>45</v>
      </c>
      <c r="V1230" s="9">
        <f t="shared" ca="1" si="53"/>
        <v>156</v>
      </c>
      <c r="AG1230" s="9" t="s">
        <v>19</v>
      </c>
    </row>
    <row r="1231" spans="1:33" ht="29">
      <c r="A1231" s="3" t="s">
        <v>1518</v>
      </c>
      <c r="D1231" s="3" t="s">
        <v>6232</v>
      </c>
      <c r="E1231" s="3" t="s">
        <v>6233</v>
      </c>
      <c r="G1231" t="s">
        <v>20</v>
      </c>
      <c r="I1231" t="s">
        <v>6234</v>
      </c>
      <c r="J1231" s="9" t="s">
        <v>12121</v>
      </c>
      <c r="Q1231" s="10"/>
      <c r="T1231" s="9">
        <f>23-3</f>
        <v>20</v>
      </c>
      <c r="U1231" s="9">
        <f t="shared" ca="1" si="52"/>
        <v>3</v>
      </c>
      <c r="V1231" s="9">
        <f t="shared" ca="1" si="53"/>
        <v>23</v>
      </c>
      <c r="AE1231" s="9" t="s">
        <v>12089</v>
      </c>
    </row>
    <row r="1232" spans="1:33">
      <c r="A1232" s="3" t="s">
        <v>1520</v>
      </c>
      <c r="D1232" s="3" t="s">
        <v>317</v>
      </c>
      <c r="E1232" s="3" t="s">
        <v>316</v>
      </c>
      <c r="G1232" t="s">
        <v>19</v>
      </c>
      <c r="J1232" s="9" t="s">
        <v>12120</v>
      </c>
      <c r="Q1232" s="10"/>
      <c r="U1232" s="9" t="str">
        <f t="shared" ca="1" si="52"/>
        <v/>
      </c>
      <c r="V1232" s="9" t="str">
        <f t="shared" ca="1" si="53"/>
        <v/>
      </c>
      <c r="AC1232" s="9" t="s">
        <v>12134</v>
      </c>
      <c r="AD1232" s="9" t="s">
        <v>19</v>
      </c>
    </row>
    <row r="1233" spans="1:33">
      <c r="A1233" s="3" t="s">
        <v>1521</v>
      </c>
      <c r="D1233" s="3" t="s">
        <v>6235</v>
      </c>
      <c r="E1233" s="11" t="s">
        <v>6236</v>
      </c>
      <c r="J1233" s="9" t="s">
        <v>25</v>
      </c>
      <c r="L1233" s="9">
        <v>2</v>
      </c>
      <c r="M1233" s="9">
        <v>5</v>
      </c>
      <c r="O1233" s="9" t="s">
        <v>12073</v>
      </c>
      <c r="P1233" s="9" t="s">
        <v>12149</v>
      </c>
      <c r="Q1233" s="10" t="s">
        <v>12160</v>
      </c>
      <c r="S1233" s="9">
        <v>472</v>
      </c>
      <c r="U1233" s="9" t="str">
        <f t="shared" ca="1" si="52"/>
        <v/>
      </c>
      <c r="V1233" s="9" t="str">
        <f t="shared" ca="1" si="53"/>
        <v/>
      </c>
      <c r="AG1233" s="9" t="s">
        <v>20</v>
      </c>
    </row>
    <row r="1234" spans="1:33">
      <c r="A1234" s="3" t="s">
        <v>1522</v>
      </c>
      <c r="D1234" s="3" t="s">
        <v>6237</v>
      </c>
      <c r="E1234" s="3" t="s">
        <v>6238</v>
      </c>
      <c r="G1234" t="s">
        <v>20</v>
      </c>
      <c r="I1234" t="s">
        <v>6239</v>
      </c>
      <c r="J1234" s="9" t="s">
        <v>25</v>
      </c>
      <c r="L1234" s="9">
        <v>2</v>
      </c>
      <c r="M1234" s="9">
        <v>4</v>
      </c>
      <c r="O1234" s="9" t="s">
        <v>12079</v>
      </c>
      <c r="Q1234" s="10"/>
      <c r="S1234" s="9">
        <v>635</v>
      </c>
      <c r="U1234" s="9" t="str">
        <f t="shared" ca="1" si="52"/>
        <v/>
      </c>
      <c r="V1234" s="9" t="str">
        <f t="shared" ca="1" si="53"/>
        <v/>
      </c>
      <c r="AG1234" s="9" t="s">
        <v>19</v>
      </c>
    </row>
    <row r="1235" spans="1:33">
      <c r="A1235" s="3" t="s">
        <v>1523</v>
      </c>
      <c r="D1235" s="3" t="s">
        <v>6240</v>
      </c>
      <c r="E1235" s="3" t="s">
        <v>6241</v>
      </c>
      <c r="J1235" s="9" t="s">
        <v>25</v>
      </c>
      <c r="L1235" s="9">
        <v>1</v>
      </c>
      <c r="M1235" s="9">
        <v>5</v>
      </c>
      <c r="N1235" s="9" t="s">
        <v>12125</v>
      </c>
      <c r="O1235" s="9" t="s">
        <v>12079</v>
      </c>
      <c r="Q1235" s="10"/>
      <c r="S1235" s="9">
        <v>1565</v>
      </c>
      <c r="U1235" s="9" t="str">
        <f t="shared" ca="1" si="52"/>
        <v/>
      </c>
      <c r="V1235" s="9" t="str">
        <f t="shared" ca="1" si="53"/>
        <v/>
      </c>
      <c r="AG1235" s="9" t="s">
        <v>19</v>
      </c>
    </row>
    <row r="1236" spans="1:33">
      <c r="A1236" s="3" t="s">
        <v>1523</v>
      </c>
      <c r="D1236" s="3" t="s">
        <v>2430</v>
      </c>
      <c r="E1236" s="3" t="s">
        <v>1524</v>
      </c>
      <c r="J1236" s="9" t="s">
        <v>12118</v>
      </c>
      <c r="Q1236" s="10"/>
      <c r="T1236" s="9" t="s">
        <v>12131</v>
      </c>
      <c r="U1236" s="9" t="str">
        <f t="shared" ca="1" si="52"/>
        <v/>
      </c>
      <c r="V1236" s="9" t="str">
        <f t="shared" ca="1" si="53"/>
        <v/>
      </c>
      <c r="AB1236" s="9" t="s">
        <v>12124</v>
      </c>
      <c r="AD1236" s="9" t="s">
        <v>19</v>
      </c>
    </row>
    <row r="1237" spans="1:33" ht="29">
      <c r="A1237" s="3" t="s">
        <v>1525</v>
      </c>
      <c r="D1237" s="3" t="s">
        <v>6242</v>
      </c>
      <c r="E1237" s="3" t="s">
        <v>6243</v>
      </c>
      <c r="J1237" s="9" t="s">
        <v>24</v>
      </c>
      <c r="L1237" s="9">
        <v>1</v>
      </c>
      <c r="M1237" s="9">
        <v>6</v>
      </c>
      <c r="N1237" s="9" t="s">
        <v>12072</v>
      </c>
      <c r="O1237" s="9" t="s">
        <v>12079</v>
      </c>
      <c r="Q1237" s="10"/>
      <c r="S1237" s="9">
        <v>130</v>
      </c>
      <c r="U1237" s="9" t="str">
        <f t="shared" ca="1" si="52"/>
        <v/>
      </c>
      <c r="V1237" s="9" t="str">
        <f t="shared" ca="1" si="53"/>
        <v/>
      </c>
      <c r="AG1237" s="9" t="s">
        <v>19</v>
      </c>
    </row>
    <row r="1238" spans="1:33" ht="29">
      <c r="A1238" s="3" t="s">
        <v>1526</v>
      </c>
      <c r="D1238" s="3" t="s">
        <v>6244</v>
      </c>
      <c r="E1238" s="3" t="s">
        <v>6245</v>
      </c>
      <c r="G1238" t="s">
        <v>19</v>
      </c>
      <c r="J1238" s="9" t="s">
        <v>12120</v>
      </c>
      <c r="Q1238" s="10"/>
      <c r="U1238" s="9" t="str">
        <f t="shared" ca="1" si="52"/>
        <v/>
      </c>
      <c r="V1238" s="9" t="str">
        <f t="shared" ca="1" si="53"/>
        <v/>
      </c>
      <c r="AE1238" s="9" t="s">
        <v>12086</v>
      </c>
    </row>
    <row r="1239" spans="1:33" ht="29">
      <c r="A1239" s="3" t="s">
        <v>1526</v>
      </c>
      <c r="D1239" s="3" t="s">
        <v>6247</v>
      </c>
      <c r="E1239" s="3" t="s">
        <v>6246</v>
      </c>
      <c r="G1239" t="s">
        <v>19</v>
      </c>
      <c r="J1239" s="9" t="s">
        <v>12118</v>
      </c>
      <c r="Q1239" s="10"/>
      <c r="T1239" s="9">
        <f>4240-11843</f>
        <v>-7603</v>
      </c>
      <c r="U1239" s="9">
        <f t="shared" ca="1" si="52"/>
        <v>11843</v>
      </c>
      <c r="V1239" s="9">
        <f t="shared" ca="1" si="53"/>
        <v>4240</v>
      </c>
    </row>
    <row r="1240" spans="1:33" ht="43.5">
      <c r="A1240" s="3" t="s">
        <v>1527</v>
      </c>
      <c r="D1240" s="3" t="s">
        <v>6248</v>
      </c>
      <c r="E1240" s="3" t="s">
        <v>6249</v>
      </c>
      <c r="I1240" t="s">
        <v>12255</v>
      </c>
      <c r="J1240" s="9" t="s">
        <v>25</v>
      </c>
      <c r="L1240" s="9">
        <v>3</v>
      </c>
      <c r="M1240" s="9">
        <v>14</v>
      </c>
      <c r="O1240" s="9" t="s">
        <v>12073</v>
      </c>
      <c r="P1240" s="9" t="s">
        <v>12140</v>
      </c>
      <c r="Q1240" s="10" t="s">
        <v>12136</v>
      </c>
      <c r="S1240" s="9">
        <v>12</v>
      </c>
      <c r="U1240" s="9" t="str">
        <f t="shared" ca="1" si="52"/>
        <v/>
      </c>
      <c r="V1240" s="9" t="str">
        <f t="shared" ca="1" si="53"/>
        <v/>
      </c>
      <c r="AG1240" s="9" t="s">
        <v>20</v>
      </c>
    </row>
    <row r="1241" spans="1:33">
      <c r="A1241" s="3" t="s">
        <v>1527</v>
      </c>
      <c r="D1241" s="3" t="s">
        <v>6250</v>
      </c>
      <c r="E1241" s="3" t="s">
        <v>6251</v>
      </c>
      <c r="F1241" t="s">
        <v>4774</v>
      </c>
      <c r="J1241" s="9" t="s">
        <v>12120</v>
      </c>
      <c r="Q1241" s="10"/>
      <c r="U1241" s="9" t="str">
        <f t="shared" ca="1" si="52"/>
        <v/>
      </c>
      <c r="V1241" s="9" t="str">
        <f t="shared" ca="1" si="53"/>
        <v/>
      </c>
      <c r="AB1241" s="9" t="s">
        <v>12091</v>
      </c>
      <c r="AD1241" s="9" t="s">
        <v>19</v>
      </c>
      <c r="AE1241" s="9" t="s">
        <v>12089</v>
      </c>
    </row>
    <row r="1242" spans="1:33" ht="29">
      <c r="A1242" s="3" t="s">
        <v>1527</v>
      </c>
      <c r="D1242" s="3" t="s">
        <v>6252</v>
      </c>
      <c r="E1242" s="3" t="s">
        <v>6253</v>
      </c>
      <c r="J1242" s="9" t="s">
        <v>24</v>
      </c>
      <c r="L1242" s="9">
        <v>2</v>
      </c>
      <c r="M1242" s="9">
        <v>6</v>
      </c>
      <c r="O1242" s="9" t="s">
        <v>12079</v>
      </c>
      <c r="Q1242" s="10"/>
      <c r="S1242" s="9">
        <v>1565</v>
      </c>
      <c r="U1242" s="9" t="str">
        <f t="shared" ca="1" si="52"/>
        <v/>
      </c>
      <c r="V1242" s="9" t="str">
        <f t="shared" ca="1" si="53"/>
        <v/>
      </c>
      <c r="AG1242" s="9" t="s">
        <v>19</v>
      </c>
    </row>
    <row r="1243" spans="1:33">
      <c r="A1243" s="3" t="s">
        <v>1528</v>
      </c>
      <c r="D1243" s="3" t="s">
        <v>6254</v>
      </c>
      <c r="E1243" s="3" t="s">
        <v>6255</v>
      </c>
      <c r="G1243" t="s">
        <v>19</v>
      </c>
      <c r="J1243" s="9" t="s">
        <v>12120</v>
      </c>
      <c r="Q1243" s="10"/>
      <c r="U1243" s="9" t="str">
        <f t="shared" ca="1" si="52"/>
        <v/>
      </c>
      <c r="V1243" s="9" t="str">
        <f t="shared" ca="1" si="53"/>
        <v/>
      </c>
      <c r="AE1243" s="9" t="s">
        <v>12089</v>
      </c>
    </row>
    <row r="1244" spans="1:33" ht="29">
      <c r="A1244" s="3" t="s">
        <v>1529</v>
      </c>
      <c r="D1244" s="3" t="s">
        <v>6256</v>
      </c>
      <c r="E1244" s="3" t="s">
        <v>6257</v>
      </c>
      <c r="J1244" s="9" t="s">
        <v>25</v>
      </c>
      <c r="L1244" s="9">
        <v>1</v>
      </c>
      <c r="M1244" s="9">
        <v>5</v>
      </c>
      <c r="N1244" s="9" t="s">
        <v>12094</v>
      </c>
      <c r="O1244" s="9" t="s">
        <v>12073</v>
      </c>
      <c r="P1244" s="9" t="s">
        <v>12149</v>
      </c>
      <c r="Q1244" s="10" t="s">
        <v>12143</v>
      </c>
      <c r="S1244" s="9">
        <v>4240</v>
      </c>
      <c r="U1244" s="9" t="str">
        <f t="shared" ca="1" si="52"/>
        <v/>
      </c>
      <c r="V1244" s="9" t="str">
        <f t="shared" ca="1" si="53"/>
        <v/>
      </c>
      <c r="AG1244" s="9" t="s">
        <v>19</v>
      </c>
    </row>
    <row r="1245" spans="1:33" ht="29">
      <c r="A1245" s="3" t="s">
        <v>1530</v>
      </c>
      <c r="D1245" s="3" t="s">
        <v>6258</v>
      </c>
      <c r="E1245" s="3" t="s">
        <v>6259</v>
      </c>
      <c r="J1245" s="9" t="s">
        <v>25</v>
      </c>
      <c r="L1245" s="9">
        <v>1</v>
      </c>
      <c r="M1245" s="9">
        <v>5</v>
      </c>
      <c r="N1245" s="9" t="s">
        <v>12094</v>
      </c>
      <c r="O1245" s="9" t="s">
        <v>12079</v>
      </c>
      <c r="Q1245" s="10"/>
      <c r="S1245" s="9">
        <v>4240</v>
      </c>
      <c r="U1245" s="9" t="str">
        <f t="shared" ca="1" si="52"/>
        <v/>
      </c>
      <c r="V1245" s="9" t="str">
        <f t="shared" ca="1" si="53"/>
        <v/>
      </c>
      <c r="AG1245" s="9" t="s">
        <v>19</v>
      </c>
    </row>
    <row r="1246" spans="1:33">
      <c r="A1246" s="3" t="s">
        <v>1531</v>
      </c>
      <c r="D1246" s="3" t="s">
        <v>6260</v>
      </c>
      <c r="E1246" s="3" t="s">
        <v>6261</v>
      </c>
      <c r="J1246" s="9" t="s">
        <v>12118</v>
      </c>
      <c r="Q1246" s="10"/>
      <c r="T1246" s="9">
        <f xml:space="preserve"> 361-472</f>
        <v>-111</v>
      </c>
      <c r="U1246" s="9">
        <f t="shared" ca="1" si="52"/>
        <v>472</v>
      </c>
      <c r="V1246" s="9">
        <f t="shared" ca="1" si="53"/>
        <v>361</v>
      </c>
      <c r="AG1246" s="9" t="s">
        <v>19</v>
      </c>
    </row>
    <row r="1247" spans="1:33">
      <c r="A1247" s="3" t="s">
        <v>1531</v>
      </c>
      <c r="D1247" s="3" t="s">
        <v>6262</v>
      </c>
      <c r="E1247" s="3" t="s">
        <v>6263</v>
      </c>
      <c r="J1247" s="9" t="s">
        <v>25</v>
      </c>
      <c r="L1247" s="9">
        <v>1</v>
      </c>
      <c r="M1247" s="9">
        <v>2</v>
      </c>
      <c r="N1247" s="9" t="s">
        <v>12094</v>
      </c>
      <c r="O1247" s="9" t="s">
        <v>12119</v>
      </c>
      <c r="Q1247" s="10"/>
      <c r="S1247" s="9">
        <v>1741</v>
      </c>
      <c r="U1247" s="9" t="str">
        <f t="shared" ca="1" si="52"/>
        <v/>
      </c>
      <c r="V1247" s="9" t="str">
        <f t="shared" ca="1" si="53"/>
        <v/>
      </c>
      <c r="AG1247" s="9" t="s">
        <v>20</v>
      </c>
    </row>
    <row r="1248" spans="1:33" ht="29">
      <c r="A1248" s="3" t="s">
        <v>1532</v>
      </c>
      <c r="D1248" s="3" t="s">
        <v>6264</v>
      </c>
      <c r="E1248" s="3" t="s">
        <v>6265</v>
      </c>
      <c r="J1248" s="9" t="s">
        <v>24</v>
      </c>
      <c r="L1248" s="9">
        <v>1</v>
      </c>
      <c r="M1248" s="9">
        <v>3</v>
      </c>
      <c r="N1248" s="9" t="s">
        <v>12087</v>
      </c>
      <c r="O1248" s="9" t="s">
        <v>12079</v>
      </c>
      <c r="Q1248" s="10"/>
      <c r="S1248" s="9">
        <v>5676</v>
      </c>
      <c r="U1248" s="9" t="str">
        <f t="shared" ca="1" si="52"/>
        <v/>
      </c>
      <c r="V1248" s="9" t="str">
        <f t="shared" ca="1" si="53"/>
        <v/>
      </c>
      <c r="AG1248" s="9" t="s">
        <v>19</v>
      </c>
    </row>
    <row r="1249" spans="1:33">
      <c r="A1249" s="3" t="s">
        <v>1533</v>
      </c>
      <c r="D1249" s="3" t="s">
        <v>6266</v>
      </c>
      <c r="E1249" s="3" t="s">
        <v>6267</v>
      </c>
      <c r="J1249" s="9" t="s">
        <v>12118</v>
      </c>
      <c r="Q1249" s="10"/>
      <c r="T1249" s="9">
        <f>105-71</f>
        <v>34</v>
      </c>
      <c r="U1249" s="9">
        <f t="shared" ca="1" si="52"/>
        <v>71</v>
      </c>
      <c r="V1249" s="9">
        <f t="shared" ca="1" si="53"/>
        <v>105</v>
      </c>
      <c r="AG1249" s="9" t="s">
        <v>19</v>
      </c>
    </row>
    <row r="1250" spans="1:33">
      <c r="A1250" s="3" t="s">
        <v>1535</v>
      </c>
      <c r="D1250" s="3" t="s">
        <v>6268</v>
      </c>
      <c r="E1250" s="3" t="s">
        <v>6269</v>
      </c>
      <c r="J1250" s="9" t="s">
        <v>12118</v>
      </c>
      <c r="Q1250" s="10"/>
      <c r="T1250" s="9">
        <f>1101-560</f>
        <v>541</v>
      </c>
      <c r="U1250" s="9">
        <f t="shared" ca="1" si="52"/>
        <v>560</v>
      </c>
      <c r="V1250" s="9">
        <f t="shared" ca="1" si="53"/>
        <v>1101</v>
      </c>
      <c r="AG1250" s="9" t="s">
        <v>19</v>
      </c>
    </row>
    <row r="1251" spans="1:33" ht="29">
      <c r="A1251" s="3" t="s">
        <v>1536</v>
      </c>
      <c r="D1251" s="3" t="s">
        <v>6270</v>
      </c>
      <c r="E1251" s="3" t="s">
        <v>6271</v>
      </c>
      <c r="G1251" t="s">
        <v>19</v>
      </c>
      <c r="I1251" t="s">
        <v>12256</v>
      </c>
      <c r="J1251" s="9" t="s">
        <v>12118</v>
      </c>
      <c r="Q1251" s="10"/>
      <c r="T1251" s="9">
        <f>235-2</f>
        <v>233</v>
      </c>
      <c r="U1251" s="9">
        <f t="shared" ca="1" si="52"/>
        <v>2</v>
      </c>
      <c r="V1251" s="9">
        <f t="shared" ca="1" si="53"/>
        <v>235</v>
      </c>
      <c r="AE1251" s="9" t="s">
        <v>12089</v>
      </c>
    </row>
    <row r="1252" spans="1:33">
      <c r="A1252" s="3" t="s">
        <v>1536</v>
      </c>
      <c r="D1252" s="3" t="s">
        <v>6272</v>
      </c>
      <c r="E1252" s="3" t="s">
        <v>6274</v>
      </c>
      <c r="G1252" t="s">
        <v>19</v>
      </c>
      <c r="J1252" s="9" t="s">
        <v>25</v>
      </c>
      <c r="L1252" s="9">
        <v>1</v>
      </c>
      <c r="M1252" s="9">
        <v>3</v>
      </c>
      <c r="N1252" s="9" t="s">
        <v>12087</v>
      </c>
      <c r="O1252" s="9" t="s">
        <v>12079</v>
      </c>
      <c r="Q1252" s="10"/>
      <c r="S1252" s="9">
        <v>5676</v>
      </c>
      <c r="U1252" s="9" t="str">
        <f t="shared" ca="1" si="52"/>
        <v/>
      </c>
      <c r="V1252" s="9" t="str">
        <f t="shared" ca="1" si="53"/>
        <v/>
      </c>
    </row>
    <row r="1253" spans="1:33">
      <c r="A1253" s="3" t="s">
        <v>1536</v>
      </c>
      <c r="D1253" s="3" t="s">
        <v>6273</v>
      </c>
      <c r="E1253" s="3" t="s">
        <v>6275</v>
      </c>
      <c r="I1253" t="s">
        <v>12659</v>
      </c>
      <c r="J1253" s="9" t="s">
        <v>25</v>
      </c>
      <c r="L1253" s="9">
        <v>1</v>
      </c>
      <c r="M1253" s="9">
        <v>5</v>
      </c>
      <c r="N1253" s="9" t="s">
        <v>12094</v>
      </c>
      <c r="O1253" s="9" t="s">
        <v>12073</v>
      </c>
      <c r="P1253" s="9" t="s">
        <v>12142</v>
      </c>
      <c r="Q1253" s="10" t="s">
        <v>12160</v>
      </c>
      <c r="S1253" s="9">
        <v>4240</v>
      </c>
      <c r="U1253" s="9" t="str">
        <f t="shared" ca="1" si="52"/>
        <v/>
      </c>
      <c r="V1253" s="9" t="str">
        <f t="shared" ca="1" si="53"/>
        <v/>
      </c>
      <c r="W1253" s="9" t="s">
        <v>4</v>
      </c>
      <c r="AG1253" s="9" t="s">
        <v>20</v>
      </c>
    </row>
    <row r="1254" spans="1:33" ht="43.5">
      <c r="A1254" s="3" t="s">
        <v>1537</v>
      </c>
      <c r="D1254" s="3" t="s">
        <v>6278</v>
      </c>
      <c r="E1254" s="3" t="s">
        <v>6279</v>
      </c>
      <c r="I1254" t="s">
        <v>12257</v>
      </c>
      <c r="J1254" s="9" t="s">
        <v>26</v>
      </c>
      <c r="Q1254" s="10"/>
      <c r="U1254" s="9" t="str">
        <f t="shared" ca="1" si="52"/>
        <v/>
      </c>
      <c r="V1254" s="9" t="str">
        <f t="shared" ca="1" si="53"/>
        <v/>
      </c>
      <c r="AG1254" s="9" t="s">
        <v>20</v>
      </c>
    </row>
    <row r="1255" spans="1:33" ht="43.5">
      <c r="A1255" s="3" t="s">
        <v>1537</v>
      </c>
      <c r="D1255" s="3" t="s">
        <v>6280</v>
      </c>
      <c r="E1255" s="3" t="s">
        <v>6276</v>
      </c>
      <c r="G1255" t="s">
        <v>19</v>
      </c>
      <c r="J1255" s="9" t="s">
        <v>25</v>
      </c>
      <c r="L1255" s="9">
        <v>1</v>
      </c>
      <c r="M1255" s="9">
        <v>3</v>
      </c>
      <c r="N1255" s="9" t="s">
        <v>12087</v>
      </c>
      <c r="O1255" s="9" t="s">
        <v>12079</v>
      </c>
      <c r="Q1255" s="10"/>
      <c r="S1255" s="9">
        <v>5676</v>
      </c>
      <c r="U1255" s="9" t="str">
        <f t="shared" ca="1" si="52"/>
        <v/>
      </c>
      <c r="V1255" s="9" t="str">
        <f t="shared" ca="1" si="53"/>
        <v/>
      </c>
    </row>
    <row r="1256" spans="1:33" ht="43.5">
      <c r="A1256" s="3" t="s">
        <v>1537</v>
      </c>
      <c r="D1256" s="3" t="s">
        <v>6277</v>
      </c>
      <c r="E1256" s="3" t="s">
        <v>6281</v>
      </c>
      <c r="G1256" t="s">
        <v>19</v>
      </c>
      <c r="J1256" s="9" t="s">
        <v>24</v>
      </c>
      <c r="L1256" s="9">
        <v>1</v>
      </c>
      <c r="M1256" s="9">
        <v>3</v>
      </c>
      <c r="N1256" s="9" t="s">
        <v>12078</v>
      </c>
      <c r="O1256" s="9" t="s">
        <v>12079</v>
      </c>
      <c r="Q1256" s="10"/>
      <c r="S1256" s="9">
        <v>11843</v>
      </c>
      <c r="U1256" s="9" t="str">
        <f t="shared" ca="1" si="52"/>
        <v/>
      </c>
      <c r="V1256" s="9" t="str">
        <f t="shared" ca="1" si="53"/>
        <v/>
      </c>
    </row>
    <row r="1257" spans="1:33">
      <c r="A1257" s="3" t="s">
        <v>1538</v>
      </c>
      <c r="D1257" s="3" t="s">
        <v>6282</v>
      </c>
      <c r="E1257" s="3" t="s">
        <v>6283</v>
      </c>
      <c r="J1257" s="9" t="s">
        <v>12120</v>
      </c>
      <c r="Q1257" s="10"/>
      <c r="U1257" s="9" t="str">
        <f t="shared" ca="1" si="52"/>
        <v/>
      </c>
      <c r="V1257" s="9" t="str">
        <f t="shared" ca="1" si="53"/>
        <v/>
      </c>
      <c r="AG1257" s="9" t="s">
        <v>20</v>
      </c>
    </row>
    <row r="1258" spans="1:33">
      <c r="A1258" s="3" t="s">
        <v>1538</v>
      </c>
      <c r="D1258" s="11" t="s">
        <v>6285</v>
      </c>
      <c r="E1258" s="11" t="s">
        <v>6284</v>
      </c>
      <c r="J1258" s="9" t="s">
        <v>24</v>
      </c>
      <c r="L1258" s="9">
        <v>1</v>
      </c>
      <c r="M1258" s="9">
        <v>2</v>
      </c>
      <c r="N1258" s="9" t="s">
        <v>12096</v>
      </c>
      <c r="O1258" s="9" t="s">
        <v>12119</v>
      </c>
      <c r="Q1258" s="10"/>
      <c r="S1258" s="9">
        <v>560</v>
      </c>
      <c r="U1258" s="9" t="str">
        <f t="shared" ca="1" si="52"/>
        <v/>
      </c>
      <c r="V1258" s="9" t="str">
        <f t="shared" ca="1" si="53"/>
        <v/>
      </c>
      <c r="AG1258" s="9" t="s">
        <v>19</v>
      </c>
    </row>
    <row r="1259" spans="1:33">
      <c r="A1259" s="3" t="s">
        <v>1539</v>
      </c>
      <c r="D1259" s="3" t="s">
        <v>6286</v>
      </c>
      <c r="E1259" s="3" t="s">
        <v>6287</v>
      </c>
      <c r="J1259" s="9" t="s">
        <v>24</v>
      </c>
      <c r="L1259" s="9">
        <v>1</v>
      </c>
      <c r="M1259" s="9">
        <v>5</v>
      </c>
      <c r="N1259" s="9" t="s">
        <v>12092</v>
      </c>
      <c r="O1259" s="9" t="s">
        <v>12079</v>
      </c>
      <c r="Q1259" s="10"/>
      <c r="R1259" s="9" t="s">
        <v>12074</v>
      </c>
      <c r="S1259" s="9">
        <v>635</v>
      </c>
      <c r="U1259" s="9" t="str">
        <f t="shared" ca="1" si="52"/>
        <v/>
      </c>
      <c r="V1259" s="9" t="str">
        <f t="shared" ca="1" si="53"/>
        <v/>
      </c>
      <c r="AE1259" s="9" t="s">
        <v>12083</v>
      </c>
    </row>
    <row r="1260" spans="1:33">
      <c r="A1260" s="3" t="s">
        <v>1539</v>
      </c>
      <c r="D1260" s="3" t="s">
        <v>310</v>
      </c>
      <c r="E1260" s="3" t="s">
        <v>1540</v>
      </c>
      <c r="J1260" s="9" t="s">
        <v>12120</v>
      </c>
      <c r="Q1260" s="10"/>
      <c r="U1260" s="9" t="str">
        <f t="shared" ca="1" si="52"/>
        <v/>
      </c>
      <c r="V1260" s="9" t="str">
        <f t="shared" ca="1" si="53"/>
        <v/>
      </c>
      <c r="AC1260" s="9" t="s">
        <v>12144</v>
      </c>
      <c r="AD1260" s="9" t="s">
        <v>19</v>
      </c>
    </row>
    <row r="1261" spans="1:33">
      <c r="A1261" s="3" t="s">
        <v>1539</v>
      </c>
      <c r="D1261" s="3" t="s">
        <v>6288</v>
      </c>
      <c r="E1261" s="3" t="s">
        <v>6289</v>
      </c>
      <c r="J1261" s="9" t="s">
        <v>12120</v>
      </c>
      <c r="Q1261" s="10"/>
      <c r="U1261" s="9" t="str">
        <f t="shared" ca="1" si="52"/>
        <v/>
      </c>
      <c r="V1261" s="9" t="str">
        <f t="shared" ca="1" si="53"/>
        <v/>
      </c>
      <c r="AE1261" s="9" t="s">
        <v>12086</v>
      </c>
    </row>
    <row r="1262" spans="1:33">
      <c r="A1262" s="3" t="s">
        <v>1541</v>
      </c>
      <c r="D1262" s="3" t="s">
        <v>6290</v>
      </c>
      <c r="E1262" s="3" t="s">
        <v>6291</v>
      </c>
      <c r="J1262" s="9" t="s">
        <v>25</v>
      </c>
      <c r="L1262" s="9">
        <v>1</v>
      </c>
      <c r="M1262" s="9">
        <v>4</v>
      </c>
      <c r="N1262" s="9" t="s">
        <v>12094</v>
      </c>
      <c r="O1262" s="9" t="s">
        <v>12079</v>
      </c>
      <c r="Q1262" s="10"/>
      <c r="S1262" s="9">
        <v>4240</v>
      </c>
      <c r="U1262" s="9" t="str">
        <f t="shared" ca="1" si="52"/>
        <v/>
      </c>
      <c r="V1262" s="9" t="str">
        <f t="shared" ca="1" si="53"/>
        <v/>
      </c>
      <c r="AG1262" s="9" t="s">
        <v>19</v>
      </c>
    </row>
    <row r="1263" spans="1:33">
      <c r="A1263" s="3" t="s">
        <v>1542</v>
      </c>
      <c r="D1263" s="3" t="s">
        <v>6292</v>
      </c>
      <c r="E1263" s="3" t="s">
        <v>6293</v>
      </c>
      <c r="H1263" t="s">
        <v>19</v>
      </c>
      <c r="J1263" s="9" t="s">
        <v>24</v>
      </c>
      <c r="L1263" s="9">
        <v>1</v>
      </c>
      <c r="M1263" s="9">
        <v>5</v>
      </c>
      <c r="N1263" s="9" t="s">
        <v>12094</v>
      </c>
      <c r="O1263" s="9" t="s">
        <v>12073</v>
      </c>
      <c r="P1263" s="9" t="s">
        <v>12149</v>
      </c>
      <c r="Q1263" s="10" t="s">
        <v>12143</v>
      </c>
      <c r="S1263" s="9">
        <v>930</v>
      </c>
      <c r="U1263" s="9" t="str">
        <f t="shared" ca="1" si="52"/>
        <v/>
      </c>
      <c r="V1263" s="9" t="str">
        <f t="shared" ca="1" si="53"/>
        <v/>
      </c>
      <c r="AG1263" s="9" t="s">
        <v>20</v>
      </c>
    </row>
    <row r="1264" spans="1:33" ht="29">
      <c r="A1264" s="3" t="s">
        <v>1543</v>
      </c>
      <c r="D1264" s="3" t="s">
        <v>12872</v>
      </c>
      <c r="E1264" s="3" t="s">
        <v>12875</v>
      </c>
      <c r="J1264" s="9" t="s">
        <v>12120</v>
      </c>
      <c r="Q1264" s="10"/>
      <c r="U1264" s="9" t="str">
        <f t="shared" ca="1" si="52"/>
        <v/>
      </c>
      <c r="V1264" s="9" t="str">
        <f t="shared" ca="1" si="53"/>
        <v/>
      </c>
      <c r="AB1264" s="9" t="s">
        <v>12737</v>
      </c>
      <c r="AD1264" s="9" t="s">
        <v>19</v>
      </c>
    </row>
    <row r="1265" spans="1:33" ht="43.5">
      <c r="A1265" s="3" t="s">
        <v>1543</v>
      </c>
      <c r="D1265" s="3" t="s">
        <v>12873</v>
      </c>
      <c r="E1265" s="3" t="s">
        <v>12874</v>
      </c>
      <c r="I1265" t="s">
        <v>5457</v>
      </c>
      <c r="J1265" s="9" t="s">
        <v>26</v>
      </c>
      <c r="Q1265" s="10"/>
      <c r="U1265" s="9" t="str">
        <f t="shared" ca="1" si="52"/>
        <v/>
      </c>
      <c r="V1265" s="9" t="str">
        <f t="shared" ca="1" si="53"/>
        <v/>
      </c>
      <c r="AG1265" s="9" t="s">
        <v>20</v>
      </c>
    </row>
    <row r="1266" spans="1:33">
      <c r="A1266" s="3" t="s">
        <v>1544</v>
      </c>
      <c r="D1266" s="3" t="s">
        <v>1546</v>
      </c>
      <c r="E1266" s="3" t="s">
        <v>1547</v>
      </c>
      <c r="J1266" s="9" t="s">
        <v>12120</v>
      </c>
      <c r="Q1266" s="10"/>
      <c r="U1266" s="9" t="str">
        <f t="shared" ca="1" si="52"/>
        <v/>
      </c>
      <c r="V1266" s="9" t="str">
        <f t="shared" ca="1" si="53"/>
        <v/>
      </c>
      <c r="AE1266" s="9" t="s">
        <v>12077</v>
      </c>
    </row>
    <row r="1267" spans="1:33" ht="29">
      <c r="A1267" s="3" t="s">
        <v>1549</v>
      </c>
      <c r="D1267" s="3" t="s">
        <v>6295</v>
      </c>
      <c r="E1267" s="3" t="s">
        <v>6294</v>
      </c>
      <c r="J1267" s="9" t="s">
        <v>25</v>
      </c>
      <c r="L1267" s="9">
        <v>1</v>
      </c>
      <c r="M1267" s="9">
        <v>5</v>
      </c>
      <c r="N1267" s="9" t="s">
        <v>12098</v>
      </c>
      <c r="O1267" s="9" t="s">
        <v>12079</v>
      </c>
      <c r="Q1267" s="10"/>
      <c r="S1267" s="9">
        <v>1565</v>
      </c>
      <c r="U1267" s="9" t="str">
        <f t="shared" ca="1" si="52"/>
        <v/>
      </c>
      <c r="V1267" s="9" t="str">
        <f t="shared" ca="1" si="53"/>
        <v/>
      </c>
      <c r="AG1267" s="9" t="s">
        <v>19</v>
      </c>
    </row>
    <row r="1268" spans="1:33" ht="29">
      <c r="A1268" s="3" t="s">
        <v>1549</v>
      </c>
      <c r="D1268" s="3" t="s">
        <v>6296</v>
      </c>
      <c r="E1268" s="3" t="s">
        <v>6297</v>
      </c>
      <c r="J1268" s="9" t="s">
        <v>12120</v>
      </c>
      <c r="Q1268" s="10"/>
      <c r="U1268" s="9" t="str">
        <f t="shared" ca="1" si="52"/>
        <v/>
      </c>
      <c r="V1268" s="9" t="str">
        <f t="shared" ca="1" si="53"/>
        <v/>
      </c>
      <c r="AE1268" s="9" t="s">
        <v>12077</v>
      </c>
    </row>
    <row r="1269" spans="1:33">
      <c r="A1269" s="3" t="s">
        <v>1550</v>
      </c>
      <c r="D1269" s="5" t="s">
        <v>1551</v>
      </c>
      <c r="E1269" s="3" t="s">
        <v>1552</v>
      </c>
      <c r="F1269" t="s">
        <v>15</v>
      </c>
      <c r="Q1269" s="10"/>
      <c r="U1269" s="9" t="str">
        <f t="shared" ca="1" si="52"/>
        <v/>
      </c>
      <c r="V1269" s="9" t="str">
        <f t="shared" ca="1" si="53"/>
        <v/>
      </c>
    </row>
    <row r="1270" spans="1:33">
      <c r="A1270" s="3" t="s">
        <v>1550</v>
      </c>
      <c r="D1270" s="3" t="s">
        <v>1553</v>
      </c>
      <c r="E1270" s="3" t="s">
        <v>1554</v>
      </c>
      <c r="J1270" s="9" t="s">
        <v>12118</v>
      </c>
      <c r="Q1270" s="10"/>
      <c r="T1270" s="9" t="s">
        <v>12131</v>
      </c>
      <c r="U1270" s="9" t="str">
        <f t="shared" ca="1" si="52"/>
        <v/>
      </c>
      <c r="V1270" s="9" t="str">
        <f t="shared" ca="1" si="53"/>
        <v/>
      </c>
      <c r="AC1270" s="9" t="s">
        <v>12258</v>
      </c>
      <c r="AD1270" s="9" t="s">
        <v>19</v>
      </c>
      <c r="AE1270" s="9" t="s">
        <v>12086</v>
      </c>
    </row>
    <row r="1271" spans="1:33" ht="29">
      <c r="A1271" s="3" t="s">
        <v>1555</v>
      </c>
      <c r="D1271" s="3" t="s">
        <v>6298</v>
      </c>
      <c r="E1271" s="3" t="s">
        <v>6299</v>
      </c>
      <c r="J1271" s="9" t="s">
        <v>12120</v>
      </c>
      <c r="Q1271" s="10"/>
      <c r="U1271" s="9" t="str">
        <f t="shared" ca="1" si="52"/>
        <v/>
      </c>
      <c r="V1271" s="9" t="str">
        <f t="shared" ca="1" si="53"/>
        <v/>
      </c>
      <c r="AG1271" s="9" t="s">
        <v>20</v>
      </c>
    </row>
    <row r="1272" spans="1:33" ht="29">
      <c r="A1272" s="3" t="s">
        <v>1555</v>
      </c>
      <c r="D1272" s="3" t="s">
        <v>6300</v>
      </c>
      <c r="E1272" s="3" t="s">
        <v>6301</v>
      </c>
      <c r="J1272" s="9" t="s">
        <v>12120</v>
      </c>
      <c r="Q1272" s="10"/>
      <c r="U1272" s="9" t="str">
        <f t="shared" ca="1" si="52"/>
        <v/>
      </c>
      <c r="V1272" s="9" t="str">
        <f t="shared" ca="1" si="53"/>
        <v/>
      </c>
      <c r="AG1272" s="9" t="s">
        <v>19</v>
      </c>
    </row>
    <row r="1273" spans="1:33">
      <c r="A1273" s="3" t="s">
        <v>1555</v>
      </c>
      <c r="D1273" s="3" t="s">
        <v>1556</v>
      </c>
      <c r="E1273" s="3" t="s">
        <v>1557</v>
      </c>
      <c r="J1273" s="9" t="s">
        <v>12120</v>
      </c>
      <c r="Q1273" s="10"/>
      <c r="U1273" s="9" t="str">
        <f t="shared" ca="1" si="52"/>
        <v/>
      </c>
      <c r="V1273" s="9" t="str">
        <f t="shared" ca="1" si="53"/>
        <v/>
      </c>
      <c r="AG1273" s="9" t="s">
        <v>19</v>
      </c>
    </row>
    <row r="1274" spans="1:33">
      <c r="A1274" s="3" t="s">
        <v>1558</v>
      </c>
      <c r="D1274" s="6" t="s">
        <v>6302</v>
      </c>
      <c r="E1274" s="3" t="s">
        <v>6303</v>
      </c>
      <c r="F1274" t="s">
        <v>12</v>
      </c>
      <c r="G1274" t="s">
        <v>19</v>
      </c>
      <c r="J1274" s="9" t="s">
        <v>12120</v>
      </c>
      <c r="Q1274" s="10"/>
      <c r="U1274" s="9" t="str">
        <f t="shared" ca="1" si="52"/>
        <v/>
      </c>
      <c r="V1274" s="9" t="str">
        <f t="shared" ca="1" si="53"/>
        <v/>
      </c>
      <c r="AB1274" s="9" t="s">
        <v>12738</v>
      </c>
      <c r="AD1274" s="9" t="s">
        <v>19</v>
      </c>
      <c r="AF1274" s="9" t="s">
        <v>19</v>
      </c>
    </row>
    <row r="1275" spans="1:33">
      <c r="A1275" s="3" t="s">
        <v>1558</v>
      </c>
      <c r="D1275" s="3" t="s">
        <v>6304</v>
      </c>
      <c r="E1275" s="11" t="s">
        <v>6305</v>
      </c>
      <c r="J1275" s="9" t="s">
        <v>12118</v>
      </c>
      <c r="Q1275" s="10"/>
      <c r="T1275" s="9" t="s">
        <v>12131</v>
      </c>
      <c r="U1275" s="9" t="str">
        <f t="shared" ca="1" si="52"/>
        <v/>
      </c>
      <c r="V1275" s="9" t="str">
        <f t="shared" ca="1" si="53"/>
        <v/>
      </c>
      <c r="AB1275" s="9" t="s">
        <v>12124</v>
      </c>
      <c r="AD1275" s="9" t="s">
        <v>19</v>
      </c>
    </row>
    <row r="1276" spans="1:33">
      <c r="A1276" s="3" t="s">
        <v>1558</v>
      </c>
      <c r="D1276" s="3" t="s">
        <v>6306</v>
      </c>
      <c r="E1276" s="3" t="s">
        <v>6307</v>
      </c>
      <c r="J1276" s="9" t="s">
        <v>25</v>
      </c>
      <c r="L1276" s="9">
        <v>1</v>
      </c>
      <c r="M1276" s="9">
        <v>2</v>
      </c>
      <c r="N1276" s="9" t="s">
        <v>12078</v>
      </c>
      <c r="O1276" s="9" t="s">
        <v>12119</v>
      </c>
      <c r="Q1276" s="10"/>
      <c r="R1276" s="9" t="s">
        <v>12074</v>
      </c>
      <c r="S1276" s="9">
        <v>11843</v>
      </c>
      <c r="U1276" s="9" t="str">
        <f t="shared" ca="1" si="52"/>
        <v/>
      </c>
      <c r="V1276" s="9" t="str">
        <f t="shared" ca="1" si="53"/>
        <v/>
      </c>
      <c r="AG1276" s="9" t="s">
        <v>20</v>
      </c>
    </row>
    <row r="1277" spans="1:33">
      <c r="A1277" s="3" t="s">
        <v>1558</v>
      </c>
      <c r="D1277" s="3" t="s">
        <v>6308</v>
      </c>
      <c r="E1277" s="3" t="s">
        <v>6309</v>
      </c>
      <c r="J1277" s="9" t="s">
        <v>12120</v>
      </c>
      <c r="Q1277" s="10"/>
      <c r="U1277" s="9" t="str">
        <f t="shared" ca="1" si="52"/>
        <v/>
      </c>
      <c r="V1277" s="9" t="str">
        <f t="shared" ca="1" si="53"/>
        <v/>
      </c>
      <c r="AB1277" s="9" t="s">
        <v>12082</v>
      </c>
      <c r="AD1277" s="9" t="s">
        <v>19</v>
      </c>
    </row>
    <row r="1278" spans="1:33">
      <c r="A1278" s="3" t="s">
        <v>1559</v>
      </c>
      <c r="D1278" s="3" t="s">
        <v>12259</v>
      </c>
      <c r="E1278" s="3" t="s">
        <v>12260</v>
      </c>
      <c r="G1278" t="s">
        <v>21</v>
      </c>
      <c r="I1278" t="s">
        <v>6310</v>
      </c>
      <c r="J1278" s="9" t="s">
        <v>12120</v>
      </c>
      <c r="Q1278" s="10"/>
      <c r="U1278" s="9" t="str">
        <f t="shared" ca="1" si="52"/>
        <v/>
      </c>
      <c r="V1278" s="9" t="str">
        <f t="shared" ca="1" si="53"/>
        <v/>
      </c>
    </row>
    <row r="1279" spans="1:33">
      <c r="A1279" s="3" t="s">
        <v>1559</v>
      </c>
      <c r="D1279" s="3" t="s">
        <v>12262</v>
      </c>
      <c r="E1279" s="3" t="s">
        <v>12261</v>
      </c>
      <c r="J1279" s="9" t="s">
        <v>12120</v>
      </c>
      <c r="Q1279" s="10"/>
      <c r="U1279" s="9" t="str">
        <f t="shared" ca="1" si="52"/>
        <v/>
      </c>
      <c r="V1279" s="9" t="str">
        <f t="shared" ca="1" si="53"/>
        <v/>
      </c>
      <c r="AC1279" s="9" t="s">
        <v>12744</v>
      </c>
      <c r="AD1279" s="9" t="s">
        <v>19</v>
      </c>
    </row>
    <row r="1280" spans="1:33" ht="29">
      <c r="A1280" s="3" t="s">
        <v>1563</v>
      </c>
      <c r="D1280" s="3" t="s">
        <v>6311</v>
      </c>
      <c r="E1280" s="3" t="s">
        <v>6312</v>
      </c>
      <c r="J1280" s="9" t="s">
        <v>12120</v>
      </c>
      <c r="Q1280" s="10"/>
      <c r="U1280" s="9" t="str">
        <f t="shared" ca="1" si="52"/>
        <v/>
      </c>
      <c r="V1280" s="9" t="str">
        <f t="shared" ca="1" si="53"/>
        <v/>
      </c>
      <c r="AG1280" s="9" t="s">
        <v>19</v>
      </c>
    </row>
    <row r="1281" spans="1:33" ht="29">
      <c r="A1281" s="3" t="s">
        <v>1565</v>
      </c>
      <c r="D1281" s="3" t="s">
        <v>6313</v>
      </c>
      <c r="E1281" s="3" t="s">
        <v>6314</v>
      </c>
      <c r="J1281" s="9" t="s">
        <v>24</v>
      </c>
      <c r="L1281" s="9">
        <v>1</v>
      </c>
      <c r="M1281" s="9">
        <v>5</v>
      </c>
      <c r="N1281" s="9" t="s">
        <v>12072</v>
      </c>
      <c r="O1281" s="9" t="s">
        <v>12073</v>
      </c>
      <c r="P1281" s="9" t="s">
        <v>12142</v>
      </c>
      <c r="Q1281" s="10" t="s">
        <v>12170</v>
      </c>
      <c r="R1281" s="9" t="s">
        <v>12074</v>
      </c>
      <c r="S1281" s="9">
        <v>45</v>
      </c>
      <c r="U1281" s="9" t="str">
        <f t="shared" ca="1" si="52"/>
        <v/>
      </c>
      <c r="V1281" s="9" t="str">
        <f t="shared" ca="1" si="53"/>
        <v/>
      </c>
      <c r="AE1281" s="9" t="s">
        <v>12083</v>
      </c>
    </row>
    <row r="1282" spans="1:33">
      <c r="A1282" s="3" t="s">
        <v>1566</v>
      </c>
      <c r="D1282" s="3" t="s">
        <v>553</v>
      </c>
      <c r="E1282" s="3" t="s">
        <v>1493</v>
      </c>
      <c r="J1282" s="9" t="s">
        <v>12120</v>
      </c>
      <c r="Q1282" s="10"/>
      <c r="U1282" s="9" t="str">
        <f t="shared" ca="1" si="52"/>
        <v/>
      </c>
      <c r="V1282" s="9" t="str">
        <f t="shared" ca="1" si="53"/>
        <v/>
      </c>
      <c r="AG1282" s="9" t="s">
        <v>20</v>
      </c>
    </row>
    <row r="1283" spans="1:33">
      <c r="A1283" s="3" t="s">
        <v>1566</v>
      </c>
      <c r="D1283" s="3" t="s">
        <v>362</v>
      </c>
      <c r="E1283" s="3" t="s">
        <v>363</v>
      </c>
      <c r="J1283" s="9" t="s">
        <v>12118</v>
      </c>
      <c r="Q1283" s="10"/>
      <c r="T1283" s="9" t="s">
        <v>12131</v>
      </c>
      <c r="U1283" s="9" t="str">
        <f t="shared" ca="1" si="52"/>
        <v/>
      </c>
      <c r="V1283" s="9" t="str">
        <f t="shared" ca="1" si="53"/>
        <v/>
      </c>
      <c r="AC1283" s="9" t="s">
        <v>12130</v>
      </c>
      <c r="AD1283" s="9" t="s">
        <v>19</v>
      </c>
      <c r="AE1283" s="9" t="s">
        <v>12086</v>
      </c>
    </row>
    <row r="1284" spans="1:33">
      <c r="A1284" s="3" t="s">
        <v>1566</v>
      </c>
      <c r="D1284" s="3" t="s">
        <v>1567</v>
      </c>
      <c r="E1284" s="3" t="s">
        <v>1568</v>
      </c>
      <c r="J1284" s="9" t="s">
        <v>12120</v>
      </c>
      <c r="Q1284" s="10"/>
      <c r="U1284" s="9" t="str">
        <f t="shared" ca="1" si="52"/>
        <v/>
      </c>
      <c r="V1284" s="9" t="str">
        <f t="shared" ca="1" si="53"/>
        <v/>
      </c>
      <c r="AG1284" s="9" t="s">
        <v>20</v>
      </c>
    </row>
    <row r="1285" spans="1:33">
      <c r="A1285" s="3" t="s">
        <v>1569</v>
      </c>
      <c r="D1285" s="3" t="s">
        <v>6315</v>
      </c>
      <c r="E1285" s="3" t="s">
        <v>6316</v>
      </c>
      <c r="J1285" s="9" t="s">
        <v>12120</v>
      </c>
      <c r="Q1285" s="10"/>
      <c r="U1285" s="9" t="str">
        <f t="shared" ca="1" si="52"/>
        <v/>
      </c>
      <c r="V1285" s="9" t="str">
        <f t="shared" ca="1" si="53"/>
        <v/>
      </c>
      <c r="AE1285" s="9" t="s">
        <v>12086</v>
      </c>
    </row>
    <row r="1286" spans="1:33" ht="29">
      <c r="A1286" s="3" t="s">
        <v>1569</v>
      </c>
      <c r="D1286" s="3" t="s">
        <v>6318</v>
      </c>
      <c r="E1286" s="3" t="s">
        <v>6317</v>
      </c>
      <c r="J1286" s="9" t="s">
        <v>25</v>
      </c>
      <c r="L1286" s="9">
        <v>1</v>
      </c>
      <c r="M1286" s="9">
        <v>1</v>
      </c>
      <c r="N1286" s="9" t="s">
        <v>12078</v>
      </c>
      <c r="O1286" s="9" t="s">
        <v>12119</v>
      </c>
      <c r="Q1286" s="10"/>
      <c r="S1286" s="9">
        <v>11843</v>
      </c>
      <c r="U1286" s="9" t="str">
        <f t="shared" ca="1" si="52"/>
        <v/>
      </c>
      <c r="V1286" s="9" t="str">
        <f t="shared" ca="1" si="53"/>
        <v/>
      </c>
      <c r="AG1286" s="9" t="s">
        <v>20</v>
      </c>
    </row>
    <row r="1287" spans="1:33" ht="29">
      <c r="A1287" s="3" t="s">
        <v>1569</v>
      </c>
      <c r="D1287" s="3" t="s">
        <v>6319</v>
      </c>
      <c r="E1287" s="3" t="s">
        <v>6320</v>
      </c>
      <c r="J1287" s="9" t="s">
        <v>12118</v>
      </c>
      <c r="Q1287" s="10"/>
      <c r="T1287" s="9" t="s">
        <v>12131</v>
      </c>
      <c r="U1287" s="9" t="str">
        <f t="shared" ca="1" si="52"/>
        <v/>
      </c>
      <c r="V1287" s="9" t="str">
        <f t="shared" ca="1" si="53"/>
        <v/>
      </c>
      <c r="AE1287" s="9" t="s">
        <v>12077</v>
      </c>
    </row>
    <row r="1288" spans="1:33">
      <c r="A1288" s="3" t="s">
        <v>1570</v>
      </c>
      <c r="D1288" s="3" t="s">
        <v>6321</v>
      </c>
      <c r="E1288" s="3" t="s">
        <v>6322</v>
      </c>
      <c r="J1288" s="9" t="s">
        <v>24</v>
      </c>
      <c r="L1288" s="9">
        <v>1</v>
      </c>
      <c r="M1288" s="9">
        <v>3</v>
      </c>
      <c r="N1288" s="9" t="s">
        <v>12078</v>
      </c>
      <c r="O1288" s="9" t="s">
        <v>12079</v>
      </c>
      <c r="Q1288" s="10"/>
      <c r="S1288" s="9">
        <v>11843</v>
      </c>
      <c r="U1288" s="9" t="str">
        <f t="shared" ca="1" si="52"/>
        <v/>
      </c>
      <c r="V1288" s="9" t="str">
        <f t="shared" ca="1" si="53"/>
        <v/>
      </c>
      <c r="AG1288" s="9" t="s">
        <v>13141</v>
      </c>
    </row>
    <row r="1289" spans="1:33">
      <c r="A1289" s="3" t="s">
        <v>1571</v>
      </c>
      <c r="D1289" s="3" t="s">
        <v>6323</v>
      </c>
      <c r="E1289" s="3" t="s">
        <v>6324</v>
      </c>
      <c r="J1289" s="9" t="s">
        <v>24</v>
      </c>
      <c r="L1289" s="9">
        <v>1</v>
      </c>
      <c r="M1289" s="9">
        <v>1</v>
      </c>
      <c r="N1289" s="9" t="s">
        <v>12078</v>
      </c>
      <c r="O1289" s="9" t="s">
        <v>12119</v>
      </c>
      <c r="Q1289" s="10"/>
      <c r="S1289" s="9">
        <v>11843</v>
      </c>
      <c r="U1289" s="9" t="str">
        <f t="shared" ca="1" si="52"/>
        <v/>
      </c>
      <c r="V1289" s="9" t="str">
        <f t="shared" ca="1" si="53"/>
        <v/>
      </c>
      <c r="AG1289" s="9" t="s">
        <v>19</v>
      </c>
    </row>
    <row r="1290" spans="1:33">
      <c r="A1290" s="3" t="s">
        <v>1571</v>
      </c>
      <c r="D1290" s="3" t="s">
        <v>6325</v>
      </c>
      <c r="E1290" s="3" t="s">
        <v>6326</v>
      </c>
      <c r="J1290" s="9" t="s">
        <v>24</v>
      </c>
      <c r="L1290" s="9">
        <v>1</v>
      </c>
      <c r="M1290" s="9">
        <v>3</v>
      </c>
      <c r="N1290" s="9" t="s">
        <v>12087</v>
      </c>
      <c r="O1290" s="9" t="s">
        <v>12079</v>
      </c>
      <c r="Q1290" s="10"/>
      <c r="S1290" s="9">
        <v>810</v>
      </c>
      <c r="U1290" s="9" t="str">
        <f t="shared" ca="1" si="52"/>
        <v/>
      </c>
      <c r="V1290" s="9" t="str">
        <f t="shared" ca="1" si="53"/>
        <v/>
      </c>
      <c r="AG1290" s="9" t="s">
        <v>19</v>
      </c>
    </row>
    <row r="1291" spans="1:33">
      <c r="A1291" s="3" t="s">
        <v>1571</v>
      </c>
      <c r="D1291" s="3" t="s">
        <v>6327</v>
      </c>
      <c r="E1291" s="3" t="s">
        <v>6328</v>
      </c>
      <c r="G1291" t="s">
        <v>19</v>
      </c>
      <c r="J1291" s="9" t="s">
        <v>12118</v>
      </c>
      <c r="Q1291" s="10"/>
      <c r="T1291" s="9">
        <f>11843-4240</f>
        <v>7603</v>
      </c>
      <c r="U1291" s="9">
        <f t="shared" ref="U1291:U1354" ca="1" si="54">IF(ISNUMBER(T1291),VALUE(MID(_xlfn.FORMULATEXT(T1291),SEARCH("-",_xlfn.FORMULATEXT(T1291))+1,LEN(_xlfn.FORMULATEXT(T1291))-SEARCH("-",_xlfn.FORMULATEXT(T1291)))), "")</f>
        <v>4240</v>
      </c>
      <c r="V1291" s="9">
        <f t="shared" ref="V1291:V1354" ca="1" si="55">IF(ISNUMBER(T1291), VALUE(MID(_xlfn.FORMULATEXT(T1291), 2, SEARCH("-", _xlfn.FORMULATEXT(T1291)) - 2)), "")</f>
        <v>11843</v>
      </c>
    </row>
    <row r="1292" spans="1:33" ht="29">
      <c r="A1292" s="3" t="s">
        <v>1572</v>
      </c>
      <c r="D1292" s="3" t="s">
        <v>6329</v>
      </c>
      <c r="E1292" s="3" t="s">
        <v>6330</v>
      </c>
      <c r="J1292" s="9" t="s">
        <v>12118</v>
      </c>
      <c r="Q1292" s="10"/>
      <c r="T1292" s="9" t="s">
        <v>12131</v>
      </c>
      <c r="U1292" s="9" t="str">
        <f t="shared" ca="1" si="54"/>
        <v/>
      </c>
      <c r="V1292" s="9" t="str">
        <f t="shared" ca="1" si="55"/>
        <v/>
      </c>
      <c r="AB1292" s="9" t="s">
        <v>12124</v>
      </c>
      <c r="AD1292" s="9" t="s">
        <v>19</v>
      </c>
    </row>
    <row r="1293" spans="1:33" ht="29">
      <c r="A1293" s="3" t="s">
        <v>1572</v>
      </c>
      <c r="D1293" s="3" t="s">
        <v>6331</v>
      </c>
      <c r="E1293" s="3" t="s">
        <v>6332</v>
      </c>
      <c r="G1293" t="s">
        <v>19</v>
      </c>
      <c r="J1293" s="9" t="s">
        <v>12118</v>
      </c>
      <c r="Q1293" s="10"/>
      <c r="T1293" s="9" t="s">
        <v>12131</v>
      </c>
      <c r="U1293" s="9" t="str">
        <f t="shared" ca="1" si="54"/>
        <v/>
      </c>
      <c r="V1293" s="9" t="str">
        <f t="shared" ca="1" si="55"/>
        <v/>
      </c>
      <c r="AC1293" s="9" t="s">
        <v>12743</v>
      </c>
      <c r="AD1293" s="9" t="s">
        <v>19</v>
      </c>
      <c r="AE1293" s="9" t="s">
        <v>12086</v>
      </c>
    </row>
    <row r="1294" spans="1:33" ht="43.5">
      <c r="A1294" s="3" t="s">
        <v>1572</v>
      </c>
      <c r="D1294" s="3" t="s">
        <v>6335</v>
      </c>
      <c r="E1294" s="3" t="s">
        <v>6336</v>
      </c>
      <c r="I1294" t="s">
        <v>5457</v>
      </c>
      <c r="J1294" s="9" t="s">
        <v>26</v>
      </c>
      <c r="Q1294" s="10"/>
      <c r="U1294" s="9" t="str">
        <f t="shared" ca="1" si="54"/>
        <v/>
      </c>
      <c r="V1294" s="9" t="str">
        <f t="shared" ca="1" si="55"/>
        <v/>
      </c>
      <c r="AG1294" s="9" t="s">
        <v>19</v>
      </c>
    </row>
    <row r="1295" spans="1:33" ht="43.5">
      <c r="A1295" s="3" t="s">
        <v>1572</v>
      </c>
      <c r="D1295" s="3" t="s">
        <v>6333</v>
      </c>
      <c r="E1295" s="3" t="s">
        <v>6334</v>
      </c>
      <c r="G1295" t="s">
        <v>19</v>
      </c>
      <c r="J1295" s="9" t="s">
        <v>12120</v>
      </c>
      <c r="Q1295" s="10"/>
      <c r="U1295" s="9" t="str">
        <f t="shared" ca="1" si="54"/>
        <v/>
      </c>
      <c r="V1295" s="9" t="str">
        <f t="shared" ca="1" si="55"/>
        <v/>
      </c>
      <c r="AB1295" s="9" t="s">
        <v>12738</v>
      </c>
      <c r="AD1295" s="9" t="s">
        <v>19</v>
      </c>
    </row>
    <row r="1296" spans="1:33">
      <c r="A1296" s="3" t="s">
        <v>1573</v>
      </c>
      <c r="D1296" s="11" t="s">
        <v>6338</v>
      </c>
      <c r="E1296" s="11" t="s">
        <v>6337</v>
      </c>
      <c r="G1296" t="s">
        <v>19</v>
      </c>
      <c r="J1296" s="9" t="s">
        <v>25</v>
      </c>
      <c r="L1296" s="9">
        <v>1</v>
      </c>
      <c r="M1296" s="9">
        <v>2</v>
      </c>
      <c r="N1296" s="9" t="s">
        <v>12087</v>
      </c>
      <c r="O1296" s="9" t="s">
        <v>12119</v>
      </c>
      <c r="Q1296" s="10"/>
      <c r="S1296" s="9">
        <v>1966</v>
      </c>
      <c r="U1296" s="9" t="str">
        <f t="shared" ca="1" si="54"/>
        <v/>
      </c>
      <c r="V1296" s="9" t="str">
        <f t="shared" ca="1" si="55"/>
        <v/>
      </c>
    </row>
    <row r="1297" spans="1:33">
      <c r="A1297" s="3" t="s">
        <v>1573</v>
      </c>
      <c r="D1297" s="3" t="s">
        <v>6340</v>
      </c>
      <c r="E1297" s="3" t="s">
        <v>6339</v>
      </c>
      <c r="J1297" s="9" t="s">
        <v>24</v>
      </c>
      <c r="L1297" s="9">
        <v>1</v>
      </c>
      <c r="M1297" s="9">
        <v>3</v>
      </c>
      <c r="N1297" s="9" t="s">
        <v>12087</v>
      </c>
      <c r="O1297" s="9" t="s">
        <v>12079</v>
      </c>
      <c r="Q1297" s="10"/>
      <c r="S1297" s="9">
        <v>67</v>
      </c>
      <c r="U1297" s="9" t="str">
        <f t="shared" ca="1" si="54"/>
        <v/>
      </c>
      <c r="V1297" s="9" t="str">
        <f t="shared" ca="1" si="55"/>
        <v/>
      </c>
      <c r="AG1297" s="9" t="s">
        <v>19</v>
      </c>
    </row>
    <row r="1298" spans="1:33">
      <c r="A1298" s="3" t="s">
        <v>1573</v>
      </c>
      <c r="D1298" s="3" t="s">
        <v>1574</v>
      </c>
      <c r="E1298" s="3" t="s">
        <v>6341</v>
      </c>
      <c r="G1298" t="s">
        <v>19</v>
      </c>
      <c r="J1298" s="9" t="s">
        <v>12118</v>
      </c>
      <c r="Q1298" s="10"/>
      <c r="T1298" s="9" t="s">
        <v>12131</v>
      </c>
      <c r="U1298" s="9" t="str">
        <f t="shared" ca="1" si="54"/>
        <v/>
      </c>
      <c r="V1298" s="9" t="str">
        <f t="shared" ca="1" si="55"/>
        <v/>
      </c>
      <c r="AE1298" s="9" t="s">
        <v>12086</v>
      </c>
    </row>
    <row r="1299" spans="1:33" ht="29">
      <c r="A1299" s="3" t="s">
        <v>1573</v>
      </c>
      <c r="D1299" s="3" t="s">
        <v>6342</v>
      </c>
      <c r="E1299" s="3" t="s">
        <v>6343</v>
      </c>
      <c r="J1299" s="9" t="s">
        <v>12120</v>
      </c>
      <c r="Q1299" s="10"/>
      <c r="U1299" s="9" t="str">
        <f t="shared" ca="1" si="54"/>
        <v/>
      </c>
      <c r="V1299" s="9" t="str">
        <f t="shared" ca="1" si="55"/>
        <v/>
      </c>
      <c r="AG1299" s="9" t="s">
        <v>19</v>
      </c>
    </row>
    <row r="1300" spans="1:33">
      <c r="A1300" s="3" t="s">
        <v>1575</v>
      </c>
      <c r="D1300" s="3" t="s">
        <v>1576</v>
      </c>
      <c r="E1300" s="3" t="s">
        <v>1577</v>
      </c>
      <c r="J1300" s="9" t="s">
        <v>12120</v>
      </c>
      <c r="Q1300" s="10"/>
      <c r="U1300" s="9" t="str">
        <f t="shared" ca="1" si="54"/>
        <v/>
      </c>
      <c r="V1300" s="9" t="str">
        <f t="shared" ca="1" si="55"/>
        <v/>
      </c>
      <c r="AG1300" s="9" t="s">
        <v>19</v>
      </c>
    </row>
    <row r="1301" spans="1:33">
      <c r="A1301" s="3" t="s">
        <v>1578</v>
      </c>
      <c r="D1301" s="3" t="s">
        <v>6345</v>
      </c>
      <c r="E1301" s="3" t="s">
        <v>6346</v>
      </c>
      <c r="I1301" t="s">
        <v>12263</v>
      </c>
      <c r="J1301" s="9" t="s">
        <v>12118</v>
      </c>
      <c r="Q1301" s="10"/>
      <c r="T1301" s="9">
        <f>810-227</f>
        <v>583</v>
      </c>
      <c r="U1301" s="9">
        <f t="shared" ca="1" si="54"/>
        <v>227</v>
      </c>
      <c r="V1301" s="9">
        <f t="shared" ca="1" si="55"/>
        <v>810</v>
      </c>
      <c r="AG1301" s="9" t="s">
        <v>19</v>
      </c>
    </row>
    <row r="1302" spans="1:33">
      <c r="A1302" s="3" t="s">
        <v>1578</v>
      </c>
      <c r="D1302" s="3" t="s">
        <v>6344</v>
      </c>
      <c r="E1302" s="3" t="s">
        <v>6347</v>
      </c>
      <c r="J1302" s="9" t="s">
        <v>24</v>
      </c>
      <c r="L1302" s="9">
        <v>1</v>
      </c>
      <c r="M1302" s="9">
        <v>1</v>
      </c>
      <c r="N1302" s="9" t="s">
        <v>12078</v>
      </c>
      <c r="O1302" s="9" t="s">
        <v>12119</v>
      </c>
      <c r="Q1302" s="10"/>
      <c r="S1302" s="9">
        <v>11843</v>
      </c>
      <c r="U1302" s="9" t="str">
        <f t="shared" ca="1" si="54"/>
        <v/>
      </c>
      <c r="V1302" s="9" t="str">
        <f t="shared" ca="1" si="55"/>
        <v/>
      </c>
      <c r="AG1302" s="9" t="s">
        <v>19</v>
      </c>
    </row>
    <row r="1303" spans="1:33">
      <c r="A1303" s="3" t="s">
        <v>1579</v>
      </c>
      <c r="D1303" s="3" t="s">
        <v>6348</v>
      </c>
      <c r="E1303" s="3" t="s">
        <v>1580</v>
      </c>
      <c r="J1303" s="9" t="s">
        <v>12120</v>
      </c>
      <c r="Q1303" s="10"/>
      <c r="U1303" s="9" t="str">
        <f t="shared" ca="1" si="54"/>
        <v/>
      </c>
      <c r="V1303" s="9" t="str">
        <f t="shared" ca="1" si="55"/>
        <v/>
      </c>
      <c r="AC1303" s="9" t="s">
        <v>12173</v>
      </c>
      <c r="AD1303" s="9" t="s">
        <v>19</v>
      </c>
    </row>
    <row r="1304" spans="1:33">
      <c r="A1304" s="3" t="s">
        <v>1581</v>
      </c>
      <c r="D1304" s="3" t="s">
        <v>1383</v>
      </c>
      <c r="E1304" s="3" t="s">
        <v>634</v>
      </c>
      <c r="J1304" s="9" t="s">
        <v>12118</v>
      </c>
      <c r="Q1304" s="10"/>
      <c r="T1304" s="9" t="s">
        <v>12131</v>
      </c>
      <c r="U1304" s="9" t="str">
        <f t="shared" ca="1" si="54"/>
        <v/>
      </c>
      <c r="V1304" s="9" t="str">
        <f t="shared" ca="1" si="55"/>
        <v/>
      </c>
      <c r="AB1304" s="9" t="s">
        <v>12124</v>
      </c>
      <c r="AC1304" s="9" t="s">
        <v>12740</v>
      </c>
      <c r="AD1304" s="9" t="s">
        <v>19</v>
      </c>
    </row>
    <row r="1305" spans="1:33">
      <c r="A1305" s="3" t="s">
        <v>1582</v>
      </c>
      <c r="D1305" s="3" t="s">
        <v>6349</v>
      </c>
      <c r="E1305" s="3" t="s">
        <v>6349</v>
      </c>
      <c r="G1305" t="s">
        <v>20</v>
      </c>
      <c r="I1305" t="s">
        <v>6350</v>
      </c>
      <c r="Q1305" s="10"/>
      <c r="U1305" s="9" t="str">
        <f t="shared" ca="1" si="54"/>
        <v/>
      </c>
      <c r="V1305" s="9" t="str">
        <f t="shared" ca="1" si="55"/>
        <v/>
      </c>
    </row>
    <row r="1306" spans="1:33">
      <c r="A1306" s="3" t="s">
        <v>1583</v>
      </c>
      <c r="D1306" s="3" t="s">
        <v>6351</v>
      </c>
      <c r="E1306" s="3" t="s">
        <v>6352</v>
      </c>
      <c r="J1306" s="9" t="s">
        <v>12118</v>
      </c>
      <c r="Q1306" s="10"/>
      <c r="T1306" s="9">
        <f>5676-1966</f>
        <v>3710</v>
      </c>
      <c r="U1306" s="9">
        <f t="shared" ca="1" si="54"/>
        <v>1966</v>
      </c>
      <c r="V1306" s="9">
        <f t="shared" ca="1" si="55"/>
        <v>5676</v>
      </c>
      <c r="AG1306" s="9" t="s">
        <v>19</v>
      </c>
    </row>
    <row r="1307" spans="1:33">
      <c r="A1307" s="3" t="s">
        <v>1584</v>
      </c>
      <c r="D1307" s="3" t="s">
        <v>6353</v>
      </c>
      <c r="E1307" s="3" t="s">
        <v>6354</v>
      </c>
      <c r="J1307" s="9" t="s">
        <v>25</v>
      </c>
      <c r="L1307" s="9">
        <v>2</v>
      </c>
      <c r="M1307" s="9">
        <v>4</v>
      </c>
      <c r="O1307" s="9" t="s">
        <v>12073</v>
      </c>
      <c r="P1307" s="9" t="s">
        <v>12142</v>
      </c>
      <c r="Q1307" s="10" t="s">
        <v>12143</v>
      </c>
      <c r="S1307" s="9">
        <v>635</v>
      </c>
      <c r="U1307" s="9" t="str">
        <f t="shared" ca="1" si="54"/>
        <v/>
      </c>
      <c r="V1307" s="9" t="str">
        <f t="shared" ca="1" si="55"/>
        <v/>
      </c>
      <c r="AG1307" s="9" t="s">
        <v>19</v>
      </c>
    </row>
    <row r="1308" spans="1:33">
      <c r="A1308" s="3" t="s">
        <v>1584</v>
      </c>
      <c r="D1308" s="3" t="s">
        <v>1235</v>
      </c>
      <c r="E1308" s="5" t="s">
        <v>1585</v>
      </c>
      <c r="F1308" t="s">
        <v>16</v>
      </c>
      <c r="Q1308" s="10"/>
      <c r="U1308" s="9" t="str">
        <f t="shared" ca="1" si="54"/>
        <v/>
      </c>
      <c r="V1308" s="9" t="str">
        <f t="shared" ca="1" si="55"/>
        <v/>
      </c>
    </row>
    <row r="1309" spans="1:33">
      <c r="A1309" s="3" t="s">
        <v>1584</v>
      </c>
      <c r="D1309" s="3" t="s">
        <v>1586</v>
      </c>
      <c r="E1309" s="3" t="s">
        <v>6355</v>
      </c>
      <c r="G1309" t="s">
        <v>19</v>
      </c>
      <c r="J1309" s="9" t="s">
        <v>12120</v>
      </c>
      <c r="Q1309" s="10"/>
      <c r="U1309" s="9" t="str">
        <f t="shared" ca="1" si="54"/>
        <v/>
      </c>
      <c r="V1309" s="9" t="str">
        <f t="shared" ca="1" si="55"/>
        <v/>
      </c>
      <c r="AC1309" s="9" t="s">
        <v>12166</v>
      </c>
      <c r="AD1309" s="9" t="s">
        <v>19</v>
      </c>
      <c r="AE1309" s="9" t="s">
        <v>12089</v>
      </c>
    </row>
    <row r="1310" spans="1:33" ht="43.5">
      <c r="A1310" s="3" t="s">
        <v>1587</v>
      </c>
      <c r="D1310" s="3" t="s">
        <v>6357</v>
      </c>
      <c r="E1310" s="3" t="s">
        <v>6356</v>
      </c>
      <c r="J1310" s="9" t="s">
        <v>25</v>
      </c>
      <c r="L1310" s="9">
        <v>1</v>
      </c>
      <c r="M1310" s="9">
        <v>1</v>
      </c>
      <c r="N1310" s="9" t="s">
        <v>12078</v>
      </c>
      <c r="O1310" s="9" t="s">
        <v>12119</v>
      </c>
      <c r="Q1310" s="10"/>
      <c r="S1310" s="9">
        <v>11843</v>
      </c>
      <c r="U1310" s="9" t="str">
        <f t="shared" ca="1" si="54"/>
        <v/>
      </c>
      <c r="V1310" s="9" t="str">
        <f t="shared" ca="1" si="55"/>
        <v/>
      </c>
      <c r="AG1310" s="9" t="s">
        <v>20</v>
      </c>
    </row>
    <row r="1311" spans="1:33" ht="43.5">
      <c r="A1311" s="3" t="s">
        <v>1587</v>
      </c>
      <c r="D1311" s="3" t="s">
        <v>6358</v>
      </c>
      <c r="E1311" s="3" t="s">
        <v>6359</v>
      </c>
      <c r="G1311" t="s">
        <v>21</v>
      </c>
      <c r="I1311" t="s">
        <v>6362</v>
      </c>
      <c r="J1311" s="9" t="s">
        <v>12118</v>
      </c>
      <c r="Q1311" s="10"/>
      <c r="T1311" s="9" t="s">
        <v>12131</v>
      </c>
      <c r="U1311" s="9" t="str">
        <f t="shared" ca="1" si="54"/>
        <v/>
      </c>
      <c r="V1311" s="9" t="str">
        <f t="shared" ca="1" si="55"/>
        <v/>
      </c>
      <c r="AE1311" s="9" t="s">
        <v>12086</v>
      </c>
    </row>
    <row r="1312" spans="1:33" ht="43.5">
      <c r="A1312" s="3" t="s">
        <v>1587</v>
      </c>
      <c r="D1312" s="3" t="s">
        <v>6360</v>
      </c>
      <c r="E1312" s="3" t="s">
        <v>6361</v>
      </c>
      <c r="J1312" s="9" t="s">
        <v>12120</v>
      </c>
      <c r="Q1312" s="10"/>
      <c r="U1312" s="9" t="str">
        <f t="shared" ca="1" si="54"/>
        <v/>
      </c>
      <c r="V1312" s="9" t="str">
        <f t="shared" ca="1" si="55"/>
        <v/>
      </c>
      <c r="AG1312" s="9" t="s">
        <v>19</v>
      </c>
    </row>
    <row r="1313" spans="1:33">
      <c r="A1313" s="3" t="s">
        <v>1587</v>
      </c>
      <c r="D1313" s="3" t="s">
        <v>1588</v>
      </c>
      <c r="E1313" s="3" t="s">
        <v>6363</v>
      </c>
      <c r="G1313" t="s">
        <v>19</v>
      </c>
      <c r="J1313" s="9" t="s">
        <v>12118</v>
      </c>
      <c r="Q1313" s="10"/>
      <c r="T1313" s="9" t="s">
        <v>12131</v>
      </c>
      <c r="U1313" s="9" t="str">
        <f t="shared" ca="1" si="54"/>
        <v/>
      </c>
      <c r="V1313" s="9" t="str">
        <f t="shared" ca="1" si="55"/>
        <v/>
      </c>
      <c r="AE1313" s="9" t="s">
        <v>12086</v>
      </c>
    </row>
    <row r="1314" spans="1:33">
      <c r="A1314" s="3" t="s">
        <v>1589</v>
      </c>
      <c r="D1314" s="3" t="s">
        <v>6364</v>
      </c>
      <c r="E1314" s="3" t="s">
        <v>6365</v>
      </c>
      <c r="G1314" t="s">
        <v>19</v>
      </c>
      <c r="J1314" s="9" t="s">
        <v>24</v>
      </c>
      <c r="L1314" s="9">
        <v>1</v>
      </c>
      <c r="M1314" s="9">
        <v>1</v>
      </c>
      <c r="N1314" s="9" t="s">
        <v>12078</v>
      </c>
      <c r="O1314" s="9" t="s">
        <v>12119</v>
      </c>
      <c r="Q1314" s="10"/>
      <c r="S1314" s="9">
        <v>11843</v>
      </c>
      <c r="U1314" s="9" t="str">
        <f t="shared" ca="1" si="54"/>
        <v/>
      </c>
      <c r="V1314" s="9" t="str">
        <f t="shared" ca="1" si="55"/>
        <v/>
      </c>
    </row>
    <row r="1315" spans="1:33">
      <c r="A1315" s="3" t="s">
        <v>1589</v>
      </c>
      <c r="D1315" s="3" t="s">
        <v>6366</v>
      </c>
      <c r="E1315" s="5" t="s">
        <v>6367</v>
      </c>
      <c r="F1315" t="s">
        <v>32</v>
      </c>
      <c r="G1315" t="s">
        <v>19</v>
      </c>
      <c r="I1315" t="s">
        <v>13013</v>
      </c>
      <c r="J1315" s="9" t="s">
        <v>24</v>
      </c>
      <c r="L1315" s="9">
        <v>1</v>
      </c>
      <c r="M1315" s="9">
        <v>3</v>
      </c>
      <c r="N1315" s="9" t="s">
        <v>12087</v>
      </c>
      <c r="O1315" s="9" t="s">
        <v>12079</v>
      </c>
      <c r="Q1315" s="10"/>
      <c r="S1315" s="9">
        <v>5676</v>
      </c>
      <c r="U1315" s="9" t="str">
        <f t="shared" ca="1" si="54"/>
        <v/>
      </c>
      <c r="V1315" s="9" t="str">
        <f t="shared" ca="1" si="55"/>
        <v/>
      </c>
    </row>
    <row r="1316" spans="1:33">
      <c r="A1316" s="3" t="s">
        <v>1590</v>
      </c>
      <c r="D1316" s="3" t="s">
        <v>6368</v>
      </c>
      <c r="E1316" s="3" t="s">
        <v>6369</v>
      </c>
      <c r="J1316" s="9" t="s">
        <v>25</v>
      </c>
      <c r="L1316" s="9">
        <v>1</v>
      </c>
      <c r="M1316" s="9">
        <v>3</v>
      </c>
      <c r="N1316" s="9" t="s">
        <v>12087</v>
      </c>
      <c r="O1316" s="9" t="s">
        <v>12079</v>
      </c>
      <c r="Q1316" s="10"/>
      <c r="S1316" s="9">
        <v>309</v>
      </c>
      <c r="U1316" s="9" t="str">
        <f t="shared" ca="1" si="54"/>
        <v/>
      </c>
      <c r="V1316" s="9" t="str">
        <f t="shared" ca="1" si="55"/>
        <v/>
      </c>
      <c r="AG1316" s="9" t="s">
        <v>19</v>
      </c>
    </row>
    <row r="1317" spans="1:33">
      <c r="A1317" s="3" t="s">
        <v>1591</v>
      </c>
      <c r="D1317" s="3" t="s">
        <v>6370</v>
      </c>
      <c r="E1317" s="3" t="s">
        <v>6371</v>
      </c>
      <c r="J1317" s="9" t="s">
        <v>12120</v>
      </c>
      <c r="Q1317" s="10"/>
      <c r="U1317" s="9" t="str">
        <f t="shared" ca="1" si="54"/>
        <v/>
      </c>
      <c r="V1317" s="9" t="str">
        <f t="shared" ca="1" si="55"/>
        <v/>
      </c>
      <c r="AE1317" s="9" t="s">
        <v>12086</v>
      </c>
    </row>
    <row r="1318" spans="1:33">
      <c r="A1318" s="3" t="s">
        <v>1591</v>
      </c>
      <c r="D1318" s="3" t="s">
        <v>6372</v>
      </c>
      <c r="E1318" s="3" t="s">
        <v>6373</v>
      </c>
      <c r="G1318" t="s">
        <v>19</v>
      </c>
      <c r="J1318" s="9" t="s">
        <v>12121</v>
      </c>
      <c r="Q1318" s="10"/>
      <c r="T1318" s="9">
        <f>113-0</f>
        <v>113</v>
      </c>
      <c r="U1318" s="9">
        <f t="shared" ca="1" si="54"/>
        <v>0</v>
      </c>
      <c r="V1318" s="9">
        <f t="shared" ca="1" si="55"/>
        <v>113</v>
      </c>
      <c r="AC1318" s="9" t="s">
        <v>12173</v>
      </c>
      <c r="AD1318" s="9" t="s">
        <v>19</v>
      </c>
    </row>
    <row r="1319" spans="1:33">
      <c r="A1319" s="3" t="s">
        <v>1592</v>
      </c>
      <c r="D1319" s="3" t="s">
        <v>6374</v>
      </c>
      <c r="E1319" s="3" t="s">
        <v>6375</v>
      </c>
      <c r="J1319" s="9" t="s">
        <v>12118</v>
      </c>
      <c r="Q1319" s="10"/>
      <c r="T1319" s="9">
        <f>1294-560</f>
        <v>734</v>
      </c>
      <c r="U1319" s="9">
        <f t="shared" ca="1" si="54"/>
        <v>560</v>
      </c>
      <c r="V1319" s="9">
        <f t="shared" ca="1" si="55"/>
        <v>1294</v>
      </c>
      <c r="AG1319" s="9" t="s">
        <v>20</v>
      </c>
    </row>
    <row r="1320" spans="1:33">
      <c r="A1320" s="3" t="s">
        <v>1593</v>
      </c>
      <c r="D1320" s="3" t="s">
        <v>6376</v>
      </c>
      <c r="E1320" s="3" t="s">
        <v>6377</v>
      </c>
      <c r="J1320" s="9" t="s">
        <v>25</v>
      </c>
      <c r="L1320" s="9">
        <v>1</v>
      </c>
      <c r="M1320" s="9">
        <v>1</v>
      </c>
      <c r="N1320" s="9" t="s">
        <v>12072</v>
      </c>
      <c r="O1320" s="9" t="s">
        <v>12119</v>
      </c>
      <c r="Q1320" s="10"/>
      <c r="S1320" s="9">
        <v>34</v>
      </c>
      <c r="U1320" s="9" t="str">
        <f t="shared" ca="1" si="54"/>
        <v/>
      </c>
      <c r="V1320" s="9" t="str">
        <f t="shared" ca="1" si="55"/>
        <v/>
      </c>
      <c r="AG1320" s="9" t="s">
        <v>20</v>
      </c>
    </row>
    <row r="1321" spans="1:33" ht="29">
      <c r="A1321" s="3" t="s">
        <v>1594</v>
      </c>
      <c r="D1321" s="3" t="s">
        <v>6378</v>
      </c>
      <c r="E1321" s="3" t="s">
        <v>6379</v>
      </c>
      <c r="J1321" s="9" t="s">
        <v>25</v>
      </c>
      <c r="L1321" s="9">
        <v>1</v>
      </c>
      <c r="M1321" s="9">
        <v>10</v>
      </c>
      <c r="N1321" s="9" t="s">
        <v>12098</v>
      </c>
      <c r="O1321" s="9" t="s">
        <v>12073</v>
      </c>
      <c r="P1321" s="9" t="s">
        <v>12142</v>
      </c>
      <c r="Q1321" s="10" t="s">
        <v>12143</v>
      </c>
      <c r="S1321" s="9">
        <v>0</v>
      </c>
      <c r="U1321" s="9" t="str">
        <f t="shared" ca="1" si="54"/>
        <v/>
      </c>
      <c r="V1321" s="9" t="str">
        <f t="shared" ca="1" si="55"/>
        <v/>
      </c>
      <c r="AG1321" s="9" t="s">
        <v>19</v>
      </c>
    </row>
    <row r="1322" spans="1:33">
      <c r="A1322" s="3" t="s">
        <v>1594</v>
      </c>
      <c r="D1322" s="3" t="s">
        <v>1595</v>
      </c>
      <c r="E1322" s="3" t="s">
        <v>6380</v>
      </c>
      <c r="G1322" t="s">
        <v>19</v>
      </c>
      <c r="J1322" s="9" t="s">
        <v>12118</v>
      </c>
      <c r="Q1322" s="10"/>
      <c r="T1322" s="9">
        <f>16-3</f>
        <v>13</v>
      </c>
      <c r="U1322" s="9">
        <f t="shared" ca="1" si="54"/>
        <v>3</v>
      </c>
      <c r="V1322" s="9">
        <f t="shared" ca="1" si="55"/>
        <v>16</v>
      </c>
    </row>
    <row r="1323" spans="1:33">
      <c r="A1323" s="3" t="s">
        <v>1594</v>
      </c>
      <c r="D1323" s="3" t="s">
        <v>6381</v>
      </c>
      <c r="E1323" s="3" t="s">
        <v>1596</v>
      </c>
      <c r="J1323" s="9" t="s">
        <v>12118</v>
      </c>
      <c r="Q1323" s="10"/>
      <c r="T1323" s="9" t="s">
        <v>12131</v>
      </c>
      <c r="U1323" s="9" t="str">
        <f t="shared" ca="1" si="54"/>
        <v/>
      </c>
      <c r="V1323" s="9" t="str">
        <f t="shared" ca="1" si="55"/>
        <v/>
      </c>
      <c r="AB1323" s="9" t="s">
        <v>12124</v>
      </c>
      <c r="AD1323" s="9" t="s">
        <v>19</v>
      </c>
    </row>
    <row r="1324" spans="1:33">
      <c r="A1324" s="3" t="s">
        <v>1597</v>
      </c>
      <c r="D1324" s="3" t="s">
        <v>316</v>
      </c>
      <c r="E1324" s="3" t="s">
        <v>776</v>
      </c>
      <c r="J1324" s="9" t="s">
        <v>12121</v>
      </c>
      <c r="Q1324" s="10"/>
      <c r="T1324" s="9">
        <f>336-3</f>
        <v>333</v>
      </c>
      <c r="U1324" s="9">
        <f t="shared" ca="1" si="54"/>
        <v>3</v>
      </c>
      <c r="V1324" s="9">
        <f t="shared" ca="1" si="55"/>
        <v>336</v>
      </c>
      <c r="AC1324" s="9" t="s">
        <v>12173</v>
      </c>
      <c r="AD1324" s="9" t="s">
        <v>19</v>
      </c>
      <c r="AE1324" s="9" t="s">
        <v>12089</v>
      </c>
    </row>
    <row r="1325" spans="1:33">
      <c r="A1325" s="3" t="s">
        <v>1598</v>
      </c>
      <c r="D1325" s="3" t="s">
        <v>1599</v>
      </c>
      <c r="E1325" s="5" t="s">
        <v>1599</v>
      </c>
      <c r="F1325" t="s">
        <v>32</v>
      </c>
      <c r="G1325" t="s">
        <v>20</v>
      </c>
      <c r="I1325" t="s">
        <v>13014</v>
      </c>
      <c r="J1325" s="9" t="s">
        <v>12118</v>
      </c>
      <c r="Q1325" s="10"/>
      <c r="T1325" s="9" t="s">
        <v>12119</v>
      </c>
      <c r="U1325" s="9" t="str">
        <f t="shared" ca="1" si="54"/>
        <v/>
      </c>
      <c r="V1325" s="9" t="str">
        <f t="shared" ca="1" si="55"/>
        <v/>
      </c>
      <c r="AE1325" s="9" t="s">
        <v>12086</v>
      </c>
    </row>
    <row r="1326" spans="1:33">
      <c r="A1326" s="3" t="s">
        <v>1600</v>
      </c>
      <c r="D1326" s="3" t="s">
        <v>1601</v>
      </c>
      <c r="E1326" s="3" t="s">
        <v>1602</v>
      </c>
      <c r="J1326" s="9" t="s">
        <v>12120</v>
      </c>
      <c r="Q1326" s="10"/>
      <c r="U1326" s="9" t="str">
        <f t="shared" ca="1" si="54"/>
        <v/>
      </c>
      <c r="V1326" s="9" t="str">
        <f t="shared" ca="1" si="55"/>
        <v/>
      </c>
      <c r="AE1326" s="9" t="s">
        <v>12077</v>
      </c>
    </row>
    <row r="1327" spans="1:33">
      <c r="A1327" s="3" t="s">
        <v>1603</v>
      </c>
      <c r="D1327" s="3" t="s">
        <v>1604</v>
      </c>
      <c r="E1327" s="3" t="s">
        <v>1605</v>
      </c>
      <c r="J1327" s="9" t="s">
        <v>12118</v>
      </c>
      <c r="Q1327" s="10"/>
      <c r="T1327" s="9" t="s">
        <v>12131</v>
      </c>
      <c r="U1327" s="9" t="str">
        <f t="shared" ca="1" si="54"/>
        <v/>
      </c>
      <c r="V1327" s="9" t="str">
        <f t="shared" ca="1" si="55"/>
        <v/>
      </c>
      <c r="AE1327" s="9" t="s">
        <v>12086</v>
      </c>
    </row>
    <row r="1328" spans="1:33">
      <c r="A1328" s="3" t="s">
        <v>1606</v>
      </c>
      <c r="D1328" s="3" t="s">
        <v>6382</v>
      </c>
      <c r="E1328" s="3" t="s">
        <v>6383</v>
      </c>
      <c r="J1328" s="9" t="s">
        <v>12118</v>
      </c>
      <c r="Q1328" s="10"/>
      <c r="T1328" s="9">
        <f>65-34</f>
        <v>31</v>
      </c>
      <c r="U1328" s="9">
        <f t="shared" ca="1" si="54"/>
        <v>34</v>
      </c>
      <c r="V1328" s="9">
        <f t="shared" ca="1" si="55"/>
        <v>65</v>
      </c>
      <c r="AG1328" s="9" t="s">
        <v>19</v>
      </c>
    </row>
    <row r="1329" spans="1:33">
      <c r="A1329" s="3" t="s">
        <v>1606</v>
      </c>
      <c r="D1329" s="3" t="s">
        <v>6384</v>
      </c>
      <c r="E1329" s="3" t="s">
        <v>1607</v>
      </c>
      <c r="J1329" s="9" t="s">
        <v>12118</v>
      </c>
      <c r="Q1329" s="10"/>
      <c r="T1329" s="9">
        <f>0-6</f>
        <v>-6</v>
      </c>
      <c r="U1329" s="9">
        <f t="shared" ca="1" si="54"/>
        <v>6</v>
      </c>
      <c r="V1329" s="9">
        <f t="shared" ca="1" si="55"/>
        <v>0</v>
      </c>
      <c r="AE1329" s="9" t="s">
        <v>12083</v>
      </c>
    </row>
    <row r="1330" spans="1:33">
      <c r="A1330" s="3" t="s">
        <v>1608</v>
      </c>
      <c r="D1330" s="3" t="s">
        <v>1609</v>
      </c>
      <c r="E1330" s="3" t="s">
        <v>286</v>
      </c>
      <c r="J1330" s="9" t="s">
        <v>12121</v>
      </c>
      <c r="Q1330" s="10"/>
      <c r="T1330" s="9">
        <f>336-173</f>
        <v>163</v>
      </c>
      <c r="U1330" s="9">
        <f t="shared" ca="1" si="54"/>
        <v>173</v>
      </c>
      <c r="V1330" s="9">
        <f t="shared" ca="1" si="55"/>
        <v>336</v>
      </c>
      <c r="AE1330" s="9" t="s">
        <v>12077</v>
      </c>
    </row>
    <row r="1331" spans="1:33">
      <c r="A1331" s="3" t="s">
        <v>1608</v>
      </c>
      <c r="D1331" s="3" t="s">
        <v>6385</v>
      </c>
      <c r="E1331" s="3" t="s">
        <v>12264</v>
      </c>
      <c r="J1331" s="9" t="s">
        <v>12118</v>
      </c>
      <c r="Q1331" s="10"/>
      <c r="R1331" s="9" t="s">
        <v>12074</v>
      </c>
      <c r="T1331" s="9" t="s">
        <v>12131</v>
      </c>
      <c r="U1331" s="9" t="str">
        <f t="shared" ca="1" si="54"/>
        <v/>
      </c>
      <c r="V1331" s="9" t="str">
        <f t="shared" ca="1" si="55"/>
        <v/>
      </c>
      <c r="AE1331" s="9" t="s">
        <v>12077</v>
      </c>
    </row>
    <row r="1332" spans="1:33">
      <c r="A1332" s="3" t="s">
        <v>1610</v>
      </c>
      <c r="D1332" s="3" t="s">
        <v>1611</v>
      </c>
      <c r="E1332" s="3" t="s">
        <v>6386</v>
      </c>
      <c r="G1332" t="s">
        <v>19</v>
      </c>
      <c r="J1332" s="9" t="s">
        <v>12118</v>
      </c>
      <c r="Q1332" s="10"/>
      <c r="T1332" s="9" t="s">
        <v>12131</v>
      </c>
      <c r="U1332" s="9" t="str">
        <f t="shared" ca="1" si="54"/>
        <v/>
      </c>
      <c r="V1332" s="9" t="str">
        <f t="shared" ca="1" si="55"/>
        <v/>
      </c>
      <c r="AE1332" s="9" t="s">
        <v>12077</v>
      </c>
    </row>
    <row r="1333" spans="1:33">
      <c r="A1333" s="3" t="s">
        <v>1610</v>
      </c>
      <c r="D1333" s="3" t="s">
        <v>1612</v>
      </c>
      <c r="E1333" s="11" t="s">
        <v>6387</v>
      </c>
      <c r="G1333" t="s">
        <v>19</v>
      </c>
      <c r="J1333" s="9" t="s">
        <v>12118</v>
      </c>
      <c r="Q1333" s="10"/>
      <c r="T1333" s="9" t="s">
        <v>12131</v>
      </c>
      <c r="U1333" s="9" t="str">
        <f t="shared" ca="1" si="54"/>
        <v/>
      </c>
      <c r="V1333" s="9" t="str">
        <f t="shared" ca="1" si="55"/>
        <v/>
      </c>
      <c r="AE1333" s="9" t="s">
        <v>12077</v>
      </c>
    </row>
    <row r="1334" spans="1:33">
      <c r="A1334" s="3" t="s">
        <v>1613</v>
      </c>
      <c r="D1334" s="3" t="s">
        <v>1614</v>
      </c>
      <c r="E1334" s="3" t="s">
        <v>672</v>
      </c>
      <c r="J1334" s="9" t="s">
        <v>12118</v>
      </c>
      <c r="Q1334" s="10"/>
      <c r="T1334" s="9">
        <f>2-0</f>
        <v>2</v>
      </c>
      <c r="U1334" s="9">
        <f t="shared" ca="1" si="54"/>
        <v>0</v>
      </c>
      <c r="V1334" s="9">
        <f t="shared" ca="1" si="55"/>
        <v>2</v>
      </c>
      <c r="AC1334" s="9" t="s">
        <v>12130</v>
      </c>
      <c r="AD1334" s="9" t="s">
        <v>19</v>
      </c>
    </row>
    <row r="1335" spans="1:33">
      <c r="A1335" s="3" t="s">
        <v>1615</v>
      </c>
      <c r="D1335" s="3" t="s">
        <v>6388</v>
      </c>
      <c r="E1335" s="3" t="s">
        <v>6389</v>
      </c>
      <c r="G1335" t="s">
        <v>19</v>
      </c>
      <c r="J1335" s="9" t="s">
        <v>12118</v>
      </c>
      <c r="Q1335" s="10"/>
      <c r="T1335" s="9" t="s">
        <v>12131</v>
      </c>
      <c r="U1335" s="9" t="str">
        <f t="shared" ca="1" si="54"/>
        <v/>
      </c>
      <c r="V1335" s="9" t="str">
        <f t="shared" ca="1" si="55"/>
        <v/>
      </c>
      <c r="AE1335" s="9" t="s">
        <v>12086</v>
      </c>
    </row>
    <row r="1336" spans="1:33">
      <c r="A1336" s="3" t="s">
        <v>1616</v>
      </c>
      <c r="D1336" s="3" t="s">
        <v>1617</v>
      </c>
      <c r="E1336" s="3" t="s">
        <v>1618</v>
      </c>
      <c r="J1336" s="9" t="s">
        <v>12118</v>
      </c>
      <c r="Q1336" s="10"/>
      <c r="T1336" s="9" t="s">
        <v>12131</v>
      </c>
      <c r="U1336" s="9" t="str">
        <f t="shared" ca="1" si="54"/>
        <v/>
      </c>
      <c r="V1336" s="9" t="str">
        <f t="shared" ca="1" si="55"/>
        <v/>
      </c>
      <c r="AC1336" s="9" t="s">
        <v>12742</v>
      </c>
      <c r="AD1336" s="9" t="s">
        <v>19</v>
      </c>
      <c r="AE1336" s="9" t="s">
        <v>12086</v>
      </c>
    </row>
    <row r="1337" spans="1:33">
      <c r="A1337" s="3" t="s">
        <v>1616</v>
      </c>
      <c r="D1337" s="3" t="s">
        <v>6390</v>
      </c>
      <c r="E1337" s="3" t="s">
        <v>6391</v>
      </c>
      <c r="J1337" s="9" t="s">
        <v>12118</v>
      </c>
      <c r="Q1337" s="10"/>
      <c r="T1337" s="9">
        <f>32-111</f>
        <v>-79</v>
      </c>
      <c r="U1337" s="9">
        <f t="shared" ca="1" si="54"/>
        <v>111</v>
      </c>
      <c r="V1337" s="9">
        <f t="shared" ca="1" si="55"/>
        <v>32</v>
      </c>
      <c r="AG1337" s="9" t="s">
        <v>13141</v>
      </c>
    </row>
    <row r="1338" spans="1:33">
      <c r="A1338" s="3" t="s">
        <v>1619</v>
      </c>
      <c r="D1338" s="3" t="s">
        <v>6392</v>
      </c>
      <c r="E1338" s="3" t="s">
        <v>6393</v>
      </c>
      <c r="J1338" s="9" t="s">
        <v>24</v>
      </c>
      <c r="L1338" s="9">
        <v>1</v>
      </c>
      <c r="M1338" s="9">
        <v>3</v>
      </c>
      <c r="N1338" s="9" t="s">
        <v>12094</v>
      </c>
      <c r="O1338" s="9" t="s">
        <v>12079</v>
      </c>
      <c r="Q1338" s="10"/>
      <c r="S1338" s="9">
        <v>1741</v>
      </c>
      <c r="U1338" s="9" t="str">
        <f t="shared" ca="1" si="54"/>
        <v/>
      </c>
      <c r="V1338" s="9" t="str">
        <f t="shared" ca="1" si="55"/>
        <v/>
      </c>
      <c r="AG1338" s="9" t="s">
        <v>19</v>
      </c>
    </row>
    <row r="1339" spans="1:33" ht="29">
      <c r="A1339" s="3" t="s">
        <v>1620</v>
      </c>
      <c r="D1339" s="3" t="s">
        <v>12265</v>
      </c>
      <c r="E1339" s="3" t="s">
        <v>12266</v>
      </c>
      <c r="G1339" t="s">
        <v>19</v>
      </c>
      <c r="J1339" s="9" t="s">
        <v>12118</v>
      </c>
      <c r="Q1339" s="10"/>
      <c r="T1339" s="9">
        <f>148-134</f>
        <v>14</v>
      </c>
      <c r="U1339" s="9">
        <f t="shared" ca="1" si="54"/>
        <v>134</v>
      </c>
      <c r="V1339" s="9">
        <f t="shared" ca="1" si="55"/>
        <v>148</v>
      </c>
    </row>
    <row r="1340" spans="1:33" ht="29">
      <c r="A1340" s="3" t="s">
        <v>1620</v>
      </c>
      <c r="D1340" s="3" t="s">
        <v>6394</v>
      </c>
      <c r="E1340" s="3" t="s">
        <v>12267</v>
      </c>
      <c r="J1340" s="9" t="s">
        <v>24</v>
      </c>
      <c r="L1340" s="9">
        <v>1</v>
      </c>
      <c r="M1340" s="9">
        <v>2</v>
      </c>
      <c r="N1340" s="9" t="s">
        <v>12096</v>
      </c>
      <c r="O1340" s="9" t="s">
        <v>12119</v>
      </c>
      <c r="Q1340" s="10"/>
      <c r="S1340" s="9">
        <v>485</v>
      </c>
      <c r="U1340" s="9" t="str">
        <f t="shared" ca="1" si="54"/>
        <v/>
      </c>
      <c r="V1340" s="9" t="str">
        <f t="shared" ca="1" si="55"/>
        <v/>
      </c>
      <c r="AG1340" s="9" t="s">
        <v>19</v>
      </c>
    </row>
    <row r="1341" spans="1:33" ht="29">
      <c r="A1341" s="3" t="s">
        <v>1620</v>
      </c>
      <c r="D1341" s="3" t="s">
        <v>12268</v>
      </c>
      <c r="E1341" s="3" t="s">
        <v>12269</v>
      </c>
      <c r="J1341" s="9" t="s">
        <v>12120</v>
      </c>
      <c r="Q1341" s="10"/>
      <c r="U1341" s="9" t="str">
        <f t="shared" ca="1" si="54"/>
        <v/>
      </c>
      <c r="V1341" s="9" t="str">
        <f t="shared" ca="1" si="55"/>
        <v/>
      </c>
      <c r="AG1341" s="9" t="s">
        <v>19</v>
      </c>
    </row>
    <row r="1342" spans="1:33">
      <c r="A1342" s="3" t="s">
        <v>1622</v>
      </c>
      <c r="D1342" s="3" t="s">
        <v>1623</v>
      </c>
      <c r="E1342" s="3" t="s">
        <v>6395</v>
      </c>
      <c r="G1342" t="s">
        <v>19</v>
      </c>
      <c r="J1342" s="9" t="s">
        <v>12118</v>
      </c>
      <c r="Q1342" s="10"/>
      <c r="T1342" s="9" t="s">
        <v>12131</v>
      </c>
      <c r="U1342" s="9" t="str">
        <f t="shared" ca="1" si="54"/>
        <v/>
      </c>
      <c r="V1342" s="9" t="str">
        <f t="shared" ca="1" si="55"/>
        <v/>
      </c>
      <c r="AE1342" s="9" t="s">
        <v>12086</v>
      </c>
    </row>
    <row r="1343" spans="1:33">
      <c r="A1343" s="3" t="s">
        <v>1624</v>
      </c>
      <c r="D1343" s="3" t="s">
        <v>6396</v>
      </c>
      <c r="E1343" s="3" t="s">
        <v>6397</v>
      </c>
      <c r="G1343" t="s">
        <v>21</v>
      </c>
      <c r="I1343" t="s">
        <v>6398</v>
      </c>
      <c r="J1343" s="9" t="s">
        <v>12118</v>
      </c>
      <c r="Q1343" s="10"/>
      <c r="T1343" s="9">
        <f>18-4240</f>
        <v>-4222</v>
      </c>
      <c r="U1343" s="9">
        <f t="shared" ca="1" si="54"/>
        <v>4240</v>
      </c>
      <c r="V1343" s="9">
        <f t="shared" ca="1" si="55"/>
        <v>18</v>
      </c>
    </row>
    <row r="1344" spans="1:33">
      <c r="A1344" s="3" t="s">
        <v>1625</v>
      </c>
      <c r="D1344" s="3" t="s">
        <v>6399</v>
      </c>
      <c r="E1344" s="3" t="s">
        <v>6400</v>
      </c>
      <c r="G1344" t="s">
        <v>19</v>
      </c>
      <c r="J1344" s="9" t="s">
        <v>12118</v>
      </c>
      <c r="Q1344" s="10"/>
      <c r="T1344" s="9">
        <f>156-87</f>
        <v>69</v>
      </c>
      <c r="U1344" s="9">
        <f t="shared" ca="1" si="54"/>
        <v>87</v>
      </c>
      <c r="V1344" s="9">
        <f t="shared" ca="1" si="55"/>
        <v>156</v>
      </c>
    </row>
    <row r="1345" spans="1:33">
      <c r="A1345" s="3" t="s">
        <v>1625</v>
      </c>
      <c r="D1345" s="3" t="s">
        <v>1626</v>
      </c>
      <c r="E1345" s="3" t="s">
        <v>1627</v>
      </c>
      <c r="J1345" s="9" t="s">
        <v>12118</v>
      </c>
      <c r="Q1345" s="10"/>
      <c r="T1345" s="9" t="s">
        <v>12131</v>
      </c>
      <c r="U1345" s="9" t="str">
        <f t="shared" ca="1" si="54"/>
        <v/>
      </c>
      <c r="V1345" s="9" t="str">
        <f t="shared" ca="1" si="55"/>
        <v/>
      </c>
      <c r="AE1345" s="9" t="s">
        <v>12077</v>
      </c>
    </row>
    <row r="1346" spans="1:33">
      <c r="A1346" s="3" t="s">
        <v>1628</v>
      </c>
      <c r="D1346" s="3" t="s">
        <v>1629</v>
      </c>
      <c r="E1346" s="3" t="s">
        <v>6401</v>
      </c>
      <c r="J1346" s="9" t="s">
        <v>12118</v>
      </c>
      <c r="Q1346" s="10"/>
      <c r="T1346" s="9" t="s">
        <v>12131</v>
      </c>
      <c r="U1346" s="9" t="str">
        <f t="shared" ca="1" si="54"/>
        <v/>
      </c>
      <c r="V1346" s="9" t="str">
        <f t="shared" ca="1" si="55"/>
        <v/>
      </c>
      <c r="AE1346" s="9" t="s">
        <v>12086</v>
      </c>
    </row>
    <row r="1347" spans="1:33">
      <c r="A1347" s="3" t="s">
        <v>1630</v>
      </c>
      <c r="D1347" s="3" t="s">
        <v>6402</v>
      </c>
      <c r="E1347" s="3" t="s">
        <v>6403</v>
      </c>
      <c r="J1347" s="9" t="s">
        <v>12118</v>
      </c>
      <c r="Q1347" s="10"/>
      <c r="T1347" s="9">
        <f>507-165</f>
        <v>342</v>
      </c>
      <c r="U1347" s="9">
        <f t="shared" ca="1" si="54"/>
        <v>165</v>
      </c>
      <c r="V1347" s="9">
        <f t="shared" ca="1" si="55"/>
        <v>507</v>
      </c>
      <c r="AG1347" s="9" t="s">
        <v>20</v>
      </c>
    </row>
    <row r="1348" spans="1:33">
      <c r="A1348" s="3" t="s">
        <v>1630</v>
      </c>
      <c r="D1348" s="3" t="s">
        <v>6404</v>
      </c>
      <c r="E1348" s="3" t="s">
        <v>6405</v>
      </c>
      <c r="J1348" s="9" t="s">
        <v>12120</v>
      </c>
      <c r="Q1348" s="10"/>
      <c r="U1348" s="9" t="str">
        <f t="shared" ca="1" si="54"/>
        <v/>
      </c>
      <c r="V1348" s="9" t="str">
        <f t="shared" ca="1" si="55"/>
        <v/>
      </c>
      <c r="AG1348" s="9" t="s">
        <v>19</v>
      </c>
    </row>
    <row r="1349" spans="1:33">
      <c r="A1349" s="3" t="s">
        <v>1631</v>
      </c>
      <c r="D1349" s="3" t="s">
        <v>1304</v>
      </c>
      <c r="E1349" s="3" t="s">
        <v>1496</v>
      </c>
      <c r="J1349" s="9" t="s">
        <v>12120</v>
      </c>
      <c r="Q1349" s="10"/>
      <c r="U1349" s="9" t="str">
        <f t="shared" ca="1" si="54"/>
        <v/>
      </c>
      <c r="V1349" s="9" t="str">
        <f t="shared" ca="1" si="55"/>
        <v/>
      </c>
      <c r="AG1349" s="9" t="s">
        <v>19</v>
      </c>
    </row>
    <row r="1350" spans="1:33">
      <c r="A1350" s="3" t="s">
        <v>1631</v>
      </c>
      <c r="D1350" s="3" t="s">
        <v>6406</v>
      </c>
      <c r="E1350" s="3" t="s">
        <v>6407</v>
      </c>
      <c r="J1350" s="9" t="s">
        <v>12120</v>
      </c>
      <c r="Q1350" s="10"/>
      <c r="U1350" s="9" t="str">
        <f t="shared" ca="1" si="54"/>
        <v/>
      </c>
      <c r="V1350" s="9" t="str">
        <f t="shared" ca="1" si="55"/>
        <v/>
      </c>
      <c r="AG1350" s="9" t="s">
        <v>19</v>
      </c>
    </row>
    <row r="1351" spans="1:33">
      <c r="A1351" s="3" t="s">
        <v>1632</v>
      </c>
      <c r="D1351" s="3" t="s">
        <v>6408</v>
      </c>
      <c r="E1351" s="3" t="s">
        <v>12270</v>
      </c>
      <c r="G1351" t="s">
        <v>19</v>
      </c>
      <c r="J1351" s="9" t="s">
        <v>24</v>
      </c>
      <c r="L1351" s="9">
        <v>1</v>
      </c>
      <c r="M1351" s="9">
        <v>2</v>
      </c>
      <c r="N1351" s="9" t="s">
        <v>12078</v>
      </c>
      <c r="O1351" s="9" t="s">
        <v>12119</v>
      </c>
      <c r="Q1351" s="10"/>
      <c r="R1351" s="9" t="s">
        <v>12074</v>
      </c>
      <c r="S1351" s="9">
        <v>11843</v>
      </c>
      <c r="U1351" s="9" t="str">
        <f t="shared" ca="1" si="54"/>
        <v/>
      </c>
      <c r="V1351" s="9" t="str">
        <f t="shared" ca="1" si="55"/>
        <v/>
      </c>
    </row>
    <row r="1352" spans="1:33" ht="29">
      <c r="A1352" s="3" t="s">
        <v>1632</v>
      </c>
      <c r="D1352" s="3" t="s">
        <v>6410</v>
      </c>
      <c r="E1352" s="3" t="s">
        <v>6409</v>
      </c>
      <c r="I1352" t="s">
        <v>5457</v>
      </c>
      <c r="J1352" s="9" t="s">
        <v>26</v>
      </c>
      <c r="Q1352" s="10"/>
      <c r="U1352" s="9" t="str">
        <f t="shared" ca="1" si="54"/>
        <v/>
      </c>
      <c r="V1352" s="9" t="str">
        <f t="shared" ca="1" si="55"/>
        <v/>
      </c>
      <c r="AG1352" s="9" t="s">
        <v>20</v>
      </c>
    </row>
    <row r="1353" spans="1:33">
      <c r="A1353" s="3" t="s">
        <v>1633</v>
      </c>
      <c r="D1353" s="3" t="s">
        <v>1634</v>
      </c>
      <c r="E1353" s="3" t="s">
        <v>1635</v>
      </c>
      <c r="J1353" s="9" t="s">
        <v>12118</v>
      </c>
      <c r="Q1353" s="10"/>
      <c r="T1353" s="9" t="s">
        <v>12119</v>
      </c>
      <c r="U1353" s="9" t="str">
        <f t="shared" ca="1" si="54"/>
        <v/>
      </c>
      <c r="V1353" s="9" t="str">
        <f t="shared" ca="1" si="55"/>
        <v/>
      </c>
      <c r="AC1353" s="9" t="s">
        <v>12134</v>
      </c>
      <c r="AD1353" s="9" t="s">
        <v>19</v>
      </c>
      <c r="AE1353" s="9" t="s">
        <v>12077</v>
      </c>
    </row>
    <row r="1354" spans="1:33">
      <c r="A1354" s="3" t="s">
        <v>1636</v>
      </c>
      <c r="D1354" s="3" t="s">
        <v>6411</v>
      </c>
      <c r="E1354" s="3" t="s">
        <v>6412</v>
      </c>
      <c r="G1354" t="s">
        <v>19</v>
      </c>
      <c r="J1354" s="9" t="s">
        <v>12120</v>
      </c>
      <c r="Q1354" s="10"/>
      <c r="U1354" s="9" t="str">
        <f t="shared" ca="1" si="54"/>
        <v/>
      </c>
      <c r="V1354" s="9" t="str">
        <f t="shared" ca="1" si="55"/>
        <v/>
      </c>
      <c r="AB1354" s="9" t="s">
        <v>12082</v>
      </c>
      <c r="AD1354" s="9" t="s">
        <v>19</v>
      </c>
    </row>
    <row r="1355" spans="1:33">
      <c r="A1355" s="3" t="s">
        <v>1637</v>
      </c>
      <c r="D1355" s="3" t="s">
        <v>6413</v>
      </c>
      <c r="E1355" s="3" t="s">
        <v>6413</v>
      </c>
      <c r="G1355" t="s">
        <v>20</v>
      </c>
      <c r="I1355" t="s">
        <v>6416</v>
      </c>
      <c r="Q1355" s="10"/>
      <c r="U1355" s="9" t="str">
        <f t="shared" ref="U1355:U1419" ca="1" si="56">IF(ISNUMBER(T1355),VALUE(MID(_xlfn.FORMULATEXT(T1355),SEARCH("-",_xlfn.FORMULATEXT(T1355))+1,LEN(_xlfn.FORMULATEXT(T1355))-SEARCH("-",_xlfn.FORMULATEXT(T1355)))), "")</f>
        <v/>
      </c>
      <c r="V1355" s="9" t="str">
        <f t="shared" ref="V1355:V1419" ca="1" si="57">IF(ISNUMBER(T1355), VALUE(MID(_xlfn.FORMULATEXT(T1355), 2, SEARCH("-", _xlfn.FORMULATEXT(T1355)) - 2)), "")</f>
        <v/>
      </c>
    </row>
    <row r="1356" spans="1:33" ht="29">
      <c r="A1356" s="3" t="s">
        <v>1637</v>
      </c>
      <c r="D1356" s="3" t="s">
        <v>6414</v>
      </c>
      <c r="E1356" s="5" t="s">
        <v>6414</v>
      </c>
      <c r="F1356" t="s">
        <v>32</v>
      </c>
      <c r="G1356" t="s">
        <v>19</v>
      </c>
      <c r="I1356" t="s">
        <v>6415</v>
      </c>
      <c r="J1356" s="9" t="s">
        <v>25</v>
      </c>
      <c r="L1356" s="9">
        <v>1</v>
      </c>
      <c r="M1356" s="9">
        <v>3</v>
      </c>
      <c r="N1356" s="9" t="s">
        <v>12087</v>
      </c>
      <c r="O1356" s="9" t="s">
        <v>12079</v>
      </c>
      <c r="Q1356" s="10"/>
      <c r="S1356" s="9">
        <v>5676</v>
      </c>
      <c r="U1356" s="9" t="str">
        <f t="shared" ca="1" si="56"/>
        <v/>
      </c>
      <c r="V1356" s="9" t="str">
        <f t="shared" ca="1" si="57"/>
        <v/>
      </c>
    </row>
    <row r="1357" spans="1:33">
      <c r="A1357" s="3" t="s">
        <v>1638</v>
      </c>
      <c r="D1357" s="3" t="s">
        <v>1639</v>
      </c>
      <c r="E1357" s="11" t="s">
        <v>6417</v>
      </c>
      <c r="G1357" t="s">
        <v>19</v>
      </c>
      <c r="J1357" s="9" t="s">
        <v>12118</v>
      </c>
      <c r="Q1357" s="10"/>
      <c r="T1357" s="9" t="s">
        <v>12131</v>
      </c>
      <c r="U1357" s="9" t="str">
        <f t="shared" ca="1" si="56"/>
        <v/>
      </c>
      <c r="V1357" s="9" t="str">
        <f t="shared" ca="1" si="57"/>
        <v/>
      </c>
      <c r="AB1357" s="9" t="s">
        <v>12124</v>
      </c>
      <c r="AD1357" s="9" t="s">
        <v>19</v>
      </c>
    </row>
    <row r="1358" spans="1:33">
      <c r="A1358" s="3" t="s">
        <v>1638</v>
      </c>
      <c r="D1358" s="3" t="s">
        <v>6418</v>
      </c>
      <c r="E1358" s="3" t="s">
        <v>6419</v>
      </c>
      <c r="J1358" s="9" t="s">
        <v>25</v>
      </c>
      <c r="L1358" s="9">
        <v>1</v>
      </c>
      <c r="M1358" s="9">
        <v>2</v>
      </c>
      <c r="N1358" s="9" t="s">
        <v>12078</v>
      </c>
      <c r="O1358" s="9" t="s">
        <v>12119</v>
      </c>
      <c r="Q1358" s="10"/>
      <c r="S1358" s="9">
        <v>11843</v>
      </c>
      <c r="U1358" s="9" t="str">
        <f t="shared" ca="1" si="56"/>
        <v/>
      </c>
      <c r="V1358" s="9" t="str">
        <f t="shared" ca="1" si="57"/>
        <v/>
      </c>
      <c r="AG1358" s="9" t="s">
        <v>20</v>
      </c>
    </row>
    <row r="1359" spans="1:33" ht="29">
      <c r="A1359" s="3" t="s">
        <v>1640</v>
      </c>
      <c r="D1359" s="3" t="s">
        <v>12271</v>
      </c>
      <c r="E1359" s="3" t="s">
        <v>12272</v>
      </c>
      <c r="J1359" s="9" t="s">
        <v>12118</v>
      </c>
      <c r="Q1359" s="10"/>
      <c r="T1359" s="9">
        <f>1966-5676</f>
        <v>-3710</v>
      </c>
      <c r="U1359" s="9">
        <f t="shared" ca="1" si="56"/>
        <v>5676</v>
      </c>
      <c r="V1359" s="9">
        <f t="shared" ca="1" si="57"/>
        <v>1966</v>
      </c>
      <c r="AG1359" s="9" t="s">
        <v>19</v>
      </c>
    </row>
    <row r="1360" spans="1:33" ht="29">
      <c r="A1360" s="3" t="s">
        <v>1640</v>
      </c>
      <c r="D1360" s="3" t="s">
        <v>6420</v>
      </c>
      <c r="E1360" s="3" t="s">
        <v>12273</v>
      </c>
      <c r="J1360" s="9" t="s">
        <v>24</v>
      </c>
      <c r="L1360" s="9">
        <v>2</v>
      </c>
      <c r="M1360" s="9">
        <v>7</v>
      </c>
      <c r="O1360" s="9" t="s">
        <v>12079</v>
      </c>
      <c r="Q1360" s="10"/>
      <c r="S1360" s="9">
        <v>635</v>
      </c>
      <c r="U1360" s="9" t="str">
        <f t="shared" ca="1" si="56"/>
        <v/>
      </c>
      <c r="V1360" s="9" t="str">
        <f t="shared" ca="1" si="57"/>
        <v/>
      </c>
      <c r="AG1360" s="9" t="s">
        <v>19</v>
      </c>
    </row>
    <row r="1361" spans="1:33" ht="29">
      <c r="A1361" s="3" t="s">
        <v>1640</v>
      </c>
      <c r="D1361" s="3" t="s">
        <v>12275</v>
      </c>
      <c r="E1361" s="3" t="s">
        <v>12274</v>
      </c>
      <c r="J1361" s="9" t="s">
        <v>12120</v>
      </c>
      <c r="Q1361" s="10"/>
      <c r="U1361" s="9" t="str">
        <f t="shared" ca="1" si="56"/>
        <v/>
      </c>
      <c r="V1361" s="9" t="str">
        <f t="shared" ca="1" si="57"/>
        <v/>
      </c>
      <c r="AG1361" s="9" t="s">
        <v>19</v>
      </c>
    </row>
    <row r="1362" spans="1:33" ht="29">
      <c r="A1362" s="3" t="s">
        <v>1640</v>
      </c>
      <c r="D1362" s="3" t="s">
        <v>6421</v>
      </c>
      <c r="E1362" s="3" t="s">
        <v>6422</v>
      </c>
      <c r="I1362" t="s">
        <v>5457</v>
      </c>
      <c r="J1362" s="9" t="s">
        <v>26</v>
      </c>
      <c r="Q1362" s="10"/>
      <c r="U1362" s="9" t="str">
        <f t="shared" ca="1" si="56"/>
        <v/>
      </c>
      <c r="V1362" s="9" t="str">
        <f t="shared" ca="1" si="57"/>
        <v/>
      </c>
      <c r="AG1362" s="9" t="s">
        <v>19</v>
      </c>
    </row>
    <row r="1363" spans="1:33" ht="29">
      <c r="A1363" s="3" t="s">
        <v>1641</v>
      </c>
      <c r="D1363" s="3" t="s">
        <v>6423</v>
      </c>
      <c r="E1363" s="3" t="s">
        <v>6424</v>
      </c>
      <c r="J1363" s="9" t="s">
        <v>24</v>
      </c>
      <c r="L1363" s="9">
        <v>1</v>
      </c>
      <c r="M1363" s="9">
        <v>3</v>
      </c>
      <c r="N1363" s="9" t="s">
        <v>12084</v>
      </c>
      <c r="O1363" s="9" t="s">
        <v>12079</v>
      </c>
      <c r="Q1363" s="10"/>
      <c r="S1363" s="9">
        <v>18</v>
      </c>
      <c r="U1363" s="9" t="str">
        <f t="shared" ca="1" si="56"/>
        <v/>
      </c>
      <c r="V1363" s="9" t="str">
        <f t="shared" ca="1" si="57"/>
        <v/>
      </c>
      <c r="AG1363" s="9" t="s">
        <v>19</v>
      </c>
    </row>
    <row r="1364" spans="1:33" ht="29">
      <c r="A1364" s="3" t="s">
        <v>1641</v>
      </c>
      <c r="D1364" s="3" t="s">
        <v>6425</v>
      </c>
      <c r="E1364" s="3" t="s">
        <v>6426</v>
      </c>
      <c r="J1364" s="9" t="s">
        <v>12120</v>
      </c>
      <c r="Q1364" s="10"/>
      <c r="U1364" s="9" t="str">
        <f t="shared" ca="1" si="56"/>
        <v/>
      </c>
      <c r="V1364" s="9" t="str">
        <f t="shared" ca="1" si="57"/>
        <v/>
      </c>
      <c r="AE1364" s="9" t="s">
        <v>12089</v>
      </c>
    </row>
    <row r="1365" spans="1:33" ht="29">
      <c r="A1365" s="3" t="s">
        <v>1641</v>
      </c>
      <c r="D1365" s="3" t="s">
        <v>6427</v>
      </c>
      <c r="E1365" s="3" t="s">
        <v>6428</v>
      </c>
      <c r="J1365" s="9" t="s">
        <v>12118</v>
      </c>
      <c r="Q1365" s="10"/>
      <c r="T1365" s="9">
        <f xml:space="preserve"> 431-249</f>
        <v>182</v>
      </c>
      <c r="U1365" s="9">
        <f t="shared" ca="1" si="56"/>
        <v>249</v>
      </c>
      <c r="V1365" s="9">
        <f t="shared" ca="1" si="57"/>
        <v>431</v>
      </c>
      <c r="AG1365" s="9" t="s">
        <v>19</v>
      </c>
    </row>
    <row r="1366" spans="1:33">
      <c r="A1366" s="3" t="s">
        <v>1641</v>
      </c>
      <c r="D1366" s="3" t="s">
        <v>1642</v>
      </c>
      <c r="E1366" s="3" t="s">
        <v>1643</v>
      </c>
      <c r="J1366" s="9" t="s">
        <v>12118</v>
      </c>
      <c r="Q1366" s="10"/>
      <c r="T1366" s="9">
        <f>46-0</f>
        <v>46</v>
      </c>
      <c r="U1366" s="9">
        <f t="shared" ca="1" si="56"/>
        <v>0</v>
      </c>
      <c r="V1366" s="9">
        <f t="shared" ca="1" si="57"/>
        <v>46</v>
      </c>
      <c r="AC1366" s="9" t="s">
        <v>12188</v>
      </c>
      <c r="AD1366" s="9" t="s">
        <v>20</v>
      </c>
      <c r="AG1366" s="9" t="s">
        <v>19</v>
      </c>
    </row>
    <row r="1367" spans="1:33">
      <c r="A1367" s="3" t="s">
        <v>1644</v>
      </c>
      <c r="D1367" s="3" t="s">
        <v>6430</v>
      </c>
      <c r="E1367" s="3" t="s">
        <v>6429</v>
      </c>
      <c r="J1367" s="9" t="s">
        <v>24</v>
      </c>
      <c r="L1367" s="9">
        <v>1</v>
      </c>
      <c r="M1367" s="9">
        <v>3</v>
      </c>
      <c r="N1367" s="9" t="s">
        <v>12078</v>
      </c>
      <c r="O1367" s="9" t="s">
        <v>12073</v>
      </c>
      <c r="P1367" s="9" t="s">
        <v>12142</v>
      </c>
      <c r="Q1367" s="10" t="s">
        <v>12143</v>
      </c>
      <c r="R1367" s="9" t="s">
        <v>12074</v>
      </c>
      <c r="S1367" s="9">
        <v>11843</v>
      </c>
      <c r="U1367" s="9" t="str">
        <f t="shared" ca="1" si="56"/>
        <v/>
      </c>
      <c r="V1367" s="9" t="str">
        <f t="shared" ca="1" si="57"/>
        <v/>
      </c>
      <c r="AG1367" s="9" t="s">
        <v>19</v>
      </c>
    </row>
    <row r="1368" spans="1:33">
      <c r="A1368" s="3" t="s">
        <v>1645</v>
      </c>
      <c r="D1368" s="3" t="s">
        <v>6431</v>
      </c>
      <c r="E1368" s="3" t="s">
        <v>6432</v>
      </c>
      <c r="J1368" s="9" t="s">
        <v>24</v>
      </c>
      <c r="L1368" s="9">
        <v>1</v>
      </c>
      <c r="M1368" s="9">
        <v>3</v>
      </c>
      <c r="N1368" s="9" t="s">
        <v>12078</v>
      </c>
      <c r="O1368" s="9" t="s">
        <v>12079</v>
      </c>
      <c r="Q1368" s="10"/>
      <c r="S1368" s="9">
        <v>11843</v>
      </c>
      <c r="U1368" s="9" t="str">
        <f t="shared" ca="1" si="56"/>
        <v/>
      </c>
      <c r="V1368" s="9" t="str">
        <f t="shared" ca="1" si="57"/>
        <v/>
      </c>
      <c r="AG1368" s="9" t="s">
        <v>19</v>
      </c>
    </row>
    <row r="1369" spans="1:33">
      <c r="A1369" s="3" t="s">
        <v>1645</v>
      </c>
      <c r="D1369" s="3" t="s">
        <v>6433</v>
      </c>
      <c r="E1369" s="3" t="s">
        <v>6434</v>
      </c>
      <c r="J1369" s="9" t="s">
        <v>12120</v>
      </c>
      <c r="Q1369" s="10"/>
      <c r="U1369" s="9" t="str">
        <f t="shared" ca="1" si="56"/>
        <v/>
      </c>
      <c r="V1369" s="9" t="str">
        <f t="shared" ca="1" si="57"/>
        <v/>
      </c>
      <c r="AG1369" s="9" t="s">
        <v>19</v>
      </c>
    </row>
    <row r="1370" spans="1:33">
      <c r="A1370" s="3" t="s">
        <v>1645</v>
      </c>
      <c r="D1370" s="3" t="s">
        <v>1646</v>
      </c>
      <c r="E1370" s="3" t="s">
        <v>1647</v>
      </c>
      <c r="J1370" s="9" t="s">
        <v>12118</v>
      </c>
      <c r="Q1370" s="10"/>
      <c r="T1370" s="9" t="s">
        <v>12131</v>
      </c>
      <c r="U1370" s="9" t="str">
        <f t="shared" ca="1" si="56"/>
        <v/>
      </c>
      <c r="V1370" s="9" t="str">
        <f t="shared" ca="1" si="57"/>
        <v/>
      </c>
      <c r="AE1370" s="9" t="s">
        <v>12077</v>
      </c>
    </row>
    <row r="1371" spans="1:33">
      <c r="A1371" s="3" t="s">
        <v>1648</v>
      </c>
      <c r="D1371" s="3" t="s">
        <v>6435</v>
      </c>
      <c r="E1371" s="3" t="s">
        <v>6436</v>
      </c>
      <c r="J1371" s="9" t="s">
        <v>25</v>
      </c>
      <c r="L1371" s="9">
        <v>1</v>
      </c>
      <c r="M1371" s="9">
        <v>3</v>
      </c>
      <c r="N1371" s="9" t="s">
        <v>12078</v>
      </c>
      <c r="O1371" s="9" t="s">
        <v>12079</v>
      </c>
      <c r="Q1371" s="10"/>
      <c r="S1371" s="9">
        <v>11843</v>
      </c>
      <c r="U1371" s="9" t="str">
        <f t="shared" ca="1" si="56"/>
        <v/>
      </c>
      <c r="V1371" s="9" t="str">
        <f t="shared" ca="1" si="57"/>
        <v/>
      </c>
      <c r="AG1371" s="9" t="s">
        <v>19</v>
      </c>
    </row>
    <row r="1372" spans="1:33" ht="29">
      <c r="A1372" s="3" t="s">
        <v>1649</v>
      </c>
      <c r="D1372" s="3" t="s">
        <v>6438</v>
      </c>
      <c r="E1372" s="3" t="s">
        <v>6439</v>
      </c>
      <c r="J1372" s="9" t="s">
        <v>12120</v>
      </c>
      <c r="Q1372" s="10"/>
      <c r="U1372" s="9" t="str">
        <f t="shared" ca="1" si="56"/>
        <v/>
      </c>
      <c r="V1372" s="9" t="str">
        <f t="shared" ca="1" si="57"/>
        <v/>
      </c>
      <c r="AE1372" s="9" t="s">
        <v>12077</v>
      </c>
    </row>
    <row r="1373" spans="1:33" ht="29">
      <c r="A1373" s="3" t="s">
        <v>1649</v>
      </c>
      <c r="D1373" s="3" t="s">
        <v>6440</v>
      </c>
      <c r="E1373" s="3" t="s">
        <v>6437</v>
      </c>
      <c r="J1373" s="9" t="s">
        <v>25</v>
      </c>
      <c r="L1373" s="9">
        <v>1</v>
      </c>
      <c r="M1373" s="9">
        <v>5</v>
      </c>
      <c r="N1373" s="9" t="s">
        <v>12094</v>
      </c>
      <c r="O1373" s="9" t="s">
        <v>12073</v>
      </c>
      <c r="P1373" s="9" t="s">
        <v>12142</v>
      </c>
      <c r="Q1373" s="10" t="s">
        <v>12143</v>
      </c>
      <c r="S1373" s="9">
        <v>4240</v>
      </c>
      <c r="U1373" s="9" t="str">
        <f t="shared" ca="1" si="56"/>
        <v/>
      </c>
      <c r="V1373" s="9" t="str">
        <f t="shared" ca="1" si="57"/>
        <v/>
      </c>
      <c r="AG1373" s="9" t="s">
        <v>20</v>
      </c>
    </row>
    <row r="1374" spans="1:33">
      <c r="A1374" s="3" t="s">
        <v>1650</v>
      </c>
      <c r="D1374" s="3" t="s">
        <v>1651</v>
      </c>
      <c r="E1374" s="3" t="s">
        <v>1652</v>
      </c>
      <c r="J1374" s="9" t="s">
        <v>12120</v>
      </c>
      <c r="Q1374" s="10"/>
      <c r="U1374" s="9" t="str">
        <f t="shared" ca="1" si="56"/>
        <v/>
      </c>
      <c r="V1374" s="9" t="str">
        <f t="shared" ca="1" si="57"/>
        <v/>
      </c>
      <c r="AG1374" s="9" t="s">
        <v>20</v>
      </c>
    </row>
    <row r="1375" spans="1:33">
      <c r="A1375" s="3" t="s">
        <v>1650</v>
      </c>
      <c r="D1375" s="3" t="s">
        <v>1653</v>
      </c>
      <c r="E1375" s="3" t="s">
        <v>1654</v>
      </c>
      <c r="J1375" s="9" t="s">
        <v>12118</v>
      </c>
      <c r="Q1375" s="10"/>
      <c r="T1375" s="9" t="s">
        <v>12131</v>
      </c>
      <c r="U1375" s="9" t="str">
        <f t="shared" ca="1" si="56"/>
        <v/>
      </c>
      <c r="V1375" s="9" t="str">
        <f t="shared" ca="1" si="57"/>
        <v/>
      </c>
      <c r="AC1375" s="9" t="s">
        <v>12742</v>
      </c>
      <c r="AD1375" s="9" t="s">
        <v>19</v>
      </c>
      <c r="AE1375" s="9" t="s">
        <v>12086</v>
      </c>
    </row>
    <row r="1376" spans="1:33">
      <c r="A1376" s="3" t="s">
        <v>1655</v>
      </c>
      <c r="D1376" s="3" t="s">
        <v>6441</v>
      </c>
      <c r="E1376" s="3" t="s">
        <v>6441</v>
      </c>
      <c r="G1376" t="s">
        <v>20</v>
      </c>
      <c r="I1376" t="s">
        <v>6442</v>
      </c>
      <c r="Q1376" s="10"/>
      <c r="U1376" s="9" t="str">
        <f t="shared" ca="1" si="56"/>
        <v/>
      </c>
      <c r="V1376" s="9" t="str">
        <f t="shared" ca="1" si="57"/>
        <v/>
      </c>
    </row>
    <row r="1377" spans="1:33">
      <c r="A1377" s="3" t="s">
        <v>1656</v>
      </c>
      <c r="D1377" s="3" t="s">
        <v>1657</v>
      </c>
      <c r="E1377" s="3" t="s">
        <v>1658</v>
      </c>
      <c r="J1377" s="9" t="s">
        <v>12118</v>
      </c>
      <c r="Q1377" s="10"/>
      <c r="T1377" s="9">
        <f>1-0</f>
        <v>1</v>
      </c>
      <c r="U1377" s="9">
        <f t="shared" ca="1" si="56"/>
        <v>0</v>
      </c>
      <c r="V1377" s="9">
        <f t="shared" ca="1" si="57"/>
        <v>1</v>
      </c>
      <c r="AG1377" s="9" t="s">
        <v>19</v>
      </c>
    </row>
    <row r="1378" spans="1:33">
      <c r="A1378" s="3" t="s">
        <v>1656</v>
      </c>
      <c r="D1378" s="3" t="s">
        <v>6443</v>
      </c>
      <c r="E1378" s="3" t="s">
        <v>6444</v>
      </c>
      <c r="J1378" s="9" t="s">
        <v>24</v>
      </c>
      <c r="L1378" s="9">
        <v>1</v>
      </c>
      <c r="M1378" s="9">
        <v>3</v>
      </c>
      <c r="N1378" s="9" t="s">
        <v>12087</v>
      </c>
      <c r="O1378" s="9" t="s">
        <v>12073</v>
      </c>
      <c r="P1378" s="9" t="s">
        <v>12142</v>
      </c>
      <c r="Q1378" s="10" t="s">
        <v>12143</v>
      </c>
      <c r="R1378" s="9" t="s">
        <v>12074</v>
      </c>
      <c r="S1378" s="9">
        <v>5676</v>
      </c>
      <c r="U1378" s="9" t="str">
        <f t="shared" ca="1" si="56"/>
        <v/>
      </c>
      <c r="V1378" s="9" t="str">
        <f t="shared" ca="1" si="57"/>
        <v/>
      </c>
      <c r="AE1378" s="9" t="s">
        <v>12083</v>
      </c>
    </row>
    <row r="1379" spans="1:33">
      <c r="A1379" s="3" t="s">
        <v>1659</v>
      </c>
      <c r="D1379" s="3" t="s">
        <v>6445</v>
      </c>
      <c r="E1379" s="3" t="s">
        <v>6447</v>
      </c>
      <c r="J1379" s="9" t="s">
        <v>25</v>
      </c>
      <c r="L1379" s="9">
        <v>1</v>
      </c>
      <c r="M1379" s="9">
        <v>5</v>
      </c>
      <c r="N1379" s="9" t="s">
        <v>12084</v>
      </c>
      <c r="O1379" s="9" t="s">
        <v>12079</v>
      </c>
      <c r="Q1379" s="10"/>
      <c r="S1379" s="9">
        <v>98</v>
      </c>
      <c r="U1379" s="9" t="str">
        <f t="shared" ca="1" si="56"/>
        <v/>
      </c>
      <c r="V1379" s="9" t="str">
        <f t="shared" ca="1" si="57"/>
        <v/>
      </c>
      <c r="AG1379" s="9" t="s">
        <v>20</v>
      </c>
    </row>
    <row r="1380" spans="1:33" ht="29">
      <c r="A1380" s="3" t="s">
        <v>1659</v>
      </c>
      <c r="D1380" s="3" t="s">
        <v>6446</v>
      </c>
      <c r="E1380" s="3" t="s">
        <v>6448</v>
      </c>
      <c r="J1380" s="9" t="s">
        <v>25</v>
      </c>
      <c r="L1380" s="9">
        <v>1</v>
      </c>
      <c r="M1380" s="9">
        <v>5</v>
      </c>
      <c r="N1380" s="9" t="s">
        <v>12094</v>
      </c>
      <c r="O1380" s="9" t="s">
        <v>12073</v>
      </c>
      <c r="P1380" s="9" t="s">
        <v>12142</v>
      </c>
      <c r="Q1380" s="10" t="s">
        <v>12143</v>
      </c>
      <c r="S1380" s="9">
        <v>4240</v>
      </c>
      <c r="U1380" s="9" t="str">
        <f t="shared" ca="1" si="56"/>
        <v/>
      </c>
      <c r="V1380" s="9" t="str">
        <f t="shared" ca="1" si="57"/>
        <v/>
      </c>
      <c r="AG1380" s="9" t="s">
        <v>19</v>
      </c>
    </row>
    <row r="1381" spans="1:33">
      <c r="A1381" s="3" t="s">
        <v>1660</v>
      </c>
      <c r="D1381" s="3" t="s">
        <v>1661</v>
      </c>
      <c r="E1381" s="3" t="s">
        <v>1662</v>
      </c>
      <c r="J1381" s="9" t="s">
        <v>12120</v>
      </c>
      <c r="Q1381" s="10"/>
      <c r="U1381" s="9" t="str">
        <f t="shared" ca="1" si="56"/>
        <v/>
      </c>
      <c r="V1381" s="9" t="str">
        <f t="shared" ca="1" si="57"/>
        <v/>
      </c>
      <c r="AE1381" s="9" t="s">
        <v>12086</v>
      </c>
    </row>
    <row r="1382" spans="1:33">
      <c r="A1382" s="3" t="s">
        <v>1660</v>
      </c>
      <c r="D1382" s="3" t="s">
        <v>1663</v>
      </c>
      <c r="E1382" s="3" t="s">
        <v>1664</v>
      </c>
      <c r="J1382" s="9" t="s">
        <v>12118</v>
      </c>
      <c r="Q1382" s="10"/>
      <c r="T1382" s="9">
        <f>47-9</f>
        <v>38</v>
      </c>
      <c r="U1382" s="9">
        <f t="shared" ca="1" si="56"/>
        <v>9</v>
      </c>
      <c r="V1382" s="9">
        <f t="shared" ca="1" si="57"/>
        <v>47</v>
      </c>
      <c r="AC1382" s="9" t="s">
        <v>12134</v>
      </c>
      <c r="AD1382" s="9" t="s">
        <v>19</v>
      </c>
      <c r="AE1382" s="9" t="s">
        <v>12089</v>
      </c>
    </row>
    <row r="1383" spans="1:33" ht="29">
      <c r="A1383" s="3" t="s">
        <v>1665</v>
      </c>
      <c r="D1383" s="3" t="s">
        <v>6450</v>
      </c>
      <c r="E1383" s="3" t="s">
        <v>6449</v>
      </c>
      <c r="J1383" s="9" t="s">
        <v>25</v>
      </c>
      <c r="L1383" s="9">
        <v>1</v>
      </c>
      <c r="M1383" s="9">
        <v>3</v>
      </c>
      <c r="N1383" s="9" t="s">
        <v>12087</v>
      </c>
      <c r="O1383" s="9" t="s">
        <v>12119</v>
      </c>
      <c r="Q1383" s="10"/>
      <c r="S1383" s="9">
        <v>5676</v>
      </c>
      <c r="U1383" s="9" t="str">
        <f t="shared" ca="1" si="56"/>
        <v/>
      </c>
      <c r="V1383" s="9" t="str">
        <f t="shared" ca="1" si="57"/>
        <v/>
      </c>
      <c r="AG1383" s="9" t="s">
        <v>20</v>
      </c>
    </row>
    <row r="1384" spans="1:33" ht="29">
      <c r="A1384" s="3" t="s">
        <v>1666</v>
      </c>
      <c r="D1384" s="3" t="s">
        <v>6451</v>
      </c>
      <c r="E1384" s="3" t="s">
        <v>6452</v>
      </c>
      <c r="J1384" s="9" t="s">
        <v>12118</v>
      </c>
      <c r="Q1384" s="10"/>
      <c r="T1384" s="9" t="s">
        <v>12131</v>
      </c>
      <c r="U1384" s="9" t="str">
        <f t="shared" ca="1" si="56"/>
        <v/>
      </c>
      <c r="V1384" s="9" t="str">
        <f t="shared" ca="1" si="57"/>
        <v/>
      </c>
      <c r="AE1384" s="9" t="s">
        <v>12086</v>
      </c>
    </row>
    <row r="1385" spans="1:33">
      <c r="A1385" s="3" t="s">
        <v>1667</v>
      </c>
      <c r="D1385" s="3" t="s">
        <v>1668</v>
      </c>
      <c r="E1385" s="3" t="s">
        <v>1669</v>
      </c>
      <c r="J1385" s="9" t="s">
        <v>12120</v>
      </c>
      <c r="Q1385" s="10"/>
      <c r="U1385" s="9" t="str">
        <f t="shared" ca="1" si="56"/>
        <v/>
      </c>
      <c r="V1385" s="9" t="str">
        <f t="shared" ca="1" si="57"/>
        <v/>
      </c>
      <c r="AC1385" s="9" t="s">
        <v>12134</v>
      </c>
      <c r="AD1385" s="9" t="s">
        <v>19</v>
      </c>
    </row>
    <row r="1386" spans="1:33" ht="29">
      <c r="A1386" s="3" t="s">
        <v>1670</v>
      </c>
      <c r="D1386" s="3" t="s">
        <v>6453</v>
      </c>
      <c r="E1386" s="3" t="s">
        <v>6454</v>
      </c>
      <c r="J1386" s="9" t="s">
        <v>24</v>
      </c>
      <c r="L1386" s="9">
        <v>1</v>
      </c>
      <c r="M1386" s="9">
        <v>4</v>
      </c>
      <c r="N1386" s="9" t="s">
        <v>12078</v>
      </c>
      <c r="O1386" s="9" t="s">
        <v>12073</v>
      </c>
      <c r="P1386" s="9" t="s">
        <v>12149</v>
      </c>
      <c r="Q1386" s="10" t="s">
        <v>12160</v>
      </c>
      <c r="S1386" s="9">
        <v>11843</v>
      </c>
      <c r="U1386" s="9" t="str">
        <f t="shared" ca="1" si="56"/>
        <v/>
      </c>
      <c r="V1386" s="9" t="str">
        <f t="shared" ca="1" si="57"/>
        <v/>
      </c>
      <c r="AG1386" s="9" t="s">
        <v>20</v>
      </c>
    </row>
    <row r="1387" spans="1:33" ht="29">
      <c r="A1387" s="3" t="s">
        <v>1670</v>
      </c>
      <c r="D1387" s="3" t="s">
        <v>6453</v>
      </c>
      <c r="E1387" s="3" t="s">
        <v>6455</v>
      </c>
      <c r="J1387" s="9" t="s">
        <v>24</v>
      </c>
      <c r="L1387" s="9">
        <v>1</v>
      </c>
      <c r="M1387" s="9">
        <v>3</v>
      </c>
      <c r="N1387" s="9" t="s">
        <v>12087</v>
      </c>
      <c r="O1387" s="9" t="s">
        <v>12119</v>
      </c>
      <c r="Q1387" s="10"/>
      <c r="S1387" s="9">
        <v>5676</v>
      </c>
      <c r="U1387" s="9" t="str">
        <f t="shared" ca="1" si="56"/>
        <v/>
      </c>
      <c r="V1387" s="9" t="str">
        <f t="shared" ca="1" si="57"/>
        <v/>
      </c>
      <c r="AG1387" s="9" t="s">
        <v>19</v>
      </c>
    </row>
    <row r="1388" spans="1:33">
      <c r="A1388" s="3" t="s">
        <v>1671</v>
      </c>
      <c r="D1388" s="3" t="s">
        <v>1672</v>
      </c>
      <c r="E1388" s="3" t="s">
        <v>1673</v>
      </c>
      <c r="J1388" s="9" t="s">
        <v>12120</v>
      </c>
      <c r="Q1388" s="10"/>
      <c r="U1388" s="9" t="str">
        <f t="shared" ca="1" si="56"/>
        <v/>
      </c>
      <c r="V1388" s="9" t="str">
        <f t="shared" ca="1" si="57"/>
        <v/>
      </c>
      <c r="AG1388" s="9" t="s">
        <v>20</v>
      </c>
    </row>
    <row r="1389" spans="1:33">
      <c r="A1389" s="3" t="s">
        <v>1674</v>
      </c>
      <c r="D1389" s="3" t="s">
        <v>1675</v>
      </c>
      <c r="E1389" s="3" t="s">
        <v>6456</v>
      </c>
      <c r="G1389" t="s">
        <v>19</v>
      </c>
      <c r="J1389" s="9" t="s">
        <v>12118</v>
      </c>
      <c r="Q1389" s="10"/>
      <c r="T1389" s="9">
        <f>3-0</f>
        <v>3</v>
      </c>
      <c r="U1389" s="9">
        <f t="shared" ca="1" si="56"/>
        <v>0</v>
      </c>
      <c r="V1389" s="9">
        <f t="shared" ca="1" si="57"/>
        <v>3</v>
      </c>
    </row>
    <row r="1390" spans="1:33">
      <c r="A1390" s="3" t="s">
        <v>1676</v>
      </c>
      <c r="D1390" s="3" t="s">
        <v>6457</v>
      </c>
      <c r="E1390" s="3" t="s">
        <v>6458</v>
      </c>
      <c r="J1390" s="9" t="s">
        <v>12118</v>
      </c>
      <c r="Q1390" s="10"/>
      <c r="R1390" s="9" t="s">
        <v>12074</v>
      </c>
      <c r="T1390" s="9" t="s">
        <v>12131</v>
      </c>
      <c r="U1390" s="9" t="str">
        <f t="shared" ca="1" si="56"/>
        <v/>
      </c>
      <c r="V1390" s="9" t="str">
        <f t="shared" ca="1" si="57"/>
        <v/>
      </c>
      <c r="AE1390" s="9" t="s">
        <v>12077</v>
      </c>
    </row>
    <row r="1391" spans="1:33" ht="29">
      <c r="A1391" s="3" t="s">
        <v>1676</v>
      </c>
      <c r="D1391" s="3" t="s">
        <v>6459</v>
      </c>
      <c r="E1391" s="3" t="s">
        <v>13015</v>
      </c>
      <c r="J1391" s="9" t="s">
        <v>12118</v>
      </c>
      <c r="Q1391" s="10"/>
      <c r="T1391" s="9">
        <f>887-87</f>
        <v>800</v>
      </c>
      <c r="U1391" s="9">
        <f t="shared" ca="1" si="56"/>
        <v>87</v>
      </c>
      <c r="V1391" s="9">
        <f t="shared" ca="1" si="57"/>
        <v>887</v>
      </c>
      <c r="AG1391" s="9" t="s">
        <v>19</v>
      </c>
    </row>
    <row r="1392" spans="1:33">
      <c r="A1392" s="3" t="s">
        <v>1677</v>
      </c>
      <c r="D1392" s="3" t="s">
        <v>6461</v>
      </c>
      <c r="E1392" s="3" t="s">
        <v>6460</v>
      </c>
      <c r="J1392" s="9" t="s">
        <v>25</v>
      </c>
      <c r="L1392" s="9">
        <v>1</v>
      </c>
      <c r="M1392" s="9">
        <v>4</v>
      </c>
      <c r="N1392" s="9" t="s">
        <v>12078</v>
      </c>
      <c r="O1392" s="9" t="s">
        <v>12073</v>
      </c>
      <c r="P1392" s="9" t="s">
        <v>12142</v>
      </c>
      <c r="Q1392" s="10" t="s">
        <v>12160</v>
      </c>
      <c r="R1392" s="9" t="s">
        <v>12074</v>
      </c>
      <c r="S1392" s="9">
        <v>11843</v>
      </c>
      <c r="U1392" s="9" t="str">
        <f t="shared" ca="1" si="56"/>
        <v/>
      </c>
      <c r="V1392" s="9" t="str">
        <f t="shared" ca="1" si="57"/>
        <v/>
      </c>
      <c r="AG1392" s="9" t="s">
        <v>19</v>
      </c>
    </row>
    <row r="1393" spans="1:33" ht="29">
      <c r="A1393" s="3" t="s">
        <v>1677</v>
      </c>
      <c r="D1393" s="3" t="s">
        <v>6462</v>
      </c>
      <c r="E1393" s="3" t="s">
        <v>6463</v>
      </c>
      <c r="I1393" t="s">
        <v>5457</v>
      </c>
      <c r="J1393" s="9" t="s">
        <v>26</v>
      </c>
      <c r="Q1393" s="10"/>
      <c r="U1393" s="9" t="str">
        <f t="shared" ca="1" si="56"/>
        <v/>
      </c>
      <c r="V1393" s="9" t="str">
        <f t="shared" ca="1" si="57"/>
        <v/>
      </c>
      <c r="AG1393" s="9" t="s">
        <v>20</v>
      </c>
    </row>
    <row r="1394" spans="1:33">
      <c r="A1394" s="3" t="s">
        <v>1678</v>
      </c>
      <c r="D1394" s="3" t="s">
        <v>6464</v>
      </c>
      <c r="E1394" s="3" t="s">
        <v>6465</v>
      </c>
      <c r="J1394" s="9" t="s">
        <v>12120</v>
      </c>
      <c r="Q1394" s="10"/>
      <c r="U1394" s="9" t="str">
        <f t="shared" ca="1" si="56"/>
        <v/>
      </c>
      <c r="V1394" s="9" t="str">
        <f t="shared" ca="1" si="57"/>
        <v/>
      </c>
      <c r="AG1394" s="9" t="s">
        <v>19</v>
      </c>
    </row>
    <row r="1395" spans="1:33" ht="29">
      <c r="A1395" s="3" t="s">
        <v>1678</v>
      </c>
      <c r="D1395" s="3" t="s">
        <v>6466</v>
      </c>
      <c r="E1395" s="3" t="s">
        <v>6467</v>
      </c>
      <c r="G1395" t="s">
        <v>19</v>
      </c>
      <c r="J1395" s="9" t="s">
        <v>12118</v>
      </c>
      <c r="Q1395" s="10"/>
      <c r="T1395" s="9">
        <f>8-0</f>
        <v>8</v>
      </c>
      <c r="U1395" s="9">
        <f t="shared" ca="1" si="56"/>
        <v>0</v>
      </c>
      <c r="V1395" s="9">
        <f t="shared" ca="1" si="57"/>
        <v>8</v>
      </c>
    </row>
    <row r="1396" spans="1:33">
      <c r="A1396" s="3" t="s">
        <v>1679</v>
      </c>
      <c r="D1396" s="3" t="s">
        <v>1680</v>
      </c>
      <c r="E1396" s="3" t="s">
        <v>1234</v>
      </c>
      <c r="J1396" s="9" t="s">
        <v>12120</v>
      </c>
      <c r="Q1396" s="10"/>
      <c r="U1396" s="9" t="str">
        <f t="shared" ca="1" si="56"/>
        <v/>
      </c>
      <c r="V1396" s="9" t="str">
        <f t="shared" ca="1" si="57"/>
        <v/>
      </c>
      <c r="AG1396" s="9" t="s">
        <v>19</v>
      </c>
    </row>
    <row r="1397" spans="1:33">
      <c r="A1397" s="3" t="s">
        <v>1679</v>
      </c>
      <c r="D1397" s="3" t="s">
        <v>6468</v>
      </c>
      <c r="E1397" s="3" t="s">
        <v>1681</v>
      </c>
      <c r="J1397" s="9" t="s">
        <v>12118</v>
      </c>
      <c r="Q1397" s="10"/>
      <c r="T1397" s="9" t="s">
        <v>12131</v>
      </c>
      <c r="U1397" s="9" t="str">
        <f t="shared" ca="1" si="56"/>
        <v/>
      </c>
      <c r="V1397" s="9" t="str">
        <f t="shared" ca="1" si="57"/>
        <v/>
      </c>
      <c r="AE1397" s="9" t="s">
        <v>12077</v>
      </c>
    </row>
    <row r="1398" spans="1:33">
      <c r="A1398" s="3" t="s">
        <v>1682</v>
      </c>
      <c r="D1398" s="3" t="s">
        <v>1683</v>
      </c>
      <c r="E1398" s="3" t="s">
        <v>1562</v>
      </c>
      <c r="J1398" s="9" t="s">
        <v>12120</v>
      </c>
      <c r="Q1398" s="10"/>
      <c r="U1398" s="9" t="str">
        <f t="shared" ca="1" si="56"/>
        <v/>
      </c>
      <c r="V1398" s="9" t="str">
        <f t="shared" ca="1" si="57"/>
        <v/>
      </c>
      <c r="AG1398" s="9" t="s">
        <v>20</v>
      </c>
    </row>
    <row r="1399" spans="1:33">
      <c r="A1399" s="3" t="s">
        <v>1682</v>
      </c>
      <c r="D1399" s="6" t="s">
        <v>6469</v>
      </c>
      <c r="E1399" s="3" t="s">
        <v>6469</v>
      </c>
      <c r="F1399" t="s">
        <v>4774</v>
      </c>
      <c r="G1399" t="s">
        <v>20</v>
      </c>
      <c r="I1399" t="s">
        <v>6470</v>
      </c>
      <c r="Q1399" s="10"/>
      <c r="U1399" s="9" t="str">
        <f t="shared" ca="1" si="56"/>
        <v/>
      </c>
      <c r="V1399" s="9" t="str">
        <f t="shared" ca="1" si="57"/>
        <v/>
      </c>
      <c r="AF1399" s="9" t="s">
        <v>19</v>
      </c>
    </row>
    <row r="1400" spans="1:33">
      <c r="A1400" s="3" t="s">
        <v>1684</v>
      </c>
      <c r="D1400" s="3" t="s">
        <v>1685</v>
      </c>
      <c r="E1400" s="3" t="s">
        <v>1686</v>
      </c>
      <c r="J1400" s="9" t="s">
        <v>12118</v>
      </c>
      <c r="Q1400" s="10"/>
      <c r="T1400" s="9">
        <f>73-24</f>
        <v>49</v>
      </c>
      <c r="U1400" s="9">
        <f t="shared" ca="1" si="56"/>
        <v>24</v>
      </c>
      <c r="V1400" s="9">
        <f t="shared" ca="1" si="57"/>
        <v>73</v>
      </c>
      <c r="AC1400" s="9" t="s">
        <v>12130</v>
      </c>
      <c r="AD1400" s="9" t="s">
        <v>19</v>
      </c>
      <c r="AE1400" s="9" t="s">
        <v>12086</v>
      </c>
    </row>
    <row r="1401" spans="1:33" ht="29">
      <c r="A1401" s="3" t="s">
        <v>1687</v>
      </c>
      <c r="D1401" s="3" t="s">
        <v>6471</v>
      </c>
      <c r="E1401" s="3" t="s">
        <v>6472</v>
      </c>
      <c r="I1401" t="s">
        <v>12189</v>
      </c>
      <c r="J1401" s="9" t="s">
        <v>26</v>
      </c>
      <c r="Q1401" s="10"/>
      <c r="U1401" s="9" t="str">
        <f t="shared" ca="1" si="56"/>
        <v/>
      </c>
      <c r="V1401" s="9" t="str">
        <f t="shared" ca="1" si="57"/>
        <v/>
      </c>
      <c r="AG1401" s="9" t="s">
        <v>19</v>
      </c>
    </row>
    <row r="1402" spans="1:33">
      <c r="A1402" s="3" t="s">
        <v>1688</v>
      </c>
      <c r="D1402" s="3" t="s">
        <v>1689</v>
      </c>
      <c r="E1402" s="3" t="s">
        <v>1690</v>
      </c>
      <c r="J1402" s="9" t="s">
        <v>12121</v>
      </c>
      <c r="Q1402" s="10"/>
      <c r="T1402" s="9">
        <f xml:space="preserve"> 301-0</f>
        <v>301</v>
      </c>
      <c r="U1402" s="9">
        <f t="shared" ca="1" si="56"/>
        <v>0</v>
      </c>
      <c r="V1402" s="9">
        <f t="shared" ca="1" si="57"/>
        <v>301</v>
      </c>
      <c r="AC1402" s="9" t="s">
        <v>12130</v>
      </c>
      <c r="AD1402" s="9" t="s">
        <v>19</v>
      </c>
      <c r="AE1402" s="9" t="s">
        <v>12089</v>
      </c>
    </row>
    <row r="1403" spans="1:33">
      <c r="A1403" s="3" t="s">
        <v>1688</v>
      </c>
      <c r="D1403" s="3" t="s">
        <v>6473</v>
      </c>
      <c r="E1403" s="3" t="s">
        <v>6474</v>
      </c>
      <c r="G1403" t="s">
        <v>19</v>
      </c>
      <c r="J1403" s="9" t="s">
        <v>12118</v>
      </c>
      <c r="Q1403" s="10"/>
      <c r="T1403" s="9">
        <f>1565-16</f>
        <v>1549</v>
      </c>
      <c r="U1403" s="9">
        <f t="shared" ca="1" si="56"/>
        <v>16</v>
      </c>
      <c r="V1403" s="9">
        <f t="shared" ca="1" si="57"/>
        <v>1565</v>
      </c>
      <c r="AC1403" s="9" t="s">
        <v>12134</v>
      </c>
      <c r="AD1403" s="9" t="s">
        <v>19</v>
      </c>
      <c r="AE1403" s="9" t="s">
        <v>12089</v>
      </c>
    </row>
    <row r="1404" spans="1:33" ht="29">
      <c r="A1404" s="3" t="s">
        <v>1691</v>
      </c>
      <c r="D1404" s="3" t="s">
        <v>13016</v>
      </c>
      <c r="E1404" s="5" t="s">
        <v>13017</v>
      </c>
      <c r="F1404" t="s">
        <v>32</v>
      </c>
      <c r="I1404" t="s">
        <v>13018</v>
      </c>
      <c r="J1404" s="9" t="s">
        <v>12120</v>
      </c>
      <c r="Q1404" s="10"/>
      <c r="U1404" s="9" t="str">
        <f t="shared" ref="U1404" ca="1" si="58">IF(ISNUMBER(T1404),VALUE(MID(_xlfn.FORMULATEXT(T1404),SEARCH("-",_xlfn.FORMULATEXT(T1404))+1,LEN(_xlfn.FORMULATEXT(T1404))-SEARCH("-",_xlfn.FORMULATEXT(T1404)))), "")</f>
        <v/>
      </c>
      <c r="V1404" s="9" t="str">
        <f t="shared" ref="V1404" ca="1" si="59">IF(ISNUMBER(T1404), VALUE(MID(_xlfn.FORMULATEXT(T1404), 2, SEARCH("-", _xlfn.FORMULATEXT(T1404)) - 2)), "")</f>
        <v/>
      </c>
      <c r="AC1404" s="9" t="s">
        <v>12130</v>
      </c>
      <c r="AD1404" s="9" t="s">
        <v>19</v>
      </c>
      <c r="AE1404" s="9" t="s">
        <v>12086</v>
      </c>
    </row>
    <row r="1405" spans="1:33" ht="29">
      <c r="A1405" s="3" t="s">
        <v>1691</v>
      </c>
      <c r="D1405" s="6" t="s">
        <v>6475</v>
      </c>
      <c r="E1405" s="3" t="s">
        <v>6476</v>
      </c>
      <c r="F1405" t="s">
        <v>4774</v>
      </c>
      <c r="G1405" t="s">
        <v>19</v>
      </c>
      <c r="I1405" t="s">
        <v>6479</v>
      </c>
      <c r="J1405" s="9" t="s">
        <v>12120</v>
      </c>
      <c r="Q1405" s="10"/>
      <c r="U1405" s="9" t="str">
        <f t="shared" ca="1" si="56"/>
        <v/>
      </c>
      <c r="V1405" s="9" t="str">
        <f t="shared" ca="1" si="57"/>
        <v/>
      </c>
      <c r="AF1405" s="9" t="s">
        <v>19</v>
      </c>
    </row>
    <row r="1406" spans="1:33" ht="29">
      <c r="A1406" s="3" t="s">
        <v>1691</v>
      </c>
      <c r="D1406" s="3" t="s">
        <v>6477</v>
      </c>
      <c r="E1406" s="3" t="s">
        <v>6478</v>
      </c>
      <c r="J1406" s="9" t="s">
        <v>12120</v>
      </c>
      <c r="Q1406" s="10"/>
      <c r="U1406" s="9" t="str">
        <f t="shared" ca="1" si="56"/>
        <v/>
      </c>
      <c r="V1406" s="9" t="str">
        <f t="shared" ca="1" si="57"/>
        <v/>
      </c>
      <c r="AC1406" s="9" t="s">
        <v>12130</v>
      </c>
      <c r="AD1406" s="9" t="s">
        <v>19</v>
      </c>
      <c r="AE1406" s="9" t="s">
        <v>12086</v>
      </c>
    </row>
    <row r="1407" spans="1:33">
      <c r="A1407" s="3" t="s">
        <v>1692</v>
      </c>
      <c r="D1407" s="3" t="s">
        <v>6480</v>
      </c>
      <c r="E1407" s="3" t="s">
        <v>6481</v>
      </c>
      <c r="J1407" s="9" t="s">
        <v>24</v>
      </c>
      <c r="L1407" s="9">
        <v>1</v>
      </c>
      <c r="M1407" s="9">
        <v>2</v>
      </c>
      <c r="N1407" s="9" t="s">
        <v>12078</v>
      </c>
      <c r="O1407" s="9" t="s">
        <v>12119</v>
      </c>
      <c r="Q1407" s="10"/>
      <c r="S1407" s="9">
        <v>11843</v>
      </c>
      <c r="U1407" s="9" t="str">
        <f t="shared" ca="1" si="56"/>
        <v/>
      </c>
      <c r="V1407" s="9" t="str">
        <f t="shared" ca="1" si="57"/>
        <v/>
      </c>
      <c r="AG1407" s="9" t="s">
        <v>19</v>
      </c>
    </row>
    <row r="1408" spans="1:33">
      <c r="A1408" s="3" t="s">
        <v>1693</v>
      </c>
      <c r="D1408" s="3" t="s">
        <v>6482</v>
      </c>
      <c r="E1408" s="3" t="s">
        <v>6483</v>
      </c>
      <c r="J1408" s="9" t="s">
        <v>24</v>
      </c>
      <c r="L1408" s="9">
        <v>1</v>
      </c>
      <c r="M1408" s="9">
        <v>2</v>
      </c>
      <c r="N1408" s="9" t="s">
        <v>12087</v>
      </c>
      <c r="O1408" s="9" t="s">
        <v>12119</v>
      </c>
      <c r="Q1408" s="10"/>
      <c r="R1408" s="9" t="s">
        <v>12074</v>
      </c>
      <c r="S1408" s="9">
        <v>227</v>
      </c>
      <c r="U1408" s="9" t="str">
        <f t="shared" ca="1" si="56"/>
        <v/>
      </c>
      <c r="V1408" s="9" t="str">
        <f t="shared" ca="1" si="57"/>
        <v/>
      </c>
      <c r="AE1408" s="9" t="s">
        <v>12083</v>
      </c>
    </row>
    <row r="1409" spans="1:33">
      <c r="A1409" s="3" t="s">
        <v>1694</v>
      </c>
      <c r="D1409" s="3" t="s">
        <v>6484</v>
      </c>
      <c r="E1409" s="3" t="s">
        <v>6484</v>
      </c>
      <c r="G1409" t="s">
        <v>20</v>
      </c>
      <c r="I1409" t="s">
        <v>6485</v>
      </c>
      <c r="Q1409" s="10"/>
      <c r="U1409" s="9" t="str">
        <f t="shared" ca="1" si="56"/>
        <v/>
      </c>
      <c r="V1409" s="9" t="str">
        <f t="shared" ca="1" si="57"/>
        <v/>
      </c>
    </row>
    <row r="1410" spans="1:33" ht="43.5">
      <c r="A1410" s="3" t="s">
        <v>1694</v>
      </c>
      <c r="D1410" s="3" t="s">
        <v>12276</v>
      </c>
      <c r="E1410" s="3" t="s">
        <v>12277</v>
      </c>
      <c r="G1410" t="s">
        <v>21</v>
      </c>
      <c r="I1410" t="s">
        <v>6486</v>
      </c>
      <c r="J1410" s="9" t="s">
        <v>24</v>
      </c>
      <c r="L1410" s="9">
        <v>5</v>
      </c>
      <c r="M1410" s="9">
        <v>18</v>
      </c>
      <c r="O1410" s="9" t="s">
        <v>12073</v>
      </c>
      <c r="P1410" s="9" t="s">
        <v>12140</v>
      </c>
      <c r="Q1410" s="10" t="s">
        <v>12278</v>
      </c>
      <c r="U1410" s="9" t="str">
        <f t="shared" ca="1" si="56"/>
        <v/>
      </c>
      <c r="V1410" s="9" t="str">
        <f t="shared" ca="1" si="57"/>
        <v/>
      </c>
    </row>
    <row r="1411" spans="1:33">
      <c r="A1411" s="3" t="s">
        <v>1695</v>
      </c>
      <c r="D1411" s="3" t="s">
        <v>6487</v>
      </c>
      <c r="E1411" s="3" t="s">
        <v>6487</v>
      </c>
      <c r="G1411" t="s">
        <v>20</v>
      </c>
      <c r="I1411" t="s">
        <v>6488</v>
      </c>
      <c r="Q1411" s="10"/>
      <c r="U1411" s="9" t="str">
        <f t="shared" ca="1" si="56"/>
        <v/>
      </c>
      <c r="V1411" s="9" t="str">
        <f t="shared" ca="1" si="57"/>
        <v/>
      </c>
    </row>
    <row r="1412" spans="1:33" ht="29">
      <c r="A1412" s="3" t="s">
        <v>1696</v>
      </c>
      <c r="D1412" s="3" t="s">
        <v>6489</v>
      </c>
      <c r="E1412" s="5" t="s">
        <v>6490</v>
      </c>
      <c r="F1412" t="s">
        <v>16</v>
      </c>
      <c r="Q1412" s="10"/>
      <c r="U1412" s="9" t="str">
        <f t="shared" ca="1" si="56"/>
        <v/>
      </c>
      <c r="V1412" s="9" t="str">
        <f t="shared" ca="1" si="57"/>
        <v/>
      </c>
    </row>
    <row r="1413" spans="1:33" ht="29">
      <c r="A1413" s="3" t="s">
        <v>1697</v>
      </c>
      <c r="D1413" s="3" t="s">
        <v>12279</v>
      </c>
      <c r="E1413" s="3" t="s">
        <v>12280</v>
      </c>
      <c r="G1413" t="s">
        <v>19</v>
      </c>
      <c r="J1413" s="9" t="s">
        <v>12120</v>
      </c>
      <c r="Q1413" s="10"/>
      <c r="U1413" s="9" t="str">
        <f t="shared" ca="1" si="56"/>
        <v/>
      </c>
      <c r="V1413" s="9" t="str">
        <f t="shared" ca="1" si="57"/>
        <v/>
      </c>
    </row>
    <row r="1414" spans="1:33" ht="29">
      <c r="A1414" s="3" t="s">
        <v>1697</v>
      </c>
      <c r="D1414" s="3" t="s">
        <v>12281</v>
      </c>
      <c r="E1414" s="3" t="s">
        <v>12282</v>
      </c>
      <c r="I1414" t="s">
        <v>5457</v>
      </c>
      <c r="J1414" s="9" t="s">
        <v>26</v>
      </c>
      <c r="Q1414" s="10"/>
      <c r="U1414" s="9" t="str">
        <f t="shared" ca="1" si="56"/>
        <v/>
      </c>
      <c r="V1414" s="9" t="str">
        <f t="shared" ca="1" si="57"/>
        <v/>
      </c>
      <c r="AG1414" s="9" t="s">
        <v>19</v>
      </c>
    </row>
    <row r="1415" spans="1:33">
      <c r="A1415" s="3" t="s">
        <v>1697</v>
      </c>
      <c r="D1415" s="3" t="s">
        <v>194</v>
      </c>
      <c r="E1415" s="3" t="s">
        <v>195</v>
      </c>
      <c r="J1415" s="9" t="s">
        <v>12120</v>
      </c>
      <c r="Q1415" s="10"/>
      <c r="U1415" s="9" t="str">
        <f t="shared" ca="1" si="56"/>
        <v/>
      </c>
      <c r="V1415" s="9" t="str">
        <f t="shared" ca="1" si="57"/>
        <v/>
      </c>
      <c r="AC1415" s="9" t="s">
        <v>12130</v>
      </c>
      <c r="AD1415" s="9" t="s">
        <v>19</v>
      </c>
    </row>
    <row r="1416" spans="1:33">
      <c r="A1416" s="3" t="s">
        <v>1699</v>
      </c>
      <c r="D1416" s="3" t="s">
        <v>6491</v>
      </c>
      <c r="E1416" s="3" t="s">
        <v>6492</v>
      </c>
      <c r="J1416" s="9" t="s">
        <v>12118</v>
      </c>
      <c r="Q1416" s="10"/>
      <c r="T1416" s="9" t="s">
        <v>12131</v>
      </c>
      <c r="U1416" s="9" t="str">
        <f t="shared" ca="1" si="56"/>
        <v/>
      </c>
      <c r="V1416" s="9" t="str">
        <f t="shared" ca="1" si="57"/>
        <v/>
      </c>
      <c r="AE1416" s="9" t="s">
        <v>12086</v>
      </c>
    </row>
    <row r="1417" spans="1:33">
      <c r="A1417" s="3" t="s">
        <v>1700</v>
      </c>
      <c r="D1417" s="3" t="s">
        <v>1701</v>
      </c>
      <c r="E1417" s="3" t="s">
        <v>1702</v>
      </c>
      <c r="J1417" s="9" t="s">
        <v>12118</v>
      </c>
      <c r="Q1417" s="10"/>
      <c r="R1417" s="9" t="s">
        <v>12074</v>
      </c>
      <c r="T1417" s="9" t="s">
        <v>12131</v>
      </c>
      <c r="U1417" s="9" t="str">
        <f t="shared" ca="1" si="56"/>
        <v/>
      </c>
      <c r="V1417" s="9" t="str">
        <f t="shared" ca="1" si="57"/>
        <v/>
      </c>
      <c r="AE1417" s="9" t="s">
        <v>12086</v>
      </c>
    </row>
    <row r="1418" spans="1:33">
      <c r="A1418" s="3" t="s">
        <v>1700</v>
      </c>
      <c r="D1418" s="3" t="s">
        <v>6494</v>
      </c>
      <c r="E1418" s="3" t="s">
        <v>6493</v>
      </c>
      <c r="G1418" t="s">
        <v>19</v>
      </c>
      <c r="J1418" s="9" t="s">
        <v>12120</v>
      </c>
      <c r="Q1418" s="10"/>
      <c r="U1418" s="9" t="str">
        <f t="shared" ca="1" si="56"/>
        <v/>
      </c>
      <c r="V1418" s="9" t="str">
        <f t="shared" ca="1" si="57"/>
        <v/>
      </c>
      <c r="AE1418" s="9" t="s">
        <v>12086</v>
      </c>
    </row>
    <row r="1419" spans="1:33">
      <c r="A1419" s="3" t="s">
        <v>1700</v>
      </c>
      <c r="D1419" s="3" t="s">
        <v>6495</v>
      </c>
      <c r="E1419" s="3" t="s">
        <v>6496</v>
      </c>
      <c r="G1419" t="s">
        <v>19</v>
      </c>
      <c r="J1419" s="9" t="s">
        <v>12118</v>
      </c>
      <c r="Q1419" s="10"/>
      <c r="T1419" s="9" t="s">
        <v>12131</v>
      </c>
      <c r="U1419" s="9" t="str">
        <f t="shared" ca="1" si="56"/>
        <v/>
      </c>
      <c r="V1419" s="9" t="str">
        <f t="shared" ca="1" si="57"/>
        <v/>
      </c>
      <c r="AE1419" s="9" t="s">
        <v>12086</v>
      </c>
    </row>
    <row r="1420" spans="1:33">
      <c r="A1420" s="3" t="s">
        <v>1703</v>
      </c>
      <c r="D1420" s="3" t="s">
        <v>6497</v>
      </c>
      <c r="E1420" s="3" t="s">
        <v>6498</v>
      </c>
      <c r="J1420" s="9" t="s">
        <v>12120</v>
      </c>
      <c r="Q1420" s="10"/>
      <c r="U1420" s="9" t="str">
        <f t="shared" ref="U1420:U1483" ca="1" si="60">IF(ISNUMBER(T1420),VALUE(MID(_xlfn.FORMULATEXT(T1420),SEARCH("-",_xlfn.FORMULATEXT(T1420))+1,LEN(_xlfn.FORMULATEXT(T1420))-SEARCH("-",_xlfn.FORMULATEXT(T1420)))), "")</f>
        <v/>
      </c>
      <c r="V1420" s="9" t="str">
        <f t="shared" ref="V1420:V1483" ca="1" si="61">IF(ISNUMBER(T1420), VALUE(MID(_xlfn.FORMULATEXT(T1420), 2, SEARCH("-", _xlfn.FORMULATEXT(T1420)) - 2)), "")</f>
        <v/>
      </c>
      <c r="AG1420" s="9" t="s">
        <v>19</v>
      </c>
    </row>
    <row r="1421" spans="1:33">
      <c r="A1421" s="3" t="s">
        <v>1703</v>
      </c>
      <c r="D1421" s="3" t="s">
        <v>6499</v>
      </c>
      <c r="E1421" s="3" t="s">
        <v>6500</v>
      </c>
      <c r="J1421" s="9" t="s">
        <v>12120</v>
      </c>
      <c r="Q1421" s="10"/>
      <c r="U1421" s="9" t="str">
        <f t="shared" ca="1" si="60"/>
        <v/>
      </c>
      <c r="V1421" s="9" t="str">
        <f t="shared" ca="1" si="61"/>
        <v/>
      </c>
      <c r="AG1421" s="9" t="s">
        <v>20</v>
      </c>
    </row>
    <row r="1422" spans="1:33" ht="29">
      <c r="A1422" s="3" t="s">
        <v>1704</v>
      </c>
      <c r="D1422" s="3" t="s">
        <v>13019</v>
      </c>
      <c r="E1422" s="3" t="s">
        <v>13020</v>
      </c>
      <c r="G1422" t="s">
        <v>19</v>
      </c>
      <c r="J1422" s="9" t="s">
        <v>25</v>
      </c>
      <c r="L1422" s="9">
        <v>1</v>
      </c>
      <c r="M1422" s="9">
        <v>5</v>
      </c>
      <c r="N1422" s="9" t="s">
        <v>12094</v>
      </c>
      <c r="O1422" s="9" t="s">
        <v>12073</v>
      </c>
      <c r="P1422" s="9" t="s">
        <v>12142</v>
      </c>
      <c r="Q1422" s="10" t="s">
        <v>12170</v>
      </c>
      <c r="R1422" s="9" t="s">
        <v>12074</v>
      </c>
      <c r="S1422" s="9">
        <v>4240</v>
      </c>
      <c r="U1422" s="9" t="str">
        <f t="shared" ca="1" si="60"/>
        <v/>
      </c>
      <c r="V1422" s="9" t="str">
        <f t="shared" ca="1" si="61"/>
        <v/>
      </c>
      <c r="AE1422" s="9" t="s">
        <v>12089</v>
      </c>
    </row>
    <row r="1423" spans="1:33">
      <c r="A1423" s="3" t="s">
        <v>1705</v>
      </c>
      <c r="D1423" s="3" t="s">
        <v>6502</v>
      </c>
      <c r="E1423" s="3" t="s">
        <v>6501</v>
      </c>
      <c r="J1423" s="9" t="s">
        <v>12118</v>
      </c>
      <c r="Q1423" s="10"/>
      <c r="R1423" s="9" t="s">
        <v>12074</v>
      </c>
      <c r="T1423" s="9" t="s">
        <v>12119</v>
      </c>
      <c r="U1423" s="9" t="str">
        <f t="shared" ca="1" si="60"/>
        <v/>
      </c>
      <c r="V1423" s="9" t="str">
        <f t="shared" ca="1" si="61"/>
        <v/>
      </c>
      <c r="AB1423" s="9" t="s">
        <v>12124</v>
      </c>
      <c r="AD1423" s="9" t="s">
        <v>19</v>
      </c>
      <c r="AE1423" s="9" t="s">
        <v>12077</v>
      </c>
    </row>
    <row r="1424" spans="1:33">
      <c r="A1424" s="3" t="s">
        <v>1706</v>
      </c>
      <c r="D1424" s="5" t="s">
        <v>6503</v>
      </c>
      <c r="E1424" s="3" t="s">
        <v>6504</v>
      </c>
      <c r="F1424" t="s">
        <v>15</v>
      </c>
      <c r="I1424" t="s">
        <v>6505</v>
      </c>
      <c r="Q1424" s="10"/>
      <c r="U1424" s="9" t="str">
        <f t="shared" ca="1" si="60"/>
        <v/>
      </c>
      <c r="V1424" s="9" t="str">
        <f t="shared" ca="1" si="61"/>
        <v/>
      </c>
    </row>
    <row r="1425" spans="1:33">
      <c r="A1425" s="3" t="s">
        <v>1706</v>
      </c>
      <c r="D1425" s="3" t="s">
        <v>1350</v>
      </c>
      <c r="E1425" s="3" t="s">
        <v>1707</v>
      </c>
      <c r="J1425" s="9" t="s">
        <v>12120</v>
      </c>
      <c r="Q1425" s="10"/>
      <c r="U1425" s="9" t="str">
        <f t="shared" ca="1" si="60"/>
        <v/>
      </c>
      <c r="V1425" s="9" t="str">
        <f t="shared" ca="1" si="61"/>
        <v/>
      </c>
      <c r="AE1425" s="9" t="s">
        <v>12077</v>
      </c>
    </row>
    <row r="1426" spans="1:33">
      <c r="A1426" s="3" t="s">
        <v>1708</v>
      </c>
      <c r="D1426" s="3" t="s">
        <v>5839</v>
      </c>
      <c r="E1426" s="3" t="s">
        <v>6506</v>
      </c>
      <c r="J1426" s="9" t="s">
        <v>25</v>
      </c>
      <c r="L1426" s="9">
        <v>1</v>
      </c>
      <c r="M1426" s="9">
        <v>4</v>
      </c>
      <c r="N1426" s="9" t="s">
        <v>12078</v>
      </c>
      <c r="O1426" s="9" t="s">
        <v>12079</v>
      </c>
      <c r="Q1426" s="10"/>
      <c r="S1426" s="9">
        <v>11843</v>
      </c>
      <c r="U1426" s="9" t="str">
        <f t="shared" ca="1" si="60"/>
        <v/>
      </c>
      <c r="V1426" s="9" t="str">
        <f t="shared" ca="1" si="61"/>
        <v/>
      </c>
      <c r="AG1426" s="9" t="s">
        <v>20</v>
      </c>
    </row>
    <row r="1427" spans="1:33">
      <c r="A1427" s="3" t="s">
        <v>1709</v>
      </c>
      <c r="D1427" s="3" t="s">
        <v>6076</v>
      </c>
      <c r="E1427" s="3" t="s">
        <v>6077</v>
      </c>
      <c r="J1427" s="9" t="s">
        <v>24</v>
      </c>
      <c r="L1427" s="9">
        <v>1</v>
      </c>
      <c r="M1427" s="9">
        <v>1</v>
      </c>
      <c r="N1427" s="9" t="s">
        <v>12078</v>
      </c>
      <c r="O1427" s="9" t="s">
        <v>12119</v>
      </c>
      <c r="Q1427" s="10"/>
      <c r="R1427" s="9" t="s">
        <v>12074</v>
      </c>
      <c r="S1427" s="9">
        <v>11843</v>
      </c>
      <c r="U1427" s="9" t="str">
        <f t="shared" ca="1" si="60"/>
        <v/>
      </c>
      <c r="V1427" s="9" t="str">
        <f t="shared" ca="1" si="61"/>
        <v/>
      </c>
      <c r="AG1427" s="9" t="s">
        <v>19</v>
      </c>
    </row>
    <row r="1428" spans="1:33" ht="29">
      <c r="A1428" s="3" t="s">
        <v>1710</v>
      </c>
      <c r="D1428" s="3" t="s">
        <v>6507</v>
      </c>
      <c r="E1428" s="3" t="s">
        <v>6508</v>
      </c>
      <c r="I1428" t="s">
        <v>5457</v>
      </c>
      <c r="J1428" s="9" t="s">
        <v>26</v>
      </c>
      <c r="Q1428" s="10"/>
      <c r="U1428" s="9" t="str">
        <f t="shared" ca="1" si="60"/>
        <v/>
      </c>
      <c r="V1428" s="9" t="str">
        <f t="shared" ca="1" si="61"/>
        <v/>
      </c>
      <c r="AG1428" s="9" t="s">
        <v>20</v>
      </c>
    </row>
    <row r="1429" spans="1:33" ht="29">
      <c r="A1429" s="3" t="s">
        <v>1711</v>
      </c>
      <c r="D1429" s="3" t="s">
        <v>6511</v>
      </c>
      <c r="E1429" s="3" t="s">
        <v>6509</v>
      </c>
      <c r="J1429" s="9" t="s">
        <v>25</v>
      </c>
      <c r="L1429" s="9">
        <v>1</v>
      </c>
      <c r="M1429" s="9">
        <v>4</v>
      </c>
      <c r="N1429" s="9" t="s">
        <v>12094</v>
      </c>
      <c r="O1429" s="9" t="s">
        <v>12079</v>
      </c>
      <c r="Q1429" s="10"/>
      <c r="S1429" s="9">
        <v>4240</v>
      </c>
      <c r="U1429" s="9" t="str">
        <f t="shared" ca="1" si="60"/>
        <v/>
      </c>
      <c r="V1429" s="9" t="str">
        <f t="shared" ca="1" si="61"/>
        <v/>
      </c>
      <c r="AG1429" s="9" t="s">
        <v>19</v>
      </c>
    </row>
    <row r="1430" spans="1:33" ht="29">
      <c r="A1430" s="3" t="s">
        <v>1711</v>
      </c>
      <c r="D1430" s="3" t="s">
        <v>6512</v>
      </c>
      <c r="E1430" s="3" t="s">
        <v>6513</v>
      </c>
      <c r="I1430" t="s">
        <v>12190</v>
      </c>
      <c r="J1430" s="9" t="s">
        <v>26</v>
      </c>
      <c r="Q1430" s="10"/>
      <c r="U1430" s="9" t="str">
        <f t="shared" ca="1" si="60"/>
        <v/>
      </c>
      <c r="V1430" s="9" t="str">
        <f t="shared" ca="1" si="61"/>
        <v/>
      </c>
      <c r="AG1430" s="9" t="s">
        <v>20</v>
      </c>
    </row>
    <row r="1431" spans="1:33" ht="29">
      <c r="A1431" s="3" t="s">
        <v>1711</v>
      </c>
      <c r="D1431" s="3" t="s">
        <v>6510</v>
      </c>
      <c r="E1431" s="3" t="s">
        <v>6514</v>
      </c>
      <c r="J1431" s="9" t="s">
        <v>24</v>
      </c>
      <c r="L1431" s="9">
        <v>2</v>
      </c>
      <c r="M1431" s="9">
        <v>7</v>
      </c>
      <c r="O1431" s="9" t="s">
        <v>12079</v>
      </c>
      <c r="Q1431" s="10"/>
      <c r="S1431" s="9">
        <v>2042</v>
      </c>
      <c r="U1431" s="9" t="str">
        <f t="shared" ca="1" si="60"/>
        <v/>
      </c>
      <c r="V1431" s="9" t="str">
        <f t="shared" ca="1" si="61"/>
        <v/>
      </c>
      <c r="AG1431" s="9" t="s">
        <v>13141</v>
      </c>
    </row>
    <row r="1432" spans="1:33" ht="58">
      <c r="A1432" s="3" t="s">
        <v>1712</v>
      </c>
      <c r="D1432" s="3" t="s">
        <v>6516</v>
      </c>
      <c r="E1432" s="3" t="s">
        <v>6517</v>
      </c>
      <c r="I1432" t="s">
        <v>5457</v>
      </c>
      <c r="J1432" s="9" t="s">
        <v>26</v>
      </c>
      <c r="Q1432" s="10"/>
      <c r="U1432" s="9" t="str">
        <f t="shared" ca="1" si="60"/>
        <v/>
      </c>
      <c r="V1432" s="9" t="str">
        <f t="shared" ca="1" si="61"/>
        <v/>
      </c>
      <c r="AG1432" s="9" t="s">
        <v>20</v>
      </c>
    </row>
    <row r="1433" spans="1:33" ht="58">
      <c r="A1433" s="3" t="s">
        <v>1712</v>
      </c>
      <c r="D1433" s="3" t="s">
        <v>6518</v>
      </c>
      <c r="E1433" s="3" t="s">
        <v>6515</v>
      </c>
      <c r="J1433" s="9" t="s">
        <v>25</v>
      </c>
      <c r="L1433" s="9">
        <v>2</v>
      </c>
      <c r="M1433" s="9">
        <v>12</v>
      </c>
      <c r="O1433" s="9" t="s">
        <v>12073</v>
      </c>
      <c r="P1433" s="9" t="s">
        <v>12135</v>
      </c>
      <c r="Q1433" s="10" t="s">
        <v>12137</v>
      </c>
      <c r="S1433" s="9">
        <v>77</v>
      </c>
      <c r="U1433" s="9" t="str">
        <f t="shared" ca="1" si="60"/>
        <v/>
      </c>
      <c r="V1433" s="9" t="str">
        <f t="shared" ca="1" si="61"/>
        <v/>
      </c>
      <c r="AG1433" s="9" t="s">
        <v>19</v>
      </c>
    </row>
    <row r="1434" spans="1:33" ht="58">
      <c r="A1434" s="3" t="s">
        <v>1713</v>
      </c>
      <c r="D1434" s="3" t="s">
        <v>6519</v>
      </c>
      <c r="E1434" s="3" t="s">
        <v>6520</v>
      </c>
      <c r="J1434" s="9" t="s">
        <v>12120</v>
      </c>
      <c r="Q1434" s="10"/>
      <c r="U1434" s="9" t="str">
        <f t="shared" ca="1" si="60"/>
        <v/>
      </c>
      <c r="V1434" s="9" t="str">
        <f t="shared" ca="1" si="61"/>
        <v/>
      </c>
      <c r="AG1434" s="9" t="s">
        <v>20</v>
      </c>
    </row>
    <row r="1435" spans="1:33">
      <c r="A1435" s="3" t="s">
        <v>1713</v>
      </c>
      <c r="D1435" s="3" t="s">
        <v>6521</v>
      </c>
      <c r="E1435" s="3" t="s">
        <v>6522</v>
      </c>
      <c r="J1435" s="9" t="s">
        <v>24</v>
      </c>
      <c r="L1435" s="9">
        <v>1</v>
      </c>
      <c r="M1435" s="9">
        <v>3</v>
      </c>
      <c r="N1435" s="9" t="s">
        <v>12087</v>
      </c>
      <c r="O1435" s="9" t="s">
        <v>12079</v>
      </c>
      <c r="Q1435" s="10"/>
      <c r="S1435" s="9">
        <v>5676</v>
      </c>
      <c r="U1435" s="9" t="str">
        <f t="shared" ca="1" si="60"/>
        <v/>
      </c>
      <c r="V1435" s="9" t="str">
        <f t="shared" ca="1" si="61"/>
        <v/>
      </c>
      <c r="AG1435" s="9" t="s">
        <v>20</v>
      </c>
    </row>
    <row r="1436" spans="1:33" ht="29">
      <c r="A1436" s="3" t="s">
        <v>1715</v>
      </c>
      <c r="D1436" s="3" t="s">
        <v>6523</v>
      </c>
      <c r="E1436" s="3" t="s">
        <v>6524</v>
      </c>
      <c r="J1436" s="9" t="s">
        <v>24</v>
      </c>
      <c r="L1436" s="9">
        <v>1</v>
      </c>
      <c r="M1436" s="9">
        <v>3</v>
      </c>
      <c r="N1436" s="9" t="s">
        <v>12087</v>
      </c>
      <c r="O1436" s="9" t="s">
        <v>12079</v>
      </c>
      <c r="Q1436" s="10"/>
      <c r="S1436" s="9">
        <v>5676</v>
      </c>
      <c r="U1436" s="9" t="str">
        <f t="shared" ca="1" si="60"/>
        <v/>
      </c>
      <c r="V1436" s="9" t="str">
        <f t="shared" ca="1" si="61"/>
        <v/>
      </c>
      <c r="AG1436" s="9" t="s">
        <v>19</v>
      </c>
    </row>
    <row r="1437" spans="1:33" ht="43.5">
      <c r="A1437" s="3" t="s">
        <v>1715</v>
      </c>
      <c r="D1437" s="3" t="s">
        <v>6525</v>
      </c>
      <c r="E1437" s="3" t="s">
        <v>6526</v>
      </c>
      <c r="I1437" t="s">
        <v>10402</v>
      </c>
      <c r="J1437" s="9" t="s">
        <v>26</v>
      </c>
      <c r="Q1437" s="10"/>
      <c r="U1437" s="9" t="str">
        <f t="shared" ca="1" si="60"/>
        <v/>
      </c>
      <c r="V1437" s="9" t="str">
        <f t="shared" ca="1" si="61"/>
        <v/>
      </c>
      <c r="AG1437" s="9" t="s">
        <v>13141</v>
      </c>
    </row>
    <row r="1438" spans="1:33">
      <c r="A1438" s="3" t="s">
        <v>1715</v>
      </c>
      <c r="D1438" s="3" t="s">
        <v>6527</v>
      </c>
      <c r="E1438" s="3" t="s">
        <v>6528</v>
      </c>
      <c r="J1438" s="9" t="s">
        <v>12120</v>
      </c>
      <c r="Q1438" s="10"/>
      <c r="U1438" s="9" t="str">
        <f t="shared" ca="1" si="60"/>
        <v/>
      </c>
      <c r="V1438" s="9" t="str">
        <f t="shared" ca="1" si="61"/>
        <v/>
      </c>
      <c r="AB1438" s="9" t="s">
        <v>12737</v>
      </c>
      <c r="AD1438" s="9" t="s">
        <v>19</v>
      </c>
    </row>
    <row r="1439" spans="1:33">
      <c r="A1439" s="3" t="s">
        <v>1715</v>
      </c>
      <c r="D1439" s="3" t="s">
        <v>6530</v>
      </c>
      <c r="E1439" s="3" t="s">
        <v>6529</v>
      </c>
      <c r="J1439" s="9" t="s">
        <v>25</v>
      </c>
      <c r="L1439" s="9">
        <v>1</v>
      </c>
      <c r="M1439" s="9">
        <v>2</v>
      </c>
      <c r="N1439" s="9" t="s">
        <v>12092</v>
      </c>
      <c r="O1439" s="9" t="s">
        <v>12119</v>
      </c>
      <c r="Q1439" s="10"/>
      <c r="S1439" s="9">
        <v>361</v>
      </c>
      <c r="U1439" s="9" t="str">
        <f t="shared" ca="1" si="60"/>
        <v/>
      </c>
      <c r="V1439" s="9" t="str">
        <f t="shared" ca="1" si="61"/>
        <v/>
      </c>
      <c r="AG1439" s="9" t="s">
        <v>19</v>
      </c>
    </row>
    <row r="1440" spans="1:33">
      <c r="A1440" s="3" t="s">
        <v>1716</v>
      </c>
      <c r="D1440" s="3" t="s">
        <v>6531</v>
      </c>
      <c r="E1440" s="3" t="s">
        <v>6532</v>
      </c>
      <c r="J1440" s="9" t="s">
        <v>24</v>
      </c>
      <c r="L1440" s="9">
        <v>1</v>
      </c>
      <c r="M1440" s="9">
        <v>2</v>
      </c>
      <c r="N1440" s="9" t="s">
        <v>12078</v>
      </c>
      <c r="O1440" s="9" t="s">
        <v>12119</v>
      </c>
      <c r="Q1440" s="10"/>
      <c r="S1440" s="9">
        <v>11843</v>
      </c>
      <c r="U1440" s="9" t="str">
        <f t="shared" ca="1" si="60"/>
        <v/>
      </c>
      <c r="V1440" s="9" t="str">
        <f t="shared" ca="1" si="61"/>
        <v/>
      </c>
      <c r="AG1440" s="9" t="s">
        <v>19</v>
      </c>
    </row>
    <row r="1441" spans="1:33" ht="29">
      <c r="A1441" s="3" t="s">
        <v>1717</v>
      </c>
      <c r="D1441" s="3" t="s">
        <v>6533</v>
      </c>
      <c r="E1441" s="3" t="s">
        <v>6534</v>
      </c>
      <c r="J1441" s="9" t="s">
        <v>12120</v>
      </c>
      <c r="Q1441" s="10"/>
      <c r="U1441" s="9" t="str">
        <f t="shared" ca="1" si="60"/>
        <v/>
      </c>
      <c r="V1441" s="9" t="str">
        <f t="shared" ca="1" si="61"/>
        <v/>
      </c>
      <c r="AG1441" s="9" t="s">
        <v>19</v>
      </c>
    </row>
    <row r="1442" spans="1:33">
      <c r="A1442" s="3" t="s">
        <v>1718</v>
      </c>
      <c r="D1442" s="3" t="s">
        <v>6536</v>
      </c>
      <c r="E1442" s="3" t="s">
        <v>6537</v>
      </c>
      <c r="F1442" t="s">
        <v>4774</v>
      </c>
      <c r="J1442" s="15" t="s">
        <v>27</v>
      </c>
      <c r="K1442" s="15"/>
      <c r="L1442" s="15"/>
      <c r="M1442" s="15"/>
      <c r="N1442" s="15"/>
      <c r="O1442" s="15"/>
      <c r="P1442" s="15"/>
      <c r="Q1442" s="16"/>
      <c r="R1442" s="15"/>
      <c r="S1442" s="15"/>
      <c r="T1442" s="15"/>
      <c r="U1442" s="15" t="str">
        <f t="shared" ca="1" si="60"/>
        <v/>
      </c>
      <c r="V1442" s="15" t="str">
        <f t="shared" ca="1" si="61"/>
        <v/>
      </c>
      <c r="W1442" s="15"/>
      <c r="X1442" s="15"/>
      <c r="Y1442" s="15"/>
      <c r="Z1442" s="15"/>
      <c r="AA1442" s="15"/>
      <c r="AB1442" s="15"/>
      <c r="AC1442" s="15"/>
      <c r="AD1442" s="15"/>
      <c r="AE1442" s="15"/>
      <c r="AF1442" s="15"/>
      <c r="AG1442" s="15"/>
    </row>
    <row r="1443" spans="1:33">
      <c r="A1443" s="3" t="s">
        <v>1718</v>
      </c>
      <c r="D1443" s="3" t="s">
        <v>12283</v>
      </c>
      <c r="E1443" s="3" t="s">
        <v>12284</v>
      </c>
      <c r="F1443" t="s">
        <v>4774</v>
      </c>
      <c r="J1443" s="9" t="s">
        <v>12118</v>
      </c>
      <c r="Q1443" s="10"/>
      <c r="T1443" s="9">
        <f>1996-5676</f>
        <v>-3680</v>
      </c>
      <c r="U1443" s="9">
        <f t="shared" ca="1" si="60"/>
        <v>5676</v>
      </c>
      <c r="V1443" s="9">
        <f t="shared" ca="1" si="61"/>
        <v>1996</v>
      </c>
    </row>
    <row r="1444" spans="1:33">
      <c r="A1444" s="3" t="s">
        <v>1718</v>
      </c>
      <c r="D1444" s="3" t="s">
        <v>12285</v>
      </c>
      <c r="E1444" s="3" t="s">
        <v>12286</v>
      </c>
      <c r="F1444" t="s">
        <v>4774</v>
      </c>
      <c r="J1444" s="9" t="s">
        <v>12120</v>
      </c>
      <c r="Q1444" s="10"/>
      <c r="U1444" s="9" t="str">
        <f t="shared" ca="1" si="60"/>
        <v/>
      </c>
      <c r="V1444" s="9" t="str">
        <f t="shared" ca="1" si="61"/>
        <v/>
      </c>
    </row>
    <row r="1445" spans="1:33">
      <c r="A1445" s="3" t="s">
        <v>1718</v>
      </c>
      <c r="D1445" s="3" t="s">
        <v>6535</v>
      </c>
      <c r="E1445" s="3" t="s">
        <v>6538</v>
      </c>
      <c r="F1445" t="s">
        <v>4774</v>
      </c>
      <c r="J1445" s="9" t="s">
        <v>24</v>
      </c>
      <c r="L1445" s="9">
        <v>1</v>
      </c>
      <c r="M1445" s="9">
        <v>1</v>
      </c>
      <c r="N1445" s="9" t="s">
        <v>12078</v>
      </c>
      <c r="O1445" s="9" t="s">
        <v>12119</v>
      </c>
      <c r="Q1445" s="10"/>
      <c r="S1445" s="9">
        <v>11843</v>
      </c>
      <c r="U1445" s="9" t="str">
        <f t="shared" ca="1" si="60"/>
        <v/>
      </c>
      <c r="V1445" s="9" t="str">
        <f t="shared" ca="1" si="61"/>
        <v/>
      </c>
    </row>
    <row r="1446" spans="1:33">
      <c r="A1446" s="3" t="s">
        <v>1718</v>
      </c>
      <c r="D1446" s="3" t="s">
        <v>747</v>
      </c>
      <c r="E1446" s="3" t="s">
        <v>748</v>
      </c>
      <c r="J1446" s="9" t="s">
        <v>12118</v>
      </c>
      <c r="Q1446" s="10"/>
      <c r="T1446" s="9" t="s">
        <v>12131</v>
      </c>
      <c r="U1446" s="9" t="str">
        <f t="shared" ca="1" si="60"/>
        <v/>
      </c>
      <c r="V1446" s="9" t="str">
        <f t="shared" ca="1" si="61"/>
        <v/>
      </c>
      <c r="AC1446" s="9" t="s">
        <v>12130</v>
      </c>
      <c r="AD1446" s="9" t="s">
        <v>19</v>
      </c>
      <c r="AE1446" s="9" t="s">
        <v>12086</v>
      </c>
    </row>
    <row r="1447" spans="1:33">
      <c r="A1447" s="3" t="s">
        <v>1718</v>
      </c>
      <c r="D1447" s="3" t="s">
        <v>6539</v>
      </c>
      <c r="E1447" s="3" t="s">
        <v>6540</v>
      </c>
      <c r="J1447" s="9" t="s">
        <v>12120</v>
      </c>
      <c r="Q1447" s="10"/>
      <c r="U1447" s="9" t="str">
        <f t="shared" ca="1" si="60"/>
        <v/>
      </c>
      <c r="V1447" s="9" t="str">
        <f t="shared" ca="1" si="61"/>
        <v/>
      </c>
      <c r="AG1447" s="9" t="s">
        <v>19</v>
      </c>
    </row>
    <row r="1448" spans="1:33">
      <c r="A1448" s="3" t="s">
        <v>1718</v>
      </c>
      <c r="D1448" s="3" t="s">
        <v>1719</v>
      </c>
      <c r="E1448" s="3" t="s">
        <v>4758</v>
      </c>
      <c r="G1448" t="s">
        <v>19</v>
      </c>
      <c r="J1448" s="9" t="s">
        <v>12118</v>
      </c>
      <c r="Q1448" s="10"/>
      <c r="R1448" s="9" t="s">
        <v>12074</v>
      </c>
      <c r="T1448" s="9" t="s">
        <v>12131</v>
      </c>
      <c r="U1448" s="9" t="str">
        <f t="shared" ca="1" si="60"/>
        <v/>
      </c>
      <c r="V1448" s="9" t="str">
        <f t="shared" ca="1" si="61"/>
        <v/>
      </c>
      <c r="AE1448" s="9" t="s">
        <v>12086</v>
      </c>
    </row>
    <row r="1449" spans="1:33">
      <c r="A1449" s="3" t="s">
        <v>1720</v>
      </c>
      <c r="D1449" s="3" t="s">
        <v>6541</v>
      </c>
      <c r="E1449" s="3" t="s">
        <v>6542</v>
      </c>
      <c r="I1449" t="s">
        <v>12660</v>
      </c>
      <c r="J1449" s="9" t="s">
        <v>12118</v>
      </c>
      <c r="Q1449" s="10"/>
      <c r="T1449" s="9">
        <f>485-444</f>
        <v>41</v>
      </c>
      <c r="U1449" s="9">
        <f t="shared" ca="1" si="60"/>
        <v>444</v>
      </c>
      <c r="V1449" s="9">
        <f t="shared" ca="1" si="61"/>
        <v>485</v>
      </c>
      <c r="W1449" s="9" t="s">
        <v>4</v>
      </c>
      <c r="AG1449" s="9" t="s">
        <v>20</v>
      </c>
    </row>
    <row r="1450" spans="1:33">
      <c r="A1450" s="3" t="s">
        <v>1720</v>
      </c>
      <c r="D1450" s="3" t="s">
        <v>6543</v>
      </c>
      <c r="E1450" s="3" t="s">
        <v>6544</v>
      </c>
      <c r="J1450" s="9" t="s">
        <v>12118</v>
      </c>
      <c r="Q1450" s="10"/>
      <c r="T1450" s="9">
        <f>19-207</f>
        <v>-188</v>
      </c>
      <c r="U1450" s="9">
        <f t="shared" ca="1" si="60"/>
        <v>207</v>
      </c>
      <c r="V1450" s="9">
        <f t="shared" ca="1" si="61"/>
        <v>19</v>
      </c>
      <c r="AG1450" s="9" t="s">
        <v>19</v>
      </c>
    </row>
    <row r="1451" spans="1:33" ht="29">
      <c r="A1451" s="3" t="s">
        <v>1721</v>
      </c>
      <c r="D1451" s="3" t="s">
        <v>6545</v>
      </c>
      <c r="E1451" s="3" t="s">
        <v>6546</v>
      </c>
      <c r="J1451" s="9" t="s">
        <v>26</v>
      </c>
      <c r="L1451" s="9">
        <v>1</v>
      </c>
      <c r="M1451" s="9">
        <v>5</v>
      </c>
      <c r="N1451" s="9" t="s">
        <v>12094</v>
      </c>
      <c r="O1451" s="9" t="s">
        <v>12079</v>
      </c>
      <c r="Q1451" s="10"/>
      <c r="S1451" s="9">
        <v>4240</v>
      </c>
      <c r="U1451" s="9" t="str">
        <f t="shared" ca="1" si="60"/>
        <v/>
      </c>
      <c r="V1451" s="9" t="str">
        <f t="shared" ca="1" si="61"/>
        <v/>
      </c>
      <c r="AG1451" s="9" t="s">
        <v>13141</v>
      </c>
    </row>
    <row r="1452" spans="1:33">
      <c r="A1452" s="3" t="s">
        <v>1722</v>
      </c>
      <c r="D1452" s="3" t="s">
        <v>1723</v>
      </c>
      <c r="E1452" s="3" t="s">
        <v>96</v>
      </c>
      <c r="J1452" s="9" t="s">
        <v>12118</v>
      </c>
      <c r="Q1452" s="10"/>
      <c r="T1452" s="9">
        <f>0-86</f>
        <v>-86</v>
      </c>
      <c r="U1452" s="9">
        <f t="shared" ca="1" si="60"/>
        <v>86</v>
      </c>
      <c r="V1452" s="9">
        <f t="shared" ca="1" si="61"/>
        <v>0</v>
      </c>
      <c r="AG1452" s="9" t="s">
        <v>20</v>
      </c>
    </row>
    <row r="1453" spans="1:33">
      <c r="A1453" s="3" t="s">
        <v>1722</v>
      </c>
      <c r="D1453" s="3" t="s">
        <v>6547</v>
      </c>
      <c r="E1453" s="3" t="s">
        <v>5232</v>
      </c>
      <c r="J1453" s="9" t="s">
        <v>12118</v>
      </c>
      <c r="Q1453" s="10"/>
      <c r="T1453" s="9">
        <f>55-0</f>
        <v>55</v>
      </c>
      <c r="U1453" s="9">
        <f t="shared" ca="1" si="60"/>
        <v>0</v>
      </c>
      <c r="V1453" s="9">
        <f t="shared" ca="1" si="61"/>
        <v>55</v>
      </c>
      <c r="AE1453" s="9" t="s">
        <v>12089</v>
      </c>
    </row>
    <row r="1454" spans="1:33">
      <c r="A1454" s="3" t="s">
        <v>1724</v>
      </c>
      <c r="D1454" s="3" t="s">
        <v>6548</v>
      </c>
      <c r="E1454" s="3" t="s">
        <v>6549</v>
      </c>
      <c r="J1454" s="9" t="s">
        <v>24</v>
      </c>
      <c r="L1454" s="9">
        <v>1</v>
      </c>
      <c r="M1454" s="9">
        <v>3</v>
      </c>
      <c r="N1454" s="9" t="s">
        <v>12087</v>
      </c>
      <c r="O1454" s="9" t="s">
        <v>12073</v>
      </c>
      <c r="P1454" s="9" t="s">
        <v>12142</v>
      </c>
      <c r="Q1454" s="10" t="s">
        <v>12143</v>
      </c>
      <c r="R1454" s="9" t="s">
        <v>12074</v>
      </c>
      <c r="S1454" s="9">
        <v>5676</v>
      </c>
      <c r="U1454" s="9" t="str">
        <f t="shared" ca="1" si="60"/>
        <v/>
      </c>
      <c r="V1454" s="9" t="str">
        <f t="shared" ca="1" si="61"/>
        <v/>
      </c>
      <c r="AE1454" s="9" t="s">
        <v>12083</v>
      </c>
    </row>
    <row r="1455" spans="1:33">
      <c r="A1455" s="3" t="s">
        <v>1724</v>
      </c>
      <c r="D1455" s="3" t="s">
        <v>6551</v>
      </c>
      <c r="E1455" s="3" t="s">
        <v>6550</v>
      </c>
      <c r="J1455" s="9" t="s">
        <v>12120</v>
      </c>
      <c r="Q1455" s="10"/>
      <c r="U1455" s="9" t="str">
        <f t="shared" ca="1" si="60"/>
        <v/>
      </c>
      <c r="V1455" s="9" t="str">
        <f t="shared" ca="1" si="61"/>
        <v/>
      </c>
      <c r="AE1455" s="9" t="s">
        <v>12089</v>
      </c>
    </row>
    <row r="1456" spans="1:33">
      <c r="A1456" s="3" t="s">
        <v>1726</v>
      </c>
      <c r="D1456" s="3" t="s">
        <v>6552</v>
      </c>
      <c r="E1456" s="3" t="s">
        <v>6552</v>
      </c>
      <c r="G1456" t="s">
        <v>20</v>
      </c>
      <c r="I1456" t="s">
        <v>6553</v>
      </c>
      <c r="Q1456" s="10"/>
      <c r="U1456" s="9" t="str">
        <f t="shared" ca="1" si="60"/>
        <v/>
      </c>
      <c r="V1456" s="9" t="str">
        <f t="shared" ca="1" si="61"/>
        <v/>
      </c>
    </row>
    <row r="1457" spans="1:33">
      <c r="A1457" s="3" t="s">
        <v>1727</v>
      </c>
      <c r="D1457" s="3" t="s">
        <v>6554</v>
      </c>
      <c r="E1457" s="5" t="s">
        <v>6555</v>
      </c>
      <c r="F1457" t="s">
        <v>16</v>
      </c>
      <c r="Q1457" s="10"/>
      <c r="U1457" s="9" t="str">
        <f t="shared" ca="1" si="60"/>
        <v/>
      </c>
      <c r="V1457" s="9" t="str">
        <f t="shared" ca="1" si="61"/>
        <v/>
      </c>
    </row>
    <row r="1458" spans="1:33">
      <c r="A1458" s="3" t="s">
        <v>1728</v>
      </c>
      <c r="D1458" s="3" t="s">
        <v>6556</v>
      </c>
      <c r="E1458" s="3" t="s">
        <v>6557</v>
      </c>
      <c r="J1458" s="9" t="s">
        <v>12120</v>
      </c>
      <c r="Q1458" s="10"/>
      <c r="U1458" s="9" t="str">
        <f t="shared" ca="1" si="60"/>
        <v/>
      </c>
      <c r="V1458" s="9" t="str">
        <f t="shared" ca="1" si="61"/>
        <v/>
      </c>
      <c r="AG1458" s="9" t="s">
        <v>19</v>
      </c>
    </row>
    <row r="1459" spans="1:33">
      <c r="A1459" s="3" t="s">
        <v>1728</v>
      </c>
      <c r="D1459" s="3" t="s">
        <v>6558</v>
      </c>
      <c r="E1459" s="3" t="s">
        <v>6559</v>
      </c>
      <c r="J1459" s="9" t="s">
        <v>12118</v>
      </c>
      <c r="Q1459" s="10"/>
      <c r="T1459" s="9">
        <f xml:space="preserve"> 2-6</f>
        <v>-4</v>
      </c>
      <c r="U1459" s="9">
        <f t="shared" ca="1" si="60"/>
        <v>6</v>
      </c>
      <c r="V1459" s="9">
        <f t="shared" ca="1" si="61"/>
        <v>2</v>
      </c>
      <c r="AE1459" s="9" t="s">
        <v>12086</v>
      </c>
    </row>
    <row r="1460" spans="1:33">
      <c r="A1460" s="3" t="s">
        <v>1729</v>
      </c>
      <c r="D1460" s="3" t="s">
        <v>823</v>
      </c>
      <c r="E1460" s="3" t="s">
        <v>814</v>
      </c>
      <c r="J1460" s="9" t="s">
        <v>12120</v>
      </c>
      <c r="Q1460" s="10"/>
      <c r="U1460" s="9" t="str">
        <f t="shared" ca="1" si="60"/>
        <v/>
      </c>
      <c r="V1460" s="9" t="str">
        <f t="shared" ca="1" si="61"/>
        <v/>
      </c>
      <c r="AG1460" s="9" t="s">
        <v>19</v>
      </c>
    </row>
    <row r="1461" spans="1:33" ht="29">
      <c r="A1461" s="3" t="s">
        <v>1729</v>
      </c>
      <c r="D1461" s="3" t="s">
        <v>12876</v>
      </c>
      <c r="E1461" s="3" t="s">
        <v>6560</v>
      </c>
      <c r="J1461" s="9" t="s">
        <v>12120</v>
      </c>
      <c r="Q1461" s="10"/>
      <c r="U1461" s="9" t="str">
        <f t="shared" ca="1" si="60"/>
        <v/>
      </c>
      <c r="V1461" s="9" t="str">
        <f t="shared" ca="1" si="61"/>
        <v/>
      </c>
      <c r="AG1461" s="9" t="s">
        <v>20</v>
      </c>
    </row>
    <row r="1462" spans="1:33" ht="29">
      <c r="A1462" s="3" t="s">
        <v>1729</v>
      </c>
      <c r="D1462" s="3" t="s">
        <v>12877</v>
      </c>
      <c r="E1462" s="3" t="s">
        <v>6561</v>
      </c>
      <c r="I1462" t="s">
        <v>12287</v>
      </c>
      <c r="J1462" s="9" t="s">
        <v>12118</v>
      </c>
      <c r="Q1462" s="10"/>
      <c r="T1462" s="9">
        <f>42-1</f>
        <v>41</v>
      </c>
      <c r="U1462" s="9">
        <f t="shared" ca="1" si="60"/>
        <v>1</v>
      </c>
      <c r="V1462" s="9">
        <f t="shared" ca="1" si="61"/>
        <v>42</v>
      </c>
      <c r="AG1462" s="9" t="s">
        <v>13141</v>
      </c>
    </row>
    <row r="1463" spans="1:33">
      <c r="A1463" s="3" t="s">
        <v>1730</v>
      </c>
      <c r="D1463" s="3" t="s">
        <v>12288</v>
      </c>
      <c r="E1463" s="3" t="s">
        <v>6562</v>
      </c>
      <c r="G1463" t="s">
        <v>19</v>
      </c>
      <c r="J1463" s="9" t="s">
        <v>25</v>
      </c>
      <c r="L1463" s="9">
        <v>1</v>
      </c>
      <c r="M1463" s="9">
        <v>2</v>
      </c>
      <c r="N1463" s="9" t="s">
        <v>12094</v>
      </c>
      <c r="O1463" s="9" t="s">
        <v>12119</v>
      </c>
      <c r="Q1463" s="10"/>
      <c r="S1463" s="9">
        <v>1741</v>
      </c>
      <c r="U1463" s="9" t="str">
        <f t="shared" ca="1" si="60"/>
        <v/>
      </c>
      <c r="V1463" s="9" t="str">
        <f t="shared" ca="1" si="61"/>
        <v/>
      </c>
    </row>
    <row r="1464" spans="1:33">
      <c r="A1464" s="3" t="s">
        <v>1730</v>
      </c>
      <c r="D1464" s="3" t="s">
        <v>12289</v>
      </c>
      <c r="E1464" s="3" t="s">
        <v>12290</v>
      </c>
      <c r="J1464" s="9" t="s">
        <v>12118</v>
      </c>
      <c r="Q1464" s="10"/>
      <c r="T1464" s="9">
        <f>165-507</f>
        <v>-342</v>
      </c>
      <c r="U1464" s="9">
        <f t="shared" ca="1" si="60"/>
        <v>507</v>
      </c>
      <c r="V1464" s="9">
        <f t="shared" ca="1" si="61"/>
        <v>165</v>
      </c>
      <c r="AG1464" s="9" t="s">
        <v>19</v>
      </c>
    </row>
    <row r="1465" spans="1:33">
      <c r="A1465" s="3" t="s">
        <v>1731</v>
      </c>
      <c r="D1465" s="3" t="s">
        <v>1732</v>
      </c>
      <c r="E1465" s="3" t="s">
        <v>1733</v>
      </c>
      <c r="J1465" s="9" t="s">
        <v>12118</v>
      </c>
      <c r="Q1465" s="10"/>
      <c r="T1465" s="9" t="s">
        <v>12131</v>
      </c>
      <c r="U1465" s="9" t="str">
        <f t="shared" ca="1" si="60"/>
        <v/>
      </c>
      <c r="V1465" s="9" t="str">
        <f t="shared" ca="1" si="61"/>
        <v/>
      </c>
      <c r="AC1465" s="9" t="s">
        <v>12740</v>
      </c>
      <c r="AD1465" s="9" t="s">
        <v>19</v>
      </c>
      <c r="AE1465" s="9" t="s">
        <v>12086</v>
      </c>
    </row>
    <row r="1466" spans="1:33" ht="43.5">
      <c r="A1466" s="3" t="s">
        <v>1734</v>
      </c>
      <c r="D1466" s="3" t="s">
        <v>6563</v>
      </c>
      <c r="E1466" s="3" t="s">
        <v>6565</v>
      </c>
      <c r="I1466" t="s">
        <v>5457</v>
      </c>
      <c r="J1466" s="9" t="s">
        <v>26</v>
      </c>
      <c r="Q1466" s="10"/>
      <c r="U1466" s="9" t="str">
        <f t="shared" ca="1" si="60"/>
        <v/>
      </c>
      <c r="V1466" s="9" t="str">
        <f t="shared" ca="1" si="61"/>
        <v/>
      </c>
      <c r="AG1466" s="9" t="s">
        <v>19</v>
      </c>
    </row>
    <row r="1467" spans="1:33" ht="43.5">
      <c r="A1467" s="3" t="s">
        <v>1734</v>
      </c>
      <c r="D1467" s="3" t="s">
        <v>6564</v>
      </c>
      <c r="E1467" s="3" t="s">
        <v>6566</v>
      </c>
      <c r="I1467" t="s">
        <v>12291</v>
      </c>
      <c r="J1467" s="9" t="s">
        <v>26</v>
      </c>
      <c r="Q1467" s="10"/>
      <c r="U1467" s="9" t="str">
        <f t="shared" ca="1" si="60"/>
        <v/>
      </c>
      <c r="V1467" s="9" t="str">
        <f t="shared" ca="1" si="61"/>
        <v/>
      </c>
      <c r="AG1467" s="9" t="s">
        <v>13141</v>
      </c>
    </row>
    <row r="1468" spans="1:33">
      <c r="A1468" s="3" t="s">
        <v>1735</v>
      </c>
      <c r="D1468" s="3" t="s">
        <v>6567</v>
      </c>
      <c r="E1468" s="3" t="s">
        <v>6568</v>
      </c>
      <c r="J1468" s="9" t="s">
        <v>24</v>
      </c>
      <c r="L1468" s="9">
        <v>1</v>
      </c>
      <c r="M1468" s="9">
        <v>3</v>
      </c>
      <c r="N1468" s="9" t="s">
        <v>12087</v>
      </c>
      <c r="O1468" s="9" t="s">
        <v>12079</v>
      </c>
      <c r="Q1468" s="10"/>
      <c r="S1468" s="9">
        <v>148</v>
      </c>
      <c r="U1468" s="9" t="str">
        <f t="shared" ca="1" si="60"/>
        <v/>
      </c>
      <c r="V1468" s="9" t="str">
        <f t="shared" ca="1" si="61"/>
        <v/>
      </c>
      <c r="AG1468" s="9" t="s">
        <v>19</v>
      </c>
    </row>
    <row r="1469" spans="1:33">
      <c r="A1469" s="3" t="s">
        <v>1735</v>
      </c>
      <c r="D1469" s="3" t="s">
        <v>6569</v>
      </c>
      <c r="E1469" s="3" t="s">
        <v>6570</v>
      </c>
      <c r="G1469" t="s">
        <v>19</v>
      </c>
      <c r="J1469" s="9" t="s">
        <v>12118</v>
      </c>
      <c r="Q1469" s="10"/>
      <c r="T1469" s="9">
        <f xml:space="preserve"> 1565-16</f>
        <v>1549</v>
      </c>
      <c r="U1469" s="9">
        <f t="shared" ca="1" si="60"/>
        <v>16</v>
      </c>
      <c r="V1469" s="9">
        <f t="shared" ca="1" si="61"/>
        <v>1565</v>
      </c>
      <c r="AC1469" s="9" t="s">
        <v>12134</v>
      </c>
      <c r="AD1469" s="9" t="s">
        <v>19</v>
      </c>
      <c r="AE1469" s="9" t="s">
        <v>12089</v>
      </c>
    </row>
    <row r="1470" spans="1:33" ht="29">
      <c r="A1470" s="3" t="s">
        <v>1735</v>
      </c>
      <c r="D1470" s="3" t="s">
        <v>6571</v>
      </c>
      <c r="E1470" s="3" t="s">
        <v>6572</v>
      </c>
      <c r="I1470" t="s">
        <v>5457</v>
      </c>
      <c r="J1470" s="9" t="s">
        <v>26</v>
      </c>
      <c r="Q1470" s="10"/>
      <c r="U1470" s="9" t="str">
        <f t="shared" ca="1" si="60"/>
        <v/>
      </c>
      <c r="V1470" s="9" t="str">
        <f t="shared" ca="1" si="61"/>
        <v/>
      </c>
      <c r="AG1470" s="9" t="s">
        <v>20</v>
      </c>
    </row>
    <row r="1471" spans="1:33" ht="29">
      <c r="A1471" s="3" t="s">
        <v>1735</v>
      </c>
      <c r="D1471" s="3" t="s">
        <v>6574</v>
      </c>
      <c r="E1471" s="3" t="s">
        <v>6575</v>
      </c>
      <c r="J1471" s="9" t="s">
        <v>12118</v>
      </c>
      <c r="Q1471" s="10"/>
      <c r="T1471" s="9" t="s">
        <v>12131</v>
      </c>
      <c r="U1471" s="9" t="str">
        <f t="shared" ca="1" si="60"/>
        <v/>
      </c>
      <c r="V1471" s="9" t="str">
        <f t="shared" ca="1" si="61"/>
        <v/>
      </c>
      <c r="AB1471" s="9" t="s">
        <v>12124</v>
      </c>
      <c r="AC1471" s="9" t="s">
        <v>12740</v>
      </c>
      <c r="AD1471" s="9" t="s">
        <v>19</v>
      </c>
    </row>
    <row r="1472" spans="1:33" ht="29">
      <c r="A1472" s="3" t="s">
        <v>1735</v>
      </c>
      <c r="D1472" s="3" t="s">
        <v>6573</v>
      </c>
      <c r="E1472" s="3" t="s">
        <v>6576</v>
      </c>
      <c r="I1472" t="s">
        <v>12661</v>
      </c>
      <c r="J1472" s="9" t="s">
        <v>24</v>
      </c>
      <c r="L1472" s="9">
        <v>2</v>
      </c>
      <c r="M1472" s="9">
        <v>8</v>
      </c>
      <c r="O1472" s="9" t="s">
        <v>12079</v>
      </c>
      <c r="Q1472" s="10"/>
      <c r="S1472" s="9">
        <v>28</v>
      </c>
      <c r="U1472" s="9" t="str">
        <f t="shared" ca="1" si="60"/>
        <v/>
      </c>
      <c r="V1472" s="9" t="str">
        <f t="shared" ca="1" si="61"/>
        <v/>
      </c>
      <c r="W1472" s="9" t="s">
        <v>12117</v>
      </c>
      <c r="AG1472" s="9" t="s">
        <v>19</v>
      </c>
    </row>
    <row r="1473" spans="1:33">
      <c r="A1473" s="3" t="s">
        <v>1736</v>
      </c>
      <c r="D1473" s="3" t="s">
        <v>6577</v>
      </c>
      <c r="E1473" s="3" t="s">
        <v>6578</v>
      </c>
      <c r="G1473" t="s">
        <v>19</v>
      </c>
      <c r="J1473" s="9" t="s">
        <v>12118</v>
      </c>
      <c r="Q1473" s="10"/>
      <c r="T1473" s="9" t="s">
        <v>12131</v>
      </c>
      <c r="U1473" s="9" t="str">
        <f t="shared" ca="1" si="60"/>
        <v/>
      </c>
      <c r="V1473" s="9" t="str">
        <f t="shared" ca="1" si="61"/>
        <v/>
      </c>
      <c r="AE1473" s="9" t="s">
        <v>12086</v>
      </c>
    </row>
    <row r="1474" spans="1:33">
      <c r="A1474" s="3" t="s">
        <v>1737</v>
      </c>
      <c r="D1474" s="3" t="s">
        <v>2411</v>
      </c>
      <c r="E1474" s="3" t="s">
        <v>1738</v>
      </c>
      <c r="J1474" s="9" t="s">
        <v>12120</v>
      </c>
      <c r="Q1474" s="10"/>
      <c r="U1474" s="9" t="str">
        <f t="shared" ca="1" si="60"/>
        <v/>
      </c>
      <c r="V1474" s="9" t="str">
        <f t="shared" ca="1" si="61"/>
        <v/>
      </c>
      <c r="AG1474" s="9" t="s">
        <v>20</v>
      </c>
    </row>
    <row r="1475" spans="1:33">
      <c r="A1475" s="3" t="s">
        <v>1739</v>
      </c>
      <c r="D1475" s="3" t="s">
        <v>6580</v>
      </c>
      <c r="E1475" s="3" t="s">
        <v>6579</v>
      </c>
      <c r="G1475" t="s">
        <v>19</v>
      </c>
      <c r="J1475" s="9" t="s">
        <v>12121</v>
      </c>
      <c r="Q1475" s="10"/>
      <c r="T1475" s="9">
        <f>101-0</f>
        <v>101</v>
      </c>
      <c r="U1475" s="9">
        <f t="shared" ca="1" si="60"/>
        <v>0</v>
      </c>
      <c r="V1475" s="9">
        <f t="shared" ca="1" si="61"/>
        <v>101</v>
      </c>
      <c r="AE1475" s="9" t="s">
        <v>12089</v>
      </c>
    </row>
    <row r="1476" spans="1:33">
      <c r="A1476" s="3" t="s">
        <v>1739</v>
      </c>
      <c r="D1476" s="3" t="s">
        <v>6581</v>
      </c>
      <c r="E1476" s="3" t="s">
        <v>6582</v>
      </c>
      <c r="J1476" s="9" t="s">
        <v>25</v>
      </c>
      <c r="L1476" s="9">
        <v>1</v>
      </c>
      <c r="M1476" s="9">
        <v>1</v>
      </c>
      <c r="N1476" s="9" t="s">
        <v>12078</v>
      </c>
      <c r="O1476" s="9" t="s">
        <v>12119</v>
      </c>
      <c r="Q1476" s="10"/>
      <c r="R1476" s="9" t="s">
        <v>12074</v>
      </c>
      <c r="S1476" s="9">
        <v>11843</v>
      </c>
      <c r="U1476" s="9" t="str">
        <f t="shared" ca="1" si="60"/>
        <v/>
      </c>
      <c r="V1476" s="9" t="str">
        <f t="shared" ca="1" si="61"/>
        <v/>
      </c>
      <c r="AG1476" s="9" t="s">
        <v>20</v>
      </c>
    </row>
    <row r="1477" spans="1:33">
      <c r="A1477" s="3" t="s">
        <v>1739</v>
      </c>
      <c r="D1477" s="11" t="s">
        <v>6584</v>
      </c>
      <c r="E1477" s="3" t="s">
        <v>6583</v>
      </c>
      <c r="I1477" t="s">
        <v>5457</v>
      </c>
      <c r="J1477" s="9" t="s">
        <v>26</v>
      </c>
      <c r="Q1477" s="10"/>
      <c r="U1477" s="9" t="str">
        <f t="shared" ca="1" si="60"/>
        <v/>
      </c>
      <c r="V1477" s="9" t="str">
        <f t="shared" ca="1" si="61"/>
        <v/>
      </c>
      <c r="AG1477" s="9" t="s">
        <v>20</v>
      </c>
    </row>
    <row r="1478" spans="1:33" ht="29">
      <c r="A1478" s="3" t="s">
        <v>1740</v>
      </c>
      <c r="D1478" s="3" t="s">
        <v>6585</v>
      </c>
      <c r="E1478" s="3" t="s">
        <v>6586</v>
      </c>
      <c r="F1478" t="s">
        <v>11</v>
      </c>
      <c r="G1478" t="s">
        <v>19</v>
      </c>
      <c r="Q1478" s="10"/>
      <c r="U1478" s="9" t="str">
        <f t="shared" ca="1" si="60"/>
        <v/>
      </c>
      <c r="V1478" s="9" t="str">
        <f t="shared" ca="1" si="61"/>
        <v/>
      </c>
    </row>
    <row r="1479" spans="1:33" ht="29">
      <c r="A1479" s="3" t="s">
        <v>1742</v>
      </c>
      <c r="D1479" s="3" t="s">
        <v>6587</v>
      </c>
      <c r="E1479" s="3" t="s">
        <v>12292</v>
      </c>
      <c r="G1479" t="s">
        <v>19</v>
      </c>
      <c r="J1479" s="9" t="s">
        <v>12118</v>
      </c>
      <c r="Q1479" s="10"/>
      <c r="T1479" s="9">
        <f>13-0</f>
        <v>13</v>
      </c>
      <c r="U1479" s="9">
        <f t="shared" ca="1" si="60"/>
        <v>0</v>
      </c>
      <c r="V1479" s="9">
        <f t="shared" ca="1" si="61"/>
        <v>13</v>
      </c>
    </row>
    <row r="1480" spans="1:33" ht="29">
      <c r="A1480" s="3" t="s">
        <v>1742</v>
      </c>
      <c r="D1480" s="3" t="s">
        <v>6588</v>
      </c>
      <c r="E1480" s="3" t="s">
        <v>12293</v>
      </c>
      <c r="G1480" t="s">
        <v>19</v>
      </c>
      <c r="J1480" s="9" t="s">
        <v>12118</v>
      </c>
      <c r="Q1480" s="10"/>
      <c r="T1480" s="9" t="s">
        <v>12131</v>
      </c>
      <c r="U1480" s="9" t="str">
        <f t="shared" ca="1" si="60"/>
        <v/>
      </c>
      <c r="V1480" s="9" t="str">
        <f t="shared" ca="1" si="61"/>
        <v/>
      </c>
      <c r="AE1480" s="9" t="s">
        <v>12086</v>
      </c>
    </row>
    <row r="1481" spans="1:33">
      <c r="A1481" s="3" t="s">
        <v>1743</v>
      </c>
      <c r="D1481" s="3" t="s">
        <v>5449</v>
      </c>
      <c r="E1481" s="3" t="s">
        <v>5450</v>
      </c>
      <c r="G1481" t="s">
        <v>19</v>
      </c>
      <c r="J1481" s="9" t="s">
        <v>12120</v>
      </c>
      <c r="Q1481" s="10"/>
      <c r="U1481" s="9" t="str">
        <f t="shared" ca="1" si="60"/>
        <v/>
      </c>
      <c r="V1481" s="9" t="str">
        <f t="shared" ca="1" si="61"/>
        <v/>
      </c>
    </row>
    <row r="1482" spans="1:33">
      <c r="A1482" s="3" t="s">
        <v>1744</v>
      </c>
      <c r="D1482" s="3" t="s">
        <v>222</v>
      </c>
      <c r="E1482" s="3" t="s">
        <v>221</v>
      </c>
      <c r="J1482" s="9" t="s">
        <v>12118</v>
      </c>
      <c r="Q1482" s="10"/>
      <c r="T1482" s="9" t="s">
        <v>12131</v>
      </c>
      <c r="U1482" s="9" t="str">
        <f t="shared" ca="1" si="60"/>
        <v/>
      </c>
      <c r="V1482" s="9" t="str">
        <f t="shared" ca="1" si="61"/>
        <v/>
      </c>
      <c r="AC1482" s="9" t="s">
        <v>12130</v>
      </c>
      <c r="AD1482" s="9" t="s">
        <v>19</v>
      </c>
      <c r="AE1482" s="9" t="s">
        <v>12077</v>
      </c>
    </row>
    <row r="1483" spans="1:33">
      <c r="A1483" s="3" t="s">
        <v>1745</v>
      </c>
      <c r="D1483" s="3" t="s">
        <v>6590</v>
      </c>
      <c r="E1483" s="3" t="s">
        <v>6589</v>
      </c>
      <c r="G1483" t="s">
        <v>19</v>
      </c>
      <c r="J1483" s="9" t="s">
        <v>25</v>
      </c>
      <c r="L1483" s="9">
        <v>1</v>
      </c>
      <c r="M1483" s="9">
        <v>2</v>
      </c>
      <c r="N1483" s="9" t="s">
        <v>12087</v>
      </c>
      <c r="O1483" s="9" t="s">
        <v>12119</v>
      </c>
      <c r="Q1483" s="10"/>
      <c r="R1483" s="9" t="s">
        <v>12074</v>
      </c>
      <c r="S1483" s="9">
        <v>227</v>
      </c>
      <c r="U1483" s="9" t="str">
        <f t="shared" ca="1" si="60"/>
        <v/>
      </c>
      <c r="V1483" s="9" t="str">
        <f t="shared" ca="1" si="61"/>
        <v/>
      </c>
      <c r="AE1483" s="9" t="s">
        <v>12089</v>
      </c>
    </row>
    <row r="1484" spans="1:33">
      <c r="A1484" s="3" t="s">
        <v>1745</v>
      </c>
      <c r="D1484" s="3" t="s">
        <v>6591</v>
      </c>
      <c r="E1484" s="3" t="s">
        <v>6592</v>
      </c>
      <c r="G1484" t="s">
        <v>19</v>
      </c>
      <c r="J1484" s="9" t="s">
        <v>12118</v>
      </c>
      <c r="Q1484" s="10"/>
      <c r="T1484" s="9">
        <f>11843-301</f>
        <v>11542</v>
      </c>
      <c r="U1484" s="9">
        <f t="shared" ref="U1484:U1546" ca="1" si="62">IF(ISNUMBER(T1484),VALUE(MID(_xlfn.FORMULATEXT(T1484),SEARCH("-",_xlfn.FORMULATEXT(T1484))+1,LEN(_xlfn.FORMULATEXT(T1484))-SEARCH("-",_xlfn.FORMULATEXT(T1484)))), "")</f>
        <v>301</v>
      </c>
      <c r="V1484" s="9">
        <f t="shared" ref="V1484:V1546" ca="1" si="63">IF(ISNUMBER(T1484), VALUE(MID(_xlfn.FORMULATEXT(T1484), 2, SEARCH("-", _xlfn.FORMULATEXT(T1484)) - 2)), "")</f>
        <v>11843</v>
      </c>
      <c r="AC1484" s="9" t="s">
        <v>12191</v>
      </c>
      <c r="AD1484" s="9" t="s">
        <v>19</v>
      </c>
    </row>
    <row r="1485" spans="1:33" ht="29">
      <c r="A1485" s="3" t="s">
        <v>1746</v>
      </c>
      <c r="D1485" s="3" t="s">
        <v>6593</v>
      </c>
      <c r="E1485" s="3" t="s">
        <v>6594</v>
      </c>
      <c r="J1485" s="9" t="s">
        <v>25</v>
      </c>
      <c r="L1485" s="9">
        <v>1</v>
      </c>
      <c r="M1485" s="9">
        <v>5</v>
      </c>
      <c r="N1485" s="9" t="s">
        <v>12094</v>
      </c>
      <c r="O1485" s="9" t="s">
        <v>12079</v>
      </c>
      <c r="Q1485" s="10"/>
      <c r="S1485" s="9">
        <v>4240</v>
      </c>
      <c r="U1485" s="9" t="str">
        <f t="shared" ca="1" si="62"/>
        <v/>
      </c>
      <c r="V1485" s="9" t="str">
        <f t="shared" ca="1" si="63"/>
        <v/>
      </c>
      <c r="AG1485" s="9" t="s">
        <v>19</v>
      </c>
    </row>
    <row r="1486" spans="1:33">
      <c r="A1486" s="3" t="s">
        <v>1747</v>
      </c>
      <c r="D1486" s="3" t="s">
        <v>6595</v>
      </c>
      <c r="E1486" s="3" t="s">
        <v>6596</v>
      </c>
      <c r="G1486" t="s">
        <v>19</v>
      </c>
      <c r="J1486" s="9" t="s">
        <v>12118</v>
      </c>
      <c r="Q1486" s="10"/>
      <c r="T1486" s="9">
        <f>46-1</f>
        <v>45</v>
      </c>
      <c r="U1486" s="9">
        <f t="shared" ca="1" si="62"/>
        <v>1</v>
      </c>
      <c r="V1486" s="9">
        <f t="shared" ca="1" si="63"/>
        <v>46</v>
      </c>
    </row>
    <row r="1487" spans="1:33">
      <c r="A1487" s="3" t="s">
        <v>1747</v>
      </c>
      <c r="D1487" s="3" t="s">
        <v>12662</v>
      </c>
      <c r="E1487" s="3" t="s">
        <v>12663</v>
      </c>
      <c r="J1487" s="9" t="s">
        <v>25</v>
      </c>
      <c r="L1487" s="9">
        <v>1</v>
      </c>
      <c r="M1487" s="9">
        <v>4</v>
      </c>
      <c r="N1487" s="9" t="s">
        <v>12094</v>
      </c>
      <c r="O1487" s="9" t="s">
        <v>12073</v>
      </c>
      <c r="P1487" s="9" t="s">
        <v>12142</v>
      </c>
      <c r="Q1487" s="10" t="s">
        <v>12143</v>
      </c>
      <c r="S1487" s="9">
        <v>4240</v>
      </c>
      <c r="U1487" s="9" t="str">
        <f t="shared" ca="1" si="62"/>
        <v/>
      </c>
      <c r="V1487" s="9" t="str">
        <f t="shared" ca="1" si="63"/>
        <v/>
      </c>
      <c r="AG1487" s="9" t="s">
        <v>20</v>
      </c>
    </row>
    <row r="1488" spans="1:33">
      <c r="A1488" s="3" t="s">
        <v>1748</v>
      </c>
      <c r="D1488" s="3" t="s">
        <v>6597</v>
      </c>
      <c r="E1488" s="3" t="s">
        <v>6598</v>
      </c>
      <c r="G1488" t="s">
        <v>19</v>
      </c>
      <c r="J1488" s="9" t="s">
        <v>24</v>
      </c>
      <c r="L1488" s="9">
        <v>1</v>
      </c>
      <c r="M1488" s="9">
        <v>4</v>
      </c>
      <c r="N1488" s="9" t="s">
        <v>12092</v>
      </c>
      <c r="O1488" s="9" t="s">
        <v>12079</v>
      </c>
      <c r="Q1488" s="10"/>
      <c r="S1488" s="9">
        <v>472</v>
      </c>
      <c r="U1488" s="9" t="str">
        <f t="shared" ca="1" si="62"/>
        <v/>
      </c>
      <c r="V1488" s="9" t="str">
        <f t="shared" ca="1" si="63"/>
        <v/>
      </c>
      <c r="AE1488" s="9" t="s">
        <v>12089</v>
      </c>
    </row>
    <row r="1489" spans="1:33">
      <c r="A1489" s="3" t="s">
        <v>1748</v>
      </c>
      <c r="D1489" s="3" t="s">
        <v>1749</v>
      </c>
      <c r="E1489" s="3" t="s">
        <v>1750</v>
      </c>
      <c r="J1489" s="9" t="s">
        <v>12118</v>
      </c>
      <c r="Q1489" s="10"/>
      <c r="T1489" s="9" t="s">
        <v>12131</v>
      </c>
      <c r="U1489" s="9" t="str">
        <f t="shared" ca="1" si="62"/>
        <v/>
      </c>
      <c r="V1489" s="9" t="str">
        <f t="shared" ca="1" si="63"/>
        <v/>
      </c>
      <c r="AC1489" s="9" t="s">
        <v>12739</v>
      </c>
      <c r="AD1489" s="9" t="s">
        <v>19</v>
      </c>
      <c r="AE1489" s="9" t="s">
        <v>12077</v>
      </c>
    </row>
    <row r="1490" spans="1:33">
      <c r="A1490" s="3" t="s">
        <v>1751</v>
      </c>
      <c r="D1490" s="3" t="s">
        <v>1564</v>
      </c>
      <c r="E1490" s="3" t="s">
        <v>1752</v>
      </c>
      <c r="J1490" s="9" t="s">
        <v>12120</v>
      </c>
      <c r="Q1490" s="10"/>
      <c r="U1490" s="9" t="str">
        <f t="shared" ca="1" si="62"/>
        <v/>
      </c>
      <c r="V1490" s="9" t="str">
        <f t="shared" ca="1" si="63"/>
        <v/>
      </c>
      <c r="AG1490" s="9" t="s">
        <v>20</v>
      </c>
    </row>
    <row r="1491" spans="1:33" ht="43.5">
      <c r="A1491" s="3" t="s">
        <v>1753</v>
      </c>
      <c r="D1491" s="3" t="s">
        <v>6600</v>
      </c>
      <c r="E1491" s="3" t="s">
        <v>6599</v>
      </c>
      <c r="I1491" t="s">
        <v>12294</v>
      </c>
      <c r="J1491" s="9" t="s">
        <v>25</v>
      </c>
      <c r="L1491" s="9">
        <v>3</v>
      </c>
      <c r="M1491" s="9">
        <v>15</v>
      </c>
      <c r="O1491" s="9" t="s">
        <v>12079</v>
      </c>
      <c r="Q1491" s="10"/>
      <c r="S1491" s="9">
        <v>57</v>
      </c>
      <c r="U1491" s="9" t="str">
        <f t="shared" ca="1" si="62"/>
        <v/>
      </c>
      <c r="V1491" s="9" t="str">
        <f t="shared" ca="1" si="63"/>
        <v/>
      </c>
      <c r="AG1491" s="9" t="s">
        <v>20</v>
      </c>
    </row>
    <row r="1492" spans="1:33">
      <c r="A1492" s="3" t="s">
        <v>1754</v>
      </c>
      <c r="D1492" s="3" t="s">
        <v>1755</v>
      </c>
      <c r="E1492" s="3" t="s">
        <v>1756</v>
      </c>
      <c r="J1492" s="9" t="s">
        <v>12120</v>
      </c>
      <c r="Q1492" s="10"/>
      <c r="U1492" s="9" t="str">
        <f t="shared" ca="1" si="62"/>
        <v/>
      </c>
      <c r="V1492" s="9" t="str">
        <f t="shared" ca="1" si="63"/>
        <v/>
      </c>
      <c r="AG1492" s="9" t="s">
        <v>19</v>
      </c>
    </row>
    <row r="1493" spans="1:33">
      <c r="A1493" s="3" t="s">
        <v>1757</v>
      </c>
      <c r="D1493" s="3" t="s">
        <v>1758</v>
      </c>
      <c r="E1493" s="3" t="s">
        <v>883</v>
      </c>
      <c r="G1493" t="s">
        <v>19</v>
      </c>
      <c r="J1493" s="9" t="s">
        <v>12121</v>
      </c>
      <c r="Q1493" s="10"/>
      <c r="T1493" s="9">
        <f>12-81</f>
        <v>-69</v>
      </c>
      <c r="U1493" s="9">
        <f t="shared" ca="1" si="62"/>
        <v>81</v>
      </c>
      <c r="V1493" s="9">
        <f t="shared" ca="1" si="63"/>
        <v>12</v>
      </c>
      <c r="AE1493" s="9" t="s">
        <v>12089</v>
      </c>
    </row>
    <row r="1494" spans="1:33" ht="29">
      <c r="A1494" s="3" t="s">
        <v>1759</v>
      </c>
      <c r="D1494" s="3" t="s">
        <v>6601</v>
      </c>
      <c r="E1494" s="3" t="s">
        <v>6602</v>
      </c>
      <c r="J1494" s="9" t="s">
        <v>25</v>
      </c>
      <c r="L1494" s="9">
        <v>1</v>
      </c>
      <c r="M1494" s="9">
        <v>3</v>
      </c>
      <c r="N1494" s="9" t="s">
        <v>12096</v>
      </c>
      <c r="O1494" s="9" t="s">
        <v>12079</v>
      </c>
      <c r="Q1494" s="10"/>
      <c r="S1494" s="9">
        <v>1101</v>
      </c>
      <c r="U1494" s="9" t="str">
        <f t="shared" ca="1" si="62"/>
        <v/>
      </c>
      <c r="V1494" s="9" t="str">
        <f t="shared" ca="1" si="63"/>
        <v/>
      </c>
      <c r="AG1494" s="9" t="s">
        <v>20</v>
      </c>
    </row>
    <row r="1495" spans="1:33">
      <c r="A1495" s="3" t="s">
        <v>1759</v>
      </c>
      <c r="D1495" s="3" t="s">
        <v>12879</v>
      </c>
      <c r="E1495" s="3" t="s">
        <v>12880</v>
      </c>
      <c r="F1495" t="s">
        <v>11</v>
      </c>
      <c r="Q1495" s="10"/>
      <c r="U1495" s="9" t="str">
        <f t="shared" ca="1" si="62"/>
        <v/>
      </c>
      <c r="V1495" s="9" t="str">
        <f t="shared" ca="1" si="63"/>
        <v/>
      </c>
    </row>
    <row r="1496" spans="1:33">
      <c r="A1496" s="3" t="s">
        <v>1759</v>
      </c>
      <c r="D1496" s="11" t="s">
        <v>12878</v>
      </c>
      <c r="E1496" s="11" t="s">
        <v>12881</v>
      </c>
      <c r="J1496" s="9" t="s">
        <v>24</v>
      </c>
      <c r="L1496" s="9">
        <v>1</v>
      </c>
      <c r="M1496" s="9">
        <v>3</v>
      </c>
      <c r="N1496" s="9" t="s">
        <v>12078</v>
      </c>
      <c r="O1496" s="9" t="s">
        <v>12079</v>
      </c>
      <c r="Q1496" s="10"/>
      <c r="S1496" s="9">
        <v>11843</v>
      </c>
      <c r="U1496" s="9" t="str">
        <f t="shared" ca="1" si="62"/>
        <v/>
      </c>
      <c r="V1496" s="9" t="str">
        <f t="shared" ca="1" si="63"/>
        <v/>
      </c>
      <c r="AG1496" s="9" t="s">
        <v>19</v>
      </c>
    </row>
    <row r="1497" spans="1:33">
      <c r="A1497" s="3" t="s">
        <v>1760</v>
      </c>
      <c r="D1497" s="3" t="s">
        <v>1761</v>
      </c>
      <c r="E1497" s="3" t="s">
        <v>1762</v>
      </c>
      <c r="J1497" s="9" t="s">
        <v>12118</v>
      </c>
      <c r="Q1497" s="10"/>
      <c r="T1497" s="9" t="s">
        <v>12131</v>
      </c>
      <c r="U1497" s="9" t="str">
        <f t="shared" ca="1" si="62"/>
        <v/>
      </c>
      <c r="V1497" s="9" t="str">
        <f t="shared" ca="1" si="63"/>
        <v/>
      </c>
      <c r="AC1497" s="9" t="s">
        <v>12744</v>
      </c>
      <c r="AD1497" s="9" t="s">
        <v>19</v>
      </c>
      <c r="AE1497" s="9" t="s">
        <v>12086</v>
      </c>
    </row>
    <row r="1498" spans="1:33">
      <c r="A1498" s="3" t="s">
        <v>1763</v>
      </c>
      <c r="D1498" s="3" t="s">
        <v>883</v>
      </c>
      <c r="E1498" s="3" t="s">
        <v>1764</v>
      </c>
      <c r="J1498" s="9" t="s">
        <v>12118</v>
      </c>
      <c r="Q1498" s="10"/>
      <c r="T1498" s="9">
        <f>0-12</f>
        <v>-12</v>
      </c>
      <c r="U1498" s="9">
        <f t="shared" ca="1" si="62"/>
        <v>12</v>
      </c>
      <c r="V1498" s="9">
        <f t="shared" ca="1" si="63"/>
        <v>0</v>
      </c>
      <c r="AG1498" s="9" t="s">
        <v>20</v>
      </c>
    </row>
    <row r="1499" spans="1:33">
      <c r="A1499" s="3" t="s">
        <v>1765</v>
      </c>
      <c r="D1499" s="3" t="s">
        <v>6603</v>
      </c>
      <c r="E1499" s="3" t="s">
        <v>6604</v>
      </c>
      <c r="J1499" s="9" t="s">
        <v>12120</v>
      </c>
      <c r="Q1499" s="10"/>
      <c r="U1499" s="9" t="str">
        <f t="shared" ca="1" si="62"/>
        <v/>
      </c>
      <c r="V1499" s="9" t="str">
        <f t="shared" ca="1" si="63"/>
        <v/>
      </c>
      <c r="AE1499" s="9" t="s">
        <v>12077</v>
      </c>
    </row>
    <row r="1500" spans="1:33">
      <c r="A1500" s="3" t="s">
        <v>1766</v>
      </c>
      <c r="D1500" s="3" t="s">
        <v>1767</v>
      </c>
      <c r="E1500" s="3" t="s">
        <v>1340</v>
      </c>
      <c r="J1500" s="9" t="s">
        <v>12118</v>
      </c>
      <c r="Q1500" s="10"/>
      <c r="T1500" s="9" t="s">
        <v>12131</v>
      </c>
      <c r="U1500" s="9" t="str">
        <f t="shared" ca="1" si="62"/>
        <v/>
      </c>
      <c r="V1500" s="9" t="str">
        <f t="shared" ca="1" si="63"/>
        <v/>
      </c>
      <c r="AC1500" s="9" t="s">
        <v>12130</v>
      </c>
      <c r="AD1500" s="9" t="s">
        <v>19</v>
      </c>
      <c r="AE1500" s="9" t="s">
        <v>12086</v>
      </c>
    </row>
    <row r="1501" spans="1:33">
      <c r="A1501" s="3" t="s">
        <v>1766</v>
      </c>
      <c r="D1501" s="3" t="s">
        <v>6606</v>
      </c>
      <c r="E1501" s="3" t="s">
        <v>6605</v>
      </c>
      <c r="J1501" s="9" t="s">
        <v>24</v>
      </c>
      <c r="L1501" s="9">
        <v>1</v>
      </c>
      <c r="M1501" s="9">
        <v>4</v>
      </c>
      <c r="N1501" s="9" t="s">
        <v>12078</v>
      </c>
      <c r="O1501" s="9" t="s">
        <v>12079</v>
      </c>
      <c r="Q1501" s="10"/>
      <c r="S1501" s="9">
        <v>11843</v>
      </c>
      <c r="U1501" s="9" t="str">
        <f t="shared" ca="1" si="62"/>
        <v/>
      </c>
      <c r="V1501" s="9" t="str">
        <f t="shared" ca="1" si="63"/>
        <v/>
      </c>
      <c r="AG1501" s="9" t="s">
        <v>19</v>
      </c>
    </row>
    <row r="1502" spans="1:33">
      <c r="A1502" s="3" t="s">
        <v>1766</v>
      </c>
      <c r="D1502" s="3" t="s">
        <v>6607</v>
      </c>
      <c r="E1502" s="3" t="s">
        <v>6608</v>
      </c>
      <c r="J1502" s="9" t="s">
        <v>12120</v>
      </c>
      <c r="Q1502" s="10"/>
      <c r="U1502" s="9" t="str">
        <f t="shared" ca="1" si="62"/>
        <v/>
      </c>
      <c r="V1502" s="9" t="str">
        <f t="shared" ca="1" si="63"/>
        <v/>
      </c>
      <c r="AG1502" s="9" t="s">
        <v>19</v>
      </c>
    </row>
    <row r="1503" spans="1:33">
      <c r="A1503" s="3" t="s">
        <v>1768</v>
      </c>
      <c r="D1503" s="3" t="s">
        <v>1769</v>
      </c>
      <c r="E1503" s="3" t="s">
        <v>6609</v>
      </c>
      <c r="G1503" t="s">
        <v>19</v>
      </c>
      <c r="J1503" s="9" t="s">
        <v>12120</v>
      </c>
      <c r="Q1503" s="10"/>
      <c r="U1503" s="9" t="str">
        <f t="shared" ca="1" si="62"/>
        <v/>
      </c>
      <c r="V1503" s="9" t="str">
        <f t="shared" ca="1" si="63"/>
        <v/>
      </c>
      <c r="AE1503" s="9" t="s">
        <v>12086</v>
      </c>
    </row>
    <row r="1504" spans="1:33" ht="43.5">
      <c r="A1504" s="3" t="s">
        <v>1768</v>
      </c>
      <c r="D1504" s="3" t="s">
        <v>12882</v>
      </c>
      <c r="E1504" s="3" t="s">
        <v>12883</v>
      </c>
      <c r="I1504" t="s">
        <v>10402</v>
      </c>
      <c r="J1504" s="9" t="s">
        <v>26</v>
      </c>
      <c r="Q1504" s="10"/>
      <c r="U1504" s="9" t="str">
        <f t="shared" ca="1" si="62"/>
        <v/>
      </c>
      <c r="V1504" s="9" t="str">
        <f t="shared" ca="1" si="63"/>
        <v/>
      </c>
      <c r="AG1504" s="9" t="s">
        <v>20</v>
      </c>
    </row>
    <row r="1505" spans="1:33">
      <c r="A1505" s="3" t="s">
        <v>1770</v>
      </c>
      <c r="D1505" s="3" t="s">
        <v>1771</v>
      </c>
      <c r="E1505" s="3" t="s">
        <v>339</v>
      </c>
      <c r="J1505" s="9" t="s">
        <v>12118</v>
      </c>
      <c r="Q1505" s="10"/>
      <c r="T1505" s="9" t="s">
        <v>12119</v>
      </c>
      <c r="U1505" s="9" t="str">
        <f t="shared" ca="1" si="62"/>
        <v/>
      </c>
      <c r="V1505" s="9" t="str">
        <f t="shared" ca="1" si="63"/>
        <v/>
      </c>
      <c r="AB1505" s="9" t="s">
        <v>12124</v>
      </c>
      <c r="AC1505" s="9" t="s">
        <v>12188</v>
      </c>
      <c r="AD1505" s="9" t="s">
        <v>19</v>
      </c>
    </row>
    <row r="1506" spans="1:33">
      <c r="A1506" s="3" t="s">
        <v>1770</v>
      </c>
      <c r="D1506" s="3" t="s">
        <v>1772</v>
      </c>
      <c r="E1506" s="3" t="s">
        <v>1773</v>
      </c>
      <c r="J1506" s="9" t="s">
        <v>12120</v>
      </c>
      <c r="Q1506" s="10"/>
      <c r="U1506" s="9" t="str">
        <f t="shared" ca="1" si="62"/>
        <v/>
      </c>
      <c r="V1506" s="9" t="str">
        <f t="shared" ca="1" si="63"/>
        <v/>
      </c>
      <c r="AG1506" s="9" t="s">
        <v>20</v>
      </c>
    </row>
    <row r="1507" spans="1:33">
      <c r="A1507" s="3" t="s">
        <v>1774</v>
      </c>
      <c r="D1507" s="3" t="s">
        <v>6610</v>
      </c>
      <c r="E1507" s="3" t="s">
        <v>6611</v>
      </c>
      <c r="J1507" s="9" t="s">
        <v>25</v>
      </c>
      <c r="L1507" s="9">
        <v>1</v>
      </c>
      <c r="M1507" s="9">
        <v>2</v>
      </c>
      <c r="N1507" s="9" t="s">
        <v>12096</v>
      </c>
      <c r="O1507" s="9" t="s">
        <v>12119</v>
      </c>
      <c r="Q1507" s="10"/>
      <c r="R1507" s="9" t="s">
        <v>12074</v>
      </c>
      <c r="S1507" s="9">
        <v>1294</v>
      </c>
      <c r="U1507" s="9" t="str">
        <f t="shared" ca="1" si="62"/>
        <v/>
      </c>
      <c r="V1507" s="9" t="str">
        <f t="shared" ca="1" si="63"/>
        <v/>
      </c>
      <c r="AG1507" s="9" t="s">
        <v>20</v>
      </c>
    </row>
    <row r="1508" spans="1:33">
      <c r="A1508" s="3" t="s">
        <v>1775</v>
      </c>
      <c r="D1508" s="3" t="s">
        <v>1288</v>
      </c>
      <c r="E1508" s="3" t="s">
        <v>1289</v>
      </c>
      <c r="J1508" s="9" t="s">
        <v>12120</v>
      </c>
      <c r="Q1508" s="10"/>
      <c r="U1508" s="9" t="str">
        <f t="shared" ca="1" si="62"/>
        <v/>
      </c>
      <c r="V1508" s="9" t="str">
        <f t="shared" ca="1" si="63"/>
        <v/>
      </c>
      <c r="AG1508" s="9" t="s">
        <v>19</v>
      </c>
    </row>
    <row r="1509" spans="1:33">
      <c r="A1509" s="3" t="s">
        <v>1776</v>
      </c>
      <c r="D1509" s="3" t="s">
        <v>1777</v>
      </c>
      <c r="E1509" s="3" t="s">
        <v>1778</v>
      </c>
      <c r="F1509" t="s">
        <v>11</v>
      </c>
      <c r="Q1509" s="10"/>
      <c r="U1509" s="9" t="str">
        <f t="shared" ca="1" si="62"/>
        <v/>
      </c>
      <c r="V1509" s="9" t="str">
        <f t="shared" ca="1" si="63"/>
        <v/>
      </c>
    </row>
    <row r="1510" spans="1:33">
      <c r="A1510" s="3" t="s">
        <v>1779</v>
      </c>
      <c r="D1510" s="3" t="s">
        <v>1780</v>
      </c>
      <c r="E1510" s="3" t="s">
        <v>920</v>
      </c>
      <c r="F1510" t="s">
        <v>11</v>
      </c>
      <c r="Q1510" s="10"/>
      <c r="U1510" s="9" t="str">
        <f t="shared" ca="1" si="62"/>
        <v/>
      </c>
      <c r="V1510" s="9" t="str">
        <f t="shared" ca="1" si="63"/>
        <v/>
      </c>
    </row>
    <row r="1511" spans="1:33">
      <c r="A1511" s="3" t="s">
        <v>1781</v>
      </c>
      <c r="D1511" s="3" t="s">
        <v>6612</v>
      </c>
      <c r="E1511" s="3" t="s">
        <v>6613</v>
      </c>
      <c r="J1511" s="9" t="s">
        <v>25</v>
      </c>
      <c r="L1511" s="9">
        <v>1</v>
      </c>
      <c r="M1511" s="9">
        <v>1</v>
      </c>
      <c r="N1511" s="9" t="s">
        <v>12072</v>
      </c>
      <c r="O1511" s="9" t="s">
        <v>12119</v>
      </c>
      <c r="Q1511" s="10"/>
      <c r="R1511" s="9" t="s">
        <v>12074</v>
      </c>
      <c r="S1511" s="9">
        <v>16</v>
      </c>
      <c r="U1511" s="9" t="str">
        <f t="shared" ca="1" si="62"/>
        <v/>
      </c>
      <c r="V1511" s="9" t="str">
        <f t="shared" ca="1" si="63"/>
        <v/>
      </c>
      <c r="AG1511" s="9" t="s">
        <v>20</v>
      </c>
    </row>
    <row r="1512" spans="1:33" ht="87">
      <c r="A1512" s="3" t="s">
        <v>1782</v>
      </c>
      <c r="D1512" s="3" t="s">
        <v>6620</v>
      </c>
      <c r="E1512" s="3" t="s">
        <v>6616</v>
      </c>
      <c r="G1512" t="s">
        <v>19</v>
      </c>
      <c r="J1512" s="9" t="s">
        <v>25</v>
      </c>
      <c r="L1512" s="9">
        <v>1</v>
      </c>
      <c r="M1512" s="9">
        <v>3</v>
      </c>
      <c r="N1512" s="9" t="s">
        <v>12087</v>
      </c>
      <c r="O1512" s="9" t="s">
        <v>12073</v>
      </c>
      <c r="P1512" s="9" t="s">
        <v>12149</v>
      </c>
      <c r="Q1512" s="10" t="s">
        <v>12143</v>
      </c>
      <c r="S1512" s="9">
        <v>5676</v>
      </c>
      <c r="U1512" s="9" t="str">
        <f t="shared" ca="1" si="62"/>
        <v/>
      </c>
      <c r="V1512" s="9" t="str">
        <f t="shared" ca="1" si="63"/>
        <v/>
      </c>
    </row>
    <row r="1513" spans="1:33" ht="87">
      <c r="A1513" s="3" t="s">
        <v>1782</v>
      </c>
      <c r="D1513" s="3" t="s">
        <v>6614</v>
      </c>
      <c r="E1513" s="3" t="s">
        <v>6615</v>
      </c>
      <c r="J1513" s="9" t="s">
        <v>12120</v>
      </c>
      <c r="Q1513" s="10"/>
      <c r="U1513" s="9" t="str">
        <f t="shared" ca="1" si="62"/>
        <v/>
      </c>
      <c r="V1513" s="9" t="str">
        <f t="shared" ca="1" si="63"/>
        <v/>
      </c>
      <c r="AG1513" s="9" t="s">
        <v>19</v>
      </c>
    </row>
    <row r="1514" spans="1:33" ht="87">
      <c r="A1514" s="3" t="s">
        <v>1782</v>
      </c>
      <c r="D1514" s="3" t="s">
        <v>6617</v>
      </c>
      <c r="E1514" s="3" t="s">
        <v>6616</v>
      </c>
      <c r="I1514" t="s">
        <v>12296</v>
      </c>
      <c r="J1514" s="9" t="s">
        <v>25</v>
      </c>
      <c r="L1514" s="9">
        <v>6</v>
      </c>
      <c r="M1514" s="9">
        <v>38</v>
      </c>
      <c r="O1514" s="9" t="s">
        <v>12073</v>
      </c>
      <c r="P1514" s="9" t="s">
        <v>12140</v>
      </c>
      <c r="Q1514" s="10" t="s">
        <v>12295</v>
      </c>
      <c r="S1514" s="9">
        <v>2</v>
      </c>
      <c r="U1514" s="9" t="str">
        <f t="shared" ca="1" si="62"/>
        <v/>
      </c>
      <c r="V1514" s="9" t="str">
        <f t="shared" ca="1" si="63"/>
        <v/>
      </c>
      <c r="AG1514" s="9" t="s">
        <v>20</v>
      </c>
    </row>
    <row r="1515" spans="1:33" ht="87">
      <c r="A1515" s="3" t="s">
        <v>1783</v>
      </c>
      <c r="D1515" s="3" t="s">
        <v>6618</v>
      </c>
      <c r="E1515" s="3" t="s">
        <v>6619</v>
      </c>
      <c r="J1515" s="9" t="s">
        <v>12120</v>
      </c>
      <c r="Q1515" s="10"/>
      <c r="U1515" s="9" t="str">
        <f t="shared" ca="1" si="62"/>
        <v/>
      </c>
      <c r="V1515" s="9" t="str">
        <f t="shared" ca="1" si="63"/>
        <v/>
      </c>
      <c r="AB1515" s="9" t="s">
        <v>12738</v>
      </c>
      <c r="AD1515" s="9" t="s">
        <v>19</v>
      </c>
    </row>
    <row r="1516" spans="1:33">
      <c r="A1516" s="3" t="s">
        <v>1784</v>
      </c>
      <c r="D1516" s="3" t="s">
        <v>6621</v>
      </c>
      <c r="E1516" s="3" t="s">
        <v>6622</v>
      </c>
      <c r="H1516" t="s">
        <v>23</v>
      </c>
      <c r="I1516" t="s">
        <v>1785</v>
      </c>
      <c r="J1516" s="9" t="s">
        <v>12118</v>
      </c>
      <c r="Q1516" s="10"/>
      <c r="T1516" s="9" t="s">
        <v>12131</v>
      </c>
      <c r="U1516" s="9" t="str">
        <f t="shared" ca="1" si="62"/>
        <v/>
      </c>
      <c r="V1516" s="9" t="str">
        <f t="shared" ca="1" si="63"/>
        <v/>
      </c>
      <c r="AB1516" s="9" t="s">
        <v>12124</v>
      </c>
      <c r="AC1516" s="9" t="s">
        <v>12739</v>
      </c>
      <c r="AD1516" s="9" t="s">
        <v>19</v>
      </c>
    </row>
    <row r="1517" spans="1:33">
      <c r="A1517" s="3" t="s">
        <v>1784</v>
      </c>
      <c r="D1517" s="3" t="s">
        <v>6623</v>
      </c>
      <c r="E1517" s="3" t="s">
        <v>6624</v>
      </c>
      <c r="J1517" s="9" t="s">
        <v>12118</v>
      </c>
      <c r="Q1517" s="10"/>
      <c r="T1517" s="9">
        <f>1-2</f>
        <v>-1</v>
      </c>
      <c r="U1517" s="9">
        <f t="shared" ca="1" si="62"/>
        <v>2</v>
      </c>
      <c r="V1517" s="9">
        <f t="shared" ca="1" si="63"/>
        <v>1</v>
      </c>
      <c r="AG1517" s="9" t="s">
        <v>19</v>
      </c>
    </row>
    <row r="1518" spans="1:33">
      <c r="A1518" s="3" t="s">
        <v>1786</v>
      </c>
      <c r="D1518" s="3" t="s">
        <v>1787</v>
      </c>
      <c r="E1518" s="3" t="s">
        <v>2848</v>
      </c>
      <c r="G1518" t="s">
        <v>19</v>
      </c>
      <c r="J1518" s="9" t="s">
        <v>12118</v>
      </c>
      <c r="Q1518" s="10"/>
      <c r="T1518" s="9" t="s">
        <v>12131</v>
      </c>
      <c r="U1518" s="9" t="str">
        <f t="shared" ca="1" si="62"/>
        <v/>
      </c>
      <c r="V1518" s="9" t="str">
        <f t="shared" ca="1" si="63"/>
        <v/>
      </c>
      <c r="AB1518" s="9" t="s">
        <v>12124</v>
      </c>
      <c r="AC1518" s="9" t="s">
        <v>12166</v>
      </c>
      <c r="AD1518" s="9" t="s">
        <v>19</v>
      </c>
    </row>
    <row r="1519" spans="1:33">
      <c r="A1519" s="3" t="s">
        <v>1786</v>
      </c>
      <c r="D1519" s="3" t="s">
        <v>6626</v>
      </c>
      <c r="E1519" s="3" t="s">
        <v>6625</v>
      </c>
      <c r="J1519" s="9" t="s">
        <v>24</v>
      </c>
      <c r="L1519" s="9">
        <v>1</v>
      </c>
      <c r="M1519" s="9">
        <v>1</v>
      </c>
      <c r="N1519" s="9" t="s">
        <v>12078</v>
      </c>
      <c r="O1519" s="9" t="s">
        <v>12119</v>
      </c>
      <c r="Q1519" s="10"/>
      <c r="S1519" s="9">
        <v>11843</v>
      </c>
      <c r="U1519" s="9" t="str">
        <f t="shared" ca="1" si="62"/>
        <v/>
      </c>
      <c r="V1519" s="9" t="str">
        <f t="shared" ca="1" si="63"/>
        <v/>
      </c>
      <c r="AG1519" s="9" t="s">
        <v>19</v>
      </c>
    </row>
    <row r="1520" spans="1:33" ht="43.5">
      <c r="A1520" s="3" t="s">
        <v>1788</v>
      </c>
      <c r="D1520" s="3" t="s">
        <v>6628</v>
      </c>
      <c r="E1520" s="3" t="s">
        <v>6627</v>
      </c>
      <c r="F1520" t="s">
        <v>4774</v>
      </c>
      <c r="G1520" t="s">
        <v>19</v>
      </c>
      <c r="J1520" s="15" t="s">
        <v>27</v>
      </c>
      <c r="K1520" s="15"/>
      <c r="L1520" s="15"/>
      <c r="M1520" s="15"/>
      <c r="N1520" s="15"/>
      <c r="O1520" s="15"/>
      <c r="P1520" s="15"/>
      <c r="Q1520" s="16"/>
      <c r="R1520" s="15"/>
      <c r="S1520" s="15"/>
      <c r="T1520" s="15"/>
      <c r="U1520" s="15" t="str">
        <f t="shared" ref="U1520" ca="1" si="64">IF(ISNUMBER(T1520),VALUE(MID(_xlfn.FORMULATEXT(T1520),SEARCH("-",_xlfn.FORMULATEXT(T1520))+1,LEN(_xlfn.FORMULATEXT(T1520))-SEARCH("-",_xlfn.FORMULATEXT(T1520)))), "")</f>
        <v/>
      </c>
      <c r="V1520" s="15" t="str">
        <f t="shared" ref="V1520" ca="1" si="65">IF(ISNUMBER(T1520), VALUE(MID(_xlfn.FORMULATEXT(T1520), 2, SEARCH("-", _xlfn.FORMULATEXT(T1520)) - 2)), "")</f>
        <v/>
      </c>
      <c r="W1520" s="15"/>
      <c r="X1520" s="15"/>
      <c r="Y1520" s="15"/>
      <c r="Z1520" s="15"/>
      <c r="AA1520" s="15"/>
      <c r="AB1520" s="15"/>
      <c r="AC1520" s="15"/>
      <c r="AD1520" s="15"/>
      <c r="AE1520" s="15"/>
      <c r="AF1520" s="15" t="s">
        <v>19</v>
      </c>
      <c r="AG1520" s="15"/>
    </row>
    <row r="1521" spans="1:33" ht="43.5">
      <c r="A1521" s="3" t="s">
        <v>1788</v>
      </c>
      <c r="D1521" s="3" t="s">
        <v>6629</v>
      </c>
      <c r="E1521" s="3" t="s">
        <v>6630</v>
      </c>
      <c r="F1521" t="s">
        <v>4774</v>
      </c>
      <c r="J1521" s="15" t="s">
        <v>12120</v>
      </c>
      <c r="K1521" s="15"/>
      <c r="L1521" s="15"/>
      <c r="M1521" s="15"/>
      <c r="N1521" s="15"/>
      <c r="O1521" s="15"/>
      <c r="P1521" s="15"/>
      <c r="Q1521" s="16"/>
      <c r="R1521" s="15"/>
      <c r="S1521" s="15"/>
      <c r="T1521" s="15"/>
      <c r="U1521" s="15" t="str">
        <f t="shared" ca="1" si="62"/>
        <v/>
      </c>
      <c r="V1521" s="15" t="str">
        <f t="shared" ca="1" si="63"/>
        <v/>
      </c>
      <c r="W1521" s="15"/>
      <c r="X1521" s="15"/>
      <c r="Y1521" s="15"/>
      <c r="Z1521" s="15"/>
      <c r="AA1521" s="15"/>
      <c r="AB1521" s="15"/>
      <c r="AC1521" s="15"/>
      <c r="AD1521" s="15"/>
      <c r="AE1521" s="15"/>
      <c r="AF1521" s="15"/>
      <c r="AG1521" s="15"/>
    </row>
    <row r="1522" spans="1:33" ht="43.5">
      <c r="A1522" s="3" t="s">
        <v>1788</v>
      </c>
      <c r="D1522" s="3" t="s">
        <v>12297</v>
      </c>
      <c r="E1522" s="3" t="s">
        <v>12298</v>
      </c>
      <c r="F1522" t="s">
        <v>4774</v>
      </c>
      <c r="J1522" s="15" t="s">
        <v>12118</v>
      </c>
      <c r="K1522" s="15"/>
      <c r="L1522" s="15"/>
      <c r="M1522" s="15"/>
      <c r="N1522" s="15"/>
      <c r="O1522" s="15"/>
      <c r="P1522" s="15"/>
      <c r="Q1522" s="16"/>
      <c r="R1522" s="15"/>
      <c r="S1522" s="15"/>
      <c r="T1522" s="15">
        <f>1966-5676</f>
        <v>-3710</v>
      </c>
      <c r="U1522" s="15">
        <f t="shared" ca="1" si="62"/>
        <v>5676</v>
      </c>
      <c r="V1522" s="15">
        <f t="shared" ca="1" si="63"/>
        <v>1966</v>
      </c>
      <c r="W1522" s="15"/>
      <c r="X1522" s="15"/>
      <c r="Y1522" s="15"/>
      <c r="Z1522" s="15"/>
      <c r="AA1522" s="15"/>
      <c r="AB1522" s="15"/>
      <c r="AC1522" s="15"/>
      <c r="AD1522" s="15"/>
      <c r="AE1522" s="15"/>
      <c r="AF1522" s="15"/>
      <c r="AG1522" s="15"/>
    </row>
    <row r="1523" spans="1:33" ht="43.5">
      <c r="A1523" s="3" t="s">
        <v>1788</v>
      </c>
      <c r="D1523" s="3" t="s">
        <v>12884</v>
      </c>
      <c r="E1523" s="3" t="s">
        <v>12299</v>
      </c>
      <c r="F1523" t="s">
        <v>4774</v>
      </c>
      <c r="J1523" s="15"/>
      <c r="K1523" s="15"/>
      <c r="L1523" s="15"/>
      <c r="M1523" s="15"/>
      <c r="N1523" s="15"/>
      <c r="O1523" s="15"/>
      <c r="P1523" s="15"/>
      <c r="Q1523" s="16"/>
      <c r="R1523" s="15"/>
      <c r="S1523" s="15"/>
      <c r="T1523" s="15"/>
      <c r="U1523" s="15"/>
      <c r="V1523" s="15"/>
      <c r="W1523" s="15"/>
      <c r="X1523" s="15"/>
      <c r="Y1523" s="15"/>
      <c r="Z1523" s="15"/>
      <c r="AA1523" s="15"/>
      <c r="AB1523" s="15"/>
      <c r="AC1523" s="15"/>
      <c r="AD1523" s="15"/>
      <c r="AE1523" s="15" t="s">
        <v>12089</v>
      </c>
      <c r="AF1523" s="15"/>
      <c r="AG1523" s="15"/>
    </row>
    <row r="1524" spans="1:33" ht="29">
      <c r="A1524" s="3" t="s">
        <v>1790</v>
      </c>
      <c r="D1524" s="3" t="s">
        <v>6632</v>
      </c>
      <c r="E1524" s="3" t="s">
        <v>6633</v>
      </c>
      <c r="J1524" s="9" t="s">
        <v>12120</v>
      </c>
      <c r="Q1524" s="10"/>
      <c r="U1524" s="9" t="str">
        <f t="shared" ca="1" si="62"/>
        <v/>
      </c>
      <c r="V1524" s="9" t="str">
        <f t="shared" ca="1" si="63"/>
        <v/>
      </c>
      <c r="AG1524" s="9" t="s">
        <v>19</v>
      </c>
    </row>
    <row r="1525" spans="1:33" ht="29">
      <c r="A1525" s="3" t="s">
        <v>1790</v>
      </c>
      <c r="D1525" s="3" t="s">
        <v>6631</v>
      </c>
      <c r="E1525" s="3" t="s">
        <v>6634</v>
      </c>
      <c r="J1525" s="9" t="s">
        <v>24</v>
      </c>
      <c r="L1525" s="9">
        <v>2</v>
      </c>
      <c r="M1525" s="9">
        <v>12</v>
      </c>
      <c r="O1525" s="9" t="s">
        <v>12079</v>
      </c>
      <c r="Q1525" s="10"/>
      <c r="S1525" s="9">
        <v>2042</v>
      </c>
      <c r="U1525" s="9" t="str">
        <f t="shared" ca="1" si="62"/>
        <v/>
      </c>
      <c r="V1525" s="9" t="str">
        <f t="shared" ca="1" si="63"/>
        <v/>
      </c>
      <c r="AG1525" s="9" t="s">
        <v>19</v>
      </c>
    </row>
    <row r="1526" spans="1:33">
      <c r="A1526" s="3" t="s">
        <v>1791</v>
      </c>
      <c r="D1526" s="3" t="s">
        <v>1792</v>
      </c>
      <c r="E1526" s="3" t="s">
        <v>1793</v>
      </c>
      <c r="J1526" s="9" t="s">
        <v>12118</v>
      </c>
      <c r="Q1526" s="10"/>
      <c r="T1526" s="9" t="s">
        <v>12131</v>
      </c>
      <c r="U1526" s="9" t="str">
        <f t="shared" ca="1" si="62"/>
        <v/>
      </c>
      <c r="V1526" s="9" t="str">
        <f t="shared" ca="1" si="63"/>
        <v/>
      </c>
      <c r="AC1526" s="9" t="s">
        <v>12144</v>
      </c>
      <c r="AD1526" s="9" t="s">
        <v>19</v>
      </c>
      <c r="AE1526" s="9" t="s">
        <v>12077</v>
      </c>
    </row>
    <row r="1527" spans="1:33">
      <c r="A1527" s="3" t="s">
        <v>1794</v>
      </c>
      <c r="D1527" s="3" t="s">
        <v>6635</v>
      </c>
      <c r="E1527" s="3" t="s">
        <v>6636</v>
      </c>
      <c r="J1527" s="9" t="s">
        <v>12120</v>
      </c>
      <c r="Q1527" s="10"/>
      <c r="U1527" s="9" t="str">
        <f t="shared" ca="1" si="62"/>
        <v/>
      </c>
      <c r="V1527" s="9" t="str">
        <f t="shared" ca="1" si="63"/>
        <v/>
      </c>
      <c r="AB1527" s="9" t="s">
        <v>12124</v>
      </c>
      <c r="AD1527" s="9" t="s">
        <v>19</v>
      </c>
    </row>
    <row r="1528" spans="1:33">
      <c r="A1528" s="3" t="s">
        <v>1795</v>
      </c>
      <c r="D1528" s="3" t="s">
        <v>1796</v>
      </c>
      <c r="E1528" s="3" t="s">
        <v>6637</v>
      </c>
      <c r="G1528" t="s">
        <v>19</v>
      </c>
      <c r="J1528" s="9" t="s">
        <v>12120</v>
      </c>
      <c r="Q1528" s="10"/>
      <c r="U1528" s="9" t="str">
        <f t="shared" ca="1" si="62"/>
        <v/>
      </c>
      <c r="V1528" s="9" t="str">
        <f t="shared" ca="1" si="63"/>
        <v/>
      </c>
    </row>
    <row r="1529" spans="1:33">
      <c r="A1529" s="3" t="s">
        <v>1795</v>
      </c>
      <c r="D1529" s="3" t="s">
        <v>6638</v>
      </c>
      <c r="E1529" s="3" t="s">
        <v>6638</v>
      </c>
      <c r="G1529" t="s">
        <v>20</v>
      </c>
      <c r="I1529" t="s">
        <v>6639</v>
      </c>
      <c r="Q1529" s="10"/>
      <c r="U1529" s="9" t="str">
        <f t="shared" ca="1" si="62"/>
        <v/>
      </c>
      <c r="V1529" s="9" t="str">
        <f t="shared" ca="1" si="63"/>
        <v/>
      </c>
    </row>
    <row r="1530" spans="1:33">
      <c r="A1530" s="3" t="s">
        <v>1797</v>
      </c>
      <c r="D1530" s="3" t="s">
        <v>6640</v>
      </c>
      <c r="E1530" s="3" t="s">
        <v>6641</v>
      </c>
      <c r="I1530" t="s">
        <v>5457</v>
      </c>
      <c r="J1530" s="9" t="s">
        <v>26</v>
      </c>
      <c r="Q1530" s="10"/>
      <c r="U1530" s="9" t="str">
        <f t="shared" ca="1" si="62"/>
        <v/>
      </c>
      <c r="V1530" s="9" t="str">
        <f t="shared" ca="1" si="63"/>
        <v/>
      </c>
      <c r="AG1530" s="9" t="s">
        <v>20</v>
      </c>
    </row>
    <row r="1531" spans="1:33">
      <c r="A1531" s="3" t="s">
        <v>1797</v>
      </c>
      <c r="D1531" s="3" t="s">
        <v>6642</v>
      </c>
      <c r="E1531" s="3" t="s">
        <v>6643</v>
      </c>
      <c r="J1531" s="9" t="s">
        <v>25</v>
      </c>
      <c r="L1531" s="9">
        <v>1</v>
      </c>
      <c r="M1531" s="9">
        <v>1</v>
      </c>
      <c r="N1531" s="9" t="s">
        <v>12078</v>
      </c>
      <c r="O1531" s="9" t="s">
        <v>12119</v>
      </c>
      <c r="Q1531" s="10"/>
      <c r="S1531" s="9">
        <v>11843</v>
      </c>
      <c r="U1531" s="9" t="str">
        <f t="shared" ca="1" si="62"/>
        <v/>
      </c>
      <c r="V1531" s="9" t="str">
        <f t="shared" ca="1" si="63"/>
        <v/>
      </c>
      <c r="AG1531" s="9" t="s">
        <v>20</v>
      </c>
    </row>
    <row r="1532" spans="1:33">
      <c r="A1532" s="3" t="s">
        <v>1797</v>
      </c>
      <c r="D1532" s="3" t="s">
        <v>143</v>
      </c>
      <c r="E1532" s="3" t="s">
        <v>563</v>
      </c>
      <c r="J1532" s="9" t="s">
        <v>12118</v>
      </c>
      <c r="Q1532" s="10"/>
      <c r="T1532" s="9">
        <f xml:space="preserve"> 32-51</f>
        <v>-19</v>
      </c>
      <c r="U1532" s="9">
        <f t="shared" ca="1" si="62"/>
        <v>51</v>
      </c>
      <c r="V1532" s="9">
        <f t="shared" ca="1" si="63"/>
        <v>32</v>
      </c>
      <c r="AG1532" s="9" t="s">
        <v>19</v>
      </c>
    </row>
    <row r="1533" spans="1:33">
      <c r="A1533" s="3" t="s">
        <v>1797</v>
      </c>
      <c r="D1533" s="3" t="s">
        <v>1798</v>
      </c>
      <c r="E1533" s="3" t="s">
        <v>1799</v>
      </c>
      <c r="J1533" s="9" t="s">
        <v>12120</v>
      </c>
      <c r="Q1533" s="10"/>
      <c r="U1533" s="9" t="str">
        <f t="shared" ca="1" si="62"/>
        <v/>
      </c>
      <c r="V1533" s="9" t="str">
        <f t="shared" ca="1" si="63"/>
        <v/>
      </c>
      <c r="AC1533" s="9" t="s">
        <v>12740</v>
      </c>
      <c r="AD1533" s="9" t="s">
        <v>19</v>
      </c>
    </row>
    <row r="1534" spans="1:33">
      <c r="A1534" s="3" t="s">
        <v>1800</v>
      </c>
      <c r="D1534" s="11" t="s">
        <v>6645</v>
      </c>
      <c r="E1534" s="11" t="s">
        <v>6644</v>
      </c>
      <c r="J1534" s="9" t="s">
        <v>24</v>
      </c>
      <c r="L1534" s="9">
        <v>1</v>
      </c>
      <c r="M1534" s="9">
        <v>3</v>
      </c>
      <c r="N1534" s="9" t="s">
        <v>12078</v>
      </c>
      <c r="O1534" s="9" t="s">
        <v>12079</v>
      </c>
      <c r="Q1534" s="10"/>
      <c r="S1534" s="9">
        <v>11843</v>
      </c>
      <c r="U1534" s="9" t="str">
        <f t="shared" ca="1" si="62"/>
        <v/>
      </c>
      <c r="V1534" s="9" t="str">
        <f t="shared" ca="1" si="63"/>
        <v/>
      </c>
      <c r="AG1534" s="9" t="s">
        <v>19</v>
      </c>
    </row>
    <row r="1535" spans="1:33">
      <c r="A1535" s="3" t="s">
        <v>1801</v>
      </c>
      <c r="D1535" s="3" t="s">
        <v>1802</v>
      </c>
      <c r="E1535" s="3" t="s">
        <v>1803</v>
      </c>
      <c r="J1535" s="9" t="s">
        <v>12120</v>
      </c>
      <c r="Q1535" s="10"/>
      <c r="U1535" s="9" t="str">
        <f t="shared" ca="1" si="62"/>
        <v/>
      </c>
      <c r="V1535" s="9" t="str">
        <f t="shared" ca="1" si="63"/>
        <v/>
      </c>
      <c r="AG1535" s="9" t="s">
        <v>20</v>
      </c>
    </row>
    <row r="1536" spans="1:33">
      <c r="A1536" s="3" t="s">
        <v>1804</v>
      </c>
      <c r="D1536" s="3" t="s">
        <v>6646</v>
      </c>
      <c r="E1536" s="3" t="s">
        <v>6646</v>
      </c>
      <c r="G1536" t="s">
        <v>20</v>
      </c>
      <c r="I1536" t="s">
        <v>6647</v>
      </c>
      <c r="Q1536" s="10"/>
      <c r="U1536" s="9" t="str">
        <f t="shared" ca="1" si="62"/>
        <v/>
      </c>
      <c r="V1536" s="9" t="str">
        <f t="shared" ca="1" si="63"/>
        <v/>
      </c>
    </row>
    <row r="1537" spans="1:33">
      <c r="A1537" s="3" t="s">
        <v>1805</v>
      </c>
      <c r="D1537" s="3" t="s">
        <v>12885</v>
      </c>
      <c r="E1537" s="3" t="s">
        <v>1806</v>
      </c>
      <c r="J1537" s="9" t="s">
        <v>12118</v>
      </c>
      <c r="Q1537" s="10"/>
      <c r="T1537" s="9">
        <f>16-3</f>
        <v>13</v>
      </c>
      <c r="U1537" s="9">
        <f t="shared" ca="1" si="62"/>
        <v>3</v>
      </c>
      <c r="V1537" s="9">
        <f t="shared" ca="1" si="63"/>
        <v>16</v>
      </c>
      <c r="AG1537" s="9" t="s">
        <v>19</v>
      </c>
    </row>
    <row r="1538" spans="1:33" ht="29">
      <c r="A1538" s="3" t="s">
        <v>1807</v>
      </c>
      <c r="D1538" s="3" t="s">
        <v>6648</v>
      </c>
      <c r="E1538" s="3" t="s">
        <v>6649</v>
      </c>
      <c r="G1538" t="s">
        <v>19</v>
      </c>
      <c r="J1538" s="9" t="s">
        <v>25</v>
      </c>
      <c r="L1538" s="9">
        <v>1</v>
      </c>
      <c r="M1538" s="9">
        <v>3</v>
      </c>
      <c r="N1538" s="9" t="s">
        <v>12087</v>
      </c>
      <c r="O1538" s="9" t="s">
        <v>12079</v>
      </c>
      <c r="Q1538" s="10"/>
      <c r="S1538" s="9">
        <v>5676</v>
      </c>
      <c r="U1538" s="9" t="str">
        <f t="shared" ca="1" si="62"/>
        <v/>
      </c>
      <c r="V1538" s="9" t="str">
        <f t="shared" ca="1" si="63"/>
        <v/>
      </c>
    </row>
    <row r="1539" spans="1:33">
      <c r="A1539" s="3" t="s">
        <v>1807</v>
      </c>
      <c r="D1539" s="3" t="s">
        <v>1808</v>
      </c>
      <c r="E1539" s="11" t="s">
        <v>6650</v>
      </c>
      <c r="G1539" t="s">
        <v>19</v>
      </c>
      <c r="J1539" s="9" t="s">
        <v>12120</v>
      </c>
      <c r="Q1539" s="10"/>
      <c r="U1539" s="9" t="str">
        <f t="shared" ca="1" si="62"/>
        <v/>
      </c>
      <c r="V1539" s="9" t="str">
        <f t="shared" ca="1" si="63"/>
        <v/>
      </c>
      <c r="AC1539" s="9" t="s">
        <v>12166</v>
      </c>
      <c r="AD1539" s="9" t="s">
        <v>19</v>
      </c>
    </row>
    <row r="1540" spans="1:33" ht="29">
      <c r="A1540" s="3" t="s">
        <v>1809</v>
      </c>
      <c r="D1540" s="3" t="s">
        <v>6652</v>
      </c>
      <c r="E1540" s="3" t="s">
        <v>6653</v>
      </c>
      <c r="G1540" t="s">
        <v>19</v>
      </c>
      <c r="J1540" s="9" t="s">
        <v>12118</v>
      </c>
      <c r="Q1540" s="10"/>
      <c r="T1540" s="9" t="s">
        <v>12131</v>
      </c>
      <c r="U1540" s="9" t="str">
        <f t="shared" ca="1" si="62"/>
        <v/>
      </c>
      <c r="V1540" s="9" t="str">
        <f t="shared" ca="1" si="63"/>
        <v/>
      </c>
      <c r="AB1540" s="9" t="s">
        <v>12124</v>
      </c>
      <c r="AD1540" s="9" t="s">
        <v>19</v>
      </c>
      <c r="AE1540" s="9" t="s">
        <v>12086</v>
      </c>
    </row>
    <row r="1541" spans="1:33" ht="29">
      <c r="A1541" s="3" t="s">
        <v>1809</v>
      </c>
      <c r="D1541" s="3" t="s">
        <v>6651</v>
      </c>
      <c r="E1541" s="3" t="s">
        <v>6654</v>
      </c>
      <c r="J1541" s="9" t="s">
        <v>24</v>
      </c>
      <c r="L1541" s="9">
        <v>2</v>
      </c>
      <c r="M1541" s="9">
        <v>7</v>
      </c>
      <c r="O1541" s="9" t="s">
        <v>12073</v>
      </c>
      <c r="P1541" s="9" t="s">
        <v>12140</v>
      </c>
      <c r="Q1541" s="10" t="s">
        <v>12137</v>
      </c>
      <c r="S1541" s="9">
        <v>635</v>
      </c>
      <c r="U1541" s="9" t="str">
        <f t="shared" ca="1" si="62"/>
        <v/>
      </c>
      <c r="V1541" s="9" t="str">
        <f t="shared" ca="1" si="63"/>
        <v/>
      </c>
      <c r="AG1541" s="9" t="s">
        <v>19</v>
      </c>
    </row>
    <row r="1542" spans="1:33" ht="29">
      <c r="A1542" s="3" t="s">
        <v>1809</v>
      </c>
      <c r="D1542" s="3" t="s">
        <v>6655</v>
      </c>
      <c r="E1542" s="3" t="s">
        <v>6656</v>
      </c>
      <c r="J1542" s="9" t="s">
        <v>12118</v>
      </c>
      <c r="Q1542" s="10"/>
      <c r="R1542" s="9" t="s">
        <v>12074</v>
      </c>
      <c r="T1542" s="9" t="s">
        <v>12131</v>
      </c>
      <c r="U1542" s="9" t="str">
        <f t="shared" ca="1" si="62"/>
        <v/>
      </c>
      <c r="V1542" s="9" t="str">
        <f t="shared" ca="1" si="63"/>
        <v/>
      </c>
      <c r="AE1542" s="9" t="s">
        <v>12077</v>
      </c>
    </row>
    <row r="1543" spans="1:33" ht="29">
      <c r="A1543" s="3" t="s">
        <v>1809</v>
      </c>
      <c r="D1543" s="3" t="s">
        <v>6658</v>
      </c>
      <c r="E1543" s="3" t="s">
        <v>6659</v>
      </c>
      <c r="G1543" t="s">
        <v>19</v>
      </c>
      <c r="J1543" s="9" t="s">
        <v>12120</v>
      </c>
      <c r="Q1543" s="10"/>
      <c r="U1543" s="9" t="str">
        <f t="shared" ca="1" si="62"/>
        <v/>
      </c>
      <c r="V1543" s="9" t="str">
        <f t="shared" ca="1" si="63"/>
        <v/>
      </c>
      <c r="AE1543" s="9" t="s">
        <v>12089</v>
      </c>
    </row>
    <row r="1544" spans="1:33" ht="29">
      <c r="A1544" s="3" t="s">
        <v>1809</v>
      </c>
      <c r="D1544" s="3" t="s">
        <v>6657</v>
      </c>
      <c r="E1544" s="3" t="s">
        <v>6660</v>
      </c>
      <c r="J1544" s="9" t="s">
        <v>24</v>
      </c>
      <c r="L1544" s="9">
        <v>1</v>
      </c>
      <c r="M1544" s="9">
        <v>3</v>
      </c>
      <c r="N1544" s="9" t="s">
        <v>12078</v>
      </c>
      <c r="O1544" s="9" t="s">
        <v>12079</v>
      </c>
      <c r="Q1544" s="10"/>
      <c r="S1544" s="9">
        <v>11843</v>
      </c>
      <c r="U1544" s="9" t="str">
        <f t="shared" ca="1" si="62"/>
        <v/>
      </c>
      <c r="V1544" s="9" t="str">
        <f t="shared" ca="1" si="63"/>
        <v/>
      </c>
      <c r="AG1544" s="9" t="s">
        <v>19</v>
      </c>
    </row>
    <row r="1545" spans="1:33">
      <c r="A1545" s="3" t="s">
        <v>1810</v>
      </c>
      <c r="D1545" s="3" t="s">
        <v>6661</v>
      </c>
      <c r="E1545" s="3" t="s">
        <v>6662</v>
      </c>
      <c r="G1545" t="s">
        <v>19</v>
      </c>
      <c r="J1545" s="9" t="s">
        <v>12118</v>
      </c>
      <c r="Q1545" s="10"/>
      <c r="R1545" s="9" t="s">
        <v>12074</v>
      </c>
      <c r="T1545" s="9" t="s">
        <v>12119</v>
      </c>
      <c r="U1545" s="9" t="str">
        <f t="shared" ca="1" si="62"/>
        <v/>
      </c>
      <c r="V1545" s="9" t="str">
        <f t="shared" ca="1" si="63"/>
        <v/>
      </c>
      <c r="AE1545" s="9" t="s">
        <v>12086</v>
      </c>
    </row>
    <row r="1546" spans="1:33">
      <c r="A1546" s="3" t="s">
        <v>1811</v>
      </c>
      <c r="D1546" s="3" t="s">
        <v>6663</v>
      </c>
      <c r="E1546" s="3" t="s">
        <v>6664</v>
      </c>
      <c r="J1546" s="9" t="s">
        <v>25</v>
      </c>
      <c r="L1546" s="9">
        <v>1</v>
      </c>
      <c r="M1546" s="9">
        <v>1</v>
      </c>
      <c r="N1546" s="9" t="s">
        <v>12078</v>
      </c>
      <c r="O1546" s="9" t="s">
        <v>12119</v>
      </c>
      <c r="Q1546" s="10"/>
      <c r="S1546" s="9">
        <v>11843</v>
      </c>
      <c r="U1546" s="9" t="str">
        <f t="shared" ca="1" si="62"/>
        <v/>
      </c>
      <c r="V1546" s="9" t="str">
        <f t="shared" ca="1" si="63"/>
        <v/>
      </c>
      <c r="AG1546" s="9" t="s">
        <v>19</v>
      </c>
    </row>
    <row r="1547" spans="1:33">
      <c r="A1547" s="3" t="s">
        <v>1812</v>
      </c>
      <c r="D1547" s="3" t="s">
        <v>6665</v>
      </c>
      <c r="E1547" s="5" t="s">
        <v>6666</v>
      </c>
      <c r="F1547" t="s">
        <v>16</v>
      </c>
      <c r="G1547" t="s">
        <v>19</v>
      </c>
      <c r="I1547" t="s">
        <v>6667</v>
      </c>
      <c r="Q1547" s="10"/>
      <c r="U1547" s="9" t="str">
        <f t="shared" ref="U1547:U1610" ca="1" si="66">IF(ISNUMBER(T1547),VALUE(MID(_xlfn.FORMULATEXT(T1547),SEARCH("-",_xlfn.FORMULATEXT(T1547))+1,LEN(_xlfn.FORMULATEXT(T1547))-SEARCH("-",_xlfn.FORMULATEXT(T1547)))), "")</f>
        <v/>
      </c>
      <c r="V1547" s="9" t="str">
        <f t="shared" ref="V1547:V1610" ca="1" si="67">IF(ISNUMBER(T1547), VALUE(MID(_xlfn.FORMULATEXT(T1547), 2, SEARCH("-", _xlfn.FORMULATEXT(T1547)) - 2)), "")</f>
        <v/>
      </c>
    </row>
    <row r="1548" spans="1:33">
      <c r="A1548" s="3" t="s">
        <v>1813</v>
      </c>
      <c r="D1548" s="3" t="s">
        <v>1814</v>
      </c>
      <c r="E1548" s="3" t="s">
        <v>946</v>
      </c>
      <c r="J1548" s="9" t="s">
        <v>12121</v>
      </c>
      <c r="Q1548" s="10"/>
      <c r="T1548" s="9">
        <f>10-2</f>
        <v>8</v>
      </c>
      <c r="U1548" s="9">
        <f t="shared" ca="1" si="66"/>
        <v>2</v>
      </c>
      <c r="V1548" s="9">
        <f t="shared" ca="1" si="67"/>
        <v>10</v>
      </c>
      <c r="AE1548" s="9" t="s">
        <v>12089</v>
      </c>
    </row>
    <row r="1549" spans="1:33">
      <c r="A1549" s="3" t="s">
        <v>1815</v>
      </c>
      <c r="D1549" s="6" t="s">
        <v>6669</v>
      </c>
      <c r="E1549" s="3" t="s">
        <v>6668</v>
      </c>
      <c r="F1549" t="s">
        <v>4774</v>
      </c>
      <c r="G1549" t="s">
        <v>19</v>
      </c>
      <c r="I1549" t="s">
        <v>6670</v>
      </c>
      <c r="J1549" s="9" t="s">
        <v>12118</v>
      </c>
      <c r="Q1549" s="10"/>
      <c r="T1549" s="9">
        <f>11-301</f>
        <v>-290</v>
      </c>
      <c r="U1549" s="9">
        <f t="shared" ca="1" si="66"/>
        <v>301</v>
      </c>
      <c r="V1549" s="9">
        <f t="shared" ca="1" si="67"/>
        <v>11</v>
      </c>
      <c r="AE1549" s="9" t="s">
        <v>12089</v>
      </c>
    </row>
    <row r="1550" spans="1:33" ht="29">
      <c r="A1550" s="3" t="s">
        <v>1816</v>
      </c>
      <c r="D1550" s="3" t="s">
        <v>6672</v>
      </c>
      <c r="E1550" s="3" t="s">
        <v>6671</v>
      </c>
      <c r="J1550" s="9" t="s">
        <v>12120</v>
      </c>
      <c r="Q1550" s="10"/>
      <c r="U1550" s="9" t="str">
        <f t="shared" ca="1" si="66"/>
        <v/>
      </c>
      <c r="V1550" s="9" t="str">
        <f t="shared" ca="1" si="67"/>
        <v/>
      </c>
      <c r="AE1550" s="9" t="s">
        <v>12089</v>
      </c>
    </row>
    <row r="1551" spans="1:33">
      <c r="A1551" s="3" t="s">
        <v>1817</v>
      </c>
      <c r="D1551" s="3" t="s">
        <v>1187</v>
      </c>
      <c r="E1551" s="3" t="s">
        <v>1188</v>
      </c>
      <c r="J1551" s="9" t="s">
        <v>12118</v>
      </c>
      <c r="Q1551" s="10"/>
      <c r="T1551" s="9" t="s">
        <v>12131</v>
      </c>
      <c r="U1551" s="9" t="str">
        <f t="shared" ca="1" si="66"/>
        <v/>
      </c>
      <c r="V1551" s="9" t="str">
        <f t="shared" ca="1" si="67"/>
        <v/>
      </c>
      <c r="AC1551" s="9" t="s">
        <v>12130</v>
      </c>
      <c r="AD1551" s="9" t="s">
        <v>19</v>
      </c>
      <c r="AE1551" s="9" t="s">
        <v>12086</v>
      </c>
    </row>
    <row r="1552" spans="1:33">
      <c r="A1552" s="3" t="s">
        <v>1817</v>
      </c>
      <c r="D1552" s="3" t="s">
        <v>1818</v>
      </c>
      <c r="E1552" s="3" t="s">
        <v>1819</v>
      </c>
      <c r="J1552" s="9" t="s">
        <v>12120</v>
      </c>
      <c r="Q1552" s="10"/>
      <c r="U1552" s="9" t="str">
        <f t="shared" ca="1" si="66"/>
        <v/>
      </c>
      <c r="V1552" s="9" t="str">
        <f t="shared" ca="1" si="67"/>
        <v/>
      </c>
      <c r="AG1552" s="9" t="s">
        <v>19</v>
      </c>
    </row>
    <row r="1553" spans="1:33" ht="29">
      <c r="A1553" s="3" t="s">
        <v>1820</v>
      </c>
      <c r="D1553" s="3" t="s">
        <v>6674</v>
      </c>
      <c r="E1553" s="3" t="s">
        <v>6673</v>
      </c>
      <c r="J1553" s="9" t="s">
        <v>25</v>
      </c>
      <c r="L1553" s="9">
        <v>1</v>
      </c>
      <c r="M1553" s="9">
        <v>2</v>
      </c>
      <c r="N1553" s="9" t="s">
        <v>12078</v>
      </c>
      <c r="O1553" s="9" t="s">
        <v>12119</v>
      </c>
      <c r="Q1553" s="10"/>
      <c r="S1553" s="9">
        <v>11843</v>
      </c>
      <c r="U1553" s="9" t="str">
        <f t="shared" ca="1" si="66"/>
        <v/>
      </c>
      <c r="V1553" s="9" t="str">
        <f t="shared" ca="1" si="67"/>
        <v/>
      </c>
      <c r="AG1553" s="9" t="s">
        <v>13141</v>
      </c>
    </row>
    <row r="1554" spans="1:33" ht="29">
      <c r="A1554" s="3" t="s">
        <v>1820</v>
      </c>
      <c r="D1554" s="3" t="s">
        <v>6675</v>
      </c>
      <c r="E1554" s="3" t="s">
        <v>6676</v>
      </c>
      <c r="G1554" t="s">
        <v>19</v>
      </c>
      <c r="J1554" s="9" t="s">
        <v>12120</v>
      </c>
      <c r="Q1554" s="10"/>
      <c r="U1554" s="9" t="str">
        <f t="shared" ca="1" si="66"/>
        <v/>
      </c>
      <c r="V1554" s="9" t="str">
        <f t="shared" ca="1" si="67"/>
        <v/>
      </c>
      <c r="AC1554" s="9" t="s">
        <v>12134</v>
      </c>
      <c r="AD1554" s="9" t="s">
        <v>19</v>
      </c>
    </row>
    <row r="1555" spans="1:33">
      <c r="A1555" s="3" t="s">
        <v>1821</v>
      </c>
      <c r="D1555" s="3" t="s">
        <v>6677</v>
      </c>
      <c r="E1555" s="3" t="s">
        <v>6678</v>
      </c>
      <c r="G1555" t="s">
        <v>19</v>
      </c>
      <c r="J1555" s="9" t="s">
        <v>12120</v>
      </c>
      <c r="Q1555" s="10"/>
      <c r="U1555" s="9" t="str">
        <f t="shared" ca="1" si="66"/>
        <v/>
      </c>
      <c r="V1555" s="9" t="str">
        <f t="shared" ca="1" si="67"/>
        <v/>
      </c>
    </row>
    <row r="1556" spans="1:33" ht="43.5">
      <c r="A1556" s="3" t="s">
        <v>1822</v>
      </c>
      <c r="D1556" s="3" t="s">
        <v>6680</v>
      </c>
      <c r="E1556" s="3" t="s">
        <v>6679</v>
      </c>
      <c r="J1556" s="9" t="s">
        <v>25</v>
      </c>
      <c r="L1556" s="9">
        <v>1</v>
      </c>
      <c r="M1556" s="9">
        <v>3</v>
      </c>
      <c r="N1556" s="9" t="s">
        <v>12087</v>
      </c>
      <c r="O1556" s="9" t="s">
        <v>12079</v>
      </c>
      <c r="Q1556" s="10"/>
      <c r="S1556" s="9">
        <v>5676</v>
      </c>
      <c r="U1556" s="9" t="str">
        <f t="shared" ca="1" si="66"/>
        <v/>
      </c>
      <c r="V1556" s="9" t="str">
        <f t="shared" ca="1" si="67"/>
        <v/>
      </c>
      <c r="AG1556" s="9" t="s">
        <v>19</v>
      </c>
    </row>
    <row r="1557" spans="1:33" ht="43.5">
      <c r="A1557" s="3" t="s">
        <v>1822</v>
      </c>
      <c r="D1557" s="3" t="s">
        <v>6681</v>
      </c>
      <c r="E1557" s="3" t="s">
        <v>6682</v>
      </c>
      <c r="I1557" t="s">
        <v>12141</v>
      </c>
      <c r="J1557" s="9" t="s">
        <v>26</v>
      </c>
      <c r="Q1557" s="10"/>
      <c r="U1557" s="9" t="str">
        <f t="shared" ca="1" si="66"/>
        <v/>
      </c>
      <c r="V1557" s="9" t="str">
        <f t="shared" ca="1" si="67"/>
        <v/>
      </c>
      <c r="AG1557" s="9" t="s">
        <v>20</v>
      </c>
    </row>
    <row r="1558" spans="1:33" ht="43.5">
      <c r="A1558" s="3" t="s">
        <v>1822</v>
      </c>
      <c r="D1558" s="3" t="s">
        <v>6683</v>
      </c>
      <c r="E1558" s="3" t="s">
        <v>6684</v>
      </c>
      <c r="J1558" s="9" t="s">
        <v>12120</v>
      </c>
      <c r="Q1558" s="10"/>
      <c r="U1558" s="9" t="str">
        <f t="shared" ca="1" si="66"/>
        <v/>
      </c>
      <c r="V1558" s="9" t="str">
        <f t="shared" ca="1" si="67"/>
        <v/>
      </c>
      <c r="AG1558" s="9" t="s">
        <v>19</v>
      </c>
    </row>
    <row r="1559" spans="1:33">
      <c r="A1559" s="3" t="s">
        <v>1824</v>
      </c>
      <c r="D1559" s="3" t="s">
        <v>1825</v>
      </c>
      <c r="E1559" s="3" t="s">
        <v>1826</v>
      </c>
      <c r="J1559" s="9" t="s">
        <v>12120</v>
      </c>
      <c r="Q1559" s="10"/>
      <c r="U1559" s="9" t="str">
        <f t="shared" ca="1" si="66"/>
        <v/>
      </c>
      <c r="V1559" s="9" t="str">
        <f t="shared" ca="1" si="67"/>
        <v/>
      </c>
      <c r="AC1559" s="9" t="s">
        <v>12153</v>
      </c>
      <c r="AD1559" s="9" t="s">
        <v>19</v>
      </c>
    </row>
    <row r="1560" spans="1:33" ht="29">
      <c r="A1560" s="3" t="s">
        <v>1827</v>
      </c>
      <c r="D1560" s="3" t="s">
        <v>6685</v>
      </c>
      <c r="E1560" s="3" t="s">
        <v>6686</v>
      </c>
      <c r="I1560" t="s">
        <v>13112</v>
      </c>
      <c r="J1560" s="9" t="s">
        <v>24</v>
      </c>
      <c r="L1560" s="9">
        <v>2</v>
      </c>
      <c r="M1560" s="9">
        <v>7</v>
      </c>
      <c r="O1560" s="9" t="s">
        <v>12073</v>
      </c>
      <c r="P1560" s="9" t="s">
        <v>12154</v>
      </c>
      <c r="Q1560" s="10" t="s">
        <v>12300</v>
      </c>
      <c r="S1560" s="9">
        <v>0</v>
      </c>
      <c r="U1560" s="9" t="str">
        <f t="shared" ca="1" si="66"/>
        <v/>
      </c>
      <c r="V1560" s="9" t="str">
        <f t="shared" ca="1" si="67"/>
        <v/>
      </c>
      <c r="AE1560" s="9" t="s">
        <v>12083</v>
      </c>
    </row>
    <row r="1561" spans="1:33">
      <c r="A1561" s="3" t="s">
        <v>1828</v>
      </c>
      <c r="D1561" s="3" t="s">
        <v>6687</v>
      </c>
      <c r="E1561" s="3" t="s">
        <v>6688</v>
      </c>
      <c r="J1561" s="9" t="s">
        <v>12120</v>
      </c>
      <c r="Q1561" s="10"/>
      <c r="U1561" s="9" t="str">
        <f t="shared" ca="1" si="66"/>
        <v/>
      </c>
      <c r="V1561" s="9" t="str">
        <f t="shared" ca="1" si="67"/>
        <v/>
      </c>
      <c r="AG1561" s="9" t="s">
        <v>20</v>
      </c>
    </row>
    <row r="1562" spans="1:33">
      <c r="A1562" s="3" t="s">
        <v>1828</v>
      </c>
      <c r="D1562" s="3" t="s">
        <v>6689</v>
      </c>
      <c r="E1562" s="3" t="s">
        <v>6690</v>
      </c>
      <c r="J1562" s="9" t="s">
        <v>12120</v>
      </c>
      <c r="Q1562" s="10"/>
      <c r="U1562" s="9" t="str">
        <f t="shared" ca="1" si="66"/>
        <v/>
      </c>
      <c r="V1562" s="9" t="str">
        <f t="shared" ca="1" si="67"/>
        <v/>
      </c>
      <c r="AG1562" s="9" t="s">
        <v>19</v>
      </c>
    </row>
    <row r="1563" spans="1:33">
      <c r="A1563" s="3" t="s">
        <v>1829</v>
      </c>
      <c r="D1563" s="3" t="s">
        <v>6691</v>
      </c>
      <c r="E1563" s="3" t="s">
        <v>6691</v>
      </c>
      <c r="G1563" t="s">
        <v>20</v>
      </c>
      <c r="I1563" t="s">
        <v>6692</v>
      </c>
      <c r="Q1563" s="10"/>
      <c r="U1563" s="9" t="str">
        <f t="shared" ca="1" si="66"/>
        <v/>
      </c>
      <c r="V1563" s="9" t="str">
        <f t="shared" ca="1" si="67"/>
        <v/>
      </c>
    </row>
    <row r="1564" spans="1:33">
      <c r="A1564" s="3" t="s">
        <v>1829</v>
      </c>
      <c r="D1564" s="3" t="s">
        <v>6693</v>
      </c>
      <c r="E1564" s="3" t="s">
        <v>6694</v>
      </c>
      <c r="G1564" t="s">
        <v>19</v>
      </c>
      <c r="J1564" s="9" t="s">
        <v>12118</v>
      </c>
      <c r="Q1564" s="10"/>
      <c r="T1564" s="9">
        <f>1496-1741</f>
        <v>-245</v>
      </c>
      <c r="U1564" s="9">
        <f t="shared" ca="1" si="66"/>
        <v>1741</v>
      </c>
      <c r="V1564" s="9">
        <f t="shared" ca="1" si="67"/>
        <v>1496</v>
      </c>
    </row>
    <row r="1565" spans="1:33">
      <c r="A1565" s="3" t="s">
        <v>1830</v>
      </c>
      <c r="D1565" s="3" t="s">
        <v>6695</v>
      </c>
      <c r="E1565" s="3" t="s">
        <v>6696</v>
      </c>
      <c r="J1565" s="9" t="s">
        <v>12120</v>
      </c>
      <c r="Q1565" s="10"/>
      <c r="U1565" s="9" t="str">
        <f t="shared" ca="1" si="66"/>
        <v/>
      </c>
      <c r="V1565" s="9" t="str">
        <f t="shared" ca="1" si="67"/>
        <v/>
      </c>
      <c r="AG1565" s="9" t="s">
        <v>20</v>
      </c>
    </row>
    <row r="1566" spans="1:33">
      <c r="A1566" s="3" t="s">
        <v>1831</v>
      </c>
      <c r="D1566" s="3" t="s">
        <v>6697</v>
      </c>
      <c r="E1566" s="11" t="s">
        <v>6698</v>
      </c>
      <c r="J1566" s="9" t="s">
        <v>25</v>
      </c>
      <c r="L1566" s="9">
        <v>1</v>
      </c>
      <c r="M1566" s="9">
        <v>1</v>
      </c>
      <c r="N1566" s="9" t="s">
        <v>12078</v>
      </c>
      <c r="O1566" s="9" t="s">
        <v>12119</v>
      </c>
      <c r="Q1566" s="10"/>
      <c r="S1566" s="9">
        <v>11843</v>
      </c>
      <c r="U1566" s="9" t="str">
        <f t="shared" ca="1" si="66"/>
        <v/>
      </c>
      <c r="V1566" s="9" t="str">
        <f t="shared" ca="1" si="67"/>
        <v/>
      </c>
      <c r="AG1566" s="9" t="s">
        <v>20</v>
      </c>
    </row>
    <row r="1567" spans="1:33">
      <c r="A1567" s="3" t="s">
        <v>1831</v>
      </c>
      <c r="D1567" s="3" t="s">
        <v>6700</v>
      </c>
      <c r="E1567" s="3" t="s">
        <v>6701</v>
      </c>
      <c r="J1567" s="9" t="s">
        <v>12120</v>
      </c>
      <c r="Q1567" s="10"/>
      <c r="U1567" s="9" t="str">
        <f t="shared" ca="1" si="66"/>
        <v/>
      </c>
      <c r="V1567" s="9" t="str">
        <f t="shared" ca="1" si="67"/>
        <v/>
      </c>
      <c r="AE1567" s="9" t="s">
        <v>12089</v>
      </c>
    </row>
    <row r="1568" spans="1:33" ht="43.5">
      <c r="A1568" s="3" t="s">
        <v>1831</v>
      </c>
      <c r="D1568" s="3" t="s">
        <v>6703</v>
      </c>
      <c r="E1568" s="3" t="s">
        <v>6704</v>
      </c>
      <c r="I1568" t="s">
        <v>12664</v>
      </c>
      <c r="J1568" s="9" t="s">
        <v>12118</v>
      </c>
      <c r="Q1568" s="10"/>
      <c r="T1568" s="9">
        <f>1294-1101</f>
        <v>193</v>
      </c>
      <c r="U1568" s="9">
        <f t="shared" ca="1" si="66"/>
        <v>1101</v>
      </c>
      <c r="V1568" s="9">
        <f t="shared" ca="1" si="67"/>
        <v>1294</v>
      </c>
      <c r="W1568" s="9" t="s">
        <v>4</v>
      </c>
      <c r="AG1568" s="9" t="s">
        <v>19</v>
      </c>
    </row>
    <row r="1569" spans="1:33" ht="43.5">
      <c r="A1569" s="3" t="s">
        <v>1831</v>
      </c>
      <c r="D1569" s="3" t="s">
        <v>6705</v>
      </c>
      <c r="E1569" s="5" t="s">
        <v>6702</v>
      </c>
      <c r="F1569" t="s">
        <v>16</v>
      </c>
      <c r="I1569" t="s">
        <v>12665</v>
      </c>
      <c r="J1569" s="9" t="s">
        <v>25</v>
      </c>
      <c r="L1569" s="9">
        <v>1</v>
      </c>
      <c r="M1569" s="9">
        <v>5</v>
      </c>
      <c r="N1569" s="9" t="s">
        <v>12094</v>
      </c>
      <c r="O1569" s="9" t="s">
        <v>12079</v>
      </c>
      <c r="Q1569" s="10"/>
      <c r="S1569" s="9">
        <v>930</v>
      </c>
      <c r="U1569" s="9" t="str">
        <f t="shared" ca="1" si="66"/>
        <v/>
      </c>
      <c r="V1569" s="9" t="str">
        <f t="shared" ca="1" si="67"/>
        <v/>
      </c>
      <c r="W1569" s="9" t="s">
        <v>12117</v>
      </c>
    </row>
    <row r="1570" spans="1:33">
      <c r="A1570" s="3" t="s">
        <v>1832</v>
      </c>
      <c r="D1570" s="3" t="s">
        <v>1833</v>
      </c>
      <c r="E1570" s="3" t="s">
        <v>898</v>
      </c>
      <c r="J1570" s="9" t="s">
        <v>12118</v>
      </c>
      <c r="Q1570" s="10"/>
      <c r="T1570" s="9" t="s">
        <v>12131</v>
      </c>
      <c r="U1570" s="9" t="str">
        <f t="shared" ca="1" si="66"/>
        <v/>
      </c>
      <c r="V1570" s="9" t="str">
        <f t="shared" ca="1" si="67"/>
        <v/>
      </c>
      <c r="AC1570" s="9" t="s">
        <v>12744</v>
      </c>
      <c r="AD1570" s="9" t="s">
        <v>19</v>
      </c>
      <c r="AE1570" s="9" t="s">
        <v>12086</v>
      </c>
    </row>
    <row r="1571" spans="1:33" ht="29">
      <c r="A1571" s="3" t="s">
        <v>1834</v>
      </c>
      <c r="D1571" s="3" t="s">
        <v>6706</v>
      </c>
      <c r="E1571" s="3" t="s">
        <v>6707</v>
      </c>
      <c r="J1571" s="9" t="s">
        <v>25</v>
      </c>
      <c r="L1571" s="9">
        <v>2</v>
      </c>
      <c r="M1571" s="9">
        <v>9</v>
      </c>
      <c r="O1571" s="9" t="s">
        <v>12073</v>
      </c>
      <c r="P1571" s="9" t="s">
        <v>12140</v>
      </c>
      <c r="Q1571" s="10" t="s">
        <v>12136</v>
      </c>
      <c r="S1571" s="9">
        <v>508</v>
      </c>
      <c r="U1571" s="9" t="str">
        <f t="shared" ca="1" si="66"/>
        <v/>
      </c>
      <c r="V1571" s="9" t="str">
        <f t="shared" ca="1" si="67"/>
        <v/>
      </c>
      <c r="AG1571" s="9" t="s">
        <v>19</v>
      </c>
    </row>
    <row r="1572" spans="1:33">
      <c r="A1572" s="3" t="s">
        <v>1835</v>
      </c>
      <c r="D1572" s="3" t="s">
        <v>6708</v>
      </c>
      <c r="E1572" s="3" t="s">
        <v>1836</v>
      </c>
      <c r="J1572" s="9" t="s">
        <v>12120</v>
      </c>
      <c r="Q1572" s="10"/>
      <c r="U1572" s="9" t="str">
        <f t="shared" ca="1" si="66"/>
        <v/>
      </c>
      <c r="V1572" s="9" t="str">
        <f t="shared" ca="1" si="67"/>
        <v/>
      </c>
      <c r="AB1572" s="9" t="s">
        <v>12737</v>
      </c>
      <c r="AD1572" s="9" t="s">
        <v>19</v>
      </c>
    </row>
    <row r="1573" spans="1:33">
      <c r="A1573" s="3" t="s">
        <v>1837</v>
      </c>
      <c r="D1573" s="3" t="s">
        <v>1838</v>
      </c>
      <c r="E1573" s="3" t="s">
        <v>1839</v>
      </c>
      <c r="J1573" s="9" t="s">
        <v>12120</v>
      </c>
      <c r="Q1573" s="10"/>
      <c r="U1573" s="9" t="str">
        <f t="shared" ca="1" si="66"/>
        <v/>
      </c>
      <c r="V1573" s="9" t="str">
        <f t="shared" ca="1" si="67"/>
        <v/>
      </c>
      <c r="AC1573" s="9" t="s">
        <v>12740</v>
      </c>
      <c r="AD1573" s="9" t="s">
        <v>19</v>
      </c>
    </row>
    <row r="1574" spans="1:33">
      <c r="A1574" s="3" t="s">
        <v>1841</v>
      </c>
      <c r="D1574" s="3" t="s">
        <v>6709</v>
      </c>
      <c r="E1574" s="3" t="s">
        <v>6710</v>
      </c>
      <c r="J1574" s="9" t="s">
        <v>12120</v>
      </c>
      <c r="Q1574" s="10"/>
      <c r="U1574" s="9" t="str">
        <f t="shared" ca="1" si="66"/>
        <v/>
      </c>
      <c r="V1574" s="9" t="str">
        <f t="shared" ca="1" si="67"/>
        <v/>
      </c>
      <c r="AB1574" s="9" t="s">
        <v>12737</v>
      </c>
      <c r="AD1574" s="9" t="s">
        <v>19</v>
      </c>
    </row>
    <row r="1575" spans="1:33" ht="43.5">
      <c r="A1575" s="3" t="s">
        <v>1841</v>
      </c>
      <c r="D1575" s="3" t="s">
        <v>6713</v>
      </c>
      <c r="E1575" s="3" t="s">
        <v>6712</v>
      </c>
      <c r="J1575" s="9" t="s">
        <v>25</v>
      </c>
      <c r="L1575" s="9">
        <v>1</v>
      </c>
      <c r="M1575" s="9">
        <v>2</v>
      </c>
      <c r="N1575" s="9" t="s">
        <v>12087</v>
      </c>
      <c r="O1575" s="9" t="s">
        <v>12119</v>
      </c>
      <c r="Q1575" s="10"/>
      <c r="S1575" s="9">
        <v>227</v>
      </c>
      <c r="U1575" s="9" t="str">
        <f t="shared" ca="1" si="66"/>
        <v/>
      </c>
      <c r="V1575" s="9" t="str">
        <f t="shared" ca="1" si="67"/>
        <v/>
      </c>
      <c r="AG1575" s="9" t="s">
        <v>13141</v>
      </c>
    </row>
    <row r="1576" spans="1:33" ht="43.5">
      <c r="A1576" s="3" t="s">
        <v>1841</v>
      </c>
      <c r="D1576" s="3" t="s">
        <v>6714</v>
      </c>
      <c r="E1576" s="3" t="s">
        <v>6712</v>
      </c>
      <c r="J1576" s="9" t="s">
        <v>25</v>
      </c>
      <c r="L1576" s="9">
        <v>1</v>
      </c>
      <c r="M1576" s="9">
        <v>4</v>
      </c>
      <c r="N1576" s="9" t="s">
        <v>12094</v>
      </c>
      <c r="O1576" s="9" t="s">
        <v>12079</v>
      </c>
      <c r="Q1576" s="10"/>
      <c r="U1576" s="9" t="str">
        <f t="shared" ca="1" si="66"/>
        <v/>
      </c>
      <c r="V1576" s="9" t="str">
        <f t="shared" ca="1" si="67"/>
        <v/>
      </c>
      <c r="AG1576" s="9" t="s">
        <v>19</v>
      </c>
    </row>
    <row r="1577" spans="1:33" ht="43.5">
      <c r="A1577" s="3" t="s">
        <v>1841</v>
      </c>
      <c r="D1577" s="3" t="s">
        <v>6715</v>
      </c>
      <c r="E1577" s="3" t="s">
        <v>6716</v>
      </c>
      <c r="I1577" t="s">
        <v>5457</v>
      </c>
      <c r="J1577" s="9" t="s">
        <v>26</v>
      </c>
      <c r="Q1577" s="10"/>
      <c r="U1577" s="9" t="str">
        <f t="shared" ca="1" si="66"/>
        <v/>
      </c>
      <c r="V1577" s="9" t="str">
        <f t="shared" ca="1" si="67"/>
        <v/>
      </c>
      <c r="AG1577" s="9" t="s">
        <v>20</v>
      </c>
    </row>
    <row r="1578" spans="1:33" ht="43.5">
      <c r="A1578" s="3" t="s">
        <v>1841</v>
      </c>
      <c r="D1578" s="3" t="s">
        <v>6717</v>
      </c>
      <c r="E1578" s="3" t="s">
        <v>6718</v>
      </c>
      <c r="J1578" s="9" t="s">
        <v>12118</v>
      </c>
      <c r="Q1578" s="10"/>
      <c r="T1578" s="9" t="s">
        <v>12119</v>
      </c>
      <c r="U1578" s="9" t="str">
        <f t="shared" ca="1" si="66"/>
        <v/>
      </c>
      <c r="V1578" s="9" t="str">
        <f t="shared" ca="1" si="67"/>
        <v/>
      </c>
      <c r="AC1578" s="9" t="s">
        <v>12188</v>
      </c>
      <c r="AD1578" s="9" t="s">
        <v>19</v>
      </c>
      <c r="AE1578" s="9" t="s">
        <v>12086</v>
      </c>
    </row>
    <row r="1579" spans="1:33" ht="58">
      <c r="A1579" s="3" t="s">
        <v>1841</v>
      </c>
      <c r="D1579" s="3" t="s">
        <v>6711</v>
      </c>
      <c r="E1579" s="3" t="s">
        <v>6719</v>
      </c>
      <c r="J1579" s="9" t="s">
        <v>24</v>
      </c>
      <c r="L1579" s="9">
        <v>1</v>
      </c>
      <c r="M1579" s="9">
        <v>8</v>
      </c>
      <c r="N1579" s="9" t="s">
        <v>12092</v>
      </c>
      <c r="O1579" s="9" t="s">
        <v>12073</v>
      </c>
      <c r="P1579" s="9" t="s">
        <v>12142</v>
      </c>
      <c r="Q1579" s="10" t="s">
        <v>12160</v>
      </c>
      <c r="S1579" s="9">
        <v>28</v>
      </c>
      <c r="U1579" s="9" t="str">
        <f t="shared" ca="1" si="66"/>
        <v/>
      </c>
      <c r="V1579" s="9" t="str">
        <f t="shared" ca="1" si="67"/>
        <v/>
      </c>
      <c r="AG1579" s="9" t="s">
        <v>20</v>
      </c>
    </row>
    <row r="1580" spans="1:33" ht="29">
      <c r="A1580" s="3" t="s">
        <v>1842</v>
      </c>
      <c r="D1580" s="3" t="s">
        <v>6720</v>
      </c>
      <c r="E1580" s="5" t="s">
        <v>6721</v>
      </c>
      <c r="F1580" t="s">
        <v>32</v>
      </c>
      <c r="I1580" t="s">
        <v>6722</v>
      </c>
      <c r="J1580" s="9" t="s">
        <v>12118</v>
      </c>
      <c r="L1580" s="9">
        <v>1</v>
      </c>
      <c r="M1580" s="9">
        <v>2</v>
      </c>
      <c r="N1580" s="9" t="s">
        <v>12087</v>
      </c>
      <c r="O1580" s="9" t="s">
        <v>12119</v>
      </c>
      <c r="Q1580" s="10"/>
      <c r="T1580" s="9">
        <f>1966-5676</f>
        <v>-3710</v>
      </c>
      <c r="U1580" s="9">
        <f t="shared" ca="1" si="66"/>
        <v>5676</v>
      </c>
      <c r="V1580" s="9">
        <f t="shared" ca="1" si="67"/>
        <v>1966</v>
      </c>
      <c r="AG1580" s="9" t="s">
        <v>19</v>
      </c>
    </row>
    <row r="1581" spans="1:33" ht="29">
      <c r="A1581" s="3" t="s">
        <v>1842</v>
      </c>
      <c r="D1581" s="3" t="s">
        <v>6724</v>
      </c>
      <c r="E1581" s="3" t="s">
        <v>6723</v>
      </c>
      <c r="H1581" t="s">
        <v>19</v>
      </c>
      <c r="J1581" s="9" t="s">
        <v>25</v>
      </c>
      <c r="L1581" s="9">
        <v>1</v>
      </c>
      <c r="M1581" s="9">
        <v>3</v>
      </c>
      <c r="N1581" s="9" t="s">
        <v>12078</v>
      </c>
      <c r="O1581" s="9" t="s">
        <v>12079</v>
      </c>
      <c r="Q1581" s="10"/>
      <c r="S1581" s="9">
        <v>11843</v>
      </c>
      <c r="U1581" s="9" t="str">
        <f t="shared" ca="1" si="66"/>
        <v/>
      </c>
      <c r="V1581" s="9" t="str">
        <f t="shared" ca="1" si="67"/>
        <v/>
      </c>
      <c r="AG1581" s="9" t="s">
        <v>19</v>
      </c>
    </row>
    <row r="1582" spans="1:33" ht="29">
      <c r="A1582" s="3" t="s">
        <v>1842</v>
      </c>
      <c r="D1582" s="3" t="s">
        <v>6725</v>
      </c>
      <c r="E1582" s="3" t="s">
        <v>6723</v>
      </c>
      <c r="H1582" t="s">
        <v>19</v>
      </c>
      <c r="J1582" s="9" t="s">
        <v>25</v>
      </c>
      <c r="L1582" s="9">
        <v>1</v>
      </c>
      <c r="M1582" s="9">
        <v>2</v>
      </c>
      <c r="N1582" s="9" t="s">
        <v>12078</v>
      </c>
      <c r="O1582" s="9" t="s">
        <v>12119</v>
      </c>
      <c r="Q1582" s="10"/>
      <c r="S1582" s="9">
        <v>11843</v>
      </c>
      <c r="U1582" s="9" t="str">
        <f t="shared" ca="1" si="66"/>
        <v/>
      </c>
      <c r="V1582" s="9" t="str">
        <f t="shared" ca="1" si="67"/>
        <v/>
      </c>
      <c r="AG1582" s="9" t="s">
        <v>19</v>
      </c>
    </row>
    <row r="1583" spans="1:33">
      <c r="A1583" s="3" t="s">
        <v>1842</v>
      </c>
      <c r="D1583" s="3" t="s">
        <v>6726</v>
      </c>
      <c r="E1583" s="3" t="s">
        <v>6727</v>
      </c>
      <c r="G1583" t="s">
        <v>20</v>
      </c>
      <c r="I1583" t="s">
        <v>12301</v>
      </c>
      <c r="J1583" s="9" t="s">
        <v>12120</v>
      </c>
      <c r="Q1583" s="10"/>
      <c r="U1583" s="9" t="str">
        <f t="shared" ca="1" si="66"/>
        <v/>
      </c>
      <c r="V1583" s="9" t="str">
        <f t="shared" ca="1" si="67"/>
        <v/>
      </c>
      <c r="AG1583" s="9" t="s">
        <v>19</v>
      </c>
    </row>
    <row r="1584" spans="1:33" ht="29">
      <c r="A1584" s="3" t="s">
        <v>1843</v>
      </c>
      <c r="D1584" s="3" t="s">
        <v>6729</v>
      </c>
      <c r="E1584" s="3" t="s">
        <v>6728</v>
      </c>
      <c r="I1584" t="s">
        <v>12302</v>
      </c>
      <c r="J1584" s="9" t="s">
        <v>26</v>
      </c>
      <c r="Q1584" s="10"/>
      <c r="U1584" s="9" t="str">
        <f t="shared" ca="1" si="66"/>
        <v/>
      </c>
      <c r="V1584" s="9" t="str">
        <f t="shared" ca="1" si="67"/>
        <v/>
      </c>
      <c r="AG1584" s="9" t="s">
        <v>20</v>
      </c>
    </row>
    <row r="1585" spans="1:33">
      <c r="A1585" s="3" t="s">
        <v>1844</v>
      </c>
      <c r="D1585" s="3" t="s">
        <v>6730</v>
      </c>
      <c r="E1585" s="3" t="s">
        <v>6731</v>
      </c>
      <c r="J1585" s="9" t="s">
        <v>12120</v>
      </c>
      <c r="Q1585" s="10"/>
      <c r="U1585" s="9" t="str">
        <f t="shared" ca="1" si="66"/>
        <v/>
      </c>
      <c r="V1585" s="9" t="str">
        <f t="shared" ca="1" si="67"/>
        <v/>
      </c>
      <c r="AB1585" s="9" t="s">
        <v>12082</v>
      </c>
      <c r="AD1585" s="9" t="s">
        <v>19</v>
      </c>
    </row>
    <row r="1586" spans="1:33" ht="43.5">
      <c r="A1586" s="3" t="s">
        <v>1844</v>
      </c>
      <c r="D1586" s="3" t="s">
        <v>6732</v>
      </c>
      <c r="E1586" s="3" t="s">
        <v>6733</v>
      </c>
      <c r="J1586" s="9" t="s">
        <v>24</v>
      </c>
      <c r="L1586" s="9">
        <v>2</v>
      </c>
      <c r="M1586" s="9">
        <v>7</v>
      </c>
      <c r="O1586" s="9" t="s">
        <v>12079</v>
      </c>
      <c r="Q1586" s="10"/>
      <c r="S1586" s="9">
        <v>28</v>
      </c>
      <c r="U1586" s="9" t="str">
        <f t="shared" ca="1" si="66"/>
        <v/>
      </c>
      <c r="V1586" s="9" t="str">
        <f t="shared" ca="1" si="67"/>
        <v/>
      </c>
      <c r="AG1586" s="9" t="s">
        <v>19</v>
      </c>
    </row>
    <row r="1587" spans="1:33" ht="43.5">
      <c r="A1587" s="3" t="s">
        <v>1844</v>
      </c>
      <c r="D1587" s="3" t="s">
        <v>6732</v>
      </c>
      <c r="E1587" s="3" t="s">
        <v>6734</v>
      </c>
      <c r="J1587" s="9" t="s">
        <v>24</v>
      </c>
      <c r="L1587" s="9">
        <v>2</v>
      </c>
      <c r="M1587" s="9">
        <v>6</v>
      </c>
      <c r="O1587" s="9" t="s">
        <v>12079</v>
      </c>
      <c r="Q1587" s="10"/>
      <c r="S1587" s="9">
        <v>887</v>
      </c>
      <c r="U1587" s="9" t="str">
        <f t="shared" ca="1" si="66"/>
        <v/>
      </c>
      <c r="V1587" s="9" t="str">
        <f t="shared" ca="1" si="67"/>
        <v/>
      </c>
      <c r="AG1587" s="9" t="s">
        <v>13141</v>
      </c>
    </row>
    <row r="1588" spans="1:33">
      <c r="A1588" s="3" t="s">
        <v>1845</v>
      </c>
      <c r="D1588" s="3" t="s">
        <v>6735</v>
      </c>
      <c r="E1588" s="3" t="s">
        <v>6736</v>
      </c>
      <c r="J1588" s="9" t="s">
        <v>25</v>
      </c>
      <c r="L1588" s="9">
        <v>1</v>
      </c>
      <c r="M1588" s="9">
        <v>6</v>
      </c>
      <c r="N1588" s="9" t="s">
        <v>12125</v>
      </c>
      <c r="O1588" s="9" t="s">
        <v>12079</v>
      </c>
      <c r="Q1588" s="10"/>
      <c r="S1588" s="9">
        <v>173</v>
      </c>
      <c r="U1588" s="9" t="str">
        <f t="shared" ca="1" si="66"/>
        <v/>
      </c>
      <c r="V1588" s="9" t="str">
        <f t="shared" ca="1" si="67"/>
        <v/>
      </c>
      <c r="AG1588" s="9" t="s">
        <v>19</v>
      </c>
    </row>
    <row r="1589" spans="1:33">
      <c r="A1589" s="3" t="s">
        <v>1846</v>
      </c>
      <c r="D1589" s="3" t="s">
        <v>1847</v>
      </c>
      <c r="E1589" s="11" t="s">
        <v>1847</v>
      </c>
      <c r="G1589" t="s">
        <v>20</v>
      </c>
      <c r="I1589" t="s">
        <v>6737</v>
      </c>
      <c r="Q1589" s="10"/>
      <c r="U1589" s="9" t="str">
        <f t="shared" ca="1" si="66"/>
        <v/>
      </c>
      <c r="V1589" s="9" t="str">
        <f t="shared" ca="1" si="67"/>
        <v/>
      </c>
    </row>
    <row r="1590" spans="1:33">
      <c r="A1590" s="3" t="s">
        <v>1846</v>
      </c>
      <c r="D1590" s="3" t="s">
        <v>727</v>
      </c>
      <c r="E1590" s="3" t="s">
        <v>728</v>
      </c>
      <c r="J1590" s="9" t="s">
        <v>12118</v>
      </c>
      <c r="Q1590" s="10"/>
      <c r="T1590" s="9">
        <f>37-87</f>
        <v>-50</v>
      </c>
      <c r="U1590" s="9">
        <f t="shared" ca="1" si="66"/>
        <v>87</v>
      </c>
      <c r="V1590" s="9">
        <f t="shared" ca="1" si="67"/>
        <v>37</v>
      </c>
      <c r="AG1590" s="9" t="s">
        <v>19</v>
      </c>
    </row>
    <row r="1591" spans="1:33">
      <c r="A1591" s="3" t="s">
        <v>1846</v>
      </c>
      <c r="D1591" s="3" t="s">
        <v>6738</v>
      </c>
      <c r="E1591" s="3" t="s">
        <v>6739</v>
      </c>
      <c r="J1591" s="9" t="s">
        <v>12120</v>
      </c>
      <c r="Q1591" s="10"/>
      <c r="U1591" s="9" t="str">
        <f t="shared" ca="1" si="66"/>
        <v/>
      </c>
      <c r="V1591" s="9" t="str">
        <f t="shared" ca="1" si="67"/>
        <v/>
      </c>
      <c r="AB1591" s="9" t="s">
        <v>12737</v>
      </c>
      <c r="AD1591" s="9" t="s">
        <v>19</v>
      </c>
    </row>
    <row r="1592" spans="1:33">
      <c r="A1592" s="3" t="s">
        <v>1848</v>
      </c>
      <c r="D1592" s="3" t="s">
        <v>6740</v>
      </c>
      <c r="E1592" s="3" t="s">
        <v>6741</v>
      </c>
      <c r="J1592" s="9" t="s">
        <v>25</v>
      </c>
      <c r="L1592" s="9">
        <v>1</v>
      </c>
      <c r="M1592" s="9">
        <v>7</v>
      </c>
      <c r="N1592" s="9" t="s">
        <v>12092</v>
      </c>
      <c r="O1592" s="9" t="s">
        <v>12079</v>
      </c>
      <c r="Q1592" s="10"/>
      <c r="S1592" s="9">
        <v>57</v>
      </c>
      <c r="U1592" s="9" t="str">
        <f t="shared" ca="1" si="66"/>
        <v/>
      </c>
      <c r="V1592" s="9" t="str">
        <f t="shared" ca="1" si="67"/>
        <v/>
      </c>
      <c r="AG1592" s="9" t="s">
        <v>20</v>
      </c>
    </row>
    <row r="1593" spans="1:33" ht="29">
      <c r="A1593" s="3" t="s">
        <v>1851</v>
      </c>
      <c r="D1593" s="3" t="s">
        <v>6743</v>
      </c>
      <c r="E1593" s="3" t="s">
        <v>6742</v>
      </c>
      <c r="G1593" t="s">
        <v>19</v>
      </c>
      <c r="J1593" s="9" t="s">
        <v>12120</v>
      </c>
      <c r="Q1593" s="10"/>
      <c r="U1593" s="9" t="str">
        <f t="shared" ca="1" si="66"/>
        <v/>
      </c>
      <c r="V1593" s="9" t="str">
        <f t="shared" ca="1" si="67"/>
        <v/>
      </c>
    </row>
    <row r="1594" spans="1:33">
      <c r="A1594" s="3" t="s">
        <v>1851</v>
      </c>
      <c r="D1594" s="3" t="s">
        <v>6744</v>
      </c>
      <c r="E1594" s="3" t="s">
        <v>6745</v>
      </c>
      <c r="J1594" s="9" t="s">
        <v>25</v>
      </c>
      <c r="L1594" s="9">
        <v>1</v>
      </c>
      <c r="M1594" s="9">
        <v>9</v>
      </c>
      <c r="N1594" s="9" t="s">
        <v>12092</v>
      </c>
      <c r="O1594" s="9" t="s">
        <v>12079</v>
      </c>
      <c r="Q1594" s="10"/>
      <c r="S1594" s="9">
        <v>50</v>
      </c>
      <c r="U1594" s="9" t="str">
        <f t="shared" ca="1" si="66"/>
        <v/>
      </c>
      <c r="V1594" s="9" t="str">
        <f t="shared" ca="1" si="67"/>
        <v/>
      </c>
      <c r="AG1594" s="9" t="s">
        <v>20</v>
      </c>
    </row>
    <row r="1595" spans="1:33">
      <c r="A1595" s="3" t="s">
        <v>1852</v>
      </c>
      <c r="D1595" s="3" t="s">
        <v>1853</v>
      </c>
      <c r="E1595" s="3" t="s">
        <v>109</v>
      </c>
      <c r="J1595" s="9" t="s">
        <v>12118</v>
      </c>
      <c r="Q1595" s="10"/>
      <c r="T1595" s="9">
        <f>45-0</f>
        <v>45</v>
      </c>
      <c r="U1595" s="9">
        <f t="shared" ca="1" si="66"/>
        <v>0</v>
      </c>
      <c r="V1595" s="9">
        <f t="shared" ca="1" si="67"/>
        <v>45</v>
      </c>
      <c r="AE1595" s="9" t="s">
        <v>12089</v>
      </c>
    </row>
    <row r="1596" spans="1:33">
      <c r="A1596" s="3" t="s">
        <v>1854</v>
      </c>
      <c r="D1596" s="3" t="s">
        <v>6746</v>
      </c>
      <c r="E1596" s="3" t="s">
        <v>6747</v>
      </c>
      <c r="G1596" t="s">
        <v>19</v>
      </c>
      <c r="I1596" t="s">
        <v>12666</v>
      </c>
      <c r="J1596" s="9" t="s">
        <v>24</v>
      </c>
      <c r="L1596" s="9">
        <v>1</v>
      </c>
      <c r="M1596" s="9">
        <v>3</v>
      </c>
      <c r="N1596" s="9" t="s">
        <v>12078</v>
      </c>
      <c r="O1596" s="9" t="s">
        <v>12079</v>
      </c>
      <c r="Q1596" s="10"/>
      <c r="S1596" s="9">
        <v>11843</v>
      </c>
      <c r="U1596" s="9" t="str">
        <f t="shared" ca="1" si="66"/>
        <v/>
      </c>
      <c r="V1596" s="9" t="str">
        <f t="shared" ca="1" si="67"/>
        <v/>
      </c>
      <c r="W1596" s="9" t="s">
        <v>4</v>
      </c>
    </row>
    <row r="1597" spans="1:33" ht="29">
      <c r="A1597" s="3" t="s">
        <v>1855</v>
      </c>
      <c r="D1597" s="3" t="s">
        <v>6748</v>
      </c>
      <c r="E1597" s="3" t="s">
        <v>6749</v>
      </c>
      <c r="I1597" t="s">
        <v>5457</v>
      </c>
      <c r="J1597" s="9" t="s">
        <v>26</v>
      </c>
      <c r="Q1597" s="10"/>
      <c r="U1597" s="9" t="str">
        <f t="shared" ca="1" si="66"/>
        <v/>
      </c>
      <c r="V1597" s="9" t="str">
        <f t="shared" ca="1" si="67"/>
        <v/>
      </c>
      <c r="AG1597" s="9" t="s">
        <v>20</v>
      </c>
    </row>
    <row r="1598" spans="1:33" ht="29">
      <c r="A1598" s="3" t="s">
        <v>1855</v>
      </c>
      <c r="D1598" s="3" t="s">
        <v>6750</v>
      </c>
      <c r="E1598" s="3" t="s">
        <v>6751</v>
      </c>
      <c r="J1598" s="9" t="s">
        <v>12120</v>
      </c>
      <c r="Q1598" s="10"/>
      <c r="U1598" s="9" t="str">
        <f t="shared" ca="1" si="66"/>
        <v/>
      </c>
      <c r="V1598" s="9" t="str">
        <f t="shared" ca="1" si="67"/>
        <v/>
      </c>
      <c r="AG1598" s="9" t="s">
        <v>20</v>
      </c>
    </row>
    <row r="1599" spans="1:33" ht="29">
      <c r="A1599" s="3" t="s">
        <v>1856</v>
      </c>
      <c r="D1599" s="3" t="s">
        <v>6752</v>
      </c>
      <c r="E1599" s="3" t="s">
        <v>6753</v>
      </c>
      <c r="J1599" s="9" t="s">
        <v>24</v>
      </c>
      <c r="L1599" s="9">
        <v>1</v>
      </c>
      <c r="M1599" s="9">
        <v>2</v>
      </c>
      <c r="N1599" s="9" t="s">
        <v>12123</v>
      </c>
      <c r="O1599" s="9" t="s">
        <v>12119</v>
      </c>
      <c r="Q1599" s="10"/>
      <c r="S1599" s="9">
        <v>134</v>
      </c>
      <c r="U1599" s="9" t="str">
        <f t="shared" ca="1" si="66"/>
        <v/>
      </c>
      <c r="V1599" s="9" t="str">
        <f t="shared" ca="1" si="67"/>
        <v/>
      </c>
      <c r="AG1599" s="9" t="s">
        <v>19</v>
      </c>
    </row>
    <row r="1600" spans="1:33" ht="29">
      <c r="A1600" s="3" t="s">
        <v>1856</v>
      </c>
      <c r="D1600" s="3" t="s">
        <v>6754</v>
      </c>
      <c r="E1600" s="3" t="s">
        <v>6755</v>
      </c>
      <c r="G1600" t="s">
        <v>19</v>
      </c>
      <c r="J1600" s="9" t="s">
        <v>12120</v>
      </c>
      <c r="Q1600" s="10"/>
      <c r="U1600" s="9" t="str">
        <f t="shared" ca="1" si="66"/>
        <v/>
      </c>
      <c r="V1600" s="9" t="str">
        <f t="shared" ca="1" si="67"/>
        <v/>
      </c>
      <c r="AE1600" s="9" t="s">
        <v>12086</v>
      </c>
    </row>
    <row r="1601" spans="1:33" ht="29">
      <c r="A1601" s="3" t="s">
        <v>1856</v>
      </c>
      <c r="D1601" s="3" t="s">
        <v>6756</v>
      </c>
      <c r="E1601" s="3" t="s">
        <v>6757</v>
      </c>
      <c r="G1601" t="s">
        <v>21</v>
      </c>
      <c r="I1601" t="s">
        <v>6758</v>
      </c>
      <c r="J1601" s="9" t="s">
        <v>12118</v>
      </c>
      <c r="Q1601" s="10"/>
      <c r="T1601" s="9" t="s">
        <v>12131</v>
      </c>
      <c r="U1601" s="9" t="str">
        <f t="shared" ca="1" si="66"/>
        <v/>
      </c>
      <c r="V1601" s="9" t="str">
        <f t="shared" ca="1" si="67"/>
        <v/>
      </c>
      <c r="AE1601" s="9" t="s">
        <v>12086</v>
      </c>
    </row>
    <row r="1602" spans="1:33">
      <c r="A1602" s="3" t="s">
        <v>1857</v>
      </c>
      <c r="D1602" s="3" t="s">
        <v>6759</v>
      </c>
      <c r="E1602" s="3" t="s">
        <v>6760</v>
      </c>
      <c r="J1602" s="9" t="s">
        <v>25</v>
      </c>
      <c r="L1602" s="9">
        <v>1</v>
      </c>
      <c r="M1602" s="9">
        <v>3</v>
      </c>
      <c r="N1602" s="9" t="s">
        <v>12087</v>
      </c>
      <c r="O1602" s="9" t="s">
        <v>12079</v>
      </c>
      <c r="Q1602" s="10"/>
      <c r="S1602" s="9">
        <v>5676</v>
      </c>
      <c r="U1602" s="9" t="str">
        <f t="shared" ca="1" si="66"/>
        <v/>
      </c>
      <c r="V1602" s="9" t="str">
        <f t="shared" ca="1" si="67"/>
        <v/>
      </c>
      <c r="AG1602" s="9" t="s">
        <v>13141</v>
      </c>
    </row>
    <row r="1603" spans="1:33" ht="29">
      <c r="A1603" s="3" t="s">
        <v>1858</v>
      </c>
      <c r="D1603" s="3" t="s">
        <v>6762</v>
      </c>
      <c r="E1603" s="3" t="s">
        <v>6761</v>
      </c>
      <c r="J1603" s="9" t="s">
        <v>24</v>
      </c>
      <c r="L1603" s="9">
        <v>1</v>
      </c>
      <c r="M1603" s="9">
        <v>3</v>
      </c>
      <c r="N1603" s="9" t="s">
        <v>12078</v>
      </c>
      <c r="O1603" s="9" t="s">
        <v>12079</v>
      </c>
      <c r="Q1603" s="10"/>
      <c r="S1603" s="9">
        <v>11843</v>
      </c>
      <c r="U1603" s="9" t="str">
        <f t="shared" ca="1" si="66"/>
        <v/>
      </c>
      <c r="V1603" s="9" t="str">
        <f t="shared" ca="1" si="67"/>
        <v/>
      </c>
      <c r="AG1603" s="9" t="s">
        <v>19</v>
      </c>
    </row>
    <row r="1604" spans="1:33">
      <c r="A1604" s="3" t="s">
        <v>1858</v>
      </c>
      <c r="D1604" s="3" t="s">
        <v>6764</v>
      </c>
      <c r="E1604" s="3" t="s">
        <v>6763</v>
      </c>
      <c r="J1604" s="9" t="s">
        <v>24</v>
      </c>
      <c r="L1604" s="9">
        <v>1</v>
      </c>
      <c r="M1604" s="9">
        <v>3</v>
      </c>
      <c r="N1604" s="9" t="s">
        <v>12087</v>
      </c>
      <c r="O1604" s="9" t="s">
        <v>12079</v>
      </c>
      <c r="Q1604" s="10"/>
      <c r="S1604" s="9">
        <v>5676</v>
      </c>
      <c r="U1604" s="9" t="str">
        <f t="shared" ca="1" si="66"/>
        <v/>
      </c>
      <c r="V1604" s="9" t="str">
        <f t="shared" ca="1" si="67"/>
        <v/>
      </c>
      <c r="AG1604" s="9" t="s">
        <v>19</v>
      </c>
    </row>
    <row r="1605" spans="1:33">
      <c r="A1605" s="3" t="s">
        <v>1859</v>
      </c>
      <c r="D1605" s="3" t="s">
        <v>6765</v>
      </c>
      <c r="E1605" s="3" t="s">
        <v>6766</v>
      </c>
      <c r="G1605" t="s">
        <v>19</v>
      </c>
      <c r="J1605" s="9" t="s">
        <v>12118</v>
      </c>
      <c r="Q1605" s="10"/>
      <c r="T1605" s="9">
        <f>214-4</f>
        <v>210</v>
      </c>
      <c r="U1605" s="9">
        <f t="shared" ca="1" si="66"/>
        <v>4</v>
      </c>
      <c r="V1605" s="9">
        <f t="shared" ca="1" si="67"/>
        <v>214</v>
      </c>
    </row>
    <row r="1606" spans="1:33">
      <c r="A1606" s="3" t="s">
        <v>1860</v>
      </c>
      <c r="D1606" s="3" t="s">
        <v>1861</v>
      </c>
      <c r="E1606" s="3" t="s">
        <v>1862</v>
      </c>
      <c r="J1606" s="9" t="s">
        <v>12120</v>
      </c>
      <c r="Q1606" s="10"/>
      <c r="U1606" s="9" t="str">
        <f t="shared" ca="1" si="66"/>
        <v/>
      </c>
      <c r="V1606" s="9" t="str">
        <f t="shared" ca="1" si="67"/>
        <v/>
      </c>
      <c r="AC1606" s="9" t="s">
        <v>12740</v>
      </c>
      <c r="AD1606" s="9" t="s">
        <v>19</v>
      </c>
    </row>
    <row r="1607" spans="1:33">
      <c r="A1607" s="3" t="s">
        <v>1863</v>
      </c>
      <c r="D1607" s="3" t="s">
        <v>6767</v>
      </c>
      <c r="E1607" s="3" t="s">
        <v>6769</v>
      </c>
      <c r="G1607" t="s">
        <v>19</v>
      </c>
      <c r="J1607" s="9" t="s">
        <v>12118</v>
      </c>
      <c r="Q1607" s="10"/>
      <c r="T1607" s="9">
        <f>5-0</f>
        <v>5</v>
      </c>
      <c r="U1607" s="9">
        <f t="shared" ca="1" si="66"/>
        <v>0</v>
      </c>
      <c r="V1607" s="9">
        <f t="shared" ca="1" si="67"/>
        <v>5</v>
      </c>
    </row>
    <row r="1608" spans="1:33">
      <c r="A1608" s="3" t="s">
        <v>1863</v>
      </c>
      <c r="D1608" s="3" t="s">
        <v>6768</v>
      </c>
      <c r="E1608" s="3" t="s">
        <v>6770</v>
      </c>
      <c r="G1608" t="s">
        <v>19</v>
      </c>
      <c r="J1608" s="9" t="s">
        <v>12118</v>
      </c>
      <c r="Q1608" s="10"/>
      <c r="T1608" s="9">
        <f>5-0</f>
        <v>5</v>
      </c>
      <c r="U1608" s="9">
        <f t="shared" ca="1" si="66"/>
        <v>0</v>
      </c>
      <c r="V1608" s="9">
        <f t="shared" ca="1" si="67"/>
        <v>5</v>
      </c>
    </row>
    <row r="1609" spans="1:33">
      <c r="A1609" s="3" t="s">
        <v>1864</v>
      </c>
      <c r="D1609" s="6" t="s">
        <v>6771</v>
      </c>
      <c r="E1609" s="11" t="s">
        <v>6772</v>
      </c>
      <c r="F1609" t="s">
        <v>4774</v>
      </c>
      <c r="G1609" t="s">
        <v>19</v>
      </c>
      <c r="I1609" t="s">
        <v>6670</v>
      </c>
      <c r="J1609" s="9" t="s">
        <v>12120</v>
      </c>
      <c r="Q1609" s="10"/>
      <c r="U1609" s="9" t="str">
        <f t="shared" ca="1" si="66"/>
        <v/>
      </c>
      <c r="V1609" s="9" t="str">
        <f t="shared" ca="1" si="67"/>
        <v/>
      </c>
      <c r="AF1609" s="9" t="s">
        <v>19</v>
      </c>
    </row>
    <row r="1610" spans="1:33">
      <c r="A1610" s="3" t="s">
        <v>1865</v>
      </c>
      <c r="D1610" s="3" t="s">
        <v>6773</v>
      </c>
      <c r="E1610" s="3" t="s">
        <v>12303</v>
      </c>
      <c r="J1610" s="9" t="s">
        <v>12120</v>
      </c>
      <c r="Q1610" s="10"/>
      <c r="U1610" s="9" t="str">
        <f t="shared" ca="1" si="66"/>
        <v/>
      </c>
      <c r="V1610" s="9" t="str">
        <f t="shared" ca="1" si="67"/>
        <v/>
      </c>
      <c r="AG1610" s="9" t="s">
        <v>19</v>
      </c>
    </row>
    <row r="1611" spans="1:33" ht="29">
      <c r="A1611" s="3" t="s">
        <v>1866</v>
      </c>
      <c r="D1611" s="3" t="s">
        <v>6774</v>
      </c>
      <c r="E1611" s="3" t="s">
        <v>6775</v>
      </c>
      <c r="J1611" s="9" t="s">
        <v>12120</v>
      </c>
      <c r="Q1611" s="10"/>
      <c r="U1611" s="9" t="str">
        <f t="shared" ref="U1611:U1674" ca="1" si="68">IF(ISNUMBER(T1611),VALUE(MID(_xlfn.FORMULATEXT(T1611),SEARCH("-",_xlfn.FORMULATEXT(T1611))+1,LEN(_xlfn.FORMULATEXT(T1611))-SEARCH("-",_xlfn.FORMULATEXT(T1611)))), "")</f>
        <v/>
      </c>
      <c r="V1611" s="9" t="str">
        <f t="shared" ref="V1611:V1674" ca="1" si="69">IF(ISNUMBER(T1611), VALUE(MID(_xlfn.FORMULATEXT(T1611), 2, SEARCH("-", _xlfn.FORMULATEXT(T1611)) - 2)), "")</f>
        <v/>
      </c>
      <c r="AE1611" s="9" t="s">
        <v>12089</v>
      </c>
    </row>
    <row r="1612" spans="1:33" ht="29">
      <c r="A1612" s="3" t="s">
        <v>1866</v>
      </c>
      <c r="D1612" s="3" t="s">
        <v>6776</v>
      </c>
      <c r="E1612" s="3" t="s">
        <v>6777</v>
      </c>
      <c r="J1612" s="9" t="s">
        <v>12120</v>
      </c>
      <c r="Q1612" s="10"/>
      <c r="U1612" s="9" t="str">
        <f t="shared" ca="1" si="68"/>
        <v/>
      </c>
      <c r="V1612" s="9" t="str">
        <f t="shared" ca="1" si="69"/>
        <v/>
      </c>
      <c r="AB1612" s="9" t="s">
        <v>12082</v>
      </c>
      <c r="AD1612" s="9" t="s">
        <v>19</v>
      </c>
    </row>
    <row r="1613" spans="1:33">
      <c r="A1613" s="3" t="s">
        <v>1867</v>
      </c>
      <c r="D1613" s="3" t="s">
        <v>6778</v>
      </c>
      <c r="E1613" s="3" t="s">
        <v>12304</v>
      </c>
      <c r="J1613" s="9" t="s">
        <v>12120</v>
      </c>
      <c r="Q1613" s="10"/>
      <c r="U1613" s="9" t="str">
        <f t="shared" ca="1" si="68"/>
        <v/>
      </c>
      <c r="V1613" s="9" t="str">
        <f t="shared" ca="1" si="69"/>
        <v/>
      </c>
      <c r="AB1613" s="9" t="s">
        <v>12737</v>
      </c>
      <c r="AD1613" s="9" t="s">
        <v>19</v>
      </c>
    </row>
    <row r="1614" spans="1:33">
      <c r="A1614" s="3" t="s">
        <v>1868</v>
      </c>
      <c r="D1614" s="11" t="s">
        <v>6780</v>
      </c>
      <c r="E1614" s="11" t="s">
        <v>6779</v>
      </c>
      <c r="J1614" s="9" t="s">
        <v>12120</v>
      </c>
      <c r="Q1614" s="10"/>
      <c r="U1614" s="9" t="str">
        <f t="shared" ca="1" si="68"/>
        <v/>
      </c>
      <c r="V1614" s="9" t="str">
        <f t="shared" ca="1" si="69"/>
        <v/>
      </c>
      <c r="AB1614" s="9" t="s">
        <v>12738</v>
      </c>
      <c r="AD1614" s="9" t="s">
        <v>19</v>
      </c>
    </row>
    <row r="1615" spans="1:33">
      <c r="A1615" s="3" t="s">
        <v>1869</v>
      </c>
      <c r="D1615" s="3" t="s">
        <v>367</v>
      </c>
      <c r="E1615" s="3" t="s">
        <v>1870</v>
      </c>
      <c r="J1615" s="9" t="s">
        <v>12120</v>
      </c>
      <c r="Q1615" s="10"/>
      <c r="U1615" s="9" t="str">
        <f t="shared" ca="1" si="68"/>
        <v/>
      </c>
      <c r="V1615" s="9" t="str">
        <f t="shared" ca="1" si="69"/>
        <v/>
      </c>
      <c r="AC1615" s="9" t="s">
        <v>12188</v>
      </c>
      <c r="AD1615" s="9" t="s">
        <v>19</v>
      </c>
      <c r="AE1615" s="9" t="s">
        <v>12089</v>
      </c>
    </row>
    <row r="1616" spans="1:33">
      <c r="A1616" s="3" t="s">
        <v>1871</v>
      </c>
      <c r="D1616" s="3" t="s">
        <v>6781</v>
      </c>
      <c r="E1616" s="3" t="s">
        <v>6782</v>
      </c>
      <c r="G1616" t="s">
        <v>19</v>
      </c>
      <c r="J1616" s="9" t="s">
        <v>24</v>
      </c>
      <c r="L1616" s="9">
        <v>1</v>
      </c>
      <c r="M1616" s="9">
        <v>2</v>
      </c>
      <c r="N1616" s="9" t="s">
        <v>12078</v>
      </c>
      <c r="O1616" s="9" t="s">
        <v>12119</v>
      </c>
      <c r="Q1616" s="10"/>
      <c r="R1616" s="9" t="s">
        <v>12074</v>
      </c>
      <c r="S1616" s="9">
        <v>11843</v>
      </c>
      <c r="U1616" s="9" t="str">
        <f t="shared" ca="1" si="68"/>
        <v/>
      </c>
      <c r="V1616" s="9" t="str">
        <f t="shared" ca="1" si="69"/>
        <v/>
      </c>
    </row>
    <row r="1617" spans="1:33">
      <c r="A1617" s="3" t="s">
        <v>1872</v>
      </c>
      <c r="D1617" s="3" t="s">
        <v>6783</v>
      </c>
      <c r="E1617" s="3" t="s">
        <v>6784</v>
      </c>
      <c r="J1617" s="9" t="s">
        <v>12120</v>
      </c>
      <c r="Q1617" s="10"/>
      <c r="U1617" s="9" t="str">
        <f t="shared" ca="1" si="68"/>
        <v/>
      </c>
      <c r="V1617" s="9" t="str">
        <f t="shared" ca="1" si="69"/>
        <v/>
      </c>
      <c r="AB1617" s="9" t="s">
        <v>12737</v>
      </c>
      <c r="AD1617" s="9" t="s">
        <v>19</v>
      </c>
    </row>
    <row r="1618" spans="1:33">
      <c r="A1618" s="3" t="s">
        <v>1872</v>
      </c>
      <c r="D1618" s="3" t="s">
        <v>6785</v>
      </c>
      <c r="E1618" s="11" t="s">
        <v>6786</v>
      </c>
      <c r="J1618" s="9" t="s">
        <v>12118</v>
      </c>
      <c r="Q1618" s="10"/>
      <c r="T1618" s="9">
        <f>930-4240</f>
        <v>-3310</v>
      </c>
      <c r="U1618" s="9">
        <f t="shared" ca="1" si="68"/>
        <v>4240</v>
      </c>
      <c r="V1618" s="9">
        <f t="shared" ca="1" si="69"/>
        <v>930</v>
      </c>
      <c r="AG1618" s="9" t="s">
        <v>19</v>
      </c>
    </row>
    <row r="1619" spans="1:33">
      <c r="A1619" s="3" t="s">
        <v>1873</v>
      </c>
      <c r="D1619" s="3" t="s">
        <v>1874</v>
      </c>
      <c r="E1619" s="3" t="s">
        <v>1875</v>
      </c>
      <c r="J1619" s="9" t="s">
        <v>12120</v>
      </c>
      <c r="Q1619" s="10"/>
      <c r="U1619" s="9" t="str">
        <f t="shared" ca="1" si="68"/>
        <v/>
      </c>
      <c r="V1619" s="9" t="str">
        <f t="shared" ca="1" si="69"/>
        <v/>
      </c>
      <c r="AC1619" s="9" t="s">
        <v>12130</v>
      </c>
      <c r="AD1619" s="9" t="s">
        <v>19</v>
      </c>
    </row>
    <row r="1620" spans="1:33">
      <c r="A1620" s="3" t="s">
        <v>1876</v>
      </c>
      <c r="D1620" s="3" t="s">
        <v>1877</v>
      </c>
      <c r="E1620" s="11" t="s">
        <v>6787</v>
      </c>
      <c r="G1620" t="s">
        <v>19</v>
      </c>
      <c r="J1620" s="9" t="s">
        <v>12120</v>
      </c>
      <c r="Q1620" s="10"/>
      <c r="U1620" s="9" t="str">
        <f t="shared" ca="1" si="68"/>
        <v/>
      </c>
      <c r="V1620" s="9" t="str">
        <f t="shared" ca="1" si="69"/>
        <v/>
      </c>
      <c r="AE1620" s="9" t="s">
        <v>12086</v>
      </c>
    </row>
    <row r="1621" spans="1:33">
      <c r="A1621" s="3" t="s">
        <v>1876</v>
      </c>
      <c r="D1621" s="3" t="s">
        <v>1878</v>
      </c>
      <c r="E1621" s="3" t="s">
        <v>1879</v>
      </c>
      <c r="J1621" s="9" t="s">
        <v>12118</v>
      </c>
      <c r="Q1621" s="10"/>
      <c r="T1621" s="9" t="s">
        <v>12131</v>
      </c>
      <c r="U1621" s="9" t="str">
        <f t="shared" ca="1" si="68"/>
        <v/>
      </c>
      <c r="V1621" s="9" t="str">
        <f t="shared" ca="1" si="69"/>
        <v/>
      </c>
      <c r="AC1621" s="9" t="s">
        <v>12130</v>
      </c>
      <c r="AD1621" s="9" t="s">
        <v>19</v>
      </c>
      <c r="AE1621" s="9" t="s">
        <v>12086</v>
      </c>
    </row>
    <row r="1622" spans="1:33">
      <c r="A1622" s="3" t="s">
        <v>1880</v>
      </c>
      <c r="D1622" s="11" t="s">
        <v>6789</v>
      </c>
      <c r="E1622" s="11" t="s">
        <v>6788</v>
      </c>
      <c r="J1622" s="9" t="s">
        <v>24</v>
      </c>
      <c r="L1622" s="9">
        <v>1</v>
      </c>
      <c r="M1622" s="9">
        <v>2</v>
      </c>
      <c r="N1622" s="9" t="s">
        <v>12087</v>
      </c>
      <c r="O1622" s="9" t="s">
        <v>12119</v>
      </c>
      <c r="Q1622" s="10"/>
      <c r="S1622" s="9">
        <v>1966</v>
      </c>
      <c r="U1622" s="9" t="str">
        <f t="shared" ca="1" si="68"/>
        <v/>
      </c>
      <c r="V1622" s="9" t="str">
        <f t="shared" ca="1" si="69"/>
        <v/>
      </c>
      <c r="AG1622" s="9" t="s">
        <v>19</v>
      </c>
    </row>
    <row r="1623" spans="1:33">
      <c r="A1623" s="3" t="s">
        <v>1881</v>
      </c>
      <c r="D1623" s="3" t="s">
        <v>6790</v>
      </c>
      <c r="E1623" s="11" t="s">
        <v>6791</v>
      </c>
      <c r="J1623" s="9" t="s">
        <v>12118</v>
      </c>
      <c r="Q1623" s="10"/>
      <c r="T1623" s="9">
        <f>138-134</f>
        <v>4</v>
      </c>
      <c r="U1623" s="9">
        <f t="shared" ca="1" si="68"/>
        <v>134</v>
      </c>
      <c r="V1623" s="9">
        <f t="shared" ca="1" si="69"/>
        <v>138</v>
      </c>
      <c r="AG1623" s="9" t="s">
        <v>19</v>
      </c>
    </row>
    <row r="1624" spans="1:33">
      <c r="A1624" s="3" t="s">
        <v>1881</v>
      </c>
      <c r="D1624" s="3" t="s">
        <v>6792</v>
      </c>
      <c r="E1624" s="3" t="s">
        <v>6793</v>
      </c>
      <c r="J1624" s="9" t="s">
        <v>12120</v>
      </c>
      <c r="Q1624" s="10"/>
      <c r="U1624" s="9" t="str">
        <f t="shared" ca="1" si="68"/>
        <v/>
      </c>
      <c r="V1624" s="9" t="str">
        <f t="shared" ca="1" si="69"/>
        <v/>
      </c>
      <c r="AC1624" s="9" t="s">
        <v>12134</v>
      </c>
      <c r="AD1624" s="9" t="s">
        <v>19</v>
      </c>
    </row>
    <row r="1625" spans="1:33">
      <c r="A1625" s="3" t="s">
        <v>1881</v>
      </c>
      <c r="D1625" s="3" t="s">
        <v>6794</v>
      </c>
      <c r="E1625" s="3" t="s">
        <v>6795</v>
      </c>
      <c r="J1625" s="9" t="s">
        <v>12120</v>
      </c>
      <c r="Q1625" s="10"/>
      <c r="U1625" s="9" t="str">
        <f t="shared" ca="1" si="68"/>
        <v/>
      </c>
      <c r="V1625" s="9" t="str">
        <f t="shared" ca="1" si="69"/>
        <v/>
      </c>
      <c r="AG1625" s="9" t="s">
        <v>19</v>
      </c>
    </row>
    <row r="1626" spans="1:33">
      <c r="A1626" s="3" t="s">
        <v>1882</v>
      </c>
      <c r="D1626" s="3" t="s">
        <v>6796</v>
      </c>
      <c r="E1626" s="3" t="s">
        <v>6797</v>
      </c>
      <c r="J1626" s="9" t="s">
        <v>12120</v>
      </c>
      <c r="Q1626" s="10"/>
      <c r="U1626" s="9" t="str">
        <f t="shared" ca="1" si="68"/>
        <v/>
      </c>
      <c r="V1626" s="9" t="str">
        <f t="shared" ca="1" si="69"/>
        <v/>
      </c>
      <c r="AB1626" s="9" t="s">
        <v>12082</v>
      </c>
      <c r="AD1626" s="9" t="s">
        <v>19</v>
      </c>
    </row>
    <row r="1627" spans="1:33">
      <c r="A1627" s="3" t="s">
        <v>1883</v>
      </c>
      <c r="D1627" s="3" t="s">
        <v>6798</v>
      </c>
      <c r="E1627" s="3" t="s">
        <v>6799</v>
      </c>
      <c r="J1627" s="9" t="s">
        <v>12120</v>
      </c>
      <c r="Q1627" s="10"/>
      <c r="U1627" s="9" t="str">
        <f t="shared" ca="1" si="68"/>
        <v/>
      </c>
      <c r="V1627" s="9" t="str">
        <f t="shared" ca="1" si="69"/>
        <v/>
      </c>
      <c r="AC1627" s="9" t="s">
        <v>12134</v>
      </c>
      <c r="AD1627" s="9" t="s">
        <v>19</v>
      </c>
    </row>
    <row r="1628" spans="1:33">
      <c r="A1628" s="3" t="s">
        <v>1884</v>
      </c>
      <c r="D1628" s="3" t="s">
        <v>6800</v>
      </c>
      <c r="E1628" s="3" t="s">
        <v>6801</v>
      </c>
      <c r="J1628" s="9" t="s">
        <v>12120</v>
      </c>
      <c r="Q1628" s="10"/>
      <c r="U1628" s="9" t="str">
        <f t="shared" ca="1" si="68"/>
        <v/>
      </c>
      <c r="V1628" s="9" t="str">
        <f t="shared" ca="1" si="69"/>
        <v/>
      </c>
      <c r="AB1628" s="9" t="s">
        <v>12737</v>
      </c>
      <c r="AD1628" s="9" t="s">
        <v>19</v>
      </c>
    </row>
    <row r="1629" spans="1:33">
      <c r="A1629" s="3" t="s">
        <v>1884</v>
      </c>
      <c r="D1629" s="3" t="s">
        <v>1091</v>
      </c>
      <c r="E1629" s="3" t="s">
        <v>1113</v>
      </c>
      <c r="J1629" s="9" t="s">
        <v>12120</v>
      </c>
      <c r="Q1629" s="10"/>
      <c r="U1629" s="9" t="str">
        <f t="shared" ca="1" si="68"/>
        <v/>
      </c>
      <c r="V1629" s="9" t="str">
        <f t="shared" ca="1" si="69"/>
        <v/>
      </c>
      <c r="AC1629" s="9" t="s">
        <v>12130</v>
      </c>
      <c r="AD1629" s="9" t="s">
        <v>19</v>
      </c>
      <c r="AE1629" s="9" t="s">
        <v>12086</v>
      </c>
    </row>
    <row r="1630" spans="1:33" ht="29">
      <c r="A1630" s="3" t="s">
        <v>1885</v>
      </c>
      <c r="D1630" s="3" t="s">
        <v>6802</v>
      </c>
      <c r="E1630" s="3" t="s">
        <v>6803</v>
      </c>
      <c r="J1630" s="9" t="s">
        <v>12120</v>
      </c>
      <c r="Q1630" s="10"/>
      <c r="U1630" s="9" t="str">
        <f t="shared" ca="1" si="68"/>
        <v/>
      </c>
      <c r="V1630" s="9" t="str">
        <f t="shared" ca="1" si="69"/>
        <v/>
      </c>
      <c r="AG1630" s="9" t="s">
        <v>20</v>
      </c>
    </row>
    <row r="1631" spans="1:33">
      <c r="A1631" s="3" t="s">
        <v>1886</v>
      </c>
      <c r="D1631" s="3" t="s">
        <v>6805</v>
      </c>
      <c r="E1631" s="3" t="s">
        <v>6804</v>
      </c>
      <c r="J1631" s="9" t="s">
        <v>12118</v>
      </c>
      <c r="Q1631" s="10"/>
      <c r="T1631" s="9">
        <f>6-124</f>
        <v>-118</v>
      </c>
      <c r="U1631" s="9">
        <f t="shared" ca="1" si="68"/>
        <v>124</v>
      </c>
      <c r="V1631" s="9">
        <f t="shared" ca="1" si="69"/>
        <v>6</v>
      </c>
      <c r="AG1631" s="9" t="s">
        <v>19</v>
      </c>
    </row>
    <row r="1632" spans="1:33">
      <c r="A1632" s="3" t="s">
        <v>1887</v>
      </c>
      <c r="D1632" s="3" t="s">
        <v>6806</v>
      </c>
      <c r="E1632" s="3" t="s">
        <v>6807</v>
      </c>
      <c r="G1632" t="s">
        <v>19</v>
      </c>
      <c r="J1632" s="9" t="s">
        <v>24</v>
      </c>
      <c r="L1632" s="9">
        <v>1</v>
      </c>
      <c r="M1632" s="9">
        <v>2</v>
      </c>
      <c r="N1632" s="9" t="s">
        <v>12123</v>
      </c>
      <c r="O1632" s="9" t="s">
        <v>12119</v>
      </c>
      <c r="Q1632" s="10"/>
      <c r="S1632" s="9">
        <v>526</v>
      </c>
      <c r="U1632" s="9" t="str">
        <f t="shared" ca="1" si="68"/>
        <v/>
      </c>
      <c r="V1632" s="9" t="str">
        <f t="shared" ca="1" si="69"/>
        <v/>
      </c>
    </row>
    <row r="1633" spans="1:33" ht="29">
      <c r="A1633" s="3" t="s">
        <v>1888</v>
      </c>
      <c r="D1633" s="3" t="s">
        <v>6808</v>
      </c>
      <c r="E1633" s="3" t="s">
        <v>6809</v>
      </c>
      <c r="J1633" s="9" t="s">
        <v>24</v>
      </c>
      <c r="L1633" s="9">
        <v>1</v>
      </c>
      <c r="M1633" s="9">
        <v>3</v>
      </c>
      <c r="N1633" s="9" t="s">
        <v>12087</v>
      </c>
      <c r="O1633" s="9" t="s">
        <v>12079</v>
      </c>
      <c r="Q1633" s="10"/>
      <c r="S1633" s="9">
        <v>5676</v>
      </c>
      <c r="U1633" s="9" t="str">
        <f t="shared" ca="1" si="68"/>
        <v/>
      </c>
      <c r="V1633" s="9" t="str">
        <f t="shared" ca="1" si="69"/>
        <v/>
      </c>
      <c r="AG1633" s="9" t="s">
        <v>20</v>
      </c>
    </row>
    <row r="1634" spans="1:33" ht="29">
      <c r="A1634" s="3" t="s">
        <v>1888</v>
      </c>
      <c r="D1634" s="3" t="s">
        <v>6811</v>
      </c>
      <c r="E1634" s="3" t="s">
        <v>6810</v>
      </c>
      <c r="J1634" s="9" t="s">
        <v>12120</v>
      </c>
      <c r="Q1634" s="10"/>
      <c r="U1634" s="9" t="str">
        <f t="shared" ca="1" si="68"/>
        <v/>
      </c>
      <c r="V1634" s="9" t="str">
        <f t="shared" ca="1" si="69"/>
        <v/>
      </c>
      <c r="AC1634" s="9" t="s">
        <v>12305</v>
      </c>
      <c r="AD1634" s="9" t="s">
        <v>19</v>
      </c>
    </row>
    <row r="1635" spans="1:33">
      <c r="A1635" s="3" t="s">
        <v>1889</v>
      </c>
      <c r="D1635" s="3" t="s">
        <v>1890</v>
      </c>
      <c r="E1635" s="3" t="s">
        <v>3654</v>
      </c>
      <c r="G1635" t="s">
        <v>19</v>
      </c>
      <c r="J1635" s="9" t="s">
        <v>12118</v>
      </c>
      <c r="Q1635" s="10"/>
      <c r="T1635" s="9" t="s">
        <v>12131</v>
      </c>
      <c r="U1635" s="9" t="str">
        <f t="shared" ca="1" si="68"/>
        <v/>
      </c>
      <c r="V1635" s="9" t="str">
        <f t="shared" ca="1" si="69"/>
        <v/>
      </c>
      <c r="AE1635" s="9" t="s">
        <v>12086</v>
      </c>
    </row>
    <row r="1636" spans="1:33" ht="29">
      <c r="A1636" s="3" t="s">
        <v>1891</v>
      </c>
      <c r="D1636" s="3" t="s">
        <v>6812</v>
      </c>
      <c r="E1636" s="3" t="s">
        <v>6812</v>
      </c>
      <c r="G1636" t="s">
        <v>20</v>
      </c>
      <c r="I1636" t="s">
        <v>6639</v>
      </c>
      <c r="Q1636" s="10"/>
      <c r="U1636" s="9" t="str">
        <f t="shared" ca="1" si="68"/>
        <v/>
      </c>
      <c r="V1636" s="9" t="str">
        <f t="shared" ca="1" si="69"/>
        <v/>
      </c>
    </row>
    <row r="1637" spans="1:33" ht="29">
      <c r="A1637" s="3" t="s">
        <v>1892</v>
      </c>
      <c r="D1637" s="3" t="s">
        <v>6813</v>
      </c>
      <c r="E1637" s="3" t="s">
        <v>6814</v>
      </c>
      <c r="I1637" t="s">
        <v>5457</v>
      </c>
      <c r="J1637" s="9" t="s">
        <v>26</v>
      </c>
      <c r="Q1637" s="10"/>
      <c r="U1637" s="9" t="str">
        <f t="shared" ca="1" si="68"/>
        <v/>
      </c>
      <c r="V1637" s="9" t="str">
        <f t="shared" ca="1" si="69"/>
        <v/>
      </c>
      <c r="AG1637" s="9" t="s">
        <v>19</v>
      </c>
    </row>
    <row r="1638" spans="1:33">
      <c r="A1638" s="3" t="s">
        <v>1893</v>
      </c>
      <c r="D1638" s="3" t="s">
        <v>1894</v>
      </c>
      <c r="E1638" s="5" t="s">
        <v>1894</v>
      </c>
      <c r="F1638" t="s">
        <v>32</v>
      </c>
      <c r="G1638" t="s">
        <v>19</v>
      </c>
      <c r="I1638" t="s">
        <v>6815</v>
      </c>
      <c r="J1638" s="9" t="s">
        <v>12118</v>
      </c>
      <c r="Q1638" s="10"/>
      <c r="T1638" s="9">
        <f>128-0</f>
        <v>128</v>
      </c>
      <c r="U1638" s="9">
        <f t="shared" ca="1" si="68"/>
        <v>0</v>
      </c>
      <c r="V1638" s="9">
        <f t="shared" ca="1" si="69"/>
        <v>128</v>
      </c>
    </row>
    <row r="1639" spans="1:33" ht="29">
      <c r="A1639" s="3" t="s">
        <v>1895</v>
      </c>
      <c r="D1639" s="3" t="s">
        <v>6817</v>
      </c>
      <c r="E1639" s="3" t="s">
        <v>12306</v>
      </c>
      <c r="I1639" t="s">
        <v>5457</v>
      </c>
      <c r="J1639" s="9" t="s">
        <v>26</v>
      </c>
      <c r="Q1639" s="10"/>
      <c r="U1639" s="9" t="str">
        <f t="shared" ca="1" si="68"/>
        <v/>
      </c>
      <c r="V1639" s="9" t="str">
        <f t="shared" ca="1" si="69"/>
        <v/>
      </c>
      <c r="AG1639" s="9" t="s">
        <v>19</v>
      </c>
    </row>
    <row r="1640" spans="1:33" ht="29">
      <c r="A1640" s="3" t="s">
        <v>1895</v>
      </c>
      <c r="D1640" s="3" t="s">
        <v>6816</v>
      </c>
      <c r="E1640" s="3" t="s">
        <v>6818</v>
      </c>
      <c r="J1640" s="9" t="s">
        <v>24</v>
      </c>
      <c r="L1640" s="9">
        <v>1</v>
      </c>
      <c r="M1640" s="9">
        <v>3</v>
      </c>
      <c r="N1640" s="9" t="s">
        <v>12078</v>
      </c>
      <c r="O1640" s="9" t="s">
        <v>12079</v>
      </c>
      <c r="Q1640" s="10"/>
      <c r="S1640" s="9">
        <v>11843</v>
      </c>
      <c r="U1640" s="9" t="str">
        <f t="shared" ca="1" si="68"/>
        <v/>
      </c>
      <c r="V1640" s="9" t="str">
        <f t="shared" ca="1" si="69"/>
        <v/>
      </c>
      <c r="AG1640" s="9" t="s">
        <v>20</v>
      </c>
    </row>
    <row r="1641" spans="1:33">
      <c r="A1641" s="3" t="s">
        <v>1895</v>
      </c>
      <c r="D1641" s="3" t="s">
        <v>6819</v>
      </c>
      <c r="E1641" s="3" t="s">
        <v>6819</v>
      </c>
      <c r="G1641" t="s">
        <v>20</v>
      </c>
      <c r="I1641" t="s">
        <v>6820</v>
      </c>
      <c r="Q1641" s="10"/>
      <c r="U1641" s="9" t="str">
        <f t="shared" ca="1" si="68"/>
        <v/>
      </c>
      <c r="V1641" s="9" t="str">
        <f t="shared" ca="1" si="69"/>
        <v/>
      </c>
    </row>
    <row r="1642" spans="1:33">
      <c r="A1642" s="3" t="s">
        <v>1896</v>
      </c>
      <c r="D1642" s="3" t="s">
        <v>1897</v>
      </c>
      <c r="E1642" s="3" t="s">
        <v>1898</v>
      </c>
      <c r="J1642" s="9" t="s">
        <v>12120</v>
      </c>
      <c r="Q1642" s="10"/>
      <c r="U1642" s="9" t="str">
        <f t="shared" ca="1" si="68"/>
        <v/>
      </c>
      <c r="V1642" s="9" t="str">
        <f t="shared" ca="1" si="69"/>
        <v/>
      </c>
      <c r="AG1642" s="9" t="s">
        <v>19</v>
      </c>
    </row>
    <row r="1643" spans="1:33" ht="29">
      <c r="A1643" s="3" t="s">
        <v>1899</v>
      </c>
      <c r="D1643" s="3" t="s">
        <v>6821</v>
      </c>
      <c r="E1643" s="3" t="s">
        <v>6822</v>
      </c>
      <c r="G1643" t="s">
        <v>19</v>
      </c>
      <c r="J1643" s="9" t="s">
        <v>12120</v>
      </c>
      <c r="Q1643" s="10"/>
      <c r="U1643" s="9" t="str">
        <f t="shared" ca="1" si="68"/>
        <v/>
      </c>
      <c r="V1643" s="9" t="str">
        <f t="shared" ca="1" si="69"/>
        <v/>
      </c>
    </row>
    <row r="1644" spans="1:33" ht="29">
      <c r="A1644" s="3" t="s">
        <v>1899</v>
      </c>
      <c r="D1644" s="6" t="s">
        <v>6823</v>
      </c>
      <c r="E1644" s="3" t="s">
        <v>6824</v>
      </c>
      <c r="F1644" t="s">
        <v>4774</v>
      </c>
      <c r="G1644" t="s">
        <v>19</v>
      </c>
      <c r="I1644" t="s">
        <v>6825</v>
      </c>
      <c r="J1644" s="9" t="s">
        <v>12120</v>
      </c>
      <c r="Q1644" s="10"/>
      <c r="U1644" s="9" t="str">
        <f t="shared" ca="1" si="68"/>
        <v/>
      </c>
      <c r="V1644" s="9" t="str">
        <f t="shared" ca="1" si="69"/>
        <v/>
      </c>
      <c r="AF1644" s="9" t="s">
        <v>19</v>
      </c>
    </row>
    <row r="1645" spans="1:33">
      <c r="A1645" s="3" t="s">
        <v>1899</v>
      </c>
      <c r="D1645" s="3" t="s">
        <v>6826</v>
      </c>
      <c r="E1645" s="3" t="s">
        <v>6827</v>
      </c>
      <c r="J1645" s="9" t="s">
        <v>12120</v>
      </c>
      <c r="Q1645" s="10"/>
      <c r="U1645" s="9" t="str">
        <f t="shared" ca="1" si="68"/>
        <v/>
      </c>
      <c r="V1645" s="9" t="str">
        <f t="shared" ca="1" si="69"/>
        <v/>
      </c>
      <c r="AC1645" s="9" t="s">
        <v>12188</v>
      </c>
      <c r="AD1645" s="9" t="s">
        <v>19</v>
      </c>
      <c r="AE1645" s="9" t="s">
        <v>12089</v>
      </c>
    </row>
    <row r="1646" spans="1:33">
      <c r="A1646" s="3" t="s">
        <v>1901</v>
      </c>
      <c r="D1646" s="3" t="s">
        <v>6828</v>
      </c>
      <c r="E1646" s="3" t="s">
        <v>6829</v>
      </c>
      <c r="J1646" s="9" t="s">
        <v>12120</v>
      </c>
      <c r="Q1646" s="10"/>
      <c r="U1646" s="9" t="str">
        <f t="shared" ca="1" si="68"/>
        <v/>
      </c>
      <c r="V1646" s="9" t="str">
        <f t="shared" ca="1" si="69"/>
        <v/>
      </c>
      <c r="AG1646" s="9" t="s">
        <v>20</v>
      </c>
    </row>
    <row r="1647" spans="1:33">
      <c r="A1647" s="3" t="s">
        <v>1902</v>
      </c>
      <c r="D1647" s="11" t="s">
        <v>6831</v>
      </c>
      <c r="E1647" s="11" t="s">
        <v>6830</v>
      </c>
      <c r="J1647" s="9" t="s">
        <v>25</v>
      </c>
      <c r="L1647" s="9">
        <v>1</v>
      </c>
      <c r="M1647" s="9">
        <v>2</v>
      </c>
      <c r="N1647" s="9" t="s">
        <v>12087</v>
      </c>
      <c r="O1647" s="9" t="s">
        <v>12119</v>
      </c>
      <c r="Q1647" s="10"/>
      <c r="S1647" s="9">
        <v>1966</v>
      </c>
      <c r="U1647" s="9" t="str">
        <f t="shared" ca="1" si="68"/>
        <v/>
      </c>
      <c r="V1647" s="9" t="str">
        <f t="shared" ca="1" si="69"/>
        <v/>
      </c>
      <c r="AG1647" s="9" t="s">
        <v>19</v>
      </c>
    </row>
    <row r="1648" spans="1:33">
      <c r="A1648" s="3" t="s">
        <v>1903</v>
      </c>
      <c r="D1648" s="3" t="s">
        <v>867</v>
      </c>
      <c r="E1648" s="3" t="s">
        <v>975</v>
      </c>
      <c r="J1648" s="9" t="s">
        <v>12118</v>
      </c>
      <c r="Q1648" s="10"/>
      <c r="T1648" s="9">
        <f>0-113</f>
        <v>-113</v>
      </c>
      <c r="U1648" s="9">
        <f t="shared" ca="1" si="68"/>
        <v>113</v>
      </c>
      <c r="V1648" s="9">
        <f t="shared" ca="1" si="69"/>
        <v>0</v>
      </c>
      <c r="AC1648" s="9" t="s">
        <v>12166</v>
      </c>
      <c r="AD1648" s="9" t="s">
        <v>19</v>
      </c>
      <c r="AE1648" s="9" t="s">
        <v>12083</v>
      </c>
    </row>
    <row r="1649" spans="1:33" ht="29">
      <c r="A1649" s="3" t="s">
        <v>1903</v>
      </c>
      <c r="D1649" s="3" t="s">
        <v>6832</v>
      </c>
      <c r="E1649" s="3" t="s">
        <v>6833</v>
      </c>
      <c r="J1649" s="9" t="s">
        <v>24</v>
      </c>
      <c r="L1649" s="9">
        <v>1</v>
      </c>
      <c r="M1649" s="9">
        <v>6</v>
      </c>
      <c r="N1649" s="9" t="s">
        <v>12094</v>
      </c>
      <c r="O1649" s="9" t="s">
        <v>12079</v>
      </c>
      <c r="Q1649" s="10"/>
      <c r="S1649" s="9">
        <v>4240</v>
      </c>
      <c r="U1649" s="9" t="str">
        <f t="shared" ca="1" si="68"/>
        <v/>
      </c>
      <c r="V1649" s="9" t="str">
        <f t="shared" ca="1" si="69"/>
        <v/>
      </c>
      <c r="AG1649" s="9" t="s">
        <v>19</v>
      </c>
    </row>
    <row r="1650" spans="1:33" ht="29">
      <c r="A1650" s="3" t="s">
        <v>1903</v>
      </c>
      <c r="D1650" s="3" t="s">
        <v>6835</v>
      </c>
      <c r="E1650" s="3" t="s">
        <v>6834</v>
      </c>
      <c r="G1650" t="s">
        <v>19</v>
      </c>
      <c r="J1650" s="9" t="s">
        <v>12120</v>
      </c>
      <c r="Q1650" s="10"/>
      <c r="U1650" s="9" t="str">
        <f t="shared" ca="1" si="68"/>
        <v/>
      </c>
      <c r="V1650" s="9" t="str">
        <f t="shared" ca="1" si="69"/>
        <v/>
      </c>
    </row>
    <row r="1651" spans="1:33">
      <c r="A1651" s="3" t="s">
        <v>1903</v>
      </c>
      <c r="D1651" s="3" t="s">
        <v>6836</v>
      </c>
      <c r="E1651" s="3" t="s">
        <v>6837</v>
      </c>
      <c r="J1651" s="9" t="s">
        <v>24</v>
      </c>
      <c r="L1651" s="9">
        <v>1</v>
      </c>
      <c r="M1651" s="9">
        <v>3</v>
      </c>
      <c r="N1651" s="9" t="s">
        <v>12087</v>
      </c>
      <c r="O1651" s="9" t="s">
        <v>12073</v>
      </c>
      <c r="P1651" s="9" t="s">
        <v>12142</v>
      </c>
      <c r="Q1651" s="10" t="s">
        <v>12143</v>
      </c>
      <c r="R1651" s="9" t="s">
        <v>12074</v>
      </c>
      <c r="S1651" s="9">
        <v>5676</v>
      </c>
      <c r="U1651" s="9" t="str">
        <f t="shared" ca="1" si="68"/>
        <v/>
      </c>
      <c r="V1651" s="9" t="str">
        <f t="shared" ca="1" si="69"/>
        <v/>
      </c>
      <c r="AE1651" s="9" t="s">
        <v>12083</v>
      </c>
    </row>
    <row r="1652" spans="1:33">
      <c r="A1652" s="3" t="s">
        <v>1903</v>
      </c>
      <c r="D1652" s="3" t="s">
        <v>1904</v>
      </c>
      <c r="E1652" s="3" t="s">
        <v>1905</v>
      </c>
      <c r="J1652" s="9" t="s">
        <v>12118</v>
      </c>
      <c r="Q1652" s="10"/>
      <c r="T1652" s="9">
        <f>2-0</f>
        <v>2</v>
      </c>
      <c r="U1652" s="9">
        <f t="shared" ca="1" si="68"/>
        <v>0</v>
      </c>
      <c r="V1652" s="9">
        <f t="shared" ca="1" si="69"/>
        <v>2</v>
      </c>
      <c r="AC1652" s="9" t="s">
        <v>12130</v>
      </c>
      <c r="AD1652" s="9" t="s">
        <v>19</v>
      </c>
    </row>
    <row r="1653" spans="1:33" ht="29">
      <c r="A1653" s="3" t="s">
        <v>1906</v>
      </c>
      <c r="D1653" s="3" t="s">
        <v>6839</v>
      </c>
      <c r="E1653" s="3" t="s">
        <v>6838</v>
      </c>
      <c r="I1653" t="s">
        <v>5457</v>
      </c>
      <c r="J1653" s="9" t="s">
        <v>26</v>
      </c>
      <c r="Q1653" s="10"/>
      <c r="U1653" s="9" t="str">
        <f t="shared" ca="1" si="68"/>
        <v/>
      </c>
      <c r="V1653" s="9" t="str">
        <f t="shared" ca="1" si="69"/>
        <v/>
      </c>
      <c r="AG1653" s="9" t="s">
        <v>20</v>
      </c>
    </row>
    <row r="1654" spans="1:33" ht="58">
      <c r="A1654" s="3" t="s">
        <v>1907</v>
      </c>
      <c r="D1654" s="3" t="s">
        <v>12307</v>
      </c>
      <c r="E1654" s="3" t="s">
        <v>12308</v>
      </c>
      <c r="G1654" t="s">
        <v>19</v>
      </c>
      <c r="I1654" t="s">
        <v>12310</v>
      </c>
      <c r="J1654" s="9" t="s">
        <v>25</v>
      </c>
      <c r="L1654" s="9">
        <v>5</v>
      </c>
      <c r="M1654" s="9">
        <v>24</v>
      </c>
      <c r="O1654" s="9" t="s">
        <v>12073</v>
      </c>
      <c r="P1654" s="9" t="s">
        <v>12208</v>
      </c>
      <c r="Q1654" s="10" t="s">
        <v>12309</v>
      </c>
      <c r="R1654" s="9" t="s">
        <v>12074</v>
      </c>
      <c r="S1654" s="9">
        <v>165</v>
      </c>
      <c r="U1654" s="9" t="str">
        <f t="shared" ca="1" si="68"/>
        <v/>
      </c>
      <c r="V1654" s="9" t="str">
        <f t="shared" ca="1" si="69"/>
        <v/>
      </c>
    </row>
    <row r="1655" spans="1:33" ht="29">
      <c r="A1655" s="3" t="s">
        <v>1908</v>
      </c>
      <c r="D1655" s="3" t="s">
        <v>6840</v>
      </c>
      <c r="E1655" s="3" t="s">
        <v>6841</v>
      </c>
      <c r="J1655" s="9" t="s">
        <v>25</v>
      </c>
      <c r="L1655" s="9">
        <v>2</v>
      </c>
      <c r="M1655" s="9">
        <v>3</v>
      </c>
      <c r="O1655" s="9" t="s">
        <v>12079</v>
      </c>
      <c r="Q1655" s="10"/>
      <c r="S1655" s="9">
        <v>1966</v>
      </c>
      <c r="U1655" s="9" t="str">
        <f t="shared" ca="1" si="68"/>
        <v/>
      </c>
      <c r="V1655" s="9" t="str">
        <f t="shared" ca="1" si="69"/>
        <v/>
      </c>
      <c r="AG1655" s="9" t="s">
        <v>20</v>
      </c>
    </row>
    <row r="1656" spans="1:33">
      <c r="A1656" s="3" t="s">
        <v>1908</v>
      </c>
      <c r="D1656" s="3" t="s">
        <v>6842</v>
      </c>
      <c r="E1656" s="3" t="s">
        <v>6843</v>
      </c>
      <c r="J1656" s="9" t="s">
        <v>25</v>
      </c>
      <c r="L1656" s="9">
        <v>1</v>
      </c>
      <c r="M1656" s="9">
        <v>1</v>
      </c>
      <c r="N1656" s="9" t="s">
        <v>12078</v>
      </c>
      <c r="O1656" s="9" t="s">
        <v>12119</v>
      </c>
      <c r="Q1656" s="10"/>
      <c r="S1656" s="9">
        <v>11843</v>
      </c>
      <c r="U1656" s="9" t="str">
        <f t="shared" ca="1" si="68"/>
        <v/>
      </c>
      <c r="V1656" s="9" t="str">
        <f t="shared" ca="1" si="69"/>
        <v/>
      </c>
      <c r="AG1656" s="9" t="s">
        <v>20</v>
      </c>
    </row>
    <row r="1657" spans="1:33">
      <c r="A1657" s="3" t="s">
        <v>1908</v>
      </c>
      <c r="D1657" s="3" t="s">
        <v>1909</v>
      </c>
      <c r="E1657" s="11" t="s">
        <v>6844</v>
      </c>
      <c r="G1657" t="s">
        <v>19</v>
      </c>
      <c r="J1657" s="9" t="s">
        <v>12118</v>
      </c>
      <c r="Q1657" s="10"/>
      <c r="T1657" s="9" t="s">
        <v>12131</v>
      </c>
      <c r="U1657" s="9" t="str">
        <f t="shared" ca="1" si="68"/>
        <v/>
      </c>
      <c r="V1657" s="9" t="str">
        <f t="shared" ca="1" si="69"/>
        <v/>
      </c>
      <c r="AE1657" s="9" t="s">
        <v>12086</v>
      </c>
    </row>
    <row r="1658" spans="1:33" ht="43.5">
      <c r="A1658" s="3" t="s">
        <v>1910</v>
      </c>
      <c r="D1658" s="3" t="s">
        <v>6846</v>
      </c>
      <c r="E1658" s="3" t="s">
        <v>6845</v>
      </c>
      <c r="J1658" s="9" t="s">
        <v>12121</v>
      </c>
      <c r="Q1658" s="10"/>
      <c r="T1658" s="9">
        <f>74-74</f>
        <v>0</v>
      </c>
      <c r="U1658" s="9">
        <f t="shared" ca="1" si="68"/>
        <v>74</v>
      </c>
      <c r="V1658" s="9">
        <f t="shared" ca="1" si="69"/>
        <v>74</v>
      </c>
      <c r="AE1658" s="9" t="s">
        <v>12077</v>
      </c>
    </row>
    <row r="1659" spans="1:33">
      <c r="A1659" s="3" t="s">
        <v>1911</v>
      </c>
      <c r="D1659" s="3" t="s">
        <v>6847</v>
      </c>
      <c r="E1659" s="3" t="s">
        <v>6847</v>
      </c>
      <c r="G1659" t="s">
        <v>20</v>
      </c>
      <c r="I1659" t="s">
        <v>6848</v>
      </c>
      <c r="Q1659" s="10"/>
      <c r="U1659" s="9" t="str">
        <f t="shared" ca="1" si="68"/>
        <v/>
      </c>
      <c r="V1659" s="9" t="str">
        <f t="shared" ca="1" si="69"/>
        <v/>
      </c>
    </row>
    <row r="1660" spans="1:33">
      <c r="A1660" s="3" t="s">
        <v>1911</v>
      </c>
      <c r="D1660" s="3" t="s">
        <v>1072</v>
      </c>
      <c r="E1660" s="3" t="s">
        <v>1073</v>
      </c>
      <c r="J1660" s="9" t="s">
        <v>12120</v>
      </c>
      <c r="Q1660" s="10"/>
      <c r="U1660" s="9" t="str">
        <f t="shared" ca="1" si="68"/>
        <v/>
      </c>
      <c r="V1660" s="9" t="str">
        <f t="shared" ca="1" si="69"/>
        <v/>
      </c>
      <c r="AC1660" s="9" t="s">
        <v>12742</v>
      </c>
      <c r="AD1660" s="9" t="s">
        <v>19</v>
      </c>
    </row>
    <row r="1661" spans="1:33" ht="29">
      <c r="A1661" s="3" t="s">
        <v>1912</v>
      </c>
      <c r="D1661" s="3" t="s">
        <v>6850</v>
      </c>
      <c r="E1661" s="3" t="s">
        <v>6849</v>
      </c>
      <c r="J1661" s="9" t="s">
        <v>12118</v>
      </c>
      <c r="Q1661" s="10"/>
      <c r="T1661" s="9">
        <f>22-6</f>
        <v>16</v>
      </c>
      <c r="U1661" s="9">
        <f t="shared" ca="1" si="68"/>
        <v>6</v>
      </c>
      <c r="V1661" s="9">
        <f t="shared" ca="1" si="69"/>
        <v>22</v>
      </c>
      <c r="AG1661" s="9" t="s">
        <v>20</v>
      </c>
    </row>
    <row r="1662" spans="1:33">
      <c r="A1662" s="3" t="s">
        <v>1913</v>
      </c>
      <c r="D1662" s="3" t="s">
        <v>1350</v>
      </c>
      <c r="E1662" s="3" t="s">
        <v>1707</v>
      </c>
      <c r="J1662" s="9" t="s">
        <v>12120</v>
      </c>
      <c r="Q1662" s="10"/>
      <c r="U1662" s="9" t="str">
        <f t="shared" ca="1" si="68"/>
        <v/>
      </c>
      <c r="V1662" s="9" t="str">
        <f t="shared" ca="1" si="69"/>
        <v/>
      </c>
      <c r="AE1662" s="9" t="s">
        <v>12077</v>
      </c>
    </row>
    <row r="1663" spans="1:33" ht="43.5">
      <c r="A1663" s="3" t="s">
        <v>1914</v>
      </c>
      <c r="D1663" s="3" t="s">
        <v>6851</v>
      </c>
      <c r="E1663" s="3" t="s">
        <v>6852</v>
      </c>
      <c r="G1663" t="s">
        <v>21</v>
      </c>
      <c r="I1663" t="s">
        <v>6853</v>
      </c>
      <c r="J1663" s="9" t="s">
        <v>25</v>
      </c>
      <c r="L1663" s="9">
        <v>2</v>
      </c>
      <c r="M1663" s="9">
        <v>18</v>
      </c>
      <c r="O1663" s="9" t="s">
        <v>12079</v>
      </c>
      <c r="Q1663" s="10"/>
      <c r="S1663" s="9">
        <v>26</v>
      </c>
      <c r="U1663" s="9" t="str">
        <f t="shared" ca="1" si="68"/>
        <v/>
      </c>
      <c r="V1663" s="9" t="str">
        <f t="shared" ca="1" si="69"/>
        <v/>
      </c>
    </row>
    <row r="1664" spans="1:33">
      <c r="A1664" s="3" t="s">
        <v>1915</v>
      </c>
      <c r="D1664" s="3" t="s">
        <v>6854</v>
      </c>
      <c r="E1664" s="3" t="s">
        <v>6855</v>
      </c>
      <c r="J1664" s="9" t="s">
        <v>12118</v>
      </c>
      <c r="Q1664" s="10"/>
      <c r="T1664" s="9">
        <f>4-1</f>
        <v>3</v>
      </c>
      <c r="U1664" s="9">
        <f t="shared" ca="1" si="68"/>
        <v>1</v>
      </c>
      <c r="V1664" s="9">
        <f t="shared" ca="1" si="69"/>
        <v>4</v>
      </c>
      <c r="AG1664" s="9" t="s">
        <v>20</v>
      </c>
    </row>
    <row r="1665" spans="1:33" ht="29">
      <c r="A1665" s="3" t="s">
        <v>1915</v>
      </c>
      <c r="D1665" s="3" t="s">
        <v>6856</v>
      </c>
      <c r="E1665" s="3" t="s">
        <v>6857</v>
      </c>
      <c r="G1665" t="s">
        <v>20</v>
      </c>
      <c r="I1665" t="s">
        <v>6858</v>
      </c>
      <c r="J1665" s="9" t="s">
        <v>12118</v>
      </c>
      <c r="Q1665" s="10"/>
      <c r="T1665" s="9">
        <f>1496-526</f>
        <v>970</v>
      </c>
      <c r="U1665" s="9">
        <f t="shared" ca="1" si="68"/>
        <v>526</v>
      </c>
      <c r="V1665" s="9">
        <f t="shared" ca="1" si="69"/>
        <v>1496</v>
      </c>
      <c r="AC1665" s="9" t="s">
        <v>12144</v>
      </c>
      <c r="AD1665" s="9" t="s">
        <v>19</v>
      </c>
    </row>
    <row r="1666" spans="1:33">
      <c r="A1666" s="3" t="s">
        <v>1915</v>
      </c>
      <c r="D1666" s="3" t="s">
        <v>6860</v>
      </c>
      <c r="E1666" s="3" t="s">
        <v>6859</v>
      </c>
      <c r="J1666" s="9" t="s">
        <v>25</v>
      </c>
      <c r="L1666" s="9">
        <v>1</v>
      </c>
      <c r="M1666" s="9">
        <v>2</v>
      </c>
      <c r="N1666" s="9" t="s">
        <v>12094</v>
      </c>
      <c r="O1666" s="9" t="s">
        <v>12119</v>
      </c>
      <c r="Q1666" s="10"/>
      <c r="S1666" s="9">
        <v>1741</v>
      </c>
      <c r="U1666" s="9" t="str">
        <f t="shared" ca="1" si="68"/>
        <v/>
      </c>
      <c r="V1666" s="9" t="str">
        <f t="shared" ca="1" si="69"/>
        <v/>
      </c>
      <c r="AG1666" s="9" t="s">
        <v>20</v>
      </c>
    </row>
    <row r="1667" spans="1:33">
      <c r="A1667" s="3" t="s">
        <v>1915</v>
      </c>
      <c r="D1667" s="3" t="s">
        <v>6862</v>
      </c>
      <c r="E1667" s="3" t="s">
        <v>6861</v>
      </c>
      <c r="J1667" s="9" t="s">
        <v>24</v>
      </c>
      <c r="L1667" s="9">
        <v>1</v>
      </c>
      <c r="M1667" s="9">
        <v>3</v>
      </c>
      <c r="N1667" s="9" t="s">
        <v>12087</v>
      </c>
      <c r="O1667" s="9" t="s">
        <v>12079</v>
      </c>
      <c r="Q1667" s="10"/>
      <c r="S1667" s="9">
        <v>5676</v>
      </c>
      <c r="U1667" s="9" t="str">
        <f t="shared" ca="1" si="68"/>
        <v/>
      </c>
      <c r="V1667" s="9" t="str">
        <f t="shared" ca="1" si="69"/>
        <v/>
      </c>
      <c r="AG1667" s="9" t="s">
        <v>19</v>
      </c>
    </row>
    <row r="1668" spans="1:33">
      <c r="A1668" s="3" t="s">
        <v>1916</v>
      </c>
      <c r="D1668" s="5" t="s">
        <v>6863</v>
      </c>
      <c r="E1668" s="3" t="s">
        <v>1917</v>
      </c>
      <c r="F1668" t="s">
        <v>15</v>
      </c>
      <c r="Q1668" s="10"/>
      <c r="U1668" s="9" t="str">
        <f t="shared" ca="1" si="68"/>
        <v/>
      </c>
      <c r="V1668" s="9" t="str">
        <f t="shared" ca="1" si="69"/>
        <v/>
      </c>
    </row>
    <row r="1669" spans="1:33">
      <c r="A1669" s="3" t="s">
        <v>1918</v>
      </c>
      <c r="D1669" s="3" t="s">
        <v>1919</v>
      </c>
      <c r="E1669" s="3" t="s">
        <v>1920</v>
      </c>
      <c r="G1669" t="s">
        <v>20</v>
      </c>
      <c r="I1669" t="s">
        <v>6864</v>
      </c>
      <c r="J1669" s="9" t="s">
        <v>12118</v>
      </c>
      <c r="Q1669" s="10"/>
      <c r="T1669" s="9">
        <f>0-0</f>
        <v>0</v>
      </c>
      <c r="U1669" s="9">
        <f t="shared" ca="1" si="68"/>
        <v>0</v>
      </c>
      <c r="V1669" s="9">
        <f t="shared" ca="1" si="69"/>
        <v>0</v>
      </c>
      <c r="AC1669" s="9" t="s">
        <v>12153</v>
      </c>
      <c r="AD1669" s="9" t="s">
        <v>19</v>
      </c>
    </row>
    <row r="1670" spans="1:33">
      <c r="A1670" s="3" t="s">
        <v>1921</v>
      </c>
      <c r="D1670" s="3" t="s">
        <v>1229</v>
      </c>
      <c r="E1670" s="3" t="s">
        <v>1230</v>
      </c>
      <c r="J1670" s="9" t="s">
        <v>12118</v>
      </c>
      <c r="Q1670" s="10"/>
      <c r="T1670" s="9">
        <f>8-77</f>
        <v>-69</v>
      </c>
      <c r="U1670" s="9">
        <f t="shared" ca="1" si="68"/>
        <v>77</v>
      </c>
      <c r="V1670" s="9">
        <f t="shared" ca="1" si="69"/>
        <v>8</v>
      </c>
      <c r="AG1670" s="9" t="s">
        <v>19</v>
      </c>
    </row>
    <row r="1671" spans="1:33" ht="29">
      <c r="A1671" s="3" t="s">
        <v>1921</v>
      </c>
      <c r="D1671" s="3" t="s">
        <v>6866</v>
      </c>
      <c r="E1671" s="3" t="s">
        <v>6867</v>
      </c>
      <c r="J1671" s="9" t="s">
        <v>12118</v>
      </c>
      <c r="Q1671" s="10"/>
      <c r="T1671" s="9" t="s">
        <v>12131</v>
      </c>
      <c r="U1671" s="9" t="str">
        <f t="shared" ca="1" si="68"/>
        <v/>
      </c>
      <c r="V1671" s="9" t="str">
        <f t="shared" ca="1" si="69"/>
        <v/>
      </c>
      <c r="AE1671" s="9" t="s">
        <v>12077</v>
      </c>
    </row>
    <row r="1672" spans="1:33" ht="29">
      <c r="A1672" s="3" t="s">
        <v>1921</v>
      </c>
      <c r="D1672" s="3" t="s">
        <v>6865</v>
      </c>
      <c r="E1672" s="3" t="s">
        <v>6868</v>
      </c>
      <c r="J1672" s="9" t="s">
        <v>24</v>
      </c>
      <c r="L1672" s="9">
        <v>1</v>
      </c>
      <c r="M1672" s="9">
        <v>3</v>
      </c>
      <c r="N1672" s="9" t="s">
        <v>12087</v>
      </c>
      <c r="O1672" s="9" t="s">
        <v>12079</v>
      </c>
      <c r="Q1672" s="10"/>
      <c r="S1672" s="9">
        <v>309</v>
      </c>
      <c r="U1672" s="9" t="str">
        <f t="shared" ca="1" si="68"/>
        <v/>
      </c>
      <c r="V1672" s="9" t="str">
        <f t="shared" ca="1" si="69"/>
        <v/>
      </c>
      <c r="AG1672" s="9" t="s">
        <v>19</v>
      </c>
    </row>
    <row r="1673" spans="1:33">
      <c r="A1673" s="3" t="s">
        <v>1922</v>
      </c>
      <c r="D1673" s="3" t="s">
        <v>1923</v>
      </c>
      <c r="E1673" s="3" t="s">
        <v>518</v>
      </c>
      <c r="J1673" s="9" t="s">
        <v>12120</v>
      </c>
      <c r="Q1673" s="10"/>
      <c r="U1673" s="9" t="str">
        <f t="shared" ca="1" si="68"/>
        <v/>
      </c>
      <c r="V1673" s="9" t="str">
        <f t="shared" ca="1" si="69"/>
        <v/>
      </c>
      <c r="AC1673" s="9" t="s">
        <v>12134</v>
      </c>
      <c r="AD1673" s="9" t="s">
        <v>19</v>
      </c>
      <c r="AE1673" s="9" t="s">
        <v>12086</v>
      </c>
    </row>
    <row r="1674" spans="1:33">
      <c r="A1674" s="3" t="s">
        <v>1924</v>
      </c>
      <c r="D1674" s="3" t="s">
        <v>6871</v>
      </c>
      <c r="E1674" s="11" t="s">
        <v>6872</v>
      </c>
      <c r="J1674" s="9" t="s">
        <v>24</v>
      </c>
      <c r="L1674" s="9">
        <v>1</v>
      </c>
      <c r="M1674" s="9">
        <v>2</v>
      </c>
      <c r="N1674" s="9" t="s">
        <v>12078</v>
      </c>
      <c r="O1674" s="9" t="s">
        <v>12119</v>
      </c>
      <c r="Q1674" s="10"/>
      <c r="S1674" s="9">
        <v>11843</v>
      </c>
      <c r="U1674" s="9" t="str">
        <f t="shared" ca="1" si="68"/>
        <v/>
      </c>
      <c r="V1674" s="9" t="str">
        <f t="shared" ca="1" si="69"/>
        <v/>
      </c>
      <c r="AG1674" s="9" t="s">
        <v>19</v>
      </c>
    </row>
    <row r="1675" spans="1:33">
      <c r="A1675" s="3" t="s">
        <v>1924</v>
      </c>
      <c r="D1675" s="3" t="s">
        <v>6869</v>
      </c>
      <c r="E1675" s="11" t="s">
        <v>6870</v>
      </c>
      <c r="J1675" s="9" t="s">
        <v>12118</v>
      </c>
      <c r="Q1675" s="10"/>
      <c r="T1675" s="9" t="s">
        <v>12131</v>
      </c>
      <c r="U1675" s="9" t="str">
        <f t="shared" ref="U1675:U1737" ca="1" si="70">IF(ISNUMBER(T1675),VALUE(MID(_xlfn.FORMULATEXT(T1675),SEARCH("-",_xlfn.FORMULATEXT(T1675))+1,LEN(_xlfn.FORMULATEXT(T1675))-SEARCH("-",_xlfn.FORMULATEXT(T1675)))), "")</f>
        <v/>
      </c>
      <c r="V1675" s="9" t="str">
        <f t="shared" ref="V1675:V1737" ca="1" si="71">IF(ISNUMBER(T1675), VALUE(MID(_xlfn.FORMULATEXT(T1675), 2, SEARCH("-", _xlfn.FORMULATEXT(T1675)) - 2)), "")</f>
        <v/>
      </c>
      <c r="AE1675" s="9" t="s">
        <v>12086</v>
      </c>
    </row>
    <row r="1676" spans="1:33" ht="29">
      <c r="A1676" s="3" t="s">
        <v>1925</v>
      </c>
      <c r="D1676" s="3" t="s">
        <v>6873</v>
      </c>
      <c r="E1676" s="3" t="s">
        <v>6874</v>
      </c>
      <c r="J1676" s="9" t="s">
        <v>12118</v>
      </c>
      <c r="Q1676" s="10"/>
      <c r="T1676" s="9">
        <f>310-444</f>
        <v>-134</v>
      </c>
      <c r="U1676" s="9">
        <f t="shared" ca="1" si="70"/>
        <v>444</v>
      </c>
      <c r="V1676" s="9">
        <f t="shared" ca="1" si="71"/>
        <v>310</v>
      </c>
      <c r="AG1676" s="9" t="s">
        <v>20</v>
      </c>
    </row>
    <row r="1677" spans="1:33" ht="29">
      <c r="A1677" s="3" t="s">
        <v>1926</v>
      </c>
      <c r="D1677" s="3" t="s">
        <v>6876</v>
      </c>
      <c r="E1677" s="3" t="s">
        <v>6875</v>
      </c>
      <c r="I1677" t="s">
        <v>5457</v>
      </c>
      <c r="J1677" s="9" t="s">
        <v>26</v>
      </c>
      <c r="Q1677" s="10"/>
      <c r="U1677" s="9" t="str">
        <f t="shared" ca="1" si="70"/>
        <v/>
      </c>
      <c r="V1677" s="9" t="str">
        <f t="shared" ca="1" si="71"/>
        <v/>
      </c>
      <c r="AG1677" s="9" t="s">
        <v>19</v>
      </c>
    </row>
    <row r="1678" spans="1:33" ht="87">
      <c r="A1678" s="3" t="s">
        <v>1927</v>
      </c>
      <c r="D1678" s="3" t="s">
        <v>12311</v>
      </c>
      <c r="E1678" s="3" t="s">
        <v>12312</v>
      </c>
      <c r="I1678" t="s">
        <v>12313</v>
      </c>
      <c r="J1678" s="9" t="s">
        <v>25</v>
      </c>
      <c r="L1678" s="9">
        <v>9</v>
      </c>
      <c r="M1678" s="9">
        <v>42</v>
      </c>
      <c r="O1678" s="9" t="s">
        <v>12073</v>
      </c>
      <c r="P1678" s="9" t="s">
        <v>12140</v>
      </c>
      <c r="Q1678" s="10" t="s">
        <v>12278</v>
      </c>
      <c r="S1678" s="9">
        <v>17</v>
      </c>
      <c r="U1678" s="9" t="str">
        <f t="shared" ca="1" si="70"/>
        <v/>
      </c>
      <c r="V1678" s="9" t="str">
        <f t="shared" ca="1" si="71"/>
        <v/>
      </c>
      <c r="AG1678" s="9" t="s">
        <v>20</v>
      </c>
    </row>
    <row r="1679" spans="1:33" ht="43.5">
      <c r="A1679" s="3" t="s">
        <v>1928</v>
      </c>
      <c r="D1679" s="3" t="s">
        <v>6877</v>
      </c>
      <c r="E1679" s="3" t="s">
        <v>6878</v>
      </c>
      <c r="J1679" s="9" t="s">
        <v>24</v>
      </c>
      <c r="L1679" s="9">
        <v>1</v>
      </c>
      <c r="M1679" s="9">
        <v>3</v>
      </c>
      <c r="N1679" s="9" t="s">
        <v>12078</v>
      </c>
      <c r="O1679" s="9" t="s">
        <v>12079</v>
      </c>
      <c r="Q1679" s="10"/>
      <c r="S1679" s="9">
        <v>11843</v>
      </c>
      <c r="U1679" s="9" t="str">
        <f t="shared" ca="1" si="70"/>
        <v/>
      </c>
      <c r="V1679" s="9" t="str">
        <f t="shared" ca="1" si="71"/>
        <v/>
      </c>
      <c r="AG1679" s="9" t="s">
        <v>19</v>
      </c>
    </row>
    <row r="1680" spans="1:33" ht="43.5">
      <c r="A1680" s="3" t="s">
        <v>1928</v>
      </c>
      <c r="D1680" s="6" t="s">
        <v>6879</v>
      </c>
      <c r="E1680" s="3" t="s">
        <v>6880</v>
      </c>
      <c r="F1680" t="s">
        <v>4774</v>
      </c>
      <c r="G1680" t="s">
        <v>19</v>
      </c>
      <c r="I1680" t="s">
        <v>13113</v>
      </c>
      <c r="J1680" s="9" t="s">
        <v>12120</v>
      </c>
      <c r="Q1680" s="10"/>
      <c r="U1680" s="9" t="str">
        <f t="shared" ca="1" si="70"/>
        <v/>
      </c>
      <c r="V1680" s="9" t="str">
        <f t="shared" ca="1" si="71"/>
        <v/>
      </c>
    </row>
    <row r="1681" spans="1:33" ht="29">
      <c r="A1681" s="3" t="s">
        <v>1928</v>
      </c>
      <c r="D1681" s="3" t="s">
        <v>6881</v>
      </c>
      <c r="E1681" s="3" t="s">
        <v>6882</v>
      </c>
      <c r="J1681" s="9" t="s">
        <v>24</v>
      </c>
      <c r="L1681" s="9">
        <v>1</v>
      </c>
      <c r="M1681" s="9">
        <v>6</v>
      </c>
      <c r="N1681" s="9" t="s">
        <v>12125</v>
      </c>
      <c r="O1681" s="9" t="s">
        <v>12073</v>
      </c>
      <c r="P1681" s="9" t="s">
        <v>12142</v>
      </c>
      <c r="Q1681" s="10" t="s">
        <v>12158</v>
      </c>
      <c r="R1681" s="9" t="s">
        <v>12074</v>
      </c>
      <c r="S1681" s="9">
        <v>6</v>
      </c>
      <c r="U1681" s="9" t="str">
        <f t="shared" ca="1" si="70"/>
        <v/>
      </c>
      <c r="V1681" s="9" t="str">
        <f t="shared" ca="1" si="71"/>
        <v/>
      </c>
      <c r="AE1681" s="9" t="s">
        <v>12083</v>
      </c>
    </row>
    <row r="1682" spans="1:33">
      <c r="A1682" s="3" t="s">
        <v>1929</v>
      </c>
      <c r="D1682" s="3" t="s">
        <v>6286</v>
      </c>
      <c r="E1682" s="3" t="s">
        <v>6883</v>
      </c>
      <c r="J1682" s="9" t="s">
        <v>12118</v>
      </c>
      <c r="Q1682" s="10"/>
      <c r="T1682" s="9">
        <f>5676-1966</f>
        <v>3710</v>
      </c>
      <c r="U1682" s="9">
        <f t="shared" ca="1" si="70"/>
        <v>1966</v>
      </c>
      <c r="V1682" s="9">
        <f t="shared" ca="1" si="71"/>
        <v>5676</v>
      </c>
      <c r="AG1682" s="9" t="s">
        <v>19</v>
      </c>
    </row>
    <row r="1683" spans="1:33" ht="43.5">
      <c r="A1683" s="3" t="s">
        <v>1930</v>
      </c>
      <c r="D1683" s="3" t="s">
        <v>6884</v>
      </c>
      <c r="E1683" s="3" t="s">
        <v>6885</v>
      </c>
      <c r="J1683" s="9" t="s">
        <v>12120</v>
      </c>
      <c r="Q1683" s="10"/>
      <c r="U1683" s="9" t="str">
        <f t="shared" ca="1" si="70"/>
        <v/>
      </c>
      <c r="V1683" s="9" t="str">
        <f t="shared" ca="1" si="71"/>
        <v/>
      </c>
      <c r="AG1683" s="9" t="s">
        <v>19</v>
      </c>
    </row>
    <row r="1684" spans="1:33" ht="43.5">
      <c r="A1684" s="3" t="s">
        <v>1930</v>
      </c>
      <c r="D1684" s="3" t="s">
        <v>6887</v>
      </c>
      <c r="E1684" s="3" t="s">
        <v>6886</v>
      </c>
      <c r="G1684" t="s">
        <v>19</v>
      </c>
      <c r="J1684" s="9" t="s">
        <v>12118</v>
      </c>
      <c r="Q1684" s="10"/>
      <c r="T1684" s="9" t="s">
        <v>12131</v>
      </c>
      <c r="U1684" s="9" t="str">
        <f t="shared" ca="1" si="70"/>
        <v/>
      </c>
      <c r="V1684" s="9" t="str">
        <f t="shared" ca="1" si="71"/>
        <v/>
      </c>
      <c r="AE1684" s="9" t="s">
        <v>12086</v>
      </c>
    </row>
    <row r="1685" spans="1:33">
      <c r="A1685" s="3" t="s">
        <v>1931</v>
      </c>
      <c r="D1685" s="3" t="s">
        <v>953</v>
      </c>
      <c r="E1685" s="3" t="s">
        <v>954</v>
      </c>
      <c r="J1685" s="9" t="s">
        <v>12120</v>
      </c>
      <c r="Q1685" s="10"/>
      <c r="U1685" s="9" t="str">
        <f t="shared" ca="1" si="70"/>
        <v/>
      </c>
      <c r="V1685" s="9" t="str">
        <f t="shared" ca="1" si="71"/>
        <v/>
      </c>
      <c r="AC1685" s="9" t="s">
        <v>12130</v>
      </c>
      <c r="AD1685" s="9" t="s">
        <v>19</v>
      </c>
    </row>
    <row r="1686" spans="1:33">
      <c r="A1686" s="3" t="s">
        <v>1932</v>
      </c>
      <c r="D1686" s="3" t="s">
        <v>1933</v>
      </c>
      <c r="E1686" s="3" t="s">
        <v>1934</v>
      </c>
      <c r="J1686" s="9" t="s">
        <v>12118</v>
      </c>
      <c r="Q1686" s="10"/>
      <c r="T1686" s="9" t="s">
        <v>12131</v>
      </c>
      <c r="U1686" s="9" t="str">
        <f t="shared" ca="1" si="70"/>
        <v/>
      </c>
      <c r="V1686" s="9" t="str">
        <f t="shared" ca="1" si="71"/>
        <v/>
      </c>
      <c r="AC1686" s="9" t="s">
        <v>12188</v>
      </c>
      <c r="AD1686" s="9" t="s">
        <v>19</v>
      </c>
      <c r="AE1686" s="9" t="s">
        <v>12086</v>
      </c>
    </row>
    <row r="1687" spans="1:33">
      <c r="A1687" s="3" t="s">
        <v>1935</v>
      </c>
      <c r="D1687" s="3" t="s">
        <v>1936</v>
      </c>
      <c r="E1687" s="3" t="s">
        <v>1245</v>
      </c>
      <c r="G1687" t="s">
        <v>19</v>
      </c>
      <c r="J1687" s="9" t="s">
        <v>12118</v>
      </c>
      <c r="Q1687" s="10"/>
      <c r="T1687" s="9" t="s">
        <v>12131</v>
      </c>
      <c r="U1687" s="9" t="str">
        <f t="shared" ca="1" si="70"/>
        <v/>
      </c>
      <c r="V1687" s="9" t="str">
        <f t="shared" ca="1" si="71"/>
        <v/>
      </c>
      <c r="AE1687" s="9" t="s">
        <v>12086</v>
      </c>
    </row>
    <row r="1688" spans="1:33">
      <c r="A1688" s="3" t="s">
        <v>1937</v>
      </c>
      <c r="D1688" s="3" t="s">
        <v>1187</v>
      </c>
      <c r="E1688" s="3" t="s">
        <v>1188</v>
      </c>
      <c r="J1688" s="9" t="s">
        <v>12118</v>
      </c>
      <c r="Q1688" s="10"/>
      <c r="T1688" s="9" t="s">
        <v>12131</v>
      </c>
      <c r="U1688" s="9" t="str">
        <f t="shared" ca="1" si="70"/>
        <v/>
      </c>
      <c r="V1688" s="9" t="str">
        <f t="shared" ca="1" si="71"/>
        <v/>
      </c>
      <c r="AC1688" s="9" t="s">
        <v>12130</v>
      </c>
      <c r="AD1688" s="9" t="s">
        <v>19</v>
      </c>
      <c r="AE1688" s="9" t="s">
        <v>12086</v>
      </c>
    </row>
    <row r="1689" spans="1:33" ht="29">
      <c r="A1689" s="3" t="s">
        <v>1938</v>
      </c>
      <c r="D1689" s="3" t="s">
        <v>6889</v>
      </c>
      <c r="E1689" s="3" t="s">
        <v>6888</v>
      </c>
      <c r="G1689" t="s">
        <v>20</v>
      </c>
      <c r="I1689" t="s">
        <v>12667</v>
      </c>
      <c r="J1689" s="9" t="s">
        <v>25</v>
      </c>
      <c r="L1689" s="9">
        <v>1</v>
      </c>
      <c r="M1689" s="9">
        <v>6</v>
      </c>
      <c r="N1689" s="9" t="s">
        <v>12125</v>
      </c>
      <c r="O1689" s="9" t="s">
        <v>12073</v>
      </c>
      <c r="P1689" s="9" t="s">
        <v>12142</v>
      </c>
      <c r="Q1689" s="10" t="s">
        <v>12160</v>
      </c>
      <c r="S1689" s="9">
        <v>2042</v>
      </c>
      <c r="U1689" s="9" t="str">
        <f t="shared" ca="1" si="70"/>
        <v/>
      </c>
      <c r="V1689" s="9" t="str">
        <f t="shared" ca="1" si="71"/>
        <v/>
      </c>
      <c r="W1689" s="9" t="s">
        <v>12117</v>
      </c>
      <c r="AG1689" s="9" t="s">
        <v>19</v>
      </c>
    </row>
    <row r="1690" spans="1:33">
      <c r="A1690" s="3" t="s">
        <v>1939</v>
      </c>
      <c r="D1690" s="3" t="s">
        <v>1940</v>
      </c>
      <c r="E1690" s="3" t="s">
        <v>1941</v>
      </c>
      <c r="J1690" s="9" t="s">
        <v>12118</v>
      </c>
      <c r="Q1690" s="10"/>
      <c r="T1690" s="9" t="s">
        <v>12131</v>
      </c>
      <c r="U1690" s="9" t="str">
        <f t="shared" ca="1" si="70"/>
        <v/>
      </c>
      <c r="V1690" s="9" t="str">
        <f t="shared" ca="1" si="71"/>
        <v/>
      </c>
      <c r="AC1690" s="9" t="s">
        <v>12130</v>
      </c>
      <c r="AD1690" s="9" t="s">
        <v>19</v>
      </c>
      <c r="AE1690" s="9" t="s">
        <v>12086</v>
      </c>
    </row>
    <row r="1691" spans="1:33">
      <c r="A1691" s="3" t="s">
        <v>1942</v>
      </c>
      <c r="D1691" s="3" t="s">
        <v>6890</v>
      </c>
      <c r="E1691" s="3" t="s">
        <v>6891</v>
      </c>
      <c r="J1691" s="9" t="s">
        <v>12120</v>
      </c>
      <c r="Q1691" s="10"/>
      <c r="U1691" s="9" t="str">
        <f t="shared" ca="1" si="70"/>
        <v/>
      </c>
      <c r="V1691" s="9" t="str">
        <f t="shared" ca="1" si="71"/>
        <v/>
      </c>
      <c r="AG1691" s="9" t="s">
        <v>19</v>
      </c>
    </row>
    <row r="1692" spans="1:33" ht="29">
      <c r="A1692" s="3" t="s">
        <v>1943</v>
      </c>
      <c r="D1692" s="3" t="s">
        <v>12314</v>
      </c>
      <c r="E1692" s="3" t="s">
        <v>6892</v>
      </c>
      <c r="J1692" s="9" t="s">
        <v>25</v>
      </c>
      <c r="L1692" s="9">
        <v>1</v>
      </c>
      <c r="M1692" s="9">
        <v>10</v>
      </c>
      <c r="N1692" s="9" t="s">
        <v>12098</v>
      </c>
      <c r="O1692" s="9" t="s">
        <v>12079</v>
      </c>
      <c r="Q1692" s="10"/>
      <c r="S1692" s="9">
        <v>229</v>
      </c>
      <c r="U1692" s="9" t="str">
        <f t="shared" ca="1" si="70"/>
        <v/>
      </c>
      <c r="V1692" s="9" t="str">
        <f t="shared" ca="1" si="71"/>
        <v/>
      </c>
      <c r="AG1692" s="9" t="s">
        <v>19</v>
      </c>
    </row>
    <row r="1693" spans="1:33" ht="29">
      <c r="A1693" s="3" t="s">
        <v>1943</v>
      </c>
      <c r="D1693" s="3" t="s">
        <v>12315</v>
      </c>
      <c r="E1693" s="3" t="s">
        <v>12316</v>
      </c>
      <c r="J1693" s="9" t="s">
        <v>12120</v>
      </c>
      <c r="Q1693" s="10"/>
      <c r="U1693" s="9" t="str">
        <f t="shared" ca="1" si="70"/>
        <v/>
      </c>
      <c r="V1693" s="9" t="str">
        <f t="shared" ca="1" si="71"/>
        <v/>
      </c>
      <c r="AG1693" s="9" t="s">
        <v>19</v>
      </c>
    </row>
    <row r="1694" spans="1:33" ht="29">
      <c r="A1694" s="3" t="s">
        <v>1943</v>
      </c>
      <c r="D1694" s="3" t="s">
        <v>12317</v>
      </c>
      <c r="E1694" s="3" t="s">
        <v>6892</v>
      </c>
      <c r="J1694" s="9" t="s">
        <v>25</v>
      </c>
      <c r="L1694" s="9">
        <v>1</v>
      </c>
      <c r="M1694" s="9">
        <v>4</v>
      </c>
      <c r="N1694" s="9" t="s">
        <v>12094</v>
      </c>
      <c r="O1694" s="9" t="s">
        <v>12079</v>
      </c>
      <c r="Q1694" s="10"/>
      <c r="S1694" s="9">
        <v>4240</v>
      </c>
      <c r="U1694" s="9" t="str">
        <f t="shared" ca="1" si="70"/>
        <v/>
      </c>
      <c r="V1694" s="9" t="str">
        <f t="shared" ca="1" si="71"/>
        <v/>
      </c>
      <c r="AG1694" s="9" t="s">
        <v>19</v>
      </c>
    </row>
    <row r="1695" spans="1:33" ht="29">
      <c r="A1695" s="3" t="s">
        <v>1943</v>
      </c>
      <c r="D1695" s="3" t="s">
        <v>6894</v>
      </c>
      <c r="E1695" s="3" t="s">
        <v>6893</v>
      </c>
      <c r="G1695" t="s">
        <v>19</v>
      </c>
      <c r="J1695" s="9" t="s">
        <v>24</v>
      </c>
      <c r="L1695" s="9">
        <v>1</v>
      </c>
      <c r="M1695" s="9">
        <v>3</v>
      </c>
      <c r="N1695" s="9" t="s">
        <v>12078</v>
      </c>
      <c r="O1695" s="9" t="s">
        <v>12079</v>
      </c>
      <c r="Q1695" s="10"/>
      <c r="S1695" s="9">
        <v>11843</v>
      </c>
      <c r="U1695" s="9" t="str">
        <f t="shared" ca="1" si="70"/>
        <v/>
      </c>
      <c r="V1695" s="9" t="str">
        <f t="shared" ca="1" si="71"/>
        <v/>
      </c>
    </row>
    <row r="1696" spans="1:33" ht="29">
      <c r="A1696" s="3" t="s">
        <v>1944</v>
      </c>
      <c r="D1696" s="3" t="s">
        <v>6896</v>
      </c>
      <c r="E1696" s="3" t="s">
        <v>6897</v>
      </c>
      <c r="J1696" s="9" t="s">
        <v>12118</v>
      </c>
      <c r="Q1696" s="10"/>
      <c r="T1696" s="9" t="s">
        <v>12131</v>
      </c>
      <c r="U1696" s="9" t="str">
        <f t="shared" ca="1" si="70"/>
        <v/>
      </c>
      <c r="V1696" s="9" t="str">
        <f t="shared" ca="1" si="71"/>
        <v/>
      </c>
      <c r="AC1696" s="9" t="s">
        <v>12130</v>
      </c>
      <c r="AD1696" s="9" t="s">
        <v>19</v>
      </c>
      <c r="AE1696" s="9" t="s">
        <v>12086</v>
      </c>
    </row>
    <row r="1697" spans="1:33" ht="29">
      <c r="A1697" s="3" t="s">
        <v>1944</v>
      </c>
      <c r="D1697" s="3" t="s">
        <v>6898</v>
      </c>
      <c r="E1697" s="3" t="s">
        <v>6895</v>
      </c>
      <c r="J1697" s="9" t="s">
        <v>25</v>
      </c>
      <c r="L1697" s="9">
        <v>1</v>
      </c>
      <c r="M1697" s="9">
        <v>3</v>
      </c>
      <c r="N1697" s="9" t="s">
        <v>12087</v>
      </c>
      <c r="O1697" s="9" t="s">
        <v>12079</v>
      </c>
      <c r="Q1697" s="10"/>
      <c r="S1697" s="9">
        <v>5676</v>
      </c>
      <c r="U1697" s="9" t="str">
        <f t="shared" ca="1" si="70"/>
        <v/>
      </c>
      <c r="V1697" s="9" t="str">
        <f t="shared" ca="1" si="71"/>
        <v/>
      </c>
      <c r="AG1697" s="9" t="s">
        <v>19</v>
      </c>
    </row>
    <row r="1698" spans="1:33" ht="29">
      <c r="A1698" s="3" t="s">
        <v>1945</v>
      </c>
      <c r="D1698" s="3" t="s">
        <v>6900</v>
      </c>
      <c r="E1698" s="3" t="s">
        <v>6899</v>
      </c>
      <c r="G1698" t="s">
        <v>19</v>
      </c>
      <c r="J1698" s="9" t="s">
        <v>12120</v>
      </c>
      <c r="Q1698" s="10"/>
      <c r="U1698" s="9" t="str">
        <f t="shared" ca="1" si="70"/>
        <v/>
      </c>
      <c r="V1698" s="9" t="str">
        <f t="shared" ca="1" si="71"/>
        <v/>
      </c>
    </row>
    <row r="1699" spans="1:33" ht="43.5">
      <c r="A1699" s="3" t="s">
        <v>1946</v>
      </c>
      <c r="D1699" s="3" t="s">
        <v>6902</v>
      </c>
      <c r="E1699" s="3" t="s">
        <v>6903</v>
      </c>
      <c r="J1699" s="9" t="s">
        <v>12120</v>
      </c>
      <c r="Q1699" s="10"/>
      <c r="U1699" s="9" t="str">
        <f t="shared" ca="1" si="70"/>
        <v/>
      </c>
      <c r="V1699" s="9" t="str">
        <f t="shared" ca="1" si="71"/>
        <v/>
      </c>
      <c r="AB1699" s="9" t="s">
        <v>12738</v>
      </c>
      <c r="AD1699" s="9" t="s">
        <v>19</v>
      </c>
      <c r="AE1699" s="9" t="s">
        <v>12086</v>
      </c>
    </row>
    <row r="1700" spans="1:33" ht="43.5">
      <c r="A1700" s="3" t="s">
        <v>1946</v>
      </c>
      <c r="D1700" s="3" t="s">
        <v>6901</v>
      </c>
      <c r="E1700" s="3" t="s">
        <v>6904</v>
      </c>
      <c r="J1700" s="9" t="s">
        <v>24</v>
      </c>
      <c r="L1700" s="9">
        <v>3</v>
      </c>
      <c r="M1700" s="9">
        <v>20</v>
      </c>
      <c r="O1700" s="9" t="s">
        <v>12073</v>
      </c>
      <c r="P1700" s="9" t="s">
        <v>12140</v>
      </c>
      <c r="Q1700" s="10" t="s">
        <v>12193</v>
      </c>
      <c r="S1700" s="9">
        <v>2</v>
      </c>
      <c r="U1700" s="9" t="str">
        <f t="shared" ca="1" si="70"/>
        <v/>
      </c>
      <c r="V1700" s="9" t="str">
        <f t="shared" ca="1" si="71"/>
        <v/>
      </c>
      <c r="AG1700" s="9" t="s">
        <v>19</v>
      </c>
    </row>
    <row r="1701" spans="1:33" ht="29">
      <c r="A1701" s="3" t="s">
        <v>1946</v>
      </c>
      <c r="D1701" s="3" t="s">
        <v>6906</v>
      </c>
      <c r="E1701" s="3" t="s">
        <v>6905</v>
      </c>
      <c r="J1701" s="9" t="s">
        <v>24</v>
      </c>
      <c r="L1701" s="9">
        <v>1</v>
      </c>
      <c r="M1701" s="9">
        <v>3</v>
      </c>
      <c r="N1701" s="9" t="s">
        <v>12087</v>
      </c>
      <c r="O1701" s="9" t="s">
        <v>12073</v>
      </c>
      <c r="P1701" s="9" t="s">
        <v>12142</v>
      </c>
      <c r="Q1701" s="10" t="s">
        <v>12143</v>
      </c>
      <c r="S1701" s="9">
        <v>5676</v>
      </c>
      <c r="U1701" s="9" t="str">
        <f t="shared" ca="1" si="70"/>
        <v/>
      </c>
      <c r="V1701" s="9" t="str">
        <f t="shared" ca="1" si="71"/>
        <v/>
      </c>
      <c r="AE1701" s="9" t="s">
        <v>12083</v>
      </c>
    </row>
    <row r="1702" spans="1:33">
      <c r="A1702" s="3" t="s">
        <v>1947</v>
      </c>
      <c r="D1702" s="3" t="s">
        <v>1948</v>
      </c>
      <c r="E1702" s="3" t="s">
        <v>1949</v>
      </c>
      <c r="J1702" s="9" t="s">
        <v>12118</v>
      </c>
      <c r="Q1702" s="10"/>
      <c r="T1702" s="9" t="s">
        <v>12119</v>
      </c>
      <c r="U1702" s="9" t="str">
        <f t="shared" ca="1" si="70"/>
        <v/>
      </c>
      <c r="V1702" s="9" t="str">
        <f t="shared" ca="1" si="71"/>
        <v/>
      </c>
      <c r="AB1702" s="9" t="s">
        <v>12124</v>
      </c>
      <c r="AD1702" s="9" t="s">
        <v>19</v>
      </c>
    </row>
    <row r="1703" spans="1:33">
      <c r="A1703" s="3" t="s">
        <v>1950</v>
      </c>
      <c r="D1703" s="3" t="s">
        <v>6907</v>
      </c>
      <c r="E1703" s="3" t="s">
        <v>6908</v>
      </c>
      <c r="G1703" t="s">
        <v>21</v>
      </c>
      <c r="I1703" t="s">
        <v>6909</v>
      </c>
      <c r="J1703" s="9" t="s">
        <v>12118</v>
      </c>
      <c r="Q1703" s="10"/>
      <c r="T1703" s="9" t="s">
        <v>12119</v>
      </c>
      <c r="U1703" s="9" t="str">
        <f t="shared" ca="1" si="70"/>
        <v/>
      </c>
      <c r="V1703" s="9" t="str">
        <f t="shared" ca="1" si="71"/>
        <v/>
      </c>
      <c r="AE1703" s="9" t="s">
        <v>12086</v>
      </c>
    </row>
    <row r="1704" spans="1:33" ht="29">
      <c r="A1704" s="3" t="s">
        <v>1951</v>
      </c>
      <c r="D1704" s="3" t="s">
        <v>6911</v>
      </c>
      <c r="E1704" s="3" t="s">
        <v>6910</v>
      </c>
      <c r="I1704" t="s">
        <v>12189</v>
      </c>
      <c r="J1704" s="9" t="s">
        <v>26</v>
      </c>
      <c r="Q1704" s="10"/>
      <c r="U1704" s="9" t="str">
        <f t="shared" ca="1" si="70"/>
        <v/>
      </c>
      <c r="V1704" s="9" t="str">
        <f t="shared" ca="1" si="71"/>
        <v/>
      </c>
      <c r="AG1704" s="9" t="s">
        <v>20</v>
      </c>
    </row>
    <row r="1705" spans="1:33">
      <c r="A1705" s="3" t="s">
        <v>1951</v>
      </c>
      <c r="D1705" s="3" t="s">
        <v>1952</v>
      </c>
      <c r="E1705" s="3" t="s">
        <v>1953</v>
      </c>
      <c r="J1705" s="9" t="s">
        <v>12120</v>
      </c>
      <c r="Q1705" s="10"/>
      <c r="U1705" s="9" t="str">
        <f t="shared" ca="1" si="70"/>
        <v/>
      </c>
      <c r="V1705" s="9" t="str">
        <f t="shared" ca="1" si="71"/>
        <v/>
      </c>
      <c r="AG1705" s="9" t="s">
        <v>20</v>
      </c>
    </row>
    <row r="1706" spans="1:33">
      <c r="A1706" s="3" t="s">
        <v>1951</v>
      </c>
      <c r="D1706" s="3" t="s">
        <v>6913</v>
      </c>
      <c r="E1706" s="3" t="s">
        <v>6912</v>
      </c>
      <c r="J1706" s="9" t="s">
        <v>25</v>
      </c>
      <c r="L1706" s="9">
        <v>1</v>
      </c>
      <c r="M1706" s="9">
        <v>3</v>
      </c>
      <c r="N1706" s="9" t="s">
        <v>12087</v>
      </c>
      <c r="O1706" s="9" t="s">
        <v>12079</v>
      </c>
      <c r="Q1706" s="10"/>
      <c r="S1706" s="9">
        <v>5676</v>
      </c>
      <c r="U1706" s="9" t="str">
        <f t="shared" ca="1" si="70"/>
        <v/>
      </c>
      <c r="V1706" s="9" t="str">
        <f t="shared" ca="1" si="71"/>
        <v/>
      </c>
      <c r="AG1706" s="9" t="s">
        <v>19</v>
      </c>
    </row>
    <row r="1707" spans="1:33">
      <c r="A1707" s="3" t="s">
        <v>1951</v>
      </c>
      <c r="D1707" s="3" t="s">
        <v>6914</v>
      </c>
      <c r="E1707" s="3" t="s">
        <v>6915</v>
      </c>
      <c r="J1707" s="9" t="s">
        <v>12118</v>
      </c>
      <c r="Q1707" s="10"/>
      <c r="T1707" s="9">
        <f>930-4240</f>
        <v>-3310</v>
      </c>
      <c r="U1707" s="9">
        <f t="shared" ca="1" si="70"/>
        <v>4240</v>
      </c>
      <c r="V1707" s="9">
        <f t="shared" ca="1" si="71"/>
        <v>930</v>
      </c>
      <c r="AG1707" s="9" t="s">
        <v>19</v>
      </c>
    </row>
    <row r="1708" spans="1:33">
      <c r="A1708" s="3" t="s">
        <v>1954</v>
      </c>
      <c r="D1708" s="3" t="s">
        <v>1955</v>
      </c>
      <c r="E1708" s="3" t="s">
        <v>1956</v>
      </c>
      <c r="J1708" s="9" t="s">
        <v>12118</v>
      </c>
      <c r="Q1708" s="10"/>
      <c r="T1708" s="9" t="s">
        <v>12131</v>
      </c>
      <c r="U1708" s="9" t="str">
        <f t="shared" ca="1" si="70"/>
        <v/>
      </c>
      <c r="V1708" s="9" t="str">
        <f t="shared" ca="1" si="71"/>
        <v/>
      </c>
      <c r="AC1708" s="9" t="s">
        <v>12130</v>
      </c>
      <c r="AD1708" s="9" t="s">
        <v>19</v>
      </c>
      <c r="AE1708" s="9" t="s">
        <v>12086</v>
      </c>
    </row>
    <row r="1709" spans="1:33" ht="29">
      <c r="A1709" s="3" t="s">
        <v>1954</v>
      </c>
      <c r="D1709" s="3" t="s">
        <v>6916</v>
      </c>
      <c r="E1709" s="3" t="s">
        <v>6917</v>
      </c>
      <c r="J1709" s="9" t="s">
        <v>24</v>
      </c>
      <c r="L1709" s="9">
        <v>1</v>
      </c>
      <c r="M1709" s="9">
        <v>6</v>
      </c>
      <c r="N1709" s="9" t="s">
        <v>12094</v>
      </c>
      <c r="O1709" s="9" t="s">
        <v>12079</v>
      </c>
      <c r="Q1709" s="10"/>
      <c r="S1709" s="9">
        <v>930</v>
      </c>
      <c r="U1709" s="9" t="str">
        <f t="shared" ca="1" si="70"/>
        <v/>
      </c>
      <c r="V1709" s="9" t="str">
        <f t="shared" ca="1" si="71"/>
        <v/>
      </c>
      <c r="AG1709" s="9" t="s">
        <v>19</v>
      </c>
    </row>
    <row r="1710" spans="1:33">
      <c r="A1710" s="3" t="s">
        <v>1957</v>
      </c>
      <c r="D1710" s="3" t="s">
        <v>1958</v>
      </c>
      <c r="E1710" s="3" t="s">
        <v>1959</v>
      </c>
      <c r="J1710" s="9" t="s">
        <v>12120</v>
      </c>
      <c r="Q1710" s="10"/>
      <c r="U1710" s="9" t="str">
        <f t="shared" ca="1" si="70"/>
        <v/>
      </c>
      <c r="V1710" s="9" t="str">
        <f t="shared" ca="1" si="71"/>
        <v/>
      </c>
      <c r="AG1710" s="9" t="s">
        <v>20</v>
      </c>
    </row>
    <row r="1711" spans="1:33" ht="29">
      <c r="A1711" s="3" t="s">
        <v>1957</v>
      </c>
      <c r="D1711" s="3" t="s">
        <v>6918</v>
      </c>
      <c r="E1711" s="3" t="s">
        <v>6919</v>
      </c>
      <c r="G1711" t="s">
        <v>21</v>
      </c>
      <c r="I1711" t="s">
        <v>6920</v>
      </c>
      <c r="J1711" s="9" t="s">
        <v>12120</v>
      </c>
      <c r="Q1711" s="10"/>
      <c r="U1711" s="9" t="str">
        <f t="shared" ca="1" si="70"/>
        <v/>
      </c>
      <c r="V1711" s="9" t="str">
        <f t="shared" ca="1" si="71"/>
        <v/>
      </c>
      <c r="AE1711" s="9" t="s">
        <v>12083</v>
      </c>
    </row>
    <row r="1712" spans="1:33">
      <c r="A1712" s="3" t="s">
        <v>1960</v>
      </c>
      <c r="D1712" s="3" t="s">
        <v>472</v>
      </c>
      <c r="E1712" s="3" t="s">
        <v>473</v>
      </c>
      <c r="J1712" s="9" t="s">
        <v>12120</v>
      </c>
      <c r="Q1712" s="10"/>
      <c r="U1712" s="9" t="str">
        <f t="shared" ca="1" si="70"/>
        <v/>
      </c>
      <c r="V1712" s="9" t="str">
        <f t="shared" ca="1" si="71"/>
        <v/>
      </c>
      <c r="AB1712" s="9" t="s">
        <v>12738</v>
      </c>
      <c r="AD1712" s="9" t="s">
        <v>19</v>
      </c>
    </row>
    <row r="1713" spans="1:33" ht="29">
      <c r="A1713" s="3" t="s">
        <v>1961</v>
      </c>
      <c r="D1713" s="3" t="s">
        <v>12319</v>
      </c>
      <c r="E1713" s="3" t="s">
        <v>12318</v>
      </c>
      <c r="J1713" s="9" t="s">
        <v>12118</v>
      </c>
      <c r="Q1713" s="10"/>
      <c r="T1713" s="9">
        <f>11843-229</f>
        <v>11614</v>
      </c>
      <c r="U1713" s="9">
        <f t="shared" ca="1" si="70"/>
        <v>229</v>
      </c>
      <c r="V1713" s="9">
        <f t="shared" ca="1" si="71"/>
        <v>11843</v>
      </c>
      <c r="AG1713" s="9" t="s">
        <v>20</v>
      </c>
    </row>
    <row r="1714" spans="1:33" ht="29">
      <c r="A1714" s="3" t="s">
        <v>1962</v>
      </c>
      <c r="D1714" s="3" t="s">
        <v>6922</v>
      </c>
      <c r="E1714" s="3" t="s">
        <v>6923</v>
      </c>
      <c r="G1714" t="s">
        <v>19</v>
      </c>
      <c r="J1714" s="9" t="s">
        <v>12118</v>
      </c>
      <c r="Q1714" s="10"/>
      <c r="T1714" s="9" t="s">
        <v>12131</v>
      </c>
      <c r="U1714" s="9" t="str">
        <f t="shared" ca="1" si="70"/>
        <v/>
      </c>
      <c r="V1714" s="9" t="str">
        <f t="shared" ca="1" si="71"/>
        <v/>
      </c>
      <c r="AE1714" s="9" t="s">
        <v>12086</v>
      </c>
    </row>
    <row r="1715" spans="1:33" ht="29">
      <c r="A1715" s="3" t="s">
        <v>1962</v>
      </c>
      <c r="D1715" s="3" t="s">
        <v>6924</v>
      </c>
      <c r="E1715" s="3" t="s">
        <v>6921</v>
      </c>
      <c r="J1715" s="9" t="s">
        <v>25</v>
      </c>
      <c r="L1715" s="9">
        <v>1</v>
      </c>
      <c r="M1715" s="9">
        <v>3</v>
      </c>
      <c r="N1715" s="9" t="s">
        <v>12072</v>
      </c>
      <c r="O1715" s="9" t="s">
        <v>12079</v>
      </c>
      <c r="Q1715" s="10"/>
      <c r="S1715" s="9">
        <v>214</v>
      </c>
      <c r="U1715" s="9" t="str">
        <f t="shared" ca="1" si="70"/>
        <v/>
      </c>
      <c r="V1715" s="9" t="str">
        <f t="shared" ca="1" si="71"/>
        <v/>
      </c>
      <c r="AG1715" s="9" t="s">
        <v>20</v>
      </c>
    </row>
    <row r="1716" spans="1:33" ht="29">
      <c r="A1716" s="3" t="s">
        <v>1963</v>
      </c>
      <c r="D1716" s="3" t="s">
        <v>6926</v>
      </c>
      <c r="E1716" s="3" t="s">
        <v>6925</v>
      </c>
      <c r="J1716" s="9" t="s">
        <v>25</v>
      </c>
      <c r="L1716" s="9">
        <v>1</v>
      </c>
      <c r="M1716" s="9">
        <v>5</v>
      </c>
      <c r="N1716" s="9" t="s">
        <v>12094</v>
      </c>
      <c r="O1716" s="9" t="s">
        <v>12079</v>
      </c>
      <c r="Q1716" s="10"/>
      <c r="S1716" s="9">
        <v>4240</v>
      </c>
      <c r="U1716" s="9" t="str">
        <f t="shared" ca="1" si="70"/>
        <v/>
      </c>
      <c r="V1716" s="9" t="str">
        <f t="shared" ca="1" si="71"/>
        <v/>
      </c>
      <c r="AG1716" s="9" t="s">
        <v>19</v>
      </c>
    </row>
    <row r="1717" spans="1:33" ht="29">
      <c r="A1717" s="3" t="s">
        <v>1963</v>
      </c>
      <c r="D1717" s="3" t="s">
        <v>6927</v>
      </c>
      <c r="E1717" s="3" t="s">
        <v>6928</v>
      </c>
      <c r="J1717" s="9" t="s">
        <v>12120</v>
      </c>
      <c r="Q1717" s="10"/>
      <c r="U1717" s="9" t="str">
        <f t="shared" ca="1" si="70"/>
        <v/>
      </c>
      <c r="V1717" s="9" t="str">
        <f t="shared" ca="1" si="71"/>
        <v/>
      </c>
      <c r="AG1717" s="9" t="s">
        <v>19</v>
      </c>
    </row>
    <row r="1718" spans="1:33">
      <c r="A1718" s="3" t="s">
        <v>1964</v>
      </c>
      <c r="D1718" s="3" t="s">
        <v>430</v>
      </c>
      <c r="E1718" s="3" t="s">
        <v>431</v>
      </c>
      <c r="G1718" t="s">
        <v>19</v>
      </c>
      <c r="J1718" s="9" t="s">
        <v>12118</v>
      </c>
      <c r="Q1718" s="10"/>
      <c r="T1718" s="9" t="s">
        <v>12131</v>
      </c>
      <c r="U1718" s="9" t="str">
        <f t="shared" ca="1" si="70"/>
        <v/>
      </c>
      <c r="V1718" s="9" t="str">
        <f t="shared" ca="1" si="71"/>
        <v/>
      </c>
      <c r="AC1718" s="9" t="s">
        <v>12130</v>
      </c>
      <c r="AD1718" s="9" t="s">
        <v>19</v>
      </c>
      <c r="AE1718" s="9" t="s">
        <v>12086</v>
      </c>
    </row>
    <row r="1719" spans="1:33">
      <c r="A1719" s="3" t="s">
        <v>1965</v>
      </c>
      <c r="D1719" s="11" t="s">
        <v>6929</v>
      </c>
      <c r="E1719" s="11" t="s">
        <v>6929</v>
      </c>
      <c r="G1719" t="s">
        <v>20</v>
      </c>
      <c r="I1719" t="s">
        <v>6930</v>
      </c>
      <c r="Q1719" s="10"/>
      <c r="U1719" s="9" t="str">
        <f t="shared" ca="1" si="70"/>
        <v/>
      </c>
      <c r="V1719" s="9" t="str">
        <f t="shared" ca="1" si="71"/>
        <v/>
      </c>
    </row>
    <row r="1720" spans="1:33">
      <c r="A1720" s="3" t="s">
        <v>1966</v>
      </c>
      <c r="D1720" s="3" t="s">
        <v>6931</v>
      </c>
      <c r="E1720" s="3" t="s">
        <v>6932</v>
      </c>
      <c r="G1720" t="s">
        <v>19</v>
      </c>
      <c r="J1720" s="9" t="s">
        <v>24</v>
      </c>
      <c r="L1720" s="9">
        <v>1</v>
      </c>
      <c r="M1720" s="9">
        <v>2</v>
      </c>
      <c r="N1720" s="9" t="s">
        <v>12078</v>
      </c>
      <c r="O1720" s="9" t="s">
        <v>12119</v>
      </c>
      <c r="Q1720" s="10"/>
      <c r="S1720" s="9">
        <v>11843</v>
      </c>
      <c r="U1720" s="9" t="str">
        <f t="shared" ca="1" si="70"/>
        <v/>
      </c>
      <c r="V1720" s="9" t="str">
        <f t="shared" ca="1" si="71"/>
        <v/>
      </c>
    </row>
    <row r="1721" spans="1:33">
      <c r="A1721" s="3" t="s">
        <v>1967</v>
      </c>
      <c r="D1721" s="3" t="s">
        <v>6934</v>
      </c>
      <c r="E1721" s="3" t="s">
        <v>6933</v>
      </c>
      <c r="J1721" s="9" t="s">
        <v>25</v>
      </c>
      <c r="L1721" s="9">
        <v>1</v>
      </c>
      <c r="M1721" s="9">
        <v>8</v>
      </c>
      <c r="N1721" s="9" t="s">
        <v>12098</v>
      </c>
      <c r="O1721" s="9" t="s">
        <v>12079</v>
      </c>
      <c r="Q1721" s="10"/>
      <c r="S1721" s="9">
        <v>2042</v>
      </c>
      <c r="U1721" s="9" t="str">
        <f t="shared" ca="1" si="70"/>
        <v/>
      </c>
      <c r="V1721" s="9" t="str">
        <f t="shared" ca="1" si="71"/>
        <v/>
      </c>
      <c r="AG1721" s="9" t="s">
        <v>20</v>
      </c>
    </row>
    <row r="1722" spans="1:33">
      <c r="A1722" s="3" t="s">
        <v>1968</v>
      </c>
      <c r="D1722" s="3" t="s">
        <v>6936</v>
      </c>
      <c r="E1722" s="3" t="s">
        <v>6935</v>
      </c>
      <c r="J1722" s="9" t="s">
        <v>24</v>
      </c>
      <c r="L1722" s="9">
        <v>1</v>
      </c>
      <c r="M1722" s="9">
        <v>2</v>
      </c>
      <c r="N1722" s="9" t="s">
        <v>12094</v>
      </c>
      <c r="O1722" s="9" t="s">
        <v>12119</v>
      </c>
      <c r="Q1722" s="10"/>
      <c r="R1722" s="9" t="s">
        <v>12074</v>
      </c>
      <c r="S1722" s="9">
        <v>412</v>
      </c>
      <c r="U1722" s="9" t="str">
        <f t="shared" ca="1" si="70"/>
        <v/>
      </c>
      <c r="V1722" s="9" t="str">
        <f t="shared" ca="1" si="71"/>
        <v/>
      </c>
      <c r="AG1722" s="9" t="s">
        <v>20</v>
      </c>
    </row>
    <row r="1723" spans="1:33">
      <c r="A1723" s="3" t="s">
        <v>1969</v>
      </c>
      <c r="D1723" s="3" t="s">
        <v>1275</v>
      </c>
      <c r="E1723" s="3" t="s">
        <v>5892</v>
      </c>
      <c r="J1723" s="9" t="s">
        <v>12118</v>
      </c>
      <c r="Q1723" s="10"/>
      <c r="T1723" s="9" t="s">
        <v>12131</v>
      </c>
      <c r="U1723" s="9" t="str">
        <f t="shared" ca="1" si="70"/>
        <v/>
      </c>
      <c r="V1723" s="9" t="str">
        <f t="shared" ca="1" si="71"/>
        <v/>
      </c>
      <c r="AE1723" s="9" t="s">
        <v>12086</v>
      </c>
    </row>
    <row r="1724" spans="1:33" ht="58">
      <c r="A1724" s="3" t="s">
        <v>1970</v>
      </c>
      <c r="D1724" s="3" t="s">
        <v>6937</v>
      </c>
      <c r="E1724" s="3" t="s">
        <v>6938</v>
      </c>
      <c r="I1724" t="s">
        <v>12320</v>
      </c>
      <c r="J1724" s="9" t="s">
        <v>25</v>
      </c>
      <c r="L1724" s="9">
        <v>6</v>
      </c>
      <c r="M1724" s="9">
        <v>30</v>
      </c>
      <c r="O1724" s="9" t="s">
        <v>12073</v>
      </c>
      <c r="P1724" s="9" t="s">
        <v>12140</v>
      </c>
      <c r="Q1724" s="10" t="s">
        <v>12136</v>
      </c>
      <c r="S1724" s="9">
        <v>3</v>
      </c>
      <c r="U1724" s="9" t="str">
        <f t="shared" ca="1" si="70"/>
        <v/>
      </c>
      <c r="V1724" s="9" t="str">
        <f t="shared" ca="1" si="71"/>
        <v/>
      </c>
      <c r="AG1724" s="9" t="s">
        <v>20</v>
      </c>
    </row>
    <row r="1725" spans="1:33">
      <c r="A1725" s="3" t="s">
        <v>1970</v>
      </c>
      <c r="D1725" s="3" t="s">
        <v>1971</v>
      </c>
      <c r="E1725" s="3" t="s">
        <v>1972</v>
      </c>
      <c r="J1725" s="9" t="s">
        <v>12120</v>
      </c>
      <c r="Q1725" s="10"/>
      <c r="U1725" s="9" t="str">
        <f t="shared" ca="1" si="70"/>
        <v/>
      </c>
      <c r="V1725" s="9" t="str">
        <f t="shared" ca="1" si="71"/>
        <v/>
      </c>
      <c r="AG1725" s="9" t="s">
        <v>19</v>
      </c>
    </row>
    <row r="1726" spans="1:33">
      <c r="A1726" s="3" t="s">
        <v>1973</v>
      </c>
      <c r="D1726" s="3" t="s">
        <v>1974</v>
      </c>
      <c r="E1726" s="3" t="s">
        <v>1975</v>
      </c>
      <c r="J1726" s="9" t="s">
        <v>12120</v>
      </c>
      <c r="Q1726" s="10"/>
      <c r="U1726" s="9" t="str">
        <f t="shared" ca="1" si="70"/>
        <v/>
      </c>
      <c r="V1726" s="9" t="str">
        <f t="shared" ca="1" si="71"/>
        <v/>
      </c>
      <c r="AC1726" s="9" t="s">
        <v>12744</v>
      </c>
      <c r="AD1726" s="9" t="s">
        <v>19</v>
      </c>
      <c r="AE1726" s="9" t="s">
        <v>12086</v>
      </c>
    </row>
    <row r="1727" spans="1:33">
      <c r="A1727" s="3" t="s">
        <v>1973</v>
      </c>
      <c r="D1727" s="3" t="s">
        <v>6939</v>
      </c>
      <c r="E1727" s="3" t="s">
        <v>6940</v>
      </c>
      <c r="J1727" s="9" t="s">
        <v>12120</v>
      </c>
      <c r="Q1727" s="10"/>
      <c r="U1727" s="9" t="str">
        <f t="shared" ca="1" si="70"/>
        <v/>
      </c>
      <c r="V1727" s="9" t="str">
        <f t="shared" ca="1" si="71"/>
        <v/>
      </c>
      <c r="AB1727" s="9" t="s">
        <v>12738</v>
      </c>
      <c r="AD1727" s="9" t="s">
        <v>19</v>
      </c>
    </row>
    <row r="1728" spans="1:33">
      <c r="A1728" s="3" t="s">
        <v>1976</v>
      </c>
      <c r="D1728" s="3" t="s">
        <v>6941</v>
      </c>
      <c r="E1728" s="3" t="s">
        <v>6942</v>
      </c>
      <c r="J1728" s="9" t="s">
        <v>12118</v>
      </c>
      <c r="Q1728" s="10"/>
      <c r="T1728" s="9">
        <f>50-59</f>
        <v>-9</v>
      </c>
      <c r="U1728" s="9">
        <f t="shared" ca="1" si="70"/>
        <v>59</v>
      </c>
      <c r="V1728" s="9">
        <f t="shared" ca="1" si="71"/>
        <v>50</v>
      </c>
      <c r="AG1728" s="9" t="s">
        <v>19</v>
      </c>
    </row>
    <row r="1729" spans="1:33">
      <c r="A1729" s="3" t="s">
        <v>1976</v>
      </c>
      <c r="D1729" s="3" t="s">
        <v>1285</v>
      </c>
      <c r="E1729" s="3" t="s">
        <v>1286</v>
      </c>
      <c r="J1729" s="9" t="s">
        <v>12118</v>
      </c>
      <c r="Q1729" s="10"/>
      <c r="T1729" s="9" t="s">
        <v>12131</v>
      </c>
      <c r="U1729" s="9" t="str">
        <f t="shared" ca="1" si="70"/>
        <v/>
      </c>
      <c r="V1729" s="9" t="str">
        <f t="shared" ca="1" si="71"/>
        <v/>
      </c>
      <c r="AB1729" s="9" t="s">
        <v>12124</v>
      </c>
      <c r="AD1729" s="9" t="s">
        <v>19</v>
      </c>
    </row>
    <row r="1730" spans="1:33">
      <c r="A1730" s="3" t="s">
        <v>1977</v>
      </c>
      <c r="D1730" s="3" t="s">
        <v>1978</v>
      </c>
      <c r="E1730" s="3" t="s">
        <v>1979</v>
      </c>
      <c r="J1730" s="9" t="s">
        <v>12120</v>
      </c>
      <c r="Q1730" s="10"/>
      <c r="U1730" s="9" t="str">
        <f t="shared" ca="1" si="70"/>
        <v/>
      </c>
      <c r="V1730" s="9" t="str">
        <f t="shared" ca="1" si="71"/>
        <v/>
      </c>
      <c r="AE1730" s="9" t="s">
        <v>12077</v>
      </c>
    </row>
    <row r="1731" spans="1:33">
      <c r="A1731" s="3" t="s">
        <v>1980</v>
      </c>
      <c r="D1731" s="3" t="s">
        <v>6943</v>
      </c>
      <c r="E1731" s="3" t="s">
        <v>6943</v>
      </c>
      <c r="G1731" t="s">
        <v>20</v>
      </c>
      <c r="I1731" t="s">
        <v>6944</v>
      </c>
      <c r="Q1731" s="10"/>
      <c r="U1731" s="9" t="str">
        <f t="shared" ca="1" si="70"/>
        <v/>
      </c>
      <c r="V1731" s="9" t="str">
        <f t="shared" ca="1" si="71"/>
        <v/>
      </c>
    </row>
    <row r="1732" spans="1:33">
      <c r="A1732" s="3" t="s">
        <v>1980</v>
      </c>
      <c r="D1732" s="3" t="s">
        <v>1981</v>
      </c>
      <c r="E1732" s="3" t="s">
        <v>54</v>
      </c>
      <c r="G1732" t="s">
        <v>19</v>
      </c>
      <c r="J1732" s="9" t="s">
        <v>12120</v>
      </c>
      <c r="Q1732" s="10"/>
      <c r="U1732" s="9" t="str">
        <f t="shared" ca="1" si="70"/>
        <v/>
      </c>
      <c r="V1732" s="9" t="str">
        <f t="shared" ca="1" si="71"/>
        <v/>
      </c>
      <c r="AE1732" s="9" t="s">
        <v>12086</v>
      </c>
    </row>
    <row r="1733" spans="1:33">
      <c r="A1733" s="3" t="s">
        <v>1982</v>
      </c>
      <c r="D1733" s="3" t="s">
        <v>6945</v>
      </c>
      <c r="E1733" s="3" t="s">
        <v>6945</v>
      </c>
      <c r="G1733" t="s">
        <v>20</v>
      </c>
      <c r="I1733" t="s">
        <v>6946</v>
      </c>
      <c r="Q1733" s="10"/>
      <c r="U1733" s="9" t="str">
        <f t="shared" ca="1" si="70"/>
        <v/>
      </c>
      <c r="V1733" s="9" t="str">
        <f t="shared" ca="1" si="71"/>
        <v/>
      </c>
    </row>
    <row r="1734" spans="1:33">
      <c r="A1734" s="3" t="s">
        <v>1983</v>
      </c>
      <c r="D1734" s="3" t="s">
        <v>6947</v>
      </c>
      <c r="E1734" s="3" t="s">
        <v>6948</v>
      </c>
      <c r="J1734" s="9" t="s">
        <v>12118</v>
      </c>
      <c r="Q1734" s="10"/>
      <c r="T1734" s="9">
        <f>30-1</f>
        <v>29</v>
      </c>
      <c r="U1734" s="9">
        <f t="shared" ca="1" si="70"/>
        <v>1</v>
      </c>
      <c r="V1734" s="9">
        <f t="shared" ca="1" si="71"/>
        <v>30</v>
      </c>
      <c r="AG1734" s="9" t="s">
        <v>20</v>
      </c>
    </row>
    <row r="1735" spans="1:33" ht="29">
      <c r="A1735" s="3" t="s">
        <v>1984</v>
      </c>
      <c r="D1735" s="11" t="s">
        <v>6950</v>
      </c>
      <c r="E1735" s="3" t="s">
        <v>6949</v>
      </c>
      <c r="J1735" s="9" t="s">
        <v>24</v>
      </c>
      <c r="L1735" s="9">
        <v>1</v>
      </c>
      <c r="M1735" s="9">
        <v>3</v>
      </c>
      <c r="N1735" s="9" t="s">
        <v>12087</v>
      </c>
      <c r="O1735" s="9" t="s">
        <v>12079</v>
      </c>
      <c r="Q1735" s="10"/>
      <c r="S1735" s="9">
        <v>5676</v>
      </c>
      <c r="U1735" s="9" t="str">
        <f t="shared" ca="1" si="70"/>
        <v/>
      </c>
      <c r="V1735" s="9" t="str">
        <f t="shared" ca="1" si="71"/>
        <v/>
      </c>
      <c r="AG1735" s="9" t="s">
        <v>19</v>
      </c>
    </row>
    <row r="1736" spans="1:33">
      <c r="A1736" s="3" t="s">
        <v>1985</v>
      </c>
      <c r="D1736" s="3" t="s">
        <v>1986</v>
      </c>
      <c r="E1736" s="3" t="s">
        <v>1987</v>
      </c>
      <c r="J1736" s="9" t="s">
        <v>12118</v>
      </c>
      <c r="Q1736" s="10"/>
      <c r="T1736" s="9" t="s">
        <v>12131</v>
      </c>
      <c r="U1736" s="9" t="str">
        <f t="shared" ca="1" si="70"/>
        <v/>
      </c>
      <c r="V1736" s="9" t="str">
        <f t="shared" ca="1" si="71"/>
        <v/>
      </c>
      <c r="AC1736" s="9" t="s">
        <v>12188</v>
      </c>
      <c r="AD1736" s="9" t="s">
        <v>19</v>
      </c>
      <c r="AE1736" s="9" t="s">
        <v>12086</v>
      </c>
    </row>
    <row r="1737" spans="1:33">
      <c r="A1737" s="3" t="s">
        <v>1988</v>
      </c>
      <c r="D1737" s="3" t="s">
        <v>6951</v>
      </c>
      <c r="E1737" s="3" t="s">
        <v>6952</v>
      </c>
      <c r="J1737" s="9" t="s">
        <v>12118</v>
      </c>
      <c r="Q1737" s="10"/>
      <c r="T1737" s="9">
        <f>1996-5676</f>
        <v>-3680</v>
      </c>
      <c r="U1737" s="9">
        <f t="shared" ca="1" si="70"/>
        <v>5676</v>
      </c>
      <c r="V1737" s="9">
        <f t="shared" ca="1" si="71"/>
        <v>1996</v>
      </c>
      <c r="AG1737" s="9" t="s">
        <v>19</v>
      </c>
    </row>
    <row r="1738" spans="1:33">
      <c r="A1738" s="3" t="s">
        <v>1989</v>
      </c>
      <c r="D1738" s="3" t="s">
        <v>6953</v>
      </c>
      <c r="E1738" s="3" t="s">
        <v>6954</v>
      </c>
      <c r="J1738" s="9" t="s">
        <v>12120</v>
      </c>
      <c r="Q1738" s="10"/>
      <c r="U1738" s="9" t="str">
        <f t="shared" ref="U1738:U1803" ca="1" si="72">IF(ISNUMBER(T1738),VALUE(MID(_xlfn.FORMULATEXT(T1738),SEARCH("-",_xlfn.FORMULATEXT(T1738))+1,LEN(_xlfn.FORMULATEXT(T1738))-SEARCH("-",_xlfn.FORMULATEXT(T1738)))), "")</f>
        <v/>
      </c>
      <c r="V1738" s="9" t="str">
        <f t="shared" ref="V1738:V1803" ca="1" si="73">IF(ISNUMBER(T1738), VALUE(MID(_xlfn.FORMULATEXT(T1738), 2, SEARCH("-", _xlfn.FORMULATEXT(T1738)) - 2)), "")</f>
        <v/>
      </c>
      <c r="AG1738" s="9" t="s">
        <v>20</v>
      </c>
    </row>
    <row r="1739" spans="1:33">
      <c r="A1739" s="3" t="s">
        <v>1989</v>
      </c>
      <c r="D1739" s="3" t="s">
        <v>1554</v>
      </c>
      <c r="E1739" s="3" t="s">
        <v>1991</v>
      </c>
      <c r="J1739" s="9" t="s">
        <v>12118</v>
      </c>
      <c r="Q1739" s="10"/>
      <c r="T1739" s="9" t="s">
        <v>12131</v>
      </c>
      <c r="U1739" s="9" t="str">
        <f t="shared" ca="1" si="72"/>
        <v/>
      </c>
      <c r="V1739" s="9" t="str">
        <f t="shared" ca="1" si="73"/>
        <v/>
      </c>
      <c r="AC1739" s="9" t="s">
        <v>12740</v>
      </c>
      <c r="AD1739" s="9" t="s">
        <v>19</v>
      </c>
      <c r="AE1739" s="9" t="s">
        <v>12077</v>
      </c>
    </row>
    <row r="1740" spans="1:33">
      <c r="A1740" s="3" t="s">
        <v>1992</v>
      </c>
      <c r="D1740" s="3" t="s">
        <v>1993</v>
      </c>
      <c r="E1740" s="3" t="s">
        <v>1994</v>
      </c>
      <c r="J1740" s="9" t="s">
        <v>12120</v>
      </c>
      <c r="Q1740" s="10"/>
      <c r="U1740" s="9" t="str">
        <f t="shared" ca="1" si="72"/>
        <v/>
      </c>
      <c r="V1740" s="9" t="str">
        <f t="shared" ca="1" si="73"/>
        <v/>
      </c>
      <c r="AG1740" s="9" t="s">
        <v>19</v>
      </c>
    </row>
    <row r="1741" spans="1:33">
      <c r="A1741" s="3" t="s">
        <v>1995</v>
      </c>
      <c r="D1741" s="3" t="s">
        <v>1996</v>
      </c>
      <c r="E1741" s="3" t="s">
        <v>1997</v>
      </c>
      <c r="J1741" s="9" t="s">
        <v>12120</v>
      </c>
      <c r="Q1741" s="10"/>
      <c r="U1741" s="9" t="str">
        <f t="shared" ca="1" si="72"/>
        <v/>
      </c>
      <c r="V1741" s="9" t="str">
        <f t="shared" ca="1" si="73"/>
        <v/>
      </c>
      <c r="AE1741" s="9" t="s">
        <v>12077</v>
      </c>
    </row>
    <row r="1742" spans="1:33">
      <c r="A1742" s="3" t="s">
        <v>1995</v>
      </c>
      <c r="D1742" s="3" t="s">
        <v>1998</v>
      </c>
      <c r="E1742" s="3" t="s">
        <v>1307</v>
      </c>
      <c r="J1742" s="9" t="s">
        <v>12120</v>
      </c>
      <c r="Q1742" s="10"/>
      <c r="U1742" s="9" t="str">
        <f t="shared" ca="1" si="72"/>
        <v/>
      </c>
      <c r="V1742" s="9" t="str">
        <f t="shared" ca="1" si="73"/>
        <v/>
      </c>
      <c r="AC1742" s="9" t="s">
        <v>12742</v>
      </c>
      <c r="AD1742" s="9" t="s">
        <v>19</v>
      </c>
    </row>
    <row r="1743" spans="1:33">
      <c r="A1743" s="3" t="s">
        <v>1995</v>
      </c>
      <c r="D1743" s="3" t="s">
        <v>6955</v>
      </c>
      <c r="E1743" s="3" t="s">
        <v>6956</v>
      </c>
      <c r="J1743" s="9" t="s">
        <v>12118</v>
      </c>
      <c r="Q1743" s="10"/>
      <c r="T1743" s="9">
        <f>7-36</f>
        <v>-29</v>
      </c>
      <c r="U1743" s="9">
        <f t="shared" ca="1" si="72"/>
        <v>36</v>
      </c>
      <c r="V1743" s="9">
        <f t="shared" ca="1" si="73"/>
        <v>7</v>
      </c>
      <c r="AG1743" s="9" t="s">
        <v>19</v>
      </c>
    </row>
    <row r="1744" spans="1:33">
      <c r="A1744" s="3" t="s">
        <v>1999</v>
      </c>
      <c r="D1744" s="3" t="s">
        <v>6957</v>
      </c>
      <c r="E1744" s="3" t="s">
        <v>6958</v>
      </c>
      <c r="J1744" s="9" t="s">
        <v>24</v>
      </c>
      <c r="L1744" s="9">
        <v>1</v>
      </c>
      <c r="M1744" s="9">
        <v>3</v>
      </c>
      <c r="N1744" s="9" t="s">
        <v>12087</v>
      </c>
      <c r="O1744" s="9" t="s">
        <v>12073</v>
      </c>
      <c r="P1744" s="9" t="s">
        <v>12142</v>
      </c>
      <c r="Q1744" s="10" t="s">
        <v>12143</v>
      </c>
      <c r="R1744" s="9" t="s">
        <v>12074</v>
      </c>
      <c r="S1744" s="9">
        <v>5676</v>
      </c>
      <c r="U1744" s="9" t="str">
        <f t="shared" ca="1" si="72"/>
        <v/>
      </c>
      <c r="V1744" s="9" t="str">
        <f t="shared" ca="1" si="73"/>
        <v/>
      </c>
      <c r="AE1744" s="9" t="s">
        <v>12083</v>
      </c>
    </row>
    <row r="1745" spans="1:33">
      <c r="A1745" s="3" t="s">
        <v>1999</v>
      </c>
      <c r="D1745" s="3" t="s">
        <v>6960</v>
      </c>
      <c r="E1745" s="3" t="s">
        <v>6959</v>
      </c>
      <c r="J1745" s="9" t="s">
        <v>12120</v>
      </c>
      <c r="Q1745" s="10"/>
      <c r="U1745" s="9" t="str">
        <f t="shared" ca="1" si="72"/>
        <v/>
      </c>
      <c r="V1745" s="9" t="str">
        <f t="shared" ca="1" si="73"/>
        <v/>
      </c>
      <c r="AB1745" s="9" t="s">
        <v>12738</v>
      </c>
      <c r="AD1745" s="9" t="s">
        <v>19</v>
      </c>
    </row>
    <row r="1746" spans="1:33" ht="58">
      <c r="A1746" s="3" t="s">
        <v>2000</v>
      </c>
      <c r="D1746" s="3" t="s">
        <v>6961</v>
      </c>
      <c r="E1746" s="3" t="s">
        <v>6962</v>
      </c>
      <c r="F1746" t="s">
        <v>4774</v>
      </c>
      <c r="J1746" s="15" t="s">
        <v>27</v>
      </c>
      <c r="K1746" s="15"/>
      <c r="L1746" s="15"/>
      <c r="M1746" s="15"/>
      <c r="N1746" s="15"/>
      <c r="O1746" s="15"/>
      <c r="P1746" s="15"/>
      <c r="Q1746" s="16"/>
      <c r="R1746" s="15"/>
      <c r="S1746" s="15"/>
      <c r="T1746" s="15"/>
      <c r="U1746" s="15" t="str">
        <f t="shared" ca="1" si="72"/>
        <v/>
      </c>
      <c r="V1746" s="15" t="str">
        <f t="shared" ca="1" si="73"/>
        <v/>
      </c>
      <c r="W1746" s="15"/>
      <c r="X1746" s="15"/>
      <c r="Y1746" s="15"/>
      <c r="Z1746" s="15"/>
      <c r="AA1746" s="15"/>
      <c r="AB1746" s="15"/>
      <c r="AC1746" s="15"/>
      <c r="AD1746" s="15"/>
      <c r="AE1746" s="15"/>
      <c r="AF1746" s="15"/>
      <c r="AG1746" s="15"/>
    </row>
    <row r="1747" spans="1:33" ht="58">
      <c r="A1747" s="3" t="s">
        <v>2000</v>
      </c>
      <c r="D1747" s="3" t="s">
        <v>6963</v>
      </c>
      <c r="E1747" s="3" t="s">
        <v>12322</v>
      </c>
      <c r="F1747" t="s">
        <v>4774</v>
      </c>
      <c r="J1747" s="9" t="s">
        <v>24</v>
      </c>
      <c r="L1747" s="9">
        <v>1</v>
      </c>
      <c r="M1747" s="9">
        <v>3</v>
      </c>
      <c r="N1747" s="9" t="s">
        <v>12087</v>
      </c>
      <c r="O1747" s="9" t="s">
        <v>12079</v>
      </c>
      <c r="Q1747" s="10"/>
      <c r="S1747" s="9">
        <v>810</v>
      </c>
      <c r="U1747" s="9" t="str">
        <f t="shared" ca="1" si="72"/>
        <v/>
      </c>
      <c r="V1747" s="9" t="str">
        <f t="shared" ca="1" si="73"/>
        <v/>
      </c>
    </row>
    <row r="1748" spans="1:33" ht="58">
      <c r="A1748" s="3" t="s">
        <v>2000</v>
      </c>
      <c r="D1748" s="3" t="s">
        <v>12323</v>
      </c>
      <c r="E1748" s="3" t="s">
        <v>12324</v>
      </c>
      <c r="F1748" t="s">
        <v>4774</v>
      </c>
      <c r="J1748" s="9" t="s">
        <v>12120</v>
      </c>
      <c r="Q1748" s="10"/>
      <c r="U1748" s="9" t="str">
        <f t="shared" ca="1" si="72"/>
        <v/>
      </c>
      <c r="V1748" s="9" t="str">
        <f t="shared" ca="1" si="73"/>
        <v/>
      </c>
      <c r="AB1748" s="9" t="s">
        <v>12738</v>
      </c>
      <c r="AD1748" s="9" t="s">
        <v>19</v>
      </c>
    </row>
    <row r="1749" spans="1:33" ht="58">
      <c r="A1749" s="3" t="s">
        <v>2000</v>
      </c>
      <c r="D1749" s="3" t="s">
        <v>12325</v>
      </c>
      <c r="E1749" s="3" t="s">
        <v>12321</v>
      </c>
      <c r="F1749" t="s">
        <v>4774</v>
      </c>
      <c r="J1749" s="9" t="s">
        <v>25</v>
      </c>
      <c r="L1749" s="9">
        <v>1</v>
      </c>
      <c r="M1749" s="9">
        <v>5</v>
      </c>
      <c r="N1749" s="9" t="s">
        <v>12094</v>
      </c>
      <c r="O1749" s="9" t="s">
        <v>12079</v>
      </c>
      <c r="Q1749" s="10"/>
      <c r="S1749" s="9">
        <v>4240</v>
      </c>
      <c r="U1749" s="9" t="str">
        <f t="shared" ca="1" si="72"/>
        <v/>
      </c>
      <c r="V1749" s="9" t="str">
        <f t="shared" ca="1" si="73"/>
        <v/>
      </c>
    </row>
    <row r="1750" spans="1:33" ht="58">
      <c r="A1750" s="3" t="s">
        <v>2000</v>
      </c>
      <c r="D1750" s="3" t="s">
        <v>12326</v>
      </c>
      <c r="E1750" s="3" t="s">
        <v>12327</v>
      </c>
      <c r="F1750" t="s">
        <v>4774</v>
      </c>
      <c r="J1750" s="9" t="s">
        <v>12120</v>
      </c>
      <c r="Q1750" s="10"/>
      <c r="U1750" s="9" t="str">
        <f t="shared" ca="1" si="72"/>
        <v/>
      </c>
      <c r="V1750" s="9" t="str">
        <f t="shared" ca="1" si="73"/>
        <v/>
      </c>
    </row>
    <row r="1751" spans="1:33" ht="58">
      <c r="A1751" s="3" t="s">
        <v>2000</v>
      </c>
      <c r="D1751" s="3" t="s">
        <v>12328</v>
      </c>
      <c r="E1751" s="3" t="s">
        <v>12321</v>
      </c>
      <c r="F1751" t="s">
        <v>4774</v>
      </c>
      <c r="J1751" s="9" t="s">
        <v>25</v>
      </c>
      <c r="L1751" s="9">
        <v>1</v>
      </c>
      <c r="M1751" s="9">
        <v>3</v>
      </c>
      <c r="N1751" s="9" t="s">
        <v>12087</v>
      </c>
      <c r="O1751" s="9" t="s">
        <v>12079</v>
      </c>
      <c r="Q1751" s="10"/>
      <c r="S1751" s="9">
        <v>5676</v>
      </c>
      <c r="U1751" s="9" t="str">
        <f t="shared" ca="1" si="72"/>
        <v/>
      </c>
      <c r="V1751" s="9" t="str">
        <f t="shared" ca="1" si="73"/>
        <v/>
      </c>
    </row>
    <row r="1752" spans="1:33" ht="58">
      <c r="A1752" s="3" t="s">
        <v>2000</v>
      </c>
      <c r="D1752" s="3" t="s">
        <v>6963</v>
      </c>
      <c r="E1752" s="3" t="s">
        <v>6964</v>
      </c>
      <c r="F1752" t="s">
        <v>4774</v>
      </c>
      <c r="J1752" s="9" t="s">
        <v>24</v>
      </c>
      <c r="L1752" s="9">
        <v>1</v>
      </c>
      <c r="M1752" s="9">
        <v>5</v>
      </c>
      <c r="N1752" s="9" t="s">
        <v>12125</v>
      </c>
      <c r="O1752" s="9" t="s">
        <v>12073</v>
      </c>
      <c r="P1752" s="9" t="s">
        <v>12142</v>
      </c>
      <c r="Q1752" s="10" t="s">
        <v>12160</v>
      </c>
      <c r="S1752" s="9">
        <v>2042</v>
      </c>
      <c r="U1752" s="9" t="str">
        <f t="shared" ca="1" si="72"/>
        <v/>
      </c>
      <c r="V1752" s="9" t="str">
        <f t="shared" ca="1" si="73"/>
        <v/>
      </c>
    </row>
    <row r="1753" spans="1:33" ht="43.5">
      <c r="A1753" s="3" t="s">
        <v>2001</v>
      </c>
      <c r="D1753" s="3" t="s">
        <v>6965</v>
      </c>
      <c r="E1753" s="3" t="s">
        <v>6967</v>
      </c>
      <c r="F1753" t="s">
        <v>4774</v>
      </c>
      <c r="I1753" t="s">
        <v>12330</v>
      </c>
      <c r="J1753" s="9" t="s">
        <v>24</v>
      </c>
      <c r="L1753" s="9">
        <v>3</v>
      </c>
      <c r="M1753" s="9">
        <v>16</v>
      </c>
      <c r="O1753" s="9" t="s">
        <v>12073</v>
      </c>
      <c r="P1753" s="9" t="s">
        <v>12154</v>
      </c>
      <c r="Q1753" s="10" t="s">
        <v>12329</v>
      </c>
      <c r="S1753" s="9">
        <v>24</v>
      </c>
      <c r="U1753" s="9" t="str">
        <f t="shared" ca="1" si="72"/>
        <v/>
      </c>
      <c r="V1753" s="9" t="str">
        <f t="shared" ca="1" si="73"/>
        <v/>
      </c>
    </row>
    <row r="1754" spans="1:33" ht="43.5">
      <c r="A1754" s="3" t="s">
        <v>2001</v>
      </c>
      <c r="D1754" s="3" t="s">
        <v>6968</v>
      </c>
      <c r="E1754" s="3" t="s">
        <v>6966</v>
      </c>
      <c r="F1754" t="s">
        <v>4774</v>
      </c>
      <c r="G1754" t="s">
        <v>20</v>
      </c>
      <c r="I1754" t="s">
        <v>6969</v>
      </c>
      <c r="J1754" s="9" t="s">
        <v>25</v>
      </c>
      <c r="L1754" s="9">
        <v>1</v>
      </c>
      <c r="M1754" s="9">
        <v>5</v>
      </c>
      <c r="N1754" s="9" t="s">
        <v>12072</v>
      </c>
      <c r="O1754" s="9" t="s">
        <v>12073</v>
      </c>
      <c r="P1754" s="9" t="s">
        <v>12142</v>
      </c>
      <c r="Q1754" s="10" t="s">
        <v>12143</v>
      </c>
      <c r="S1754" s="9">
        <v>287</v>
      </c>
      <c r="U1754" s="9" t="str">
        <f t="shared" ca="1" si="72"/>
        <v/>
      </c>
      <c r="V1754" s="9" t="str">
        <f t="shared" ca="1" si="73"/>
        <v/>
      </c>
    </row>
    <row r="1755" spans="1:33" ht="29">
      <c r="A1755" s="3" t="s">
        <v>2002</v>
      </c>
      <c r="D1755" s="3" t="s">
        <v>6970</v>
      </c>
      <c r="E1755" s="3" t="s">
        <v>6971</v>
      </c>
      <c r="I1755" t="s">
        <v>12189</v>
      </c>
      <c r="J1755" s="9" t="s">
        <v>26</v>
      </c>
      <c r="Q1755" s="10"/>
      <c r="U1755" s="9" t="str">
        <f t="shared" ca="1" si="72"/>
        <v/>
      </c>
      <c r="V1755" s="9" t="str">
        <f t="shared" ca="1" si="73"/>
        <v/>
      </c>
      <c r="AG1755" s="9" t="s">
        <v>19</v>
      </c>
    </row>
    <row r="1756" spans="1:33">
      <c r="A1756" s="3" t="s">
        <v>2002</v>
      </c>
      <c r="D1756" s="3" t="s">
        <v>6972</v>
      </c>
      <c r="E1756" s="3" t="s">
        <v>6973</v>
      </c>
      <c r="G1756" t="s">
        <v>19</v>
      </c>
      <c r="J1756" s="9" t="s">
        <v>12120</v>
      </c>
      <c r="Q1756" s="10"/>
      <c r="U1756" s="9" t="str">
        <f t="shared" ca="1" si="72"/>
        <v/>
      </c>
      <c r="V1756" s="9" t="str">
        <f t="shared" ca="1" si="73"/>
        <v/>
      </c>
      <c r="AC1756" s="9" t="s">
        <v>12153</v>
      </c>
      <c r="AD1756" s="9" t="s">
        <v>19</v>
      </c>
      <c r="AE1756" s="9" t="s">
        <v>12086</v>
      </c>
    </row>
    <row r="1757" spans="1:33">
      <c r="A1757" s="3" t="s">
        <v>2002</v>
      </c>
      <c r="D1757" s="3" t="s">
        <v>6974</v>
      </c>
      <c r="E1757" s="3" t="s">
        <v>13021</v>
      </c>
      <c r="G1757" t="s">
        <v>20</v>
      </c>
      <c r="J1757" s="9" t="s">
        <v>12120</v>
      </c>
      <c r="Q1757" s="10"/>
      <c r="U1757" s="9" t="str">
        <f t="shared" ca="1" si="72"/>
        <v/>
      </c>
      <c r="V1757" s="9" t="str">
        <f t="shared" ca="1" si="73"/>
        <v/>
      </c>
      <c r="AB1757" s="9" t="s">
        <v>12091</v>
      </c>
      <c r="AD1757" s="9" t="s">
        <v>19</v>
      </c>
    </row>
    <row r="1758" spans="1:33" ht="29">
      <c r="A1758" s="3" t="s">
        <v>2003</v>
      </c>
      <c r="D1758" s="3" t="s">
        <v>13022</v>
      </c>
      <c r="E1758" s="3" t="s">
        <v>13023</v>
      </c>
      <c r="F1758" t="s">
        <v>32</v>
      </c>
      <c r="G1758" t="s">
        <v>19</v>
      </c>
      <c r="J1758" s="9" t="s">
        <v>12120</v>
      </c>
      <c r="Q1758" s="10"/>
    </row>
    <row r="1759" spans="1:33" ht="29">
      <c r="A1759" s="3" t="s">
        <v>2003</v>
      </c>
      <c r="D1759" s="3" t="s">
        <v>6976</v>
      </c>
      <c r="E1759" s="3" t="s">
        <v>6977</v>
      </c>
      <c r="G1759" t="s">
        <v>19</v>
      </c>
      <c r="I1759" t="s">
        <v>12668</v>
      </c>
      <c r="J1759" s="9" t="s">
        <v>12121</v>
      </c>
      <c r="Q1759" s="10"/>
      <c r="T1759" s="9">
        <f>173-44</f>
        <v>129</v>
      </c>
      <c r="U1759" s="9">
        <f t="shared" ca="1" si="72"/>
        <v>44</v>
      </c>
      <c r="V1759" s="9">
        <f t="shared" ca="1" si="73"/>
        <v>173</v>
      </c>
      <c r="W1759" s="9" t="s">
        <v>12117</v>
      </c>
    </row>
    <row r="1760" spans="1:33" ht="29">
      <c r="A1760" s="3" t="s">
        <v>2003</v>
      </c>
      <c r="D1760" s="3" t="s">
        <v>6978</v>
      </c>
      <c r="E1760" s="3" t="s">
        <v>6975</v>
      </c>
      <c r="G1760" t="s">
        <v>19</v>
      </c>
      <c r="J1760" s="9" t="s">
        <v>25</v>
      </c>
      <c r="L1760" s="9">
        <v>1</v>
      </c>
      <c r="M1760" s="9">
        <v>2</v>
      </c>
      <c r="N1760" s="9" t="s">
        <v>12087</v>
      </c>
      <c r="O1760" s="9" t="s">
        <v>12119</v>
      </c>
      <c r="Q1760" s="10"/>
      <c r="S1760" s="9">
        <v>227</v>
      </c>
      <c r="U1760" s="9" t="str">
        <f t="shared" ca="1" si="72"/>
        <v/>
      </c>
      <c r="V1760" s="9" t="str">
        <f t="shared" ca="1" si="73"/>
        <v/>
      </c>
      <c r="W1760" s="9" t="s">
        <v>4</v>
      </c>
      <c r="AE1760" s="9" t="s">
        <v>12089</v>
      </c>
    </row>
    <row r="1761" spans="1:33">
      <c r="A1761" s="3" t="s">
        <v>2004</v>
      </c>
      <c r="D1761" s="3" t="s">
        <v>2005</v>
      </c>
      <c r="E1761" s="3" t="s">
        <v>2006</v>
      </c>
      <c r="J1761" s="9" t="s">
        <v>12118</v>
      </c>
      <c r="Q1761" s="10"/>
      <c r="T1761" s="9" t="s">
        <v>12131</v>
      </c>
      <c r="U1761" s="9" t="str">
        <f t="shared" ca="1" si="72"/>
        <v/>
      </c>
      <c r="V1761" s="9" t="str">
        <f t="shared" ca="1" si="73"/>
        <v/>
      </c>
      <c r="AE1761" s="9" t="s">
        <v>12086</v>
      </c>
    </row>
    <row r="1762" spans="1:33" ht="43.5">
      <c r="A1762" s="3" t="s">
        <v>2004</v>
      </c>
      <c r="D1762" s="3" t="s">
        <v>12331</v>
      </c>
      <c r="E1762" s="3" t="s">
        <v>12334</v>
      </c>
      <c r="J1762" s="9" t="s">
        <v>25</v>
      </c>
      <c r="L1762" s="9">
        <v>1</v>
      </c>
      <c r="M1762" s="9">
        <v>5</v>
      </c>
      <c r="N1762" s="9" t="s">
        <v>12094</v>
      </c>
      <c r="O1762" s="9" t="s">
        <v>12079</v>
      </c>
      <c r="Q1762" s="10"/>
      <c r="S1762" s="9">
        <v>4240</v>
      </c>
      <c r="U1762" s="9" t="str">
        <f t="shared" ca="1" si="72"/>
        <v/>
      </c>
      <c r="V1762" s="9" t="str">
        <f t="shared" ca="1" si="73"/>
        <v/>
      </c>
      <c r="AG1762" s="9" t="s">
        <v>19</v>
      </c>
    </row>
    <row r="1763" spans="1:33" ht="43.5">
      <c r="A1763" s="3" t="s">
        <v>2007</v>
      </c>
      <c r="D1763" s="3" t="s">
        <v>12332</v>
      </c>
      <c r="E1763" s="3" t="s">
        <v>12334</v>
      </c>
      <c r="J1763" s="9" t="s">
        <v>25</v>
      </c>
      <c r="L1763" s="9">
        <v>2</v>
      </c>
      <c r="M1763" s="9">
        <v>6</v>
      </c>
      <c r="O1763" s="9" t="s">
        <v>12079</v>
      </c>
      <c r="Q1763" s="10"/>
      <c r="S1763" s="9">
        <v>32</v>
      </c>
      <c r="U1763" s="9" t="str">
        <f t="shared" ca="1" si="72"/>
        <v/>
      </c>
      <c r="V1763" s="9" t="str">
        <f t="shared" ca="1" si="73"/>
        <v/>
      </c>
      <c r="AG1763" s="9" t="s">
        <v>19</v>
      </c>
    </row>
    <row r="1764" spans="1:33" ht="43.5">
      <c r="A1764" s="3" t="s">
        <v>2007</v>
      </c>
      <c r="D1764" s="3" t="s">
        <v>12333</v>
      </c>
      <c r="E1764" s="3" t="s">
        <v>12335</v>
      </c>
      <c r="J1764" s="9" t="s">
        <v>12118</v>
      </c>
      <c r="Q1764" s="10"/>
      <c r="T1764" s="9">
        <f>5676-1966</f>
        <v>3710</v>
      </c>
      <c r="U1764" s="9">
        <f t="shared" ca="1" si="72"/>
        <v>1966</v>
      </c>
      <c r="V1764" s="9">
        <f t="shared" ca="1" si="73"/>
        <v>5676</v>
      </c>
      <c r="AG1764" s="9" t="s">
        <v>19</v>
      </c>
    </row>
    <row r="1765" spans="1:33">
      <c r="A1765" s="3" t="s">
        <v>2007</v>
      </c>
      <c r="D1765" s="3" t="s">
        <v>6980</v>
      </c>
      <c r="E1765" s="3" t="s">
        <v>6979</v>
      </c>
      <c r="J1765" s="9" t="s">
        <v>24</v>
      </c>
      <c r="L1765" s="9">
        <v>1</v>
      </c>
      <c r="M1765" s="9">
        <v>3</v>
      </c>
      <c r="N1765" s="9" t="s">
        <v>12087</v>
      </c>
      <c r="O1765" s="9" t="s">
        <v>12079</v>
      </c>
      <c r="Q1765" s="10"/>
      <c r="S1765" s="9">
        <v>5676</v>
      </c>
      <c r="U1765" s="9" t="str">
        <f t="shared" ca="1" si="72"/>
        <v/>
      </c>
      <c r="V1765" s="9" t="str">
        <f t="shared" ca="1" si="73"/>
        <v/>
      </c>
      <c r="AG1765" s="9" t="s">
        <v>19</v>
      </c>
    </row>
    <row r="1766" spans="1:33">
      <c r="A1766" s="3" t="s">
        <v>2007</v>
      </c>
      <c r="D1766" s="3" t="s">
        <v>2008</v>
      </c>
      <c r="E1766" s="3" t="s">
        <v>2009</v>
      </c>
      <c r="J1766" s="9" t="s">
        <v>12118</v>
      </c>
      <c r="Q1766" s="10"/>
      <c r="T1766" s="9" t="s">
        <v>12131</v>
      </c>
      <c r="U1766" s="9" t="str">
        <f t="shared" ca="1" si="72"/>
        <v/>
      </c>
      <c r="V1766" s="9" t="str">
        <f t="shared" ca="1" si="73"/>
        <v/>
      </c>
      <c r="AE1766" s="9" t="s">
        <v>12077</v>
      </c>
    </row>
    <row r="1767" spans="1:33">
      <c r="A1767" s="3" t="s">
        <v>2007</v>
      </c>
      <c r="D1767" s="3" t="s">
        <v>12886</v>
      </c>
      <c r="E1767" s="3" t="s">
        <v>12887</v>
      </c>
      <c r="J1767" s="9" t="s">
        <v>12118</v>
      </c>
      <c r="Q1767" s="10"/>
      <c r="T1767" s="9" t="s">
        <v>12131</v>
      </c>
      <c r="U1767" s="9" t="str">
        <f t="shared" ca="1" si="72"/>
        <v/>
      </c>
      <c r="V1767" s="9" t="str">
        <f t="shared" ca="1" si="73"/>
        <v/>
      </c>
      <c r="AC1767" s="9" t="s">
        <v>12134</v>
      </c>
      <c r="AD1767" s="9" t="s">
        <v>19</v>
      </c>
      <c r="AE1767" s="9" t="s">
        <v>12086</v>
      </c>
    </row>
    <row r="1768" spans="1:33" ht="29">
      <c r="A1768" s="3" t="s">
        <v>2012</v>
      </c>
      <c r="D1768" s="3" t="s">
        <v>6981</v>
      </c>
      <c r="E1768" s="3" t="s">
        <v>6982</v>
      </c>
      <c r="J1768" s="9" t="s">
        <v>25</v>
      </c>
      <c r="L1768" s="9">
        <v>1</v>
      </c>
      <c r="M1768" s="9">
        <v>3</v>
      </c>
      <c r="N1768" s="9" t="s">
        <v>12078</v>
      </c>
      <c r="O1768" s="9" t="s">
        <v>12073</v>
      </c>
      <c r="P1768" s="9" t="s">
        <v>12149</v>
      </c>
      <c r="Q1768" s="10" t="s">
        <v>12143</v>
      </c>
      <c r="S1768" s="9">
        <v>11843</v>
      </c>
      <c r="U1768" s="9" t="str">
        <f t="shared" ca="1" si="72"/>
        <v/>
      </c>
      <c r="V1768" s="9" t="str">
        <f t="shared" ca="1" si="73"/>
        <v/>
      </c>
      <c r="AG1768" s="9" t="s">
        <v>20</v>
      </c>
    </row>
    <row r="1769" spans="1:33" ht="43.5">
      <c r="A1769" s="3" t="s">
        <v>2012</v>
      </c>
      <c r="D1769" s="3" t="s">
        <v>6983</v>
      </c>
      <c r="E1769" s="3" t="s">
        <v>6984</v>
      </c>
      <c r="J1769" s="9" t="s">
        <v>12118</v>
      </c>
      <c r="Q1769" s="10"/>
      <c r="T1769" s="9">
        <f xml:space="preserve"> 34-65</f>
        <v>-31</v>
      </c>
      <c r="U1769" s="9">
        <f t="shared" ca="1" si="72"/>
        <v>65</v>
      </c>
      <c r="V1769" s="9">
        <f t="shared" ca="1" si="73"/>
        <v>34</v>
      </c>
      <c r="AG1769" s="9" t="s">
        <v>19</v>
      </c>
    </row>
    <row r="1770" spans="1:33" ht="43.5">
      <c r="A1770" s="3" t="s">
        <v>2012</v>
      </c>
      <c r="D1770" s="3" t="s">
        <v>6985</v>
      </c>
      <c r="E1770" s="3" t="s">
        <v>6986</v>
      </c>
      <c r="J1770" s="9" t="s">
        <v>12118</v>
      </c>
      <c r="Q1770" s="10"/>
      <c r="T1770" s="9" t="s">
        <v>12131</v>
      </c>
      <c r="U1770" s="9" t="str">
        <f t="shared" ca="1" si="72"/>
        <v/>
      </c>
      <c r="V1770" s="9" t="str">
        <f t="shared" ca="1" si="73"/>
        <v/>
      </c>
      <c r="AC1770" s="9" t="s">
        <v>12745</v>
      </c>
      <c r="AD1770" s="9" t="s">
        <v>19</v>
      </c>
      <c r="AE1770" s="9" t="s">
        <v>12077</v>
      </c>
    </row>
    <row r="1771" spans="1:33" ht="29">
      <c r="A1771" s="3" t="s">
        <v>2013</v>
      </c>
      <c r="D1771" s="3" t="s">
        <v>6988</v>
      </c>
      <c r="E1771" s="3" t="s">
        <v>6987</v>
      </c>
      <c r="J1771" s="9" t="s">
        <v>25</v>
      </c>
      <c r="L1771" s="9">
        <v>1</v>
      </c>
      <c r="M1771" s="9">
        <v>8</v>
      </c>
      <c r="N1771" s="9" t="s">
        <v>12125</v>
      </c>
      <c r="O1771" s="9" t="s">
        <v>12073</v>
      </c>
      <c r="P1771" s="9" t="s">
        <v>12203</v>
      </c>
      <c r="Q1771" s="10" t="s">
        <v>12204</v>
      </c>
      <c r="S1771" s="9">
        <v>20</v>
      </c>
      <c r="U1771" s="9" t="str">
        <f t="shared" ca="1" si="72"/>
        <v/>
      </c>
      <c r="V1771" s="9" t="str">
        <f t="shared" ca="1" si="73"/>
        <v/>
      </c>
      <c r="AG1771" s="9" t="s">
        <v>20</v>
      </c>
    </row>
    <row r="1772" spans="1:33">
      <c r="A1772" s="3" t="s">
        <v>2013</v>
      </c>
      <c r="D1772" s="3" t="s">
        <v>2014</v>
      </c>
      <c r="E1772" s="3" t="s">
        <v>2015</v>
      </c>
      <c r="J1772" s="9" t="s">
        <v>12118</v>
      </c>
      <c r="Q1772" s="10"/>
      <c r="T1772" s="9" t="s">
        <v>12131</v>
      </c>
      <c r="U1772" s="9" t="str">
        <f t="shared" ca="1" si="72"/>
        <v/>
      </c>
      <c r="V1772" s="9" t="str">
        <f t="shared" ca="1" si="73"/>
        <v/>
      </c>
      <c r="AC1772" s="9" t="s">
        <v>12134</v>
      </c>
      <c r="AD1772" s="9" t="s">
        <v>19</v>
      </c>
      <c r="AE1772" s="9" t="s">
        <v>12086</v>
      </c>
    </row>
    <row r="1773" spans="1:33">
      <c r="A1773" s="3" t="s">
        <v>2016</v>
      </c>
      <c r="D1773" s="3" t="s">
        <v>6989</v>
      </c>
      <c r="E1773" s="3" t="s">
        <v>6990</v>
      </c>
      <c r="J1773" s="9" t="s">
        <v>12120</v>
      </c>
      <c r="Q1773" s="10"/>
      <c r="U1773" s="9" t="str">
        <f t="shared" ca="1" si="72"/>
        <v/>
      </c>
      <c r="V1773" s="9" t="str">
        <f t="shared" ca="1" si="73"/>
        <v/>
      </c>
      <c r="AG1773" s="9" t="s">
        <v>19</v>
      </c>
    </row>
    <row r="1774" spans="1:33">
      <c r="A1774" s="3" t="s">
        <v>2016</v>
      </c>
      <c r="D1774" s="3" t="s">
        <v>3456</v>
      </c>
      <c r="E1774" s="3" t="s">
        <v>2017</v>
      </c>
      <c r="J1774" s="9" t="s">
        <v>12118</v>
      </c>
      <c r="Q1774" s="10"/>
      <c r="T1774" s="9" t="s">
        <v>12131</v>
      </c>
      <c r="U1774" s="9" t="str">
        <f t="shared" ca="1" si="72"/>
        <v/>
      </c>
      <c r="V1774" s="9" t="str">
        <f t="shared" ca="1" si="73"/>
        <v/>
      </c>
      <c r="AC1774" s="9" t="s">
        <v>12134</v>
      </c>
      <c r="AD1774" s="9" t="s">
        <v>19</v>
      </c>
      <c r="AE1774" s="9" t="s">
        <v>12086</v>
      </c>
    </row>
    <row r="1775" spans="1:33" ht="29">
      <c r="A1775" s="3" t="s">
        <v>2018</v>
      </c>
      <c r="D1775" s="3" t="s">
        <v>6991</v>
      </c>
      <c r="E1775" s="3" t="s">
        <v>6992</v>
      </c>
      <c r="F1775" t="s">
        <v>4774</v>
      </c>
      <c r="G1775" t="s">
        <v>21</v>
      </c>
      <c r="J1775" s="15" t="s">
        <v>27</v>
      </c>
      <c r="K1775" s="15"/>
      <c r="L1775" s="15"/>
      <c r="M1775" s="15"/>
      <c r="N1775" s="15"/>
      <c r="O1775" s="15"/>
      <c r="P1775" s="15"/>
      <c r="Q1775" s="16"/>
      <c r="R1775" s="15"/>
      <c r="S1775" s="15"/>
      <c r="T1775" s="15"/>
      <c r="U1775" s="15" t="str">
        <f t="shared" ca="1" si="72"/>
        <v/>
      </c>
      <c r="V1775" s="15" t="str">
        <f t="shared" ca="1" si="73"/>
        <v/>
      </c>
      <c r="W1775" s="15"/>
      <c r="X1775" s="15"/>
      <c r="Y1775" s="15"/>
      <c r="Z1775" s="15"/>
      <c r="AA1775" s="15"/>
      <c r="AB1775" s="15"/>
      <c r="AC1775" s="15"/>
      <c r="AD1775" s="15"/>
      <c r="AE1775" s="15"/>
      <c r="AF1775" s="15"/>
      <c r="AG1775" s="15"/>
    </row>
    <row r="1776" spans="1:33" ht="29">
      <c r="A1776" s="3" t="s">
        <v>2018</v>
      </c>
      <c r="D1776" s="3" t="s">
        <v>12336</v>
      </c>
      <c r="E1776" s="3" t="s">
        <v>12337</v>
      </c>
      <c r="F1776" t="s">
        <v>4774</v>
      </c>
      <c r="J1776" s="9" t="s">
        <v>12120</v>
      </c>
      <c r="Q1776" s="10"/>
      <c r="U1776" s="9" t="str">
        <f t="shared" ca="1" si="72"/>
        <v/>
      </c>
      <c r="V1776" s="9" t="str">
        <f t="shared" ca="1" si="73"/>
        <v/>
      </c>
    </row>
    <row r="1777" spans="1:33" ht="29">
      <c r="A1777" s="3" t="s">
        <v>2018</v>
      </c>
      <c r="D1777" s="3" t="s">
        <v>12338</v>
      </c>
      <c r="E1777" s="3" t="s">
        <v>6992</v>
      </c>
      <c r="F1777" t="s">
        <v>4774</v>
      </c>
      <c r="J1777" s="9" t="s">
        <v>25</v>
      </c>
      <c r="L1777" s="9">
        <v>1</v>
      </c>
      <c r="M1777" s="9">
        <v>6</v>
      </c>
      <c r="N1777" s="9" t="s">
        <v>12092</v>
      </c>
      <c r="O1777" s="9" t="s">
        <v>12079</v>
      </c>
      <c r="Q1777" s="10"/>
      <c r="S1777" s="9">
        <v>61</v>
      </c>
      <c r="U1777" s="9" t="str">
        <f t="shared" ca="1" si="72"/>
        <v/>
      </c>
      <c r="V1777" s="9" t="str">
        <f t="shared" ca="1" si="73"/>
        <v/>
      </c>
    </row>
    <row r="1778" spans="1:33" ht="43.5">
      <c r="A1778" s="3" t="s">
        <v>2018</v>
      </c>
      <c r="D1778" s="3" t="s">
        <v>12339</v>
      </c>
      <c r="E1778" s="3" t="s">
        <v>12340</v>
      </c>
      <c r="F1778" t="s">
        <v>4774</v>
      </c>
      <c r="J1778" s="9" t="s">
        <v>12118</v>
      </c>
      <c r="Q1778" s="10"/>
      <c r="T1778" s="9">
        <f>4-10</f>
        <v>-6</v>
      </c>
      <c r="U1778" s="9">
        <f t="shared" ca="1" si="72"/>
        <v>10</v>
      </c>
      <c r="V1778" s="9">
        <f t="shared" ca="1" si="73"/>
        <v>4</v>
      </c>
    </row>
    <row r="1779" spans="1:33">
      <c r="A1779" s="3" t="s">
        <v>2018</v>
      </c>
      <c r="D1779" s="3" t="s">
        <v>2010</v>
      </c>
      <c r="E1779" s="3" t="s">
        <v>2011</v>
      </c>
      <c r="J1779" s="9" t="s">
        <v>12118</v>
      </c>
      <c r="Q1779" s="10"/>
      <c r="T1779" s="9" t="s">
        <v>12131</v>
      </c>
      <c r="U1779" s="9" t="str">
        <f t="shared" ca="1" si="72"/>
        <v/>
      </c>
      <c r="V1779" s="9" t="str">
        <f t="shared" ca="1" si="73"/>
        <v/>
      </c>
      <c r="AC1779" s="9" t="s">
        <v>12134</v>
      </c>
      <c r="AD1779" s="9" t="s">
        <v>19</v>
      </c>
      <c r="AE1779" s="9" t="s">
        <v>12086</v>
      </c>
    </row>
    <row r="1780" spans="1:33">
      <c r="A1780" s="3" t="s">
        <v>2019</v>
      </c>
      <c r="D1780" s="3" t="s">
        <v>2020</v>
      </c>
      <c r="E1780" s="3" t="s">
        <v>2021</v>
      </c>
      <c r="J1780" s="9" t="s">
        <v>12118</v>
      </c>
      <c r="Q1780" s="10"/>
      <c r="T1780" s="9" t="s">
        <v>12131</v>
      </c>
      <c r="U1780" s="9" t="str">
        <f t="shared" ca="1" si="72"/>
        <v/>
      </c>
      <c r="V1780" s="9" t="str">
        <f t="shared" ca="1" si="73"/>
        <v/>
      </c>
      <c r="AC1780" s="9" t="s">
        <v>12744</v>
      </c>
      <c r="AD1780" s="9" t="s">
        <v>19</v>
      </c>
      <c r="AE1780" s="9" t="s">
        <v>12086</v>
      </c>
    </row>
    <row r="1781" spans="1:33">
      <c r="A1781" s="3" t="s">
        <v>2022</v>
      </c>
      <c r="D1781" s="3" t="s">
        <v>6699</v>
      </c>
      <c r="E1781" s="3" t="s">
        <v>6993</v>
      </c>
      <c r="J1781" s="9" t="s">
        <v>12120</v>
      </c>
      <c r="Q1781" s="10"/>
      <c r="U1781" s="9" t="str">
        <f t="shared" ca="1" si="72"/>
        <v/>
      </c>
      <c r="V1781" s="9" t="str">
        <f t="shared" ca="1" si="73"/>
        <v/>
      </c>
      <c r="AE1781" s="9" t="s">
        <v>12089</v>
      </c>
    </row>
    <row r="1782" spans="1:33">
      <c r="A1782" s="3" t="s">
        <v>2022</v>
      </c>
      <c r="D1782" s="3" t="s">
        <v>6994</v>
      </c>
      <c r="E1782" s="3" t="s">
        <v>6995</v>
      </c>
      <c r="J1782" s="9" t="s">
        <v>12120</v>
      </c>
      <c r="Q1782" s="10"/>
      <c r="U1782" s="9" t="str">
        <f t="shared" ca="1" si="72"/>
        <v/>
      </c>
      <c r="V1782" s="9" t="str">
        <f t="shared" ca="1" si="73"/>
        <v/>
      </c>
      <c r="AC1782" s="9" t="s">
        <v>12130</v>
      </c>
      <c r="AD1782" s="9" t="s">
        <v>19</v>
      </c>
    </row>
    <row r="1783" spans="1:33" ht="43.5">
      <c r="A1783" s="3" t="s">
        <v>2022</v>
      </c>
      <c r="D1783" s="3" t="s">
        <v>13024</v>
      </c>
      <c r="E1783" s="5" t="s">
        <v>13025</v>
      </c>
      <c r="F1783" t="s">
        <v>32</v>
      </c>
      <c r="G1783" t="s">
        <v>19</v>
      </c>
      <c r="I1783" t="s">
        <v>13026</v>
      </c>
      <c r="J1783" s="9" t="s">
        <v>24</v>
      </c>
      <c r="L1783" s="9">
        <v>1</v>
      </c>
      <c r="M1783" s="9">
        <v>3</v>
      </c>
      <c r="N1783" s="9" t="s">
        <v>12078</v>
      </c>
      <c r="O1783" s="9" t="s">
        <v>12073</v>
      </c>
      <c r="P1783" s="9" t="s">
        <v>12135</v>
      </c>
      <c r="Q1783" s="10" t="s">
        <v>12136</v>
      </c>
      <c r="S1783" s="9">
        <v>11843</v>
      </c>
      <c r="U1783" s="9" t="str">
        <f t="shared" ref="U1783" ca="1" si="74">IF(ISNUMBER(T1783),VALUE(MID(_xlfn.FORMULATEXT(T1783),SEARCH("-",_xlfn.FORMULATEXT(T1783))+1,LEN(_xlfn.FORMULATEXT(T1783))-SEARCH("-",_xlfn.FORMULATEXT(T1783)))), "")</f>
        <v/>
      </c>
      <c r="V1783" s="9" t="str">
        <f t="shared" ref="V1783" ca="1" si="75">IF(ISNUMBER(T1783), VALUE(MID(_xlfn.FORMULATEXT(T1783), 2, SEARCH("-", _xlfn.FORMULATEXT(T1783)) - 2)), "")</f>
        <v/>
      </c>
    </row>
    <row r="1784" spans="1:33" ht="43.5">
      <c r="A1784" s="3" t="s">
        <v>2022</v>
      </c>
      <c r="D1784" s="3" t="s">
        <v>6997</v>
      </c>
      <c r="E1784" s="3" t="s">
        <v>6996</v>
      </c>
      <c r="G1784" t="s">
        <v>20</v>
      </c>
      <c r="I1784" t="s">
        <v>12341</v>
      </c>
      <c r="J1784" s="9" t="s">
        <v>25</v>
      </c>
      <c r="L1784" s="9">
        <v>3</v>
      </c>
      <c r="M1784" s="9">
        <v>15</v>
      </c>
      <c r="O1784" s="9" t="s">
        <v>12073</v>
      </c>
      <c r="P1784" s="9" t="s">
        <v>12140</v>
      </c>
      <c r="Q1784" s="10" t="s">
        <v>12138</v>
      </c>
      <c r="S1784" s="9">
        <v>65</v>
      </c>
      <c r="U1784" s="9" t="str">
        <f t="shared" ca="1" si="72"/>
        <v/>
      </c>
      <c r="V1784" s="9" t="str">
        <f t="shared" ca="1" si="73"/>
        <v/>
      </c>
      <c r="AG1784" s="9" t="s">
        <v>20</v>
      </c>
    </row>
    <row r="1785" spans="1:33" ht="43.5">
      <c r="A1785" s="3" t="s">
        <v>2023</v>
      </c>
      <c r="D1785" s="3" t="s">
        <v>6998</v>
      </c>
      <c r="E1785" s="5" t="s">
        <v>6999</v>
      </c>
      <c r="F1785" t="s">
        <v>32</v>
      </c>
      <c r="I1785" t="s">
        <v>7000</v>
      </c>
      <c r="J1785" s="9" t="s">
        <v>12120</v>
      </c>
      <c r="Q1785" s="10"/>
      <c r="U1785" s="9" t="str">
        <f t="shared" ca="1" si="72"/>
        <v/>
      </c>
      <c r="V1785" s="9" t="str">
        <f t="shared" ca="1" si="73"/>
        <v/>
      </c>
      <c r="AB1785" s="9" t="s">
        <v>12737</v>
      </c>
      <c r="AD1785" s="9" t="s">
        <v>19</v>
      </c>
    </row>
    <row r="1786" spans="1:33">
      <c r="A1786" s="3" t="s">
        <v>2023</v>
      </c>
      <c r="D1786" s="11" t="s">
        <v>7002</v>
      </c>
      <c r="E1786" s="11" t="s">
        <v>7001</v>
      </c>
      <c r="J1786" s="9" t="s">
        <v>12120</v>
      </c>
      <c r="Q1786" s="10"/>
      <c r="U1786" s="9" t="str">
        <f t="shared" ca="1" si="72"/>
        <v/>
      </c>
      <c r="V1786" s="9" t="str">
        <f t="shared" ca="1" si="73"/>
        <v/>
      </c>
      <c r="AE1786" s="9" t="s">
        <v>12086</v>
      </c>
    </row>
    <row r="1787" spans="1:33" ht="29">
      <c r="A1787" s="3" t="s">
        <v>2023</v>
      </c>
      <c r="D1787" s="3" t="s">
        <v>7004</v>
      </c>
      <c r="E1787" s="3" t="s">
        <v>7003</v>
      </c>
      <c r="I1787" t="s">
        <v>5457</v>
      </c>
      <c r="J1787" s="9" t="s">
        <v>26</v>
      </c>
      <c r="Q1787" s="10"/>
      <c r="U1787" s="9" t="str">
        <f t="shared" ca="1" si="72"/>
        <v/>
      </c>
      <c r="V1787" s="9" t="str">
        <f t="shared" ca="1" si="73"/>
        <v/>
      </c>
      <c r="AG1787" s="9" t="s">
        <v>20</v>
      </c>
    </row>
    <row r="1788" spans="1:33">
      <c r="A1788" s="3" t="s">
        <v>2024</v>
      </c>
      <c r="D1788" s="3" t="s">
        <v>7005</v>
      </c>
      <c r="E1788" s="3" t="s">
        <v>7006</v>
      </c>
      <c r="J1788" s="9" t="s">
        <v>12118</v>
      </c>
      <c r="Q1788" s="10"/>
      <c r="T1788" s="9">
        <f xml:space="preserve"> 1-19</f>
        <v>-18</v>
      </c>
      <c r="U1788" s="9">
        <f t="shared" ca="1" si="72"/>
        <v>19</v>
      </c>
      <c r="V1788" s="9">
        <f t="shared" ca="1" si="73"/>
        <v>1</v>
      </c>
      <c r="AG1788" s="9" t="s">
        <v>19</v>
      </c>
    </row>
    <row r="1789" spans="1:33">
      <c r="A1789" s="3" t="s">
        <v>2024</v>
      </c>
      <c r="D1789" s="3" t="s">
        <v>7007</v>
      </c>
      <c r="E1789" s="3" t="s">
        <v>7008</v>
      </c>
      <c r="G1789" t="s">
        <v>19</v>
      </c>
      <c r="J1789" s="9" t="s">
        <v>12120</v>
      </c>
      <c r="Q1789" s="10"/>
      <c r="U1789" s="9" t="str">
        <f t="shared" ca="1" si="72"/>
        <v/>
      </c>
      <c r="V1789" s="9" t="str">
        <f t="shared" ca="1" si="73"/>
        <v/>
      </c>
      <c r="AC1789" s="9" t="s">
        <v>12134</v>
      </c>
      <c r="AD1789" s="9" t="s">
        <v>19</v>
      </c>
      <c r="AE1789" s="9" t="s">
        <v>12086</v>
      </c>
    </row>
    <row r="1790" spans="1:33" ht="29">
      <c r="A1790" s="3" t="s">
        <v>2026</v>
      </c>
      <c r="D1790" s="3" t="s">
        <v>7009</v>
      </c>
      <c r="E1790" s="3" t="s">
        <v>7010</v>
      </c>
      <c r="J1790" s="9" t="s">
        <v>12120</v>
      </c>
      <c r="Q1790" s="10"/>
      <c r="U1790" s="9" t="str">
        <f t="shared" ca="1" si="72"/>
        <v/>
      </c>
      <c r="V1790" s="9" t="str">
        <f t="shared" ca="1" si="73"/>
        <v/>
      </c>
      <c r="AG1790" s="9" t="s">
        <v>19</v>
      </c>
    </row>
    <row r="1791" spans="1:33" ht="29">
      <c r="A1791" s="3" t="s">
        <v>2027</v>
      </c>
      <c r="D1791" s="3" t="s">
        <v>7011</v>
      </c>
      <c r="E1791" s="3" t="s">
        <v>7012</v>
      </c>
      <c r="J1791" s="9" t="s">
        <v>25</v>
      </c>
      <c r="L1791" s="9">
        <v>1</v>
      </c>
      <c r="M1791" s="9">
        <v>6</v>
      </c>
      <c r="N1791" s="9" t="s">
        <v>12094</v>
      </c>
      <c r="O1791" s="9" t="s">
        <v>12073</v>
      </c>
      <c r="P1791" s="9" t="s">
        <v>12149</v>
      </c>
      <c r="Q1791" s="10" t="s">
        <v>12160</v>
      </c>
      <c r="S1791" s="9">
        <v>4240</v>
      </c>
      <c r="U1791" s="9" t="str">
        <f t="shared" ca="1" si="72"/>
        <v/>
      </c>
      <c r="V1791" s="9" t="str">
        <f t="shared" ca="1" si="73"/>
        <v/>
      </c>
      <c r="AG1791" s="9" t="s">
        <v>19</v>
      </c>
    </row>
    <row r="1792" spans="1:33" ht="29">
      <c r="A1792" s="3" t="s">
        <v>2028</v>
      </c>
      <c r="D1792" s="3" t="s">
        <v>7014</v>
      </c>
      <c r="E1792" s="3" t="s">
        <v>7013</v>
      </c>
      <c r="J1792" s="9" t="s">
        <v>25</v>
      </c>
      <c r="L1792" s="9">
        <v>2</v>
      </c>
      <c r="M1792" s="9">
        <v>7</v>
      </c>
      <c r="O1792" s="9" t="s">
        <v>12079</v>
      </c>
      <c r="Q1792" s="10"/>
      <c r="S1792" s="9">
        <v>4240</v>
      </c>
      <c r="U1792" s="9" t="str">
        <f t="shared" ca="1" si="72"/>
        <v/>
      </c>
      <c r="V1792" s="9" t="str">
        <f t="shared" ca="1" si="73"/>
        <v/>
      </c>
      <c r="AG1792" s="9" t="s">
        <v>19</v>
      </c>
    </row>
    <row r="1793" spans="1:33" ht="29">
      <c r="A1793" s="3" t="s">
        <v>2028</v>
      </c>
      <c r="D1793" s="3" t="s">
        <v>7015</v>
      </c>
      <c r="E1793" s="3" t="s">
        <v>12669</v>
      </c>
      <c r="G1793" t="s">
        <v>20</v>
      </c>
      <c r="I1793" t="s">
        <v>7016</v>
      </c>
      <c r="J1793" s="9" t="s">
        <v>12118</v>
      </c>
      <c r="Q1793" s="10"/>
      <c r="T1793" s="9">
        <f>1966-11843</f>
        <v>-9877</v>
      </c>
      <c r="U1793" s="9">
        <f t="shared" ca="1" si="72"/>
        <v>11843</v>
      </c>
      <c r="V1793" s="9">
        <f t="shared" ca="1" si="73"/>
        <v>1966</v>
      </c>
      <c r="AG1793" s="9" t="s">
        <v>19</v>
      </c>
    </row>
    <row r="1794" spans="1:33">
      <c r="A1794" s="3" t="s">
        <v>2029</v>
      </c>
      <c r="D1794" s="3" t="s">
        <v>2030</v>
      </c>
      <c r="E1794" s="3" t="s">
        <v>2031</v>
      </c>
      <c r="J1794" s="9" t="s">
        <v>12120</v>
      </c>
      <c r="Q1794" s="10"/>
      <c r="U1794" s="9" t="str">
        <f t="shared" ca="1" si="72"/>
        <v/>
      </c>
      <c r="V1794" s="9" t="str">
        <f t="shared" ca="1" si="73"/>
        <v/>
      </c>
      <c r="AE1794" s="9" t="s">
        <v>12077</v>
      </c>
    </row>
    <row r="1795" spans="1:33" ht="29">
      <c r="A1795" s="3" t="s">
        <v>2032</v>
      </c>
      <c r="D1795" s="3" t="s">
        <v>7017</v>
      </c>
      <c r="E1795" s="3" t="s">
        <v>7018</v>
      </c>
      <c r="J1795" s="9" t="s">
        <v>25</v>
      </c>
      <c r="L1795" s="9">
        <v>1</v>
      </c>
      <c r="M1795" s="9">
        <v>3</v>
      </c>
      <c r="N1795" s="9" t="s">
        <v>12087</v>
      </c>
      <c r="O1795" s="9" t="s">
        <v>12079</v>
      </c>
      <c r="Q1795" s="10"/>
      <c r="S1795" s="9">
        <v>810</v>
      </c>
      <c r="U1795" s="9" t="str">
        <f t="shared" ca="1" si="72"/>
        <v/>
      </c>
      <c r="V1795" s="9" t="str">
        <f t="shared" ca="1" si="73"/>
        <v/>
      </c>
      <c r="AG1795" s="9" t="s">
        <v>19</v>
      </c>
    </row>
    <row r="1796" spans="1:33" ht="58">
      <c r="A1796" s="3" t="s">
        <v>2032</v>
      </c>
      <c r="D1796" s="3" t="s">
        <v>13027</v>
      </c>
      <c r="E1796" s="3" t="s">
        <v>13028</v>
      </c>
      <c r="I1796" t="s">
        <v>7019</v>
      </c>
      <c r="J1796" s="9" t="s">
        <v>25</v>
      </c>
      <c r="L1796" s="9">
        <v>4</v>
      </c>
      <c r="M1796" s="9">
        <v>26</v>
      </c>
      <c r="O1796" s="9" t="s">
        <v>12073</v>
      </c>
      <c r="P1796" s="9" t="s">
        <v>12140</v>
      </c>
      <c r="Q1796" s="10" t="s">
        <v>12194</v>
      </c>
      <c r="S1796" s="9">
        <v>11</v>
      </c>
      <c r="U1796" s="9" t="str">
        <f t="shared" ca="1" si="72"/>
        <v/>
      </c>
      <c r="V1796" s="9" t="str">
        <f t="shared" ca="1" si="73"/>
        <v/>
      </c>
      <c r="AG1796" s="9" t="s">
        <v>20</v>
      </c>
    </row>
    <row r="1797" spans="1:33">
      <c r="A1797" s="3" t="s">
        <v>2033</v>
      </c>
      <c r="D1797" s="3" t="s">
        <v>7020</v>
      </c>
      <c r="E1797" s="3" t="s">
        <v>7021</v>
      </c>
      <c r="J1797" s="9" t="s">
        <v>12118</v>
      </c>
      <c r="Q1797" s="10"/>
      <c r="T1797" s="9" t="s">
        <v>12131</v>
      </c>
      <c r="U1797" s="9" t="str">
        <f t="shared" ca="1" si="72"/>
        <v/>
      </c>
      <c r="V1797" s="9" t="str">
        <f t="shared" ca="1" si="73"/>
        <v/>
      </c>
      <c r="AE1797" s="9" t="s">
        <v>12086</v>
      </c>
    </row>
    <row r="1798" spans="1:33" ht="43.5">
      <c r="A1798" s="3" t="s">
        <v>2033</v>
      </c>
      <c r="D1798" s="3" t="s">
        <v>7022</v>
      </c>
      <c r="E1798" s="3" t="s">
        <v>7023</v>
      </c>
      <c r="J1798" s="9" t="s">
        <v>12120</v>
      </c>
      <c r="Q1798" s="10"/>
      <c r="U1798" s="9" t="str">
        <f t="shared" ca="1" si="72"/>
        <v/>
      </c>
      <c r="V1798" s="9" t="str">
        <f t="shared" ca="1" si="73"/>
        <v/>
      </c>
      <c r="AB1798" s="9" t="s">
        <v>12082</v>
      </c>
      <c r="AC1798" s="9" t="s">
        <v>12740</v>
      </c>
      <c r="AD1798" s="9" t="s">
        <v>19</v>
      </c>
    </row>
    <row r="1799" spans="1:33" ht="43.5">
      <c r="A1799" s="3" t="s">
        <v>2033</v>
      </c>
      <c r="D1799" s="3" t="s">
        <v>7024</v>
      </c>
      <c r="E1799" s="3" t="s">
        <v>7025</v>
      </c>
      <c r="J1799" s="9" t="s">
        <v>12120</v>
      </c>
      <c r="Q1799" s="10"/>
      <c r="U1799" s="9" t="str">
        <f t="shared" ca="1" si="72"/>
        <v/>
      </c>
      <c r="V1799" s="9" t="str">
        <f t="shared" ca="1" si="73"/>
        <v/>
      </c>
      <c r="AE1799" s="9" t="s">
        <v>12086</v>
      </c>
    </row>
    <row r="1800" spans="1:33" ht="43.5">
      <c r="A1800" s="3" t="s">
        <v>2033</v>
      </c>
      <c r="D1800" s="3" t="s">
        <v>7026</v>
      </c>
      <c r="E1800" s="3" t="s">
        <v>7027</v>
      </c>
      <c r="J1800" s="9" t="s">
        <v>12120</v>
      </c>
      <c r="Q1800" s="10"/>
      <c r="U1800" s="9" t="str">
        <f t="shared" ca="1" si="72"/>
        <v/>
      </c>
      <c r="V1800" s="9" t="str">
        <f t="shared" ca="1" si="73"/>
        <v/>
      </c>
      <c r="AB1800" s="9" t="s">
        <v>12082</v>
      </c>
      <c r="AD1800" s="9" t="s">
        <v>19</v>
      </c>
    </row>
    <row r="1801" spans="1:33" ht="43.5">
      <c r="A1801" s="3" t="s">
        <v>2033</v>
      </c>
      <c r="D1801" s="3" t="s">
        <v>7029</v>
      </c>
      <c r="E1801" s="3" t="s">
        <v>7028</v>
      </c>
      <c r="J1801" s="9" t="s">
        <v>12121</v>
      </c>
      <c r="Q1801" s="10"/>
      <c r="T1801" s="9">
        <f>18-0</f>
        <v>18</v>
      </c>
      <c r="U1801" s="9">
        <f t="shared" ca="1" si="72"/>
        <v>0</v>
      </c>
      <c r="V1801" s="9">
        <f t="shared" ca="1" si="73"/>
        <v>18</v>
      </c>
      <c r="AC1801" s="9" t="s">
        <v>12739</v>
      </c>
      <c r="AD1801" s="9" t="s">
        <v>19</v>
      </c>
      <c r="AE1801" s="9" t="s">
        <v>12089</v>
      </c>
    </row>
    <row r="1802" spans="1:33">
      <c r="A1802" s="3" t="s">
        <v>2034</v>
      </c>
      <c r="D1802" s="3" t="s">
        <v>2035</v>
      </c>
      <c r="E1802" s="3" t="s">
        <v>7030</v>
      </c>
      <c r="G1802" t="s">
        <v>19</v>
      </c>
      <c r="J1802" s="9" t="s">
        <v>12118</v>
      </c>
      <c r="Q1802" s="10"/>
      <c r="T1802" s="9">
        <f>54-399</f>
        <v>-345</v>
      </c>
      <c r="U1802" s="9">
        <f t="shared" ca="1" si="72"/>
        <v>399</v>
      </c>
      <c r="V1802" s="9">
        <f t="shared" ca="1" si="73"/>
        <v>54</v>
      </c>
    </row>
    <row r="1803" spans="1:33">
      <c r="A1803" s="3" t="s">
        <v>2034</v>
      </c>
      <c r="D1803" s="3" t="s">
        <v>2036</v>
      </c>
      <c r="E1803" s="3" t="s">
        <v>2036</v>
      </c>
      <c r="G1803" t="s">
        <v>20</v>
      </c>
      <c r="I1803" t="s">
        <v>7031</v>
      </c>
      <c r="Q1803" s="10"/>
      <c r="U1803" s="9" t="str">
        <f t="shared" ca="1" si="72"/>
        <v/>
      </c>
      <c r="V1803" s="9" t="str">
        <f t="shared" ca="1" si="73"/>
        <v/>
      </c>
    </row>
    <row r="1804" spans="1:33">
      <c r="A1804" s="3" t="s">
        <v>2037</v>
      </c>
      <c r="D1804" s="3" t="s">
        <v>12342</v>
      </c>
      <c r="E1804" s="3" t="s">
        <v>12343</v>
      </c>
      <c r="J1804" s="9" t="s">
        <v>12120</v>
      </c>
      <c r="Q1804" s="10"/>
      <c r="U1804" s="9" t="str">
        <f t="shared" ref="U1804:U1868" ca="1" si="76">IF(ISNUMBER(T1804),VALUE(MID(_xlfn.FORMULATEXT(T1804),SEARCH("-",_xlfn.FORMULATEXT(T1804))+1,LEN(_xlfn.FORMULATEXT(T1804))-SEARCH("-",_xlfn.FORMULATEXT(T1804)))), "")</f>
        <v/>
      </c>
      <c r="V1804" s="9" t="str">
        <f t="shared" ref="V1804:V1868" ca="1" si="77">IF(ISNUMBER(T1804), VALUE(MID(_xlfn.FORMULATEXT(T1804), 2, SEARCH("-", _xlfn.FORMULATEXT(T1804)) - 2)), "")</f>
        <v/>
      </c>
      <c r="AC1804" s="9" t="s">
        <v>12739</v>
      </c>
      <c r="AD1804" s="9" t="s">
        <v>19</v>
      </c>
      <c r="AE1804" s="9" t="s">
        <v>12077</v>
      </c>
    </row>
    <row r="1805" spans="1:33">
      <c r="A1805" s="3" t="s">
        <v>2038</v>
      </c>
      <c r="D1805" s="3" t="s">
        <v>7032</v>
      </c>
      <c r="E1805" s="3" t="s">
        <v>7033</v>
      </c>
      <c r="J1805" s="9" t="s">
        <v>12120</v>
      </c>
      <c r="Q1805" s="10"/>
      <c r="U1805" s="9" t="str">
        <f t="shared" ca="1" si="76"/>
        <v/>
      </c>
      <c r="V1805" s="9" t="str">
        <f t="shared" ca="1" si="77"/>
        <v/>
      </c>
      <c r="AG1805" s="9" t="s">
        <v>20</v>
      </c>
    </row>
    <row r="1806" spans="1:33">
      <c r="A1806" s="3" t="s">
        <v>2038</v>
      </c>
      <c r="D1806" s="3" t="s">
        <v>2039</v>
      </c>
      <c r="E1806" s="3" t="s">
        <v>2040</v>
      </c>
      <c r="J1806" s="9" t="s">
        <v>12120</v>
      </c>
      <c r="Q1806" s="10"/>
      <c r="U1806" s="9" t="str">
        <f t="shared" ca="1" si="76"/>
        <v/>
      </c>
      <c r="V1806" s="9" t="str">
        <f t="shared" ca="1" si="77"/>
        <v/>
      </c>
      <c r="AE1806" s="9" t="s">
        <v>12077</v>
      </c>
    </row>
    <row r="1807" spans="1:33">
      <c r="A1807" s="3" t="s">
        <v>2041</v>
      </c>
      <c r="D1807" s="3" t="s">
        <v>7034</v>
      </c>
      <c r="E1807" s="3" t="s">
        <v>7035</v>
      </c>
      <c r="G1807" t="s">
        <v>19</v>
      </c>
      <c r="J1807" s="9" t="s">
        <v>12118</v>
      </c>
      <c r="Q1807" s="10"/>
      <c r="T1807" s="9">
        <f>780-11843</f>
        <v>-11063</v>
      </c>
      <c r="U1807" s="9">
        <f t="shared" ca="1" si="76"/>
        <v>11843</v>
      </c>
      <c r="V1807" s="9">
        <f t="shared" ca="1" si="77"/>
        <v>780</v>
      </c>
    </row>
    <row r="1808" spans="1:33" ht="29">
      <c r="A1808" s="3" t="s">
        <v>2042</v>
      </c>
      <c r="D1808" s="3" t="s">
        <v>7037</v>
      </c>
      <c r="E1808" s="3" t="s">
        <v>7036</v>
      </c>
      <c r="I1808" t="s">
        <v>12192</v>
      </c>
      <c r="J1808" s="9" t="s">
        <v>26</v>
      </c>
      <c r="Q1808" s="10"/>
      <c r="U1808" s="9" t="str">
        <f t="shared" ca="1" si="76"/>
        <v/>
      </c>
      <c r="V1808" s="9" t="str">
        <f t="shared" ca="1" si="77"/>
        <v/>
      </c>
      <c r="AG1808" s="9" t="s">
        <v>20</v>
      </c>
    </row>
    <row r="1809" spans="1:33" ht="43.5">
      <c r="A1809" s="3" t="s">
        <v>2042</v>
      </c>
      <c r="D1809" s="3" t="s">
        <v>7039</v>
      </c>
      <c r="E1809" s="3" t="s">
        <v>7038</v>
      </c>
      <c r="I1809" t="s">
        <v>5457</v>
      </c>
      <c r="J1809" s="9" t="s">
        <v>26</v>
      </c>
      <c r="Q1809" s="10"/>
      <c r="U1809" s="9" t="str">
        <f t="shared" ca="1" si="76"/>
        <v/>
      </c>
      <c r="V1809" s="9" t="str">
        <f t="shared" ca="1" si="77"/>
        <v/>
      </c>
      <c r="AG1809" s="9" t="s">
        <v>20</v>
      </c>
    </row>
    <row r="1810" spans="1:33">
      <c r="A1810" s="3" t="s">
        <v>2043</v>
      </c>
      <c r="D1810" s="3" t="s">
        <v>7040</v>
      </c>
      <c r="E1810" s="3" t="s">
        <v>7041</v>
      </c>
      <c r="J1810" s="9" t="s">
        <v>12118</v>
      </c>
      <c r="Q1810" s="10"/>
      <c r="T1810" s="9">
        <f>0-11</f>
        <v>-11</v>
      </c>
      <c r="U1810" s="9">
        <f t="shared" ca="1" si="76"/>
        <v>11</v>
      </c>
      <c r="V1810" s="9">
        <f t="shared" ca="1" si="77"/>
        <v>0</v>
      </c>
      <c r="AC1810" s="9" t="s">
        <v>12153</v>
      </c>
      <c r="AD1810" s="9" t="s">
        <v>19</v>
      </c>
    </row>
    <row r="1811" spans="1:33" ht="101.5">
      <c r="A1811" s="3" t="s">
        <v>2044</v>
      </c>
      <c r="D1811" s="3" t="s">
        <v>12888</v>
      </c>
      <c r="E1811" s="3" t="s">
        <v>12889</v>
      </c>
      <c r="I1811" t="s">
        <v>12345</v>
      </c>
      <c r="J1811" s="9" t="s">
        <v>25</v>
      </c>
      <c r="L1811" s="9">
        <v>12</v>
      </c>
      <c r="M1811" s="9">
        <v>60</v>
      </c>
      <c r="O1811" s="9" t="s">
        <v>12073</v>
      </c>
      <c r="P1811" s="9" t="s">
        <v>12140</v>
      </c>
      <c r="Q1811" s="10" t="s">
        <v>12344</v>
      </c>
      <c r="S1811" s="9">
        <v>2</v>
      </c>
      <c r="U1811" s="9" t="str">
        <f t="shared" ca="1" si="76"/>
        <v/>
      </c>
      <c r="V1811" s="9" t="str">
        <f t="shared" ca="1" si="77"/>
        <v/>
      </c>
      <c r="AG1811" s="9" t="s">
        <v>20</v>
      </c>
    </row>
    <row r="1812" spans="1:33">
      <c r="A1812" s="3" t="s">
        <v>2045</v>
      </c>
      <c r="D1812" s="3" t="s">
        <v>7042</v>
      </c>
      <c r="E1812" s="3" t="s">
        <v>7043</v>
      </c>
      <c r="G1812" t="s">
        <v>19</v>
      </c>
      <c r="J1812" s="9" t="s">
        <v>12120</v>
      </c>
      <c r="Q1812" s="10"/>
      <c r="U1812" s="9" t="str">
        <f t="shared" ca="1" si="76"/>
        <v/>
      </c>
      <c r="V1812" s="9" t="str">
        <f t="shared" ca="1" si="77"/>
        <v/>
      </c>
      <c r="AC1812" s="9" t="s">
        <v>12134</v>
      </c>
      <c r="AD1812" s="9" t="s">
        <v>19</v>
      </c>
    </row>
    <row r="1813" spans="1:33" ht="29">
      <c r="A1813" s="3" t="s">
        <v>2046</v>
      </c>
      <c r="D1813" s="3" t="s">
        <v>7045</v>
      </c>
      <c r="E1813" s="3" t="s">
        <v>7044</v>
      </c>
      <c r="I1813" t="s">
        <v>12177</v>
      </c>
      <c r="J1813" s="9" t="s">
        <v>26</v>
      </c>
      <c r="Q1813" s="10"/>
      <c r="U1813" s="9" t="str">
        <f t="shared" ca="1" si="76"/>
        <v/>
      </c>
      <c r="V1813" s="9" t="str">
        <f t="shared" ca="1" si="77"/>
        <v/>
      </c>
      <c r="AG1813" s="9" t="s">
        <v>20</v>
      </c>
    </row>
    <row r="1814" spans="1:33">
      <c r="A1814" s="3" t="s">
        <v>2046</v>
      </c>
      <c r="D1814" s="3" t="s">
        <v>738</v>
      </c>
      <c r="E1814" s="3" t="s">
        <v>737</v>
      </c>
      <c r="J1814" s="9" t="s">
        <v>12118</v>
      </c>
      <c r="Q1814" s="10"/>
      <c r="T1814" s="9" t="s">
        <v>12119</v>
      </c>
      <c r="U1814" s="9" t="str">
        <f t="shared" ca="1" si="76"/>
        <v/>
      </c>
      <c r="V1814" s="9" t="str">
        <f t="shared" ca="1" si="77"/>
        <v/>
      </c>
      <c r="AB1814" s="9" t="s">
        <v>12124</v>
      </c>
      <c r="AC1814" s="9" t="s">
        <v>12740</v>
      </c>
      <c r="AD1814" s="9" t="s">
        <v>19</v>
      </c>
    </row>
    <row r="1815" spans="1:33">
      <c r="A1815" s="3" t="s">
        <v>2047</v>
      </c>
      <c r="D1815" s="3" t="s">
        <v>7047</v>
      </c>
      <c r="E1815" s="3" t="s">
        <v>7046</v>
      </c>
      <c r="I1815" t="s">
        <v>5457</v>
      </c>
      <c r="J1815" s="9" t="s">
        <v>26</v>
      </c>
      <c r="Q1815" s="10"/>
      <c r="U1815" s="9" t="str">
        <f t="shared" ca="1" si="76"/>
        <v/>
      </c>
      <c r="V1815" s="9" t="str">
        <f t="shared" ca="1" si="77"/>
        <v/>
      </c>
      <c r="AG1815" s="9" t="s">
        <v>19</v>
      </c>
    </row>
    <row r="1816" spans="1:33">
      <c r="A1816" s="3" t="s">
        <v>2047</v>
      </c>
      <c r="D1816" s="3" t="s">
        <v>2048</v>
      </c>
      <c r="E1816" s="3" t="s">
        <v>2049</v>
      </c>
      <c r="J1816" s="9" t="s">
        <v>12118</v>
      </c>
      <c r="Q1816" s="10"/>
      <c r="T1816" s="9">
        <f>0-3</f>
        <v>-3</v>
      </c>
      <c r="U1816" s="9">
        <f t="shared" ca="1" si="76"/>
        <v>3</v>
      </c>
      <c r="V1816" s="9">
        <f t="shared" ca="1" si="77"/>
        <v>0</v>
      </c>
      <c r="AC1816" s="9" t="s">
        <v>12748</v>
      </c>
      <c r="AD1816" s="9" t="s">
        <v>19</v>
      </c>
    </row>
    <row r="1817" spans="1:33" ht="29">
      <c r="A1817" s="3" t="s">
        <v>2050</v>
      </c>
      <c r="D1817" s="3" t="s">
        <v>7048</v>
      </c>
      <c r="E1817" s="3" t="s">
        <v>7049</v>
      </c>
      <c r="G1817" t="s">
        <v>19</v>
      </c>
      <c r="I1817" t="s">
        <v>12346</v>
      </c>
      <c r="J1817" s="9" t="s">
        <v>12118</v>
      </c>
      <c r="Q1817" s="10"/>
      <c r="T1817" s="9">
        <f>130-431</f>
        <v>-301</v>
      </c>
      <c r="U1817" s="9">
        <f t="shared" ca="1" si="76"/>
        <v>431</v>
      </c>
      <c r="V1817" s="9">
        <f t="shared" ca="1" si="77"/>
        <v>130</v>
      </c>
      <c r="AE1817" s="9" t="s">
        <v>12089</v>
      </c>
    </row>
    <row r="1818" spans="1:33" ht="29">
      <c r="A1818" s="3" t="s">
        <v>2051</v>
      </c>
      <c r="D1818" s="11" t="s">
        <v>12347</v>
      </c>
      <c r="E1818" s="3" t="s">
        <v>12348</v>
      </c>
      <c r="J1818" s="9" t="s">
        <v>12120</v>
      </c>
      <c r="Q1818" s="10"/>
      <c r="U1818" s="9" t="str">
        <f t="shared" ca="1" si="76"/>
        <v/>
      </c>
      <c r="V1818" s="9" t="str">
        <f t="shared" ca="1" si="77"/>
        <v/>
      </c>
      <c r="AC1818" s="9" t="s">
        <v>12134</v>
      </c>
      <c r="AD1818" s="9" t="s">
        <v>19</v>
      </c>
    </row>
    <row r="1819" spans="1:33">
      <c r="A1819" s="3" t="s">
        <v>2053</v>
      </c>
      <c r="D1819" s="3" t="s">
        <v>7050</v>
      </c>
      <c r="E1819" s="3" t="s">
        <v>7051</v>
      </c>
      <c r="J1819" s="9" t="s">
        <v>12120</v>
      </c>
      <c r="Q1819" s="10"/>
      <c r="U1819" s="9" t="str">
        <f t="shared" ca="1" si="76"/>
        <v/>
      </c>
      <c r="V1819" s="9" t="str">
        <f t="shared" ca="1" si="77"/>
        <v/>
      </c>
      <c r="AC1819" s="9" t="s">
        <v>12166</v>
      </c>
      <c r="AD1819" s="9" t="s">
        <v>19</v>
      </c>
      <c r="AE1819" s="9" t="s">
        <v>12083</v>
      </c>
    </row>
    <row r="1820" spans="1:33" ht="29">
      <c r="A1820" s="3" t="s">
        <v>2055</v>
      </c>
      <c r="D1820" s="3" t="s">
        <v>7052</v>
      </c>
      <c r="E1820" s="3" t="s">
        <v>7053</v>
      </c>
      <c r="J1820" s="9" t="s">
        <v>12118</v>
      </c>
      <c r="Q1820" s="10"/>
      <c r="T1820" s="9">
        <f xml:space="preserve"> 1294-560</f>
        <v>734</v>
      </c>
      <c r="U1820" s="9">
        <f t="shared" ca="1" si="76"/>
        <v>560</v>
      </c>
      <c r="V1820" s="9">
        <f t="shared" ca="1" si="77"/>
        <v>1294</v>
      </c>
      <c r="AG1820" s="9" t="s">
        <v>19</v>
      </c>
    </row>
    <row r="1821" spans="1:33" ht="29">
      <c r="A1821" s="3" t="s">
        <v>2056</v>
      </c>
      <c r="D1821" s="6" t="s">
        <v>7054</v>
      </c>
      <c r="E1821" s="3" t="s">
        <v>7055</v>
      </c>
      <c r="F1821" t="s">
        <v>4774</v>
      </c>
      <c r="G1821" t="s">
        <v>19</v>
      </c>
      <c r="I1821" t="s">
        <v>6670</v>
      </c>
      <c r="Q1821" s="10"/>
      <c r="U1821" s="9" t="str">
        <f t="shared" ca="1" si="76"/>
        <v/>
      </c>
      <c r="V1821" s="9" t="str">
        <f t="shared" ca="1" si="77"/>
        <v/>
      </c>
      <c r="AF1821" s="9" t="s">
        <v>19</v>
      </c>
    </row>
    <row r="1822" spans="1:33" ht="29">
      <c r="A1822" s="3" t="s">
        <v>2057</v>
      </c>
      <c r="D1822" s="3" t="s">
        <v>7057</v>
      </c>
      <c r="E1822" s="3" t="s">
        <v>7056</v>
      </c>
      <c r="I1822" t="s">
        <v>5457</v>
      </c>
      <c r="J1822" s="9" t="s">
        <v>26</v>
      </c>
      <c r="Q1822" s="10"/>
      <c r="U1822" s="9" t="str">
        <f t="shared" ca="1" si="76"/>
        <v/>
      </c>
      <c r="V1822" s="9" t="str">
        <f t="shared" ca="1" si="77"/>
        <v/>
      </c>
      <c r="AG1822" s="9" t="s">
        <v>20</v>
      </c>
    </row>
    <row r="1823" spans="1:33">
      <c r="A1823" s="3" t="s">
        <v>2057</v>
      </c>
      <c r="D1823" s="3" t="s">
        <v>7058</v>
      </c>
      <c r="E1823" s="3" t="s">
        <v>7059</v>
      </c>
      <c r="J1823" s="9" t="s">
        <v>12118</v>
      </c>
      <c r="Q1823" s="10"/>
      <c r="T1823" s="9" t="s">
        <v>12119</v>
      </c>
      <c r="U1823" s="9" t="str">
        <f t="shared" ca="1" si="76"/>
        <v/>
      </c>
      <c r="V1823" s="9" t="str">
        <f t="shared" ca="1" si="77"/>
        <v/>
      </c>
      <c r="AB1823" s="9" t="s">
        <v>12124</v>
      </c>
      <c r="AD1823" s="9" t="s">
        <v>19</v>
      </c>
    </row>
    <row r="1824" spans="1:33">
      <c r="A1824" s="3" t="s">
        <v>2058</v>
      </c>
      <c r="D1824" s="3" t="s">
        <v>7060</v>
      </c>
      <c r="E1824" s="3" t="s">
        <v>7061</v>
      </c>
      <c r="J1824" s="9" t="s">
        <v>24</v>
      </c>
      <c r="L1824" s="9">
        <v>1</v>
      </c>
      <c r="M1824" s="9">
        <v>1</v>
      </c>
      <c r="N1824" s="9" t="s">
        <v>12078</v>
      </c>
      <c r="O1824" s="9" t="s">
        <v>12119</v>
      </c>
      <c r="Q1824" s="10"/>
      <c r="S1824" s="9">
        <v>11843</v>
      </c>
      <c r="U1824" s="9" t="str">
        <f t="shared" ca="1" si="76"/>
        <v/>
      </c>
      <c r="V1824" s="9" t="str">
        <f t="shared" ca="1" si="77"/>
        <v/>
      </c>
      <c r="AG1824" s="9" t="s">
        <v>19</v>
      </c>
    </row>
    <row r="1825" spans="1:33" ht="29">
      <c r="A1825" s="3" t="s">
        <v>2059</v>
      </c>
      <c r="D1825" s="3" t="s">
        <v>12349</v>
      </c>
      <c r="E1825" s="3" t="s">
        <v>12350</v>
      </c>
      <c r="I1825" t="s">
        <v>5457</v>
      </c>
      <c r="J1825" s="9" t="s">
        <v>26</v>
      </c>
      <c r="Q1825" s="10"/>
      <c r="U1825" s="9" t="str">
        <f t="shared" ca="1" si="76"/>
        <v/>
      </c>
      <c r="V1825" s="9" t="str">
        <f t="shared" ca="1" si="77"/>
        <v/>
      </c>
      <c r="AG1825" s="9" t="s">
        <v>19</v>
      </c>
    </row>
    <row r="1826" spans="1:33" ht="29">
      <c r="A1826" s="3" t="s">
        <v>2059</v>
      </c>
      <c r="D1826" s="3" t="s">
        <v>7062</v>
      </c>
      <c r="E1826" s="3" t="s">
        <v>12351</v>
      </c>
      <c r="J1826" s="9" t="s">
        <v>24</v>
      </c>
      <c r="L1826" s="9">
        <v>1</v>
      </c>
      <c r="M1826" s="9">
        <v>2</v>
      </c>
      <c r="N1826" s="9" t="s">
        <v>12078</v>
      </c>
      <c r="O1826" s="9" t="s">
        <v>12119</v>
      </c>
      <c r="Q1826" s="10"/>
      <c r="S1826" s="9">
        <v>11843</v>
      </c>
      <c r="U1826" s="9" t="str">
        <f t="shared" ca="1" si="76"/>
        <v/>
      </c>
      <c r="V1826" s="9" t="str">
        <f t="shared" ca="1" si="77"/>
        <v/>
      </c>
      <c r="AG1826" s="9" t="s">
        <v>19</v>
      </c>
    </row>
    <row r="1827" spans="1:33">
      <c r="A1827" s="3" t="s">
        <v>2060</v>
      </c>
      <c r="D1827" s="3" t="s">
        <v>2061</v>
      </c>
      <c r="E1827" s="3" t="s">
        <v>2062</v>
      </c>
      <c r="J1827" s="9" t="s">
        <v>12120</v>
      </c>
      <c r="Q1827" s="10"/>
      <c r="U1827" s="9" t="str">
        <f t="shared" ca="1" si="76"/>
        <v/>
      </c>
      <c r="V1827" s="9" t="str">
        <f t="shared" ca="1" si="77"/>
        <v/>
      </c>
      <c r="AE1827" s="9" t="s">
        <v>12086</v>
      </c>
    </row>
    <row r="1828" spans="1:33">
      <c r="A1828" s="3" t="s">
        <v>2060</v>
      </c>
      <c r="D1828" s="3" t="s">
        <v>322</v>
      </c>
      <c r="E1828" s="3" t="s">
        <v>323</v>
      </c>
      <c r="J1828" s="9" t="s">
        <v>12118</v>
      </c>
      <c r="Q1828" s="10"/>
      <c r="T1828" s="9" t="s">
        <v>12119</v>
      </c>
      <c r="U1828" s="9" t="str">
        <f t="shared" ca="1" si="76"/>
        <v/>
      </c>
      <c r="V1828" s="9" t="str">
        <f t="shared" ca="1" si="77"/>
        <v/>
      </c>
      <c r="AB1828" s="9" t="s">
        <v>12124</v>
      </c>
      <c r="AD1828" s="9" t="s">
        <v>19</v>
      </c>
    </row>
    <row r="1829" spans="1:33" ht="29">
      <c r="A1829" s="3" t="s">
        <v>2063</v>
      </c>
      <c r="D1829" s="3" t="s">
        <v>7063</v>
      </c>
      <c r="E1829" s="3" t="s">
        <v>7064</v>
      </c>
      <c r="G1829" t="s">
        <v>19</v>
      </c>
      <c r="J1829" s="9" t="s">
        <v>12118</v>
      </c>
      <c r="Q1829" s="10"/>
      <c r="T1829" s="9" t="s">
        <v>12352</v>
      </c>
      <c r="U1829" s="9" t="str">
        <f t="shared" ca="1" si="76"/>
        <v/>
      </c>
      <c r="V1829" s="9" t="str">
        <f t="shared" ca="1" si="77"/>
        <v/>
      </c>
      <c r="AE1829" s="9" t="s">
        <v>12089</v>
      </c>
    </row>
    <row r="1830" spans="1:33" ht="29">
      <c r="A1830" s="3" t="s">
        <v>2063</v>
      </c>
      <c r="D1830" s="3" t="s">
        <v>7066</v>
      </c>
      <c r="E1830" s="3" t="s">
        <v>7065</v>
      </c>
      <c r="J1830" s="9" t="s">
        <v>25</v>
      </c>
      <c r="L1830" s="9">
        <v>2</v>
      </c>
      <c r="M1830" s="9">
        <v>7</v>
      </c>
      <c r="O1830" s="9" t="s">
        <v>12079</v>
      </c>
      <c r="Q1830" s="10"/>
      <c r="S1830" s="9">
        <v>160</v>
      </c>
      <c r="U1830" s="9" t="str">
        <f t="shared" ca="1" si="76"/>
        <v/>
      </c>
      <c r="V1830" s="9" t="str">
        <f t="shared" ca="1" si="77"/>
        <v/>
      </c>
      <c r="AG1830" s="9" t="s">
        <v>19</v>
      </c>
    </row>
    <row r="1831" spans="1:33" ht="29">
      <c r="A1831" s="3" t="s">
        <v>2063</v>
      </c>
      <c r="D1831" s="3" t="s">
        <v>7067</v>
      </c>
      <c r="E1831" s="3" t="s">
        <v>7068</v>
      </c>
      <c r="G1831" t="s">
        <v>19</v>
      </c>
      <c r="J1831" s="9" t="s">
        <v>12118</v>
      </c>
      <c r="Q1831" s="10"/>
      <c r="T1831" s="9">
        <f>5-0</f>
        <v>5</v>
      </c>
      <c r="U1831" s="9">
        <f t="shared" ca="1" si="76"/>
        <v>0</v>
      </c>
      <c r="V1831" s="9">
        <f t="shared" ca="1" si="77"/>
        <v>5</v>
      </c>
    </row>
    <row r="1832" spans="1:33">
      <c r="A1832" s="3" t="s">
        <v>2064</v>
      </c>
      <c r="D1832" s="3" t="s">
        <v>7069</v>
      </c>
      <c r="E1832" s="3" t="s">
        <v>7070</v>
      </c>
      <c r="G1832" t="s">
        <v>19</v>
      </c>
      <c r="J1832" s="9" t="s">
        <v>12118</v>
      </c>
      <c r="Q1832" s="10"/>
      <c r="T1832" s="9" t="s">
        <v>12119</v>
      </c>
      <c r="U1832" s="9" t="str">
        <f t="shared" ca="1" si="76"/>
        <v/>
      </c>
      <c r="V1832" s="9" t="str">
        <f t="shared" ca="1" si="77"/>
        <v/>
      </c>
      <c r="AB1832" s="9" t="s">
        <v>12124</v>
      </c>
      <c r="AD1832" s="9" t="s">
        <v>19</v>
      </c>
    </row>
    <row r="1833" spans="1:33">
      <c r="A1833" s="3" t="s">
        <v>2066</v>
      </c>
      <c r="D1833" s="3" t="s">
        <v>7071</v>
      </c>
      <c r="E1833" s="3" t="s">
        <v>7072</v>
      </c>
      <c r="J1833" s="9" t="s">
        <v>12120</v>
      </c>
      <c r="Q1833" s="10"/>
      <c r="U1833" s="9" t="str">
        <f t="shared" ca="1" si="76"/>
        <v/>
      </c>
      <c r="V1833" s="9" t="str">
        <f t="shared" ca="1" si="77"/>
        <v/>
      </c>
      <c r="AG1833" s="9" t="s">
        <v>20</v>
      </c>
    </row>
    <row r="1834" spans="1:33">
      <c r="A1834" s="3" t="s">
        <v>2067</v>
      </c>
      <c r="D1834" s="3" t="s">
        <v>12890</v>
      </c>
      <c r="E1834" s="3" t="s">
        <v>2068</v>
      </c>
      <c r="J1834" s="9" t="s">
        <v>12118</v>
      </c>
      <c r="Q1834" s="10"/>
      <c r="T1834" s="9" t="s">
        <v>12119</v>
      </c>
      <c r="U1834" s="9" t="str">
        <f t="shared" ca="1" si="76"/>
        <v/>
      </c>
      <c r="V1834" s="9" t="str">
        <f t="shared" ca="1" si="77"/>
        <v/>
      </c>
      <c r="AB1834" s="9" t="s">
        <v>12124</v>
      </c>
      <c r="AC1834" s="9" t="s">
        <v>12130</v>
      </c>
      <c r="AD1834" s="9" t="s">
        <v>19</v>
      </c>
    </row>
    <row r="1835" spans="1:33">
      <c r="A1835" s="3" t="s">
        <v>2067</v>
      </c>
      <c r="D1835" s="3" t="s">
        <v>2069</v>
      </c>
      <c r="E1835" s="3" t="s">
        <v>2070</v>
      </c>
      <c r="J1835" s="9" t="s">
        <v>12120</v>
      </c>
      <c r="Q1835" s="10"/>
      <c r="U1835" s="9" t="str">
        <f t="shared" ca="1" si="76"/>
        <v/>
      </c>
      <c r="V1835" s="9" t="str">
        <f t="shared" ca="1" si="77"/>
        <v/>
      </c>
      <c r="AC1835" s="9" t="s">
        <v>12744</v>
      </c>
      <c r="AD1835" s="9" t="s">
        <v>19</v>
      </c>
    </row>
    <row r="1836" spans="1:33">
      <c r="A1836" s="3" t="s">
        <v>2067</v>
      </c>
      <c r="D1836" s="3" t="s">
        <v>7073</v>
      </c>
      <c r="E1836" s="3" t="s">
        <v>7074</v>
      </c>
      <c r="J1836" s="9" t="s">
        <v>12118</v>
      </c>
      <c r="Q1836" s="10"/>
      <c r="T1836" s="9">
        <f>92-10</f>
        <v>82</v>
      </c>
      <c r="U1836" s="9">
        <f t="shared" ca="1" si="76"/>
        <v>10</v>
      </c>
      <c r="V1836" s="9">
        <f t="shared" ca="1" si="77"/>
        <v>92</v>
      </c>
      <c r="AC1836" s="9" t="s">
        <v>12144</v>
      </c>
      <c r="AD1836" s="9" t="s">
        <v>19</v>
      </c>
    </row>
    <row r="1837" spans="1:33">
      <c r="A1837" s="3" t="s">
        <v>2067</v>
      </c>
      <c r="D1837" s="3" t="s">
        <v>7075</v>
      </c>
      <c r="E1837" s="3" t="s">
        <v>7076</v>
      </c>
      <c r="J1837" s="9" t="s">
        <v>25</v>
      </c>
      <c r="L1837" s="9">
        <v>1</v>
      </c>
      <c r="M1837" s="9">
        <v>2</v>
      </c>
      <c r="N1837" s="9" t="s">
        <v>12078</v>
      </c>
      <c r="O1837" s="9" t="s">
        <v>12119</v>
      </c>
      <c r="Q1837" s="10"/>
      <c r="R1837" s="9" t="s">
        <v>12074</v>
      </c>
      <c r="S1837" s="9">
        <v>11843</v>
      </c>
      <c r="U1837" s="9" t="str">
        <f t="shared" ca="1" si="76"/>
        <v/>
      </c>
      <c r="V1837" s="9" t="str">
        <f t="shared" ca="1" si="77"/>
        <v/>
      </c>
      <c r="AG1837" s="9" t="s">
        <v>20</v>
      </c>
    </row>
    <row r="1838" spans="1:33">
      <c r="A1838" s="3" t="s">
        <v>2071</v>
      </c>
      <c r="D1838" s="3" t="s">
        <v>2065</v>
      </c>
      <c r="E1838" s="3" t="s">
        <v>2072</v>
      </c>
      <c r="J1838" s="9" t="s">
        <v>12118</v>
      </c>
      <c r="Q1838" s="10"/>
      <c r="T1838" s="9" t="s">
        <v>12119</v>
      </c>
      <c r="U1838" s="9" t="str">
        <f t="shared" ca="1" si="76"/>
        <v/>
      </c>
      <c r="V1838" s="9" t="str">
        <f t="shared" ca="1" si="77"/>
        <v/>
      </c>
      <c r="AB1838" s="9" t="s">
        <v>12124</v>
      </c>
      <c r="AD1838" s="9" t="s">
        <v>19</v>
      </c>
    </row>
    <row r="1839" spans="1:33">
      <c r="A1839" s="3" t="s">
        <v>2073</v>
      </c>
      <c r="D1839" s="3" t="s">
        <v>2065</v>
      </c>
      <c r="E1839" s="3" t="s">
        <v>2072</v>
      </c>
      <c r="J1839" s="9" t="s">
        <v>12118</v>
      </c>
      <c r="Q1839" s="10"/>
      <c r="T1839" s="9" t="s">
        <v>12119</v>
      </c>
      <c r="U1839" s="9" t="str">
        <f t="shared" ca="1" si="76"/>
        <v/>
      </c>
      <c r="V1839" s="9" t="str">
        <f t="shared" ca="1" si="77"/>
        <v/>
      </c>
      <c r="AB1839" s="9" t="s">
        <v>12124</v>
      </c>
      <c r="AD1839" s="9" t="s">
        <v>19</v>
      </c>
    </row>
    <row r="1840" spans="1:33">
      <c r="A1840" s="3" t="s">
        <v>2073</v>
      </c>
      <c r="D1840" s="3" t="s">
        <v>2074</v>
      </c>
      <c r="E1840" s="3" t="s">
        <v>1062</v>
      </c>
      <c r="J1840" s="9" t="s">
        <v>12118</v>
      </c>
      <c r="Q1840" s="10"/>
      <c r="T1840" s="9" t="s">
        <v>12131</v>
      </c>
      <c r="U1840" s="9" t="str">
        <f t="shared" ca="1" si="76"/>
        <v/>
      </c>
      <c r="V1840" s="9" t="str">
        <f t="shared" ca="1" si="77"/>
        <v/>
      </c>
      <c r="AC1840" s="9" t="s">
        <v>12188</v>
      </c>
      <c r="AD1840" s="9" t="s">
        <v>19</v>
      </c>
      <c r="AE1840" s="9" t="s">
        <v>12086</v>
      </c>
    </row>
    <row r="1841" spans="1:33">
      <c r="A1841" s="3" t="s">
        <v>2075</v>
      </c>
      <c r="D1841" s="3" t="s">
        <v>7077</v>
      </c>
      <c r="E1841" s="3" t="s">
        <v>7078</v>
      </c>
      <c r="J1841" s="9" t="s">
        <v>12118</v>
      </c>
      <c r="Q1841" s="10"/>
      <c r="T1841" s="9" t="s">
        <v>12119</v>
      </c>
      <c r="U1841" s="9" t="str">
        <f t="shared" ca="1" si="76"/>
        <v/>
      </c>
      <c r="V1841" s="9" t="str">
        <f t="shared" ca="1" si="77"/>
        <v/>
      </c>
      <c r="AB1841" s="9" t="s">
        <v>12124</v>
      </c>
      <c r="AD1841" s="9" t="s">
        <v>19</v>
      </c>
    </row>
    <row r="1842" spans="1:33" ht="29">
      <c r="A1842" s="3" t="s">
        <v>2075</v>
      </c>
      <c r="D1842" s="3" t="s">
        <v>12892</v>
      </c>
      <c r="E1842" s="3" t="s">
        <v>12891</v>
      </c>
      <c r="J1842" s="9" t="s">
        <v>12120</v>
      </c>
      <c r="Q1842" s="10"/>
      <c r="U1842" s="9" t="str">
        <f t="shared" ref="U1842" ca="1" si="78">IF(ISNUMBER(T1842),VALUE(MID(_xlfn.FORMULATEXT(T1842),SEARCH("-",_xlfn.FORMULATEXT(T1842))+1,LEN(_xlfn.FORMULATEXT(T1842))-SEARCH("-",_xlfn.FORMULATEXT(T1842)))), "")</f>
        <v/>
      </c>
      <c r="V1842" s="9" t="str">
        <f t="shared" ref="V1842" ca="1" si="79">IF(ISNUMBER(T1842), VALUE(MID(_xlfn.FORMULATEXT(T1842), 2, SEARCH("-", _xlfn.FORMULATEXT(T1842)) - 2)), "")</f>
        <v/>
      </c>
      <c r="AC1842" s="9" t="s">
        <v>12130</v>
      </c>
      <c r="AD1842" s="9" t="s">
        <v>19</v>
      </c>
    </row>
    <row r="1843" spans="1:33" ht="29">
      <c r="A1843" s="3" t="s">
        <v>2075</v>
      </c>
      <c r="D1843" s="3" t="s">
        <v>7079</v>
      </c>
      <c r="E1843" s="3" t="s">
        <v>12893</v>
      </c>
      <c r="J1843" s="9" t="s">
        <v>24</v>
      </c>
      <c r="L1843" s="9">
        <v>1</v>
      </c>
      <c r="M1843" s="9">
        <v>7</v>
      </c>
      <c r="N1843" s="9" t="s">
        <v>12092</v>
      </c>
      <c r="O1843" s="9" t="s">
        <v>12073</v>
      </c>
      <c r="P1843" s="9" t="s">
        <v>12154</v>
      </c>
      <c r="Q1843" s="10" t="s">
        <v>12353</v>
      </c>
      <c r="R1843" s="9" t="s">
        <v>12074</v>
      </c>
      <c r="S1843" s="9" t="s">
        <v>12119</v>
      </c>
      <c r="U1843" s="9" t="str">
        <f t="shared" ca="1" si="76"/>
        <v/>
      </c>
      <c r="V1843" s="9" t="str">
        <f t="shared" ca="1" si="77"/>
        <v/>
      </c>
      <c r="AE1843" s="9" t="s">
        <v>12077</v>
      </c>
    </row>
    <row r="1844" spans="1:33">
      <c r="A1844" s="3" t="s">
        <v>2075</v>
      </c>
      <c r="D1844" s="3" t="s">
        <v>7080</v>
      </c>
      <c r="E1844" s="3" t="s">
        <v>7081</v>
      </c>
      <c r="J1844" s="9" t="s">
        <v>25</v>
      </c>
      <c r="L1844" s="9">
        <v>1</v>
      </c>
      <c r="M1844" s="9">
        <v>5</v>
      </c>
      <c r="N1844" s="9" t="s">
        <v>12094</v>
      </c>
      <c r="O1844" s="9" t="s">
        <v>12079</v>
      </c>
      <c r="Q1844" s="10"/>
      <c r="S1844" s="9">
        <v>4240</v>
      </c>
      <c r="U1844" s="9" t="str">
        <f t="shared" ca="1" si="76"/>
        <v/>
      </c>
      <c r="V1844" s="9" t="str">
        <f t="shared" ca="1" si="77"/>
        <v/>
      </c>
      <c r="AG1844" s="9" t="s">
        <v>20</v>
      </c>
    </row>
    <row r="1845" spans="1:33">
      <c r="A1845" s="3" t="s">
        <v>2078</v>
      </c>
      <c r="D1845" s="3" t="s">
        <v>2077</v>
      </c>
      <c r="E1845" s="3" t="s">
        <v>2076</v>
      </c>
      <c r="J1845" s="9" t="s">
        <v>12118</v>
      </c>
      <c r="Q1845" s="10"/>
      <c r="T1845" s="9" t="s">
        <v>12119</v>
      </c>
      <c r="U1845" s="9" t="str">
        <f t="shared" ca="1" si="76"/>
        <v/>
      </c>
      <c r="V1845" s="9" t="str">
        <f t="shared" ca="1" si="77"/>
        <v/>
      </c>
      <c r="AC1845" s="9" t="s">
        <v>12134</v>
      </c>
      <c r="AD1845" s="9" t="s">
        <v>19</v>
      </c>
      <c r="AE1845" s="9" t="s">
        <v>12077</v>
      </c>
    </row>
    <row r="1846" spans="1:33">
      <c r="A1846" s="3" t="s">
        <v>2079</v>
      </c>
      <c r="D1846" s="3" t="s">
        <v>7082</v>
      </c>
      <c r="E1846" s="3" t="s">
        <v>7083</v>
      </c>
      <c r="J1846" s="9" t="s">
        <v>12118</v>
      </c>
      <c r="Q1846" s="10"/>
      <c r="T1846" s="9" t="s">
        <v>12119</v>
      </c>
      <c r="U1846" s="9" t="str">
        <f t="shared" ca="1" si="76"/>
        <v/>
      </c>
      <c r="V1846" s="9" t="str">
        <f t="shared" ca="1" si="77"/>
        <v/>
      </c>
      <c r="AB1846" s="9" t="s">
        <v>12124</v>
      </c>
      <c r="AD1846" s="9" t="s">
        <v>19</v>
      </c>
    </row>
    <row r="1847" spans="1:33">
      <c r="A1847" s="3" t="s">
        <v>2080</v>
      </c>
      <c r="D1847" s="3" t="s">
        <v>2081</v>
      </c>
      <c r="E1847" s="3" t="s">
        <v>2082</v>
      </c>
      <c r="J1847" s="9" t="s">
        <v>12118</v>
      </c>
      <c r="Q1847" s="10"/>
      <c r="T1847" s="9" t="s">
        <v>12131</v>
      </c>
      <c r="U1847" s="9" t="str">
        <f t="shared" ca="1" si="76"/>
        <v/>
      </c>
      <c r="V1847" s="9" t="str">
        <f t="shared" ca="1" si="77"/>
        <v/>
      </c>
      <c r="AC1847" s="9" t="s">
        <v>12134</v>
      </c>
      <c r="AD1847" s="9" t="s">
        <v>19</v>
      </c>
      <c r="AE1847" s="9" t="s">
        <v>12086</v>
      </c>
    </row>
    <row r="1848" spans="1:33">
      <c r="A1848" s="3" t="s">
        <v>2083</v>
      </c>
      <c r="D1848" s="3" t="s">
        <v>2084</v>
      </c>
      <c r="E1848" s="3" t="s">
        <v>2085</v>
      </c>
      <c r="F1848" t="s">
        <v>11</v>
      </c>
      <c r="Q1848" s="10"/>
      <c r="U1848" s="9" t="str">
        <f t="shared" ca="1" si="76"/>
        <v/>
      </c>
      <c r="V1848" s="9" t="str">
        <f t="shared" ca="1" si="77"/>
        <v/>
      </c>
    </row>
    <row r="1849" spans="1:33">
      <c r="A1849" s="3" t="s">
        <v>2086</v>
      </c>
      <c r="D1849" s="3" t="s">
        <v>1077</v>
      </c>
      <c r="E1849" s="3" t="s">
        <v>7084</v>
      </c>
      <c r="F1849" t="s">
        <v>11</v>
      </c>
      <c r="Q1849" s="10"/>
      <c r="U1849" s="9" t="str">
        <f t="shared" ca="1" si="76"/>
        <v/>
      </c>
      <c r="V1849" s="9" t="str">
        <f t="shared" ca="1" si="77"/>
        <v/>
      </c>
    </row>
    <row r="1850" spans="1:33">
      <c r="A1850" s="3" t="s">
        <v>2087</v>
      </c>
      <c r="D1850" s="3" t="s">
        <v>2088</v>
      </c>
      <c r="E1850" s="3" t="s">
        <v>2089</v>
      </c>
      <c r="F1850" t="s">
        <v>11</v>
      </c>
      <c r="Q1850" s="10"/>
      <c r="U1850" s="9" t="str">
        <f t="shared" ca="1" si="76"/>
        <v/>
      </c>
      <c r="V1850" s="9" t="str">
        <f t="shared" ca="1" si="77"/>
        <v/>
      </c>
    </row>
    <row r="1851" spans="1:33">
      <c r="A1851" s="3" t="s">
        <v>2090</v>
      </c>
      <c r="D1851" s="3" t="s">
        <v>7085</v>
      </c>
      <c r="E1851" s="3" t="s">
        <v>7086</v>
      </c>
      <c r="J1851" s="9" t="s">
        <v>12120</v>
      </c>
      <c r="Q1851" s="10"/>
      <c r="U1851" s="9" t="str">
        <f t="shared" ca="1" si="76"/>
        <v/>
      </c>
      <c r="V1851" s="9" t="str">
        <f t="shared" ca="1" si="77"/>
        <v/>
      </c>
      <c r="AB1851" s="9" t="s">
        <v>12082</v>
      </c>
      <c r="AD1851" s="9" t="s">
        <v>19</v>
      </c>
    </row>
    <row r="1852" spans="1:33">
      <c r="A1852" s="3" t="s">
        <v>2091</v>
      </c>
      <c r="D1852" s="3" t="s">
        <v>2065</v>
      </c>
      <c r="E1852" s="3" t="s">
        <v>2072</v>
      </c>
      <c r="F1852" t="s">
        <v>12</v>
      </c>
      <c r="J1852" s="9" t="s">
        <v>12118</v>
      </c>
      <c r="Q1852" s="10"/>
      <c r="T1852" s="9" t="s">
        <v>12119</v>
      </c>
      <c r="U1852" s="9" t="str">
        <f t="shared" ca="1" si="76"/>
        <v/>
      </c>
      <c r="V1852" s="9" t="str">
        <f t="shared" ca="1" si="77"/>
        <v/>
      </c>
      <c r="AB1852" s="9" t="s">
        <v>12124</v>
      </c>
      <c r="AD1852" s="9" t="s">
        <v>19</v>
      </c>
    </row>
    <row r="1853" spans="1:33">
      <c r="A1853" s="3" t="s">
        <v>2092</v>
      </c>
      <c r="D1853" s="3" t="s">
        <v>2094</v>
      </c>
      <c r="E1853" s="3" t="s">
        <v>2093</v>
      </c>
      <c r="J1853" s="9" t="s">
        <v>12118</v>
      </c>
      <c r="Q1853" s="10"/>
      <c r="U1853" s="9" t="str">
        <f t="shared" ca="1" si="76"/>
        <v/>
      </c>
      <c r="V1853" s="9" t="str">
        <f t="shared" ca="1" si="77"/>
        <v/>
      </c>
      <c r="AC1853" s="9" t="s">
        <v>12744</v>
      </c>
      <c r="AD1853" s="9" t="s">
        <v>19</v>
      </c>
    </row>
    <row r="1854" spans="1:33">
      <c r="A1854" s="3" t="s">
        <v>2095</v>
      </c>
      <c r="D1854" s="3" t="s">
        <v>7087</v>
      </c>
      <c r="E1854" s="3" t="s">
        <v>7088</v>
      </c>
      <c r="F1854" t="s">
        <v>11</v>
      </c>
      <c r="Q1854" s="10"/>
      <c r="U1854" s="9" t="str">
        <f t="shared" ca="1" si="76"/>
        <v/>
      </c>
      <c r="V1854" s="9" t="str">
        <f t="shared" ca="1" si="77"/>
        <v/>
      </c>
    </row>
    <row r="1855" spans="1:33">
      <c r="A1855" s="3" t="s">
        <v>2095</v>
      </c>
      <c r="D1855" s="3" t="s">
        <v>2096</v>
      </c>
      <c r="E1855" s="3" t="s">
        <v>199</v>
      </c>
      <c r="F1855" t="s">
        <v>11</v>
      </c>
      <c r="Q1855" s="10"/>
      <c r="U1855" s="9" t="str">
        <f t="shared" ca="1" si="76"/>
        <v/>
      </c>
      <c r="V1855" s="9" t="str">
        <f t="shared" ca="1" si="77"/>
        <v/>
      </c>
    </row>
    <row r="1856" spans="1:33">
      <c r="A1856" s="3" t="s">
        <v>2097</v>
      </c>
      <c r="D1856" s="3" t="s">
        <v>2098</v>
      </c>
      <c r="E1856" s="3" t="s">
        <v>2099</v>
      </c>
      <c r="F1856" t="s">
        <v>11</v>
      </c>
      <c r="Q1856" s="10"/>
      <c r="U1856" s="9" t="str">
        <f t="shared" ca="1" si="76"/>
        <v/>
      </c>
      <c r="V1856" s="9" t="str">
        <f t="shared" ca="1" si="77"/>
        <v/>
      </c>
    </row>
    <row r="1857" spans="1:33">
      <c r="A1857" s="3" t="s">
        <v>2097</v>
      </c>
      <c r="D1857" s="3" t="s">
        <v>117</v>
      </c>
      <c r="E1857" s="3" t="s">
        <v>118</v>
      </c>
      <c r="J1857" s="9" t="s">
        <v>12118</v>
      </c>
      <c r="Q1857" s="10"/>
      <c r="T1857" s="9" t="s">
        <v>12119</v>
      </c>
      <c r="U1857" s="9" t="str">
        <f t="shared" ca="1" si="76"/>
        <v/>
      </c>
      <c r="V1857" s="9" t="str">
        <f t="shared" ca="1" si="77"/>
        <v/>
      </c>
      <c r="AB1857" s="9" t="s">
        <v>12124</v>
      </c>
      <c r="AC1857" s="9" t="s">
        <v>12740</v>
      </c>
      <c r="AD1857" s="9" t="s">
        <v>19</v>
      </c>
    </row>
    <row r="1858" spans="1:33">
      <c r="A1858" s="3" t="s">
        <v>2100</v>
      </c>
      <c r="D1858" s="3" t="s">
        <v>2101</v>
      </c>
      <c r="E1858" s="3" t="s">
        <v>2102</v>
      </c>
      <c r="F1858" t="s">
        <v>11</v>
      </c>
      <c r="Q1858" s="10"/>
      <c r="U1858" s="9" t="str">
        <f t="shared" ca="1" si="76"/>
        <v/>
      </c>
      <c r="V1858" s="9" t="str">
        <f t="shared" ca="1" si="77"/>
        <v/>
      </c>
    </row>
    <row r="1859" spans="1:33" ht="29">
      <c r="A1859" s="3" t="s">
        <v>2103</v>
      </c>
      <c r="D1859" s="3" t="s">
        <v>7090</v>
      </c>
      <c r="E1859" s="3" t="s">
        <v>7089</v>
      </c>
      <c r="F1859" t="s">
        <v>11</v>
      </c>
      <c r="Q1859" s="10"/>
      <c r="U1859" s="9" t="str">
        <f t="shared" ca="1" si="76"/>
        <v/>
      </c>
      <c r="V1859" s="9" t="str">
        <f t="shared" ca="1" si="77"/>
        <v/>
      </c>
    </row>
    <row r="1860" spans="1:33">
      <c r="A1860" s="3" t="s">
        <v>2103</v>
      </c>
      <c r="D1860" s="3" t="s">
        <v>2104</v>
      </c>
      <c r="E1860" s="3" t="s">
        <v>2105</v>
      </c>
      <c r="J1860" s="9" t="s">
        <v>12118</v>
      </c>
      <c r="Q1860" s="10"/>
      <c r="T1860" s="9" t="s">
        <v>12119</v>
      </c>
      <c r="U1860" s="9" t="str">
        <f t="shared" ca="1" si="76"/>
        <v/>
      </c>
      <c r="V1860" s="9" t="str">
        <f t="shared" ca="1" si="77"/>
        <v/>
      </c>
      <c r="AC1860" s="9" t="s">
        <v>12134</v>
      </c>
      <c r="AD1860" s="9" t="s">
        <v>19</v>
      </c>
      <c r="AE1860" s="9" t="s">
        <v>12086</v>
      </c>
    </row>
    <row r="1861" spans="1:33" ht="29">
      <c r="A1861" s="3" t="s">
        <v>2103</v>
      </c>
      <c r="D1861" s="3" t="s">
        <v>12354</v>
      </c>
      <c r="E1861" s="3" t="s">
        <v>13029</v>
      </c>
      <c r="J1861" s="9" t="s">
        <v>12120</v>
      </c>
      <c r="Q1861" s="10"/>
      <c r="U1861" s="9" t="str">
        <f t="shared" ca="1" si="76"/>
        <v/>
      </c>
      <c r="V1861" s="9" t="str">
        <f t="shared" ca="1" si="77"/>
        <v/>
      </c>
      <c r="AG1861" s="9" t="s">
        <v>19</v>
      </c>
    </row>
    <row r="1862" spans="1:33">
      <c r="A1862" s="3" t="s">
        <v>2106</v>
      </c>
      <c r="D1862" s="3" t="s">
        <v>117</v>
      </c>
      <c r="E1862" s="3" t="s">
        <v>118</v>
      </c>
      <c r="J1862" s="9" t="s">
        <v>12118</v>
      </c>
      <c r="Q1862" s="10"/>
      <c r="T1862" s="9" t="s">
        <v>12119</v>
      </c>
      <c r="U1862" s="9" t="str">
        <f t="shared" ca="1" si="76"/>
        <v/>
      </c>
      <c r="V1862" s="9" t="str">
        <f t="shared" ca="1" si="77"/>
        <v/>
      </c>
      <c r="AB1862" s="9" t="s">
        <v>12124</v>
      </c>
      <c r="AC1862" s="9" t="s">
        <v>12740</v>
      </c>
      <c r="AD1862" s="9" t="s">
        <v>19</v>
      </c>
    </row>
    <row r="1863" spans="1:33">
      <c r="A1863" s="3" t="s">
        <v>2106</v>
      </c>
      <c r="D1863" s="3" t="s">
        <v>7091</v>
      </c>
      <c r="E1863" s="3" t="s">
        <v>7092</v>
      </c>
      <c r="J1863" s="9" t="s">
        <v>25</v>
      </c>
      <c r="L1863" s="9">
        <v>1</v>
      </c>
      <c r="M1863" s="9">
        <v>1</v>
      </c>
      <c r="N1863" s="9" t="s">
        <v>12078</v>
      </c>
      <c r="O1863" s="9" t="s">
        <v>12119</v>
      </c>
      <c r="Q1863" s="10"/>
      <c r="R1863" s="9" t="s">
        <v>12074</v>
      </c>
      <c r="S1863" s="9">
        <v>11843</v>
      </c>
      <c r="U1863" s="9" t="str">
        <f t="shared" ca="1" si="76"/>
        <v/>
      </c>
      <c r="V1863" s="9" t="str">
        <f t="shared" ca="1" si="77"/>
        <v/>
      </c>
      <c r="AG1863" s="9" t="s">
        <v>20</v>
      </c>
    </row>
    <row r="1864" spans="1:33" ht="29">
      <c r="A1864" s="3" t="s">
        <v>2107</v>
      </c>
      <c r="D1864" s="3" t="s">
        <v>7093</v>
      </c>
      <c r="E1864" s="3" t="s">
        <v>7094</v>
      </c>
      <c r="J1864" s="9" t="s">
        <v>24</v>
      </c>
      <c r="L1864" s="9">
        <v>1</v>
      </c>
      <c r="M1864" s="9">
        <v>8</v>
      </c>
      <c r="N1864" s="9" t="s">
        <v>12098</v>
      </c>
      <c r="O1864" s="9" t="s">
        <v>12073</v>
      </c>
      <c r="P1864" s="9" t="s">
        <v>12142</v>
      </c>
      <c r="Q1864" s="10" t="s">
        <v>12199</v>
      </c>
      <c r="R1864" s="9" t="s">
        <v>12074</v>
      </c>
      <c r="S1864" s="9">
        <v>2042</v>
      </c>
      <c r="U1864" s="9" t="str">
        <f t="shared" ca="1" si="76"/>
        <v/>
      </c>
      <c r="V1864" s="9" t="str">
        <f t="shared" ca="1" si="77"/>
        <v/>
      </c>
      <c r="AE1864" s="9" t="s">
        <v>12083</v>
      </c>
    </row>
    <row r="1865" spans="1:33">
      <c r="A1865" s="3" t="s">
        <v>2108</v>
      </c>
      <c r="D1865" s="3" t="s">
        <v>7095</v>
      </c>
      <c r="E1865" s="3" t="s">
        <v>7096</v>
      </c>
      <c r="J1865" s="9" t="s">
        <v>25</v>
      </c>
      <c r="L1865" s="9">
        <v>1</v>
      </c>
      <c r="M1865" s="9">
        <v>1</v>
      </c>
      <c r="N1865" s="9" t="s">
        <v>12078</v>
      </c>
      <c r="O1865" s="9" t="s">
        <v>12119</v>
      </c>
      <c r="Q1865" s="10"/>
      <c r="S1865" s="9">
        <v>11843</v>
      </c>
      <c r="U1865" s="9" t="str">
        <f t="shared" ca="1" si="76"/>
        <v/>
      </c>
      <c r="V1865" s="9" t="str">
        <f t="shared" ca="1" si="77"/>
        <v/>
      </c>
      <c r="AG1865" s="9" t="s">
        <v>20</v>
      </c>
    </row>
    <row r="1866" spans="1:33" ht="29">
      <c r="A1866" s="3" t="s">
        <v>2109</v>
      </c>
      <c r="D1866" s="3" t="s">
        <v>7097</v>
      </c>
      <c r="E1866" s="3" t="s">
        <v>12355</v>
      </c>
      <c r="J1866" s="9" t="s">
        <v>24</v>
      </c>
      <c r="L1866" s="9">
        <v>1</v>
      </c>
      <c r="M1866" s="9">
        <v>2</v>
      </c>
      <c r="N1866" s="9" t="s">
        <v>12078</v>
      </c>
      <c r="O1866" s="9" t="s">
        <v>12119</v>
      </c>
      <c r="Q1866" s="10"/>
      <c r="S1866" s="9">
        <v>11843</v>
      </c>
      <c r="U1866" s="9" t="str">
        <f t="shared" ca="1" si="76"/>
        <v/>
      </c>
      <c r="V1866" s="9" t="str">
        <f t="shared" ca="1" si="77"/>
        <v/>
      </c>
      <c r="AG1866" s="9" t="s">
        <v>19</v>
      </c>
    </row>
    <row r="1867" spans="1:33" ht="29">
      <c r="A1867" s="3" t="s">
        <v>2109</v>
      </c>
      <c r="D1867" s="3" t="s">
        <v>7097</v>
      </c>
      <c r="E1867" s="3" t="s">
        <v>12356</v>
      </c>
      <c r="J1867" s="9" t="s">
        <v>24</v>
      </c>
      <c r="L1867" s="9">
        <v>1</v>
      </c>
      <c r="M1867" s="9">
        <v>3</v>
      </c>
      <c r="N1867" s="9" t="s">
        <v>12078</v>
      </c>
      <c r="O1867" s="9" t="s">
        <v>12079</v>
      </c>
      <c r="Q1867" s="10"/>
      <c r="S1867" s="9">
        <v>11843</v>
      </c>
      <c r="U1867" s="9" t="str">
        <f t="shared" ca="1" si="76"/>
        <v/>
      </c>
      <c r="V1867" s="9" t="str">
        <f t="shared" ca="1" si="77"/>
        <v/>
      </c>
      <c r="AG1867" s="9" t="s">
        <v>19</v>
      </c>
    </row>
    <row r="1868" spans="1:33">
      <c r="A1868" s="3" t="s">
        <v>2110</v>
      </c>
      <c r="D1868" s="3" t="s">
        <v>326</v>
      </c>
      <c r="E1868" s="5" t="s">
        <v>2111</v>
      </c>
      <c r="F1868" t="s">
        <v>16</v>
      </c>
      <c r="Q1868" s="10"/>
      <c r="U1868" s="9" t="str">
        <f t="shared" ca="1" si="76"/>
        <v/>
      </c>
      <c r="V1868" s="9" t="str">
        <f t="shared" ca="1" si="77"/>
        <v/>
      </c>
    </row>
    <row r="1869" spans="1:33">
      <c r="A1869" s="3" t="s">
        <v>2112</v>
      </c>
      <c r="D1869" s="3" t="s">
        <v>7098</v>
      </c>
      <c r="E1869" s="3" t="s">
        <v>7099</v>
      </c>
      <c r="I1869" t="s">
        <v>12670</v>
      </c>
      <c r="J1869" s="9" t="s">
        <v>24</v>
      </c>
      <c r="L1869" s="9">
        <v>1</v>
      </c>
      <c r="M1869" s="9">
        <v>3</v>
      </c>
      <c r="N1869" s="9" t="s">
        <v>12078</v>
      </c>
      <c r="O1869" s="9" t="s">
        <v>12079</v>
      </c>
      <c r="Q1869" s="10"/>
      <c r="S1869" s="9">
        <v>11843</v>
      </c>
      <c r="U1869" s="9" t="str">
        <f t="shared" ref="U1869:U1932" ca="1" si="80">IF(ISNUMBER(T1869),VALUE(MID(_xlfn.FORMULATEXT(T1869),SEARCH("-",_xlfn.FORMULATEXT(T1869))+1,LEN(_xlfn.FORMULATEXT(T1869))-SEARCH("-",_xlfn.FORMULATEXT(T1869)))), "")</f>
        <v/>
      </c>
      <c r="V1869" s="9" t="str">
        <f t="shared" ref="V1869:V1932" ca="1" si="81">IF(ISNUMBER(T1869), VALUE(MID(_xlfn.FORMULATEXT(T1869), 2, SEARCH("-", _xlfn.FORMULATEXT(T1869)) - 2)), "")</f>
        <v/>
      </c>
      <c r="W1869" s="9" t="s">
        <v>12117</v>
      </c>
      <c r="AG1869" s="9" t="s">
        <v>19</v>
      </c>
    </row>
    <row r="1870" spans="1:33">
      <c r="A1870" s="3" t="s">
        <v>2113</v>
      </c>
      <c r="D1870" s="3" t="s">
        <v>7100</v>
      </c>
      <c r="E1870" s="3" t="s">
        <v>7101</v>
      </c>
      <c r="G1870" t="s">
        <v>19</v>
      </c>
      <c r="J1870" s="9" t="s">
        <v>12120</v>
      </c>
      <c r="Q1870" s="10"/>
      <c r="U1870" s="9" t="str">
        <f t="shared" ca="1" si="80"/>
        <v/>
      </c>
      <c r="V1870" s="9" t="str">
        <f t="shared" ca="1" si="81"/>
        <v/>
      </c>
    </row>
    <row r="1871" spans="1:33" ht="29">
      <c r="A1871" s="3" t="s">
        <v>2114</v>
      </c>
      <c r="D1871" s="3" t="s">
        <v>7102</v>
      </c>
      <c r="E1871" s="3" t="s">
        <v>7103</v>
      </c>
      <c r="J1871" s="9" t="s">
        <v>25</v>
      </c>
      <c r="L1871" s="9">
        <v>1</v>
      </c>
      <c r="M1871" s="9">
        <v>9</v>
      </c>
      <c r="N1871" s="9" t="s">
        <v>12092</v>
      </c>
      <c r="O1871" s="9" t="s">
        <v>12073</v>
      </c>
      <c r="P1871" s="9" t="s">
        <v>12149</v>
      </c>
      <c r="Q1871" s="10" t="s">
        <v>12143</v>
      </c>
      <c r="S1871" s="9">
        <v>1</v>
      </c>
      <c r="U1871" s="9" t="str">
        <f t="shared" ca="1" si="80"/>
        <v/>
      </c>
      <c r="V1871" s="9" t="str">
        <f t="shared" ca="1" si="81"/>
        <v/>
      </c>
      <c r="AG1871" s="9" t="s">
        <v>20</v>
      </c>
    </row>
    <row r="1872" spans="1:33" ht="58">
      <c r="A1872" s="3" t="s">
        <v>2115</v>
      </c>
      <c r="D1872" s="3" t="s">
        <v>7104</v>
      </c>
      <c r="E1872" s="3" t="s">
        <v>7105</v>
      </c>
      <c r="J1872" s="9" t="s">
        <v>12120</v>
      </c>
      <c r="Q1872" s="10"/>
      <c r="U1872" s="9" t="str">
        <f t="shared" ca="1" si="80"/>
        <v/>
      </c>
      <c r="V1872" s="9" t="str">
        <f t="shared" ca="1" si="81"/>
        <v/>
      </c>
      <c r="AC1872" s="9" t="s">
        <v>12128</v>
      </c>
      <c r="AD1872" s="9" t="s">
        <v>19</v>
      </c>
    </row>
    <row r="1873" spans="1:33" ht="58">
      <c r="A1873" s="3" t="s">
        <v>2115</v>
      </c>
      <c r="D1873" s="3" t="s">
        <v>12850</v>
      </c>
      <c r="E1873" s="3" t="s">
        <v>12894</v>
      </c>
      <c r="I1873" s="4" t="s">
        <v>13114</v>
      </c>
      <c r="J1873" s="9" t="s">
        <v>26</v>
      </c>
      <c r="Q1873" s="10"/>
      <c r="U1873" s="9" t="str">
        <f t="shared" ca="1" si="80"/>
        <v/>
      </c>
      <c r="V1873" s="9" t="str">
        <f t="shared" ca="1" si="81"/>
        <v/>
      </c>
      <c r="AG1873" s="9" t="s">
        <v>19</v>
      </c>
    </row>
    <row r="1874" spans="1:33">
      <c r="A1874" s="3" t="s">
        <v>2116</v>
      </c>
      <c r="D1874" s="3" t="s">
        <v>7106</v>
      </c>
      <c r="E1874" s="3" t="s">
        <v>7107</v>
      </c>
      <c r="G1874" t="s">
        <v>19</v>
      </c>
      <c r="J1874" s="9" t="s">
        <v>12120</v>
      </c>
      <c r="Q1874" s="10"/>
      <c r="U1874" s="9" t="str">
        <f t="shared" ca="1" si="80"/>
        <v/>
      </c>
      <c r="V1874" s="9" t="str">
        <f t="shared" ca="1" si="81"/>
        <v/>
      </c>
    </row>
    <row r="1875" spans="1:33" ht="58">
      <c r="A1875" s="3" t="s">
        <v>2116</v>
      </c>
      <c r="D1875" s="3" t="s">
        <v>7109</v>
      </c>
      <c r="E1875" s="3" t="s">
        <v>7110</v>
      </c>
      <c r="J1875" s="9" t="s">
        <v>12120</v>
      </c>
      <c r="Q1875" s="10"/>
      <c r="U1875" s="9" t="str">
        <f t="shared" ca="1" si="80"/>
        <v/>
      </c>
      <c r="V1875" s="9" t="str">
        <f t="shared" ca="1" si="81"/>
        <v/>
      </c>
      <c r="AC1875" s="9" t="s">
        <v>12744</v>
      </c>
      <c r="AD1875" s="9" t="s">
        <v>19</v>
      </c>
    </row>
    <row r="1876" spans="1:33" ht="58">
      <c r="A1876" s="3" t="s">
        <v>2116</v>
      </c>
      <c r="D1876" s="3" t="s">
        <v>7111</v>
      </c>
      <c r="E1876" s="3" t="s">
        <v>7108</v>
      </c>
      <c r="F1876" t="s">
        <v>12761</v>
      </c>
      <c r="I1876" s="4"/>
      <c r="Q1876" s="10"/>
      <c r="U1876" s="9" t="str">
        <f t="shared" ca="1" si="80"/>
        <v/>
      </c>
      <c r="V1876" s="9" t="str">
        <f t="shared" ca="1" si="81"/>
        <v/>
      </c>
    </row>
    <row r="1877" spans="1:33">
      <c r="A1877" s="3" t="s">
        <v>2117</v>
      </c>
      <c r="D1877" s="3" t="s">
        <v>7113</v>
      </c>
      <c r="E1877" s="3" t="s">
        <v>7112</v>
      </c>
      <c r="J1877" s="9" t="s">
        <v>24</v>
      </c>
      <c r="L1877" s="9">
        <v>1</v>
      </c>
      <c r="M1877" s="9">
        <v>2</v>
      </c>
      <c r="N1877" s="9" t="s">
        <v>12078</v>
      </c>
      <c r="O1877" s="9" t="s">
        <v>12119</v>
      </c>
      <c r="Q1877" s="10"/>
      <c r="S1877" s="9">
        <v>11843</v>
      </c>
      <c r="U1877" s="9" t="str">
        <f t="shared" ca="1" si="80"/>
        <v/>
      </c>
      <c r="V1877" s="9" t="str">
        <f t="shared" ca="1" si="81"/>
        <v/>
      </c>
      <c r="AG1877" s="9" t="s">
        <v>19</v>
      </c>
    </row>
    <row r="1878" spans="1:33" ht="29">
      <c r="A1878" s="3" t="s">
        <v>2118</v>
      </c>
      <c r="D1878" s="3" t="s">
        <v>7114</v>
      </c>
      <c r="E1878" s="3" t="s">
        <v>7115</v>
      </c>
      <c r="F1878" t="s">
        <v>11</v>
      </c>
      <c r="G1878" t="s">
        <v>19</v>
      </c>
      <c r="Q1878" s="10"/>
      <c r="U1878" s="9" t="str">
        <f t="shared" ca="1" si="80"/>
        <v/>
      </c>
      <c r="V1878" s="9" t="str">
        <f t="shared" ca="1" si="81"/>
        <v/>
      </c>
    </row>
    <row r="1879" spans="1:33" ht="29">
      <c r="A1879" s="3" t="s">
        <v>2118</v>
      </c>
      <c r="D1879" s="3" t="s">
        <v>7116</v>
      </c>
      <c r="E1879" s="3" t="s">
        <v>7117</v>
      </c>
      <c r="F1879" t="s">
        <v>11</v>
      </c>
      <c r="G1879" t="s">
        <v>19</v>
      </c>
      <c r="Q1879" s="10"/>
      <c r="U1879" s="9" t="str">
        <f t="shared" ca="1" si="80"/>
        <v/>
      </c>
      <c r="V1879" s="9" t="str">
        <f t="shared" ca="1" si="81"/>
        <v/>
      </c>
    </row>
    <row r="1880" spans="1:33" ht="29">
      <c r="A1880" s="3" t="s">
        <v>2119</v>
      </c>
      <c r="D1880" s="3" t="s">
        <v>7119</v>
      </c>
      <c r="E1880" s="3" t="s">
        <v>7118</v>
      </c>
      <c r="J1880" s="9" t="s">
        <v>24</v>
      </c>
      <c r="L1880" s="9">
        <v>1</v>
      </c>
      <c r="M1880" s="9">
        <v>8</v>
      </c>
      <c r="N1880" s="9" t="s">
        <v>12098</v>
      </c>
      <c r="O1880" s="9" t="s">
        <v>12073</v>
      </c>
      <c r="P1880" s="9" t="s">
        <v>12142</v>
      </c>
      <c r="Q1880" s="10" t="s">
        <v>12158</v>
      </c>
      <c r="S1880" s="9">
        <v>16</v>
      </c>
      <c r="U1880" s="9" t="str">
        <f t="shared" ca="1" si="80"/>
        <v/>
      </c>
      <c r="V1880" s="9" t="str">
        <f t="shared" ca="1" si="81"/>
        <v/>
      </c>
      <c r="AG1880" s="9" t="s">
        <v>19</v>
      </c>
    </row>
    <row r="1881" spans="1:33" ht="29">
      <c r="A1881" s="3" t="s">
        <v>2121</v>
      </c>
      <c r="D1881" s="3" t="s">
        <v>7120</v>
      </c>
      <c r="E1881" s="3" t="s">
        <v>7121</v>
      </c>
      <c r="J1881" s="9" t="s">
        <v>12118</v>
      </c>
      <c r="Q1881" s="10"/>
      <c r="T1881" s="9">
        <f>2-0</f>
        <v>2</v>
      </c>
      <c r="U1881" s="9">
        <f t="shared" ca="1" si="80"/>
        <v>0</v>
      </c>
      <c r="V1881" s="9">
        <f t="shared" ca="1" si="81"/>
        <v>2</v>
      </c>
      <c r="AC1881" s="9" t="s">
        <v>12130</v>
      </c>
      <c r="AD1881" s="9" t="s">
        <v>19</v>
      </c>
    </row>
    <row r="1882" spans="1:33" ht="29">
      <c r="A1882" s="3" t="s">
        <v>2121</v>
      </c>
      <c r="D1882" s="3" t="s">
        <v>7123</v>
      </c>
      <c r="E1882" s="3" t="s">
        <v>7122</v>
      </c>
      <c r="G1882" t="s">
        <v>19</v>
      </c>
      <c r="J1882" s="9" t="s">
        <v>12118</v>
      </c>
      <c r="Q1882" s="10"/>
      <c r="T1882" s="9">
        <f>9-179</f>
        <v>-170</v>
      </c>
      <c r="U1882" s="9">
        <f t="shared" ca="1" si="80"/>
        <v>179</v>
      </c>
      <c r="V1882" s="9">
        <f t="shared" ca="1" si="81"/>
        <v>9</v>
      </c>
    </row>
    <row r="1883" spans="1:33" ht="29">
      <c r="A1883" s="3" t="s">
        <v>2121</v>
      </c>
      <c r="D1883" s="3" t="s">
        <v>7124</v>
      </c>
      <c r="E1883" s="3" t="s">
        <v>7125</v>
      </c>
      <c r="G1883" t="s">
        <v>19</v>
      </c>
      <c r="J1883" s="9" t="s">
        <v>12118</v>
      </c>
      <c r="Q1883" s="10"/>
      <c r="T1883" s="9">
        <f>6-55</f>
        <v>-49</v>
      </c>
      <c r="U1883" s="9">
        <f t="shared" ca="1" si="80"/>
        <v>55</v>
      </c>
      <c r="V1883" s="9">
        <f t="shared" ca="1" si="81"/>
        <v>6</v>
      </c>
    </row>
    <row r="1884" spans="1:33" ht="29">
      <c r="A1884" s="3" t="s">
        <v>2122</v>
      </c>
      <c r="D1884" s="3" t="s">
        <v>7127</v>
      </c>
      <c r="E1884" s="3" t="s">
        <v>7126</v>
      </c>
      <c r="I1884" t="s">
        <v>12189</v>
      </c>
      <c r="J1884" s="9" t="s">
        <v>26</v>
      </c>
      <c r="Q1884" s="10"/>
      <c r="U1884" s="9" t="str">
        <f t="shared" ca="1" si="80"/>
        <v/>
      </c>
      <c r="V1884" s="9" t="str">
        <f t="shared" ca="1" si="81"/>
        <v/>
      </c>
      <c r="AG1884" s="9" t="s">
        <v>20</v>
      </c>
    </row>
    <row r="1885" spans="1:33">
      <c r="A1885" s="3" t="s">
        <v>2122</v>
      </c>
      <c r="D1885" s="3" t="s">
        <v>7128</v>
      </c>
      <c r="E1885" s="3" t="s">
        <v>7129</v>
      </c>
      <c r="G1885" t="s">
        <v>19</v>
      </c>
      <c r="J1885" s="9" t="s">
        <v>12120</v>
      </c>
      <c r="Q1885" s="10"/>
      <c r="U1885" s="9" t="str">
        <f t="shared" ca="1" si="80"/>
        <v/>
      </c>
      <c r="V1885" s="9" t="str">
        <f t="shared" ca="1" si="81"/>
        <v/>
      </c>
      <c r="AC1885" s="9" t="s">
        <v>12173</v>
      </c>
      <c r="AD1885" s="9" t="s">
        <v>19</v>
      </c>
      <c r="AE1885" s="9" t="s">
        <v>12089</v>
      </c>
    </row>
    <row r="1886" spans="1:33">
      <c r="A1886" s="3" t="s">
        <v>2122</v>
      </c>
      <c r="D1886" s="3" t="s">
        <v>7131</v>
      </c>
      <c r="E1886" s="3" t="s">
        <v>7130</v>
      </c>
      <c r="J1886" s="9" t="s">
        <v>12120</v>
      </c>
      <c r="Q1886" s="10"/>
      <c r="U1886" s="9" t="str">
        <f t="shared" ca="1" si="80"/>
        <v/>
      </c>
      <c r="V1886" s="9" t="str">
        <f t="shared" ca="1" si="81"/>
        <v/>
      </c>
      <c r="AE1886" s="9" t="s">
        <v>12083</v>
      </c>
    </row>
    <row r="1887" spans="1:33">
      <c r="A1887" s="3" t="s">
        <v>2123</v>
      </c>
      <c r="D1887" s="3" t="s">
        <v>287</v>
      </c>
      <c r="E1887" s="3" t="s">
        <v>286</v>
      </c>
      <c r="G1887" t="s">
        <v>19</v>
      </c>
      <c r="J1887" s="9" t="s">
        <v>12120</v>
      </c>
      <c r="Q1887" s="10"/>
      <c r="U1887" s="9" t="str">
        <f t="shared" ca="1" si="80"/>
        <v/>
      </c>
      <c r="V1887" s="9" t="str">
        <f t="shared" ca="1" si="81"/>
        <v/>
      </c>
      <c r="AC1887" s="9" t="s">
        <v>12134</v>
      </c>
      <c r="AD1887" s="9" t="s">
        <v>19</v>
      </c>
    </row>
    <row r="1888" spans="1:33">
      <c r="A1888" s="3" t="s">
        <v>2124</v>
      </c>
      <c r="D1888" s="3" t="s">
        <v>2125</v>
      </c>
      <c r="E1888" s="3" t="s">
        <v>2126</v>
      </c>
      <c r="J1888" s="9" t="s">
        <v>12120</v>
      </c>
      <c r="Q1888" s="10"/>
      <c r="U1888" s="9" t="str">
        <f t="shared" ca="1" si="80"/>
        <v/>
      </c>
      <c r="V1888" s="9" t="str">
        <f t="shared" ca="1" si="81"/>
        <v/>
      </c>
      <c r="AG1888" s="9" t="s">
        <v>20</v>
      </c>
    </row>
    <row r="1889" spans="1:33">
      <c r="A1889" s="3" t="s">
        <v>2127</v>
      </c>
      <c r="D1889" s="3" t="s">
        <v>2128</v>
      </c>
      <c r="E1889" s="3" t="s">
        <v>2129</v>
      </c>
      <c r="J1889" s="9" t="s">
        <v>12120</v>
      </c>
      <c r="Q1889" s="10"/>
      <c r="U1889" s="9" t="str">
        <f t="shared" ca="1" si="80"/>
        <v/>
      </c>
      <c r="V1889" s="9" t="str">
        <f t="shared" ca="1" si="81"/>
        <v/>
      </c>
      <c r="AB1889" s="9" t="s">
        <v>12738</v>
      </c>
      <c r="AD1889" s="9" t="s">
        <v>19</v>
      </c>
    </row>
    <row r="1890" spans="1:33">
      <c r="A1890" s="3" t="s">
        <v>2130</v>
      </c>
      <c r="D1890" s="3" t="s">
        <v>7132</v>
      </c>
      <c r="E1890" s="3" t="s">
        <v>7133</v>
      </c>
      <c r="J1890" s="9" t="s">
        <v>12120</v>
      </c>
      <c r="Q1890" s="10"/>
      <c r="U1890" s="9" t="str">
        <f t="shared" ca="1" si="80"/>
        <v/>
      </c>
      <c r="V1890" s="9" t="str">
        <f t="shared" ca="1" si="81"/>
        <v/>
      </c>
      <c r="AC1890" s="9" t="s">
        <v>12134</v>
      </c>
      <c r="AD1890" s="9" t="s">
        <v>19</v>
      </c>
    </row>
    <row r="1891" spans="1:33">
      <c r="A1891" s="3" t="s">
        <v>2131</v>
      </c>
      <c r="D1891" s="3" t="s">
        <v>2132</v>
      </c>
      <c r="E1891" s="3" t="s">
        <v>2133</v>
      </c>
      <c r="J1891" s="9" t="s">
        <v>12118</v>
      </c>
      <c r="Q1891" s="10"/>
      <c r="T1891" s="9" t="s">
        <v>12131</v>
      </c>
      <c r="U1891" s="9" t="str">
        <f t="shared" ca="1" si="80"/>
        <v/>
      </c>
      <c r="V1891" s="9" t="str">
        <f t="shared" ca="1" si="81"/>
        <v/>
      </c>
      <c r="AE1891" s="9" t="s">
        <v>12077</v>
      </c>
    </row>
    <row r="1892" spans="1:33">
      <c r="A1892" s="3" t="s">
        <v>2131</v>
      </c>
      <c r="D1892" s="3" t="s">
        <v>2134</v>
      </c>
      <c r="E1892" s="3" t="s">
        <v>2135</v>
      </c>
      <c r="J1892" s="9" t="s">
        <v>12120</v>
      </c>
      <c r="Q1892" s="10"/>
      <c r="U1892" s="9" t="str">
        <f t="shared" ca="1" si="80"/>
        <v/>
      </c>
      <c r="V1892" s="9" t="str">
        <f t="shared" ca="1" si="81"/>
        <v/>
      </c>
      <c r="AG1892" s="9" t="s">
        <v>13141</v>
      </c>
    </row>
    <row r="1893" spans="1:33" ht="29">
      <c r="A1893" s="3" t="s">
        <v>2136</v>
      </c>
      <c r="D1893" s="3" t="s">
        <v>12895</v>
      </c>
      <c r="E1893" s="3" t="s">
        <v>7134</v>
      </c>
      <c r="J1893" s="9" t="s">
        <v>25</v>
      </c>
      <c r="L1893" s="9">
        <v>1</v>
      </c>
      <c r="M1893" s="9">
        <v>10</v>
      </c>
      <c r="N1893" s="9" t="s">
        <v>12125</v>
      </c>
      <c r="O1893" s="9" t="s">
        <v>12073</v>
      </c>
      <c r="P1893" s="9" t="s">
        <v>12142</v>
      </c>
      <c r="Q1893" s="10" t="s">
        <v>12143</v>
      </c>
      <c r="S1893" s="9">
        <v>25</v>
      </c>
      <c r="U1893" s="9" t="str">
        <f t="shared" ca="1" si="80"/>
        <v/>
      </c>
      <c r="V1893" s="9" t="str">
        <f t="shared" ca="1" si="81"/>
        <v/>
      </c>
      <c r="AG1893" s="9" t="s">
        <v>20</v>
      </c>
    </row>
    <row r="1894" spans="1:33">
      <c r="A1894" s="3" t="s">
        <v>2137</v>
      </c>
      <c r="D1894" s="3" t="s">
        <v>12896</v>
      </c>
      <c r="E1894" s="3" t="s">
        <v>7135</v>
      </c>
      <c r="J1894" s="9" t="s">
        <v>24</v>
      </c>
      <c r="L1894" s="9">
        <v>1</v>
      </c>
      <c r="M1894" s="9">
        <v>2</v>
      </c>
      <c r="N1894" s="9" t="s">
        <v>12078</v>
      </c>
      <c r="O1894" s="9" t="s">
        <v>12119</v>
      </c>
      <c r="Q1894" s="10"/>
      <c r="S1894" s="9">
        <v>11843</v>
      </c>
      <c r="U1894" s="9" t="str">
        <f t="shared" ca="1" si="80"/>
        <v/>
      </c>
      <c r="V1894" s="9" t="str">
        <f t="shared" ca="1" si="81"/>
        <v/>
      </c>
      <c r="AG1894" s="9" t="s">
        <v>19</v>
      </c>
    </row>
    <row r="1895" spans="1:33">
      <c r="A1895" s="3" t="s">
        <v>2138</v>
      </c>
      <c r="D1895" s="3" t="s">
        <v>2139</v>
      </c>
      <c r="E1895" s="3" t="s">
        <v>7136</v>
      </c>
      <c r="J1895" s="9" t="s">
        <v>12118</v>
      </c>
      <c r="Q1895" s="10"/>
      <c r="T1895" s="9" t="s">
        <v>12119</v>
      </c>
      <c r="U1895" s="9" t="str">
        <f t="shared" ca="1" si="80"/>
        <v/>
      </c>
      <c r="V1895" s="9" t="str">
        <f t="shared" ca="1" si="81"/>
        <v/>
      </c>
      <c r="AE1895" s="9" t="s">
        <v>12086</v>
      </c>
    </row>
    <row r="1896" spans="1:33">
      <c r="A1896" s="3" t="s">
        <v>2140</v>
      </c>
      <c r="D1896" s="3" t="s">
        <v>7138</v>
      </c>
      <c r="E1896" s="3" t="s">
        <v>7137</v>
      </c>
      <c r="J1896" s="9" t="s">
        <v>25</v>
      </c>
      <c r="L1896" s="9">
        <v>1</v>
      </c>
      <c r="M1896" s="9">
        <v>3</v>
      </c>
      <c r="N1896" s="9" t="s">
        <v>12078</v>
      </c>
      <c r="O1896" s="9" t="s">
        <v>12079</v>
      </c>
      <c r="Q1896" s="10"/>
      <c r="S1896" s="9">
        <v>11843</v>
      </c>
      <c r="U1896" s="9" t="str">
        <f t="shared" ca="1" si="80"/>
        <v/>
      </c>
      <c r="V1896" s="9" t="str">
        <f t="shared" ca="1" si="81"/>
        <v/>
      </c>
      <c r="AG1896" s="9" t="s">
        <v>20</v>
      </c>
    </row>
    <row r="1897" spans="1:33">
      <c r="A1897" s="3" t="s">
        <v>2140</v>
      </c>
      <c r="D1897" s="3" t="s">
        <v>7139</v>
      </c>
      <c r="E1897" s="3" t="s">
        <v>7139</v>
      </c>
      <c r="G1897" t="s">
        <v>20</v>
      </c>
      <c r="I1897" t="s">
        <v>7140</v>
      </c>
      <c r="Q1897" s="10"/>
      <c r="U1897" s="9" t="str">
        <f t="shared" ca="1" si="80"/>
        <v/>
      </c>
      <c r="V1897" s="9" t="str">
        <f t="shared" ca="1" si="81"/>
        <v/>
      </c>
    </row>
    <row r="1898" spans="1:33">
      <c r="A1898" s="3" t="s">
        <v>2141</v>
      </c>
      <c r="D1898" s="3" t="s">
        <v>7141</v>
      </c>
      <c r="E1898" s="3" t="s">
        <v>7142</v>
      </c>
      <c r="J1898" s="9" t="s">
        <v>12120</v>
      </c>
      <c r="Q1898" s="10"/>
      <c r="U1898" s="9" t="str">
        <f t="shared" ca="1" si="80"/>
        <v/>
      </c>
      <c r="V1898" s="9" t="str">
        <f t="shared" ca="1" si="81"/>
        <v/>
      </c>
      <c r="AC1898" s="9" t="s">
        <v>12144</v>
      </c>
      <c r="AD1898" s="9" t="s">
        <v>19</v>
      </c>
    </row>
    <row r="1899" spans="1:33" ht="29">
      <c r="A1899" s="3" t="s">
        <v>2142</v>
      </c>
      <c r="D1899" s="3" t="s">
        <v>7143</v>
      </c>
      <c r="E1899" s="3" t="s">
        <v>7144</v>
      </c>
      <c r="J1899" s="9" t="s">
        <v>24</v>
      </c>
      <c r="L1899" s="9">
        <v>1</v>
      </c>
      <c r="M1899" s="9">
        <v>3</v>
      </c>
      <c r="N1899" s="9" t="s">
        <v>12087</v>
      </c>
      <c r="O1899" s="9" t="s">
        <v>12073</v>
      </c>
      <c r="P1899" s="9" t="s">
        <v>12142</v>
      </c>
      <c r="Q1899" s="10" t="s">
        <v>12143</v>
      </c>
      <c r="R1899" s="9" t="s">
        <v>12074</v>
      </c>
      <c r="S1899" s="9">
        <v>5676</v>
      </c>
      <c r="U1899" s="9" t="str">
        <f t="shared" ca="1" si="80"/>
        <v/>
      </c>
      <c r="V1899" s="9" t="str">
        <f t="shared" ca="1" si="81"/>
        <v/>
      </c>
      <c r="AE1899" s="9" t="s">
        <v>12083</v>
      </c>
    </row>
    <row r="1900" spans="1:33">
      <c r="A1900" s="3" t="s">
        <v>2142</v>
      </c>
      <c r="D1900" s="3" t="s">
        <v>1853</v>
      </c>
      <c r="E1900" s="3" t="s">
        <v>109</v>
      </c>
      <c r="J1900" s="9" t="s">
        <v>12118</v>
      </c>
      <c r="Q1900" s="10"/>
      <c r="T1900" s="9">
        <f>45-0</f>
        <v>45</v>
      </c>
      <c r="U1900" s="9">
        <f t="shared" ca="1" si="80"/>
        <v>0</v>
      </c>
      <c r="V1900" s="9">
        <f t="shared" ca="1" si="81"/>
        <v>45</v>
      </c>
      <c r="AE1900" s="9" t="s">
        <v>12089</v>
      </c>
    </row>
    <row r="1901" spans="1:33" ht="29">
      <c r="A1901" s="3" t="s">
        <v>2143</v>
      </c>
      <c r="D1901" s="3" t="s">
        <v>7146</v>
      </c>
      <c r="E1901" s="3" t="s">
        <v>7145</v>
      </c>
      <c r="I1901" t="s">
        <v>12190</v>
      </c>
      <c r="J1901" s="9" t="s">
        <v>26</v>
      </c>
      <c r="Q1901" s="10"/>
      <c r="U1901" s="9" t="str">
        <f t="shared" ca="1" si="80"/>
        <v/>
      </c>
      <c r="V1901" s="9" t="str">
        <f t="shared" ca="1" si="81"/>
        <v/>
      </c>
      <c r="AG1901" s="9" t="s">
        <v>20</v>
      </c>
    </row>
    <row r="1902" spans="1:33" ht="29">
      <c r="A1902" s="3" t="s">
        <v>2144</v>
      </c>
      <c r="D1902" s="3" t="s">
        <v>7147</v>
      </c>
      <c r="E1902" s="3" t="s">
        <v>7148</v>
      </c>
      <c r="J1902" s="9" t="s">
        <v>12118</v>
      </c>
      <c r="Q1902" s="10"/>
      <c r="T1902" s="9">
        <f xml:space="preserve"> 10-0</f>
        <v>10</v>
      </c>
      <c r="U1902" s="9">
        <f t="shared" ca="1" si="80"/>
        <v>0</v>
      </c>
      <c r="V1902" s="9">
        <f t="shared" ca="1" si="81"/>
        <v>10</v>
      </c>
      <c r="AG1902" s="9" t="s">
        <v>19</v>
      </c>
    </row>
    <row r="1903" spans="1:33" ht="29">
      <c r="A1903" s="3" t="s">
        <v>2145</v>
      </c>
      <c r="D1903" s="3" t="s">
        <v>7149</v>
      </c>
      <c r="E1903" s="3" t="s">
        <v>7150</v>
      </c>
      <c r="J1903" s="9" t="s">
        <v>12120</v>
      </c>
      <c r="Q1903" s="10"/>
      <c r="U1903" s="9" t="str">
        <f t="shared" ca="1" si="80"/>
        <v/>
      </c>
      <c r="V1903" s="9" t="str">
        <f t="shared" ca="1" si="81"/>
        <v/>
      </c>
      <c r="AC1903" s="9" t="s">
        <v>12134</v>
      </c>
      <c r="AD1903" s="9" t="s">
        <v>19</v>
      </c>
      <c r="AE1903" s="9" t="s">
        <v>12086</v>
      </c>
    </row>
    <row r="1904" spans="1:33" ht="29">
      <c r="A1904" s="3" t="s">
        <v>2145</v>
      </c>
      <c r="D1904" s="3" t="s">
        <v>7152</v>
      </c>
      <c r="E1904" s="3" t="s">
        <v>7151</v>
      </c>
      <c r="J1904" s="9" t="s">
        <v>12118</v>
      </c>
      <c r="Q1904" s="10"/>
      <c r="T1904" s="9">
        <f>361-472</f>
        <v>-111</v>
      </c>
      <c r="U1904" s="9">
        <f t="shared" ca="1" si="80"/>
        <v>472</v>
      </c>
      <c r="V1904" s="9">
        <f t="shared" ca="1" si="81"/>
        <v>361</v>
      </c>
      <c r="AG1904" s="9" t="s">
        <v>19</v>
      </c>
    </row>
    <row r="1905" spans="1:33">
      <c r="A1905" s="3" t="s">
        <v>2145</v>
      </c>
      <c r="D1905" s="3" t="s">
        <v>7153</v>
      </c>
      <c r="E1905" s="3" t="s">
        <v>7154</v>
      </c>
      <c r="J1905" s="9" t="s">
        <v>12120</v>
      </c>
      <c r="Q1905" s="10"/>
      <c r="U1905" s="9" t="str">
        <f t="shared" ca="1" si="80"/>
        <v/>
      </c>
      <c r="V1905" s="9" t="str">
        <f t="shared" ca="1" si="81"/>
        <v/>
      </c>
      <c r="AB1905" s="9" t="s">
        <v>12082</v>
      </c>
      <c r="AD1905" s="9" t="s">
        <v>19</v>
      </c>
    </row>
    <row r="1906" spans="1:33">
      <c r="A1906" s="3" t="s">
        <v>2146</v>
      </c>
      <c r="D1906" s="3" t="s">
        <v>2147</v>
      </c>
      <c r="E1906" s="3" t="s">
        <v>2148</v>
      </c>
      <c r="J1906" s="9" t="s">
        <v>12120</v>
      </c>
      <c r="Q1906" s="10"/>
      <c r="U1906" s="9" t="str">
        <f t="shared" ca="1" si="80"/>
        <v/>
      </c>
      <c r="V1906" s="9" t="str">
        <f t="shared" ca="1" si="81"/>
        <v/>
      </c>
      <c r="AG1906" s="9" t="s">
        <v>20</v>
      </c>
    </row>
    <row r="1907" spans="1:33">
      <c r="A1907" s="3" t="s">
        <v>2146</v>
      </c>
      <c r="D1907" s="3" t="s">
        <v>2149</v>
      </c>
      <c r="E1907" s="3" t="s">
        <v>7155</v>
      </c>
      <c r="J1907" s="9" t="s">
        <v>12120</v>
      </c>
      <c r="Q1907" s="10"/>
      <c r="T1907" s="9" t="s">
        <v>12131</v>
      </c>
      <c r="U1907" s="9" t="str">
        <f t="shared" ca="1" si="80"/>
        <v/>
      </c>
      <c r="V1907" s="9" t="str">
        <f t="shared" ca="1" si="81"/>
        <v/>
      </c>
      <c r="AC1907" s="9" t="s">
        <v>12153</v>
      </c>
      <c r="AD1907" s="9" t="s">
        <v>19</v>
      </c>
      <c r="AE1907" s="9" t="s">
        <v>12077</v>
      </c>
    </row>
    <row r="1908" spans="1:33" ht="29">
      <c r="A1908" s="3" t="s">
        <v>2150</v>
      </c>
      <c r="D1908" s="3" t="s">
        <v>7156</v>
      </c>
      <c r="E1908" s="3" t="s">
        <v>7157</v>
      </c>
      <c r="J1908" s="9" t="s">
        <v>25</v>
      </c>
      <c r="L1908" s="9">
        <v>1</v>
      </c>
      <c r="M1908" s="9">
        <v>3</v>
      </c>
      <c r="N1908" s="9" t="s">
        <v>12092</v>
      </c>
      <c r="O1908" s="9" t="s">
        <v>12079</v>
      </c>
      <c r="Q1908" s="10"/>
      <c r="S1908" s="9">
        <v>635</v>
      </c>
      <c r="U1908" s="9" t="str">
        <f t="shared" ca="1" si="80"/>
        <v/>
      </c>
      <c r="V1908" s="9" t="str">
        <f t="shared" ca="1" si="81"/>
        <v/>
      </c>
      <c r="AG1908" s="9" t="s">
        <v>19</v>
      </c>
    </row>
    <row r="1909" spans="1:33" ht="29">
      <c r="A1909" s="3" t="s">
        <v>2150</v>
      </c>
      <c r="D1909" s="3" t="s">
        <v>7158</v>
      </c>
      <c r="E1909" s="3" t="s">
        <v>7159</v>
      </c>
      <c r="G1909" t="s">
        <v>21</v>
      </c>
      <c r="I1909" t="s">
        <v>7162</v>
      </c>
      <c r="J1909" s="9" t="s">
        <v>12120</v>
      </c>
      <c r="Q1909" s="10"/>
      <c r="U1909" s="9" t="str">
        <f t="shared" ca="1" si="80"/>
        <v/>
      </c>
      <c r="V1909" s="9" t="str">
        <f t="shared" ca="1" si="81"/>
        <v/>
      </c>
    </row>
    <row r="1910" spans="1:33" ht="29">
      <c r="A1910" s="3" t="s">
        <v>2150</v>
      </c>
      <c r="D1910" s="5" t="s">
        <v>7160</v>
      </c>
      <c r="E1910" s="3" t="s">
        <v>7161</v>
      </c>
      <c r="F1910" t="s">
        <v>15</v>
      </c>
      <c r="Q1910" s="10"/>
      <c r="U1910" s="9" t="str">
        <f t="shared" ca="1" si="80"/>
        <v/>
      </c>
      <c r="V1910" s="9" t="str">
        <f t="shared" ca="1" si="81"/>
        <v/>
      </c>
    </row>
    <row r="1911" spans="1:33" ht="29">
      <c r="A1911" s="3" t="s">
        <v>2151</v>
      </c>
      <c r="D1911" s="3" t="s">
        <v>7163</v>
      </c>
      <c r="E1911" s="3" t="s">
        <v>7164</v>
      </c>
      <c r="J1911" s="9" t="s">
        <v>12120</v>
      </c>
      <c r="Q1911" s="10"/>
      <c r="U1911" s="9" t="str">
        <f t="shared" ca="1" si="80"/>
        <v/>
      </c>
      <c r="V1911" s="9" t="str">
        <f t="shared" ca="1" si="81"/>
        <v/>
      </c>
      <c r="AG1911" s="9" t="s">
        <v>20</v>
      </c>
    </row>
    <row r="1912" spans="1:33">
      <c r="A1912" s="3" t="s">
        <v>2151</v>
      </c>
      <c r="D1912" s="3" t="s">
        <v>7165</v>
      </c>
      <c r="E1912" s="3" t="s">
        <v>7166</v>
      </c>
      <c r="J1912" s="9" t="s">
        <v>12120</v>
      </c>
      <c r="Q1912" s="10"/>
      <c r="U1912" s="9" t="str">
        <f t="shared" ca="1" si="80"/>
        <v/>
      </c>
      <c r="V1912" s="9" t="str">
        <f t="shared" ca="1" si="81"/>
        <v/>
      </c>
      <c r="AB1912" s="9" t="s">
        <v>12738</v>
      </c>
      <c r="AD1912" s="9" t="s">
        <v>19</v>
      </c>
    </row>
    <row r="1913" spans="1:33" ht="29">
      <c r="A1913" s="3" t="s">
        <v>2151</v>
      </c>
      <c r="D1913" s="3" t="s">
        <v>7167</v>
      </c>
      <c r="E1913" s="3" t="s">
        <v>7168</v>
      </c>
      <c r="J1913" s="9" t="s">
        <v>25</v>
      </c>
      <c r="L1913" s="9">
        <v>1</v>
      </c>
      <c r="M1913" s="9">
        <v>2</v>
      </c>
      <c r="N1913" s="9" t="s">
        <v>12096</v>
      </c>
      <c r="O1913" s="9" t="s">
        <v>12119</v>
      </c>
      <c r="Q1913" s="10"/>
      <c r="S1913" s="9">
        <v>1294</v>
      </c>
      <c r="U1913" s="9" t="str">
        <f t="shared" ca="1" si="80"/>
        <v/>
      </c>
      <c r="V1913" s="9" t="str">
        <f t="shared" ca="1" si="81"/>
        <v/>
      </c>
      <c r="AG1913" s="9" t="s">
        <v>19</v>
      </c>
    </row>
    <row r="1914" spans="1:33">
      <c r="A1914" s="3" t="s">
        <v>2152</v>
      </c>
      <c r="D1914" s="3" t="s">
        <v>7169</v>
      </c>
      <c r="E1914" s="3" t="s">
        <v>7170</v>
      </c>
      <c r="J1914" s="9" t="s">
        <v>12120</v>
      </c>
      <c r="Q1914" s="10"/>
      <c r="U1914" s="9" t="str">
        <f t="shared" ca="1" si="80"/>
        <v/>
      </c>
      <c r="V1914" s="9" t="str">
        <f t="shared" ca="1" si="81"/>
        <v/>
      </c>
      <c r="AG1914" s="9" t="s">
        <v>19</v>
      </c>
    </row>
    <row r="1915" spans="1:33">
      <c r="A1915" s="3" t="s">
        <v>2153</v>
      </c>
      <c r="D1915" s="3" t="s">
        <v>2154</v>
      </c>
      <c r="E1915" s="3" t="s">
        <v>2155</v>
      </c>
      <c r="J1915" s="9" t="s">
        <v>12120</v>
      </c>
      <c r="Q1915" s="10"/>
      <c r="U1915" s="9" t="str">
        <f t="shared" ca="1" si="80"/>
        <v/>
      </c>
      <c r="V1915" s="9" t="str">
        <f t="shared" ca="1" si="81"/>
        <v/>
      </c>
      <c r="AC1915" s="9" t="s">
        <v>12134</v>
      </c>
      <c r="AD1915" s="9" t="s">
        <v>19</v>
      </c>
      <c r="AE1915" s="9" t="s">
        <v>12086</v>
      </c>
    </row>
    <row r="1916" spans="1:33">
      <c r="A1916" s="3" t="s">
        <v>2156</v>
      </c>
      <c r="D1916" s="3" t="s">
        <v>1560</v>
      </c>
      <c r="E1916" s="3" t="s">
        <v>1561</v>
      </c>
      <c r="J1916" s="9" t="s">
        <v>12120</v>
      </c>
      <c r="Q1916" s="10"/>
      <c r="U1916" s="9" t="str">
        <f t="shared" ca="1" si="80"/>
        <v/>
      </c>
      <c r="V1916" s="9" t="str">
        <f t="shared" ca="1" si="81"/>
        <v/>
      </c>
      <c r="AC1916" s="9" t="s">
        <v>12744</v>
      </c>
      <c r="AD1916" s="9" t="s">
        <v>19</v>
      </c>
    </row>
    <row r="1917" spans="1:33" ht="29">
      <c r="A1917" s="3" t="s">
        <v>2157</v>
      </c>
      <c r="D1917" s="3" t="s">
        <v>7172</v>
      </c>
      <c r="E1917" s="3" t="s">
        <v>7171</v>
      </c>
      <c r="J1917" s="9" t="s">
        <v>24</v>
      </c>
      <c r="L1917" s="9">
        <v>1</v>
      </c>
      <c r="M1917" s="9">
        <v>5</v>
      </c>
      <c r="N1917" s="9" t="s">
        <v>12094</v>
      </c>
      <c r="O1917" s="9" t="s">
        <v>12079</v>
      </c>
      <c r="Q1917" s="10"/>
      <c r="S1917" s="9">
        <v>4240</v>
      </c>
      <c r="U1917" s="9" t="str">
        <f t="shared" ca="1" si="80"/>
        <v/>
      </c>
      <c r="V1917" s="9" t="str">
        <f t="shared" ca="1" si="81"/>
        <v/>
      </c>
      <c r="AG1917" s="9" t="s">
        <v>19</v>
      </c>
    </row>
    <row r="1918" spans="1:33">
      <c r="A1918" s="3" t="s">
        <v>2158</v>
      </c>
      <c r="D1918" s="3" t="s">
        <v>7173</v>
      </c>
      <c r="E1918" s="3" t="s">
        <v>7174</v>
      </c>
      <c r="J1918" s="9" t="s">
        <v>12118</v>
      </c>
      <c r="Q1918" s="10"/>
      <c r="T1918" s="9">
        <f>207-310</f>
        <v>-103</v>
      </c>
      <c r="U1918" s="9">
        <f t="shared" ca="1" si="80"/>
        <v>310</v>
      </c>
      <c r="V1918" s="9">
        <f t="shared" ca="1" si="81"/>
        <v>207</v>
      </c>
      <c r="AG1918" s="9" t="s">
        <v>20</v>
      </c>
    </row>
    <row r="1919" spans="1:33">
      <c r="A1919" s="3" t="s">
        <v>2159</v>
      </c>
      <c r="D1919" s="3" t="s">
        <v>7175</v>
      </c>
      <c r="E1919" s="3" t="s">
        <v>7176</v>
      </c>
      <c r="J1919" s="9" t="s">
        <v>25</v>
      </c>
      <c r="L1919" s="9">
        <v>1</v>
      </c>
      <c r="M1919" s="9">
        <v>2</v>
      </c>
      <c r="N1919" s="9" t="s">
        <v>12087</v>
      </c>
      <c r="O1919" s="9" t="s">
        <v>12119</v>
      </c>
      <c r="Q1919" s="10"/>
      <c r="S1919" s="9">
        <v>1966</v>
      </c>
      <c r="U1919" s="9" t="str">
        <f t="shared" ca="1" si="80"/>
        <v/>
      </c>
      <c r="V1919" s="9" t="str">
        <f t="shared" ca="1" si="81"/>
        <v/>
      </c>
      <c r="AG1919" s="9" t="s">
        <v>20</v>
      </c>
    </row>
    <row r="1920" spans="1:33">
      <c r="A1920" s="3" t="s">
        <v>2160</v>
      </c>
      <c r="D1920" s="3" t="s">
        <v>7178</v>
      </c>
      <c r="E1920" s="3" t="s">
        <v>7177</v>
      </c>
      <c r="J1920" s="9" t="s">
        <v>25</v>
      </c>
      <c r="L1920" s="9">
        <v>1</v>
      </c>
      <c r="M1920" s="9">
        <v>2</v>
      </c>
      <c r="N1920" s="9" t="s">
        <v>12094</v>
      </c>
      <c r="O1920" s="9" t="s">
        <v>12119</v>
      </c>
      <c r="Q1920" s="10"/>
      <c r="S1920" s="9">
        <v>1496</v>
      </c>
      <c r="U1920" s="9" t="str">
        <f t="shared" ca="1" si="80"/>
        <v/>
      </c>
      <c r="V1920" s="9" t="str">
        <f t="shared" ca="1" si="81"/>
        <v/>
      </c>
      <c r="AG1920" s="9" t="s">
        <v>20</v>
      </c>
    </row>
    <row r="1921" spans="1:33" ht="29">
      <c r="A1921" s="3" t="s">
        <v>2160</v>
      </c>
      <c r="D1921" s="3" t="s">
        <v>7179</v>
      </c>
      <c r="E1921" s="3" t="s">
        <v>7180</v>
      </c>
      <c r="J1921" s="9" t="s">
        <v>24</v>
      </c>
      <c r="L1921" s="9">
        <v>3</v>
      </c>
      <c r="M1921" s="9">
        <v>9</v>
      </c>
      <c r="O1921" s="9" t="s">
        <v>12073</v>
      </c>
      <c r="P1921" s="9" t="s">
        <v>12142</v>
      </c>
      <c r="Q1921" s="10" t="s">
        <v>12171</v>
      </c>
      <c r="R1921" s="9" t="s">
        <v>12074</v>
      </c>
      <c r="S1921" s="9">
        <v>1294</v>
      </c>
      <c r="U1921" s="9" t="str">
        <f t="shared" ca="1" si="80"/>
        <v/>
      </c>
      <c r="V1921" s="9" t="str">
        <f t="shared" ca="1" si="81"/>
        <v/>
      </c>
      <c r="AE1921" s="9" t="s">
        <v>12083</v>
      </c>
    </row>
    <row r="1922" spans="1:33">
      <c r="A1922" s="3" t="s">
        <v>2161</v>
      </c>
      <c r="D1922" s="3" t="s">
        <v>7182</v>
      </c>
      <c r="E1922" s="3" t="s">
        <v>7181</v>
      </c>
      <c r="J1922" s="9" t="s">
        <v>12118</v>
      </c>
      <c r="Q1922" s="10"/>
      <c r="T1922" s="9">
        <f>1996-5676</f>
        <v>-3680</v>
      </c>
      <c r="U1922" s="9">
        <f t="shared" ca="1" si="80"/>
        <v>5676</v>
      </c>
      <c r="V1922" s="9">
        <f t="shared" ca="1" si="81"/>
        <v>1996</v>
      </c>
      <c r="AG1922" s="9" t="s">
        <v>19</v>
      </c>
    </row>
    <row r="1923" spans="1:33">
      <c r="A1923" s="3" t="s">
        <v>2162</v>
      </c>
      <c r="D1923" s="3" t="s">
        <v>2163</v>
      </c>
      <c r="E1923" s="3" t="s">
        <v>161</v>
      </c>
      <c r="F1923" t="s">
        <v>11</v>
      </c>
      <c r="G1923" t="s">
        <v>19</v>
      </c>
      <c r="Q1923" s="10"/>
      <c r="U1923" s="9" t="str">
        <f t="shared" ca="1" si="80"/>
        <v/>
      </c>
      <c r="V1923" s="9" t="str">
        <f t="shared" ca="1" si="81"/>
        <v/>
      </c>
    </row>
    <row r="1924" spans="1:33" ht="29">
      <c r="A1924" s="3" t="s">
        <v>2162</v>
      </c>
      <c r="D1924" s="3" t="s">
        <v>7183</v>
      </c>
      <c r="E1924" s="3" t="s">
        <v>7184</v>
      </c>
      <c r="J1924" s="9" t="s">
        <v>25</v>
      </c>
      <c r="L1924" s="9">
        <v>1</v>
      </c>
      <c r="M1924" s="9">
        <v>6</v>
      </c>
      <c r="N1924" s="9" t="s">
        <v>12094</v>
      </c>
      <c r="O1924" s="9" t="s">
        <v>12073</v>
      </c>
      <c r="P1924" s="9" t="s">
        <v>12142</v>
      </c>
      <c r="Q1924" s="10" t="s">
        <v>12143</v>
      </c>
      <c r="S1924" s="9">
        <v>4240</v>
      </c>
      <c r="U1924" s="9" t="str">
        <f t="shared" ca="1" si="80"/>
        <v/>
      </c>
      <c r="V1924" s="9" t="str">
        <f t="shared" ca="1" si="81"/>
        <v/>
      </c>
      <c r="AG1924" s="9" t="s">
        <v>20</v>
      </c>
    </row>
    <row r="1925" spans="1:33">
      <c r="A1925" s="3" t="s">
        <v>2164</v>
      </c>
      <c r="D1925" s="3" t="s">
        <v>7185</v>
      </c>
      <c r="E1925" s="3" t="s">
        <v>7186</v>
      </c>
      <c r="J1925" s="9" t="s">
        <v>12120</v>
      </c>
      <c r="Q1925" s="10"/>
      <c r="U1925" s="9" t="str">
        <f t="shared" ca="1" si="80"/>
        <v/>
      </c>
      <c r="V1925" s="9" t="str">
        <f t="shared" ca="1" si="81"/>
        <v/>
      </c>
      <c r="AE1925" s="9" t="s">
        <v>12086</v>
      </c>
    </row>
    <row r="1926" spans="1:33">
      <c r="A1926" s="3" t="s">
        <v>2164</v>
      </c>
      <c r="D1926" s="3" t="s">
        <v>7188</v>
      </c>
      <c r="E1926" s="3" t="s">
        <v>7187</v>
      </c>
      <c r="F1926" t="s">
        <v>11</v>
      </c>
      <c r="Q1926" s="10"/>
      <c r="U1926" s="9" t="str">
        <f t="shared" ca="1" si="80"/>
        <v/>
      </c>
      <c r="V1926" s="9" t="str">
        <f t="shared" ca="1" si="81"/>
        <v/>
      </c>
    </row>
    <row r="1927" spans="1:33">
      <c r="A1927" s="3" t="s">
        <v>2165</v>
      </c>
      <c r="D1927" s="3" t="s">
        <v>2166</v>
      </c>
      <c r="E1927" s="3" t="s">
        <v>2167</v>
      </c>
      <c r="F1927" t="s">
        <v>11</v>
      </c>
      <c r="J1927" s="9" t="s">
        <v>12118</v>
      </c>
      <c r="Q1927" s="10"/>
      <c r="T1927" s="9">
        <f>2-0</f>
        <v>2</v>
      </c>
      <c r="U1927" s="9">
        <f t="shared" ca="1" si="80"/>
        <v>0</v>
      </c>
      <c r="V1927" s="9">
        <f t="shared" ca="1" si="81"/>
        <v>2</v>
      </c>
    </row>
    <row r="1928" spans="1:33" ht="159.5">
      <c r="A1928" s="3" t="s">
        <v>2165</v>
      </c>
      <c r="D1928" s="3" t="s">
        <v>7190</v>
      </c>
      <c r="E1928" s="3" t="s">
        <v>7191</v>
      </c>
      <c r="I1928" t="s">
        <v>12357</v>
      </c>
      <c r="J1928" s="9" t="s">
        <v>24</v>
      </c>
      <c r="L1928" s="9">
        <v>4</v>
      </c>
      <c r="M1928" s="9">
        <v>28</v>
      </c>
      <c r="O1928" s="9" t="s">
        <v>12073</v>
      </c>
      <c r="P1928" s="9" t="s">
        <v>12140</v>
      </c>
      <c r="Q1928" s="10" t="s">
        <v>12194</v>
      </c>
      <c r="S1928" s="9">
        <v>3</v>
      </c>
      <c r="U1928" s="9" t="str">
        <f t="shared" ca="1" si="80"/>
        <v/>
      </c>
      <c r="V1928" s="9" t="str">
        <f t="shared" ca="1" si="81"/>
        <v/>
      </c>
      <c r="AG1928" s="9" t="s">
        <v>19</v>
      </c>
    </row>
    <row r="1929" spans="1:33" ht="159.5">
      <c r="A1929" s="3" t="s">
        <v>2165</v>
      </c>
      <c r="D1929" s="3" t="s">
        <v>7192</v>
      </c>
      <c r="E1929" s="3" t="s">
        <v>7189</v>
      </c>
      <c r="G1929" t="s">
        <v>19</v>
      </c>
      <c r="I1929" t="s">
        <v>12357</v>
      </c>
      <c r="J1929" s="9" t="s">
        <v>25</v>
      </c>
      <c r="L1929" s="9">
        <v>3</v>
      </c>
      <c r="M1929" s="9">
        <v>24</v>
      </c>
      <c r="O1929" s="9" t="s">
        <v>12073</v>
      </c>
      <c r="P1929" s="9" t="s">
        <v>12140</v>
      </c>
      <c r="Q1929" s="10" t="s">
        <v>12358</v>
      </c>
      <c r="S1929" s="9">
        <v>3</v>
      </c>
      <c r="U1929" s="9" t="str">
        <f t="shared" ca="1" si="80"/>
        <v/>
      </c>
      <c r="V1929" s="9" t="str">
        <f t="shared" ca="1" si="81"/>
        <v/>
      </c>
    </row>
    <row r="1930" spans="1:33" ht="159.5">
      <c r="A1930" s="3" t="s">
        <v>2165</v>
      </c>
      <c r="D1930" s="3" t="s">
        <v>7194</v>
      </c>
      <c r="E1930" s="3" t="s">
        <v>7193</v>
      </c>
      <c r="G1930" t="s">
        <v>20</v>
      </c>
      <c r="I1930" t="s">
        <v>7195</v>
      </c>
      <c r="J1930" s="9" t="s">
        <v>12118</v>
      </c>
      <c r="Q1930" s="10"/>
      <c r="U1930" s="9" t="str">
        <f t="shared" ca="1" si="80"/>
        <v/>
      </c>
      <c r="V1930" s="9" t="str">
        <f t="shared" ca="1" si="81"/>
        <v/>
      </c>
      <c r="AB1930" s="9" t="s">
        <v>12124</v>
      </c>
      <c r="AC1930" s="9" t="s">
        <v>12740</v>
      </c>
      <c r="AD1930" s="9" t="s">
        <v>19</v>
      </c>
    </row>
    <row r="1931" spans="1:33">
      <c r="A1931" s="3" t="s">
        <v>2168</v>
      </c>
      <c r="D1931" s="3" t="s">
        <v>7196</v>
      </c>
      <c r="E1931" s="3" t="s">
        <v>7197</v>
      </c>
      <c r="J1931" s="9" t="s">
        <v>24</v>
      </c>
      <c r="L1931" s="9">
        <v>1</v>
      </c>
      <c r="M1931" s="9">
        <v>2</v>
      </c>
      <c r="N1931" s="9" t="s">
        <v>12078</v>
      </c>
      <c r="O1931" s="9" t="s">
        <v>12119</v>
      </c>
      <c r="Q1931" s="10"/>
      <c r="R1931" s="9" t="s">
        <v>12074</v>
      </c>
      <c r="S1931" s="9">
        <v>11843</v>
      </c>
      <c r="U1931" s="9" t="str">
        <f t="shared" ca="1" si="80"/>
        <v/>
      </c>
      <c r="V1931" s="9" t="str">
        <f t="shared" ca="1" si="81"/>
        <v/>
      </c>
      <c r="AG1931" s="9" t="s">
        <v>20</v>
      </c>
    </row>
    <row r="1932" spans="1:33" ht="29">
      <c r="A1932" s="3" t="s">
        <v>2168</v>
      </c>
      <c r="D1932" s="3" t="s">
        <v>7199</v>
      </c>
      <c r="E1932" s="3" t="s">
        <v>7200</v>
      </c>
      <c r="J1932" s="9" t="s">
        <v>12118</v>
      </c>
      <c r="Q1932" s="10"/>
      <c r="T1932" s="9" t="s">
        <v>12131</v>
      </c>
      <c r="U1932" s="9" t="str">
        <f t="shared" ca="1" si="80"/>
        <v/>
      </c>
      <c r="V1932" s="9" t="str">
        <f t="shared" ca="1" si="81"/>
        <v/>
      </c>
      <c r="AB1932" s="9" t="s">
        <v>12124</v>
      </c>
      <c r="AC1932" s="9" t="s">
        <v>12740</v>
      </c>
      <c r="AD1932" s="9" t="s">
        <v>19</v>
      </c>
    </row>
    <row r="1933" spans="1:33" ht="29">
      <c r="A1933" s="3" t="s">
        <v>2168</v>
      </c>
      <c r="D1933" s="3" t="s">
        <v>7198</v>
      </c>
      <c r="E1933" s="3" t="s">
        <v>7201</v>
      </c>
      <c r="J1933" s="9" t="s">
        <v>24</v>
      </c>
      <c r="L1933" s="9">
        <v>1</v>
      </c>
      <c r="M1933" s="9">
        <v>3</v>
      </c>
      <c r="N1933" s="9" t="s">
        <v>12078</v>
      </c>
      <c r="O1933" s="9" t="s">
        <v>12079</v>
      </c>
      <c r="Q1933" s="10"/>
      <c r="S1933" s="9">
        <v>11843</v>
      </c>
      <c r="U1933" s="9" t="str">
        <f t="shared" ref="U1933:U1996" ca="1" si="82">IF(ISNUMBER(T1933),VALUE(MID(_xlfn.FORMULATEXT(T1933),SEARCH("-",_xlfn.FORMULATEXT(T1933))+1,LEN(_xlfn.FORMULATEXT(T1933))-SEARCH("-",_xlfn.FORMULATEXT(T1933)))), "")</f>
        <v/>
      </c>
      <c r="V1933" s="9" t="str">
        <f t="shared" ref="V1933:V1996" ca="1" si="83">IF(ISNUMBER(T1933), VALUE(MID(_xlfn.FORMULATEXT(T1933), 2, SEARCH("-", _xlfn.FORMULATEXT(T1933)) - 2)), "")</f>
        <v/>
      </c>
      <c r="AG1933" s="9" t="s">
        <v>19</v>
      </c>
    </row>
    <row r="1934" spans="1:33">
      <c r="A1934" s="3" t="s">
        <v>2169</v>
      </c>
      <c r="D1934" s="3" t="s">
        <v>1350</v>
      </c>
      <c r="E1934" s="3" t="s">
        <v>1707</v>
      </c>
      <c r="J1934" s="9" t="s">
        <v>12120</v>
      </c>
      <c r="Q1934" s="10"/>
      <c r="U1934" s="9" t="str">
        <f t="shared" ca="1" si="82"/>
        <v/>
      </c>
      <c r="V1934" s="9" t="str">
        <f t="shared" ca="1" si="83"/>
        <v/>
      </c>
      <c r="AE1934" s="9" t="s">
        <v>12077</v>
      </c>
    </row>
    <row r="1935" spans="1:33">
      <c r="A1935" s="3" t="s">
        <v>2170</v>
      </c>
      <c r="D1935" s="3" t="s">
        <v>2171</v>
      </c>
      <c r="E1935" s="3" t="s">
        <v>2172</v>
      </c>
      <c r="F1935" t="s">
        <v>17</v>
      </c>
      <c r="Q1935" s="10"/>
      <c r="U1935" s="9" t="str">
        <f t="shared" ca="1" si="82"/>
        <v/>
      </c>
      <c r="V1935" s="9" t="str">
        <f t="shared" ca="1" si="83"/>
        <v/>
      </c>
    </row>
    <row r="1936" spans="1:33">
      <c r="A1936" s="3" t="s">
        <v>2170</v>
      </c>
      <c r="D1936" s="3" t="s">
        <v>7202</v>
      </c>
      <c r="E1936" s="3" t="s">
        <v>7203</v>
      </c>
      <c r="J1936" s="9" t="s">
        <v>12120</v>
      </c>
      <c r="Q1936" s="10"/>
      <c r="U1936" s="9" t="str">
        <f t="shared" ca="1" si="82"/>
        <v/>
      </c>
      <c r="V1936" s="9" t="str">
        <f t="shared" ca="1" si="83"/>
        <v/>
      </c>
      <c r="AE1936" s="9" t="s">
        <v>12089</v>
      </c>
    </row>
    <row r="1937" spans="1:33">
      <c r="A1937" s="3" t="s">
        <v>2170</v>
      </c>
      <c r="D1937" s="3" t="s">
        <v>2173</v>
      </c>
      <c r="E1937" s="3" t="s">
        <v>2174</v>
      </c>
      <c r="J1937" s="9" t="s">
        <v>12118</v>
      </c>
      <c r="Q1937" s="10"/>
      <c r="T1937" s="9" t="s">
        <v>12131</v>
      </c>
      <c r="U1937" s="9" t="str">
        <f t="shared" ca="1" si="82"/>
        <v/>
      </c>
      <c r="V1937" s="9" t="str">
        <f t="shared" ca="1" si="83"/>
        <v/>
      </c>
      <c r="AC1937" s="9" t="s">
        <v>12134</v>
      </c>
      <c r="AD1937" s="9" t="s">
        <v>19</v>
      </c>
      <c r="AE1937" s="9" t="s">
        <v>12086</v>
      </c>
    </row>
    <row r="1938" spans="1:33">
      <c r="A1938" s="3" t="s">
        <v>2175</v>
      </c>
      <c r="D1938" s="3" t="s">
        <v>7205</v>
      </c>
      <c r="E1938" s="3" t="s">
        <v>7204</v>
      </c>
      <c r="J1938" s="9" t="s">
        <v>24</v>
      </c>
      <c r="L1938" s="9">
        <v>1</v>
      </c>
      <c r="M1938" s="9">
        <v>3</v>
      </c>
      <c r="N1938" s="9" t="s">
        <v>12078</v>
      </c>
      <c r="O1938" s="9" t="s">
        <v>12079</v>
      </c>
      <c r="Q1938" s="10"/>
      <c r="S1938" s="9">
        <v>11843</v>
      </c>
      <c r="U1938" s="9" t="str">
        <f t="shared" ca="1" si="82"/>
        <v/>
      </c>
      <c r="V1938" s="9" t="str">
        <f t="shared" ca="1" si="83"/>
        <v/>
      </c>
      <c r="AG1938" s="9" t="s">
        <v>19</v>
      </c>
    </row>
    <row r="1939" spans="1:33">
      <c r="A1939" s="3" t="s">
        <v>2176</v>
      </c>
      <c r="D1939" s="3" t="s">
        <v>2177</v>
      </c>
      <c r="E1939" s="3" t="s">
        <v>2178</v>
      </c>
      <c r="J1939" s="9" t="s">
        <v>12120</v>
      </c>
      <c r="Q1939" s="10"/>
      <c r="U1939" s="9" t="str">
        <f t="shared" ca="1" si="82"/>
        <v/>
      </c>
      <c r="V1939" s="9" t="str">
        <f t="shared" ca="1" si="83"/>
        <v/>
      </c>
      <c r="AG1939" s="9" t="s">
        <v>20</v>
      </c>
    </row>
    <row r="1940" spans="1:33">
      <c r="A1940" s="3" t="s">
        <v>2179</v>
      </c>
      <c r="D1940" s="3" t="s">
        <v>7206</v>
      </c>
      <c r="E1940" s="3" t="s">
        <v>7207</v>
      </c>
      <c r="G1940" t="s">
        <v>19</v>
      </c>
      <c r="J1940" s="9" t="s">
        <v>24</v>
      </c>
      <c r="L1940" s="9">
        <v>1</v>
      </c>
      <c r="M1940" s="9">
        <v>2</v>
      </c>
      <c r="N1940" s="9" t="s">
        <v>12096</v>
      </c>
      <c r="O1940" s="9" t="s">
        <v>12119</v>
      </c>
      <c r="Q1940" s="10"/>
      <c r="S1940" s="9">
        <v>1294</v>
      </c>
      <c r="U1940" s="9" t="str">
        <f t="shared" ca="1" si="82"/>
        <v/>
      </c>
      <c r="V1940" s="9" t="str">
        <f t="shared" ca="1" si="83"/>
        <v/>
      </c>
    </row>
    <row r="1941" spans="1:33">
      <c r="A1941" s="3" t="s">
        <v>2179</v>
      </c>
      <c r="D1941" s="3" t="s">
        <v>7208</v>
      </c>
      <c r="E1941" s="3" t="s">
        <v>7209</v>
      </c>
      <c r="J1941" s="9" t="s">
        <v>12118</v>
      </c>
      <c r="Q1941" s="10"/>
      <c r="T1941" s="9">
        <f>160-4240</f>
        <v>-4080</v>
      </c>
      <c r="U1941" s="9">
        <f t="shared" ca="1" si="82"/>
        <v>4240</v>
      </c>
      <c r="V1941" s="9">
        <f t="shared" ca="1" si="83"/>
        <v>160</v>
      </c>
      <c r="AG1941" s="9" t="s">
        <v>19</v>
      </c>
    </row>
    <row r="1942" spans="1:33">
      <c r="A1942" s="3" t="s">
        <v>2180</v>
      </c>
      <c r="D1942" s="3" t="s">
        <v>778</v>
      </c>
      <c r="E1942" s="3" t="s">
        <v>1741</v>
      </c>
      <c r="J1942" s="9" t="s">
        <v>12120</v>
      </c>
      <c r="Q1942" s="10"/>
      <c r="U1942" s="9" t="str">
        <f t="shared" ca="1" si="82"/>
        <v/>
      </c>
      <c r="V1942" s="9" t="str">
        <f t="shared" ca="1" si="83"/>
        <v/>
      </c>
      <c r="AG1942" s="9" t="s">
        <v>19</v>
      </c>
    </row>
    <row r="1943" spans="1:33">
      <c r="A1943" s="3" t="s">
        <v>2181</v>
      </c>
      <c r="D1943" s="3" t="s">
        <v>7210</v>
      </c>
      <c r="E1943" s="3" t="s">
        <v>7211</v>
      </c>
      <c r="G1943" t="s">
        <v>19</v>
      </c>
      <c r="J1943" s="9" t="s">
        <v>12118</v>
      </c>
      <c r="Q1943" s="10"/>
      <c r="T1943" s="9">
        <f>1966-166</f>
        <v>1800</v>
      </c>
      <c r="U1943" s="9">
        <f t="shared" ca="1" si="82"/>
        <v>166</v>
      </c>
      <c r="V1943" s="9">
        <f t="shared" ca="1" si="83"/>
        <v>1966</v>
      </c>
    </row>
    <row r="1944" spans="1:33" ht="29">
      <c r="A1944" s="3" t="s">
        <v>2182</v>
      </c>
      <c r="D1944" s="3" t="s">
        <v>7212</v>
      </c>
      <c r="E1944" s="3" t="s">
        <v>7213</v>
      </c>
      <c r="J1944" s="9" t="s">
        <v>12120</v>
      </c>
      <c r="Q1944" s="10"/>
      <c r="U1944" s="9" t="str">
        <f t="shared" ca="1" si="82"/>
        <v/>
      </c>
      <c r="V1944" s="9" t="str">
        <f t="shared" ca="1" si="83"/>
        <v/>
      </c>
      <c r="AG1944" s="9" t="s">
        <v>19</v>
      </c>
    </row>
    <row r="1945" spans="1:33" ht="29">
      <c r="A1945" s="3" t="s">
        <v>2183</v>
      </c>
      <c r="D1945" s="3" t="s">
        <v>7215</v>
      </c>
      <c r="E1945" s="3" t="s">
        <v>7214</v>
      </c>
      <c r="J1945" s="9" t="s">
        <v>25</v>
      </c>
      <c r="L1945" s="9">
        <v>2</v>
      </c>
      <c r="M1945" s="9">
        <v>5</v>
      </c>
      <c r="O1945" s="9" t="s">
        <v>12079</v>
      </c>
      <c r="Q1945" s="10"/>
      <c r="S1945" s="9">
        <v>1966</v>
      </c>
      <c r="U1945" s="9" t="str">
        <f t="shared" ca="1" si="82"/>
        <v/>
      </c>
      <c r="V1945" s="9" t="str">
        <f t="shared" ca="1" si="83"/>
        <v/>
      </c>
      <c r="AG1945" s="9" t="s">
        <v>13141</v>
      </c>
    </row>
    <row r="1946" spans="1:33" ht="29">
      <c r="A1946" s="3" t="s">
        <v>2183</v>
      </c>
      <c r="D1946" s="3" t="s">
        <v>7216</v>
      </c>
      <c r="E1946" s="3" t="s">
        <v>7217</v>
      </c>
      <c r="J1946" s="9" t="s">
        <v>24</v>
      </c>
      <c r="L1946" s="9">
        <v>1</v>
      </c>
      <c r="M1946" s="9">
        <v>3</v>
      </c>
      <c r="N1946" s="9" t="s">
        <v>12087</v>
      </c>
      <c r="O1946" s="9" t="s">
        <v>12073</v>
      </c>
      <c r="P1946" s="9" t="s">
        <v>12142</v>
      </c>
      <c r="Q1946" s="10" t="s">
        <v>12143</v>
      </c>
      <c r="R1946" s="9" t="s">
        <v>12074</v>
      </c>
      <c r="S1946" s="9">
        <v>309</v>
      </c>
      <c r="U1946" s="9" t="str">
        <f t="shared" ca="1" si="82"/>
        <v/>
      </c>
      <c r="V1946" s="9" t="str">
        <f t="shared" ca="1" si="83"/>
        <v/>
      </c>
      <c r="AE1946" s="9" t="s">
        <v>12083</v>
      </c>
    </row>
    <row r="1947" spans="1:33" ht="29">
      <c r="A1947" s="3" t="s">
        <v>2183</v>
      </c>
      <c r="D1947" s="3" t="s">
        <v>7218</v>
      </c>
      <c r="E1947" s="3" t="s">
        <v>7219</v>
      </c>
      <c r="J1947" s="9" t="s">
        <v>12120</v>
      </c>
      <c r="Q1947" s="10"/>
      <c r="U1947" s="9" t="str">
        <f t="shared" ca="1" si="82"/>
        <v/>
      </c>
      <c r="V1947" s="9" t="str">
        <f t="shared" ca="1" si="83"/>
        <v/>
      </c>
      <c r="AG1947" s="9" t="s">
        <v>19</v>
      </c>
    </row>
    <row r="1948" spans="1:33">
      <c r="A1948" s="3" t="s">
        <v>2185</v>
      </c>
      <c r="D1948" s="3" t="s">
        <v>1383</v>
      </c>
      <c r="E1948" s="3" t="s">
        <v>634</v>
      </c>
      <c r="J1948" s="9" t="s">
        <v>12118</v>
      </c>
      <c r="Q1948" s="10"/>
      <c r="T1948" s="9" t="s">
        <v>12131</v>
      </c>
      <c r="U1948" s="9" t="str">
        <f t="shared" ca="1" si="82"/>
        <v/>
      </c>
      <c r="V1948" s="9" t="str">
        <f t="shared" ca="1" si="83"/>
        <v/>
      </c>
      <c r="AB1948" s="9" t="s">
        <v>12124</v>
      </c>
      <c r="AC1948" s="9" t="s">
        <v>12740</v>
      </c>
      <c r="AD1948" s="9" t="s">
        <v>19</v>
      </c>
    </row>
    <row r="1949" spans="1:33">
      <c r="A1949" s="3" t="s">
        <v>2186</v>
      </c>
      <c r="D1949" s="3" t="s">
        <v>7220</v>
      </c>
      <c r="E1949" s="3" t="s">
        <v>7221</v>
      </c>
      <c r="J1949" s="9" t="s">
        <v>25</v>
      </c>
      <c r="L1949" s="9">
        <v>1</v>
      </c>
      <c r="M1949" s="9">
        <v>2</v>
      </c>
      <c r="N1949" s="9" t="s">
        <v>12078</v>
      </c>
      <c r="O1949" s="9" t="s">
        <v>12119</v>
      </c>
      <c r="Q1949" s="10"/>
      <c r="S1949" s="9">
        <v>11843</v>
      </c>
      <c r="U1949" s="9" t="str">
        <f t="shared" ca="1" si="82"/>
        <v/>
      </c>
      <c r="V1949" s="9" t="str">
        <f t="shared" ca="1" si="83"/>
        <v/>
      </c>
      <c r="AG1949" s="9" t="s">
        <v>20</v>
      </c>
    </row>
    <row r="1950" spans="1:33">
      <c r="A1950" s="3" t="s">
        <v>2186</v>
      </c>
      <c r="D1950" s="3" t="s">
        <v>2187</v>
      </c>
      <c r="E1950" s="3" t="s">
        <v>2188</v>
      </c>
      <c r="J1950" s="9" t="s">
        <v>12118</v>
      </c>
      <c r="Q1950" s="10"/>
      <c r="T1950" s="9">
        <f>0-2</f>
        <v>-2</v>
      </c>
      <c r="U1950" s="9">
        <f t="shared" ca="1" si="82"/>
        <v>2</v>
      </c>
      <c r="V1950" s="9">
        <f t="shared" ca="1" si="83"/>
        <v>0</v>
      </c>
      <c r="AC1950" s="9" t="s">
        <v>12742</v>
      </c>
      <c r="AD1950" s="9" t="s">
        <v>19</v>
      </c>
      <c r="AE1950" s="9" t="s">
        <v>12077</v>
      </c>
    </row>
    <row r="1951" spans="1:33">
      <c r="A1951" s="3" t="s">
        <v>2189</v>
      </c>
      <c r="D1951" s="3" t="s">
        <v>2190</v>
      </c>
      <c r="E1951" s="3" t="s">
        <v>2191</v>
      </c>
      <c r="J1951" s="9" t="s">
        <v>12118</v>
      </c>
      <c r="Q1951" s="10"/>
      <c r="T1951" s="9" t="s">
        <v>12131</v>
      </c>
      <c r="U1951" s="9" t="str">
        <f t="shared" ca="1" si="82"/>
        <v/>
      </c>
      <c r="V1951" s="9" t="str">
        <f t="shared" ca="1" si="83"/>
        <v/>
      </c>
      <c r="AB1951" s="9" t="s">
        <v>12124</v>
      </c>
      <c r="AC1951" s="9" t="s">
        <v>12130</v>
      </c>
      <c r="AD1951" s="9" t="s">
        <v>19</v>
      </c>
    </row>
    <row r="1952" spans="1:33">
      <c r="A1952" s="3" t="s">
        <v>2192</v>
      </c>
      <c r="D1952" s="3" t="s">
        <v>738</v>
      </c>
      <c r="E1952" s="3" t="s">
        <v>737</v>
      </c>
      <c r="J1952" s="9" t="s">
        <v>12118</v>
      </c>
      <c r="Q1952" s="10"/>
      <c r="T1952" s="9" t="s">
        <v>12131</v>
      </c>
      <c r="U1952" s="9" t="str">
        <f t="shared" ca="1" si="82"/>
        <v/>
      </c>
      <c r="V1952" s="9" t="str">
        <f t="shared" ca="1" si="83"/>
        <v/>
      </c>
      <c r="AB1952" s="9" t="s">
        <v>12124</v>
      </c>
      <c r="AC1952" s="9" t="s">
        <v>12740</v>
      </c>
      <c r="AD1952" s="9" t="s">
        <v>19</v>
      </c>
    </row>
    <row r="1953" spans="1:33" ht="29">
      <c r="A1953" s="3" t="s">
        <v>2193</v>
      </c>
      <c r="D1953" s="3" t="s">
        <v>7222</v>
      </c>
      <c r="E1953" s="3" t="s">
        <v>7223</v>
      </c>
      <c r="J1953" s="9" t="s">
        <v>25</v>
      </c>
      <c r="L1953" s="9">
        <v>1</v>
      </c>
      <c r="M1953" s="9">
        <v>3</v>
      </c>
      <c r="N1953" s="9" t="s">
        <v>12087</v>
      </c>
      <c r="O1953" s="9" t="s">
        <v>12073</v>
      </c>
      <c r="P1953" s="9" t="s">
        <v>12142</v>
      </c>
      <c r="Q1953" s="10" t="s">
        <v>12143</v>
      </c>
      <c r="R1953" s="9" t="s">
        <v>12074</v>
      </c>
      <c r="S1953" s="9">
        <v>5676</v>
      </c>
      <c r="U1953" s="9" t="str">
        <f t="shared" ca="1" si="82"/>
        <v/>
      </c>
      <c r="V1953" s="9" t="str">
        <f t="shared" ca="1" si="83"/>
        <v/>
      </c>
      <c r="AE1953" s="9" t="s">
        <v>12089</v>
      </c>
    </row>
    <row r="1954" spans="1:33">
      <c r="A1954" s="3" t="s">
        <v>2194</v>
      </c>
      <c r="D1954" s="3" t="s">
        <v>2195</v>
      </c>
      <c r="E1954" s="3" t="s">
        <v>2196</v>
      </c>
      <c r="J1954" s="9" t="s">
        <v>12120</v>
      </c>
      <c r="Q1954" s="10"/>
      <c r="U1954" s="9" t="str">
        <f t="shared" ca="1" si="82"/>
        <v/>
      </c>
      <c r="V1954" s="9" t="str">
        <f t="shared" ca="1" si="83"/>
        <v/>
      </c>
      <c r="AC1954" s="9" t="s">
        <v>12740</v>
      </c>
      <c r="AD1954" s="9" t="s">
        <v>19</v>
      </c>
      <c r="AE1954" s="9" t="s">
        <v>12077</v>
      </c>
    </row>
    <row r="1955" spans="1:33">
      <c r="A1955" s="3" t="s">
        <v>2197</v>
      </c>
      <c r="D1955" s="3" t="s">
        <v>2198</v>
      </c>
      <c r="E1955" s="3" t="s">
        <v>2199</v>
      </c>
      <c r="J1955" s="9" t="s">
        <v>12118</v>
      </c>
      <c r="Q1955" s="10"/>
      <c r="T1955" s="9" t="s">
        <v>12131</v>
      </c>
      <c r="U1955" s="9" t="str">
        <f t="shared" ca="1" si="82"/>
        <v/>
      </c>
      <c r="V1955" s="9" t="str">
        <f t="shared" ca="1" si="83"/>
        <v/>
      </c>
      <c r="AC1955" s="9" t="s">
        <v>12130</v>
      </c>
      <c r="AD1955" s="9" t="s">
        <v>19</v>
      </c>
      <c r="AE1955" s="9" t="s">
        <v>12086</v>
      </c>
    </row>
    <row r="1956" spans="1:33">
      <c r="A1956" s="3" t="s">
        <v>13030</v>
      </c>
      <c r="D1956" s="3" t="s">
        <v>2200</v>
      </c>
      <c r="E1956" s="3" t="s">
        <v>62</v>
      </c>
      <c r="I1956" t="s">
        <v>7224</v>
      </c>
      <c r="J1956" s="9" t="s">
        <v>12118</v>
      </c>
      <c r="Q1956" s="10"/>
      <c r="T1956" s="9" t="s">
        <v>12131</v>
      </c>
      <c r="U1956" s="9" t="str">
        <f t="shared" ca="1" si="82"/>
        <v/>
      </c>
      <c r="V1956" s="9" t="str">
        <f t="shared" ca="1" si="83"/>
        <v/>
      </c>
      <c r="AB1956" s="9" t="s">
        <v>12124</v>
      </c>
      <c r="AD1956" s="9" t="s">
        <v>19</v>
      </c>
    </row>
    <row r="1957" spans="1:33">
      <c r="A1957" s="3" t="s">
        <v>2201</v>
      </c>
      <c r="D1957" s="3" t="s">
        <v>2202</v>
      </c>
      <c r="E1957" s="3" t="s">
        <v>50</v>
      </c>
      <c r="G1957" t="s">
        <v>19</v>
      </c>
      <c r="J1957" s="9" t="s">
        <v>12118</v>
      </c>
      <c r="Q1957" s="10"/>
      <c r="T1957" s="9" t="s">
        <v>12131</v>
      </c>
      <c r="U1957" s="9" t="str">
        <f t="shared" ca="1" si="82"/>
        <v/>
      </c>
      <c r="V1957" s="9" t="str">
        <f t="shared" ca="1" si="83"/>
        <v/>
      </c>
      <c r="AB1957" s="9" t="s">
        <v>12124</v>
      </c>
      <c r="AD1957" s="9" t="s">
        <v>19</v>
      </c>
    </row>
    <row r="1958" spans="1:33">
      <c r="A1958" s="3" t="s">
        <v>2203</v>
      </c>
      <c r="D1958" s="3" t="s">
        <v>1850</v>
      </c>
      <c r="E1958" s="3" t="s">
        <v>41</v>
      </c>
      <c r="G1958" t="s">
        <v>19</v>
      </c>
      <c r="J1958" s="9" t="s">
        <v>12118</v>
      </c>
      <c r="Q1958" s="10"/>
      <c r="T1958" s="9" t="s">
        <v>12131</v>
      </c>
      <c r="U1958" s="9" t="str">
        <f t="shared" ca="1" si="82"/>
        <v/>
      </c>
      <c r="V1958" s="9" t="str">
        <f t="shared" ca="1" si="83"/>
        <v/>
      </c>
      <c r="AB1958" s="9" t="s">
        <v>12124</v>
      </c>
      <c r="AD1958" s="9" t="s">
        <v>19</v>
      </c>
    </row>
    <row r="1959" spans="1:33">
      <c r="A1959" s="3" t="s">
        <v>2204</v>
      </c>
      <c r="D1959" s="3" t="s">
        <v>2205</v>
      </c>
      <c r="E1959" s="3" t="s">
        <v>2206</v>
      </c>
      <c r="J1959" s="9" t="s">
        <v>12118</v>
      </c>
      <c r="Q1959" s="10"/>
      <c r="T1959" s="9" t="s">
        <v>12131</v>
      </c>
      <c r="U1959" s="9" t="str">
        <f t="shared" ca="1" si="82"/>
        <v/>
      </c>
      <c r="V1959" s="9" t="str">
        <f t="shared" ca="1" si="83"/>
        <v/>
      </c>
      <c r="AB1959" s="9" t="s">
        <v>12124</v>
      </c>
      <c r="AD1959" s="9" t="s">
        <v>19</v>
      </c>
    </row>
    <row r="1960" spans="1:33">
      <c r="A1960" s="3" t="s">
        <v>2207</v>
      </c>
      <c r="D1960" s="3" t="s">
        <v>2208</v>
      </c>
      <c r="E1960" s="3" t="s">
        <v>7225</v>
      </c>
      <c r="J1960" s="9" t="s">
        <v>12120</v>
      </c>
      <c r="Q1960" s="10"/>
      <c r="U1960" s="9" t="str">
        <f t="shared" ca="1" si="82"/>
        <v/>
      </c>
      <c r="V1960" s="9" t="str">
        <f t="shared" ca="1" si="83"/>
        <v/>
      </c>
      <c r="AE1960" s="9" t="s">
        <v>12086</v>
      </c>
    </row>
    <row r="1961" spans="1:33">
      <c r="A1961" s="3" t="s">
        <v>2209</v>
      </c>
      <c r="D1961" s="3" t="s">
        <v>7226</v>
      </c>
      <c r="E1961" s="3" t="s">
        <v>6698</v>
      </c>
      <c r="I1961" t="s">
        <v>12671</v>
      </c>
      <c r="J1961" s="9" t="s">
        <v>25</v>
      </c>
      <c r="L1961" s="9">
        <v>1</v>
      </c>
      <c r="M1961" s="9">
        <v>1</v>
      </c>
      <c r="N1961" s="9" t="s">
        <v>12078</v>
      </c>
      <c r="O1961" s="9" t="s">
        <v>12119</v>
      </c>
      <c r="Q1961" s="10"/>
      <c r="S1961" s="9">
        <v>11843</v>
      </c>
      <c r="U1961" s="9" t="str">
        <f t="shared" ca="1" si="82"/>
        <v/>
      </c>
      <c r="V1961" s="9" t="str">
        <f t="shared" ca="1" si="83"/>
        <v/>
      </c>
      <c r="W1961" s="9" t="s">
        <v>12117</v>
      </c>
      <c r="AG1961" s="9" t="s">
        <v>19</v>
      </c>
    </row>
    <row r="1962" spans="1:33">
      <c r="A1962" s="3" t="s">
        <v>2209</v>
      </c>
      <c r="D1962" s="3" t="s">
        <v>7228</v>
      </c>
      <c r="E1962" s="3" t="s">
        <v>7227</v>
      </c>
      <c r="I1962" t="s">
        <v>12671</v>
      </c>
      <c r="J1962" s="9" t="s">
        <v>24</v>
      </c>
      <c r="L1962" s="9">
        <v>1</v>
      </c>
      <c r="M1962" s="9">
        <v>3</v>
      </c>
      <c r="N1962" s="9" t="s">
        <v>12087</v>
      </c>
      <c r="O1962" s="9" t="s">
        <v>12079</v>
      </c>
      <c r="Q1962" s="10"/>
      <c r="S1962" s="9">
        <v>810</v>
      </c>
      <c r="U1962" s="9" t="str">
        <f t="shared" ca="1" si="82"/>
        <v/>
      </c>
      <c r="V1962" s="9" t="str">
        <f t="shared" ca="1" si="83"/>
        <v/>
      </c>
      <c r="W1962" s="9" t="s">
        <v>12117</v>
      </c>
      <c r="AG1962" s="9" t="s">
        <v>19</v>
      </c>
    </row>
    <row r="1963" spans="1:33">
      <c r="A1963" s="3" t="s">
        <v>2210</v>
      </c>
      <c r="D1963" s="3" t="s">
        <v>7229</v>
      </c>
      <c r="E1963" s="3" t="s">
        <v>7230</v>
      </c>
      <c r="G1963" t="s">
        <v>19</v>
      </c>
      <c r="J1963" s="9" t="s">
        <v>12120</v>
      </c>
      <c r="Q1963" s="10"/>
      <c r="U1963" s="9" t="str">
        <f t="shared" ca="1" si="82"/>
        <v/>
      </c>
      <c r="V1963" s="9" t="str">
        <f t="shared" ca="1" si="83"/>
        <v/>
      </c>
      <c r="AE1963" s="9" t="s">
        <v>12089</v>
      </c>
    </row>
    <row r="1964" spans="1:33">
      <c r="A1964" s="3" t="s">
        <v>2211</v>
      </c>
      <c r="D1964" s="3" t="s">
        <v>2212</v>
      </c>
      <c r="E1964" s="3" t="s">
        <v>2213</v>
      </c>
      <c r="H1964" t="s">
        <v>19</v>
      </c>
      <c r="J1964" s="9" t="s">
        <v>12120</v>
      </c>
      <c r="Q1964" s="10"/>
      <c r="U1964" s="9" t="str">
        <f t="shared" ca="1" si="82"/>
        <v/>
      </c>
      <c r="V1964" s="9" t="str">
        <f t="shared" ca="1" si="83"/>
        <v/>
      </c>
      <c r="AG1964" s="9" t="s">
        <v>20</v>
      </c>
    </row>
    <row r="1965" spans="1:33">
      <c r="A1965" s="3" t="s">
        <v>2211</v>
      </c>
      <c r="D1965" s="3" t="s">
        <v>7231</v>
      </c>
      <c r="E1965" s="3" t="s">
        <v>7232</v>
      </c>
      <c r="J1965" s="9" t="s">
        <v>12120</v>
      </c>
      <c r="Q1965" s="10"/>
      <c r="U1965" s="9" t="str">
        <f t="shared" ca="1" si="82"/>
        <v/>
      </c>
      <c r="V1965" s="9" t="str">
        <f t="shared" ca="1" si="83"/>
        <v/>
      </c>
      <c r="AG1965" s="9" t="s">
        <v>19</v>
      </c>
    </row>
    <row r="1966" spans="1:33">
      <c r="A1966" s="3" t="s">
        <v>2214</v>
      </c>
      <c r="D1966" s="3" t="s">
        <v>1350</v>
      </c>
      <c r="E1966" s="3" t="s">
        <v>1707</v>
      </c>
      <c r="J1966" s="9" t="s">
        <v>12120</v>
      </c>
      <c r="Q1966" s="10"/>
      <c r="U1966" s="9" t="str">
        <f t="shared" ca="1" si="82"/>
        <v/>
      </c>
      <c r="V1966" s="9" t="str">
        <f t="shared" ca="1" si="83"/>
        <v/>
      </c>
      <c r="AE1966" s="9" t="s">
        <v>12077</v>
      </c>
    </row>
    <row r="1967" spans="1:33">
      <c r="A1967" s="3" t="s">
        <v>2215</v>
      </c>
      <c r="D1967" s="3" t="s">
        <v>7233</v>
      </c>
      <c r="E1967" s="3" t="s">
        <v>13031</v>
      </c>
      <c r="G1967" t="s">
        <v>19</v>
      </c>
      <c r="I1967" t="s">
        <v>12672</v>
      </c>
      <c r="J1967" s="9" t="s">
        <v>12118</v>
      </c>
      <c r="Q1967" s="10"/>
      <c r="T1967" s="9">
        <f>11843-930</f>
        <v>10913</v>
      </c>
      <c r="U1967" s="9">
        <f t="shared" ca="1" si="82"/>
        <v>930</v>
      </c>
      <c r="V1967" s="9">
        <f t="shared" ca="1" si="83"/>
        <v>11843</v>
      </c>
      <c r="W1967" s="9" t="s">
        <v>4</v>
      </c>
    </row>
    <row r="1968" spans="1:33">
      <c r="A1968" s="3" t="s">
        <v>2216</v>
      </c>
      <c r="D1968" s="3" t="s">
        <v>2217</v>
      </c>
      <c r="E1968" s="3" t="s">
        <v>2218</v>
      </c>
      <c r="G1968" t="s">
        <v>21</v>
      </c>
      <c r="I1968" t="s">
        <v>7234</v>
      </c>
      <c r="J1968" s="9" t="s">
        <v>12120</v>
      </c>
      <c r="Q1968" s="10"/>
      <c r="U1968" s="9" t="str">
        <f t="shared" ca="1" si="82"/>
        <v/>
      </c>
      <c r="V1968" s="9" t="str">
        <f t="shared" ca="1" si="83"/>
        <v/>
      </c>
      <c r="AE1968" s="9" t="s">
        <v>12086</v>
      </c>
    </row>
    <row r="1969" spans="1:33">
      <c r="A1969" s="3" t="s">
        <v>2219</v>
      </c>
      <c r="D1969" s="3" t="s">
        <v>7235</v>
      </c>
      <c r="E1969" s="3" t="s">
        <v>7236</v>
      </c>
      <c r="J1969" s="9" t="s">
        <v>24</v>
      </c>
      <c r="L1969" s="9">
        <v>1</v>
      </c>
      <c r="M1969" s="9">
        <v>3</v>
      </c>
      <c r="N1969" s="9" t="s">
        <v>12078</v>
      </c>
      <c r="O1969" s="9" t="s">
        <v>12079</v>
      </c>
      <c r="Q1969" s="10"/>
      <c r="S1969" s="9">
        <v>11843</v>
      </c>
      <c r="U1969" s="9" t="str">
        <f t="shared" ca="1" si="82"/>
        <v/>
      </c>
      <c r="V1969" s="9" t="str">
        <f t="shared" ca="1" si="83"/>
        <v/>
      </c>
      <c r="AG1969" s="9" t="s">
        <v>19</v>
      </c>
    </row>
    <row r="1970" spans="1:33">
      <c r="A1970" s="3" t="s">
        <v>2219</v>
      </c>
      <c r="D1970" s="6" t="s">
        <v>7237</v>
      </c>
      <c r="E1970" s="3" t="s">
        <v>7238</v>
      </c>
      <c r="G1970" t="s">
        <v>20</v>
      </c>
      <c r="I1970" t="s">
        <v>6670</v>
      </c>
      <c r="Q1970" s="10"/>
      <c r="U1970" s="9" t="str">
        <f t="shared" ca="1" si="82"/>
        <v/>
      </c>
      <c r="V1970" s="9" t="str">
        <f t="shared" ca="1" si="83"/>
        <v/>
      </c>
      <c r="AF1970" s="9" t="s">
        <v>19</v>
      </c>
    </row>
    <row r="1971" spans="1:33" ht="29">
      <c r="A1971" s="3" t="s">
        <v>2219</v>
      </c>
      <c r="D1971" s="3" t="s">
        <v>12359</v>
      </c>
      <c r="E1971" s="3" t="s">
        <v>12360</v>
      </c>
      <c r="F1971" t="s">
        <v>11</v>
      </c>
      <c r="G1971" t="s">
        <v>19</v>
      </c>
      <c r="J1971" s="9" t="s">
        <v>24</v>
      </c>
      <c r="L1971" s="9">
        <v>2</v>
      </c>
      <c r="M1971" s="9">
        <v>19</v>
      </c>
      <c r="O1971" s="9" t="s">
        <v>12079</v>
      </c>
      <c r="Q1971" s="10"/>
      <c r="S1971" s="9">
        <v>6</v>
      </c>
      <c r="U1971" s="9" t="str">
        <f t="shared" ca="1" si="82"/>
        <v/>
      </c>
      <c r="V1971" s="9" t="str">
        <f t="shared" ca="1" si="83"/>
        <v/>
      </c>
    </row>
    <row r="1972" spans="1:33">
      <c r="A1972" s="3" t="s">
        <v>2220</v>
      </c>
      <c r="D1972" s="3" t="s">
        <v>7239</v>
      </c>
      <c r="E1972" s="3" t="s">
        <v>7240</v>
      </c>
      <c r="G1972" t="s">
        <v>19</v>
      </c>
      <c r="J1972" s="9" t="s">
        <v>12118</v>
      </c>
      <c r="Q1972" s="10"/>
      <c r="T1972" s="9">
        <f>1-1</f>
        <v>0</v>
      </c>
      <c r="U1972" s="9">
        <f t="shared" ca="1" si="82"/>
        <v>1</v>
      </c>
      <c r="V1972" s="9">
        <f t="shared" ca="1" si="83"/>
        <v>1</v>
      </c>
    </row>
    <row r="1973" spans="1:33">
      <c r="A1973" s="3" t="s">
        <v>2221</v>
      </c>
      <c r="D1973" s="3" t="s">
        <v>7241</v>
      </c>
      <c r="E1973" s="3" t="s">
        <v>13032</v>
      </c>
      <c r="J1973" s="9" t="s">
        <v>12120</v>
      </c>
      <c r="Q1973" s="10"/>
      <c r="U1973" s="9" t="str">
        <f t="shared" ca="1" si="82"/>
        <v/>
      </c>
      <c r="V1973" s="9" t="str">
        <f t="shared" ca="1" si="83"/>
        <v/>
      </c>
      <c r="AG1973" s="9" t="s">
        <v>20</v>
      </c>
    </row>
    <row r="1974" spans="1:33">
      <c r="A1974" s="3" t="s">
        <v>2221</v>
      </c>
      <c r="D1974" s="3" t="s">
        <v>2222</v>
      </c>
      <c r="E1974" s="3" t="s">
        <v>2223</v>
      </c>
      <c r="J1974" s="9" t="s">
        <v>12120</v>
      </c>
      <c r="Q1974" s="10"/>
      <c r="U1974" s="9" t="str">
        <f t="shared" ca="1" si="82"/>
        <v/>
      </c>
      <c r="V1974" s="9" t="str">
        <f t="shared" ca="1" si="83"/>
        <v/>
      </c>
      <c r="AC1974" s="9" t="s">
        <v>12739</v>
      </c>
      <c r="AD1974" s="9" t="s">
        <v>19</v>
      </c>
    </row>
    <row r="1975" spans="1:33">
      <c r="A1975" s="3" t="s">
        <v>2221</v>
      </c>
      <c r="D1975" s="3" t="s">
        <v>2224</v>
      </c>
      <c r="E1975" s="3" t="s">
        <v>2225</v>
      </c>
      <c r="J1975" s="9" t="s">
        <v>12118</v>
      </c>
      <c r="Q1975" s="10"/>
      <c r="T1975" s="9" t="s">
        <v>12131</v>
      </c>
      <c r="U1975" s="9" t="str">
        <f t="shared" ca="1" si="82"/>
        <v/>
      </c>
      <c r="V1975" s="9" t="str">
        <f t="shared" ca="1" si="83"/>
        <v/>
      </c>
      <c r="AC1975" s="9" t="s">
        <v>12130</v>
      </c>
      <c r="AD1975" s="9" t="s">
        <v>19</v>
      </c>
      <c r="AE1975" s="9" t="s">
        <v>12086</v>
      </c>
    </row>
    <row r="1976" spans="1:33" ht="29">
      <c r="A1976" s="3" t="s">
        <v>2221</v>
      </c>
      <c r="D1976" s="3" t="s">
        <v>7242</v>
      </c>
      <c r="E1976" s="3" t="s">
        <v>7243</v>
      </c>
      <c r="G1976" t="s">
        <v>21</v>
      </c>
      <c r="I1976" t="s">
        <v>7244</v>
      </c>
      <c r="J1976" s="9" t="s">
        <v>12120</v>
      </c>
      <c r="Q1976" s="10"/>
      <c r="U1976" s="9" t="str">
        <f t="shared" ca="1" si="82"/>
        <v/>
      </c>
      <c r="V1976" s="9" t="str">
        <f t="shared" ca="1" si="83"/>
        <v/>
      </c>
    </row>
    <row r="1977" spans="1:33" ht="29">
      <c r="A1977" s="3" t="s">
        <v>2221</v>
      </c>
      <c r="D1977" s="3" t="s">
        <v>7242</v>
      </c>
      <c r="E1977" s="3" t="s">
        <v>7243</v>
      </c>
      <c r="J1977" s="9" t="s">
        <v>24</v>
      </c>
      <c r="L1977" s="9">
        <v>1</v>
      </c>
      <c r="M1977" s="9">
        <v>2</v>
      </c>
      <c r="N1977" s="9" t="s">
        <v>12094</v>
      </c>
      <c r="O1977" s="9" t="s">
        <v>12119</v>
      </c>
      <c r="Q1977" s="10"/>
      <c r="S1977" s="9">
        <v>1496</v>
      </c>
      <c r="U1977" s="9" t="str">
        <f t="shared" ca="1" si="82"/>
        <v/>
      </c>
      <c r="V1977" s="9" t="str">
        <f t="shared" ca="1" si="83"/>
        <v/>
      </c>
      <c r="AG1977" s="9" t="s">
        <v>19</v>
      </c>
    </row>
    <row r="1978" spans="1:33">
      <c r="A1978" s="3" t="s">
        <v>2221</v>
      </c>
      <c r="D1978" s="3" t="s">
        <v>2226</v>
      </c>
      <c r="E1978" s="3" t="s">
        <v>2227</v>
      </c>
      <c r="G1978" t="s">
        <v>19</v>
      </c>
      <c r="J1978" s="9" t="s">
        <v>12121</v>
      </c>
      <c r="Q1978" s="10"/>
      <c r="T1978" s="9" t="s">
        <v>12131</v>
      </c>
      <c r="U1978" s="9" t="str">
        <f t="shared" ca="1" si="82"/>
        <v/>
      </c>
      <c r="V1978" s="9" t="str">
        <f t="shared" ca="1" si="83"/>
        <v/>
      </c>
      <c r="AE1978" s="9" t="s">
        <v>12086</v>
      </c>
    </row>
    <row r="1979" spans="1:33">
      <c r="A1979" s="3" t="s">
        <v>2228</v>
      </c>
      <c r="D1979" s="3" t="s">
        <v>2229</v>
      </c>
      <c r="E1979" s="3" t="s">
        <v>2230</v>
      </c>
      <c r="J1979" s="9" t="s">
        <v>12118</v>
      </c>
      <c r="Q1979" s="10"/>
      <c r="R1979" s="9" t="s">
        <v>12074</v>
      </c>
      <c r="T1979" s="9" t="s">
        <v>12131</v>
      </c>
      <c r="U1979" s="9" t="str">
        <f t="shared" ca="1" si="82"/>
        <v/>
      </c>
      <c r="V1979" s="9" t="str">
        <f t="shared" ca="1" si="83"/>
        <v/>
      </c>
      <c r="AE1979" s="9" t="s">
        <v>12077</v>
      </c>
    </row>
    <row r="1980" spans="1:33">
      <c r="A1980" s="3" t="s">
        <v>2231</v>
      </c>
      <c r="D1980" s="3" t="s">
        <v>2232</v>
      </c>
      <c r="E1980" s="3" t="s">
        <v>7245</v>
      </c>
      <c r="G1980" t="s">
        <v>19</v>
      </c>
      <c r="J1980" s="9" t="s">
        <v>12118</v>
      </c>
      <c r="Q1980" s="10"/>
      <c r="T1980" s="9" t="s">
        <v>12131</v>
      </c>
      <c r="U1980" s="9" t="str">
        <f t="shared" ca="1" si="82"/>
        <v/>
      </c>
      <c r="V1980" s="9" t="str">
        <f t="shared" ca="1" si="83"/>
        <v/>
      </c>
      <c r="AE1980" s="9" t="s">
        <v>12086</v>
      </c>
    </row>
    <row r="1981" spans="1:33" ht="29">
      <c r="A1981" s="3" t="s">
        <v>2233</v>
      </c>
      <c r="D1981" s="3" t="s">
        <v>7246</v>
      </c>
      <c r="E1981" s="3" t="s">
        <v>7247</v>
      </c>
      <c r="I1981" t="s">
        <v>5457</v>
      </c>
      <c r="J1981" s="9" t="s">
        <v>26</v>
      </c>
      <c r="Q1981" s="10"/>
      <c r="U1981" s="9" t="str">
        <f t="shared" ca="1" si="82"/>
        <v/>
      </c>
      <c r="V1981" s="9" t="str">
        <f t="shared" ca="1" si="83"/>
        <v/>
      </c>
      <c r="AG1981" s="9" t="s">
        <v>20</v>
      </c>
    </row>
    <row r="1982" spans="1:33">
      <c r="A1982" s="3" t="s">
        <v>2234</v>
      </c>
      <c r="D1982" s="3" t="s">
        <v>2235</v>
      </c>
      <c r="E1982" s="3" t="s">
        <v>2236</v>
      </c>
      <c r="J1982" s="9" t="s">
        <v>12120</v>
      </c>
      <c r="Q1982" s="10"/>
      <c r="U1982" s="9" t="str">
        <f t="shared" ca="1" si="82"/>
        <v/>
      </c>
      <c r="V1982" s="9" t="str">
        <f t="shared" ca="1" si="83"/>
        <v/>
      </c>
      <c r="AC1982" s="9" t="s">
        <v>12173</v>
      </c>
      <c r="AD1982" s="9" t="s">
        <v>19</v>
      </c>
      <c r="AE1982" s="9" t="s">
        <v>12083</v>
      </c>
    </row>
    <row r="1983" spans="1:33" ht="29">
      <c r="A1983" s="3" t="s">
        <v>2234</v>
      </c>
      <c r="D1983" s="3" t="s">
        <v>12361</v>
      </c>
      <c r="E1983" s="3" t="s">
        <v>12362</v>
      </c>
      <c r="J1983" s="9" t="s">
        <v>12118</v>
      </c>
      <c r="Q1983" s="10"/>
      <c r="T1983" s="9">
        <f>1294-1101</f>
        <v>193</v>
      </c>
      <c r="U1983" s="9">
        <f t="shared" ca="1" si="82"/>
        <v>1101</v>
      </c>
      <c r="V1983" s="9">
        <f t="shared" ca="1" si="83"/>
        <v>1294</v>
      </c>
      <c r="AG1983" s="9" t="s">
        <v>19</v>
      </c>
    </row>
    <row r="1984" spans="1:33" ht="29">
      <c r="A1984" s="3" t="s">
        <v>2234</v>
      </c>
      <c r="D1984" s="3" t="s">
        <v>7248</v>
      </c>
      <c r="E1984" s="3" t="s">
        <v>12363</v>
      </c>
      <c r="J1984" s="9" t="s">
        <v>24</v>
      </c>
      <c r="L1984" s="9">
        <v>1</v>
      </c>
      <c r="M1984" s="9">
        <v>2</v>
      </c>
      <c r="N1984" s="9" t="s">
        <v>12078</v>
      </c>
      <c r="O1984" s="9" t="s">
        <v>12119</v>
      </c>
      <c r="Q1984" s="10"/>
      <c r="S1984" s="9">
        <v>11843</v>
      </c>
      <c r="U1984" s="9" t="str">
        <f t="shared" ca="1" si="82"/>
        <v/>
      </c>
      <c r="V1984" s="9" t="str">
        <f t="shared" ca="1" si="83"/>
        <v/>
      </c>
      <c r="AG1984" s="9" t="s">
        <v>19</v>
      </c>
    </row>
    <row r="1985" spans="1:33">
      <c r="A1985" s="3" t="s">
        <v>2237</v>
      </c>
      <c r="D1985" s="3" t="s">
        <v>7250</v>
      </c>
      <c r="E1985" s="3" t="s">
        <v>7249</v>
      </c>
      <c r="J1985" s="9" t="s">
        <v>24</v>
      </c>
      <c r="L1985" s="9">
        <v>1</v>
      </c>
      <c r="M1985" s="9">
        <v>2</v>
      </c>
      <c r="N1985" s="9" t="s">
        <v>12087</v>
      </c>
      <c r="O1985" s="9" t="s">
        <v>12119</v>
      </c>
      <c r="Q1985" s="10"/>
      <c r="S1985" s="9">
        <v>1966</v>
      </c>
      <c r="U1985" s="9" t="str">
        <f t="shared" ca="1" si="82"/>
        <v/>
      </c>
      <c r="V1985" s="9" t="str">
        <f t="shared" ca="1" si="83"/>
        <v/>
      </c>
      <c r="AG1985" s="9" t="s">
        <v>19</v>
      </c>
    </row>
    <row r="1986" spans="1:33">
      <c r="A1986" s="3" t="s">
        <v>2237</v>
      </c>
      <c r="D1986" s="3" t="s">
        <v>7251</v>
      </c>
      <c r="E1986" s="5" t="s">
        <v>7252</v>
      </c>
      <c r="F1986" t="s">
        <v>16</v>
      </c>
      <c r="Q1986" s="10"/>
      <c r="U1986" s="9" t="str">
        <f t="shared" ca="1" si="82"/>
        <v/>
      </c>
      <c r="V1986" s="9" t="str">
        <f t="shared" ca="1" si="83"/>
        <v/>
      </c>
    </row>
    <row r="1987" spans="1:33">
      <c r="A1987" s="3" t="s">
        <v>2237</v>
      </c>
      <c r="D1987" s="3" t="s">
        <v>7253</v>
      </c>
      <c r="E1987" s="3" t="s">
        <v>7254</v>
      </c>
      <c r="J1987" s="9" t="s">
        <v>12120</v>
      </c>
      <c r="Q1987" s="10"/>
      <c r="U1987" s="9" t="str">
        <f t="shared" ca="1" si="82"/>
        <v/>
      </c>
      <c r="V1987" s="9" t="str">
        <f t="shared" ca="1" si="83"/>
        <v/>
      </c>
      <c r="AE1987" s="9" t="s">
        <v>12089</v>
      </c>
    </row>
    <row r="1988" spans="1:33">
      <c r="A1988" s="3" t="s">
        <v>2238</v>
      </c>
      <c r="D1988" s="3" t="s">
        <v>2239</v>
      </c>
      <c r="E1988" s="3" t="s">
        <v>2240</v>
      </c>
      <c r="J1988" s="9" t="s">
        <v>12118</v>
      </c>
      <c r="Q1988" s="10"/>
      <c r="T1988" s="9" t="s">
        <v>12131</v>
      </c>
      <c r="U1988" s="9" t="str">
        <f t="shared" ca="1" si="82"/>
        <v/>
      </c>
      <c r="V1988" s="9" t="str">
        <f t="shared" ca="1" si="83"/>
        <v/>
      </c>
      <c r="AB1988" s="9" t="s">
        <v>12124</v>
      </c>
      <c r="AC1988" s="9" t="s">
        <v>12130</v>
      </c>
      <c r="AD1988" s="9" t="s">
        <v>19</v>
      </c>
    </row>
    <row r="1989" spans="1:33">
      <c r="A1989" s="3" t="s">
        <v>2241</v>
      </c>
      <c r="D1989" s="3" t="s">
        <v>7255</v>
      </c>
      <c r="E1989" s="3" t="s">
        <v>7256</v>
      </c>
      <c r="G1989" t="s">
        <v>19</v>
      </c>
      <c r="J1989" s="9" t="s">
        <v>12120</v>
      </c>
      <c r="Q1989" s="10"/>
      <c r="U1989" s="9" t="str">
        <f t="shared" ca="1" si="82"/>
        <v/>
      </c>
      <c r="V1989" s="9" t="str">
        <f t="shared" ca="1" si="83"/>
        <v/>
      </c>
      <c r="AB1989" s="9" t="s">
        <v>12124</v>
      </c>
      <c r="AD1989" s="9" t="s">
        <v>19</v>
      </c>
    </row>
    <row r="1990" spans="1:33">
      <c r="A1990" s="3" t="s">
        <v>2242</v>
      </c>
      <c r="D1990" s="3" t="s">
        <v>2243</v>
      </c>
      <c r="E1990" s="3" t="s">
        <v>2244</v>
      </c>
      <c r="J1990" s="9" t="s">
        <v>12120</v>
      </c>
      <c r="Q1990" s="10"/>
      <c r="U1990" s="9" t="str">
        <f t="shared" ca="1" si="82"/>
        <v/>
      </c>
      <c r="V1990" s="9" t="str">
        <f t="shared" ca="1" si="83"/>
        <v/>
      </c>
      <c r="AG1990" s="9" t="s">
        <v>20</v>
      </c>
    </row>
    <row r="1991" spans="1:33">
      <c r="A1991" s="3" t="s">
        <v>2245</v>
      </c>
      <c r="D1991" s="3" t="s">
        <v>7257</v>
      </c>
      <c r="E1991" s="3" t="s">
        <v>7258</v>
      </c>
      <c r="G1991" t="s">
        <v>19</v>
      </c>
      <c r="J1991" s="9" t="s">
        <v>12120</v>
      </c>
      <c r="Q1991" s="10"/>
      <c r="U1991" s="9" t="str">
        <f t="shared" ca="1" si="82"/>
        <v/>
      </c>
      <c r="V1991" s="9" t="str">
        <f t="shared" ca="1" si="83"/>
        <v/>
      </c>
      <c r="AE1991" s="9" t="s">
        <v>12083</v>
      </c>
    </row>
    <row r="1992" spans="1:33">
      <c r="A1992" s="3" t="s">
        <v>2245</v>
      </c>
      <c r="D1992" s="3" t="s">
        <v>2246</v>
      </c>
      <c r="E1992" s="3" t="s">
        <v>2247</v>
      </c>
      <c r="J1992" s="9" t="s">
        <v>12120</v>
      </c>
      <c r="Q1992" s="10"/>
      <c r="U1992" s="9" t="str">
        <f t="shared" ca="1" si="82"/>
        <v/>
      </c>
      <c r="V1992" s="9" t="str">
        <f t="shared" ca="1" si="83"/>
        <v/>
      </c>
      <c r="AE1992" s="9" t="s">
        <v>12077</v>
      </c>
    </row>
    <row r="1993" spans="1:33">
      <c r="A1993" s="3" t="s">
        <v>2245</v>
      </c>
      <c r="D1993" s="3" t="s">
        <v>7259</v>
      </c>
      <c r="E1993" s="3" t="s">
        <v>7260</v>
      </c>
      <c r="J1993" s="9" t="s">
        <v>24</v>
      </c>
      <c r="L1993" s="9">
        <v>1</v>
      </c>
      <c r="M1993" s="9">
        <v>2</v>
      </c>
      <c r="N1993" s="9" t="s">
        <v>12078</v>
      </c>
      <c r="O1993" s="9" t="s">
        <v>12119</v>
      </c>
      <c r="Q1993" s="10"/>
      <c r="S1993" s="9">
        <v>11843</v>
      </c>
      <c r="U1993" s="9" t="str">
        <f t="shared" ca="1" si="82"/>
        <v/>
      </c>
      <c r="V1993" s="9" t="str">
        <f t="shared" ca="1" si="83"/>
        <v/>
      </c>
      <c r="AE1993" s="9" t="s">
        <v>12083</v>
      </c>
    </row>
    <row r="1994" spans="1:33">
      <c r="A1994" s="3" t="s">
        <v>2248</v>
      </c>
      <c r="D1994" s="3" t="s">
        <v>2249</v>
      </c>
      <c r="E1994" s="3" t="s">
        <v>7261</v>
      </c>
      <c r="G1994" t="s">
        <v>19</v>
      </c>
      <c r="J1994" s="9" t="s">
        <v>12118</v>
      </c>
      <c r="Q1994" s="10"/>
      <c r="T1994" s="9" t="s">
        <v>12119</v>
      </c>
      <c r="U1994" s="9" t="str">
        <f t="shared" ca="1" si="82"/>
        <v/>
      </c>
      <c r="V1994" s="9" t="str">
        <f t="shared" ca="1" si="83"/>
        <v/>
      </c>
      <c r="AC1994" s="9" t="s">
        <v>12166</v>
      </c>
      <c r="AD1994" s="9" t="s">
        <v>19</v>
      </c>
    </row>
    <row r="1995" spans="1:33" ht="29">
      <c r="A1995" s="3" t="s">
        <v>2248</v>
      </c>
      <c r="D1995" s="3" t="s">
        <v>7263</v>
      </c>
      <c r="E1995" s="3" t="s">
        <v>7262</v>
      </c>
      <c r="I1995" t="s">
        <v>5457</v>
      </c>
      <c r="J1995" s="9" t="s">
        <v>26</v>
      </c>
      <c r="Q1995" s="10"/>
      <c r="U1995" s="9" t="str">
        <f t="shared" ca="1" si="82"/>
        <v/>
      </c>
      <c r="V1995" s="9" t="str">
        <f t="shared" ca="1" si="83"/>
        <v/>
      </c>
      <c r="AG1995" s="9" t="s">
        <v>20</v>
      </c>
    </row>
    <row r="1996" spans="1:33">
      <c r="A1996" s="3" t="s">
        <v>2250</v>
      </c>
      <c r="D1996" s="3" t="s">
        <v>2251</v>
      </c>
      <c r="E1996" s="3" t="s">
        <v>1508</v>
      </c>
      <c r="J1996" s="9" t="s">
        <v>12118</v>
      </c>
      <c r="Q1996" s="10"/>
      <c r="T1996" s="9" t="s">
        <v>12131</v>
      </c>
      <c r="U1996" s="9" t="str">
        <f t="shared" ca="1" si="82"/>
        <v/>
      </c>
      <c r="V1996" s="9" t="str">
        <f t="shared" ca="1" si="83"/>
        <v/>
      </c>
      <c r="AC1996" s="9" t="s">
        <v>12130</v>
      </c>
      <c r="AD1996" s="9" t="s">
        <v>19</v>
      </c>
      <c r="AE1996" s="9" t="s">
        <v>12086</v>
      </c>
    </row>
    <row r="1997" spans="1:33">
      <c r="A1997" s="3" t="s">
        <v>2250</v>
      </c>
      <c r="D1997" s="3" t="s">
        <v>7264</v>
      </c>
      <c r="E1997" s="11" t="s">
        <v>7265</v>
      </c>
      <c r="G1997" t="s">
        <v>19</v>
      </c>
      <c r="J1997" s="9" t="s">
        <v>12120</v>
      </c>
      <c r="Q1997" s="10"/>
      <c r="U1997" s="9" t="str">
        <f t="shared" ref="U1997:U2060" ca="1" si="84">IF(ISNUMBER(T1997),VALUE(MID(_xlfn.FORMULATEXT(T1997),SEARCH("-",_xlfn.FORMULATEXT(T1997))+1,LEN(_xlfn.FORMULATEXT(T1997))-SEARCH("-",_xlfn.FORMULATEXT(T1997)))), "")</f>
        <v/>
      </c>
      <c r="V1997" s="9" t="str">
        <f t="shared" ref="V1997:V2060" ca="1" si="85">IF(ISNUMBER(T1997), VALUE(MID(_xlfn.FORMULATEXT(T1997), 2, SEARCH("-", _xlfn.FORMULATEXT(T1997)) - 2)), "")</f>
        <v/>
      </c>
      <c r="AE1997" s="9" t="s">
        <v>12089</v>
      </c>
    </row>
    <row r="1998" spans="1:33" ht="29">
      <c r="A1998" s="3" t="s">
        <v>2250</v>
      </c>
      <c r="D1998" s="3" t="s">
        <v>7266</v>
      </c>
      <c r="E1998" s="3" t="s">
        <v>7267</v>
      </c>
      <c r="G1998" t="s">
        <v>21</v>
      </c>
      <c r="I1998" t="s">
        <v>7268</v>
      </c>
      <c r="J1998" s="9" t="s">
        <v>12120</v>
      </c>
      <c r="Q1998" s="10"/>
      <c r="U1998" s="9" t="str">
        <f t="shared" ca="1" si="84"/>
        <v/>
      </c>
      <c r="V1998" s="9" t="str">
        <f t="shared" ca="1" si="85"/>
        <v/>
      </c>
      <c r="AE1998" s="9" t="s">
        <v>12086</v>
      </c>
    </row>
    <row r="1999" spans="1:33">
      <c r="A1999" s="3" t="s">
        <v>2250</v>
      </c>
      <c r="D1999" s="3" t="s">
        <v>7269</v>
      </c>
      <c r="E1999" s="3" t="s">
        <v>7270</v>
      </c>
      <c r="J1999" s="9" t="s">
        <v>12120</v>
      </c>
      <c r="Q1999" s="10"/>
      <c r="U1999" s="9" t="str">
        <f t="shared" ca="1" si="84"/>
        <v/>
      </c>
      <c r="V1999" s="9" t="str">
        <f t="shared" ca="1" si="85"/>
        <v/>
      </c>
      <c r="AE1999" s="9" t="s">
        <v>12089</v>
      </c>
    </row>
    <row r="2000" spans="1:33">
      <c r="A2000" s="3" t="s">
        <v>2252</v>
      </c>
      <c r="D2000" s="3" t="s">
        <v>7271</v>
      </c>
      <c r="E2000" s="3" t="s">
        <v>7272</v>
      </c>
      <c r="J2000" s="9" t="s">
        <v>12120</v>
      </c>
      <c r="Q2000" s="10"/>
      <c r="U2000" s="9" t="str">
        <f t="shared" ca="1" si="84"/>
        <v/>
      </c>
      <c r="V2000" s="9" t="str">
        <f t="shared" ca="1" si="85"/>
        <v/>
      </c>
      <c r="AB2000" s="9" t="s">
        <v>12082</v>
      </c>
      <c r="AD2000" s="9" t="s">
        <v>19</v>
      </c>
    </row>
    <row r="2001" spans="1:33">
      <c r="A2001" s="3" t="s">
        <v>2253</v>
      </c>
      <c r="D2001" s="3" t="s">
        <v>7273</v>
      </c>
      <c r="E2001" s="3" t="s">
        <v>7274</v>
      </c>
      <c r="J2001" s="9" t="s">
        <v>12120</v>
      </c>
      <c r="Q2001" s="10"/>
      <c r="U2001" s="9" t="str">
        <f t="shared" ca="1" si="84"/>
        <v/>
      </c>
      <c r="V2001" s="9" t="str">
        <f t="shared" ca="1" si="85"/>
        <v/>
      </c>
      <c r="AG2001" s="9" t="s">
        <v>19</v>
      </c>
    </row>
    <row r="2002" spans="1:33">
      <c r="A2002" s="3" t="s">
        <v>2253</v>
      </c>
      <c r="D2002" s="3" t="s">
        <v>7276</v>
      </c>
      <c r="E2002" s="3" t="s">
        <v>7275</v>
      </c>
      <c r="J2002" s="9" t="s">
        <v>12120</v>
      </c>
      <c r="Q2002" s="10"/>
      <c r="U2002" s="9" t="str">
        <f t="shared" ca="1" si="84"/>
        <v/>
      </c>
      <c r="V2002" s="9" t="str">
        <f t="shared" ca="1" si="85"/>
        <v/>
      </c>
      <c r="AE2002" s="9" t="s">
        <v>12083</v>
      </c>
    </row>
    <row r="2003" spans="1:33">
      <c r="A2003" s="3" t="s">
        <v>2254</v>
      </c>
      <c r="D2003" s="3" t="s">
        <v>7277</v>
      </c>
      <c r="E2003" s="3" t="s">
        <v>7277</v>
      </c>
      <c r="G2003" t="s">
        <v>20</v>
      </c>
      <c r="I2003" t="s">
        <v>7278</v>
      </c>
      <c r="Q2003" s="10"/>
      <c r="U2003" s="9" t="str">
        <f t="shared" ca="1" si="84"/>
        <v/>
      </c>
      <c r="V2003" s="9" t="str">
        <f t="shared" ca="1" si="85"/>
        <v/>
      </c>
    </row>
    <row r="2004" spans="1:33">
      <c r="A2004" s="3" t="s">
        <v>2254</v>
      </c>
      <c r="D2004" s="3" t="s">
        <v>7279</v>
      </c>
      <c r="E2004" s="3" t="s">
        <v>7280</v>
      </c>
      <c r="J2004" s="9" t="s">
        <v>12120</v>
      </c>
      <c r="Q2004" s="10"/>
      <c r="U2004" s="9" t="str">
        <f t="shared" ca="1" si="84"/>
        <v/>
      </c>
      <c r="V2004" s="9" t="str">
        <f t="shared" ca="1" si="85"/>
        <v/>
      </c>
      <c r="AE2004" s="9" t="s">
        <v>12089</v>
      </c>
    </row>
    <row r="2005" spans="1:33">
      <c r="A2005" s="3" t="s">
        <v>2254</v>
      </c>
      <c r="D2005" s="3" t="s">
        <v>2255</v>
      </c>
      <c r="E2005" s="3" t="s">
        <v>180</v>
      </c>
      <c r="J2005" s="9" t="s">
        <v>12120</v>
      </c>
      <c r="Q2005" s="10"/>
      <c r="U2005" s="9" t="str">
        <f t="shared" ca="1" si="84"/>
        <v/>
      </c>
      <c r="V2005" s="9" t="str">
        <f t="shared" ca="1" si="85"/>
        <v/>
      </c>
      <c r="AG2005" s="9" t="s">
        <v>19</v>
      </c>
    </row>
    <row r="2006" spans="1:33">
      <c r="A2006" s="3" t="s">
        <v>2256</v>
      </c>
      <c r="D2006" s="3" t="s">
        <v>7281</v>
      </c>
      <c r="E2006" s="3" t="s">
        <v>7282</v>
      </c>
      <c r="J2006" s="9" t="s">
        <v>12118</v>
      </c>
      <c r="Q2006" s="10"/>
      <c r="T2006" s="9">
        <f>4-3</f>
        <v>1</v>
      </c>
      <c r="U2006" s="9">
        <f t="shared" ca="1" si="84"/>
        <v>3</v>
      </c>
      <c r="V2006" s="9">
        <f t="shared" ca="1" si="85"/>
        <v>4</v>
      </c>
      <c r="AG2006" s="9" t="s">
        <v>19</v>
      </c>
    </row>
    <row r="2007" spans="1:33">
      <c r="A2007" s="3" t="s">
        <v>2257</v>
      </c>
      <c r="D2007" s="3" t="s">
        <v>7284</v>
      </c>
      <c r="E2007" s="3" t="s">
        <v>7283</v>
      </c>
      <c r="J2007" s="9" t="s">
        <v>25</v>
      </c>
      <c r="L2007" s="9">
        <v>1</v>
      </c>
      <c r="M2007" s="9">
        <v>3</v>
      </c>
      <c r="N2007" s="9" t="s">
        <v>12087</v>
      </c>
      <c r="O2007" s="9" t="s">
        <v>12079</v>
      </c>
      <c r="Q2007" s="10"/>
      <c r="S2007" s="9">
        <v>5676</v>
      </c>
      <c r="U2007" s="9" t="str">
        <f t="shared" ca="1" si="84"/>
        <v/>
      </c>
      <c r="V2007" s="9" t="str">
        <f t="shared" ca="1" si="85"/>
        <v/>
      </c>
      <c r="AG2007" s="9" t="s">
        <v>19</v>
      </c>
    </row>
    <row r="2008" spans="1:33">
      <c r="A2008" s="3" t="s">
        <v>2257</v>
      </c>
      <c r="D2008" s="3" t="s">
        <v>7285</v>
      </c>
      <c r="E2008" s="3" t="s">
        <v>7286</v>
      </c>
      <c r="J2008" s="9" t="s">
        <v>12118</v>
      </c>
      <c r="Q2008" s="10"/>
      <c r="T2008" s="9">
        <f>61-103</f>
        <v>-42</v>
      </c>
      <c r="U2008" s="9">
        <f t="shared" ca="1" si="84"/>
        <v>103</v>
      </c>
      <c r="V2008" s="9">
        <f t="shared" ca="1" si="85"/>
        <v>61</v>
      </c>
      <c r="AG2008" s="9" t="s">
        <v>19</v>
      </c>
    </row>
    <row r="2009" spans="1:33" ht="29">
      <c r="A2009" s="3" t="s">
        <v>2257</v>
      </c>
      <c r="D2009" s="3" t="s">
        <v>7287</v>
      </c>
      <c r="E2009" s="3" t="s">
        <v>7288</v>
      </c>
      <c r="F2009" t="s">
        <v>11</v>
      </c>
      <c r="G2009" t="s">
        <v>19</v>
      </c>
      <c r="Q2009" s="10"/>
      <c r="U2009" s="9" t="str">
        <f t="shared" ca="1" si="84"/>
        <v/>
      </c>
      <c r="V2009" s="9" t="str">
        <f t="shared" ca="1" si="85"/>
        <v/>
      </c>
    </row>
    <row r="2010" spans="1:33">
      <c r="A2010" s="3" t="s">
        <v>2258</v>
      </c>
      <c r="D2010" s="3" t="s">
        <v>7290</v>
      </c>
      <c r="E2010" s="3" t="s">
        <v>7289</v>
      </c>
      <c r="J2010" s="9" t="s">
        <v>24</v>
      </c>
      <c r="L2010" s="9">
        <v>1</v>
      </c>
      <c r="M2010" s="9">
        <v>3</v>
      </c>
      <c r="N2010" s="9" t="s">
        <v>12078</v>
      </c>
      <c r="O2010" s="9" t="s">
        <v>12079</v>
      </c>
      <c r="Q2010" s="10"/>
      <c r="S2010" s="9">
        <v>11843</v>
      </c>
      <c r="U2010" s="9" t="str">
        <f t="shared" ca="1" si="84"/>
        <v/>
      </c>
      <c r="V2010" s="9" t="str">
        <f t="shared" ca="1" si="85"/>
        <v/>
      </c>
      <c r="AE2010" s="9" t="s">
        <v>12083</v>
      </c>
    </row>
    <row r="2011" spans="1:33" ht="58">
      <c r="A2011" s="3" t="s">
        <v>2258</v>
      </c>
      <c r="D2011" s="3" t="s">
        <v>7291</v>
      </c>
      <c r="E2011" s="3" t="s">
        <v>7292</v>
      </c>
      <c r="I2011" t="s">
        <v>12364</v>
      </c>
      <c r="J2011" s="9" t="s">
        <v>26</v>
      </c>
      <c r="Q2011" s="10"/>
      <c r="U2011" s="9" t="str">
        <f t="shared" ca="1" si="84"/>
        <v/>
      </c>
      <c r="V2011" s="9" t="str">
        <f t="shared" ca="1" si="85"/>
        <v/>
      </c>
      <c r="AG2011" s="9" t="s">
        <v>20</v>
      </c>
    </row>
    <row r="2012" spans="1:33" ht="29">
      <c r="A2012" s="3" t="s">
        <v>2259</v>
      </c>
      <c r="D2012" s="3" t="s">
        <v>7293</v>
      </c>
      <c r="E2012" s="3" t="s">
        <v>7294</v>
      </c>
      <c r="G2012" t="s">
        <v>19</v>
      </c>
      <c r="J2012" s="9" t="s">
        <v>12118</v>
      </c>
      <c r="Q2012" s="10"/>
      <c r="T2012" s="9" t="s">
        <v>12131</v>
      </c>
      <c r="U2012" s="9" t="str">
        <f t="shared" ca="1" si="84"/>
        <v/>
      </c>
      <c r="V2012" s="9" t="str">
        <f t="shared" ca="1" si="85"/>
        <v/>
      </c>
      <c r="AE2012" s="9" t="s">
        <v>12086</v>
      </c>
    </row>
    <row r="2013" spans="1:33" ht="29">
      <c r="A2013" s="3" t="s">
        <v>2259</v>
      </c>
      <c r="D2013" s="3" t="s">
        <v>12366</v>
      </c>
      <c r="E2013" s="3" t="s">
        <v>12365</v>
      </c>
      <c r="J2013" s="9" t="s">
        <v>25</v>
      </c>
      <c r="L2013" s="9">
        <v>2</v>
      </c>
      <c r="M2013" s="9">
        <v>6</v>
      </c>
      <c r="O2013" s="9" t="s">
        <v>12079</v>
      </c>
      <c r="Q2013" s="10"/>
      <c r="S2013" s="9">
        <v>75</v>
      </c>
      <c r="U2013" s="9" t="str">
        <f t="shared" ca="1" si="84"/>
        <v/>
      </c>
      <c r="V2013" s="9" t="str">
        <f t="shared" ca="1" si="85"/>
        <v/>
      </c>
      <c r="AG2013" s="9" t="s">
        <v>20</v>
      </c>
    </row>
    <row r="2014" spans="1:33" ht="29">
      <c r="A2014" s="3" t="s">
        <v>2259</v>
      </c>
      <c r="D2014" s="3" t="s">
        <v>12367</v>
      </c>
      <c r="E2014" s="3" t="s">
        <v>12368</v>
      </c>
      <c r="J2014" s="9" t="s">
        <v>12118</v>
      </c>
      <c r="Q2014" s="10"/>
      <c r="T2014" s="9">
        <f>1966-5676</f>
        <v>-3710</v>
      </c>
      <c r="U2014" s="9">
        <f t="shared" ca="1" si="84"/>
        <v>5676</v>
      </c>
      <c r="V2014" s="9">
        <f t="shared" ca="1" si="85"/>
        <v>1966</v>
      </c>
      <c r="AG2014" s="9" t="s">
        <v>19</v>
      </c>
    </row>
    <row r="2015" spans="1:33">
      <c r="A2015" s="3" t="s">
        <v>2259</v>
      </c>
      <c r="D2015" s="3" t="s">
        <v>7295</v>
      </c>
      <c r="E2015" s="3" t="s">
        <v>7296</v>
      </c>
      <c r="J2015" s="9" t="s">
        <v>24</v>
      </c>
      <c r="L2015" s="9">
        <v>1</v>
      </c>
      <c r="M2015" s="9">
        <v>2</v>
      </c>
      <c r="N2015" s="9" t="s">
        <v>12078</v>
      </c>
      <c r="O2015" s="9" t="s">
        <v>12119</v>
      </c>
      <c r="Q2015" s="10"/>
      <c r="R2015" s="9" t="s">
        <v>12074</v>
      </c>
      <c r="S2015" s="9">
        <v>11843</v>
      </c>
      <c r="U2015" s="9" t="str">
        <f t="shared" ca="1" si="84"/>
        <v/>
      </c>
      <c r="V2015" s="9" t="str">
        <f t="shared" ca="1" si="85"/>
        <v/>
      </c>
      <c r="AE2015" s="9" t="s">
        <v>12083</v>
      </c>
    </row>
    <row r="2016" spans="1:33">
      <c r="A2016" s="3" t="s">
        <v>2259</v>
      </c>
      <c r="D2016" s="3" t="s">
        <v>2260</v>
      </c>
      <c r="E2016" s="3" t="s">
        <v>2261</v>
      </c>
      <c r="F2016" t="s">
        <v>17</v>
      </c>
      <c r="G2016" t="s">
        <v>20</v>
      </c>
      <c r="I2016" t="s">
        <v>7297</v>
      </c>
      <c r="Q2016" s="10"/>
      <c r="U2016" s="9" t="str">
        <f t="shared" ca="1" si="84"/>
        <v/>
      </c>
      <c r="V2016" s="9" t="str">
        <f t="shared" ca="1" si="85"/>
        <v/>
      </c>
    </row>
    <row r="2017" spans="1:33">
      <c r="A2017" s="3" t="s">
        <v>2262</v>
      </c>
      <c r="D2017" s="3" t="s">
        <v>2263</v>
      </c>
      <c r="E2017" s="3" t="s">
        <v>2264</v>
      </c>
      <c r="J2017" s="9" t="s">
        <v>12118</v>
      </c>
      <c r="Q2017" s="10"/>
      <c r="T2017" s="9" t="s">
        <v>12131</v>
      </c>
      <c r="U2017" s="9" t="str">
        <f t="shared" ca="1" si="84"/>
        <v/>
      </c>
      <c r="V2017" s="9" t="str">
        <f t="shared" ca="1" si="85"/>
        <v/>
      </c>
      <c r="AC2017" s="9" t="s">
        <v>12740</v>
      </c>
      <c r="AD2017" s="9" t="s">
        <v>19</v>
      </c>
      <c r="AE2017" s="9" t="s">
        <v>12077</v>
      </c>
    </row>
    <row r="2018" spans="1:33">
      <c r="A2018" s="3" t="s">
        <v>2265</v>
      </c>
      <c r="D2018" s="3" t="s">
        <v>7298</v>
      </c>
      <c r="E2018" s="3" t="s">
        <v>7299</v>
      </c>
      <c r="J2018" s="9" t="s">
        <v>12120</v>
      </c>
      <c r="Q2018" s="10"/>
      <c r="U2018" s="9" t="str">
        <f t="shared" ca="1" si="84"/>
        <v/>
      </c>
      <c r="V2018" s="9" t="str">
        <f t="shared" ca="1" si="85"/>
        <v/>
      </c>
      <c r="AG2018" s="9" t="s">
        <v>19</v>
      </c>
    </row>
    <row r="2019" spans="1:33" ht="29">
      <c r="A2019" s="3" t="s">
        <v>2265</v>
      </c>
      <c r="D2019" s="3" t="s">
        <v>7301</v>
      </c>
      <c r="E2019" s="3" t="s">
        <v>7302</v>
      </c>
      <c r="J2019" s="9" t="s">
        <v>24</v>
      </c>
      <c r="L2019" s="9">
        <v>1</v>
      </c>
      <c r="M2019" s="9">
        <v>4</v>
      </c>
      <c r="N2019" s="9" t="s">
        <v>12078</v>
      </c>
      <c r="O2019" s="9" t="s">
        <v>12073</v>
      </c>
      <c r="P2019" s="9" t="s">
        <v>12142</v>
      </c>
      <c r="Q2019" s="10" t="s">
        <v>12143</v>
      </c>
      <c r="S2019" s="9">
        <v>11843</v>
      </c>
      <c r="U2019" s="9" t="str">
        <f t="shared" ca="1" si="84"/>
        <v/>
      </c>
      <c r="V2019" s="9" t="str">
        <f t="shared" ca="1" si="85"/>
        <v/>
      </c>
      <c r="AG2019" s="9" t="s">
        <v>19</v>
      </c>
    </row>
    <row r="2020" spans="1:33" ht="29">
      <c r="A2020" s="3" t="s">
        <v>2265</v>
      </c>
      <c r="D2020" s="3" t="s">
        <v>7303</v>
      </c>
      <c r="E2020" s="3" t="s">
        <v>7300</v>
      </c>
      <c r="J2020" s="9" t="s">
        <v>25</v>
      </c>
      <c r="L2020" s="9">
        <v>1</v>
      </c>
      <c r="M2020" s="9">
        <v>2</v>
      </c>
      <c r="N2020" s="9" t="s">
        <v>12078</v>
      </c>
      <c r="O2020" s="9" t="s">
        <v>12119</v>
      </c>
      <c r="Q2020" s="10"/>
      <c r="S2020" s="9">
        <v>11843</v>
      </c>
      <c r="U2020" s="9" t="str">
        <f t="shared" ca="1" si="84"/>
        <v/>
      </c>
      <c r="V2020" s="9" t="str">
        <f t="shared" ca="1" si="85"/>
        <v/>
      </c>
      <c r="AG2020" s="9" t="s">
        <v>20</v>
      </c>
    </row>
    <row r="2021" spans="1:33">
      <c r="A2021" s="3" t="s">
        <v>2265</v>
      </c>
      <c r="D2021" s="3" t="s">
        <v>7305</v>
      </c>
      <c r="E2021" s="3" t="s">
        <v>7304</v>
      </c>
      <c r="J2021" s="9" t="s">
        <v>12118</v>
      </c>
      <c r="Q2021" s="10"/>
      <c r="T2021" s="9">
        <f>1966-356</f>
        <v>1610</v>
      </c>
      <c r="U2021" s="9">
        <f t="shared" ca="1" si="84"/>
        <v>356</v>
      </c>
      <c r="V2021" s="9">
        <f t="shared" ca="1" si="85"/>
        <v>1966</v>
      </c>
      <c r="AG2021" s="9" t="s">
        <v>20</v>
      </c>
    </row>
    <row r="2022" spans="1:33">
      <c r="A2022" s="3" t="s">
        <v>2265</v>
      </c>
      <c r="D2022" s="3" t="s">
        <v>7306</v>
      </c>
      <c r="E2022" s="3" t="s">
        <v>7307</v>
      </c>
      <c r="G2022" t="s">
        <v>19</v>
      </c>
      <c r="J2022" s="9" t="s">
        <v>12120</v>
      </c>
      <c r="Q2022" s="10"/>
      <c r="U2022" s="9" t="str">
        <f t="shared" ca="1" si="84"/>
        <v/>
      </c>
      <c r="V2022" s="9" t="str">
        <f t="shared" ca="1" si="85"/>
        <v/>
      </c>
    </row>
    <row r="2023" spans="1:33">
      <c r="A2023" s="3" t="s">
        <v>2265</v>
      </c>
      <c r="D2023" s="3" t="s">
        <v>2266</v>
      </c>
      <c r="E2023" s="3" t="s">
        <v>2267</v>
      </c>
      <c r="J2023" s="9" t="s">
        <v>12118</v>
      </c>
      <c r="Q2023" s="10"/>
      <c r="T2023" s="9" t="s">
        <v>12131</v>
      </c>
      <c r="U2023" s="9" t="str">
        <f t="shared" ca="1" si="84"/>
        <v/>
      </c>
      <c r="V2023" s="9" t="str">
        <f t="shared" ca="1" si="85"/>
        <v/>
      </c>
      <c r="AE2023" s="9" t="s">
        <v>12077</v>
      </c>
    </row>
    <row r="2024" spans="1:33" ht="29">
      <c r="A2024" s="3" t="s">
        <v>2268</v>
      </c>
      <c r="D2024" s="3" t="s">
        <v>12369</v>
      </c>
      <c r="E2024" s="3" t="s">
        <v>7308</v>
      </c>
      <c r="J2024" s="9" t="s">
        <v>25</v>
      </c>
      <c r="L2024" s="9">
        <v>1</v>
      </c>
      <c r="M2024" s="9">
        <v>2</v>
      </c>
      <c r="N2024" s="9" t="s">
        <v>12087</v>
      </c>
      <c r="O2024" s="9" t="s">
        <v>12119</v>
      </c>
      <c r="Q2024" s="10"/>
      <c r="S2024" s="9">
        <v>1966</v>
      </c>
      <c r="U2024" s="9" t="str">
        <f t="shared" ca="1" si="84"/>
        <v/>
      </c>
      <c r="V2024" s="9" t="str">
        <f t="shared" ca="1" si="85"/>
        <v/>
      </c>
      <c r="AG2024" s="9" t="s">
        <v>20</v>
      </c>
    </row>
    <row r="2025" spans="1:33" ht="29">
      <c r="A2025" s="3" t="s">
        <v>2268</v>
      </c>
      <c r="D2025" s="3" t="s">
        <v>7309</v>
      </c>
      <c r="E2025" s="3" t="s">
        <v>12370</v>
      </c>
      <c r="J2025" s="9" t="s">
        <v>24</v>
      </c>
      <c r="L2025" s="9">
        <v>1</v>
      </c>
      <c r="M2025" s="9">
        <v>3</v>
      </c>
      <c r="N2025" s="9" t="s">
        <v>12087</v>
      </c>
      <c r="O2025" s="9" t="s">
        <v>12079</v>
      </c>
      <c r="Q2025" s="10"/>
      <c r="S2025" s="9">
        <v>356</v>
      </c>
      <c r="U2025" s="9" t="str">
        <f t="shared" ca="1" si="84"/>
        <v/>
      </c>
      <c r="V2025" s="9" t="str">
        <f t="shared" ca="1" si="85"/>
        <v/>
      </c>
      <c r="AG2025" s="9" t="s">
        <v>20</v>
      </c>
    </row>
    <row r="2026" spans="1:33">
      <c r="A2026" s="3" t="s">
        <v>2270</v>
      </c>
      <c r="D2026" s="3" t="s">
        <v>117</v>
      </c>
      <c r="E2026" s="3" t="s">
        <v>118</v>
      </c>
      <c r="J2026" s="9" t="s">
        <v>12118</v>
      </c>
      <c r="Q2026" s="10"/>
      <c r="T2026" s="9" t="s">
        <v>12131</v>
      </c>
      <c r="U2026" s="9" t="str">
        <f t="shared" ca="1" si="84"/>
        <v/>
      </c>
      <c r="V2026" s="9" t="str">
        <f t="shared" ca="1" si="85"/>
        <v/>
      </c>
      <c r="AB2026" s="9" t="s">
        <v>12124</v>
      </c>
      <c r="AC2026" s="9" t="s">
        <v>12740</v>
      </c>
      <c r="AD2026" s="9" t="s">
        <v>19</v>
      </c>
    </row>
    <row r="2027" spans="1:33">
      <c r="A2027" s="3" t="s">
        <v>2270</v>
      </c>
      <c r="D2027" s="3" t="s">
        <v>7310</v>
      </c>
      <c r="E2027" s="3" t="s">
        <v>7311</v>
      </c>
      <c r="J2027" s="9" t="s">
        <v>25</v>
      </c>
      <c r="L2027" s="9">
        <v>1</v>
      </c>
      <c r="M2027" s="9">
        <v>6</v>
      </c>
      <c r="N2027" s="9" t="s">
        <v>12078</v>
      </c>
      <c r="O2027" s="9" t="s">
        <v>12079</v>
      </c>
      <c r="Q2027" s="10"/>
      <c r="S2027" s="9">
        <v>11843</v>
      </c>
      <c r="U2027" s="9" t="str">
        <f t="shared" ca="1" si="84"/>
        <v/>
      </c>
      <c r="V2027" s="9" t="str">
        <f t="shared" ca="1" si="85"/>
        <v/>
      </c>
      <c r="AG2027" s="9" t="s">
        <v>20</v>
      </c>
    </row>
    <row r="2028" spans="1:33" ht="43.5">
      <c r="A2028" s="3" t="s">
        <v>2271</v>
      </c>
      <c r="D2028" s="3" t="s">
        <v>7313</v>
      </c>
      <c r="E2028" s="3" t="s">
        <v>7312</v>
      </c>
      <c r="J2028" s="9" t="s">
        <v>25</v>
      </c>
      <c r="L2028" s="9">
        <v>3</v>
      </c>
      <c r="M2028" s="9">
        <v>18</v>
      </c>
      <c r="O2028" s="9" t="s">
        <v>12073</v>
      </c>
      <c r="P2028" s="9" t="s">
        <v>12135</v>
      </c>
      <c r="Q2028" s="10" t="s">
        <v>12136</v>
      </c>
      <c r="S2028" s="9">
        <v>83</v>
      </c>
      <c r="U2028" s="9" t="str">
        <f t="shared" ca="1" si="84"/>
        <v/>
      </c>
      <c r="V2028" s="9" t="str">
        <f t="shared" ca="1" si="85"/>
        <v/>
      </c>
      <c r="AG2028" s="9" t="s">
        <v>20</v>
      </c>
    </row>
    <row r="2029" spans="1:33">
      <c r="A2029" s="3" t="s">
        <v>2272</v>
      </c>
      <c r="D2029" s="3" t="s">
        <v>541</v>
      </c>
      <c r="E2029" s="3" t="s">
        <v>2273</v>
      </c>
      <c r="J2029" s="9" t="s">
        <v>12120</v>
      </c>
      <c r="Q2029" s="10"/>
      <c r="U2029" s="9" t="str">
        <f t="shared" ca="1" si="84"/>
        <v/>
      </c>
      <c r="V2029" s="9" t="str">
        <f t="shared" ca="1" si="85"/>
        <v/>
      </c>
      <c r="AE2029" s="9" t="s">
        <v>12083</v>
      </c>
    </row>
    <row r="2030" spans="1:33">
      <c r="A2030" s="3" t="s">
        <v>2274</v>
      </c>
      <c r="D2030" s="3" t="s">
        <v>7314</v>
      </c>
      <c r="E2030" s="3" t="s">
        <v>7315</v>
      </c>
      <c r="G2030" t="s">
        <v>19</v>
      </c>
      <c r="J2030" s="9" t="s">
        <v>12120</v>
      </c>
      <c r="Q2030" s="10"/>
      <c r="U2030" s="9" t="str">
        <f t="shared" ca="1" si="84"/>
        <v/>
      </c>
      <c r="V2030" s="9" t="str">
        <f t="shared" ca="1" si="85"/>
        <v/>
      </c>
    </row>
    <row r="2031" spans="1:33">
      <c r="A2031" s="3" t="s">
        <v>2274</v>
      </c>
      <c r="D2031" s="3" t="s">
        <v>1403</v>
      </c>
      <c r="E2031" s="3" t="s">
        <v>1404</v>
      </c>
      <c r="J2031" s="9" t="s">
        <v>12118</v>
      </c>
      <c r="Q2031" s="10"/>
      <c r="T2031" s="9" t="s">
        <v>12119</v>
      </c>
      <c r="U2031" s="9" t="str">
        <f t="shared" ca="1" si="84"/>
        <v/>
      </c>
      <c r="V2031" s="9" t="str">
        <f t="shared" ca="1" si="85"/>
        <v/>
      </c>
      <c r="AC2031" s="9" t="s">
        <v>12130</v>
      </c>
      <c r="AD2031" s="9" t="s">
        <v>19</v>
      </c>
    </row>
    <row r="2032" spans="1:33">
      <c r="A2032" s="3" t="s">
        <v>2274</v>
      </c>
      <c r="D2032" s="3" t="s">
        <v>7316</v>
      </c>
      <c r="E2032" s="3" t="s">
        <v>7317</v>
      </c>
      <c r="J2032" s="9" t="s">
        <v>12120</v>
      </c>
      <c r="Q2032" s="10"/>
      <c r="U2032" s="9" t="str">
        <f t="shared" ca="1" si="84"/>
        <v/>
      </c>
      <c r="V2032" s="9" t="str">
        <f t="shared" ca="1" si="85"/>
        <v/>
      </c>
      <c r="AG2032" s="9" t="s">
        <v>20</v>
      </c>
    </row>
    <row r="2033" spans="1:33">
      <c r="A2033" s="3" t="s">
        <v>2275</v>
      </c>
      <c r="D2033" s="3" t="s">
        <v>2276</v>
      </c>
      <c r="E2033" s="3" t="s">
        <v>2277</v>
      </c>
      <c r="H2033" t="s">
        <v>19</v>
      </c>
      <c r="J2033" s="9" t="s">
        <v>12120</v>
      </c>
      <c r="Q2033" s="10"/>
      <c r="U2033" s="9" t="str">
        <f t="shared" ca="1" si="84"/>
        <v/>
      </c>
      <c r="V2033" s="9" t="str">
        <f t="shared" ca="1" si="85"/>
        <v/>
      </c>
      <c r="AC2033" s="9" t="s">
        <v>12144</v>
      </c>
      <c r="AD2033" s="9" t="s">
        <v>19</v>
      </c>
      <c r="AE2033" s="9" t="s">
        <v>12077</v>
      </c>
    </row>
    <row r="2034" spans="1:33">
      <c r="A2034" s="3" t="s">
        <v>2278</v>
      </c>
      <c r="D2034" s="3" t="s">
        <v>2279</v>
      </c>
      <c r="E2034" s="3" t="s">
        <v>7318</v>
      </c>
      <c r="G2034" t="s">
        <v>19</v>
      </c>
      <c r="J2034" s="9" t="s">
        <v>12120</v>
      </c>
      <c r="Q2034" s="10"/>
      <c r="U2034" s="9" t="str">
        <f t="shared" ca="1" si="84"/>
        <v/>
      </c>
      <c r="V2034" s="9" t="str">
        <f t="shared" ca="1" si="85"/>
        <v/>
      </c>
      <c r="AC2034" s="9" t="s">
        <v>12180</v>
      </c>
      <c r="AD2034" s="9" t="s">
        <v>19</v>
      </c>
      <c r="AE2034" s="9" t="s">
        <v>12089</v>
      </c>
    </row>
    <row r="2035" spans="1:33" ht="29">
      <c r="A2035" s="3" t="s">
        <v>2280</v>
      </c>
      <c r="D2035" s="3" t="s">
        <v>7319</v>
      </c>
      <c r="E2035" s="3" t="s">
        <v>7320</v>
      </c>
      <c r="J2035" s="9" t="s">
        <v>24</v>
      </c>
      <c r="L2035" s="9">
        <v>2</v>
      </c>
      <c r="M2035" s="9">
        <v>5</v>
      </c>
      <c r="O2035" s="9" t="s">
        <v>12073</v>
      </c>
      <c r="P2035" s="9" t="s">
        <v>12142</v>
      </c>
      <c r="Q2035" s="10" t="s">
        <v>12170</v>
      </c>
      <c r="R2035" s="9" t="s">
        <v>12074</v>
      </c>
      <c r="S2035" s="9">
        <v>87</v>
      </c>
      <c r="U2035" s="9" t="str">
        <f t="shared" ca="1" si="84"/>
        <v/>
      </c>
      <c r="V2035" s="9" t="str">
        <f t="shared" ca="1" si="85"/>
        <v/>
      </c>
      <c r="AE2035" s="9" t="s">
        <v>12083</v>
      </c>
    </row>
    <row r="2036" spans="1:33">
      <c r="A2036" s="3" t="s">
        <v>2281</v>
      </c>
      <c r="D2036" s="3" t="s">
        <v>7321</v>
      </c>
      <c r="E2036" s="3" t="s">
        <v>7322</v>
      </c>
      <c r="H2036" t="s">
        <v>19</v>
      </c>
      <c r="J2036" s="9" t="s">
        <v>12118</v>
      </c>
      <c r="Q2036" s="10"/>
      <c r="T2036" s="9" t="s">
        <v>12131</v>
      </c>
      <c r="U2036" s="9" t="str">
        <f t="shared" ca="1" si="84"/>
        <v/>
      </c>
      <c r="V2036" s="9" t="str">
        <f t="shared" ca="1" si="85"/>
        <v/>
      </c>
      <c r="AE2036" s="9" t="s">
        <v>12077</v>
      </c>
    </row>
    <row r="2037" spans="1:33">
      <c r="A2037" s="3" t="s">
        <v>2281</v>
      </c>
      <c r="D2037" s="3" t="s">
        <v>1414</v>
      </c>
      <c r="E2037" s="3" t="s">
        <v>2282</v>
      </c>
      <c r="J2037" s="9" t="s">
        <v>12118</v>
      </c>
      <c r="Q2037" s="10"/>
      <c r="T2037" s="9" t="s">
        <v>12131</v>
      </c>
      <c r="U2037" s="9" t="str">
        <f t="shared" ca="1" si="84"/>
        <v/>
      </c>
      <c r="V2037" s="9" t="str">
        <f t="shared" ca="1" si="85"/>
        <v/>
      </c>
      <c r="AC2037" s="9" t="s">
        <v>12188</v>
      </c>
      <c r="AD2037" s="9" t="s">
        <v>19</v>
      </c>
      <c r="AE2037" s="9" t="s">
        <v>12086</v>
      </c>
    </row>
    <row r="2038" spans="1:33">
      <c r="A2038" s="3" t="s">
        <v>2283</v>
      </c>
      <c r="D2038" s="3" t="s">
        <v>7323</v>
      </c>
      <c r="E2038" s="3" t="s">
        <v>7324</v>
      </c>
      <c r="J2038" s="9" t="s">
        <v>25</v>
      </c>
      <c r="L2038" s="9">
        <v>1</v>
      </c>
      <c r="M2038" s="9">
        <v>5</v>
      </c>
      <c r="N2038" s="9" t="s">
        <v>12094</v>
      </c>
      <c r="O2038" s="9" t="s">
        <v>12079</v>
      </c>
      <c r="Q2038" s="10"/>
      <c r="S2038" s="9">
        <v>930</v>
      </c>
      <c r="U2038" s="9" t="str">
        <f t="shared" ca="1" si="84"/>
        <v/>
      </c>
      <c r="V2038" s="9" t="str">
        <f t="shared" ca="1" si="85"/>
        <v/>
      </c>
      <c r="AG2038" s="9" t="s">
        <v>20</v>
      </c>
    </row>
    <row r="2039" spans="1:33">
      <c r="A2039" s="3" t="s">
        <v>2283</v>
      </c>
      <c r="D2039" s="3" t="s">
        <v>2284</v>
      </c>
      <c r="E2039" s="3" t="s">
        <v>1051</v>
      </c>
      <c r="J2039" s="9" t="s">
        <v>12120</v>
      </c>
      <c r="Q2039" s="10"/>
      <c r="U2039" s="9" t="str">
        <f t="shared" ca="1" si="84"/>
        <v/>
      </c>
      <c r="V2039" s="9" t="str">
        <f t="shared" ca="1" si="85"/>
        <v/>
      </c>
      <c r="AG2039" s="9" t="s">
        <v>19</v>
      </c>
    </row>
    <row r="2040" spans="1:33">
      <c r="A2040" s="3" t="s">
        <v>2283</v>
      </c>
      <c r="D2040" s="3" t="s">
        <v>7325</v>
      </c>
      <c r="E2040" s="3" t="s">
        <v>7326</v>
      </c>
      <c r="G2040" t="s">
        <v>19</v>
      </c>
      <c r="J2040" s="9" t="s">
        <v>24</v>
      </c>
      <c r="L2040" s="9">
        <v>1</v>
      </c>
      <c r="M2040" s="9">
        <v>1</v>
      </c>
      <c r="N2040" s="9" t="s">
        <v>12078</v>
      </c>
      <c r="O2040" s="9" t="s">
        <v>12119</v>
      </c>
      <c r="Q2040" s="10"/>
      <c r="S2040" s="9">
        <v>11843</v>
      </c>
      <c r="U2040" s="9" t="str">
        <f t="shared" ca="1" si="84"/>
        <v/>
      </c>
      <c r="V2040" s="9" t="str">
        <f t="shared" ca="1" si="85"/>
        <v/>
      </c>
    </row>
    <row r="2041" spans="1:33" ht="29">
      <c r="A2041" s="3" t="s">
        <v>2285</v>
      </c>
      <c r="D2041" s="3" t="s">
        <v>7328</v>
      </c>
      <c r="E2041" s="3" t="s">
        <v>7329</v>
      </c>
      <c r="I2041" t="s">
        <v>12673</v>
      </c>
      <c r="J2041" s="9" t="s">
        <v>12120</v>
      </c>
      <c r="Q2041" s="10"/>
      <c r="U2041" s="9" t="str">
        <f t="shared" ca="1" si="84"/>
        <v/>
      </c>
      <c r="V2041" s="9" t="str">
        <f t="shared" ca="1" si="85"/>
        <v/>
      </c>
      <c r="W2041" s="9" t="s">
        <v>12117</v>
      </c>
      <c r="AG2041" s="9" t="s">
        <v>19</v>
      </c>
    </row>
    <row r="2042" spans="1:33" ht="29">
      <c r="A2042" s="3" t="s">
        <v>2285</v>
      </c>
      <c r="D2042" s="3" t="s">
        <v>7327</v>
      </c>
      <c r="E2042" s="3" t="s">
        <v>7330</v>
      </c>
      <c r="I2042" t="s">
        <v>12673</v>
      </c>
      <c r="J2042" s="9" t="s">
        <v>24</v>
      </c>
      <c r="L2042" s="9">
        <v>1</v>
      </c>
      <c r="M2042" s="9">
        <v>3</v>
      </c>
      <c r="N2042" s="9" t="s">
        <v>12094</v>
      </c>
      <c r="O2042" s="9" t="s">
        <v>12079</v>
      </c>
      <c r="Q2042" s="10"/>
      <c r="S2042" s="9">
        <v>1741</v>
      </c>
      <c r="U2042" s="9" t="str">
        <f t="shared" ca="1" si="84"/>
        <v/>
      </c>
      <c r="V2042" s="9" t="str">
        <f t="shared" ca="1" si="85"/>
        <v/>
      </c>
      <c r="W2042" s="9" t="s">
        <v>12117</v>
      </c>
      <c r="AG2042" s="9" t="s">
        <v>19</v>
      </c>
    </row>
    <row r="2043" spans="1:33" ht="29">
      <c r="A2043" s="3" t="s">
        <v>2286</v>
      </c>
      <c r="D2043" s="3" t="s">
        <v>7331</v>
      </c>
      <c r="E2043" s="3" t="s">
        <v>7332</v>
      </c>
      <c r="G2043" t="s">
        <v>19</v>
      </c>
      <c r="J2043" s="9" t="s">
        <v>24</v>
      </c>
      <c r="L2043" s="9">
        <v>1</v>
      </c>
      <c r="M2043" s="9">
        <v>3</v>
      </c>
      <c r="N2043" s="9" t="s">
        <v>12092</v>
      </c>
      <c r="O2043" s="9" t="s">
        <v>12079</v>
      </c>
      <c r="Q2043" s="10"/>
      <c r="S2043" s="9">
        <v>133</v>
      </c>
      <c r="U2043" s="9" t="str">
        <f t="shared" ca="1" si="84"/>
        <v/>
      </c>
      <c r="V2043" s="9" t="str">
        <f t="shared" ca="1" si="85"/>
        <v/>
      </c>
      <c r="AE2043" s="9" t="s">
        <v>12089</v>
      </c>
    </row>
    <row r="2044" spans="1:33" ht="29">
      <c r="A2044" s="3" t="s">
        <v>2286</v>
      </c>
      <c r="D2044" s="3" t="s">
        <v>7334</v>
      </c>
      <c r="E2044" s="3" t="s">
        <v>7333</v>
      </c>
      <c r="G2044" t="s">
        <v>19</v>
      </c>
      <c r="J2044" s="9" t="s">
        <v>12118</v>
      </c>
      <c r="Q2044" s="10"/>
      <c r="T2044" s="9" t="s">
        <v>12131</v>
      </c>
      <c r="U2044" s="9" t="str">
        <f t="shared" ca="1" si="84"/>
        <v/>
      </c>
      <c r="V2044" s="9" t="str">
        <f t="shared" ca="1" si="85"/>
        <v/>
      </c>
      <c r="AC2044" s="9" t="s">
        <v>12134</v>
      </c>
      <c r="AD2044" s="9" t="s">
        <v>19</v>
      </c>
      <c r="AE2044" s="9" t="s">
        <v>12086</v>
      </c>
    </row>
    <row r="2045" spans="1:33">
      <c r="A2045" s="3" t="s">
        <v>2287</v>
      </c>
      <c r="D2045" s="3" t="s">
        <v>7335</v>
      </c>
      <c r="E2045" s="3" t="s">
        <v>7336</v>
      </c>
      <c r="G2045" t="s">
        <v>19</v>
      </c>
      <c r="J2045" s="9" t="s">
        <v>12118</v>
      </c>
      <c r="Q2045" s="10"/>
      <c r="T2045" s="9">
        <f>3-0</f>
        <v>3</v>
      </c>
      <c r="U2045" s="9">
        <f t="shared" ca="1" si="84"/>
        <v>0</v>
      </c>
      <c r="V2045" s="9">
        <f t="shared" ca="1" si="85"/>
        <v>3</v>
      </c>
      <c r="AE2045" s="9" t="s">
        <v>12089</v>
      </c>
    </row>
    <row r="2046" spans="1:33">
      <c r="A2046" s="3" t="s">
        <v>2288</v>
      </c>
      <c r="D2046" s="3" t="s">
        <v>7337</v>
      </c>
      <c r="E2046" s="3" t="s">
        <v>7338</v>
      </c>
      <c r="I2046" t="s">
        <v>13115</v>
      </c>
      <c r="J2046" s="9" t="s">
        <v>12118</v>
      </c>
      <c r="Q2046" s="10"/>
      <c r="T2046" s="9">
        <f>0-7</f>
        <v>-7</v>
      </c>
      <c r="U2046" s="9">
        <f t="shared" ca="1" si="84"/>
        <v>7</v>
      </c>
      <c r="V2046" s="9">
        <f t="shared" ca="1" si="85"/>
        <v>0</v>
      </c>
      <c r="AG2046" s="9" t="s">
        <v>20</v>
      </c>
    </row>
    <row r="2047" spans="1:33">
      <c r="A2047" s="3" t="s">
        <v>2288</v>
      </c>
      <c r="D2047" s="3" t="s">
        <v>12371</v>
      </c>
      <c r="E2047" s="3" t="s">
        <v>12372</v>
      </c>
      <c r="G2047" t="s">
        <v>19</v>
      </c>
      <c r="J2047" s="9" t="s">
        <v>12118</v>
      </c>
      <c r="Q2047" s="10"/>
      <c r="T2047" s="9">
        <f xml:space="preserve"> 560-7</f>
        <v>553</v>
      </c>
      <c r="U2047" s="9">
        <f t="shared" ca="1" si="84"/>
        <v>7</v>
      </c>
      <c r="V2047" s="9">
        <f t="shared" ca="1" si="85"/>
        <v>560</v>
      </c>
      <c r="AC2047" s="9" t="s">
        <v>12130</v>
      </c>
      <c r="AD2047" s="9" t="s">
        <v>19</v>
      </c>
      <c r="AE2047" s="9" t="s">
        <v>12089</v>
      </c>
    </row>
    <row r="2048" spans="1:33" ht="58">
      <c r="A2048" s="3" t="s">
        <v>2289</v>
      </c>
      <c r="D2048" s="3" t="s">
        <v>7339</v>
      </c>
      <c r="E2048" s="3" t="s">
        <v>7340</v>
      </c>
      <c r="I2048" t="s">
        <v>12373</v>
      </c>
      <c r="J2048" s="9" t="s">
        <v>26</v>
      </c>
      <c r="Q2048" s="10"/>
      <c r="U2048" s="9" t="str">
        <f t="shared" ca="1" si="84"/>
        <v/>
      </c>
      <c r="V2048" s="9" t="str">
        <f t="shared" ca="1" si="85"/>
        <v/>
      </c>
      <c r="AG2048" s="9" t="s">
        <v>20</v>
      </c>
    </row>
    <row r="2049" spans="1:33" ht="58">
      <c r="A2049" s="3" t="s">
        <v>2289</v>
      </c>
      <c r="D2049" s="3" t="s">
        <v>7341</v>
      </c>
      <c r="E2049" s="3" t="s">
        <v>7342</v>
      </c>
      <c r="J2049" s="9" t="s">
        <v>12120</v>
      </c>
      <c r="Q2049" s="10"/>
      <c r="U2049" s="9" t="str">
        <f t="shared" ca="1" si="84"/>
        <v/>
      </c>
      <c r="V2049" s="9" t="str">
        <f t="shared" ca="1" si="85"/>
        <v/>
      </c>
      <c r="AC2049" s="9" t="s">
        <v>12744</v>
      </c>
      <c r="AD2049" s="9" t="s">
        <v>19</v>
      </c>
      <c r="AE2049" s="9" t="s">
        <v>12086</v>
      </c>
    </row>
    <row r="2050" spans="1:33">
      <c r="A2050" s="3" t="s">
        <v>2289</v>
      </c>
      <c r="D2050" s="3" t="s">
        <v>2290</v>
      </c>
      <c r="E2050" s="3" t="s">
        <v>2291</v>
      </c>
      <c r="J2050" s="9" t="s">
        <v>12118</v>
      </c>
      <c r="Q2050" s="10"/>
      <c r="T2050" s="9">
        <f>54-17</f>
        <v>37</v>
      </c>
      <c r="U2050" s="9">
        <f t="shared" ca="1" si="84"/>
        <v>17</v>
      </c>
      <c r="V2050" s="9">
        <f t="shared" ca="1" si="85"/>
        <v>54</v>
      </c>
      <c r="AC2050" s="9" t="s">
        <v>12130</v>
      </c>
      <c r="AD2050" s="9" t="s">
        <v>19</v>
      </c>
      <c r="AE2050" s="9" t="s">
        <v>12086</v>
      </c>
    </row>
    <row r="2051" spans="1:33">
      <c r="A2051" s="3" t="s">
        <v>2292</v>
      </c>
      <c r="D2051" s="3" t="s">
        <v>1269</v>
      </c>
      <c r="E2051" s="3" t="s">
        <v>1248</v>
      </c>
      <c r="J2051" s="9" t="s">
        <v>12120</v>
      </c>
      <c r="Q2051" s="10"/>
      <c r="U2051" s="9" t="str">
        <f t="shared" ca="1" si="84"/>
        <v/>
      </c>
      <c r="V2051" s="9" t="str">
        <f t="shared" ca="1" si="85"/>
        <v/>
      </c>
      <c r="AG2051" s="9" t="s">
        <v>19</v>
      </c>
    </row>
    <row r="2052" spans="1:33">
      <c r="A2052" s="3" t="s">
        <v>2292</v>
      </c>
      <c r="D2052" s="3" t="s">
        <v>7343</v>
      </c>
      <c r="E2052" s="3" t="s">
        <v>7344</v>
      </c>
      <c r="J2052" s="9" t="s">
        <v>24</v>
      </c>
      <c r="L2052" s="9">
        <v>1</v>
      </c>
      <c r="M2052" s="9">
        <v>3</v>
      </c>
      <c r="N2052" s="9" t="s">
        <v>12078</v>
      </c>
      <c r="O2052" s="9" t="s">
        <v>12079</v>
      </c>
      <c r="Q2052" s="10"/>
      <c r="S2052" s="9">
        <v>11843</v>
      </c>
      <c r="U2052" s="9" t="str">
        <f t="shared" ca="1" si="84"/>
        <v/>
      </c>
      <c r="V2052" s="9" t="str">
        <f t="shared" ca="1" si="85"/>
        <v/>
      </c>
      <c r="AG2052" s="9" t="s">
        <v>20</v>
      </c>
    </row>
    <row r="2053" spans="1:33">
      <c r="A2053" s="3" t="s">
        <v>2292</v>
      </c>
      <c r="D2053" s="3" t="s">
        <v>7346</v>
      </c>
      <c r="E2053" s="3" t="s">
        <v>7345</v>
      </c>
      <c r="J2053" s="9" t="s">
        <v>12118</v>
      </c>
      <c r="Q2053" s="10"/>
      <c r="T2053" s="9" t="s">
        <v>12131</v>
      </c>
      <c r="U2053" s="9" t="str">
        <f t="shared" ca="1" si="84"/>
        <v/>
      </c>
      <c r="V2053" s="9" t="str">
        <f t="shared" ca="1" si="85"/>
        <v/>
      </c>
      <c r="AB2053" s="9" t="s">
        <v>12124</v>
      </c>
      <c r="AC2053" s="9" t="s">
        <v>12740</v>
      </c>
      <c r="AD2053" s="9" t="s">
        <v>19</v>
      </c>
    </row>
    <row r="2054" spans="1:33">
      <c r="A2054" s="3" t="s">
        <v>2293</v>
      </c>
      <c r="D2054" s="3" t="s">
        <v>6286</v>
      </c>
      <c r="E2054" s="3" t="s">
        <v>7347</v>
      </c>
      <c r="J2054" s="9" t="s">
        <v>25</v>
      </c>
      <c r="L2054" s="9">
        <v>1</v>
      </c>
      <c r="M2054" s="9">
        <v>3</v>
      </c>
      <c r="N2054" s="9" t="s">
        <v>12092</v>
      </c>
      <c r="O2054" s="9" t="s">
        <v>12079</v>
      </c>
      <c r="Q2054" s="10"/>
      <c r="S2054" s="9">
        <v>635</v>
      </c>
      <c r="U2054" s="9" t="str">
        <f t="shared" ca="1" si="84"/>
        <v/>
      </c>
      <c r="V2054" s="9" t="str">
        <f t="shared" ca="1" si="85"/>
        <v/>
      </c>
      <c r="AG2054" s="9" t="s">
        <v>19</v>
      </c>
    </row>
    <row r="2055" spans="1:33">
      <c r="A2055" s="3" t="s">
        <v>2293</v>
      </c>
      <c r="D2055" s="3" t="s">
        <v>2294</v>
      </c>
      <c r="E2055" s="3" t="s">
        <v>2295</v>
      </c>
      <c r="J2055" s="9" t="s">
        <v>12118</v>
      </c>
      <c r="Q2055" s="10"/>
      <c r="T2055" s="9">
        <f>3-0</f>
        <v>3</v>
      </c>
      <c r="U2055" s="9">
        <f t="shared" ca="1" si="84"/>
        <v>0</v>
      </c>
      <c r="V2055" s="9">
        <f t="shared" ca="1" si="85"/>
        <v>3</v>
      </c>
      <c r="AC2055" s="9" t="s">
        <v>12744</v>
      </c>
      <c r="AD2055" s="9" t="s">
        <v>19</v>
      </c>
      <c r="AE2055" s="9" t="s">
        <v>12086</v>
      </c>
    </row>
    <row r="2056" spans="1:33">
      <c r="A2056" s="3" t="s">
        <v>2296</v>
      </c>
      <c r="D2056" s="3" t="s">
        <v>2297</v>
      </c>
      <c r="E2056" s="3" t="s">
        <v>302</v>
      </c>
      <c r="J2056" s="9" t="s">
        <v>12120</v>
      </c>
      <c r="Q2056" s="10"/>
      <c r="U2056" s="9" t="str">
        <f t="shared" ca="1" si="84"/>
        <v/>
      </c>
      <c r="V2056" s="9" t="str">
        <f t="shared" ca="1" si="85"/>
        <v/>
      </c>
      <c r="AG2056" s="9" t="s">
        <v>20</v>
      </c>
    </row>
    <row r="2057" spans="1:33">
      <c r="A2057" s="3" t="s">
        <v>2298</v>
      </c>
      <c r="D2057" s="3" t="s">
        <v>2299</v>
      </c>
      <c r="E2057" s="3" t="s">
        <v>2300</v>
      </c>
      <c r="J2057" s="9" t="s">
        <v>12120</v>
      </c>
      <c r="Q2057" s="10"/>
      <c r="U2057" s="9" t="str">
        <f t="shared" ca="1" si="84"/>
        <v/>
      </c>
      <c r="V2057" s="9" t="str">
        <f t="shared" ca="1" si="85"/>
        <v/>
      </c>
      <c r="AG2057" s="9" t="s">
        <v>19</v>
      </c>
    </row>
    <row r="2058" spans="1:33">
      <c r="A2058" s="3" t="s">
        <v>2298</v>
      </c>
      <c r="D2058" s="3" t="s">
        <v>2301</v>
      </c>
      <c r="E2058" s="3" t="s">
        <v>2302</v>
      </c>
      <c r="J2058" s="9" t="s">
        <v>12120</v>
      </c>
      <c r="Q2058" s="10"/>
      <c r="U2058" s="9" t="str">
        <f t="shared" ca="1" si="84"/>
        <v/>
      </c>
      <c r="V2058" s="9" t="str">
        <f t="shared" ca="1" si="85"/>
        <v/>
      </c>
      <c r="AB2058" s="9" t="s">
        <v>12738</v>
      </c>
      <c r="AD2058" s="9" t="s">
        <v>19</v>
      </c>
      <c r="AE2058" s="9" t="s">
        <v>12086</v>
      </c>
    </row>
    <row r="2059" spans="1:33" ht="29">
      <c r="A2059" s="3" t="s">
        <v>2298</v>
      </c>
      <c r="D2059" s="3" t="s">
        <v>7348</v>
      </c>
      <c r="E2059" s="3" t="s">
        <v>7349</v>
      </c>
      <c r="J2059" s="9" t="s">
        <v>25</v>
      </c>
      <c r="L2059" s="9">
        <v>1</v>
      </c>
      <c r="M2059" s="9">
        <v>8</v>
      </c>
      <c r="N2059" s="9" t="s">
        <v>12092</v>
      </c>
      <c r="O2059" s="9" t="s">
        <v>12079</v>
      </c>
      <c r="Q2059" s="10"/>
      <c r="S2059" s="9">
        <v>4</v>
      </c>
      <c r="U2059" s="9" t="str">
        <f t="shared" ca="1" si="84"/>
        <v/>
      </c>
      <c r="V2059" s="9" t="str">
        <f t="shared" ca="1" si="85"/>
        <v/>
      </c>
      <c r="AG2059" s="9" t="s">
        <v>19</v>
      </c>
    </row>
    <row r="2060" spans="1:33">
      <c r="A2060" s="3" t="s">
        <v>2303</v>
      </c>
      <c r="D2060" s="3" t="s">
        <v>7351</v>
      </c>
      <c r="E2060" s="3" t="s">
        <v>7350</v>
      </c>
      <c r="J2060" s="9" t="s">
        <v>25</v>
      </c>
      <c r="L2060" s="9">
        <v>1</v>
      </c>
      <c r="M2060" s="9">
        <v>1</v>
      </c>
      <c r="N2060" s="9" t="s">
        <v>12078</v>
      </c>
      <c r="O2060" s="9" t="s">
        <v>12079</v>
      </c>
      <c r="Q2060" s="10"/>
      <c r="S2060" s="9">
        <v>11843</v>
      </c>
      <c r="U2060" s="9" t="str">
        <f t="shared" ca="1" si="84"/>
        <v/>
      </c>
      <c r="V2060" s="9" t="str">
        <f t="shared" ca="1" si="85"/>
        <v/>
      </c>
      <c r="AG2060" s="9" t="s">
        <v>13141</v>
      </c>
    </row>
    <row r="2061" spans="1:33" ht="29">
      <c r="A2061" s="3" t="s">
        <v>2303</v>
      </c>
      <c r="D2061" s="3" t="s">
        <v>7353</v>
      </c>
      <c r="E2061" s="3" t="s">
        <v>7352</v>
      </c>
      <c r="J2061" s="9" t="s">
        <v>25</v>
      </c>
      <c r="L2061" s="9">
        <v>2</v>
      </c>
      <c r="M2061" s="9">
        <v>12</v>
      </c>
      <c r="O2061" s="9" t="s">
        <v>12073</v>
      </c>
      <c r="P2061" s="9" t="s">
        <v>12142</v>
      </c>
      <c r="Q2061" s="10" t="s">
        <v>12199</v>
      </c>
      <c r="S2061" s="9">
        <v>11</v>
      </c>
      <c r="U2061" s="9" t="str">
        <f t="shared" ref="U2061:U2124" ca="1" si="86">IF(ISNUMBER(T2061),VALUE(MID(_xlfn.FORMULATEXT(T2061),SEARCH("-",_xlfn.FORMULATEXT(T2061))+1,LEN(_xlfn.FORMULATEXT(T2061))-SEARCH("-",_xlfn.FORMULATEXT(T2061)))), "")</f>
        <v/>
      </c>
      <c r="V2061" s="9" t="str">
        <f t="shared" ref="V2061:V2124" ca="1" si="87">IF(ISNUMBER(T2061), VALUE(MID(_xlfn.FORMULATEXT(T2061), 2, SEARCH("-", _xlfn.FORMULATEXT(T2061)) - 2)), "")</f>
        <v/>
      </c>
      <c r="AG2061" s="9" t="s">
        <v>19</v>
      </c>
    </row>
    <row r="2062" spans="1:33" ht="43.5">
      <c r="A2062" s="3" t="s">
        <v>2304</v>
      </c>
      <c r="D2062" s="3" t="s">
        <v>7355</v>
      </c>
      <c r="E2062" s="3" t="s">
        <v>7354</v>
      </c>
      <c r="J2062" s="9" t="s">
        <v>12118</v>
      </c>
      <c r="Q2062" s="10"/>
      <c r="T2062" s="9">
        <f>11843-66</f>
        <v>11777</v>
      </c>
      <c r="U2062" s="9">
        <f t="shared" ca="1" si="86"/>
        <v>66</v>
      </c>
      <c r="V2062" s="9">
        <f t="shared" ca="1" si="87"/>
        <v>11843</v>
      </c>
      <c r="AG2062" s="9" t="s">
        <v>20</v>
      </c>
    </row>
    <row r="2063" spans="1:33">
      <c r="A2063" s="3" t="s">
        <v>2304</v>
      </c>
      <c r="D2063" s="3" t="s">
        <v>7356</v>
      </c>
      <c r="E2063" s="3" t="s">
        <v>7357</v>
      </c>
      <c r="J2063" s="9" t="s">
        <v>25</v>
      </c>
      <c r="L2063" s="9">
        <v>1</v>
      </c>
      <c r="M2063" s="9">
        <v>2</v>
      </c>
      <c r="N2063" s="9" t="s">
        <v>12087</v>
      </c>
      <c r="O2063" s="9" t="s">
        <v>12079</v>
      </c>
      <c r="Q2063" s="10"/>
      <c r="S2063" s="9">
        <v>1966</v>
      </c>
      <c r="U2063" s="9" t="str">
        <f t="shared" ca="1" si="86"/>
        <v/>
      </c>
      <c r="V2063" s="9" t="str">
        <f t="shared" ca="1" si="87"/>
        <v/>
      </c>
      <c r="AG2063" s="9" t="s">
        <v>19</v>
      </c>
    </row>
    <row r="2064" spans="1:33">
      <c r="A2064" s="3" t="s">
        <v>2305</v>
      </c>
      <c r="D2064" s="11" t="s">
        <v>12897</v>
      </c>
      <c r="E2064" s="11" t="s">
        <v>7358</v>
      </c>
      <c r="J2064" s="9" t="s">
        <v>25</v>
      </c>
      <c r="L2064" s="9">
        <v>1</v>
      </c>
      <c r="M2064" s="9">
        <v>1</v>
      </c>
      <c r="N2064" s="9" t="s">
        <v>12078</v>
      </c>
      <c r="O2064" s="9" t="s">
        <v>12079</v>
      </c>
      <c r="Q2064" s="10"/>
      <c r="S2064" s="9">
        <v>11843</v>
      </c>
      <c r="U2064" s="9" t="str">
        <f t="shared" ca="1" si="86"/>
        <v/>
      </c>
      <c r="V2064" s="9" t="str">
        <f t="shared" ca="1" si="87"/>
        <v/>
      </c>
      <c r="AG2064" s="9" t="s">
        <v>20</v>
      </c>
    </row>
    <row r="2065" spans="1:33">
      <c r="A2065" s="3" t="s">
        <v>2306</v>
      </c>
      <c r="D2065" s="3" t="s">
        <v>2307</v>
      </c>
      <c r="E2065" s="3" t="s">
        <v>2308</v>
      </c>
      <c r="J2065" s="9" t="s">
        <v>12118</v>
      </c>
      <c r="Q2065" s="10"/>
      <c r="T2065" s="9">
        <f>5-0</f>
        <v>5</v>
      </c>
      <c r="U2065" s="9">
        <f t="shared" ca="1" si="86"/>
        <v>0</v>
      </c>
      <c r="V2065" s="9">
        <f t="shared" ca="1" si="87"/>
        <v>5</v>
      </c>
      <c r="AG2065" s="9" t="s">
        <v>19</v>
      </c>
    </row>
    <row r="2066" spans="1:33">
      <c r="A2066" s="3" t="s">
        <v>2309</v>
      </c>
      <c r="D2066" s="3" t="s">
        <v>7359</v>
      </c>
      <c r="E2066" s="3" t="s">
        <v>7360</v>
      </c>
      <c r="J2066" s="9" t="s">
        <v>12121</v>
      </c>
      <c r="Q2066" s="10"/>
      <c r="T2066" s="9">
        <f>21-1</f>
        <v>20</v>
      </c>
      <c r="U2066" s="9">
        <f t="shared" ca="1" si="86"/>
        <v>1</v>
      </c>
      <c r="V2066" s="9">
        <f t="shared" ca="1" si="87"/>
        <v>21</v>
      </c>
      <c r="AG2066" s="9" t="s">
        <v>19</v>
      </c>
    </row>
    <row r="2067" spans="1:33">
      <c r="A2067" s="3" t="s">
        <v>2310</v>
      </c>
      <c r="D2067" s="3" t="s">
        <v>7361</v>
      </c>
      <c r="E2067" s="3" t="s">
        <v>7362</v>
      </c>
      <c r="J2067" s="9" t="s">
        <v>12118</v>
      </c>
      <c r="Q2067" s="10"/>
      <c r="T2067" s="9">
        <f>137-133</f>
        <v>4</v>
      </c>
      <c r="U2067" s="9">
        <f t="shared" ca="1" si="86"/>
        <v>133</v>
      </c>
      <c r="V2067" s="9">
        <f t="shared" ca="1" si="87"/>
        <v>137</v>
      </c>
      <c r="AG2067" s="9" t="s">
        <v>20</v>
      </c>
    </row>
    <row r="2068" spans="1:33">
      <c r="A2068" s="3" t="s">
        <v>2311</v>
      </c>
      <c r="D2068" s="3" t="s">
        <v>7363</v>
      </c>
      <c r="E2068" s="3" t="s">
        <v>7364</v>
      </c>
      <c r="J2068" s="9" t="s">
        <v>12120</v>
      </c>
      <c r="Q2068" s="10"/>
      <c r="U2068" s="9" t="str">
        <f t="shared" ca="1" si="86"/>
        <v/>
      </c>
      <c r="V2068" s="9" t="str">
        <f t="shared" ca="1" si="87"/>
        <v/>
      </c>
      <c r="AE2068" s="9" t="s">
        <v>12083</v>
      </c>
    </row>
    <row r="2069" spans="1:33">
      <c r="A2069" s="3" t="s">
        <v>2312</v>
      </c>
      <c r="D2069" s="3" t="s">
        <v>1823</v>
      </c>
      <c r="E2069" s="3" t="s">
        <v>2313</v>
      </c>
      <c r="J2069" s="9" t="s">
        <v>12120</v>
      </c>
      <c r="Q2069" s="10"/>
      <c r="U2069" s="9" t="str">
        <f t="shared" ca="1" si="86"/>
        <v/>
      </c>
      <c r="V2069" s="9" t="str">
        <f t="shared" ca="1" si="87"/>
        <v/>
      </c>
      <c r="AG2069" s="9" t="s">
        <v>19</v>
      </c>
    </row>
    <row r="2070" spans="1:33">
      <c r="A2070" s="3" t="s">
        <v>2314</v>
      </c>
      <c r="D2070" s="3" t="s">
        <v>7365</v>
      </c>
      <c r="E2070" s="3" t="s">
        <v>7366</v>
      </c>
      <c r="J2070" s="9" t="s">
        <v>12120</v>
      </c>
      <c r="Q2070" s="10"/>
      <c r="U2070" s="9" t="str">
        <f t="shared" ca="1" si="86"/>
        <v/>
      </c>
      <c r="V2070" s="9" t="str">
        <f t="shared" ca="1" si="87"/>
        <v/>
      </c>
      <c r="AE2070" s="9" t="s">
        <v>12077</v>
      </c>
    </row>
    <row r="2071" spans="1:33">
      <c r="A2071" s="3" t="s">
        <v>2315</v>
      </c>
      <c r="D2071" s="3" t="s">
        <v>2316</v>
      </c>
      <c r="E2071" s="3" t="s">
        <v>2317</v>
      </c>
      <c r="J2071" s="9" t="s">
        <v>12118</v>
      </c>
      <c r="Q2071" s="10"/>
      <c r="R2071" s="9" t="s">
        <v>12074</v>
      </c>
      <c r="T2071" s="9" t="s">
        <v>12131</v>
      </c>
      <c r="U2071" s="9" t="str">
        <f t="shared" ca="1" si="86"/>
        <v/>
      </c>
      <c r="V2071" s="9" t="str">
        <f t="shared" ca="1" si="87"/>
        <v/>
      </c>
      <c r="AE2071" s="9" t="s">
        <v>12077</v>
      </c>
    </row>
    <row r="2072" spans="1:33">
      <c r="A2072" s="3" t="s">
        <v>2315</v>
      </c>
      <c r="D2072" s="3" t="s">
        <v>2318</v>
      </c>
      <c r="E2072" s="3" t="s">
        <v>2319</v>
      </c>
      <c r="J2072" s="9" t="s">
        <v>12118</v>
      </c>
      <c r="Q2072" s="10"/>
      <c r="T2072" s="9" t="s">
        <v>12131</v>
      </c>
      <c r="U2072" s="9" t="str">
        <f t="shared" ca="1" si="86"/>
        <v/>
      </c>
      <c r="V2072" s="9" t="str">
        <f t="shared" ca="1" si="87"/>
        <v/>
      </c>
      <c r="AE2072" s="9" t="s">
        <v>12077</v>
      </c>
    </row>
    <row r="2073" spans="1:33" ht="145">
      <c r="A2073" s="3" t="s">
        <v>2315</v>
      </c>
      <c r="D2073" s="3" t="s">
        <v>12898</v>
      </c>
      <c r="E2073" s="3" t="s">
        <v>7368</v>
      </c>
      <c r="I2073" t="s">
        <v>12374</v>
      </c>
      <c r="J2073" s="9" t="s">
        <v>26</v>
      </c>
      <c r="Q2073" s="10"/>
      <c r="U2073" s="9" t="str">
        <f t="shared" ca="1" si="86"/>
        <v/>
      </c>
      <c r="V2073" s="9" t="str">
        <f t="shared" ca="1" si="87"/>
        <v/>
      </c>
      <c r="AG2073" s="9" t="s">
        <v>20</v>
      </c>
    </row>
    <row r="2074" spans="1:33" ht="130.5">
      <c r="A2074" s="3" t="s">
        <v>2320</v>
      </c>
      <c r="D2074" s="3" t="s">
        <v>12899</v>
      </c>
      <c r="E2074" s="3" t="s">
        <v>7369</v>
      </c>
      <c r="J2074" s="9" t="s">
        <v>12120</v>
      </c>
      <c r="Q2074" s="10"/>
      <c r="V2074" s="9" t="str">
        <f t="shared" ca="1" si="87"/>
        <v/>
      </c>
      <c r="AG2074" s="9" t="s">
        <v>20</v>
      </c>
    </row>
    <row r="2075" spans="1:33" ht="130.5">
      <c r="A2075" s="3" t="s">
        <v>2320</v>
      </c>
      <c r="D2075" s="3" t="s">
        <v>12900</v>
      </c>
      <c r="E2075" s="3" t="s">
        <v>7367</v>
      </c>
      <c r="J2075" s="9" t="s">
        <v>25</v>
      </c>
      <c r="L2075" s="9">
        <v>2</v>
      </c>
      <c r="M2075" s="9">
        <v>20</v>
      </c>
      <c r="O2075" s="9" t="s">
        <v>12079</v>
      </c>
      <c r="Q2075" s="10"/>
      <c r="S2075" s="9">
        <v>3</v>
      </c>
      <c r="U2075" s="9" t="str">
        <f t="shared" ca="1" si="86"/>
        <v/>
      </c>
      <c r="V2075" s="9" t="str">
        <f t="shared" ca="1" si="87"/>
        <v/>
      </c>
      <c r="AG2075" s="9" t="s">
        <v>19</v>
      </c>
    </row>
    <row r="2076" spans="1:33" ht="130.5">
      <c r="A2076" s="3" t="s">
        <v>2320</v>
      </c>
      <c r="D2076" s="3" t="s">
        <v>12901</v>
      </c>
      <c r="E2076" s="3" t="s">
        <v>7370</v>
      </c>
      <c r="F2076" t="s">
        <v>4774</v>
      </c>
      <c r="G2076" t="s">
        <v>20</v>
      </c>
      <c r="I2076" t="s">
        <v>7371</v>
      </c>
      <c r="Q2076" s="10"/>
      <c r="U2076" s="9" t="str">
        <f t="shared" ca="1" si="86"/>
        <v/>
      </c>
      <c r="V2076" s="9" t="str">
        <f t="shared" ca="1" si="87"/>
        <v/>
      </c>
    </row>
    <row r="2077" spans="1:33">
      <c r="A2077" s="3" t="s">
        <v>2321</v>
      </c>
      <c r="D2077" s="3" t="s">
        <v>2322</v>
      </c>
      <c r="E2077" s="3" t="s">
        <v>2323</v>
      </c>
      <c r="J2077" s="9" t="s">
        <v>12120</v>
      </c>
      <c r="Q2077" s="10"/>
      <c r="U2077" s="9" t="str">
        <f t="shared" ca="1" si="86"/>
        <v/>
      </c>
      <c r="V2077" s="9" t="str">
        <f t="shared" ca="1" si="87"/>
        <v/>
      </c>
      <c r="AG2077" s="9" t="s">
        <v>20</v>
      </c>
    </row>
    <row r="2078" spans="1:33">
      <c r="A2078" s="3" t="s">
        <v>2324</v>
      </c>
      <c r="D2078" s="3" t="s">
        <v>7373</v>
      </c>
      <c r="E2078" s="3" t="s">
        <v>7372</v>
      </c>
      <c r="J2078" s="9" t="s">
        <v>12120</v>
      </c>
      <c r="Q2078" s="10"/>
      <c r="U2078" s="9" t="str">
        <f t="shared" ca="1" si="86"/>
        <v/>
      </c>
      <c r="V2078" s="9" t="str">
        <f t="shared" ca="1" si="87"/>
        <v/>
      </c>
      <c r="AG2078" s="9" t="s">
        <v>20</v>
      </c>
    </row>
    <row r="2079" spans="1:33" ht="43.5">
      <c r="A2079" s="3" t="s">
        <v>2325</v>
      </c>
      <c r="D2079" s="3" t="s">
        <v>7375</v>
      </c>
      <c r="E2079" s="3" t="s">
        <v>7374</v>
      </c>
      <c r="I2079" t="s">
        <v>12141</v>
      </c>
      <c r="J2079" s="9" t="s">
        <v>26</v>
      </c>
      <c r="Q2079" s="10"/>
      <c r="U2079" s="9" t="str">
        <f t="shared" ca="1" si="86"/>
        <v/>
      </c>
      <c r="V2079" s="9" t="str">
        <f t="shared" ca="1" si="87"/>
        <v/>
      </c>
      <c r="AG2079" s="9" t="s">
        <v>19</v>
      </c>
    </row>
    <row r="2080" spans="1:33">
      <c r="A2080" s="3" t="s">
        <v>2326</v>
      </c>
      <c r="D2080" s="3" t="s">
        <v>7376</v>
      </c>
      <c r="E2080" s="3" t="s">
        <v>7377</v>
      </c>
      <c r="G2080" t="s">
        <v>19</v>
      </c>
      <c r="J2080" s="9" t="s">
        <v>12118</v>
      </c>
      <c r="Q2080" s="10"/>
      <c r="T2080" s="9">
        <f>11843-3</f>
        <v>11840</v>
      </c>
      <c r="U2080" s="9">
        <f t="shared" ca="1" si="86"/>
        <v>3</v>
      </c>
      <c r="V2080" s="9">
        <f t="shared" ca="1" si="87"/>
        <v>11843</v>
      </c>
      <c r="AE2080" s="9" t="s">
        <v>12089</v>
      </c>
    </row>
    <row r="2081" spans="1:33">
      <c r="A2081" s="3" t="s">
        <v>2326</v>
      </c>
      <c r="D2081" s="3" t="s">
        <v>7378</v>
      </c>
      <c r="E2081" s="3" t="s">
        <v>7379</v>
      </c>
      <c r="J2081" s="9" t="s">
        <v>12118</v>
      </c>
      <c r="Q2081" s="10"/>
      <c r="T2081" s="9">
        <f>930-4240</f>
        <v>-3310</v>
      </c>
      <c r="U2081" s="9">
        <f t="shared" ca="1" si="86"/>
        <v>4240</v>
      </c>
      <c r="V2081" s="9">
        <f t="shared" ca="1" si="87"/>
        <v>930</v>
      </c>
      <c r="AG2081" s="9" t="s">
        <v>19</v>
      </c>
    </row>
    <row r="2082" spans="1:33">
      <c r="A2082" s="3" t="s">
        <v>2327</v>
      </c>
      <c r="D2082" s="3" t="s">
        <v>7378</v>
      </c>
      <c r="E2082" s="3" t="s">
        <v>7379</v>
      </c>
      <c r="J2082" s="9" t="s">
        <v>12118</v>
      </c>
      <c r="Q2082" s="10"/>
      <c r="T2082" s="9">
        <f>930-4240</f>
        <v>-3310</v>
      </c>
      <c r="U2082" s="9">
        <f t="shared" ca="1" si="86"/>
        <v>4240</v>
      </c>
      <c r="V2082" s="9">
        <f t="shared" ca="1" si="87"/>
        <v>930</v>
      </c>
      <c r="AG2082" s="9" t="s">
        <v>19</v>
      </c>
    </row>
    <row r="2083" spans="1:33">
      <c r="A2083" s="3" t="s">
        <v>2328</v>
      </c>
      <c r="D2083" s="3" t="s">
        <v>2329</v>
      </c>
      <c r="E2083" s="3" t="s">
        <v>241</v>
      </c>
      <c r="G2083" t="s">
        <v>19</v>
      </c>
      <c r="J2083" s="9" t="s">
        <v>12118</v>
      </c>
      <c r="Q2083" s="10"/>
      <c r="T2083" s="9" t="s">
        <v>12119</v>
      </c>
      <c r="U2083" s="9" t="str">
        <f t="shared" ca="1" si="86"/>
        <v/>
      </c>
      <c r="V2083" s="9" t="str">
        <f t="shared" ca="1" si="87"/>
        <v/>
      </c>
      <c r="AC2083" s="9" t="s">
        <v>12144</v>
      </c>
      <c r="AD2083" s="9" t="s">
        <v>19</v>
      </c>
      <c r="AE2083" s="9" t="s">
        <v>12086</v>
      </c>
    </row>
    <row r="2084" spans="1:33">
      <c r="A2084" s="3" t="s">
        <v>2330</v>
      </c>
      <c r="D2084" s="3" t="s">
        <v>7380</v>
      </c>
      <c r="E2084" s="3" t="s">
        <v>7381</v>
      </c>
      <c r="G2084" t="s">
        <v>19</v>
      </c>
      <c r="J2084" s="9" t="s">
        <v>25</v>
      </c>
      <c r="L2084" s="9">
        <v>1</v>
      </c>
      <c r="M2084" s="9">
        <v>3</v>
      </c>
      <c r="N2084" s="9" t="s">
        <v>12078</v>
      </c>
      <c r="O2084" s="9" t="s">
        <v>12079</v>
      </c>
      <c r="Q2084" s="10"/>
      <c r="S2084" s="9">
        <v>11843</v>
      </c>
      <c r="U2084" s="9" t="str">
        <f t="shared" ca="1" si="86"/>
        <v/>
      </c>
      <c r="V2084" s="9" t="str">
        <f t="shared" ca="1" si="87"/>
        <v/>
      </c>
    </row>
    <row r="2085" spans="1:33">
      <c r="A2085" s="3" t="s">
        <v>2331</v>
      </c>
      <c r="D2085" s="3" t="s">
        <v>7382</v>
      </c>
      <c r="E2085" s="3" t="s">
        <v>7383</v>
      </c>
      <c r="J2085" s="9" t="s">
        <v>24</v>
      </c>
      <c r="L2085" s="9">
        <v>1</v>
      </c>
      <c r="M2085" s="9">
        <v>3</v>
      </c>
      <c r="N2085" s="9" t="s">
        <v>12087</v>
      </c>
      <c r="O2085" s="9" t="s">
        <v>12073</v>
      </c>
      <c r="P2085" s="9" t="s">
        <v>12142</v>
      </c>
      <c r="Q2085" s="10" t="s">
        <v>12143</v>
      </c>
      <c r="R2085" s="9" t="s">
        <v>12074</v>
      </c>
      <c r="S2085" s="9">
        <v>5676</v>
      </c>
      <c r="U2085" s="9" t="str">
        <f t="shared" ca="1" si="86"/>
        <v/>
      </c>
      <c r="V2085" s="9" t="str">
        <f t="shared" ca="1" si="87"/>
        <v/>
      </c>
      <c r="AE2085" s="9" t="s">
        <v>12083</v>
      </c>
    </row>
    <row r="2086" spans="1:33">
      <c r="A2086" s="3" t="s">
        <v>2332</v>
      </c>
      <c r="D2086" s="3" t="s">
        <v>7384</v>
      </c>
      <c r="E2086" s="3" t="s">
        <v>7386</v>
      </c>
      <c r="J2086" s="9" t="s">
        <v>25</v>
      </c>
      <c r="L2086" s="9">
        <v>1</v>
      </c>
      <c r="M2086" s="9">
        <v>2</v>
      </c>
      <c r="N2086" s="9" t="s">
        <v>12087</v>
      </c>
      <c r="O2086" s="9" t="s">
        <v>12119</v>
      </c>
      <c r="Q2086" s="10"/>
      <c r="S2086" s="9">
        <v>227</v>
      </c>
      <c r="U2086" s="9" t="str">
        <f t="shared" ca="1" si="86"/>
        <v/>
      </c>
      <c r="V2086" s="9" t="str">
        <f t="shared" ca="1" si="87"/>
        <v/>
      </c>
      <c r="AG2086" s="9" t="s">
        <v>20</v>
      </c>
    </row>
    <row r="2087" spans="1:33">
      <c r="A2087" s="3" t="s">
        <v>2333</v>
      </c>
      <c r="D2087" s="3" t="s">
        <v>7385</v>
      </c>
      <c r="E2087" s="3" t="s">
        <v>7387</v>
      </c>
      <c r="J2087" s="9" t="s">
        <v>25</v>
      </c>
      <c r="L2087" s="9">
        <v>1</v>
      </c>
      <c r="M2087" s="9">
        <v>2</v>
      </c>
      <c r="N2087" s="9" t="s">
        <v>12087</v>
      </c>
      <c r="O2087" s="9" t="s">
        <v>12119</v>
      </c>
      <c r="Q2087" s="10"/>
      <c r="S2087" s="9">
        <v>227</v>
      </c>
      <c r="U2087" s="9" t="str">
        <f t="shared" ca="1" si="86"/>
        <v/>
      </c>
      <c r="V2087" s="9" t="str">
        <f t="shared" ca="1" si="87"/>
        <v/>
      </c>
      <c r="AG2087" s="9" t="s">
        <v>20</v>
      </c>
    </row>
    <row r="2088" spans="1:33">
      <c r="A2088" s="3" t="s">
        <v>2334</v>
      </c>
      <c r="D2088" s="3" t="s">
        <v>2335</v>
      </c>
      <c r="E2088" s="3" t="s">
        <v>2336</v>
      </c>
      <c r="J2088" s="9" t="s">
        <v>12120</v>
      </c>
      <c r="Q2088" s="10"/>
      <c r="U2088" s="9" t="str">
        <f t="shared" ca="1" si="86"/>
        <v/>
      </c>
      <c r="V2088" s="9" t="str">
        <f t="shared" ca="1" si="87"/>
        <v/>
      </c>
      <c r="AC2088" s="9" t="s">
        <v>12130</v>
      </c>
      <c r="AD2088" s="9" t="s">
        <v>19</v>
      </c>
    </row>
    <row r="2089" spans="1:33">
      <c r="A2089" s="3" t="s">
        <v>2337</v>
      </c>
      <c r="D2089" s="3" t="s">
        <v>13033</v>
      </c>
      <c r="E2089" s="3" t="s">
        <v>13034</v>
      </c>
      <c r="J2089" s="9" t="s">
        <v>12120</v>
      </c>
      <c r="Q2089" s="10"/>
      <c r="U2089" s="9" t="str">
        <f t="shared" ca="1" si="86"/>
        <v/>
      </c>
      <c r="V2089" s="9" t="str">
        <f t="shared" ca="1" si="87"/>
        <v/>
      </c>
      <c r="AC2089" s="9" t="s">
        <v>12130</v>
      </c>
      <c r="AD2089" s="9" t="s">
        <v>19</v>
      </c>
    </row>
    <row r="2090" spans="1:33">
      <c r="A2090" s="3" t="s">
        <v>2337</v>
      </c>
      <c r="D2090" s="3" t="s">
        <v>2338</v>
      </c>
      <c r="E2090" s="3" t="s">
        <v>2339</v>
      </c>
      <c r="J2090" s="9" t="s">
        <v>12120</v>
      </c>
      <c r="Q2090" s="10"/>
      <c r="U2090" s="9" t="str">
        <f t="shared" ca="1" si="86"/>
        <v/>
      </c>
      <c r="V2090" s="9" t="str">
        <f t="shared" ca="1" si="87"/>
        <v/>
      </c>
      <c r="AC2090" s="9" t="s">
        <v>12740</v>
      </c>
      <c r="AD2090" s="9" t="s">
        <v>19</v>
      </c>
    </row>
    <row r="2091" spans="1:33">
      <c r="A2091" s="3" t="s">
        <v>2337</v>
      </c>
      <c r="D2091" s="3" t="s">
        <v>2340</v>
      </c>
      <c r="E2091" s="3" t="s">
        <v>2341</v>
      </c>
      <c r="J2091" s="9" t="s">
        <v>12118</v>
      </c>
      <c r="Q2091" s="10"/>
      <c r="T2091" s="9" t="s">
        <v>12131</v>
      </c>
      <c r="U2091" s="9" t="str">
        <f t="shared" ca="1" si="86"/>
        <v/>
      </c>
      <c r="V2091" s="9" t="str">
        <f t="shared" ca="1" si="87"/>
        <v/>
      </c>
      <c r="AE2091" s="9" t="s">
        <v>12086</v>
      </c>
    </row>
    <row r="2092" spans="1:33" ht="29">
      <c r="A2092" s="3" t="s">
        <v>2342</v>
      </c>
      <c r="D2092" s="3" t="s">
        <v>7389</v>
      </c>
      <c r="E2092" s="3" t="s">
        <v>7388</v>
      </c>
      <c r="J2092" s="9" t="s">
        <v>24</v>
      </c>
      <c r="L2092" s="9">
        <v>1</v>
      </c>
      <c r="M2092" s="9">
        <v>2</v>
      </c>
      <c r="N2092" s="9" t="s">
        <v>12078</v>
      </c>
      <c r="O2092" s="9" t="s">
        <v>12119</v>
      </c>
      <c r="Q2092" s="10"/>
      <c r="S2092" s="9">
        <v>11843</v>
      </c>
      <c r="U2092" s="9" t="str">
        <f t="shared" ca="1" si="86"/>
        <v/>
      </c>
      <c r="V2092" s="9" t="str">
        <f t="shared" ca="1" si="87"/>
        <v/>
      </c>
      <c r="AG2092" s="9" t="s">
        <v>19</v>
      </c>
    </row>
    <row r="2093" spans="1:33" ht="29">
      <c r="A2093" s="3" t="s">
        <v>2343</v>
      </c>
      <c r="D2093" s="6" t="s">
        <v>7391</v>
      </c>
      <c r="E2093" s="3" t="s">
        <v>7392</v>
      </c>
      <c r="J2093" s="9" t="s">
        <v>30</v>
      </c>
      <c r="Q2093" s="10"/>
      <c r="U2093" s="9" t="str">
        <f t="shared" ca="1" si="86"/>
        <v/>
      </c>
      <c r="V2093" s="9" t="str">
        <f t="shared" ca="1" si="87"/>
        <v/>
      </c>
      <c r="AF2093" s="9" t="s">
        <v>19</v>
      </c>
    </row>
    <row r="2094" spans="1:33" ht="29">
      <c r="A2094" s="3" t="s">
        <v>2343</v>
      </c>
      <c r="D2094" s="3" t="s">
        <v>7390</v>
      </c>
      <c r="E2094" s="3" t="s">
        <v>7393</v>
      </c>
      <c r="J2094" s="9" t="s">
        <v>24</v>
      </c>
      <c r="L2094" s="9">
        <v>1</v>
      </c>
      <c r="M2094" s="9">
        <v>10</v>
      </c>
      <c r="N2094" s="9" t="s">
        <v>12092</v>
      </c>
      <c r="O2094" s="9" t="s">
        <v>12073</v>
      </c>
      <c r="P2094" s="9" t="s">
        <v>12142</v>
      </c>
      <c r="Q2094" s="10" t="s">
        <v>12375</v>
      </c>
      <c r="R2094" s="9" t="s">
        <v>12074</v>
      </c>
      <c r="S2094" s="9">
        <v>17</v>
      </c>
      <c r="U2094" s="9" t="str">
        <f t="shared" ca="1" si="86"/>
        <v/>
      </c>
      <c r="V2094" s="9" t="str">
        <f t="shared" ca="1" si="87"/>
        <v/>
      </c>
      <c r="AG2094" s="9" t="s">
        <v>20</v>
      </c>
    </row>
    <row r="2095" spans="1:33">
      <c r="A2095" s="3" t="s">
        <v>2344</v>
      </c>
      <c r="D2095" s="3" t="s">
        <v>7395</v>
      </c>
      <c r="E2095" s="3" t="s">
        <v>7394</v>
      </c>
      <c r="J2095" s="9" t="s">
        <v>24</v>
      </c>
      <c r="L2095" s="9">
        <v>1</v>
      </c>
      <c r="M2095" s="9">
        <v>2</v>
      </c>
      <c r="N2095" s="9" t="s">
        <v>12087</v>
      </c>
      <c r="O2095" s="9" t="s">
        <v>12119</v>
      </c>
      <c r="Q2095" s="10"/>
      <c r="S2095" s="9">
        <v>1966</v>
      </c>
      <c r="U2095" s="9" t="str">
        <f t="shared" ca="1" si="86"/>
        <v/>
      </c>
      <c r="V2095" s="9" t="str">
        <f t="shared" ca="1" si="87"/>
        <v/>
      </c>
      <c r="AG2095" s="9" t="s">
        <v>20</v>
      </c>
    </row>
    <row r="2096" spans="1:33">
      <c r="A2096" s="3" t="s">
        <v>2344</v>
      </c>
      <c r="D2096" s="3" t="s">
        <v>2345</v>
      </c>
      <c r="E2096" s="3" t="s">
        <v>2346</v>
      </c>
      <c r="J2096" s="9" t="s">
        <v>12118</v>
      </c>
      <c r="Q2096" s="10"/>
      <c r="R2096" s="9" t="s">
        <v>12074</v>
      </c>
      <c r="T2096" s="9" t="s">
        <v>12131</v>
      </c>
      <c r="U2096" s="9" t="str">
        <f t="shared" ca="1" si="86"/>
        <v/>
      </c>
      <c r="V2096" s="9" t="str">
        <f t="shared" ca="1" si="87"/>
        <v/>
      </c>
      <c r="AE2096" s="9" t="s">
        <v>12077</v>
      </c>
    </row>
    <row r="2097" spans="1:33" ht="29">
      <c r="A2097" s="3" t="s">
        <v>2344</v>
      </c>
      <c r="D2097" s="3" t="s">
        <v>7396</v>
      </c>
      <c r="E2097" s="3" t="s">
        <v>7397</v>
      </c>
      <c r="J2097" s="9" t="s">
        <v>24</v>
      </c>
      <c r="L2097" s="9">
        <v>1</v>
      </c>
      <c r="M2097" s="9">
        <v>3</v>
      </c>
      <c r="N2097" s="9" t="s">
        <v>12078</v>
      </c>
      <c r="O2097" s="9" t="s">
        <v>12079</v>
      </c>
      <c r="Q2097" s="10"/>
      <c r="S2097" s="9">
        <v>11843</v>
      </c>
      <c r="U2097" s="9" t="str">
        <f t="shared" ca="1" si="86"/>
        <v/>
      </c>
      <c r="V2097" s="9" t="str">
        <f t="shared" ca="1" si="87"/>
        <v/>
      </c>
      <c r="AG2097" s="9" t="s">
        <v>19</v>
      </c>
    </row>
    <row r="2098" spans="1:33" ht="29">
      <c r="A2098" s="3" t="s">
        <v>2344</v>
      </c>
      <c r="D2098" s="3" t="s">
        <v>7399</v>
      </c>
      <c r="E2098" s="3" t="s">
        <v>7398</v>
      </c>
      <c r="G2098" t="s">
        <v>19</v>
      </c>
      <c r="J2098" s="9" t="s">
        <v>12118</v>
      </c>
      <c r="Q2098" s="10"/>
      <c r="T2098" s="9">
        <f>196-93</f>
        <v>103</v>
      </c>
      <c r="U2098" s="9">
        <f t="shared" ca="1" si="86"/>
        <v>93</v>
      </c>
      <c r="V2098" s="9">
        <f t="shared" ca="1" si="87"/>
        <v>196</v>
      </c>
    </row>
    <row r="2099" spans="1:33">
      <c r="A2099" s="3" t="s">
        <v>2347</v>
      </c>
      <c r="D2099" s="11" t="s">
        <v>7401</v>
      </c>
      <c r="E2099" s="11" t="s">
        <v>7400</v>
      </c>
      <c r="G2099" t="s">
        <v>19</v>
      </c>
      <c r="J2099" s="9" t="s">
        <v>12120</v>
      </c>
      <c r="Q2099" s="10"/>
      <c r="U2099" s="9" t="str">
        <f t="shared" ca="1" si="86"/>
        <v/>
      </c>
      <c r="V2099" s="9" t="str">
        <f t="shared" ca="1" si="87"/>
        <v/>
      </c>
    </row>
    <row r="2100" spans="1:33" ht="29">
      <c r="A2100" s="3" t="s">
        <v>2348</v>
      </c>
      <c r="D2100" s="3" t="s">
        <v>7402</v>
      </c>
      <c r="E2100" s="3" t="s">
        <v>7403</v>
      </c>
      <c r="J2100" s="9" t="s">
        <v>12118</v>
      </c>
      <c r="Q2100" s="10"/>
      <c r="T2100" s="9">
        <f>202-0</f>
        <v>202</v>
      </c>
      <c r="U2100" s="9">
        <f t="shared" ca="1" si="86"/>
        <v>0</v>
      </c>
      <c r="V2100" s="9">
        <f t="shared" ca="1" si="87"/>
        <v>202</v>
      </c>
      <c r="AG2100" s="9" t="s">
        <v>20</v>
      </c>
    </row>
    <row r="2101" spans="1:33">
      <c r="A2101" s="3" t="s">
        <v>2349</v>
      </c>
      <c r="D2101" s="3" t="s">
        <v>2350</v>
      </c>
      <c r="E2101" s="3" t="s">
        <v>2351</v>
      </c>
      <c r="J2101" s="9" t="s">
        <v>12118</v>
      </c>
      <c r="Q2101" s="10"/>
      <c r="T2101" s="9" t="s">
        <v>12131</v>
      </c>
      <c r="U2101" s="9" t="str">
        <f t="shared" ca="1" si="86"/>
        <v/>
      </c>
      <c r="V2101" s="9" t="str">
        <f t="shared" ca="1" si="87"/>
        <v/>
      </c>
      <c r="AE2101" s="9" t="s">
        <v>12077</v>
      </c>
    </row>
    <row r="2102" spans="1:33">
      <c r="A2102" s="3" t="s">
        <v>2349</v>
      </c>
      <c r="D2102" s="3" t="s">
        <v>7404</v>
      </c>
      <c r="E2102" s="3" t="s">
        <v>7405</v>
      </c>
      <c r="G2102" t="s">
        <v>19</v>
      </c>
      <c r="J2102" s="9" t="s">
        <v>12118</v>
      </c>
      <c r="Q2102" s="10"/>
      <c r="T2102" s="9">
        <f>24-301</f>
        <v>-277</v>
      </c>
      <c r="U2102" s="9">
        <f t="shared" ca="1" si="86"/>
        <v>301</v>
      </c>
      <c r="V2102" s="9">
        <f t="shared" ca="1" si="87"/>
        <v>24</v>
      </c>
    </row>
    <row r="2103" spans="1:33">
      <c r="A2103" s="3" t="s">
        <v>2352</v>
      </c>
      <c r="D2103" s="3" t="s">
        <v>7407</v>
      </c>
      <c r="E2103" s="3" t="s">
        <v>7406</v>
      </c>
      <c r="J2103" s="9" t="s">
        <v>12120</v>
      </c>
      <c r="Q2103" s="10"/>
      <c r="U2103" s="9" t="str">
        <f t="shared" ca="1" si="86"/>
        <v/>
      </c>
      <c r="V2103" s="9" t="str">
        <f t="shared" ca="1" si="87"/>
        <v/>
      </c>
      <c r="AB2103" s="9" t="s">
        <v>12737</v>
      </c>
      <c r="AD2103" s="9" t="s">
        <v>19</v>
      </c>
    </row>
    <row r="2104" spans="1:33">
      <c r="A2104" s="3" t="s">
        <v>2353</v>
      </c>
      <c r="D2104" s="3" t="s">
        <v>2354</v>
      </c>
      <c r="E2104" s="3" t="s">
        <v>2355</v>
      </c>
      <c r="J2104" s="9" t="s">
        <v>12120</v>
      </c>
      <c r="Q2104" s="10"/>
      <c r="U2104" s="9" t="str">
        <f t="shared" ca="1" si="86"/>
        <v/>
      </c>
      <c r="V2104" s="9" t="str">
        <f t="shared" ca="1" si="87"/>
        <v/>
      </c>
      <c r="AE2104" s="9" t="s">
        <v>12077</v>
      </c>
    </row>
    <row r="2105" spans="1:33" ht="29">
      <c r="A2105" s="3" t="s">
        <v>2356</v>
      </c>
      <c r="D2105" s="3" t="s">
        <v>7409</v>
      </c>
      <c r="E2105" s="3" t="s">
        <v>7408</v>
      </c>
      <c r="J2105" s="9" t="s">
        <v>24</v>
      </c>
      <c r="L2105" s="9">
        <v>1</v>
      </c>
      <c r="M2105" s="9">
        <v>4</v>
      </c>
      <c r="N2105" s="9" t="s">
        <v>12094</v>
      </c>
      <c r="O2105" s="9" t="s">
        <v>12079</v>
      </c>
      <c r="Q2105" s="10"/>
      <c r="S2105" s="9">
        <v>4240</v>
      </c>
      <c r="U2105" s="9" t="str">
        <f t="shared" ca="1" si="86"/>
        <v/>
      </c>
      <c r="V2105" s="9" t="str">
        <f t="shared" ca="1" si="87"/>
        <v/>
      </c>
      <c r="AG2105" s="9" t="s">
        <v>19</v>
      </c>
    </row>
    <row r="2106" spans="1:33" ht="58">
      <c r="A2106" s="3" t="s">
        <v>2357</v>
      </c>
      <c r="D2106" s="3" t="s">
        <v>7411</v>
      </c>
      <c r="E2106" s="3" t="s">
        <v>7412</v>
      </c>
      <c r="J2106" s="9" t="s">
        <v>24</v>
      </c>
      <c r="L2106" s="9">
        <v>1</v>
      </c>
      <c r="M2106" s="9">
        <v>3</v>
      </c>
      <c r="N2106" s="9" t="s">
        <v>12078</v>
      </c>
      <c r="O2106" s="9" t="s">
        <v>12079</v>
      </c>
      <c r="Q2106" s="10"/>
      <c r="S2106" s="9">
        <v>11843</v>
      </c>
      <c r="U2106" s="9" t="str">
        <f t="shared" ca="1" si="86"/>
        <v/>
      </c>
      <c r="V2106" s="9" t="str">
        <f t="shared" ca="1" si="87"/>
        <v/>
      </c>
      <c r="AG2106" s="9" t="s">
        <v>19</v>
      </c>
    </row>
    <row r="2107" spans="1:33" ht="58">
      <c r="A2107" s="3" t="s">
        <v>2357</v>
      </c>
      <c r="D2107" s="3" t="s">
        <v>7413</v>
      </c>
      <c r="E2107" s="3" t="s">
        <v>7410</v>
      </c>
      <c r="J2107" s="9" t="s">
        <v>25</v>
      </c>
      <c r="L2107" s="9">
        <v>1</v>
      </c>
      <c r="M2107" s="9">
        <v>2</v>
      </c>
      <c r="N2107" s="9" t="s">
        <v>12078</v>
      </c>
      <c r="O2107" s="9" t="s">
        <v>12119</v>
      </c>
      <c r="Q2107" s="10"/>
      <c r="S2107" s="9">
        <v>11843</v>
      </c>
      <c r="U2107" s="9" t="str">
        <f t="shared" ca="1" si="86"/>
        <v/>
      </c>
      <c r="V2107" s="9" t="str">
        <f t="shared" ca="1" si="87"/>
        <v/>
      </c>
      <c r="AG2107" s="9" t="s">
        <v>20</v>
      </c>
    </row>
    <row r="2108" spans="1:33" ht="58">
      <c r="A2108" s="3" t="s">
        <v>2357</v>
      </c>
      <c r="D2108" s="3" t="s">
        <v>7414</v>
      </c>
      <c r="E2108" s="3" t="s">
        <v>7410</v>
      </c>
      <c r="J2108" s="9" t="s">
        <v>25</v>
      </c>
      <c r="L2108" s="9">
        <v>1</v>
      </c>
      <c r="M2108" s="9">
        <v>6</v>
      </c>
      <c r="N2108" s="9" t="s">
        <v>12092</v>
      </c>
      <c r="O2108" s="9" t="s">
        <v>12079</v>
      </c>
      <c r="Q2108" s="10"/>
      <c r="S2108" s="9">
        <v>75</v>
      </c>
      <c r="U2108" s="9" t="str">
        <f t="shared" ca="1" si="86"/>
        <v/>
      </c>
      <c r="V2108" s="9" t="str">
        <f t="shared" ca="1" si="87"/>
        <v/>
      </c>
      <c r="AG2108" s="9" t="s">
        <v>19</v>
      </c>
    </row>
    <row r="2109" spans="1:33" ht="58">
      <c r="A2109" s="3" t="s">
        <v>2357</v>
      </c>
      <c r="D2109" s="3" t="s">
        <v>7411</v>
      </c>
      <c r="E2109" s="3" t="s">
        <v>7415</v>
      </c>
      <c r="J2109" s="9" t="s">
        <v>24</v>
      </c>
      <c r="L2109" s="9">
        <v>1</v>
      </c>
      <c r="M2109" s="9">
        <v>6</v>
      </c>
      <c r="N2109" s="9" t="s">
        <v>12092</v>
      </c>
      <c r="O2109" s="9" t="s">
        <v>12079</v>
      </c>
      <c r="Q2109" s="10"/>
      <c r="S2109" s="9">
        <v>75</v>
      </c>
      <c r="U2109" s="9" t="str">
        <f t="shared" ca="1" si="86"/>
        <v/>
      </c>
      <c r="V2109" s="9" t="str">
        <f t="shared" ca="1" si="87"/>
        <v/>
      </c>
      <c r="AG2109" s="9" t="s">
        <v>19</v>
      </c>
    </row>
    <row r="2110" spans="1:33">
      <c r="A2110" s="3" t="s">
        <v>2358</v>
      </c>
      <c r="D2110" s="3" t="s">
        <v>7416</v>
      </c>
      <c r="E2110" s="5" t="s">
        <v>7417</v>
      </c>
      <c r="F2110" t="s">
        <v>16</v>
      </c>
      <c r="Q2110" s="10"/>
      <c r="U2110" s="9" t="str">
        <f t="shared" ca="1" si="86"/>
        <v/>
      </c>
      <c r="V2110" s="9" t="str">
        <f t="shared" ca="1" si="87"/>
        <v/>
      </c>
    </row>
    <row r="2111" spans="1:33" ht="29">
      <c r="A2111" s="3" t="s">
        <v>2358</v>
      </c>
      <c r="D2111" s="3" t="s">
        <v>7418</v>
      </c>
      <c r="E2111" s="3" t="s">
        <v>7419</v>
      </c>
      <c r="J2111" s="9" t="s">
        <v>24</v>
      </c>
      <c r="L2111" s="9">
        <v>1</v>
      </c>
      <c r="M2111" s="9">
        <v>5</v>
      </c>
      <c r="N2111" s="9" t="s">
        <v>12094</v>
      </c>
      <c r="O2111" s="9" t="s">
        <v>12073</v>
      </c>
      <c r="P2111" s="9" t="s">
        <v>12142</v>
      </c>
      <c r="Q2111" s="10" t="s">
        <v>12170</v>
      </c>
      <c r="S2111" s="9">
        <v>4240</v>
      </c>
      <c r="U2111" s="9" t="str">
        <f t="shared" ca="1" si="86"/>
        <v/>
      </c>
      <c r="V2111" s="9" t="str">
        <f t="shared" ca="1" si="87"/>
        <v/>
      </c>
      <c r="AE2111" s="9" t="s">
        <v>12083</v>
      </c>
    </row>
    <row r="2112" spans="1:33">
      <c r="A2112" s="3" t="s">
        <v>2360</v>
      </c>
      <c r="D2112" s="3" t="s">
        <v>7421</v>
      </c>
      <c r="E2112" s="3" t="s">
        <v>7420</v>
      </c>
      <c r="J2112" s="9" t="s">
        <v>12118</v>
      </c>
      <c r="Q2112" s="10"/>
      <c r="T2112" s="9">
        <f xml:space="preserve"> 361-635</f>
        <v>-274</v>
      </c>
      <c r="U2112" s="9">
        <f t="shared" ca="1" si="86"/>
        <v>635</v>
      </c>
      <c r="V2112" s="9">
        <f t="shared" ca="1" si="87"/>
        <v>361</v>
      </c>
      <c r="AG2112" s="9" t="s">
        <v>19</v>
      </c>
    </row>
    <row r="2113" spans="1:33" ht="29">
      <c r="A2113" s="3" t="s">
        <v>2360</v>
      </c>
      <c r="D2113" s="3" t="s">
        <v>12376</v>
      </c>
      <c r="E2113" s="3" t="s">
        <v>12377</v>
      </c>
      <c r="J2113" s="9" t="s">
        <v>25</v>
      </c>
      <c r="L2113" s="9">
        <v>3</v>
      </c>
      <c r="M2113" s="9">
        <v>12</v>
      </c>
      <c r="O2113" s="9" t="s">
        <v>12073</v>
      </c>
      <c r="P2113" s="9" t="s">
        <v>12140</v>
      </c>
      <c r="Q2113" s="10" t="s">
        <v>12193</v>
      </c>
      <c r="S2113" s="9">
        <v>2042</v>
      </c>
      <c r="U2113" s="9" t="str">
        <f t="shared" ca="1" si="86"/>
        <v/>
      </c>
      <c r="V2113" s="9" t="str">
        <f t="shared" ca="1" si="87"/>
        <v/>
      </c>
      <c r="AG2113" s="9" t="s">
        <v>20</v>
      </c>
    </row>
    <row r="2114" spans="1:33" ht="29">
      <c r="A2114" s="3" t="s">
        <v>2361</v>
      </c>
      <c r="D2114" s="3" t="s">
        <v>7422</v>
      </c>
      <c r="E2114" s="3" t="s">
        <v>7423</v>
      </c>
      <c r="J2114" s="9" t="s">
        <v>25</v>
      </c>
      <c r="L2114" s="9">
        <v>1</v>
      </c>
      <c r="M2114" s="9">
        <v>8</v>
      </c>
      <c r="N2114" s="9" t="s">
        <v>12092</v>
      </c>
      <c r="O2114" s="9" t="s">
        <v>12073</v>
      </c>
      <c r="P2114" s="9" t="s">
        <v>12142</v>
      </c>
      <c r="Q2114" s="10" t="s">
        <v>12199</v>
      </c>
      <c r="R2114" s="9" t="s">
        <v>12074</v>
      </c>
      <c r="S2114" s="9">
        <v>9</v>
      </c>
      <c r="U2114" s="9" t="str">
        <f t="shared" ca="1" si="86"/>
        <v/>
      </c>
      <c r="V2114" s="9" t="str">
        <f t="shared" ca="1" si="87"/>
        <v/>
      </c>
      <c r="AG2114" s="9" t="s">
        <v>19</v>
      </c>
    </row>
    <row r="2115" spans="1:33">
      <c r="A2115" s="3" t="s">
        <v>2362</v>
      </c>
      <c r="D2115" s="3" t="s">
        <v>1383</v>
      </c>
      <c r="E2115" s="3" t="s">
        <v>634</v>
      </c>
      <c r="J2115" s="9" t="s">
        <v>12118</v>
      </c>
      <c r="Q2115" s="10"/>
      <c r="T2115" s="9" t="s">
        <v>12119</v>
      </c>
      <c r="U2115" s="9" t="str">
        <f t="shared" ca="1" si="86"/>
        <v/>
      </c>
      <c r="V2115" s="9" t="str">
        <f t="shared" ca="1" si="87"/>
        <v/>
      </c>
      <c r="AB2115" s="9" t="s">
        <v>12124</v>
      </c>
      <c r="AC2115" s="9" t="s">
        <v>12740</v>
      </c>
      <c r="AD2115" s="9" t="s">
        <v>19</v>
      </c>
    </row>
    <row r="2116" spans="1:33">
      <c r="A2116" s="3" t="s">
        <v>2363</v>
      </c>
      <c r="D2116" s="3" t="s">
        <v>117</v>
      </c>
      <c r="E2116" s="3" t="s">
        <v>118</v>
      </c>
      <c r="J2116" s="9" t="s">
        <v>12118</v>
      </c>
      <c r="Q2116" s="10"/>
      <c r="T2116" s="9" t="s">
        <v>12119</v>
      </c>
      <c r="U2116" s="9" t="str">
        <f t="shared" ca="1" si="86"/>
        <v/>
      </c>
      <c r="V2116" s="9" t="str">
        <f t="shared" ca="1" si="87"/>
        <v/>
      </c>
      <c r="AB2116" s="9" t="s">
        <v>12124</v>
      </c>
      <c r="AC2116" s="9" t="s">
        <v>12740</v>
      </c>
      <c r="AD2116" s="9" t="s">
        <v>19</v>
      </c>
    </row>
    <row r="2117" spans="1:33">
      <c r="A2117" s="3" t="s">
        <v>2364</v>
      </c>
      <c r="D2117" s="3" t="s">
        <v>2255</v>
      </c>
      <c r="E2117" s="3" t="s">
        <v>180</v>
      </c>
      <c r="J2117" s="9" t="s">
        <v>12120</v>
      </c>
      <c r="Q2117" s="10"/>
      <c r="U2117" s="9" t="str">
        <f t="shared" ca="1" si="86"/>
        <v/>
      </c>
      <c r="V2117" s="9" t="str">
        <f t="shared" ca="1" si="87"/>
        <v/>
      </c>
      <c r="AG2117" s="9" t="s">
        <v>19</v>
      </c>
    </row>
    <row r="2118" spans="1:33" ht="29">
      <c r="A2118" s="3" t="s">
        <v>2364</v>
      </c>
      <c r="D2118" s="3" t="s">
        <v>7425</v>
      </c>
      <c r="E2118" s="3" t="s">
        <v>7424</v>
      </c>
      <c r="I2118" t="s">
        <v>5457</v>
      </c>
      <c r="J2118" s="9" t="s">
        <v>26</v>
      </c>
      <c r="Q2118" s="10"/>
      <c r="U2118" s="9" t="str">
        <f t="shared" ca="1" si="86"/>
        <v/>
      </c>
      <c r="V2118" s="9" t="str">
        <f t="shared" ca="1" si="87"/>
        <v/>
      </c>
      <c r="AG2118" s="9" t="s">
        <v>19</v>
      </c>
    </row>
    <row r="2119" spans="1:33">
      <c r="A2119" s="3" t="s">
        <v>2364</v>
      </c>
      <c r="D2119" s="3" t="s">
        <v>7426</v>
      </c>
      <c r="E2119" s="3" t="s">
        <v>7426</v>
      </c>
      <c r="G2119" t="s">
        <v>20</v>
      </c>
      <c r="I2119" t="s">
        <v>7427</v>
      </c>
      <c r="Q2119" s="10"/>
      <c r="U2119" s="9" t="str">
        <f t="shared" ca="1" si="86"/>
        <v/>
      </c>
      <c r="V2119" s="9" t="str">
        <f t="shared" ca="1" si="87"/>
        <v/>
      </c>
    </row>
    <row r="2120" spans="1:33">
      <c r="A2120" s="3" t="s">
        <v>2365</v>
      </c>
      <c r="D2120" s="3" t="s">
        <v>430</v>
      </c>
      <c r="E2120" s="3" t="s">
        <v>431</v>
      </c>
      <c r="J2120" s="9" t="s">
        <v>12118</v>
      </c>
      <c r="Q2120" s="10"/>
      <c r="T2120" s="9" t="s">
        <v>12131</v>
      </c>
      <c r="U2120" s="9" t="str">
        <f t="shared" ca="1" si="86"/>
        <v/>
      </c>
      <c r="V2120" s="9" t="str">
        <f t="shared" ca="1" si="87"/>
        <v/>
      </c>
      <c r="AC2120" s="9" t="s">
        <v>12130</v>
      </c>
      <c r="AD2120" s="9" t="s">
        <v>19</v>
      </c>
    </row>
    <row r="2121" spans="1:33">
      <c r="A2121" s="3" t="s">
        <v>2365</v>
      </c>
      <c r="D2121" s="3" t="s">
        <v>2366</v>
      </c>
      <c r="E2121" s="3" t="s">
        <v>2367</v>
      </c>
      <c r="J2121" s="9" t="s">
        <v>12118</v>
      </c>
      <c r="Q2121" s="10"/>
      <c r="T2121" s="9" t="s">
        <v>12119</v>
      </c>
      <c r="U2121" s="9" t="str">
        <f t="shared" ca="1" si="86"/>
        <v/>
      </c>
      <c r="V2121" s="9" t="str">
        <f t="shared" ca="1" si="87"/>
        <v/>
      </c>
      <c r="AB2121" s="9" t="s">
        <v>12124</v>
      </c>
      <c r="AC2121" s="9" t="s">
        <v>12740</v>
      </c>
      <c r="AD2121" s="9" t="s">
        <v>19</v>
      </c>
    </row>
    <row r="2122" spans="1:33">
      <c r="A2122" s="3" t="s">
        <v>2365</v>
      </c>
      <c r="D2122" s="3" t="s">
        <v>7428</v>
      </c>
      <c r="E2122" s="3" t="s">
        <v>7429</v>
      </c>
      <c r="G2122" t="s">
        <v>19</v>
      </c>
      <c r="J2122" s="9" t="s">
        <v>12118</v>
      </c>
      <c r="Q2122" s="10"/>
      <c r="T2122" s="9" t="s">
        <v>12131</v>
      </c>
      <c r="U2122" s="9" t="str">
        <f t="shared" ca="1" si="86"/>
        <v/>
      </c>
      <c r="V2122" s="9" t="str">
        <f t="shared" ca="1" si="87"/>
        <v/>
      </c>
      <c r="AE2122" s="9" t="s">
        <v>12086</v>
      </c>
    </row>
    <row r="2123" spans="1:33">
      <c r="A2123" s="3" t="s">
        <v>2365</v>
      </c>
      <c r="D2123" s="3" t="s">
        <v>2368</v>
      </c>
      <c r="E2123" s="3" t="s">
        <v>1492</v>
      </c>
      <c r="J2123" s="9" t="s">
        <v>12118</v>
      </c>
      <c r="Q2123" s="10"/>
      <c r="T2123" s="9" t="s">
        <v>12131</v>
      </c>
      <c r="U2123" s="9" t="str">
        <f t="shared" ca="1" si="86"/>
        <v/>
      </c>
      <c r="V2123" s="9" t="str">
        <f t="shared" ca="1" si="87"/>
        <v/>
      </c>
      <c r="AE2123" s="9" t="s">
        <v>12086</v>
      </c>
    </row>
    <row r="2124" spans="1:33" ht="29">
      <c r="A2124" s="3" t="s">
        <v>2369</v>
      </c>
      <c r="D2124" s="3" t="s">
        <v>7432</v>
      </c>
      <c r="E2124" s="3" t="s">
        <v>7433</v>
      </c>
      <c r="J2124" s="9" t="s">
        <v>12118</v>
      </c>
      <c r="Q2124" s="10"/>
      <c r="T2124" s="9" t="s">
        <v>12119</v>
      </c>
      <c r="U2124" s="9" t="str">
        <f t="shared" ca="1" si="86"/>
        <v/>
      </c>
      <c r="V2124" s="9" t="str">
        <f t="shared" ca="1" si="87"/>
        <v/>
      </c>
      <c r="AB2124" s="9" t="s">
        <v>12124</v>
      </c>
      <c r="AC2124" s="9" t="s">
        <v>12740</v>
      </c>
      <c r="AD2124" s="9" t="s">
        <v>19</v>
      </c>
    </row>
    <row r="2125" spans="1:33" ht="29">
      <c r="A2125" s="3" t="s">
        <v>2369</v>
      </c>
      <c r="D2125" s="3" t="s">
        <v>7434</v>
      </c>
      <c r="E2125" s="3" t="s">
        <v>7435</v>
      </c>
      <c r="J2125" s="9" t="s">
        <v>12118</v>
      </c>
      <c r="Q2125" s="10"/>
      <c r="T2125" s="9">
        <f>2-83</f>
        <v>-81</v>
      </c>
      <c r="U2125" s="9">
        <f t="shared" ref="U2125:U2187" ca="1" si="88">IF(ISNUMBER(T2125),VALUE(MID(_xlfn.FORMULATEXT(T2125),SEARCH("-",_xlfn.FORMULATEXT(T2125))+1,LEN(_xlfn.FORMULATEXT(T2125))-SEARCH("-",_xlfn.FORMULATEXT(T2125)))), "")</f>
        <v>83</v>
      </c>
      <c r="V2125" s="9">
        <f t="shared" ref="V2125:V2187" ca="1" si="89">IF(ISNUMBER(T2125), VALUE(MID(_xlfn.FORMULATEXT(T2125), 2, SEARCH("-", _xlfn.FORMULATEXT(T2125)) - 2)), "")</f>
        <v>2</v>
      </c>
      <c r="AG2125" s="9" t="s">
        <v>20</v>
      </c>
    </row>
    <row r="2126" spans="1:33">
      <c r="A2126" s="3" t="s">
        <v>2369</v>
      </c>
      <c r="D2126" s="3" t="s">
        <v>7430</v>
      </c>
      <c r="E2126" s="3" t="s">
        <v>7431</v>
      </c>
      <c r="J2126" s="9" t="s">
        <v>12118</v>
      </c>
      <c r="Q2126" s="10"/>
      <c r="T2126" s="9" t="s">
        <v>12119</v>
      </c>
      <c r="U2126" s="9" t="str">
        <f t="shared" ca="1" si="88"/>
        <v/>
      </c>
      <c r="V2126" s="9" t="str">
        <f t="shared" ca="1" si="89"/>
        <v/>
      </c>
      <c r="AB2126" s="9" t="s">
        <v>12124</v>
      </c>
      <c r="AC2126" s="9" t="s">
        <v>12740</v>
      </c>
      <c r="AD2126" s="9" t="s">
        <v>19</v>
      </c>
    </row>
    <row r="2127" spans="1:33">
      <c r="A2127" s="3" t="s">
        <v>2369</v>
      </c>
      <c r="D2127" s="3" t="s">
        <v>7436</v>
      </c>
      <c r="E2127" s="3" t="s">
        <v>7437</v>
      </c>
      <c r="I2127" t="s">
        <v>12674</v>
      </c>
      <c r="J2127" s="9" t="s">
        <v>12120</v>
      </c>
      <c r="Q2127" s="10"/>
      <c r="U2127" s="9" t="str">
        <f t="shared" ca="1" si="88"/>
        <v/>
      </c>
      <c r="V2127" s="9" t="str">
        <f t="shared" ca="1" si="89"/>
        <v/>
      </c>
      <c r="W2127" s="9" t="s">
        <v>12117</v>
      </c>
      <c r="AG2127" s="9" t="s">
        <v>19</v>
      </c>
    </row>
    <row r="2128" spans="1:33">
      <c r="A2128" s="3" t="s">
        <v>2372</v>
      </c>
      <c r="D2128" s="3" t="s">
        <v>2371</v>
      </c>
      <c r="E2128" s="3" t="s">
        <v>2373</v>
      </c>
      <c r="J2128" s="9" t="s">
        <v>12120</v>
      </c>
      <c r="Q2128" s="10"/>
      <c r="U2128" s="9" t="str">
        <f t="shared" ca="1" si="88"/>
        <v/>
      </c>
      <c r="V2128" s="9" t="str">
        <f t="shared" ca="1" si="89"/>
        <v/>
      </c>
      <c r="AC2128" s="9" t="s">
        <v>12144</v>
      </c>
      <c r="AD2128" s="9" t="s">
        <v>19</v>
      </c>
    </row>
    <row r="2129" spans="1:33">
      <c r="A2129" s="3" t="s">
        <v>2372</v>
      </c>
      <c r="D2129" s="3" t="s">
        <v>7439</v>
      </c>
      <c r="E2129" s="3" t="s">
        <v>7438</v>
      </c>
      <c r="J2129" s="9" t="s">
        <v>25</v>
      </c>
      <c r="L2129" s="9">
        <v>1</v>
      </c>
      <c r="M2129" s="9">
        <v>2</v>
      </c>
      <c r="N2129" s="9" t="s">
        <v>12096</v>
      </c>
      <c r="O2129" s="9" t="s">
        <v>12119</v>
      </c>
      <c r="Q2129" s="10"/>
      <c r="S2129" s="9">
        <v>1294</v>
      </c>
      <c r="U2129" s="9" t="str">
        <f t="shared" ca="1" si="88"/>
        <v/>
      </c>
      <c r="V2129" s="9" t="str">
        <f t="shared" ca="1" si="89"/>
        <v/>
      </c>
      <c r="AG2129" s="9" t="s">
        <v>20</v>
      </c>
    </row>
    <row r="2130" spans="1:33">
      <c r="A2130" s="3" t="s">
        <v>2374</v>
      </c>
      <c r="D2130" s="3" t="s">
        <v>2371</v>
      </c>
      <c r="E2130" s="3" t="s">
        <v>2373</v>
      </c>
      <c r="J2130" s="9" t="s">
        <v>12120</v>
      </c>
      <c r="Q2130" s="10"/>
      <c r="U2130" s="9" t="str">
        <f t="shared" ca="1" si="88"/>
        <v/>
      </c>
      <c r="V2130" s="9" t="str">
        <f t="shared" ca="1" si="89"/>
        <v/>
      </c>
      <c r="AC2130" s="9" t="s">
        <v>12144</v>
      </c>
      <c r="AD2130" s="9" t="s">
        <v>19</v>
      </c>
    </row>
    <row r="2131" spans="1:33">
      <c r="A2131" s="3" t="s">
        <v>2374</v>
      </c>
      <c r="D2131" s="3" t="s">
        <v>1383</v>
      </c>
      <c r="E2131" s="3" t="s">
        <v>634</v>
      </c>
      <c r="J2131" s="9" t="s">
        <v>12118</v>
      </c>
      <c r="Q2131" s="10"/>
      <c r="T2131" s="9" t="s">
        <v>12119</v>
      </c>
      <c r="U2131" s="9" t="str">
        <f t="shared" ca="1" si="88"/>
        <v/>
      </c>
      <c r="V2131" s="9" t="str">
        <f t="shared" ca="1" si="89"/>
        <v/>
      </c>
      <c r="AB2131" s="9" t="s">
        <v>12124</v>
      </c>
      <c r="AC2131" s="9" t="s">
        <v>12740</v>
      </c>
      <c r="AD2131" s="9" t="s">
        <v>19</v>
      </c>
    </row>
    <row r="2132" spans="1:33">
      <c r="A2132" s="3" t="s">
        <v>2375</v>
      </c>
      <c r="D2132" s="3" t="s">
        <v>7441</v>
      </c>
      <c r="E2132" s="3" t="s">
        <v>7440</v>
      </c>
      <c r="J2132" s="9" t="s">
        <v>24</v>
      </c>
      <c r="L2132" s="9">
        <v>1</v>
      </c>
      <c r="M2132" s="9">
        <v>3</v>
      </c>
      <c r="N2132" s="9" t="s">
        <v>12094</v>
      </c>
      <c r="O2132" s="9" t="s">
        <v>12079</v>
      </c>
      <c r="Q2132" s="10"/>
      <c r="S2132" s="9">
        <v>1496</v>
      </c>
      <c r="U2132" s="9" t="str">
        <f t="shared" ca="1" si="88"/>
        <v/>
      </c>
      <c r="V2132" s="9" t="str">
        <f t="shared" ca="1" si="89"/>
        <v/>
      </c>
      <c r="AG2132" s="9" t="s">
        <v>19</v>
      </c>
    </row>
    <row r="2133" spans="1:33" ht="29">
      <c r="A2133" s="3" t="s">
        <v>2376</v>
      </c>
      <c r="D2133" s="3" t="s">
        <v>7443</v>
      </c>
      <c r="E2133" s="3" t="s">
        <v>7442</v>
      </c>
      <c r="J2133" s="9" t="s">
        <v>25</v>
      </c>
      <c r="L2133" s="9">
        <v>1</v>
      </c>
      <c r="M2133" s="9">
        <v>5</v>
      </c>
      <c r="N2133" s="9" t="s">
        <v>12094</v>
      </c>
      <c r="O2133" s="9" t="s">
        <v>12079</v>
      </c>
      <c r="Q2133" s="10"/>
      <c r="S2133" s="9">
        <v>4240</v>
      </c>
      <c r="U2133" s="9" t="str">
        <f t="shared" ca="1" si="88"/>
        <v/>
      </c>
      <c r="V2133" s="9" t="str">
        <f t="shared" ca="1" si="89"/>
        <v/>
      </c>
      <c r="AG2133" s="9" t="s">
        <v>19</v>
      </c>
    </row>
    <row r="2134" spans="1:33">
      <c r="A2134" s="3" t="s">
        <v>2377</v>
      </c>
      <c r="D2134" s="3" t="s">
        <v>7444</v>
      </c>
      <c r="E2134" s="3" t="s">
        <v>7445</v>
      </c>
      <c r="G2134" t="s">
        <v>19</v>
      </c>
      <c r="J2134" s="9" t="s">
        <v>12120</v>
      </c>
      <c r="Q2134" s="10"/>
      <c r="U2134" s="9" t="str">
        <f t="shared" ca="1" si="88"/>
        <v/>
      </c>
      <c r="V2134" s="9" t="str">
        <f t="shared" ca="1" si="89"/>
        <v/>
      </c>
      <c r="AE2134" s="9" t="s">
        <v>12089</v>
      </c>
    </row>
    <row r="2135" spans="1:33">
      <c r="A2135" s="3" t="s">
        <v>2377</v>
      </c>
      <c r="D2135" s="3" t="s">
        <v>7446</v>
      </c>
      <c r="E2135" s="3" t="s">
        <v>7447</v>
      </c>
      <c r="J2135" s="9" t="s">
        <v>12118</v>
      </c>
      <c r="Q2135" s="10"/>
      <c r="R2135" s="9" t="s">
        <v>12074</v>
      </c>
      <c r="T2135" s="9" t="s">
        <v>12131</v>
      </c>
      <c r="U2135" s="9" t="str">
        <f t="shared" ca="1" si="88"/>
        <v/>
      </c>
      <c r="V2135" s="9" t="str">
        <f t="shared" ca="1" si="89"/>
        <v/>
      </c>
      <c r="AE2135" s="9" t="s">
        <v>12077</v>
      </c>
    </row>
    <row r="2136" spans="1:33">
      <c r="A2136" s="3" t="s">
        <v>2377</v>
      </c>
      <c r="D2136" s="3" t="s">
        <v>1383</v>
      </c>
      <c r="E2136" s="3" t="s">
        <v>634</v>
      </c>
      <c r="G2136" t="s">
        <v>19</v>
      </c>
      <c r="J2136" s="9" t="s">
        <v>12118</v>
      </c>
      <c r="Q2136" s="10"/>
      <c r="T2136" s="9" t="s">
        <v>12119</v>
      </c>
      <c r="U2136" s="9" t="str">
        <f t="shared" ca="1" si="88"/>
        <v/>
      </c>
      <c r="V2136" s="9" t="str">
        <f t="shared" ca="1" si="89"/>
        <v/>
      </c>
      <c r="AB2136" s="9" t="s">
        <v>12124</v>
      </c>
      <c r="AC2136" s="9" t="s">
        <v>12740</v>
      </c>
      <c r="AD2136" s="9" t="s">
        <v>19</v>
      </c>
    </row>
    <row r="2137" spans="1:33">
      <c r="A2137" s="3" t="s">
        <v>2378</v>
      </c>
      <c r="D2137" s="3" t="s">
        <v>7448</v>
      </c>
      <c r="E2137" s="3" t="s">
        <v>7449</v>
      </c>
      <c r="J2137" s="9" t="s">
        <v>25</v>
      </c>
      <c r="L2137" s="9">
        <v>1</v>
      </c>
      <c r="M2137" s="9">
        <v>2</v>
      </c>
      <c r="N2137" s="9" t="s">
        <v>12078</v>
      </c>
      <c r="O2137" s="9" t="s">
        <v>12119</v>
      </c>
      <c r="Q2137" s="10"/>
      <c r="S2137" s="9">
        <v>11843</v>
      </c>
      <c r="U2137" s="9" t="str">
        <f t="shared" ca="1" si="88"/>
        <v/>
      </c>
      <c r="V2137" s="9" t="str">
        <f t="shared" ca="1" si="89"/>
        <v/>
      </c>
      <c r="AG2137" s="9" t="s">
        <v>19</v>
      </c>
    </row>
    <row r="2138" spans="1:33">
      <c r="A2138" s="3" t="s">
        <v>2378</v>
      </c>
      <c r="D2138" s="3" t="s">
        <v>7450</v>
      </c>
      <c r="E2138" s="3" t="s">
        <v>12378</v>
      </c>
      <c r="J2138" s="9" t="s">
        <v>24</v>
      </c>
      <c r="L2138" s="9">
        <v>1</v>
      </c>
      <c r="M2138" s="9">
        <v>3</v>
      </c>
      <c r="N2138" s="9" t="s">
        <v>12123</v>
      </c>
      <c r="O2138" s="9" t="s">
        <v>12079</v>
      </c>
      <c r="Q2138" s="10"/>
      <c r="S2138" s="9">
        <v>887</v>
      </c>
      <c r="U2138" s="9" t="str">
        <f t="shared" ca="1" si="88"/>
        <v/>
      </c>
      <c r="V2138" s="9" t="str">
        <f t="shared" ca="1" si="89"/>
        <v/>
      </c>
      <c r="AG2138" s="9" t="s">
        <v>19</v>
      </c>
    </row>
    <row r="2139" spans="1:33">
      <c r="A2139" s="3" t="s">
        <v>2378</v>
      </c>
      <c r="D2139" s="3" t="s">
        <v>12380</v>
      </c>
      <c r="E2139" s="3" t="s">
        <v>12379</v>
      </c>
      <c r="J2139" s="9" t="s">
        <v>12120</v>
      </c>
      <c r="Q2139" s="10"/>
      <c r="U2139" s="9" t="str">
        <f t="shared" ca="1" si="88"/>
        <v/>
      </c>
      <c r="V2139" s="9" t="str">
        <f t="shared" ca="1" si="89"/>
        <v/>
      </c>
      <c r="AE2139" s="9" t="s">
        <v>12086</v>
      </c>
    </row>
    <row r="2140" spans="1:33">
      <c r="A2140" s="3" t="s">
        <v>2379</v>
      </c>
      <c r="D2140" s="3" t="s">
        <v>117</v>
      </c>
      <c r="E2140" s="3" t="s">
        <v>118</v>
      </c>
      <c r="G2140" t="s">
        <v>19</v>
      </c>
      <c r="J2140" s="9" t="s">
        <v>12118</v>
      </c>
      <c r="Q2140" s="10"/>
      <c r="T2140" s="9" t="s">
        <v>12119</v>
      </c>
      <c r="U2140" s="9" t="str">
        <f t="shared" ca="1" si="88"/>
        <v/>
      </c>
      <c r="V2140" s="9" t="str">
        <f t="shared" ca="1" si="89"/>
        <v/>
      </c>
      <c r="AB2140" s="9" t="s">
        <v>12124</v>
      </c>
      <c r="AC2140" s="9" t="s">
        <v>12740</v>
      </c>
      <c r="AD2140" s="9" t="s">
        <v>19</v>
      </c>
    </row>
    <row r="2141" spans="1:33">
      <c r="A2141" s="3" t="s">
        <v>2380</v>
      </c>
      <c r="D2141" s="3" t="s">
        <v>12381</v>
      </c>
      <c r="E2141" s="3" t="s">
        <v>12382</v>
      </c>
      <c r="J2141" s="9" t="s">
        <v>12118</v>
      </c>
      <c r="Q2141" s="10"/>
      <c r="T2141" s="9">
        <f>0-84</f>
        <v>-84</v>
      </c>
      <c r="U2141" s="9">
        <f t="shared" ca="1" si="88"/>
        <v>84</v>
      </c>
      <c r="V2141" s="9">
        <f t="shared" ca="1" si="89"/>
        <v>0</v>
      </c>
      <c r="AC2141" s="9" t="s">
        <v>12130</v>
      </c>
      <c r="AD2141" s="9" t="s">
        <v>19</v>
      </c>
      <c r="AE2141" s="9" t="s">
        <v>12083</v>
      </c>
    </row>
    <row r="2142" spans="1:33" ht="29">
      <c r="A2142" s="3" t="s">
        <v>2381</v>
      </c>
      <c r="D2142" s="3" t="s">
        <v>7451</v>
      </c>
      <c r="E2142" s="3" t="s">
        <v>7452</v>
      </c>
      <c r="I2142" t="s">
        <v>12675</v>
      </c>
      <c r="J2142" s="9" t="s">
        <v>26</v>
      </c>
      <c r="Q2142" s="10"/>
      <c r="U2142" s="9" t="str">
        <f t="shared" ca="1" si="88"/>
        <v/>
      </c>
      <c r="V2142" s="9" t="str">
        <f t="shared" ca="1" si="89"/>
        <v/>
      </c>
      <c r="W2142" s="9" t="s">
        <v>12117</v>
      </c>
      <c r="AG2142" s="9" t="s">
        <v>20</v>
      </c>
    </row>
    <row r="2143" spans="1:33" ht="29">
      <c r="A2143" s="3" t="s">
        <v>2381</v>
      </c>
      <c r="D2143" s="3" t="s">
        <v>7453</v>
      </c>
      <c r="E2143" s="3" t="s">
        <v>7454</v>
      </c>
      <c r="J2143" s="9" t="s">
        <v>12120</v>
      </c>
      <c r="Q2143" s="10"/>
      <c r="U2143" s="9" t="str">
        <f t="shared" ca="1" si="88"/>
        <v/>
      </c>
      <c r="V2143" s="9" t="str">
        <f t="shared" ca="1" si="89"/>
        <v/>
      </c>
      <c r="AB2143" s="9" t="s">
        <v>12082</v>
      </c>
      <c r="AD2143" s="9" t="s">
        <v>19</v>
      </c>
    </row>
    <row r="2144" spans="1:33">
      <c r="A2144" s="3" t="s">
        <v>2383</v>
      </c>
      <c r="D2144" s="3" t="s">
        <v>2384</v>
      </c>
      <c r="E2144" s="3" t="s">
        <v>7455</v>
      </c>
      <c r="G2144" t="s">
        <v>19</v>
      </c>
      <c r="J2144" s="9" t="s">
        <v>12118</v>
      </c>
      <c r="Q2144" s="10"/>
      <c r="T2144" s="9">
        <f xml:space="preserve"> 5-0</f>
        <v>5</v>
      </c>
      <c r="U2144" s="9">
        <f t="shared" ca="1" si="88"/>
        <v>0</v>
      </c>
      <c r="V2144" s="9">
        <f t="shared" ca="1" si="89"/>
        <v>5</v>
      </c>
    </row>
    <row r="2145" spans="1:33">
      <c r="A2145" s="3" t="s">
        <v>2385</v>
      </c>
      <c r="D2145" s="3" t="s">
        <v>430</v>
      </c>
      <c r="E2145" s="3" t="s">
        <v>431</v>
      </c>
      <c r="J2145" s="9" t="s">
        <v>12118</v>
      </c>
      <c r="Q2145" s="10"/>
      <c r="T2145" s="9" t="s">
        <v>12119</v>
      </c>
      <c r="U2145" s="9" t="str">
        <f t="shared" ca="1" si="88"/>
        <v/>
      </c>
      <c r="V2145" s="9" t="str">
        <f t="shared" ca="1" si="89"/>
        <v/>
      </c>
      <c r="AC2145" s="9" t="s">
        <v>12130</v>
      </c>
      <c r="AD2145" s="9" t="s">
        <v>19</v>
      </c>
      <c r="AE2145" s="9" t="s">
        <v>12086</v>
      </c>
    </row>
    <row r="2146" spans="1:33">
      <c r="A2146" s="3" t="s">
        <v>2386</v>
      </c>
      <c r="D2146" s="3" t="s">
        <v>2387</v>
      </c>
      <c r="E2146" s="3" t="s">
        <v>2388</v>
      </c>
      <c r="J2146" s="9" t="s">
        <v>12118</v>
      </c>
      <c r="Q2146" s="10"/>
      <c r="T2146" s="9" t="s">
        <v>12119</v>
      </c>
      <c r="U2146" s="9" t="str">
        <f t="shared" ca="1" si="88"/>
        <v/>
      </c>
      <c r="V2146" s="9" t="str">
        <f t="shared" ca="1" si="89"/>
        <v/>
      </c>
      <c r="AC2146" s="9" t="s">
        <v>12134</v>
      </c>
      <c r="AD2146" s="9" t="s">
        <v>19</v>
      </c>
      <c r="AE2146" s="9" t="s">
        <v>12086</v>
      </c>
    </row>
    <row r="2147" spans="1:33">
      <c r="A2147" s="3" t="s">
        <v>2386</v>
      </c>
      <c r="D2147" s="3" t="s">
        <v>2389</v>
      </c>
      <c r="E2147" s="5" t="s">
        <v>2390</v>
      </c>
      <c r="F2147" t="s">
        <v>16</v>
      </c>
      <c r="Q2147" s="10"/>
      <c r="U2147" s="9" t="str">
        <f t="shared" ca="1" si="88"/>
        <v/>
      </c>
      <c r="V2147" s="9" t="str">
        <f t="shared" ca="1" si="89"/>
        <v/>
      </c>
    </row>
    <row r="2148" spans="1:33" ht="29">
      <c r="A2148" s="3" t="s">
        <v>2386</v>
      </c>
      <c r="D2148" s="3" t="s">
        <v>7457</v>
      </c>
      <c r="E2148" s="3" t="s">
        <v>7456</v>
      </c>
      <c r="J2148" s="9" t="s">
        <v>25</v>
      </c>
      <c r="L2148" s="9">
        <v>1</v>
      </c>
      <c r="M2148" s="9">
        <v>7</v>
      </c>
      <c r="N2148" s="9" t="s">
        <v>12092</v>
      </c>
      <c r="O2148" s="9" t="s">
        <v>12079</v>
      </c>
      <c r="Q2148" s="10"/>
      <c r="S2148" s="9">
        <v>14</v>
      </c>
      <c r="U2148" s="9" t="str">
        <f t="shared" ca="1" si="88"/>
        <v/>
      </c>
      <c r="V2148" s="9" t="str">
        <f t="shared" ca="1" si="89"/>
        <v/>
      </c>
      <c r="AG2148" s="9" t="s">
        <v>19</v>
      </c>
    </row>
    <row r="2149" spans="1:33" ht="29">
      <c r="A2149" s="3" t="s">
        <v>2391</v>
      </c>
      <c r="D2149" s="3" t="s">
        <v>12383</v>
      </c>
      <c r="E2149" s="3" t="s">
        <v>12384</v>
      </c>
      <c r="J2149" s="9" t="s">
        <v>12118</v>
      </c>
      <c r="Q2149" s="10"/>
      <c r="T2149" s="9">
        <f>0-84</f>
        <v>-84</v>
      </c>
      <c r="U2149" s="9">
        <f t="shared" ca="1" si="88"/>
        <v>84</v>
      </c>
      <c r="V2149" s="9">
        <f t="shared" ca="1" si="89"/>
        <v>0</v>
      </c>
      <c r="AC2149" s="9" t="s">
        <v>12134</v>
      </c>
      <c r="AD2149" s="9" t="s">
        <v>19</v>
      </c>
      <c r="AE2149" s="9" t="s">
        <v>12083</v>
      </c>
    </row>
    <row r="2150" spans="1:33">
      <c r="A2150" s="3" t="s">
        <v>2391</v>
      </c>
      <c r="D2150" s="3" t="s">
        <v>7459</v>
      </c>
      <c r="E2150" s="3" t="s">
        <v>7458</v>
      </c>
      <c r="J2150" s="9" t="s">
        <v>25</v>
      </c>
      <c r="L2150" s="9">
        <v>1</v>
      </c>
      <c r="M2150" s="9">
        <v>3</v>
      </c>
      <c r="N2150" s="9" t="s">
        <v>12087</v>
      </c>
      <c r="O2150" s="9" t="s">
        <v>12079</v>
      </c>
      <c r="Q2150" s="10"/>
      <c r="S2150" s="9">
        <v>5676</v>
      </c>
      <c r="U2150" s="9" t="str">
        <f t="shared" ca="1" si="88"/>
        <v/>
      </c>
      <c r="V2150" s="9" t="str">
        <f t="shared" ca="1" si="89"/>
        <v/>
      </c>
      <c r="AG2150" s="9" t="s">
        <v>19</v>
      </c>
    </row>
    <row r="2151" spans="1:33">
      <c r="A2151" s="3" t="s">
        <v>2391</v>
      </c>
      <c r="D2151" s="3" t="s">
        <v>7461</v>
      </c>
      <c r="E2151" s="3" t="s">
        <v>7460</v>
      </c>
      <c r="J2151" s="9" t="s">
        <v>24</v>
      </c>
      <c r="L2151" s="9">
        <v>1</v>
      </c>
      <c r="M2151" s="9">
        <v>4</v>
      </c>
      <c r="N2151" s="9" t="s">
        <v>12078</v>
      </c>
      <c r="O2151" s="9" t="s">
        <v>12079</v>
      </c>
      <c r="Q2151" s="10"/>
      <c r="S2151" s="9">
        <v>11843</v>
      </c>
      <c r="U2151" s="9" t="str">
        <f t="shared" ca="1" si="88"/>
        <v/>
      </c>
      <c r="V2151" s="9" t="str">
        <f t="shared" ca="1" si="89"/>
        <v/>
      </c>
      <c r="AG2151" s="9" t="s">
        <v>19</v>
      </c>
    </row>
    <row r="2152" spans="1:33">
      <c r="A2152" s="3" t="s">
        <v>2391</v>
      </c>
      <c r="D2152" s="3" t="s">
        <v>2392</v>
      </c>
      <c r="E2152" s="3" t="s">
        <v>2382</v>
      </c>
      <c r="J2152" s="9" t="s">
        <v>12118</v>
      </c>
      <c r="Q2152" s="10"/>
      <c r="T2152" s="9" t="s">
        <v>12131</v>
      </c>
      <c r="U2152" s="9" t="str">
        <f t="shared" ca="1" si="88"/>
        <v/>
      </c>
      <c r="V2152" s="9" t="str">
        <f t="shared" ca="1" si="89"/>
        <v/>
      </c>
      <c r="AE2152" s="9" t="s">
        <v>12086</v>
      </c>
    </row>
    <row r="2153" spans="1:33">
      <c r="A2153" s="3" t="s">
        <v>2393</v>
      </c>
      <c r="D2153" s="3" t="s">
        <v>2394</v>
      </c>
      <c r="E2153" s="5" t="s">
        <v>2395</v>
      </c>
      <c r="F2153" t="s">
        <v>16</v>
      </c>
      <c r="Q2153" s="10"/>
      <c r="U2153" s="9" t="str">
        <f t="shared" ca="1" si="88"/>
        <v/>
      </c>
      <c r="V2153" s="9" t="str">
        <f t="shared" ca="1" si="89"/>
        <v/>
      </c>
    </row>
    <row r="2154" spans="1:33">
      <c r="A2154" s="3" t="s">
        <v>2396</v>
      </c>
      <c r="D2154" s="3" t="s">
        <v>7462</v>
      </c>
      <c r="E2154" s="3" t="s">
        <v>7463</v>
      </c>
      <c r="J2154" s="9" t="s">
        <v>24</v>
      </c>
      <c r="L2154" s="9">
        <v>2</v>
      </c>
      <c r="M2154" s="9">
        <v>7</v>
      </c>
      <c r="O2154" s="9" t="s">
        <v>12073</v>
      </c>
      <c r="P2154" s="9" t="s">
        <v>12142</v>
      </c>
      <c r="Q2154" s="10" t="s">
        <v>12156</v>
      </c>
      <c r="R2154" s="9" t="s">
        <v>12074</v>
      </c>
      <c r="S2154" s="9">
        <v>2042</v>
      </c>
      <c r="U2154" s="9" t="str">
        <f t="shared" ca="1" si="88"/>
        <v/>
      </c>
      <c r="V2154" s="9" t="str">
        <f t="shared" ca="1" si="89"/>
        <v/>
      </c>
      <c r="AE2154" s="9" t="s">
        <v>12083</v>
      </c>
    </row>
    <row r="2155" spans="1:33">
      <c r="A2155" s="3" t="s">
        <v>2396</v>
      </c>
      <c r="D2155" s="3" t="s">
        <v>12385</v>
      </c>
      <c r="E2155" s="3" t="s">
        <v>7464</v>
      </c>
      <c r="J2155" s="9" t="s">
        <v>12118</v>
      </c>
      <c r="Q2155" s="10"/>
      <c r="T2155" s="9" t="s">
        <v>12131</v>
      </c>
      <c r="U2155" s="9" t="str">
        <f t="shared" ca="1" si="88"/>
        <v/>
      </c>
      <c r="V2155" s="9" t="str">
        <f t="shared" ca="1" si="89"/>
        <v/>
      </c>
      <c r="AC2155" s="9" t="s">
        <v>12134</v>
      </c>
      <c r="AD2155" s="9" t="s">
        <v>19</v>
      </c>
      <c r="AE2155" s="9" t="s">
        <v>12086</v>
      </c>
    </row>
    <row r="2156" spans="1:33">
      <c r="A2156" s="3" t="s">
        <v>2397</v>
      </c>
      <c r="D2156" s="3" t="s">
        <v>7465</v>
      </c>
      <c r="E2156" s="3" t="s">
        <v>7466</v>
      </c>
      <c r="G2156" t="s">
        <v>19</v>
      </c>
      <c r="J2156" s="9" t="s">
        <v>12120</v>
      </c>
      <c r="Q2156" s="10"/>
      <c r="U2156" s="9" t="str">
        <f t="shared" ca="1" si="88"/>
        <v/>
      </c>
      <c r="V2156" s="9" t="str">
        <f t="shared" ca="1" si="89"/>
        <v/>
      </c>
      <c r="AE2156" s="9" t="s">
        <v>12086</v>
      </c>
    </row>
    <row r="2157" spans="1:33" ht="29">
      <c r="A2157" s="3" t="s">
        <v>2398</v>
      </c>
      <c r="D2157" s="3" t="s">
        <v>7468</v>
      </c>
      <c r="E2157" s="3" t="s">
        <v>7467</v>
      </c>
      <c r="J2157" s="9" t="s">
        <v>25</v>
      </c>
      <c r="L2157" s="9">
        <v>1</v>
      </c>
      <c r="M2157" s="9">
        <v>3</v>
      </c>
      <c r="N2157" s="9" t="s">
        <v>12087</v>
      </c>
      <c r="O2157" s="9" t="s">
        <v>12079</v>
      </c>
      <c r="Q2157" s="10"/>
      <c r="S2157" s="9">
        <v>5676</v>
      </c>
      <c r="U2157" s="9" t="str">
        <f t="shared" ca="1" si="88"/>
        <v/>
      </c>
      <c r="V2157" s="9" t="str">
        <f t="shared" ca="1" si="89"/>
        <v/>
      </c>
      <c r="AG2157" s="9" t="s">
        <v>19</v>
      </c>
    </row>
    <row r="2158" spans="1:33" ht="29">
      <c r="A2158" s="3" t="s">
        <v>2398</v>
      </c>
      <c r="D2158" s="3" t="s">
        <v>7469</v>
      </c>
      <c r="E2158" s="3" t="s">
        <v>7470</v>
      </c>
      <c r="J2158" s="9" t="s">
        <v>12120</v>
      </c>
      <c r="Q2158" s="10"/>
      <c r="U2158" s="9" t="str">
        <f t="shared" ca="1" si="88"/>
        <v/>
      </c>
      <c r="V2158" s="9" t="str">
        <f t="shared" ca="1" si="89"/>
        <v/>
      </c>
      <c r="AG2158" s="9" t="s">
        <v>20</v>
      </c>
    </row>
    <row r="2159" spans="1:33" ht="43.5">
      <c r="A2159" s="3" t="s">
        <v>2399</v>
      </c>
      <c r="D2159" s="3" t="s">
        <v>7472</v>
      </c>
      <c r="E2159" s="3" t="s">
        <v>7471</v>
      </c>
      <c r="I2159" t="s">
        <v>12387</v>
      </c>
      <c r="J2159" s="9" t="s">
        <v>25</v>
      </c>
      <c r="L2159" s="9">
        <v>3</v>
      </c>
      <c r="M2159" s="9">
        <v>18</v>
      </c>
      <c r="O2159" s="9" t="s">
        <v>12073</v>
      </c>
      <c r="P2159" s="9" t="s">
        <v>12386</v>
      </c>
      <c r="Q2159" s="10" t="s">
        <v>12136</v>
      </c>
      <c r="S2159" s="9">
        <v>18</v>
      </c>
      <c r="U2159" s="9" t="str">
        <f t="shared" ca="1" si="88"/>
        <v/>
      </c>
      <c r="V2159" s="9" t="str">
        <f t="shared" ca="1" si="89"/>
        <v/>
      </c>
      <c r="AG2159" s="9" t="s">
        <v>13141</v>
      </c>
    </row>
    <row r="2160" spans="1:33">
      <c r="A2160" s="3" t="s">
        <v>2400</v>
      </c>
      <c r="D2160" s="3" t="s">
        <v>7473</v>
      </c>
      <c r="E2160" s="3" t="s">
        <v>7474</v>
      </c>
      <c r="G2160" t="s">
        <v>19</v>
      </c>
      <c r="J2160" s="9" t="s">
        <v>12118</v>
      </c>
      <c r="Q2160" s="10"/>
      <c r="T2160" s="9" t="s">
        <v>12131</v>
      </c>
      <c r="U2160" s="9" t="str">
        <f t="shared" ca="1" si="88"/>
        <v/>
      </c>
      <c r="V2160" s="9" t="str">
        <f t="shared" ca="1" si="89"/>
        <v/>
      </c>
      <c r="AC2160" s="9" t="s">
        <v>12134</v>
      </c>
      <c r="AD2160" s="9" t="s">
        <v>19</v>
      </c>
      <c r="AE2160" s="9" t="s">
        <v>12077</v>
      </c>
    </row>
    <row r="2161" spans="1:33">
      <c r="A2161" s="3" t="s">
        <v>2401</v>
      </c>
      <c r="D2161" s="3" t="s">
        <v>7476</v>
      </c>
      <c r="E2161" s="3" t="s">
        <v>7475</v>
      </c>
      <c r="H2161" t="s">
        <v>19</v>
      </c>
      <c r="J2161" s="9" t="s">
        <v>25</v>
      </c>
      <c r="L2161" s="9">
        <v>1</v>
      </c>
      <c r="M2161" s="9">
        <v>3</v>
      </c>
      <c r="N2161" s="9" t="s">
        <v>12087</v>
      </c>
      <c r="O2161" s="9" t="s">
        <v>12079</v>
      </c>
      <c r="Q2161" s="10"/>
      <c r="S2161" s="9">
        <v>5676</v>
      </c>
      <c r="U2161" s="9" t="str">
        <f t="shared" ca="1" si="88"/>
        <v/>
      </c>
      <c r="V2161" s="9" t="str">
        <f t="shared" ca="1" si="89"/>
        <v/>
      </c>
      <c r="AG2161" s="9" t="s">
        <v>19</v>
      </c>
    </row>
    <row r="2162" spans="1:33">
      <c r="A2162" s="3" t="s">
        <v>2402</v>
      </c>
      <c r="D2162" s="3" t="s">
        <v>7477</v>
      </c>
      <c r="E2162" s="3" t="s">
        <v>7478</v>
      </c>
      <c r="J2162" s="9" t="s">
        <v>25</v>
      </c>
      <c r="L2162" s="9">
        <v>1</v>
      </c>
      <c r="M2162" s="9">
        <v>2</v>
      </c>
      <c r="N2162" s="9" t="s">
        <v>12078</v>
      </c>
      <c r="O2162" s="9" t="s">
        <v>12119</v>
      </c>
      <c r="Q2162" s="10"/>
      <c r="S2162" s="9">
        <v>11843</v>
      </c>
      <c r="U2162" s="9" t="str">
        <f t="shared" ca="1" si="88"/>
        <v/>
      </c>
      <c r="V2162" s="9" t="str">
        <f t="shared" ca="1" si="89"/>
        <v/>
      </c>
      <c r="AE2162" s="9" t="s">
        <v>12089</v>
      </c>
    </row>
    <row r="2163" spans="1:33">
      <c r="A2163" s="3" t="s">
        <v>2404</v>
      </c>
      <c r="D2163" s="3" t="s">
        <v>7479</v>
      </c>
      <c r="E2163" s="3" t="s">
        <v>7480</v>
      </c>
      <c r="J2163" s="9" t="s">
        <v>12120</v>
      </c>
      <c r="Q2163" s="10"/>
      <c r="U2163" s="9" t="str">
        <f t="shared" ca="1" si="88"/>
        <v/>
      </c>
      <c r="V2163" s="9" t="str">
        <f t="shared" ca="1" si="89"/>
        <v/>
      </c>
      <c r="AB2163" s="9" t="s">
        <v>12082</v>
      </c>
      <c r="AD2163" s="9" t="s">
        <v>19</v>
      </c>
    </row>
    <row r="2164" spans="1:33">
      <c r="A2164" s="3" t="s">
        <v>2404</v>
      </c>
      <c r="D2164" s="3" t="s">
        <v>7481</v>
      </c>
      <c r="E2164" s="3" t="s">
        <v>7482</v>
      </c>
      <c r="J2164" s="9" t="s">
        <v>12120</v>
      </c>
      <c r="Q2164" s="10"/>
      <c r="U2164" s="9" t="str">
        <f t="shared" ca="1" si="88"/>
        <v/>
      </c>
      <c r="V2164" s="9" t="str">
        <f t="shared" ca="1" si="89"/>
        <v/>
      </c>
      <c r="AB2164" s="9" t="s">
        <v>12082</v>
      </c>
      <c r="AD2164" s="9" t="s">
        <v>19</v>
      </c>
    </row>
    <row r="2165" spans="1:33">
      <c r="A2165" s="3" t="s">
        <v>2405</v>
      </c>
      <c r="D2165" s="3" t="s">
        <v>2406</v>
      </c>
      <c r="E2165" s="3" t="s">
        <v>2407</v>
      </c>
      <c r="J2165" s="9" t="s">
        <v>12118</v>
      </c>
      <c r="Q2165" s="10"/>
      <c r="T2165" s="9" t="s">
        <v>12131</v>
      </c>
      <c r="U2165" s="9" t="str">
        <f t="shared" ca="1" si="88"/>
        <v/>
      </c>
      <c r="V2165" s="9" t="str">
        <f t="shared" ca="1" si="89"/>
        <v/>
      </c>
      <c r="AE2165" s="9" t="s">
        <v>12077</v>
      </c>
    </row>
    <row r="2166" spans="1:33">
      <c r="A2166" s="3" t="s">
        <v>2405</v>
      </c>
      <c r="D2166" s="3" t="s">
        <v>2408</v>
      </c>
      <c r="E2166" s="3" t="s">
        <v>2409</v>
      </c>
      <c r="J2166" s="9" t="s">
        <v>12118</v>
      </c>
      <c r="Q2166" s="10"/>
      <c r="T2166" s="9">
        <f>8-0</f>
        <v>8</v>
      </c>
      <c r="U2166" s="9">
        <f t="shared" ca="1" si="88"/>
        <v>0</v>
      </c>
      <c r="V2166" s="9">
        <f t="shared" ca="1" si="89"/>
        <v>8</v>
      </c>
      <c r="AC2166" s="9" t="s">
        <v>12130</v>
      </c>
      <c r="AD2166" s="9" t="s">
        <v>19</v>
      </c>
    </row>
    <row r="2167" spans="1:33" ht="29">
      <c r="A2167" s="3" t="s">
        <v>2405</v>
      </c>
      <c r="D2167" s="3" t="s">
        <v>7483</v>
      </c>
      <c r="E2167" s="3" t="s">
        <v>7484</v>
      </c>
      <c r="J2167" s="9" t="s">
        <v>12120</v>
      </c>
      <c r="Q2167" s="10"/>
      <c r="U2167" s="9" t="str">
        <f t="shared" ca="1" si="88"/>
        <v/>
      </c>
      <c r="V2167" s="9" t="str">
        <f t="shared" ca="1" si="89"/>
        <v/>
      </c>
      <c r="AB2167" s="9" t="s">
        <v>12737</v>
      </c>
      <c r="AD2167" s="9" t="s">
        <v>19</v>
      </c>
    </row>
    <row r="2168" spans="1:33" ht="29">
      <c r="A2168" s="3" t="s">
        <v>2405</v>
      </c>
      <c r="D2168" s="3" t="s">
        <v>7485</v>
      </c>
      <c r="E2168" s="3" t="s">
        <v>7486</v>
      </c>
      <c r="J2168" s="9" t="s">
        <v>12120</v>
      </c>
      <c r="Q2168" s="10"/>
      <c r="U2168" s="9" t="str">
        <f t="shared" ca="1" si="88"/>
        <v/>
      </c>
      <c r="V2168" s="9" t="str">
        <f t="shared" ca="1" si="89"/>
        <v/>
      </c>
      <c r="AG2168" s="9" t="s">
        <v>19</v>
      </c>
    </row>
    <row r="2169" spans="1:33">
      <c r="A2169" s="3" t="s">
        <v>2405</v>
      </c>
      <c r="D2169" s="3" t="s">
        <v>7487</v>
      </c>
      <c r="E2169" s="3" t="s">
        <v>7488</v>
      </c>
      <c r="J2169" s="9" t="s">
        <v>12120</v>
      </c>
      <c r="Q2169" s="10"/>
      <c r="U2169" s="9" t="str">
        <f t="shared" ca="1" si="88"/>
        <v/>
      </c>
      <c r="V2169" s="9" t="str">
        <f t="shared" ca="1" si="89"/>
        <v/>
      </c>
      <c r="AB2169" s="9" t="s">
        <v>12082</v>
      </c>
      <c r="AD2169" s="9" t="s">
        <v>19</v>
      </c>
    </row>
    <row r="2170" spans="1:33" ht="29">
      <c r="A2170" s="3" t="s">
        <v>2410</v>
      </c>
      <c r="D2170" s="3" t="s">
        <v>7489</v>
      </c>
      <c r="E2170" s="3" t="s">
        <v>7490</v>
      </c>
      <c r="J2170" s="9" t="s">
        <v>12118</v>
      </c>
      <c r="Q2170" s="10"/>
      <c r="T2170" s="9">
        <f>437-1565</f>
        <v>-1128</v>
      </c>
      <c r="U2170" s="9">
        <f t="shared" ca="1" si="88"/>
        <v>1565</v>
      </c>
      <c r="V2170" s="9">
        <f t="shared" ca="1" si="89"/>
        <v>437</v>
      </c>
      <c r="AG2170" s="9" t="s">
        <v>19</v>
      </c>
    </row>
    <row r="2171" spans="1:33">
      <c r="A2171" s="3" t="s">
        <v>2410</v>
      </c>
      <c r="D2171" s="3" t="s">
        <v>7491</v>
      </c>
      <c r="E2171" s="3" t="s">
        <v>7492</v>
      </c>
      <c r="J2171" s="9" t="s">
        <v>12120</v>
      </c>
      <c r="Q2171" s="10"/>
      <c r="U2171" s="9" t="str">
        <f t="shared" ca="1" si="88"/>
        <v/>
      </c>
      <c r="V2171" s="9" t="str">
        <f t="shared" ca="1" si="89"/>
        <v/>
      </c>
      <c r="AB2171" s="9" t="s">
        <v>12737</v>
      </c>
      <c r="AD2171" s="9" t="s">
        <v>19</v>
      </c>
    </row>
    <row r="2172" spans="1:33">
      <c r="A2172" s="3" t="s">
        <v>2412</v>
      </c>
      <c r="D2172" s="3" t="s">
        <v>7494</v>
      </c>
      <c r="E2172" s="3" t="s">
        <v>7493</v>
      </c>
      <c r="I2172" t="s">
        <v>12676</v>
      </c>
      <c r="J2172" s="9" t="s">
        <v>24</v>
      </c>
      <c r="L2172" s="9">
        <v>1</v>
      </c>
      <c r="M2172" s="9">
        <v>3</v>
      </c>
      <c r="N2172" s="9" t="s">
        <v>12087</v>
      </c>
      <c r="O2172" s="9" t="s">
        <v>12079</v>
      </c>
      <c r="Q2172" s="10"/>
      <c r="S2172" s="9">
        <v>5676</v>
      </c>
      <c r="U2172" s="9" t="str">
        <f t="shared" ca="1" si="88"/>
        <v/>
      </c>
      <c r="V2172" s="9" t="str">
        <f t="shared" ca="1" si="89"/>
        <v/>
      </c>
      <c r="W2172" s="9" t="s">
        <v>12117</v>
      </c>
      <c r="AG2172" s="9" t="s">
        <v>19</v>
      </c>
    </row>
    <row r="2173" spans="1:33">
      <c r="A2173" s="3" t="s">
        <v>2413</v>
      </c>
      <c r="D2173" s="3" t="s">
        <v>2414</v>
      </c>
      <c r="E2173" s="3" t="s">
        <v>2415</v>
      </c>
      <c r="J2173" s="9" t="s">
        <v>12120</v>
      </c>
      <c r="Q2173" s="10"/>
      <c r="U2173" s="9" t="str">
        <f t="shared" ca="1" si="88"/>
        <v/>
      </c>
      <c r="V2173" s="9" t="str">
        <f t="shared" ca="1" si="89"/>
        <v/>
      </c>
      <c r="AG2173" s="9" t="s">
        <v>19</v>
      </c>
    </row>
    <row r="2174" spans="1:33">
      <c r="A2174" s="3" t="s">
        <v>2416</v>
      </c>
      <c r="D2174" s="3" t="s">
        <v>7495</v>
      </c>
      <c r="E2174" s="3" t="s">
        <v>7496</v>
      </c>
      <c r="J2174" s="9" t="s">
        <v>25</v>
      </c>
      <c r="L2174" s="9">
        <v>1</v>
      </c>
      <c r="M2174" s="9">
        <v>3</v>
      </c>
      <c r="N2174" s="9" t="s">
        <v>12087</v>
      </c>
      <c r="O2174" s="9" t="s">
        <v>12079</v>
      </c>
      <c r="Q2174" s="10"/>
      <c r="S2174" s="9">
        <v>810</v>
      </c>
      <c r="U2174" s="9" t="str">
        <f t="shared" ca="1" si="88"/>
        <v/>
      </c>
      <c r="V2174" s="9" t="str">
        <f t="shared" ca="1" si="89"/>
        <v/>
      </c>
      <c r="AG2174" s="9" t="s">
        <v>20</v>
      </c>
    </row>
    <row r="2175" spans="1:33">
      <c r="A2175" s="3" t="s">
        <v>2417</v>
      </c>
      <c r="D2175" s="3" t="s">
        <v>7497</v>
      </c>
      <c r="E2175" s="3" t="s">
        <v>7498</v>
      </c>
      <c r="J2175" s="9" t="s">
        <v>25</v>
      </c>
      <c r="L2175" s="9">
        <v>1</v>
      </c>
      <c r="M2175" s="9">
        <v>1</v>
      </c>
      <c r="N2175" s="9" t="s">
        <v>12078</v>
      </c>
      <c r="O2175" s="9" t="s">
        <v>12119</v>
      </c>
      <c r="Q2175" s="10"/>
      <c r="S2175" s="9">
        <v>11843</v>
      </c>
      <c r="U2175" s="9" t="str">
        <f t="shared" ca="1" si="88"/>
        <v/>
      </c>
      <c r="V2175" s="9" t="str">
        <f t="shared" ca="1" si="89"/>
        <v/>
      </c>
      <c r="AG2175" s="9" t="s">
        <v>19</v>
      </c>
    </row>
    <row r="2176" spans="1:33">
      <c r="A2176" s="3" t="s">
        <v>2417</v>
      </c>
      <c r="D2176" s="3" t="s">
        <v>7500</v>
      </c>
      <c r="E2176" s="3" t="s">
        <v>7499</v>
      </c>
      <c r="J2176" s="9" t="s">
        <v>25</v>
      </c>
      <c r="L2176" s="9">
        <v>1</v>
      </c>
      <c r="M2176" s="9">
        <v>2</v>
      </c>
      <c r="N2176" s="9" t="s">
        <v>12078</v>
      </c>
      <c r="O2176" s="9" t="s">
        <v>12119</v>
      </c>
      <c r="Q2176" s="10"/>
      <c r="S2176" s="9">
        <v>11843</v>
      </c>
      <c r="U2176" s="9" t="str">
        <f t="shared" ca="1" si="88"/>
        <v/>
      </c>
      <c r="V2176" s="9" t="str">
        <f t="shared" ca="1" si="89"/>
        <v/>
      </c>
      <c r="AG2176" s="9" t="s">
        <v>19</v>
      </c>
    </row>
    <row r="2177" spans="1:33">
      <c r="A2177" s="3" t="s">
        <v>2418</v>
      </c>
      <c r="D2177" s="3" t="s">
        <v>12388</v>
      </c>
      <c r="E2177" s="3" t="s">
        <v>12389</v>
      </c>
      <c r="J2177" s="9" t="s">
        <v>12118</v>
      </c>
      <c r="Q2177" s="10"/>
      <c r="T2177" s="9">
        <f>0-214</f>
        <v>-214</v>
      </c>
      <c r="U2177" s="9">
        <f t="shared" ca="1" si="88"/>
        <v>214</v>
      </c>
      <c r="V2177" s="9">
        <f t="shared" ca="1" si="89"/>
        <v>0</v>
      </c>
      <c r="AC2177" s="9" t="s">
        <v>12134</v>
      </c>
      <c r="AD2177" s="9" t="s">
        <v>19</v>
      </c>
      <c r="AE2177" s="9" t="s">
        <v>12083</v>
      </c>
    </row>
    <row r="2178" spans="1:33" ht="29">
      <c r="A2178" s="3" t="s">
        <v>2418</v>
      </c>
      <c r="D2178" s="3" t="s">
        <v>7501</v>
      </c>
      <c r="E2178" s="3" t="s">
        <v>7502</v>
      </c>
      <c r="J2178" s="9" t="s">
        <v>25</v>
      </c>
      <c r="L2178" s="9">
        <v>1</v>
      </c>
      <c r="M2178" s="9">
        <v>5</v>
      </c>
      <c r="N2178" s="9" t="s">
        <v>12094</v>
      </c>
      <c r="O2178" s="9" t="s">
        <v>12079</v>
      </c>
      <c r="Q2178" s="10"/>
      <c r="S2178" s="9">
        <v>4240</v>
      </c>
      <c r="U2178" s="9" t="str">
        <f t="shared" ca="1" si="88"/>
        <v/>
      </c>
      <c r="V2178" s="9" t="str">
        <f t="shared" ca="1" si="89"/>
        <v/>
      </c>
      <c r="AG2178" s="9" t="s">
        <v>20</v>
      </c>
    </row>
    <row r="2179" spans="1:33">
      <c r="A2179" s="3" t="s">
        <v>2419</v>
      </c>
      <c r="D2179" s="3" t="s">
        <v>747</v>
      </c>
      <c r="E2179" s="3" t="s">
        <v>2420</v>
      </c>
      <c r="J2179" s="9" t="s">
        <v>12120</v>
      </c>
      <c r="Q2179" s="10"/>
      <c r="U2179" s="9" t="str">
        <f t="shared" ca="1" si="88"/>
        <v/>
      </c>
      <c r="V2179" s="9" t="str">
        <f t="shared" ca="1" si="89"/>
        <v/>
      </c>
      <c r="AE2179" s="9" t="s">
        <v>12077</v>
      </c>
    </row>
    <row r="2180" spans="1:33">
      <c r="A2180" s="3" t="s">
        <v>2421</v>
      </c>
      <c r="D2180" s="3" t="s">
        <v>7504</v>
      </c>
      <c r="E2180" s="3" t="s">
        <v>7503</v>
      </c>
      <c r="J2180" s="9" t="s">
        <v>25</v>
      </c>
      <c r="L2180" s="9">
        <v>1</v>
      </c>
      <c r="M2180" s="9">
        <v>2</v>
      </c>
      <c r="N2180" s="9" t="s">
        <v>12078</v>
      </c>
      <c r="O2180" s="9" t="s">
        <v>12119</v>
      </c>
      <c r="Q2180" s="10"/>
      <c r="S2180" s="9">
        <v>11843</v>
      </c>
      <c r="U2180" s="9" t="str">
        <f t="shared" ca="1" si="88"/>
        <v/>
      </c>
      <c r="V2180" s="9" t="str">
        <f t="shared" ca="1" si="89"/>
        <v/>
      </c>
      <c r="AG2180" s="9" t="s">
        <v>20</v>
      </c>
    </row>
    <row r="2181" spans="1:33" ht="29">
      <c r="A2181" s="3" t="s">
        <v>2422</v>
      </c>
      <c r="D2181" s="3" t="s">
        <v>7506</v>
      </c>
      <c r="E2181" s="3" t="s">
        <v>7505</v>
      </c>
      <c r="J2181" s="9" t="s">
        <v>12120</v>
      </c>
      <c r="Q2181" s="10"/>
      <c r="U2181" s="9" t="str">
        <f t="shared" ca="1" si="88"/>
        <v/>
      </c>
      <c r="V2181" s="9" t="str">
        <f t="shared" ca="1" si="89"/>
        <v/>
      </c>
      <c r="AG2181" s="9" t="s">
        <v>19</v>
      </c>
    </row>
    <row r="2182" spans="1:33">
      <c r="A2182" s="3" t="s">
        <v>2423</v>
      </c>
      <c r="D2182" s="3" t="s">
        <v>7507</v>
      </c>
      <c r="E2182" s="3" t="s">
        <v>7508</v>
      </c>
      <c r="J2182" s="9" t="s">
        <v>24</v>
      </c>
      <c r="L2182" s="9">
        <v>1</v>
      </c>
      <c r="M2182" s="9">
        <v>3</v>
      </c>
      <c r="N2182" s="9" t="s">
        <v>12087</v>
      </c>
      <c r="O2182" s="9" t="s">
        <v>12079</v>
      </c>
      <c r="Q2182" s="10"/>
      <c r="S2182" s="9">
        <v>5676</v>
      </c>
      <c r="U2182" s="9" t="str">
        <f t="shared" ca="1" si="88"/>
        <v/>
      </c>
      <c r="V2182" s="9" t="str">
        <f t="shared" ca="1" si="89"/>
        <v/>
      </c>
      <c r="AG2182" s="9" t="s">
        <v>13141</v>
      </c>
    </row>
    <row r="2183" spans="1:33">
      <c r="A2183" s="3" t="s">
        <v>2423</v>
      </c>
      <c r="D2183" s="3" t="s">
        <v>2424</v>
      </c>
      <c r="E2183" s="3" t="s">
        <v>2425</v>
      </c>
      <c r="J2183" s="9" t="s">
        <v>12120</v>
      </c>
      <c r="Q2183" s="10"/>
      <c r="U2183" s="9" t="str">
        <f t="shared" ca="1" si="88"/>
        <v/>
      </c>
      <c r="V2183" s="9" t="str">
        <f t="shared" ca="1" si="89"/>
        <v/>
      </c>
      <c r="AE2183" s="9" t="s">
        <v>12077</v>
      </c>
    </row>
    <row r="2184" spans="1:33" ht="29">
      <c r="A2184" s="3" t="s">
        <v>2426</v>
      </c>
      <c r="D2184" s="3" t="s">
        <v>7511</v>
      </c>
      <c r="E2184" s="3" t="s">
        <v>7510</v>
      </c>
      <c r="J2184" s="9" t="s">
        <v>25</v>
      </c>
      <c r="L2184" s="9">
        <v>2</v>
      </c>
      <c r="M2184" s="9">
        <v>10</v>
      </c>
      <c r="O2184" s="9" t="s">
        <v>12079</v>
      </c>
      <c r="Q2184" s="10"/>
      <c r="S2184" s="9">
        <v>70</v>
      </c>
      <c r="U2184" s="9" t="str">
        <f t="shared" ca="1" si="88"/>
        <v/>
      </c>
      <c r="V2184" s="9" t="str">
        <f t="shared" ca="1" si="89"/>
        <v/>
      </c>
      <c r="AG2184" s="9" t="s">
        <v>20</v>
      </c>
    </row>
    <row r="2185" spans="1:33" ht="29">
      <c r="A2185" s="3" t="s">
        <v>2426</v>
      </c>
      <c r="D2185" s="3" t="s">
        <v>7509</v>
      </c>
      <c r="E2185" s="3" t="s">
        <v>7512</v>
      </c>
      <c r="J2185" s="9" t="s">
        <v>24</v>
      </c>
      <c r="L2185" s="9">
        <v>1</v>
      </c>
      <c r="M2185" s="9">
        <v>3</v>
      </c>
      <c r="N2185" s="9" t="s">
        <v>12087</v>
      </c>
      <c r="O2185" s="9" t="s">
        <v>12079</v>
      </c>
      <c r="Q2185" s="10"/>
      <c r="S2185" s="9">
        <v>5676</v>
      </c>
      <c r="U2185" s="9" t="str">
        <f t="shared" ca="1" si="88"/>
        <v/>
      </c>
      <c r="V2185" s="9" t="str">
        <f t="shared" ca="1" si="89"/>
        <v/>
      </c>
      <c r="AG2185" s="9" t="s">
        <v>20</v>
      </c>
    </row>
    <row r="2186" spans="1:33">
      <c r="A2186" s="3" t="s">
        <v>2426</v>
      </c>
      <c r="D2186" s="3" t="s">
        <v>7514</v>
      </c>
      <c r="E2186" s="3" t="s">
        <v>7513</v>
      </c>
      <c r="G2186" t="s">
        <v>19</v>
      </c>
      <c r="J2186" s="9" t="s">
        <v>12120</v>
      </c>
      <c r="Q2186" s="10"/>
      <c r="U2186" s="9" t="str">
        <f t="shared" ca="1" si="88"/>
        <v/>
      </c>
      <c r="V2186" s="9" t="str">
        <f t="shared" ca="1" si="89"/>
        <v/>
      </c>
      <c r="AC2186" s="9" t="s">
        <v>12188</v>
      </c>
      <c r="AD2186" s="9" t="s">
        <v>19</v>
      </c>
      <c r="AE2186" s="9" t="s">
        <v>12077</v>
      </c>
    </row>
    <row r="2187" spans="1:33">
      <c r="A2187" s="3" t="s">
        <v>2427</v>
      </c>
      <c r="D2187" s="3" t="s">
        <v>2428</v>
      </c>
      <c r="E2187" s="3" t="s">
        <v>1516</v>
      </c>
      <c r="G2187" t="s">
        <v>19</v>
      </c>
      <c r="J2187" s="9" t="s">
        <v>12118</v>
      </c>
      <c r="Q2187" s="10"/>
      <c r="T2187" s="9">
        <f>24-0</f>
        <v>24</v>
      </c>
      <c r="U2187" s="9">
        <f t="shared" ca="1" si="88"/>
        <v>0</v>
      </c>
      <c r="V2187" s="9">
        <f t="shared" ca="1" si="89"/>
        <v>24</v>
      </c>
    </row>
    <row r="2188" spans="1:33">
      <c r="A2188" s="3" t="s">
        <v>2429</v>
      </c>
      <c r="D2188" s="3" t="s">
        <v>7515</v>
      </c>
      <c r="E2188" s="3" t="s">
        <v>7516</v>
      </c>
      <c r="J2188" s="9" t="s">
        <v>24</v>
      </c>
      <c r="L2188" s="9">
        <v>1</v>
      </c>
      <c r="M2188" s="9">
        <v>1</v>
      </c>
      <c r="N2188" s="9" t="s">
        <v>12078</v>
      </c>
      <c r="O2188" s="9" t="s">
        <v>12119</v>
      </c>
      <c r="Q2188" s="10"/>
      <c r="R2188" s="9" t="s">
        <v>12074</v>
      </c>
      <c r="S2188" s="9">
        <v>11843</v>
      </c>
      <c r="U2188" s="9" t="str">
        <f t="shared" ref="U2188:U2251" ca="1" si="90">IF(ISNUMBER(T2188),VALUE(MID(_xlfn.FORMULATEXT(T2188),SEARCH("-",_xlfn.FORMULATEXT(T2188))+1,LEN(_xlfn.FORMULATEXT(T2188))-SEARCH("-",_xlfn.FORMULATEXT(T2188)))), "")</f>
        <v/>
      </c>
      <c r="V2188" s="9" t="str">
        <f t="shared" ref="V2188:V2251" ca="1" si="91">IF(ISNUMBER(T2188), VALUE(MID(_xlfn.FORMULATEXT(T2188), 2, SEARCH("-", _xlfn.FORMULATEXT(T2188)) - 2)), "")</f>
        <v/>
      </c>
      <c r="AE2188" s="9" t="s">
        <v>12083</v>
      </c>
    </row>
    <row r="2189" spans="1:33">
      <c r="A2189" s="3" t="s">
        <v>2429</v>
      </c>
      <c r="D2189" s="3" t="s">
        <v>2430</v>
      </c>
      <c r="E2189" s="3" t="s">
        <v>1524</v>
      </c>
      <c r="G2189" t="s">
        <v>21</v>
      </c>
      <c r="I2189" t="s">
        <v>7517</v>
      </c>
      <c r="J2189" s="9" t="s">
        <v>12120</v>
      </c>
      <c r="Q2189" s="10"/>
      <c r="U2189" s="9" t="str">
        <f t="shared" ca="1" si="90"/>
        <v/>
      </c>
      <c r="V2189" s="9" t="str">
        <f t="shared" ca="1" si="91"/>
        <v/>
      </c>
    </row>
    <row r="2190" spans="1:33">
      <c r="A2190" s="3" t="s">
        <v>2431</v>
      </c>
      <c r="D2190" s="3" t="s">
        <v>7518</v>
      </c>
      <c r="E2190" s="3" t="s">
        <v>7519</v>
      </c>
      <c r="G2190" t="s">
        <v>19</v>
      </c>
      <c r="J2190" s="9" t="s">
        <v>12120</v>
      </c>
      <c r="Q2190" s="10"/>
      <c r="U2190" s="9" t="str">
        <f t="shared" ca="1" si="90"/>
        <v/>
      </c>
      <c r="V2190" s="9" t="str">
        <f t="shared" ca="1" si="91"/>
        <v/>
      </c>
      <c r="AE2190" s="9" t="s">
        <v>12086</v>
      </c>
    </row>
    <row r="2191" spans="1:33">
      <c r="A2191" s="3" t="s">
        <v>2432</v>
      </c>
      <c r="D2191" s="3" t="s">
        <v>7520</v>
      </c>
      <c r="E2191" s="3" t="s">
        <v>7521</v>
      </c>
      <c r="G2191" t="s">
        <v>19</v>
      </c>
      <c r="I2191" t="s">
        <v>12677</v>
      </c>
      <c r="J2191" s="9" t="s">
        <v>12118</v>
      </c>
      <c r="Q2191" s="10"/>
      <c r="T2191" s="9">
        <f>444-0</f>
        <v>444</v>
      </c>
      <c r="U2191" s="9">
        <f t="shared" ca="1" si="90"/>
        <v>0</v>
      </c>
      <c r="V2191" s="9">
        <f t="shared" ca="1" si="91"/>
        <v>444</v>
      </c>
      <c r="W2191" s="9" t="s">
        <v>4</v>
      </c>
    </row>
    <row r="2192" spans="1:33">
      <c r="A2192" s="3" t="s">
        <v>2432</v>
      </c>
      <c r="D2192" s="3" t="s">
        <v>7522</v>
      </c>
      <c r="E2192" s="3" t="s">
        <v>7523</v>
      </c>
      <c r="J2192" s="9" t="s">
        <v>12120</v>
      </c>
      <c r="Q2192" s="10"/>
      <c r="U2192" s="9" t="str">
        <f t="shared" ca="1" si="90"/>
        <v/>
      </c>
      <c r="V2192" s="9" t="str">
        <f t="shared" ca="1" si="91"/>
        <v/>
      </c>
      <c r="AG2192" s="9" t="s">
        <v>19</v>
      </c>
    </row>
    <row r="2193" spans="1:33">
      <c r="A2193" s="3" t="s">
        <v>2433</v>
      </c>
      <c r="D2193" s="3" t="s">
        <v>2434</v>
      </c>
      <c r="E2193" s="3" t="s">
        <v>2025</v>
      </c>
      <c r="J2193" s="9" t="s">
        <v>12120</v>
      </c>
      <c r="Q2193" s="10"/>
      <c r="U2193" s="9" t="str">
        <f t="shared" ca="1" si="90"/>
        <v/>
      </c>
      <c r="V2193" s="9" t="str">
        <f t="shared" ca="1" si="91"/>
        <v/>
      </c>
      <c r="AG2193" s="9" t="s">
        <v>19</v>
      </c>
    </row>
    <row r="2194" spans="1:33" ht="29">
      <c r="A2194" s="3" t="s">
        <v>2435</v>
      </c>
      <c r="D2194" s="3" t="s">
        <v>7524</v>
      </c>
      <c r="E2194" s="3" t="s">
        <v>7525</v>
      </c>
      <c r="J2194" s="9" t="s">
        <v>24</v>
      </c>
      <c r="L2194" s="9">
        <v>1</v>
      </c>
      <c r="M2194" s="9">
        <v>3</v>
      </c>
      <c r="N2194" s="9" t="s">
        <v>12087</v>
      </c>
      <c r="O2194" s="9" t="s">
        <v>12079</v>
      </c>
      <c r="Q2194" s="10"/>
      <c r="S2194" s="9">
        <v>5676</v>
      </c>
      <c r="U2194" s="9" t="str">
        <f t="shared" ca="1" si="90"/>
        <v/>
      </c>
      <c r="V2194" s="9" t="str">
        <f t="shared" ca="1" si="91"/>
        <v/>
      </c>
      <c r="AG2194" s="9" t="s">
        <v>20</v>
      </c>
    </row>
    <row r="2195" spans="1:33">
      <c r="A2195" s="3" t="s">
        <v>2436</v>
      </c>
      <c r="D2195" s="3" t="s">
        <v>7527</v>
      </c>
      <c r="E2195" s="3" t="s">
        <v>7526</v>
      </c>
      <c r="J2195" s="9" t="s">
        <v>25</v>
      </c>
      <c r="L2195" s="9">
        <v>1</v>
      </c>
      <c r="M2195" s="9">
        <v>2</v>
      </c>
      <c r="N2195" s="9" t="s">
        <v>12078</v>
      </c>
      <c r="O2195" s="9" t="s">
        <v>12119</v>
      </c>
      <c r="Q2195" s="10"/>
      <c r="S2195" s="9">
        <v>11843</v>
      </c>
      <c r="U2195" s="9" t="str">
        <f t="shared" ca="1" si="90"/>
        <v/>
      </c>
      <c r="V2195" s="9" t="str">
        <f t="shared" ca="1" si="91"/>
        <v/>
      </c>
      <c r="AG2195" s="9" t="s">
        <v>20</v>
      </c>
    </row>
    <row r="2196" spans="1:33">
      <c r="A2196" s="3" t="s">
        <v>2436</v>
      </c>
      <c r="D2196" s="3" t="s">
        <v>7528</v>
      </c>
      <c r="E2196" s="3" t="s">
        <v>7529</v>
      </c>
      <c r="J2196" s="9" t="s">
        <v>12120</v>
      </c>
      <c r="Q2196" s="10"/>
      <c r="U2196" s="9" t="str">
        <f t="shared" ca="1" si="90"/>
        <v/>
      </c>
      <c r="V2196" s="9" t="str">
        <f t="shared" ca="1" si="91"/>
        <v/>
      </c>
      <c r="AC2196" s="9" t="s">
        <v>12134</v>
      </c>
      <c r="AD2196" s="9" t="s">
        <v>19</v>
      </c>
    </row>
    <row r="2197" spans="1:33" ht="29">
      <c r="A2197" s="3" t="s">
        <v>2436</v>
      </c>
      <c r="D2197" s="3" t="s">
        <v>7530</v>
      </c>
      <c r="E2197" s="3" t="s">
        <v>7531</v>
      </c>
      <c r="G2197" t="s">
        <v>20</v>
      </c>
      <c r="I2197" t="s">
        <v>7532</v>
      </c>
      <c r="J2197" s="9" t="s">
        <v>12118</v>
      </c>
      <c r="Q2197" s="10"/>
      <c r="T2197" s="9" t="s">
        <v>12131</v>
      </c>
      <c r="U2197" s="9" t="str">
        <f t="shared" ca="1" si="90"/>
        <v/>
      </c>
      <c r="V2197" s="9" t="str">
        <f t="shared" ca="1" si="91"/>
        <v/>
      </c>
      <c r="AE2197" s="9" t="s">
        <v>12086</v>
      </c>
    </row>
    <row r="2198" spans="1:33">
      <c r="A2198" s="3" t="s">
        <v>2437</v>
      </c>
      <c r="D2198" s="3" t="s">
        <v>2438</v>
      </c>
      <c r="E2198" s="3" t="s">
        <v>2439</v>
      </c>
      <c r="J2198" s="9" t="s">
        <v>12118</v>
      </c>
      <c r="Q2198" s="10"/>
      <c r="T2198" s="9" t="s">
        <v>12131</v>
      </c>
      <c r="U2198" s="9" t="str">
        <f t="shared" ca="1" si="90"/>
        <v/>
      </c>
      <c r="V2198" s="9" t="str">
        <f t="shared" ca="1" si="91"/>
        <v/>
      </c>
      <c r="AB2198" s="9" t="s">
        <v>12124</v>
      </c>
      <c r="AD2198" s="9" t="s">
        <v>19</v>
      </c>
    </row>
    <row r="2199" spans="1:33">
      <c r="A2199" s="3" t="s">
        <v>2437</v>
      </c>
      <c r="D2199" s="3" t="s">
        <v>2440</v>
      </c>
      <c r="E2199" s="3" t="s">
        <v>7533</v>
      </c>
      <c r="J2199" s="9" t="s">
        <v>12120</v>
      </c>
      <c r="Q2199" s="10"/>
      <c r="U2199" s="9" t="str">
        <f t="shared" ca="1" si="90"/>
        <v/>
      </c>
      <c r="V2199" s="9" t="str">
        <f t="shared" ca="1" si="91"/>
        <v/>
      </c>
      <c r="AB2199" s="9" t="s">
        <v>12738</v>
      </c>
      <c r="AD2199" s="9" t="s">
        <v>19</v>
      </c>
      <c r="AE2199" s="9" t="s">
        <v>12086</v>
      </c>
    </row>
    <row r="2200" spans="1:33">
      <c r="A2200" s="3" t="s">
        <v>2441</v>
      </c>
      <c r="D2200" s="3" t="s">
        <v>7534</v>
      </c>
      <c r="E2200" s="3" t="s">
        <v>7535</v>
      </c>
      <c r="J2200" s="9" t="s">
        <v>25</v>
      </c>
      <c r="L2200" s="9">
        <v>1</v>
      </c>
      <c r="M2200" s="9">
        <v>2</v>
      </c>
      <c r="N2200" s="9" t="s">
        <v>12078</v>
      </c>
      <c r="O2200" s="9" t="s">
        <v>12119</v>
      </c>
      <c r="Q2200" s="10"/>
      <c r="S2200" s="9">
        <v>11843</v>
      </c>
      <c r="U2200" s="9" t="str">
        <f t="shared" ca="1" si="90"/>
        <v/>
      </c>
      <c r="V2200" s="9" t="str">
        <f t="shared" ca="1" si="91"/>
        <v/>
      </c>
      <c r="AG2200" s="9" t="s">
        <v>20</v>
      </c>
    </row>
    <row r="2201" spans="1:33" ht="29">
      <c r="A2201" s="3" t="s">
        <v>2442</v>
      </c>
      <c r="D2201" s="3" t="s">
        <v>12902</v>
      </c>
      <c r="E2201" s="3" t="s">
        <v>7536</v>
      </c>
      <c r="I2201" t="s">
        <v>12189</v>
      </c>
      <c r="J2201" s="9" t="s">
        <v>26</v>
      </c>
      <c r="Q2201" s="10"/>
      <c r="U2201" s="9" t="str">
        <f t="shared" ca="1" si="90"/>
        <v/>
      </c>
      <c r="V2201" s="9" t="str">
        <f t="shared" ca="1" si="91"/>
        <v/>
      </c>
      <c r="AG2201" s="9" t="s">
        <v>20</v>
      </c>
    </row>
    <row r="2202" spans="1:33" ht="43.5">
      <c r="A2202" s="3" t="s">
        <v>2443</v>
      </c>
      <c r="D2202" s="3" t="s">
        <v>7537</v>
      </c>
      <c r="E2202" s="3" t="s">
        <v>7538</v>
      </c>
      <c r="J2202" s="9" t="s">
        <v>24</v>
      </c>
      <c r="L2202" s="9">
        <v>1</v>
      </c>
      <c r="M2202" s="9">
        <v>1</v>
      </c>
      <c r="N2202" s="9" t="s">
        <v>12078</v>
      </c>
      <c r="O2202" s="9" t="s">
        <v>12119</v>
      </c>
      <c r="Q2202" s="10"/>
      <c r="S2202" s="9">
        <v>11843</v>
      </c>
      <c r="U2202" s="9" t="str">
        <f t="shared" ca="1" si="90"/>
        <v/>
      </c>
      <c r="V2202" s="9" t="str">
        <f t="shared" ca="1" si="91"/>
        <v/>
      </c>
      <c r="AG2202" s="9" t="s">
        <v>20</v>
      </c>
    </row>
    <row r="2203" spans="1:33" ht="43.5">
      <c r="A2203" s="3" t="s">
        <v>2443</v>
      </c>
      <c r="D2203" s="3" t="s">
        <v>7539</v>
      </c>
      <c r="E2203" s="3" t="s">
        <v>7540</v>
      </c>
      <c r="F2203" t="s">
        <v>12</v>
      </c>
      <c r="G2203" t="s">
        <v>21</v>
      </c>
      <c r="I2203" t="s">
        <v>12390</v>
      </c>
      <c r="J2203" s="9" t="s">
        <v>12118</v>
      </c>
      <c r="Q2203" s="10"/>
      <c r="T2203" s="9">
        <f>2-53</f>
        <v>-51</v>
      </c>
      <c r="U2203" s="9">
        <f t="shared" ca="1" si="90"/>
        <v>53</v>
      </c>
      <c r="V2203" s="9">
        <f t="shared" ca="1" si="91"/>
        <v>2</v>
      </c>
    </row>
    <row r="2204" spans="1:33" ht="29">
      <c r="A2204" s="3" t="s">
        <v>2443</v>
      </c>
      <c r="D2204" s="3" t="s">
        <v>7542</v>
      </c>
      <c r="E2204" s="3" t="s">
        <v>7543</v>
      </c>
      <c r="F2204" t="s">
        <v>12</v>
      </c>
      <c r="J2204" s="9" t="s">
        <v>12118</v>
      </c>
      <c r="Q2204" s="10"/>
      <c r="T2204" s="9">
        <f>0-84</f>
        <v>-84</v>
      </c>
      <c r="U2204" s="9">
        <f t="shared" ca="1" si="90"/>
        <v>84</v>
      </c>
      <c r="V2204" s="9">
        <f t="shared" ca="1" si="91"/>
        <v>0</v>
      </c>
      <c r="AC2204" s="9" t="s">
        <v>12134</v>
      </c>
      <c r="AD2204" s="9" t="s">
        <v>19</v>
      </c>
    </row>
    <row r="2205" spans="1:33" ht="29">
      <c r="A2205" s="3" t="s">
        <v>2445</v>
      </c>
      <c r="D2205" s="3" t="s">
        <v>7544</v>
      </c>
      <c r="E2205" s="3" t="s">
        <v>7541</v>
      </c>
      <c r="J2205" s="9" t="s">
        <v>25</v>
      </c>
      <c r="L2205" s="9">
        <v>1</v>
      </c>
      <c r="M2205" s="9">
        <v>5</v>
      </c>
      <c r="N2205" s="9" t="s">
        <v>12094</v>
      </c>
      <c r="O2205" s="9" t="s">
        <v>12079</v>
      </c>
      <c r="Q2205" s="10"/>
      <c r="S2205" s="9">
        <v>4240</v>
      </c>
      <c r="U2205" s="9" t="str">
        <f t="shared" ca="1" si="90"/>
        <v/>
      </c>
      <c r="V2205" s="9" t="str">
        <f t="shared" ca="1" si="91"/>
        <v/>
      </c>
      <c r="AG2205" s="9" t="s">
        <v>19</v>
      </c>
    </row>
    <row r="2206" spans="1:33">
      <c r="A2206" s="3" t="s">
        <v>2446</v>
      </c>
      <c r="D2206" s="3" t="s">
        <v>7545</v>
      </c>
      <c r="E2206" s="3" t="s">
        <v>7546</v>
      </c>
      <c r="J2206" s="9" t="s">
        <v>12118</v>
      </c>
      <c r="Q2206" s="10"/>
      <c r="T2206" s="9" t="s">
        <v>12131</v>
      </c>
      <c r="U2206" s="9" t="str">
        <f t="shared" ca="1" si="90"/>
        <v/>
      </c>
      <c r="V2206" s="9" t="str">
        <f t="shared" ca="1" si="91"/>
        <v/>
      </c>
      <c r="AE2206" s="9" t="s">
        <v>12077</v>
      </c>
    </row>
    <row r="2207" spans="1:33">
      <c r="A2207" s="3" t="s">
        <v>2446</v>
      </c>
      <c r="D2207" s="3" t="s">
        <v>7547</v>
      </c>
      <c r="E2207" s="3" t="s">
        <v>7548</v>
      </c>
      <c r="I2207" t="s">
        <v>5457</v>
      </c>
      <c r="J2207" s="9" t="s">
        <v>26</v>
      </c>
      <c r="Q2207" s="10"/>
      <c r="U2207" s="9" t="str">
        <f t="shared" ca="1" si="90"/>
        <v/>
      </c>
      <c r="V2207" s="9" t="str">
        <f t="shared" ca="1" si="91"/>
        <v/>
      </c>
      <c r="AG2207" s="9" t="s">
        <v>13141</v>
      </c>
    </row>
    <row r="2208" spans="1:33">
      <c r="A2208" s="3" t="s">
        <v>2446</v>
      </c>
      <c r="D2208" s="3" t="s">
        <v>2447</v>
      </c>
      <c r="E2208" s="3" t="s">
        <v>2448</v>
      </c>
      <c r="J2208" s="9" t="s">
        <v>12120</v>
      </c>
      <c r="Q2208" s="10"/>
      <c r="U2208" s="9" t="str">
        <f t="shared" ca="1" si="90"/>
        <v/>
      </c>
      <c r="V2208" s="9" t="str">
        <f t="shared" ca="1" si="91"/>
        <v/>
      </c>
      <c r="AG2208" s="9" t="s">
        <v>19</v>
      </c>
    </row>
    <row r="2209" spans="1:33">
      <c r="A2209" s="3" t="s">
        <v>2449</v>
      </c>
      <c r="D2209" s="3" t="s">
        <v>7549</v>
      </c>
      <c r="E2209" s="3" t="s">
        <v>7550</v>
      </c>
      <c r="J2209" s="9" t="s">
        <v>12120</v>
      </c>
      <c r="Q2209" s="10"/>
      <c r="U2209" s="9" t="str">
        <f t="shared" ca="1" si="90"/>
        <v/>
      </c>
      <c r="V2209" s="9" t="str">
        <f t="shared" ca="1" si="91"/>
        <v/>
      </c>
      <c r="AB2209" s="9" t="s">
        <v>12082</v>
      </c>
      <c r="AD2209" s="9" t="s">
        <v>19</v>
      </c>
    </row>
    <row r="2210" spans="1:33" ht="29">
      <c r="A2210" s="3" t="s">
        <v>2450</v>
      </c>
      <c r="D2210" s="3" t="s">
        <v>7551</v>
      </c>
      <c r="E2210" s="3" t="s">
        <v>7552</v>
      </c>
      <c r="J2210" s="9" t="s">
        <v>24</v>
      </c>
      <c r="L2210" s="9">
        <v>1</v>
      </c>
      <c r="M2210" s="9">
        <v>7</v>
      </c>
      <c r="N2210" s="9" t="s">
        <v>12092</v>
      </c>
      <c r="O2210" s="9" t="s">
        <v>12073</v>
      </c>
      <c r="P2210" s="9" t="s">
        <v>12203</v>
      </c>
      <c r="Q2210" s="10" t="s">
        <v>12391</v>
      </c>
      <c r="R2210" s="9" t="s">
        <v>12074</v>
      </c>
      <c r="S2210" s="9">
        <v>47</v>
      </c>
      <c r="U2210" s="9" t="str">
        <f t="shared" ca="1" si="90"/>
        <v/>
      </c>
      <c r="V2210" s="9" t="str">
        <f t="shared" ca="1" si="91"/>
        <v/>
      </c>
      <c r="AE2210" s="9" t="s">
        <v>12083</v>
      </c>
    </row>
    <row r="2211" spans="1:33">
      <c r="A2211" s="3" t="s">
        <v>2451</v>
      </c>
      <c r="D2211" s="3" t="s">
        <v>7553</v>
      </c>
      <c r="E2211" s="3" t="s">
        <v>7554</v>
      </c>
      <c r="J2211" s="9" t="s">
        <v>12118</v>
      </c>
      <c r="Q2211" s="10"/>
      <c r="T2211" s="9">
        <f>0-2</f>
        <v>-2</v>
      </c>
      <c r="U2211" s="9">
        <f t="shared" ca="1" si="90"/>
        <v>2</v>
      </c>
      <c r="V2211" s="9">
        <f t="shared" ca="1" si="91"/>
        <v>0</v>
      </c>
      <c r="AG2211" s="9" t="s">
        <v>20</v>
      </c>
    </row>
    <row r="2212" spans="1:33">
      <c r="A2212" s="3" t="s">
        <v>2452</v>
      </c>
      <c r="D2212" s="3" t="s">
        <v>738</v>
      </c>
      <c r="E2212" s="3" t="s">
        <v>737</v>
      </c>
      <c r="J2212" s="9" t="s">
        <v>12118</v>
      </c>
      <c r="Q2212" s="10"/>
      <c r="T2212" s="9" t="s">
        <v>12131</v>
      </c>
      <c r="U2212" s="9" t="str">
        <f t="shared" ca="1" si="90"/>
        <v/>
      </c>
      <c r="V2212" s="9" t="str">
        <f t="shared" ca="1" si="91"/>
        <v/>
      </c>
      <c r="AB2212" s="9" t="s">
        <v>12124</v>
      </c>
      <c r="AC2212" s="9" t="s">
        <v>12740</v>
      </c>
      <c r="AD2212" s="9" t="s">
        <v>19</v>
      </c>
    </row>
    <row r="2213" spans="1:33">
      <c r="A2213" s="3" t="s">
        <v>2453</v>
      </c>
      <c r="D2213" s="3" t="s">
        <v>2454</v>
      </c>
      <c r="E2213" s="3" t="s">
        <v>7555</v>
      </c>
      <c r="G2213" t="s">
        <v>19</v>
      </c>
      <c r="J2213" s="9" t="s">
        <v>12118</v>
      </c>
      <c r="Q2213" s="10"/>
      <c r="T2213" s="9">
        <f>27-5</f>
        <v>22</v>
      </c>
      <c r="U2213" s="9">
        <f t="shared" ca="1" si="90"/>
        <v>5</v>
      </c>
      <c r="V2213" s="9">
        <f t="shared" ca="1" si="91"/>
        <v>27</v>
      </c>
    </row>
    <row r="2214" spans="1:33">
      <c r="A2214" s="3" t="s">
        <v>2455</v>
      </c>
      <c r="D2214" s="3" t="s">
        <v>2456</v>
      </c>
      <c r="E2214" s="3" t="s">
        <v>7556</v>
      </c>
      <c r="G2214" t="s">
        <v>19</v>
      </c>
      <c r="J2214" s="9" t="s">
        <v>12118</v>
      </c>
      <c r="Q2214" s="10"/>
      <c r="T2214" s="9" t="s">
        <v>12131</v>
      </c>
      <c r="U2214" s="9" t="str">
        <f t="shared" ca="1" si="90"/>
        <v/>
      </c>
      <c r="V2214" s="9" t="str">
        <f t="shared" ca="1" si="91"/>
        <v/>
      </c>
      <c r="AE2214" s="9" t="s">
        <v>12086</v>
      </c>
    </row>
    <row r="2215" spans="1:33" ht="29">
      <c r="A2215" s="3" t="s">
        <v>2457</v>
      </c>
      <c r="D2215" s="3" t="s">
        <v>7557</v>
      </c>
      <c r="E2215" s="3" t="s">
        <v>7558</v>
      </c>
      <c r="I2215" s="4"/>
      <c r="J2215" s="9" t="s">
        <v>25</v>
      </c>
      <c r="L2215" s="9">
        <v>1</v>
      </c>
      <c r="M2215" s="9">
        <v>2</v>
      </c>
      <c r="N2215" s="9" t="s">
        <v>12078</v>
      </c>
      <c r="O2215" s="9" t="s">
        <v>12119</v>
      </c>
      <c r="Q2215" s="10"/>
      <c r="S2215" s="9">
        <v>11843</v>
      </c>
      <c r="U2215" s="9" t="str">
        <f t="shared" ca="1" si="90"/>
        <v/>
      </c>
      <c r="V2215" s="9" t="str">
        <f t="shared" ca="1" si="91"/>
        <v/>
      </c>
      <c r="AG2215" s="9" t="s">
        <v>20</v>
      </c>
    </row>
    <row r="2216" spans="1:33">
      <c r="A2216" s="3" t="s">
        <v>2457</v>
      </c>
      <c r="D2216" s="3" t="s">
        <v>7560</v>
      </c>
      <c r="E2216" s="3" t="s">
        <v>7559</v>
      </c>
      <c r="G2216" t="s">
        <v>19</v>
      </c>
      <c r="J2216" s="9" t="s">
        <v>12118</v>
      </c>
      <c r="Q2216" s="10"/>
      <c r="T2216" s="9">
        <f>45-28</f>
        <v>17</v>
      </c>
      <c r="U2216" s="9">
        <f t="shared" ca="1" si="90"/>
        <v>28</v>
      </c>
      <c r="V2216" s="9">
        <f t="shared" ca="1" si="91"/>
        <v>45</v>
      </c>
    </row>
    <row r="2217" spans="1:33">
      <c r="A2217" s="3" t="s">
        <v>2458</v>
      </c>
      <c r="D2217" s="3" t="s">
        <v>2459</v>
      </c>
      <c r="E2217" s="3" t="s">
        <v>2460</v>
      </c>
      <c r="J2217" s="9" t="s">
        <v>12120</v>
      </c>
      <c r="Q2217" s="10"/>
      <c r="U2217" s="9" t="str">
        <f t="shared" ca="1" si="90"/>
        <v/>
      </c>
      <c r="V2217" s="9" t="str">
        <f t="shared" ca="1" si="91"/>
        <v/>
      </c>
      <c r="AC2217" s="9" t="s">
        <v>12744</v>
      </c>
      <c r="AD2217" s="9" t="s">
        <v>19</v>
      </c>
    </row>
    <row r="2218" spans="1:33">
      <c r="A2218" s="3" t="s">
        <v>2458</v>
      </c>
      <c r="D2218" s="3" t="s">
        <v>7561</v>
      </c>
      <c r="E2218" s="3" t="s">
        <v>7562</v>
      </c>
      <c r="G2218" t="s">
        <v>19</v>
      </c>
      <c r="J2218" s="9" t="s">
        <v>12120</v>
      </c>
      <c r="Q2218" s="10"/>
      <c r="U2218" s="9" t="str">
        <f t="shared" ca="1" si="90"/>
        <v/>
      </c>
      <c r="V2218" s="9" t="str">
        <f t="shared" ca="1" si="91"/>
        <v/>
      </c>
      <c r="AE2218" s="9" t="s">
        <v>12089</v>
      </c>
    </row>
    <row r="2219" spans="1:33">
      <c r="A2219" s="3" t="s">
        <v>2461</v>
      </c>
      <c r="D2219" s="3" t="s">
        <v>362</v>
      </c>
      <c r="E2219" s="3" t="s">
        <v>363</v>
      </c>
      <c r="J2219" s="9" t="s">
        <v>12118</v>
      </c>
      <c r="Q2219" s="10"/>
      <c r="T2219" s="9" t="s">
        <v>12131</v>
      </c>
      <c r="U2219" s="9" t="str">
        <f t="shared" ca="1" si="90"/>
        <v/>
      </c>
      <c r="V2219" s="9" t="str">
        <f t="shared" ca="1" si="91"/>
        <v/>
      </c>
      <c r="AC2219" s="9" t="s">
        <v>12130</v>
      </c>
      <c r="AD2219" s="9" t="s">
        <v>19</v>
      </c>
      <c r="AE2219" s="9" t="s">
        <v>12086</v>
      </c>
    </row>
    <row r="2220" spans="1:33" ht="29">
      <c r="A2220" s="3" t="s">
        <v>2461</v>
      </c>
      <c r="D2220" s="3" t="s">
        <v>7564</v>
      </c>
      <c r="E2220" s="3" t="s">
        <v>7563</v>
      </c>
      <c r="J2220" s="9" t="s">
        <v>24</v>
      </c>
      <c r="L2220" s="9">
        <v>1</v>
      </c>
      <c r="M2220" s="9">
        <v>3</v>
      </c>
      <c r="N2220" s="9" t="s">
        <v>12078</v>
      </c>
      <c r="O2220" s="9" t="s">
        <v>12073</v>
      </c>
      <c r="P2220" s="9" t="s">
        <v>12142</v>
      </c>
      <c r="Q2220" s="10" t="s">
        <v>12143</v>
      </c>
      <c r="R2220" s="9" t="s">
        <v>12074</v>
      </c>
      <c r="S2220" s="9">
        <v>11843</v>
      </c>
      <c r="U2220" s="9" t="str">
        <f t="shared" ca="1" si="90"/>
        <v/>
      </c>
      <c r="V2220" s="9" t="str">
        <f t="shared" ca="1" si="91"/>
        <v/>
      </c>
      <c r="AG2220" s="9" t="s">
        <v>20</v>
      </c>
    </row>
    <row r="2221" spans="1:33">
      <c r="A2221" s="3" t="s">
        <v>2462</v>
      </c>
      <c r="D2221" s="3" t="s">
        <v>7566</v>
      </c>
      <c r="E2221" s="3" t="s">
        <v>7565</v>
      </c>
      <c r="J2221" s="9" t="s">
        <v>24</v>
      </c>
      <c r="L2221" s="9">
        <v>1</v>
      </c>
      <c r="M2221" s="9">
        <v>3</v>
      </c>
      <c r="N2221" s="9" t="s">
        <v>12078</v>
      </c>
      <c r="O2221" s="9" t="s">
        <v>12079</v>
      </c>
      <c r="Q2221" s="10"/>
      <c r="S2221" s="9">
        <v>11843</v>
      </c>
      <c r="U2221" s="9" t="str">
        <f t="shared" ca="1" si="90"/>
        <v/>
      </c>
      <c r="V2221" s="9" t="str">
        <f t="shared" ca="1" si="91"/>
        <v/>
      </c>
      <c r="AG2221" s="9" t="s">
        <v>19</v>
      </c>
    </row>
    <row r="2222" spans="1:33">
      <c r="A2222" s="3" t="s">
        <v>2463</v>
      </c>
      <c r="D2222" s="3" t="s">
        <v>7567</v>
      </c>
      <c r="E2222" s="3" t="s">
        <v>7568</v>
      </c>
      <c r="J2222" s="9" t="s">
        <v>12118</v>
      </c>
      <c r="Q2222" s="10"/>
      <c r="T2222" s="9">
        <f>4-4</f>
        <v>0</v>
      </c>
      <c r="U2222" s="9">
        <f t="shared" ca="1" si="90"/>
        <v>4</v>
      </c>
      <c r="V2222" s="9">
        <f t="shared" ca="1" si="91"/>
        <v>4</v>
      </c>
      <c r="AG2222" s="9" t="s">
        <v>20</v>
      </c>
    </row>
    <row r="2223" spans="1:33">
      <c r="A2223" s="3" t="s">
        <v>2464</v>
      </c>
      <c r="D2223" s="3" t="s">
        <v>738</v>
      </c>
      <c r="E2223" s="3" t="s">
        <v>737</v>
      </c>
      <c r="J2223" s="9" t="s">
        <v>12118</v>
      </c>
      <c r="Q2223" s="10"/>
      <c r="T2223" s="9" t="s">
        <v>12131</v>
      </c>
      <c r="U2223" s="9" t="str">
        <f t="shared" ca="1" si="90"/>
        <v/>
      </c>
      <c r="V2223" s="9" t="str">
        <f t="shared" ca="1" si="91"/>
        <v/>
      </c>
      <c r="AB2223" s="9" t="s">
        <v>12124</v>
      </c>
      <c r="AC2223" s="9" t="s">
        <v>12740</v>
      </c>
      <c r="AD2223" s="9" t="s">
        <v>19</v>
      </c>
    </row>
    <row r="2224" spans="1:33">
      <c r="A2224" s="3" t="s">
        <v>2464</v>
      </c>
      <c r="D2224" s="3" t="s">
        <v>2465</v>
      </c>
      <c r="E2224" s="3" t="s">
        <v>2466</v>
      </c>
      <c r="J2224" s="9" t="s">
        <v>12118</v>
      </c>
      <c r="Q2224" s="10"/>
      <c r="R2224" s="9" t="s">
        <v>12074</v>
      </c>
      <c r="T2224" s="9" t="s">
        <v>12119</v>
      </c>
      <c r="U2224" s="9" t="str">
        <f t="shared" ca="1" si="90"/>
        <v/>
      </c>
      <c r="V2224" s="9" t="str">
        <f t="shared" ca="1" si="91"/>
        <v/>
      </c>
      <c r="AE2224" s="9" t="s">
        <v>12077</v>
      </c>
    </row>
    <row r="2225" spans="1:33">
      <c r="A2225" s="3" t="s">
        <v>2467</v>
      </c>
      <c r="D2225" s="3" t="s">
        <v>2468</v>
      </c>
      <c r="E2225" s="3" t="s">
        <v>2469</v>
      </c>
      <c r="J2225" s="9" t="s">
        <v>12118</v>
      </c>
      <c r="Q2225" s="10"/>
      <c r="T2225" s="9" t="s">
        <v>12119</v>
      </c>
      <c r="U2225" s="9" t="str">
        <f t="shared" ca="1" si="90"/>
        <v/>
      </c>
      <c r="V2225" s="9" t="str">
        <f t="shared" ca="1" si="91"/>
        <v/>
      </c>
      <c r="AB2225" s="9" t="s">
        <v>12124</v>
      </c>
      <c r="AD2225" s="9" t="s">
        <v>19</v>
      </c>
    </row>
    <row r="2226" spans="1:33" ht="29">
      <c r="A2226" s="3" t="s">
        <v>2470</v>
      </c>
      <c r="D2226" s="3" t="s">
        <v>7570</v>
      </c>
      <c r="E2226" s="3" t="s">
        <v>7569</v>
      </c>
      <c r="J2226" s="9" t="s">
        <v>25</v>
      </c>
      <c r="L2226" s="9">
        <v>1</v>
      </c>
      <c r="M2226" s="9">
        <v>9</v>
      </c>
      <c r="N2226" s="9" t="s">
        <v>12092</v>
      </c>
      <c r="O2226" s="9" t="s">
        <v>12073</v>
      </c>
      <c r="P2226" s="9" t="s">
        <v>12142</v>
      </c>
      <c r="Q2226" s="10" t="s">
        <v>12143</v>
      </c>
      <c r="S2226" s="9">
        <v>2</v>
      </c>
      <c r="U2226" s="9" t="str">
        <f t="shared" ca="1" si="90"/>
        <v/>
      </c>
      <c r="V2226" s="9" t="str">
        <f t="shared" ca="1" si="91"/>
        <v/>
      </c>
      <c r="AG2226" s="9" t="s">
        <v>20</v>
      </c>
    </row>
    <row r="2227" spans="1:33">
      <c r="A2227" s="3" t="s">
        <v>2471</v>
      </c>
      <c r="D2227" s="3" t="s">
        <v>2472</v>
      </c>
      <c r="E2227" s="3" t="s">
        <v>2473</v>
      </c>
      <c r="J2227" s="9" t="s">
        <v>12118</v>
      </c>
      <c r="Q2227" s="10"/>
      <c r="T2227" s="9" t="s">
        <v>12131</v>
      </c>
      <c r="U2227" s="9" t="str">
        <f t="shared" ca="1" si="90"/>
        <v/>
      </c>
      <c r="V2227" s="9" t="str">
        <f t="shared" ca="1" si="91"/>
        <v/>
      </c>
      <c r="AC2227" s="9" t="s">
        <v>12130</v>
      </c>
      <c r="AD2227" s="9" t="s">
        <v>19</v>
      </c>
      <c r="AE2227" s="9" t="s">
        <v>12086</v>
      </c>
    </row>
    <row r="2228" spans="1:33">
      <c r="A2228" s="3" t="s">
        <v>2474</v>
      </c>
      <c r="D2228" s="3" t="s">
        <v>7572</v>
      </c>
      <c r="E2228" s="3" t="s">
        <v>7571</v>
      </c>
      <c r="G2228" t="s">
        <v>19</v>
      </c>
      <c r="J2228" s="9" t="s">
        <v>25</v>
      </c>
      <c r="L2228" s="9">
        <v>1</v>
      </c>
      <c r="M2228" s="9">
        <v>5</v>
      </c>
      <c r="N2228" s="9" t="s">
        <v>12092</v>
      </c>
      <c r="O2228" s="9" t="s">
        <v>12073</v>
      </c>
      <c r="P2228" s="9" t="s">
        <v>12142</v>
      </c>
      <c r="Q2228" s="10" t="s">
        <v>12170</v>
      </c>
      <c r="R2228" s="9" t="s">
        <v>12074</v>
      </c>
      <c r="S2228" s="9" t="s">
        <v>12119</v>
      </c>
      <c r="U2228" s="9" t="str">
        <f t="shared" ca="1" si="90"/>
        <v/>
      </c>
      <c r="V2228" s="9" t="str">
        <f t="shared" ca="1" si="91"/>
        <v/>
      </c>
      <c r="AE2228" s="9" t="s">
        <v>12086</v>
      </c>
    </row>
    <row r="2229" spans="1:33">
      <c r="A2229" s="3" t="s">
        <v>2474</v>
      </c>
      <c r="D2229" s="3" t="s">
        <v>1269</v>
      </c>
      <c r="E2229" s="3" t="s">
        <v>1248</v>
      </c>
      <c r="J2229" s="9" t="s">
        <v>12120</v>
      </c>
      <c r="Q2229" s="10"/>
      <c r="U2229" s="9" t="str">
        <f t="shared" ca="1" si="90"/>
        <v/>
      </c>
      <c r="V2229" s="9" t="str">
        <f t="shared" ca="1" si="91"/>
        <v/>
      </c>
      <c r="AG2229" s="9" t="s">
        <v>19</v>
      </c>
    </row>
    <row r="2230" spans="1:33">
      <c r="A2230" s="3" t="s">
        <v>2475</v>
      </c>
      <c r="D2230" s="3" t="s">
        <v>7573</v>
      </c>
      <c r="E2230" s="3" t="s">
        <v>7574</v>
      </c>
      <c r="J2230" s="9" t="s">
        <v>12118</v>
      </c>
      <c r="Q2230" s="10"/>
      <c r="T2230" s="9" t="s">
        <v>12131</v>
      </c>
      <c r="U2230" s="9" t="str">
        <f t="shared" ca="1" si="90"/>
        <v/>
      </c>
      <c r="V2230" s="9" t="str">
        <f t="shared" ca="1" si="91"/>
        <v/>
      </c>
      <c r="AE2230" s="9" t="s">
        <v>12077</v>
      </c>
    </row>
    <row r="2231" spans="1:33">
      <c r="A2231" s="3" t="s">
        <v>2477</v>
      </c>
      <c r="D2231" s="3" t="s">
        <v>738</v>
      </c>
      <c r="E2231" s="3" t="s">
        <v>737</v>
      </c>
      <c r="J2231" s="9" t="s">
        <v>12118</v>
      </c>
      <c r="Q2231" s="10"/>
      <c r="T2231" s="9" t="s">
        <v>12131</v>
      </c>
      <c r="U2231" s="9" t="str">
        <f t="shared" ca="1" si="90"/>
        <v/>
      </c>
      <c r="V2231" s="9" t="str">
        <f t="shared" ca="1" si="91"/>
        <v/>
      </c>
      <c r="AB2231" s="9" t="s">
        <v>12124</v>
      </c>
      <c r="AC2231" s="9" t="s">
        <v>12740</v>
      </c>
      <c r="AD2231" s="9" t="s">
        <v>19</v>
      </c>
    </row>
    <row r="2232" spans="1:33">
      <c r="A2232" s="3" t="s">
        <v>2478</v>
      </c>
      <c r="D2232" s="3" t="s">
        <v>2479</v>
      </c>
      <c r="E2232" s="3" t="s">
        <v>2480</v>
      </c>
      <c r="J2232" s="9" t="s">
        <v>12118</v>
      </c>
      <c r="Q2232" s="10"/>
      <c r="T2232" s="9" t="s">
        <v>12131</v>
      </c>
      <c r="U2232" s="9" t="str">
        <f t="shared" ca="1" si="90"/>
        <v/>
      </c>
      <c r="V2232" s="9" t="str">
        <f t="shared" ca="1" si="91"/>
        <v/>
      </c>
      <c r="AC2232" s="9" t="s">
        <v>12130</v>
      </c>
      <c r="AD2232" s="9" t="s">
        <v>19</v>
      </c>
      <c r="AE2232" s="9" t="s">
        <v>12086</v>
      </c>
    </row>
    <row r="2233" spans="1:33">
      <c r="A2233" s="3" t="s">
        <v>2481</v>
      </c>
      <c r="D2233" s="3" t="s">
        <v>7575</v>
      </c>
      <c r="E2233" s="3" t="s">
        <v>7576</v>
      </c>
      <c r="G2233" t="s">
        <v>19</v>
      </c>
      <c r="J2233" s="9" t="s">
        <v>12118</v>
      </c>
      <c r="Q2233" s="10"/>
      <c r="T2233" s="9" t="s">
        <v>12131</v>
      </c>
      <c r="U2233" s="9" t="str">
        <f t="shared" ca="1" si="90"/>
        <v/>
      </c>
      <c r="V2233" s="9" t="str">
        <f t="shared" ca="1" si="91"/>
        <v/>
      </c>
      <c r="AE2233" s="9" t="s">
        <v>12086</v>
      </c>
    </row>
    <row r="2234" spans="1:33" ht="72.5">
      <c r="A2234" s="3" t="s">
        <v>2482</v>
      </c>
      <c r="D2234" s="3" t="s">
        <v>12392</v>
      </c>
      <c r="E2234" s="3" t="s">
        <v>12393</v>
      </c>
      <c r="I2234" t="s">
        <v>12394</v>
      </c>
      <c r="J2234" s="9" t="s">
        <v>24</v>
      </c>
      <c r="L2234" s="9">
        <v>8</v>
      </c>
      <c r="M2234" s="9">
        <v>30</v>
      </c>
      <c r="O2234" s="9" t="s">
        <v>12073</v>
      </c>
      <c r="P2234" s="9" t="s">
        <v>12140</v>
      </c>
      <c r="Q2234" s="10" t="s">
        <v>12358</v>
      </c>
      <c r="R2234" s="9" t="s">
        <v>12074</v>
      </c>
      <c r="S2234" s="9">
        <v>63</v>
      </c>
      <c r="U2234" s="9" t="str">
        <f t="shared" ca="1" si="90"/>
        <v/>
      </c>
      <c r="V2234" s="9" t="str">
        <f t="shared" ca="1" si="91"/>
        <v/>
      </c>
      <c r="AE2234" s="9" t="s">
        <v>12083</v>
      </c>
    </row>
    <row r="2235" spans="1:33" ht="43.5">
      <c r="A2235" s="3" t="s">
        <v>2483</v>
      </c>
      <c r="D2235" s="3" t="s">
        <v>7577</v>
      </c>
      <c r="E2235" s="3" t="s">
        <v>7578</v>
      </c>
      <c r="J2235" s="9" t="s">
        <v>12120</v>
      </c>
      <c r="Q2235" s="10"/>
      <c r="U2235" s="9" t="str">
        <f t="shared" ca="1" si="90"/>
        <v/>
      </c>
      <c r="V2235" s="9" t="str">
        <f t="shared" ca="1" si="91"/>
        <v/>
      </c>
      <c r="AG2235" s="9" t="s">
        <v>19</v>
      </c>
    </row>
    <row r="2236" spans="1:33" ht="43.5">
      <c r="A2236" s="3" t="s">
        <v>2483</v>
      </c>
      <c r="D2236" s="3" t="s">
        <v>7580</v>
      </c>
      <c r="E2236" s="3" t="s">
        <v>7581</v>
      </c>
      <c r="G2236" t="s">
        <v>19</v>
      </c>
      <c r="I2236" s="4"/>
      <c r="J2236" s="9" t="s">
        <v>12120</v>
      </c>
      <c r="Q2236" s="10"/>
      <c r="U2236" s="9" t="str">
        <f t="shared" ca="1" si="90"/>
        <v/>
      </c>
      <c r="V2236" s="9" t="str">
        <f t="shared" ca="1" si="91"/>
        <v/>
      </c>
    </row>
    <row r="2237" spans="1:33" ht="43.5">
      <c r="A2237" s="3" t="s">
        <v>2483</v>
      </c>
      <c r="D2237" s="3" t="s">
        <v>7579</v>
      </c>
      <c r="E2237" s="3" t="s">
        <v>7582</v>
      </c>
      <c r="G2237" t="s">
        <v>19</v>
      </c>
      <c r="I2237" s="4"/>
      <c r="J2237" s="9" t="s">
        <v>24</v>
      </c>
      <c r="L2237" s="9">
        <v>1</v>
      </c>
      <c r="M2237" s="9">
        <v>3</v>
      </c>
      <c r="N2237" s="9" t="s">
        <v>12087</v>
      </c>
      <c r="O2237" s="9" t="s">
        <v>12079</v>
      </c>
      <c r="Q2237" s="10"/>
      <c r="S2237" s="9">
        <v>148</v>
      </c>
      <c r="U2237" s="9" t="str">
        <f t="shared" ca="1" si="90"/>
        <v/>
      </c>
      <c r="V2237" s="9" t="str">
        <f t="shared" ca="1" si="91"/>
        <v/>
      </c>
    </row>
    <row r="2238" spans="1:33" ht="43.5">
      <c r="A2238" s="3" t="s">
        <v>2483</v>
      </c>
      <c r="D2238" s="3" t="s">
        <v>7584</v>
      </c>
      <c r="E2238" s="3" t="s">
        <v>7583</v>
      </c>
      <c r="G2238" t="s">
        <v>19</v>
      </c>
      <c r="I2238" s="4"/>
      <c r="J2238" s="9" t="s">
        <v>12120</v>
      </c>
      <c r="Q2238" s="10"/>
      <c r="U2238" s="9" t="str">
        <f t="shared" ca="1" si="90"/>
        <v/>
      </c>
      <c r="V2238" s="9" t="str">
        <f t="shared" ca="1" si="91"/>
        <v/>
      </c>
    </row>
    <row r="2239" spans="1:33">
      <c r="A2239" s="3" t="s">
        <v>2483</v>
      </c>
      <c r="D2239" s="3" t="s">
        <v>7585</v>
      </c>
      <c r="E2239" s="3" t="s">
        <v>7585</v>
      </c>
      <c r="G2239" t="s">
        <v>20</v>
      </c>
      <c r="I2239" t="s">
        <v>7586</v>
      </c>
      <c r="Q2239" s="10"/>
      <c r="U2239" s="9" t="str">
        <f t="shared" ca="1" si="90"/>
        <v/>
      </c>
      <c r="V2239" s="9" t="str">
        <f t="shared" ca="1" si="91"/>
        <v/>
      </c>
    </row>
    <row r="2240" spans="1:33">
      <c r="A2240" s="3" t="s">
        <v>2484</v>
      </c>
      <c r="D2240" s="3" t="s">
        <v>7587</v>
      </c>
      <c r="E2240" s="3" t="s">
        <v>7588</v>
      </c>
      <c r="J2240" s="9" t="s">
        <v>12118</v>
      </c>
      <c r="Q2240" s="10"/>
      <c r="T2240" s="9" t="s">
        <v>12131</v>
      </c>
      <c r="U2240" s="9" t="str">
        <f t="shared" ca="1" si="90"/>
        <v/>
      </c>
      <c r="V2240" s="9" t="str">
        <f t="shared" ca="1" si="91"/>
        <v/>
      </c>
      <c r="AC2240" s="9" t="s">
        <v>12395</v>
      </c>
      <c r="AD2240" s="9" t="s">
        <v>19</v>
      </c>
      <c r="AE2240" s="9" t="s">
        <v>12086</v>
      </c>
    </row>
    <row r="2241" spans="1:33">
      <c r="A2241" s="3" t="s">
        <v>2485</v>
      </c>
      <c r="D2241" s="3" t="s">
        <v>2486</v>
      </c>
      <c r="E2241" s="3" t="s">
        <v>2487</v>
      </c>
      <c r="J2241" s="9" t="s">
        <v>12120</v>
      </c>
      <c r="Q2241" s="10"/>
      <c r="U2241" s="9" t="str">
        <f t="shared" ca="1" si="90"/>
        <v/>
      </c>
      <c r="V2241" s="9" t="str">
        <f t="shared" ca="1" si="91"/>
        <v/>
      </c>
      <c r="AC2241" s="9" t="s">
        <v>12173</v>
      </c>
      <c r="AD2241" s="9" t="s">
        <v>19</v>
      </c>
    </row>
    <row r="2242" spans="1:33">
      <c r="A2242" s="3" t="s">
        <v>2488</v>
      </c>
      <c r="D2242" s="3" t="s">
        <v>738</v>
      </c>
      <c r="E2242" s="3" t="s">
        <v>737</v>
      </c>
      <c r="J2242" s="9" t="s">
        <v>12118</v>
      </c>
      <c r="Q2242" s="10"/>
      <c r="T2242" s="9" t="s">
        <v>12131</v>
      </c>
      <c r="U2242" s="9" t="str">
        <f t="shared" ca="1" si="90"/>
        <v/>
      </c>
      <c r="V2242" s="9" t="str">
        <f t="shared" ca="1" si="91"/>
        <v/>
      </c>
      <c r="AB2242" s="9" t="s">
        <v>12124</v>
      </c>
      <c r="AC2242" s="9" t="s">
        <v>12740</v>
      </c>
      <c r="AD2242" s="9" t="s">
        <v>19</v>
      </c>
    </row>
    <row r="2243" spans="1:33" ht="29">
      <c r="A2243" s="3" t="s">
        <v>2489</v>
      </c>
      <c r="D2243" s="3" t="s">
        <v>7590</v>
      </c>
      <c r="E2243" s="3" t="s">
        <v>7589</v>
      </c>
      <c r="I2243" t="s">
        <v>5457</v>
      </c>
      <c r="J2243" s="9" t="s">
        <v>26</v>
      </c>
      <c r="Q2243" s="10"/>
      <c r="U2243" s="9" t="str">
        <f t="shared" ca="1" si="90"/>
        <v/>
      </c>
      <c r="V2243" s="9" t="str">
        <f t="shared" ca="1" si="91"/>
        <v/>
      </c>
      <c r="AG2243" s="9" t="s">
        <v>20</v>
      </c>
    </row>
    <row r="2244" spans="1:33" ht="29">
      <c r="A2244" s="3" t="s">
        <v>2490</v>
      </c>
      <c r="D2244" s="3" t="s">
        <v>7591</v>
      </c>
      <c r="E2244" s="3" t="s">
        <v>7592</v>
      </c>
      <c r="J2244" s="9" t="s">
        <v>12118</v>
      </c>
      <c r="Q2244" s="10"/>
      <c r="T2244" s="9">
        <f xml:space="preserve"> 1294-1101</f>
        <v>193</v>
      </c>
      <c r="U2244" s="9">
        <f t="shared" ca="1" si="90"/>
        <v>1101</v>
      </c>
      <c r="V2244" s="9">
        <f t="shared" ca="1" si="91"/>
        <v>1294</v>
      </c>
      <c r="AG2244" s="9" t="s">
        <v>19</v>
      </c>
    </row>
    <row r="2245" spans="1:33" ht="29">
      <c r="A2245" s="3" t="s">
        <v>2491</v>
      </c>
      <c r="D2245" s="3" t="s">
        <v>7593</v>
      </c>
      <c r="E2245" s="3" t="s">
        <v>7594</v>
      </c>
      <c r="J2245" s="9" t="s">
        <v>12118</v>
      </c>
      <c r="Q2245" s="10"/>
      <c r="T2245" s="9">
        <f>472-4240</f>
        <v>-3768</v>
      </c>
      <c r="U2245" s="9">
        <f t="shared" ca="1" si="90"/>
        <v>4240</v>
      </c>
      <c r="V2245" s="9">
        <f t="shared" ca="1" si="91"/>
        <v>472</v>
      </c>
      <c r="AG2245" s="9" t="s">
        <v>20</v>
      </c>
    </row>
    <row r="2246" spans="1:33">
      <c r="A2246" s="3" t="s">
        <v>2492</v>
      </c>
      <c r="D2246" s="3" t="s">
        <v>7596</v>
      </c>
      <c r="E2246" s="11" t="s">
        <v>7597</v>
      </c>
      <c r="G2246" t="s">
        <v>19</v>
      </c>
      <c r="J2246" s="9" t="s">
        <v>12120</v>
      </c>
      <c r="Q2246" s="10"/>
      <c r="U2246" s="9" t="str">
        <f t="shared" ca="1" si="90"/>
        <v/>
      </c>
      <c r="V2246" s="9" t="str">
        <f t="shared" ca="1" si="91"/>
        <v/>
      </c>
    </row>
    <row r="2247" spans="1:33">
      <c r="A2247" s="3" t="s">
        <v>2492</v>
      </c>
      <c r="D2247" s="3" t="s">
        <v>7598</v>
      </c>
      <c r="E2247" s="11" t="s">
        <v>7595</v>
      </c>
      <c r="J2247" s="9" t="s">
        <v>25</v>
      </c>
      <c r="L2247" s="9">
        <v>1</v>
      </c>
      <c r="M2247" s="9">
        <v>3</v>
      </c>
      <c r="N2247" s="9" t="s">
        <v>12084</v>
      </c>
      <c r="O2247" s="9" t="s">
        <v>12079</v>
      </c>
      <c r="Q2247" s="10"/>
      <c r="S2247" s="9">
        <v>50</v>
      </c>
      <c r="U2247" s="9" t="str">
        <f t="shared" ca="1" si="90"/>
        <v/>
      </c>
      <c r="V2247" s="9" t="str">
        <f t="shared" ca="1" si="91"/>
        <v/>
      </c>
      <c r="AG2247" s="9" t="s">
        <v>19</v>
      </c>
    </row>
    <row r="2248" spans="1:33" ht="29">
      <c r="A2248" s="3" t="s">
        <v>2492</v>
      </c>
      <c r="D2248" s="3" t="s">
        <v>7599</v>
      </c>
      <c r="E2248" s="3" t="s">
        <v>7600</v>
      </c>
      <c r="I2248" t="s">
        <v>5457</v>
      </c>
      <c r="J2248" s="9" t="s">
        <v>26</v>
      </c>
      <c r="Q2248" s="10"/>
      <c r="U2248" s="9" t="str">
        <f t="shared" ca="1" si="90"/>
        <v/>
      </c>
      <c r="V2248" s="9" t="str">
        <f t="shared" ca="1" si="91"/>
        <v/>
      </c>
      <c r="AG2248" s="9" t="s">
        <v>19</v>
      </c>
    </row>
    <row r="2249" spans="1:33" ht="29">
      <c r="A2249" s="3" t="s">
        <v>2492</v>
      </c>
      <c r="D2249" s="3" t="s">
        <v>7601</v>
      </c>
      <c r="E2249" s="3" t="s">
        <v>7602</v>
      </c>
      <c r="J2249" s="9" t="s">
        <v>12118</v>
      </c>
      <c r="Q2249" s="10"/>
      <c r="T2249" s="9">
        <f>0-214</f>
        <v>-214</v>
      </c>
      <c r="U2249" s="9">
        <f t="shared" ca="1" si="90"/>
        <v>214</v>
      </c>
      <c r="V2249" s="9">
        <f t="shared" ca="1" si="91"/>
        <v>0</v>
      </c>
      <c r="AC2249" s="9" t="s">
        <v>12134</v>
      </c>
      <c r="AD2249" s="9" t="s">
        <v>19</v>
      </c>
      <c r="AE2249" s="9" t="s">
        <v>12083</v>
      </c>
    </row>
    <row r="2250" spans="1:33" ht="29">
      <c r="A2250" s="3" t="s">
        <v>2492</v>
      </c>
      <c r="D2250" s="3" t="s">
        <v>7604</v>
      </c>
      <c r="E2250" s="3" t="s">
        <v>7603</v>
      </c>
      <c r="J2250" s="9" t="s">
        <v>12118</v>
      </c>
      <c r="Q2250" s="10"/>
      <c r="T2250" s="9">
        <f>0-214</f>
        <v>-214</v>
      </c>
      <c r="U2250" s="9">
        <f t="shared" ca="1" si="90"/>
        <v>214</v>
      </c>
      <c r="V2250" s="9">
        <f t="shared" ca="1" si="91"/>
        <v>0</v>
      </c>
      <c r="AC2250" s="9" t="s">
        <v>12134</v>
      </c>
      <c r="AD2250" s="9" t="s">
        <v>19</v>
      </c>
      <c r="AE2250" s="9" t="s">
        <v>12083</v>
      </c>
    </row>
    <row r="2251" spans="1:33" ht="29">
      <c r="A2251" s="3" t="s">
        <v>2493</v>
      </c>
      <c r="D2251" s="3" t="s">
        <v>7605</v>
      </c>
      <c r="E2251" s="3" t="s">
        <v>7606</v>
      </c>
      <c r="J2251" s="9" t="s">
        <v>12118</v>
      </c>
      <c r="Q2251" s="10"/>
      <c r="T2251" s="9">
        <f>196-2042</f>
        <v>-1846</v>
      </c>
      <c r="U2251" s="9">
        <f t="shared" ca="1" si="90"/>
        <v>2042</v>
      </c>
      <c r="V2251" s="9">
        <f t="shared" ca="1" si="91"/>
        <v>196</v>
      </c>
      <c r="AG2251" s="9" t="s">
        <v>20</v>
      </c>
    </row>
    <row r="2252" spans="1:33">
      <c r="A2252" s="3" t="s">
        <v>2494</v>
      </c>
      <c r="D2252" s="3" t="s">
        <v>7607</v>
      </c>
      <c r="E2252" s="3" t="s">
        <v>7608</v>
      </c>
      <c r="J2252" s="9" t="s">
        <v>12120</v>
      </c>
      <c r="Q2252" s="10"/>
      <c r="U2252" s="9" t="str">
        <f t="shared" ref="U2252:U2317" ca="1" si="92">IF(ISNUMBER(T2252),VALUE(MID(_xlfn.FORMULATEXT(T2252),SEARCH("-",_xlfn.FORMULATEXT(T2252))+1,LEN(_xlfn.FORMULATEXT(T2252))-SEARCH("-",_xlfn.FORMULATEXT(T2252)))), "")</f>
        <v/>
      </c>
      <c r="V2252" s="9" t="str">
        <f t="shared" ref="V2252:V2317" ca="1" si="93">IF(ISNUMBER(T2252), VALUE(MID(_xlfn.FORMULATEXT(T2252), 2, SEARCH("-", _xlfn.FORMULATEXT(T2252)) - 2)), "")</f>
        <v/>
      </c>
      <c r="AE2252" s="9" t="s">
        <v>12077</v>
      </c>
    </row>
    <row r="2253" spans="1:33">
      <c r="A2253" s="3" t="s">
        <v>2495</v>
      </c>
      <c r="D2253" s="6" t="s">
        <v>7609</v>
      </c>
      <c r="E2253" s="3" t="s">
        <v>7610</v>
      </c>
      <c r="G2253" t="s">
        <v>19</v>
      </c>
      <c r="J2253" s="9" t="s">
        <v>12120</v>
      </c>
      <c r="Q2253" s="10"/>
      <c r="U2253" s="9" t="str">
        <f t="shared" ca="1" si="92"/>
        <v/>
      </c>
      <c r="V2253" s="9" t="str">
        <f t="shared" ca="1" si="93"/>
        <v/>
      </c>
      <c r="AF2253" s="9" t="s">
        <v>19</v>
      </c>
    </row>
    <row r="2254" spans="1:33">
      <c r="A2254" s="3" t="s">
        <v>2496</v>
      </c>
      <c r="D2254" s="3" t="s">
        <v>7611</v>
      </c>
      <c r="E2254" s="3" t="s">
        <v>7612</v>
      </c>
      <c r="J2254" s="9" t="s">
        <v>24</v>
      </c>
      <c r="L2254" s="9">
        <v>1</v>
      </c>
      <c r="M2254" s="9">
        <v>4</v>
      </c>
      <c r="N2254" s="9" t="s">
        <v>12092</v>
      </c>
      <c r="O2254" s="9" t="s">
        <v>12073</v>
      </c>
      <c r="P2254" s="9" t="s">
        <v>12142</v>
      </c>
      <c r="Q2254" s="10" t="s">
        <v>12160</v>
      </c>
      <c r="R2254" s="9" t="s">
        <v>12074</v>
      </c>
      <c r="S2254" s="9">
        <v>277</v>
      </c>
      <c r="U2254" s="9" t="str">
        <f t="shared" ca="1" si="92"/>
        <v/>
      </c>
      <c r="V2254" s="9" t="str">
        <f t="shared" ca="1" si="93"/>
        <v/>
      </c>
      <c r="AE2254" s="9" t="s">
        <v>12083</v>
      </c>
    </row>
    <row r="2255" spans="1:33">
      <c r="A2255" s="3" t="s">
        <v>2497</v>
      </c>
      <c r="D2255" s="3" t="s">
        <v>7613</v>
      </c>
      <c r="E2255" s="5" t="s">
        <v>7614</v>
      </c>
      <c r="F2255" t="s">
        <v>16</v>
      </c>
      <c r="Q2255" s="10"/>
      <c r="U2255" s="9" t="str">
        <f t="shared" ca="1" si="92"/>
        <v/>
      </c>
      <c r="V2255" s="9" t="str">
        <f t="shared" ca="1" si="93"/>
        <v/>
      </c>
    </row>
    <row r="2256" spans="1:33">
      <c r="A2256" s="3" t="s">
        <v>2498</v>
      </c>
      <c r="D2256" s="3" t="s">
        <v>7615</v>
      </c>
      <c r="E2256" s="3" t="s">
        <v>7616</v>
      </c>
      <c r="J2256" s="9" t="s">
        <v>25</v>
      </c>
      <c r="L2256" s="9">
        <v>1</v>
      </c>
      <c r="M2256" s="9">
        <v>3</v>
      </c>
      <c r="N2256" s="9" t="s">
        <v>12123</v>
      </c>
      <c r="O2256" s="9" t="s">
        <v>12079</v>
      </c>
      <c r="Q2256" s="10"/>
      <c r="S2256" s="9">
        <v>887</v>
      </c>
      <c r="U2256" s="9" t="str">
        <f t="shared" ca="1" si="92"/>
        <v/>
      </c>
      <c r="V2256" s="9" t="str">
        <f t="shared" ca="1" si="93"/>
        <v/>
      </c>
      <c r="AG2256" s="9" t="s">
        <v>20</v>
      </c>
    </row>
    <row r="2257" spans="1:33">
      <c r="A2257" s="3" t="s">
        <v>2499</v>
      </c>
      <c r="D2257" s="3" t="s">
        <v>747</v>
      </c>
      <c r="E2257" s="3" t="s">
        <v>748</v>
      </c>
      <c r="J2257" s="9" t="s">
        <v>12118</v>
      </c>
      <c r="Q2257" s="10"/>
      <c r="T2257" s="9" t="s">
        <v>12131</v>
      </c>
      <c r="U2257" s="9" t="str">
        <f t="shared" ca="1" si="92"/>
        <v/>
      </c>
      <c r="V2257" s="9" t="str">
        <f t="shared" ca="1" si="93"/>
        <v/>
      </c>
      <c r="AC2257" s="9" t="s">
        <v>12130</v>
      </c>
      <c r="AD2257" s="9" t="s">
        <v>19</v>
      </c>
      <c r="AE2257" s="9" t="s">
        <v>12086</v>
      </c>
    </row>
    <row r="2258" spans="1:33">
      <c r="A2258" s="3" t="s">
        <v>2500</v>
      </c>
      <c r="D2258" s="3" t="s">
        <v>2501</v>
      </c>
      <c r="E2258" s="3" t="s">
        <v>2502</v>
      </c>
      <c r="J2258" s="9" t="s">
        <v>12118</v>
      </c>
      <c r="Q2258" s="10"/>
      <c r="T2258" s="9" t="s">
        <v>12131</v>
      </c>
      <c r="U2258" s="9" t="str">
        <f t="shared" ca="1" si="92"/>
        <v/>
      </c>
      <c r="V2258" s="9" t="str">
        <f t="shared" ca="1" si="93"/>
        <v/>
      </c>
      <c r="AE2258" s="9" t="s">
        <v>12077</v>
      </c>
    </row>
    <row r="2259" spans="1:33">
      <c r="A2259" s="3" t="s">
        <v>2500</v>
      </c>
      <c r="D2259" s="3" t="s">
        <v>2503</v>
      </c>
      <c r="E2259" s="3" t="s">
        <v>2504</v>
      </c>
      <c r="H2259" t="s">
        <v>19</v>
      </c>
      <c r="J2259" s="9" t="s">
        <v>12118</v>
      </c>
      <c r="Q2259" s="10"/>
      <c r="T2259" s="9" t="s">
        <v>12131</v>
      </c>
      <c r="U2259" s="9" t="str">
        <f t="shared" ca="1" si="92"/>
        <v/>
      </c>
      <c r="V2259" s="9" t="str">
        <f t="shared" ca="1" si="93"/>
        <v/>
      </c>
      <c r="AC2259" s="9" t="s">
        <v>12740</v>
      </c>
      <c r="AD2259" s="9" t="s">
        <v>19</v>
      </c>
      <c r="AE2259" s="9" t="s">
        <v>12077</v>
      </c>
    </row>
    <row r="2260" spans="1:33">
      <c r="A2260" s="3" t="s">
        <v>2505</v>
      </c>
      <c r="D2260" s="3" t="s">
        <v>2506</v>
      </c>
      <c r="E2260" s="3" t="s">
        <v>2977</v>
      </c>
      <c r="G2260" t="s">
        <v>19</v>
      </c>
      <c r="J2260" s="9" t="s">
        <v>12120</v>
      </c>
      <c r="Q2260" s="10"/>
      <c r="U2260" s="9" t="str">
        <f t="shared" ca="1" si="92"/>
        <v/>
      </c>
      <c r="V2260" s="9" t="str">
        <f t="shared" ca="1" si="93"/>
        <v/>
      </c>
      <c r="AC2260" s="9" t="s">
        <v>12180</v>
      </c>
      <c r="AD2260" s="9" t="s">
        <v>19</v>
      </c>
    </row>
    <row r="2261" spans="1:33">
      <c r="A2261" s="3" t="s">
        <v>2507</v>
      </c>
      <c r="D2261" s="3" t="s">
        <v>7618</v>
      </c>
      <c r="E2261" s="3" t="s">
        <v>7617</v>
      </c>
      <c r="J2261" s="9" t="s">
        <v>25</v>
      </c>
      <c r="L2261" s="9">
        <v>1</v>
      </c>
      <c r="M2261" s="9">
        <v>2</v>
      </c>
      <c r="N2261" s="9" t="s">
        <v>12087</v>
      </c>
      <c r="O2261" s="9" t="s">
        <v>12119</v>
      </c>
      <c r="Q2261" s="10"/>
      <c r="S2261" s="9">
        <v>1966</v>
      </c>
      <c r="U2261" s="9" t="str">
        <f t="shared" ca="1" si="92"/>
        <v/>
      </c>
      <c r="V2261" s="9" t="str">
        <f t="shared" ca="1" si="93"/>
        <v/>
      </c>
      <c r="AG2261" s="9" t="s">
        <v>20</v>
      </c>
    </row>
    <row r="2262" spans="1:33">
      <c r="A2262" s="3" t="s">
        <v>2507</v>
      </c>
      <c r="D2262" s="3" t="s">
        <v>7619</v>
      </c>
      <c r="E2262" s="3" t="s">
        <v>7620</v>
      </c>
      <c r="J2262" s="9" t="s">
        <v>12118</v>
      </c>
      <c r="Q2262" s="10"/>
      <c r="T2262" s="9" t="s">
        <v>12131</v>
      </c>
      <c r="U2262" s="9" t="str">
        <f t="shared" ca="1" si="92"/>
        <v/>
      </c>
      <c r="V2262" s="9" t="str">
        <f t="shared" ca="1" si="93"/>
        <v/>
      </c>
      <c r="AB2262" s="9" t="s">
        <v>12124</v>
      </c>
      <c r="AC2262" s="9" t="s">
        <v>12740</v>
      </c>
      <c r="AD2262" s="9" t="s">
        <v>19</v>
      </c>
    </row>
    <row r="2263" spans="1:33" ht="29">
      <c r="A2263" s="3" t="s">
        <v>2507</v>
      </c>
      <c r="D2263" s="3" t="s">
        <v>7621</v>
      </c>
      <c r="E2263" s="3" t="s">
        <v>7622</v>
      </c>
      <c r="J2263" s="9" t="s">
        <v>24</v>
      </c>
      <c r="L2263" s="9">
        <v>1</v>
      </c>
      <c r="M2263" s="9">
        <v>2</v>
      </c>
      <c r="N2263" s="9" t="s">
        <v>12078</v>
      </c>
      <c r="O2263" s="9" t="s">
        <v>12119</v>
      </c>
      <c r="Q2263" s="10"/>
      <c r="R2263" s="9" t="s">
        <v>12074</v>
      </c>
      <c r="S2263" s="9">
        <v>11843</v>
      </c>
      <c r="U2263" s="9" t="str">
        <f t="shared" ca="1" si="92"/>
        <v/>
      </c>
      <c r="V2263" s="9" t="str">
        <f t="shared" ca="1" si="93"/>
        <v/>
      </c>
      <c r="AG2263" s="9" t="s">
        <v>19</v>
      </c>
    </row>
    <row r="2264" spans="1:33">
      <c r="A2264" s="3" t="s">
        <v>2508</v>
      </c>
      <c r="D2264" s="3" t="s">
        <v>7623</v>
      </c>
      <c r="E2264" s="3" t="s">
        <v>7624</v>
      </c>
      <c r="J2264" s="9" t="s">
        <v>12120</v>
      </c>
      <c r="Q2264" s="10"/>
      <c r="U2264" s="9" t="str">
        <f t="shared" ca="1" si="92"/>
        <v/>
      </c>
      <c r="V2264" s="9" t="str">
        <f t="shared" ca="1" si="93"/>
        <v/>
      </c>
      <c r="AB2264" s="9" t="s">
        <v>12082</v>
      </c>
      <c r="AD2264" s="9" t="s">
        <v>19</v>
      </c>
    </row>
    <row r="2265" spans="1:33">
      <c r="A2265" s="3" t="s">
        <v>2509</v>
      </c>
      <c r="D2265" s="3" t="s">
        <v>7625</v>
      </c>
      <c r="E2265" s="3" t="s">
        <v>7626</v>
      </c>
      <c r="J2265" s="9" t="s">
        <v>12120</v>
      </c>
      <c r="Q2265" s="10"/>
      <c r="U2265" s="9" t="str">
        <f t="shared" ca="1" si="92"/>
        <v/>
      </c>
      <c r="V2265" s="9" t="str">
        <f t="shared" ca="1" si="93"/>
        <v/>
      </c>
      <c r="AE2265" s="9" t="s">
        <v>12083</v>
      </c>
    </row>
    <row r="2266" spans="1:33">
      <c r="A2266" s="3" t="s">
        <v>2510</v>
      </c>
      <c r="D2266" s="3" t="s">
        <v>117</v>
      </c>
      <c r="E2266" s="3" t="s">
        <v>118</v>
      </c>
      <c r="J2266" s="9" t="s">
        <v>12118</v>
      </c>
      <c r="Q2266" s="10"/>
      <c r="T2266" s="9" t="s">
        <v>12131</v>
      </c>
      <c r="U2266" s="9" t="str">
        <f t="shared" ca="1" si="92"/>
        <v/>
      </c>
      <c r="V2266" s="9" t="str">
        <f t="shared" ca="1" si="93"/>
        <v/>
      </c>
      <c r="AB2266" s="9" t="s">
        <v>12124</v>
      </c>
      <c r="AC2266" s="9" t="s">
        <v>12740</v>
      </c>
      <c r="AD2266" s="9" t="s">
        <v>19</v>
      </c>
    </row>
    <row r="2267" spans="1:33">
      <c r="A2267" s="3" t="s">
        <v>2510</v>
      </c>
      <c r="D2267" s="11" t="s">
        <v>7627</v>
      </c>
      <c r="E2267" s="11" t="s">
        <v>7628</v>
      </c>
      <c r="J2267" s="9" t="s">
        <v>12118</v>
      </c>
      <c r="Q2267" s="10"/>
      <c r="R2267" s="9" t="s">
        <v>12074</v>
      </c>
      <c r="T2267" s="9" t="s">
        <v>12131</v>
      </c>
      <c r="U2267" s="9" t="str">
        <f t="shared" ca="1" si="92"/>
        <v/>
      </c>
      <c r="V2267" s="9" t="str">
        <f t="shared" ca="1" si="93"/>
        <v/>
      </c>
      <c r="AE2267" s="9" t="s">
        <v>12077</v>
      </c>
    </row>
    <row r="2268" spans="1:33">
      <c r="A2268" s="3" t="s">
        <v>2511</v>
      </c>
      <c r="D2268" s="3" t="s">
        <v>7629</v>
      </c>
      <c r="E2268" s="3" t="s">
        <v>7630</v>
      </c>
      <c r="J2268" s="9" t="s">
        <v>12120</v>
      </c>
      <c r="Q2268" s="10"/>
      <c r="U2268" s="9" t="str">
        <f t="shared" ca="1" si="92"/>
        <v/>
      </c>
      <c r="V2268" s="9" t="str">
        <f t="shared" ca="1" si="93"/>
        <v/>
      </c>
      <c r="AB2268" s="9" t="s">
        <v>12082</v>
      </c>
      <c r="AD2268" s="9" t="s">
        <v>19</v>
      </c>
    </row>
    <row r="2269" spans="1:33" ht="29">
      <c r="A2269" s="3" t="s">
        <v>2513</v>
      </c>
      <c r="D2269" s="3" t="s">
        <v>7632</v>
      </c>
      <c r="E2269" s="3" t="s">
        <v>7631</v>
      </c>
      <c r="I2269" t="s">
        <v>12678</v>
      </c>
      <c r="J2269" s="9" t="s">
        <v>26</v>
      </c>
      <c r="Q2269" s="10"/>
      <c r="U2269" s="9" t="str">
        <f t="shared" ca="1" si="92"/>
        <v/>
      </c>
      <c r="V2269" s="9" t="str">
        <f t="shared" ca="1" si="93"/>
        <v/>
      </c>
      <c r="W2269" s="9" t="s">
        <v>12117</v>
      </c>
      <c r="AG2269" s="9" t="s">
        <v>20</v>
      </c>
    </row>
    <row r="2270" spans="1:33">
      <c r="A2270" s="3" t="s">
        <v>2514</v>
      </c>
      <c r="D2270" s="3" t="s">
        <v>2515</v>
      </c>
      <c r="E2270" s="3" t="s">
        <v>2516</v>
      </c>
      <c r="J2270" s="9" t="s">
        <v>12120</v>
      </c>
      <c r="Q2270" s="10"/>
      <c r="U2270" s="9" t="str">
        <f t="shared" ca="1" si="92"/>
        <v/>
      </c>
      <c r="V2270" s="9" t="str">
        <f t="shared" ca="1" si="93"/>
        <v/>
      </c>
      <c r="AC2270" s="9" t="s">
        <v>12740</v>
      </c>
      <c r="AD2270" s="9" t="s">
        <v>19</v>
      </c>
    </row>
    <row r="2271" spans="1:33" ht="29">
      <c r="A2271" s="3" t="s">
        <v>2517</v>
      </c>
      <c r="D2271" s="3" t="s">
        <v>7633</v>
      </c>
      <c r="E2271" s="3" t="s">
        <v>7634</v>
      </c>
      <c r="G2271" t="s">
        <v>19</v>
      </c>
      <c r="J2271" s="9" t="s">
        <v>12118</v>
      </c>
      <c r="Q2271" s="10"/>
      <c r="T2271" s="9">
        <f>361-472</f>
        <v>-111</v>
      </c>
      <c r="U2271" s="9">
        <f t="shared" ca="1" si="92"/>
        <v>472</v>
      </c>
      <c r="V2271" s="9">
        <f t="shared" ca="1" si="93"/>
        <v>361</v>
      </c>
    </row>
    <row r="2272" spans="1:33">
      <c r="A2272" s="3" t="s">
        <v>2518</v>
      </c>
      <c r="D2272" s="3" t="s">
        <v>2519</v>
      </c>
      <c r="E2272" s="3" t="s">
        <v>2520</v>
      </c>
      <c r="J2272" s="9" t="s">
        <v>12120</v>
      </c>
      <c r="Q2272" s="10"/>
      <c r="U2272" s="9" t="str">
        <f t="shared" ca="1" si="92"/>
        <v/>
      </c>
      <c r="V2272" s="9" t="str">
        <f t="shared" ca="1" si="93"/>
        <v/>
      </c>
      <c r="AC2272" s="9" t="s">
        <v>12740</v>
      </c>
      <c r="AD2272" s="9" t="s">
        <v>19</v>
      </c>
    </row>
    <row r="2273" spans="1:33" ht="29">
      <c r="A2273" s="3" t="s">
        <v>2521</v>
      </c>
      <c r="D2273" s="3" t="s">
        <v>7635</v>
      </c>
      <c r="E2273" s="3" t="s">
        <v>7636</v>
      </c>
      <c r="F2273" t="s">
        <v>32</v>
      </c>
      <c r="G2273" t="s">
        <v>19</v>
      </c>
      <c r="I2273" t="s">
        <v>12679</v>
      </c>
      <c r="J2273" s="9" t="s">
        <v>26</v>
      </c>
      <c r="Q2273" s="10"/>
      <c r="U2273" s="9" t="str">
        <f t="shared" ca="1" si="92"/>
        <v/>
      </c>
      <c r="V2273" s="9" t="str">
        <f t="shared" ca="1" si="93"/>
        <v/>
      </c>
      <c r="W2273" s="9" t="s">
        <v>4</v>
      </c>
    </row>
    <row r="2274" spans="1:33" ht="29">
      <c r="A2274" s="3" t="s">
        <v>2521</v>
      </c>
      <c r="D2274" s="3" t="s">
        <v>7637</v>
      </c>
      <c r="E2274" s="3" t="s">
        <v>7638</v>
      </c>
      <c r="I2274" t="s">
        <v>12680</v>
      </c>
      <c r="J2274" s="9" t="s">
        <v>12120</v>
      </c>
      <c r="Q2274" s="10"/>
      <c r="U2274" s="9" t="str">
        <f t="shared" ca="1" si="92"/>
        <v/>
      </c>
      <c r="V2274" s="9" t="str">
        <f t="shared" ca="1" si="93"/>
        <v/>
      </c>
      <c r="W2274" s="9" t="s">
        <v>12117</v>
      </c>
      <c r="AG2274" s="9" t="s">
        <v>19</v>
      </c>
    </row>
    <row r="2275" spans="1:33" ht="29">
      <c r="A2275" s="3" t="s">
        <v>2521</v>
      </c>
      <c r="D2275" s="3" t="s">
        <v>7639</v>
      </c>
      <c r="E2275" s="3" t="s">
        <v>7640</v>
      </c>
      <c r="I2275" t="s">
        <v>5457</v>
      </c>
      <c r="J2275" s="9" t="s">
        <v>26</v>
      </c>
      <c r="Q2275" s="10"/>
      <c r="U2275" s="9" t="str">
        <f t="shared" ca="1" si="92"/>
        <v/>
      </c>
      <c r="V2275" s="9" t="str">
        <f t="shared" ca="1" si="93"/>
        <v/>
      </c>
      <c r="AG2275" s="9" t="s">
        <v>20</v>
      </c>
    </row>
    <row r="2276" spans="1:33">
      <c r="A2276" s="3" t="s">
        <v>2522</v>
      </c>
      <c r="D2276" s="3" t="s">
        <v>7641</v>
      </c>
      <c r="E2276" s="3" t="s">
        <v>7642</v>
      </c>
      <c r="J2276" s="9" t="s">
        <v>12120</v>
      </c>
      <c r="Q2276" s="10"/>
      <c r="U2276" s="9" t="str">
        <f t="shared" ca="1" si="92"/>
        <v/>
      </c>
      <c r="V2276" s="9" t="str">
        <f t="shared" ca="1" si="93"/>
        <v/>
      </c>
      <c r="AG2276" s="9" t="s">
        <v>13141</v>
      </c>
    </row>
    <row r="2277" spans="1:33">
      <c r="A2277" s="3" t="s">
        <v>2522</v>
      </c>
      <c r="D2277" s="3" t="s">
        <v>2523</v>
      </c>
      <c r="E2277" s="3" t="s">
        <v>2524</v>
      </c>
      <c r="J2277" s="9" t="s">
        <v>12120</v>
      </c>
      <c r="Q2277" s="10"/>
      <c r="U2277" s="9" t="str">
        <f t="shared" ca="1" si="92"/>
        <v/>
      </c>
      <c r="V2277" s="9" t="str">
        <f t="shared" ca="1" si="93"/>
        <v/>
      </c>
      <c r="AG2277" s="9" t="s">
        <v>20</v>
      </c>
    </row>
    <row r="2278" spans="1:33">
      <c r="A2278" s="3" t="s">
        <v>2525</v>
      </c>
      <c r="D2278" s="3" t="s">
        <v>2526</v>
      </c>
      <c r="E2278" s="3" t="s">
        <v>1101</v>
      </c>
      <c r="J2278" s="9" t="s">
        <v>12118</v>
      </c>
      <c r="Q2278" s="10"/>
      <c r="T2278" s="9">
        <f>0-84</f>
        <v>-84</v>
      </c>
      <c r="U2278" s="9">
        <f t="shared" ca="1" si="92"/>
        <v>84</v>
      </c>
      <c r="V2278" s="9">
        <f t="shared" ca="1" si="93"/>
        <v>0</v>
      </c>
      <c r="AC2278" s="9" t="s">
        <v>12134</v>
      </c>
      <c r="AD2278" s="9" t="s">
        <v>19</v>
      </c>
    </row>
    <row r="2279" spans="1:33">
      <c r="A2279" s="3" t="s">
        <v>2525</v>
      </c>
      <c r="D2279" s="3" t="s">
        <v>2527</v>
      </c>
      <c r="E2279" s="3" t="s">
        <v>96</v>
      </c>
      <c r="J2279" s="9" t="s">
        <v>12118</v>
      </c>
      <c r="Q2279" s="10"/>
      <c r="T2279" s="9">
        <f>0-84</f>
        <v>-84</v>
      </c>
      <c r="U2279" s="9">
        <f t="shared" ca="1" si="92"/>
        <v>84</v>
      </c>
      <c r="V2279" s="9">
        <f t="shared" ca="1" si="93"/>
        <v>0</v>
      </c>
      <c r="AC2279" s="9" t="s">
        <v>12134</v>
      </c>
      <c r="AD2279" s="9" t="s">
        <v>19</v>
      </c>
    </row>
    <row r="2280" spans="1:33" ht="29">
      <c r="A2280" s="3" t="s">
        <v>2528</v>
      </c>
      <c r="D2280" s="3" t="s">
        <v>7643</v>
      </c>
      <c r="E2280" s="3" t="s">
        <v>7644</v>
      </c>
      <c r="G2280" t="s">
        <v>19</v>
      </c>
      <c r="J2280" s="9" t="s">
        <v>12118</v>
      </c>
      <c r="Q2280" s="10"/>
      <c r="T2280" s="9">
        <f>11843-780</f>
        <v>11063</v>
      </c>
      <c r="U2280" s="9">
        <f t="shared" ca="1" si="92"/>
        <v>780</v>
      </c>
      <c r="V2280" s="9">
        <f t="shared" ca="1" si="93"/>
        <v>11843</v>
      </c>
    </row>
    <row r="2281" spans="1:33">
      <c r="A2281" s="3" t="s">
        <v>2529</v>
      </c>
      <c r="D2281" s="3" t="s">
        <v>7645</v>
      </c>
      <c r="E2281" s="3" t="s">
        <v>7645</v>
      </c>
      <c r="G2281" t="s">
        <v>20</v>
      </c>
      <c r="I2281" t="s">
        <v>7646</v>
      </c>
      <c r="Q2281" s="10"/>
      <c r="U2281" s="9" t="str">
        <f t="shared" ca="1" si="92"/>
        <v/>
      </c>
      <c r="V2281" s="9" t="str">
        <f t="shared" ca="1" si="93"/>
        <v/>
      </c>
    </row>
    <row r="2282" spans="1:33">
      <c r="A2282" s="3" t="s">
        <v>2530</v>
      </c>
      <c r="D2282" s="3" t="s">
        <v>7647</v>
      </c>
      <c r="E2282" s="3" t="s">
        <v>7648</v>
      </c>
      <c r="J2282" s="9" t="s">
        <v>24</v>
      </c>
      <c r="L2282" s="9">
        <v>1</v>
      </c>
      <c r="M2282" s="9">
        <v>5</v>
      </c>
      <c r="N2282" s="9" t="s">
        <v>12094</v>
      </c>
      <c r="O2282" s="9" t="s">
        <v>12073</v>
      </c>
      <c r="P2282" s="9" t="s">
        <v>12142</v>
      </c>
      <c r="Q2282" s="10" t="s">
        <v>12170</v>
      </c>
      <c r="R2282" s="9" t="s">
        <v>12074</v>
      </c>
      <c r="S2282" s="9">
        <v>1741</v>
      </c>
      <c r="U2282" s="9" t="str">
        <f t="shared" ca="1" si="92"/>
        <v/>
      </c>
      <c r="V2282" s="9" t="str">
        <f t="shared" ca="1" si="93"/>
        <v/>
      </c>
      <c r="AE2282" s="9" t="s">
        <v>12083</v>
      </c>
    </row>
    <row r="2283" spans="1:33" ht="29">
      <c r="A2283" s="3" t="s">
        <v>2531</v>
      </c>
      <c r="D2283" s="3" t="s">
        <v>13035</v>
      </c>
      <c r="E2283" s="5" t="s">
        <v>13036</v>
      </c>
      <c r="F2283" t="s">
        <v>32</v>
      </c>
      <c r="I2283" t="s">
        <v>13037</v>
      </c>
      <c r="J2283" s="9" t="s">
        <v>12120</v>
      </c>
      <c r="Q2283" s="10"/>
      <c r="AB2283" s="9" t="s">
        <v>12124</v>
      </c>
      <c r="AD2283" s="9" t="s">
        <v>19</v>
      </c>
    </row>
    <row r="2284" spans="1:33" ht="29">
      <c r="A2284" s="3" t="s">
        <v>2531</v>
      </c>
      <c r="D2284" s="3" t="s">
        <v>12903</v>
      </c>
      <c r="E2284" s="3" t="s">
        <v>12904</v>
      </c>
      <c r="I2284" t="s">
        <v>12396</v>
      </c>
      <c r="J2284" s="9" t="s">
        <v>12118</v>
      </c>
      <c r="Q2284" s="10"/>
      <c r="T2284" s="9">
        <f>30-5676</f>
        <v>-5646</v>
      </c>
      <c r="U2284" s="9">
        <f t="shared" ca="1" si="92"/>
        <v>5676</v>
      </c>
      <c r="V2284" s="9">
        <f t="shared" ca="1" si="93"/>
        <v>30</v>
      </c>
      <c r="AG2284" s="9" t="s">
        <v>19</v>
      </c>
    </row>
    <row r="2285" spans="1:33" ht="29">
      <c r="A2285" s="3" t="s">
        <v>2531</v>
      </c>
      <c r="D2285" s="3" t="s">
        <v>12903</v>
      </c>
      <c r="E2285" s="3" t="s">
        <v>12907</v>
      </c>
      <c r="J2285" s="9" t="s">
        <v>24</v>
      </c>
      <c r="L2285" s="9">
        <v>1</v>
      </c>
      <c r="M2285" s="9">
        <v>3</v>
      </c>
      <c r="N2285" s="9" t="s">
        <v>12094</v>
      </c>
      <c r="O2285" s="9" t="s">
        <v>12079</v>
      </c>
      <c r="Q2285" s="10"/>
      <c r="S2285" s="9">
        <v>1741</v>
      </c>
      <c r="AG2285" s="9" t="s">
        <v>19</v>
      </c>
    </row>
    <row r="2286" spans="1:33" ht="29">
      <c r="A2286" s="3" t="s">
        <v>2531</v>
      </c>
      <c r="D2286" s="3" t="s">
        <v>12905</v>
      </c>
      <c r="E2286" s="3" t="s">
        <v>12906</v>
      </c>
      <c r="F2286" t="s">
        <v>31</v>
      </c>
      <c r="I2286" t="s">
        <v>12908</v>
      </c>
      <c r="J2286" s="9" t="s">
        <v>12118</v>
      </c>
      <c r="Q2286" s="10"/>
      <c r="T2286" s="9" t="s">
        <v>12131</v>
      </c>
      <c r="AC2286" s="9" t="s">
        <v>12153</v>
      </c>
      <c r="AD2286" s="9" t="s">
        <v>19</v>
      </c>
    </row>
    <row r="2287" spans="1:33" ht="29">
      <c r="A2287" s="3" t="s">
        <v>2532</v>
      </c>
      <c r="D2287" s="3" t="s">
        <v>7649</v>
      </c>
      <c r="E2287" s="3" t="s">
        <v>7650</v>
      </c>
      <c r="G2287" t="s">
        <v>21</v>
      </c>
      <c r="I2287" t="s">
        <v>7651</v>
      </c>
      <c r="J2287" s="9" t="s">
        <v>12118</v>
      </c>
      <c r="Q2287" s="10"/>
      <c r="T2287" s="9">
        <f>193-1496</f>
        <v>-1303</v>
      </c>
      <c r="U2287" s="9">
        <f t="shared" ca="1" si="92"/>
        <v>1496</v>
      </c>
      <c r="V2287" s="9">
        <f t="shared" ca="1" si="93"/>
        <v>193</v>
      </c>
    </row>
    <row r="2288" spans="1:33">
      <c r="A2288" s="3" t="s">
        <v>2533</v>
      </c>
      <c r="D2288" s="3" t="s">
        <v>7653</v>
      </c>
      <c r="E2288" s="3" t="s">
        <v>7652</v>
      </c>
      <c r="J2288" s="9" t="s">
        <v>24</v>
      </c>
      <c r="L2288" s="9">
        <v>1</v>
      </c>
      <c r="M2288" s="9">
        <v>3</v>
      </c>
      <c r="N2288" s="9" t="s">
        <v>12078</v>
      </c>
      <c r="O2288" s="9" t="s">
        <v>12079</v>
      </c>
      <c r="Q2288" s="10"/>
      <c r="S2288" s="9">
        <v>11843</v>
      </c>
      <c r="U2288" s="9" t="str">
        <f t="shared" ca="1" si="92"/>
        <v/>
      </c>
      <c r="V2288" s="9" t="str">
        <f t="shared" ca="1" si="93"/>
        <v/>
      </c>
      <c r="AG2288" s="9" t="s">
        <v>19</v>
      </c>
    </row>
    <row r="2289" spans="1:33">
      <c r="A2289" s="3" t="s">
        <v>2534</v>
      </c>
      <c r="D2289" s="3" t="s">
        <v>7655</v>
      </c>
      <c r="E2289" s="3" t="s">
        <v>7654</v>
      </c>
      <c r="J2289" s="9" t="s">
        <v>24</v>
      </c>
      <c r="L2289" s="9">
        <v>2</v>
      </c>
      <c r="M2289" s="9">
        <v>7</v>
      </c>
      <c r="O2289" s="9" t="s">
        <v>12079</v>
      </c>
      <c r="Q2289" s="10"/>
      <c r="S2289" s="9">
        <v>635</v>
      </c>
      <c r="U2289" s="9" t="str">
        <f t="shared" ca="1" si="92"/>
        <v/>
      </c>
      <c r="V2289" s="9" t="str">
        <f t="shared" ca="1" si="93"/>
        <v/>
      </c>
      <c r="AG2289" s="9" t="s">
        <v>19</v>
      </c>
    </row>
    <row r="2290" spans="1:33">
      <c r="A2290" s="3" t="s">
        <v>2534</v>
      </c>
      <c r="D2290" s="3" t="s">
        <v>7657</v>
      </c>
      <c r="E2290" s="3" t="s">
        <v>7656</v>
      </c>
      <c r="F2290" t="s">
        <v>11</v>
      </c>
      <c r="J2290" s="9" t="s">
        <v>24</v>
      </c>
      <c r="L2290" s="9">
        <v>1</v>
      </c>
      <c r="M2290" s="9">
        <v>1</v>
      </c>
      <c r="N2290" s="9" t="s">
        <v>12078</v>
      </c>
      <c r="O2290" s="9" t="s">
        <v>12119</v>
      </c>
      <c r="Q2290" s="10"/>
      <c r="S2290" s="9">
        <v>11843</v>
      </c>
      <c r="U2290" s="9" t="str">
        <f t="shared" ca="1" si="92"/>
        <v/>
      </c>
      <c r="V2290" s="9" t="str">
        <f t="shared" ca="1" si="93"/>
        <v/>
      </c>
    </row>
    <row r="2291" spans="1:33">
      <c r="A2291" s="3" t="s">
        <v>2535</v>
      </c>
      <c r="D2291" s="3" t="s">
        <v>7659</v>
      </c>
      <c r="E2291" s="3" t="s">
        <v>7658</v>
      </c>
      <c r="J2291" s="9" t="s">
        <v>24</v>
      </c>
      <c r="L2291" s="9">
        <v>1</v>
      </c>
      <c r="M2291" s="9">
        <v>3</v>
      </c>
      <c r="N2291" s="9" t="s">
        <v>12094</v>
      </c>
      <c r="O2291" s="9" t="s">
        <v>12079</v>
      </c>
      <c r="Q2291" s="10"/>
      <c r="S2291" s="9">
        <v>1496</v>
      </c>
      <c r="U2291" s="9" t="str">
        <f t="shared" ca="1" si="92"/>
        <v/>
      </c>
      <c r="V2291" s="9" t="str">
        <f t="shared" ca="1" si="93"/>
        <v/>
      </c>
      <c r="AG2291" s="9" t="s">
        <v>19</v>
      </c>
    </row>
    <row r="2292" spans="1:33">
      <c r="A2292" s="3" t="s">
        <v>2536</v>
      </c>
      <c r="D2292" s="3" t="s">
        <v>7660</v>
      </c>
      <c r="E2292" s="3" t="s">
        <v>7661</v>
      </c>
      <c r="J2292" s="9" t="s">
        <v>12120</v>
      </c>
      <c r="Q2292" s="10"/>
      <c r="U2292" s="9" t="str">
        <f t="shared" ca="1" si="92"/>
        <v/>
      </c>
      <c r="V2292" s="9" t="str">
        <f t="shared" ca="1" si="93"/>
        <v/>
      </c>
      <c r="AC2292" s="9" t="s">
        <v>12130</v>
      </c>
      <c r="AD2292" s="9" t="s">
        <v>19</v>
      </c>
    </row>
    <row r="2293" spans="1:33">
      <c r="A2293" s="3" t="s">
        <v>2537</v>
      </c>
      <c r="D2293" s="3" t="s">
        <v>7662</v>
      </c>
      <c r="E2293" s="3" t="s">
        <v>7663</v>
      </c>
      <c r="F2293" t="s">
        <v>11</v>
      </c>
      <c r="G2293" t="s">
        <v>19</v>
      </c>
      <c r="Q2293" s="10"/>
      <c r="U2293" s="9" t="str">
        <f t="shared" ca="1" si="92"/>
        <v/>
      </c>
      <c r="V2293" s="9" t="str">
        <f t="shared" ca="1" si="93"/>
        <v/>
      </c>
    </row>
    <row r="2294" spans="1:33">
      <c r="A2294" s="3" t="s">
        <v>2537</v>
      </c>
      <c r="D2294" s="3" t="s">
        <v>2538</v>
      </c>
      <c r="E2294" s="3" t="s">
        <v>2539</v>
      </c>
      <c r="J2294" s="9" t="s">
        <v>12120</v>
      </c>
      <c r="Q2294" s="10"/>
      <c r="U2294" s="9" t="str">
        <f t="shared" ca="1" si="92"/>
        <v/>
      </c>
      <c r="V2294" s="9" t="str">
        <f t="shared" ca="1" si="93"/>
        <v/>
      </c>
      <c r="AC2294" s="9" t="s">
        <v>12130</v>
      </c>
      <c r="AD2294" s="9" t="s">
        <v>19</v>
      </c>
    </row>
    <row r="2295" spans="1:33" ht="29">
      <c r="A2295" s="3" t="s">
        <v>2540</v>
      </c>
      <c r="D2295" s="3" t="s">
        <v>7665</v>
      </c>
      <c r="E2295" s="3" t="s">
        <v>7664</v>
      </c>
      <c r="J2295" s="9" t="s">
        <v>24</v>
      </c>
      <c r="L2295" s="9">
        <v>1</v>
      </c>
      <c r="M2295" s="9">
        <v>3</v>
      </c>
      <c r="N2295" s="9" t="s">
        <v>12078</v>
      </c>
      <c r="O2295" s="9" t="s">
        <v>12079</v>
      </c>
      <c r="Q2295" s="10"/>
      <c r="S2295" s="9">
        <v>11843</v>
      </c>
      <c r="U2295" s="9" t="str">
        <f t="shared" ca="1" si="92"/>
        <v/>
      </c>
      <c r="V2295" s="9" t="str">
        <f t="shared" ca="1" si="93"/>
        <v/>
      </c>
      <c r="AG2295" s="9" t="s">
        <v>20</v>
      </c>
    </row>
    <row r="2296" spans="1:33">
      <c r="A2296" s="3" t="s">
        <v>2541</v>
      </c>
      <c r="D2296" s="3" t="s">
        <v>2542</v>
      </c>
      <c r="E2296" s="3" t="s">
        <v>2543</v>
      </c>
      <c r="F2296" t="s">
        <v>12</v>
      </c>
      <c r="J2296" s="9" t="s">
        <v>12120</v>
      </c>
      <c r="Q2296" s="10"/>
      <c r="U2296" s="9" t="str">
        <f t="shared" ca="1" si="92"/>
        <v/>
      </c>
      <c r="V2296" s="9" t="str">
        <f t="shared" ca="1" si="93"/>
        <v/>
      </c>
      <c r="AG2296" s="9" t="s">
        <v>20</v>
      </c>
    </row>
    <row r="2297" spans="1:33" ht="29">
      <c r="A2297" s="3" t="s">
        <v>2544</v>
      </c>
      <c r="D2297" s="3" t="s">
        <v>7667</v>
      </c>
      <c r="E2297" s="3" t="s">
        <v>7666</v>
      </c>
      <c r="I2297" t="s">
        <v>5457</v>
      </c>
      <c r="J2297" s="9" t="s">
        <v>26</v>
      </c>
      <c r="Q2297" s="10"/>
      <c r="U2297" s="9" t="str">
        <f t="shared" ca="1" si="92"/>
        <v/>
      </c>
      <c r="V2297" s="9" t="str">
        <f t="shared" ca="1" si="93"/>
        <v/>
      </c>
      <c r="AG2297" s="9" t="s">
        <v>13141</v>
      </c>
    </row>
    <row r="2298" spans="1:33">
      <c r="A2298" s="3" t="s">
        <v>2544</v>
      </c>
      <c r="D2298" s="3" t="s">
        <v>7668</v>
      </c>
      <c r="E2298" s="3" t="s">
        <v>7669</v>
      </c>
      <c r="J2298" s="9" t="s">
        <v>24</v>
      </c>
      <c r="L2298" s="9">
        <v>1</v>
      </c>
      <c r="M2298" s="9">
        <v>3</v>
      </c>
      <c r="N2298" s="9" t="s">
        <v>12087</v>
      </c>
      <c r="O2298" s="9" t="s">
        <v>12073</v>
      </c>
      <c r="P2298" s="9" t="s">
        <v>12142</v>
      </c>
      <c r="Q2298" s="10" t="s">
        <v>12143</v>
      </c>
      <c r="R2298" s="9" t="s">
        <v>12074</v>
      </c>
      <c r="S2298" s="9">
        <v>5676</v>
      </c>
      <c r="U2298" s="9" t="str">
        <f t="shared" ca="1" si="92"/>
        <v/>
      </c>
      <c r="V2298" s="9" t="str">
        <f t="shared" ca="1" si="93"/>
        <v/>
      </c>
      <c r="AE2298" s="9" t="s">
        <v>12083</v>
      </c>
    </row>
    <row r="2299" spans="1:33">
      <c r="A2299" s="3" t="s">
        <v>2545</v>
      </c>
      <c r="D2299" s="3" t="s">
        <v>2546</v>
      </c>
      <c r="E2299" s="3" t="s">
        <v>7670</v>
      </c>
      <c r="G2299" t="s">
        <v>19</v>
      </c>
      <c r="J2299" s="9" t="s">
        <v>12118</v>
      </c>
      <c r="Q2299" s="10"/>
      <c r="T2299" s="9" t="s">
        <v>12131</v>
      </c>
      <c r="U2299" s="9" t="str">
        <f t="shared" ca="1" si="92"/>
        <v/>
      </c>
      <c r="V2299" s="9" t="str">
        <f t="shared" ca="1" si="93"/>
        <v/>
      </c>
      <c r="AE2299" s="9" t="s">
        <v>12086</v>
      </c>
    </row>
    <row r="2300" spans="1:33">
      <c r="A2300" s="3" t="s">
        <v>2547</v>
      </c>
      <c r="D2300" s="3" t="s">
        <v>7671</v>
      </c>
      <c r="E2300" s="3" t="s">
        <v>7672</v>
      </c>
      <c r="J2300" s="9" t="s">
        <v>12120</v>
      </c>
      <c r="Q2300" s="10"/>
      <c r="U2300" s="9" t="str">
        <f t="shared" ca="1" si="92"/>
        <v/>
      </c>
      <c r="V2300" s="9" t="str">
        <f t="shared" ca="1" si="93"/>
        <v/>
      </c>
      <c r="AE2300" s="9" t="s">
        <v>12083</v>
      </c>
    </row>
    <row r="2301" spans="1:33">
      <c r="A2301" s="3" t="s">
        <v>2547</v>
      </c>
      <c r="D2301" s="3" t="s">
        <v>4957</v>
      </c>
      <c r="E2301" s="3" t="s">
        <v>4956</v>
      </c>
      <c r="G2301" t="s">
        <v>19</v>
      </c>
      <c r="J2301" s="9" t="s">
        <v>12120</v>
      </c>
      <c r="Q2301" s="10"/>
      <c r="U2301" s="9" t="str">
        <f t="shared" ca="1" si="92"/>
        <v/>
      </c>
      <c r="V2301" s="9" t="str">
        <f t="shared" ca="1" si="93"/>
        <v/>
      </c>
      <c r="AC2301" s="9" t="s">
        <v>12130</v>
      </c>
      <c r="AD2301" s="9" t="s">
        <v>19</v>
      </c>
    </row>
    <row r="2302" spans="1:33">
      <c r="A2302" s="3" t="s">
        <v>2549</v>
      </c>
      <c r="D2302" s="3" t="s">
        <v>4957</v>
      </c>
      <c r="E2302" s="3" t="s">
        <v>4956</v>
      </c>
      <c r="G2302" t="s">
        <v>19</v>
      </c>
      <c r="J2302" s="9" t="s">
        <v>12120</v>
      </c>
      <c r="Q2302" s="10"/>
      <c r="U2302" s="9" t="str">
        <f t="shared" ca="1" si="92"/>
        <v/>
      </c>
      <c r="V2302" s="9" t="str">
        <f t="shared" ca="1" si="93"/>
        <v/>
      </c>
      <c r="AC2302" s="9" t="s">
        <v>12130</v>
      </c>
      <c r="AD2302" s="9" t="s">
        <v>19</v>
      </c>
    </row>
    <row r="2303" spans="1:33">
      <c r="A2303" s="3" t="s">
        <v>2550</v>
      </c>
      <c r="D2303" s="3" t="s">
        <v>2551</v>
      </c>
      <c r="E2303" s="3" t="s">
        <v>2552</v>
      </c>
      <c r="J2303" s="9" t="s">
        <v>12118</v>
      </c>
      <c r="Q2303" s="10"/>
      <c r="T2303" s="9" t="s">
        <v>12131</v>
      </c>
      <c r="U2303" s="9" t="str">
        <f t="shared" ca="1" si="92"/>
        <v/>
      </c>
      <c r="V2303" s="9" t="str">
        <f t="shared" ca="1" si="93"/>
        <v/>
      </c>
      <c r="AB2303" s="9" t="s">
        <v>12124</v>
      </c>
      <c r="AC2303" s="9" t="s">
        <v>12134</v>
      </c>
      <c r="AD2303" s="9" t="s">
        <v>19</v>
      </c>
    </row>
    <row r="2304" spans="1:33">
      <c r="A2304" s="3" t="s">
        <v>2550</v>
      </c>
      <c r="D2304" s="3" t="s">
        <v>4957</v>
      </c>
      <c r="E2304" s="3" t="s">
        <v>4956</v>
      </c>
      <c r="G2304" t="s">
        <v>19</v>
      </c>
      <c r="J2304" s="9" t="s">
        <v>12120</v>
      </c>
      <c r="Q2304" s="10"/>
      <c r="U2304" s="9" t="str">
        <f t="shared" ca="1" si="92"/>
        <v/>
      </c>
      <c r="V2304" s="9" t="str">
        <f t="shared" ca="1" si="93"/>
        <v/>
      </c>
      <c r="AC2304" s="9" t="s">
        <v>12130</v>
      </c>
      <c r="AD2304" s="9" t="s">
        <v>19</v>
      </c>
    </row>
    <row r="2305" spans="1:33">
      <c r="A2305" s="3" t="s">
        <v>2550</v>
      </c>
      <c r="D2305" s="3" t="s">
        <v>2553</v>
      </c>
      <c r="E2305" s="3" t="s">
        <v>334</v>
      </c>
      <c r="J2305" s="9" t="s">
        <v>12118</v>
      </c>
      <c r="Q2305" s="10"/>
      <c r="T2305" s="9" t="s">
        <v>12131</v>
      </c>
      <c r="U2305" s="9" t="str">
        <f t="shared" ca="1" si="92"/>
        <v/>
      </c>
      <c r="V2305" s="9" t="str">
        <f t="shared" ca="1" si="93"/>
        <v/>
      </c>
      <c r="AE2305" s="9" t="s">
        <v>12086</v>
      </c>
    </row>
    <row r="2306" spans="1:33">
      <c r="A2306" s="3" t="s">
        <v>2554</v>
      </c>
      <c r="D2306" s="3" t="s">
        <v>2555</v>
      </c>
      <c r="E2306" s="3" t="s">
        <v>7673</v>
      </c>
      <c r="G2306" t="s">
        <v>19</v>
      </c>
      <c r="J2306" s="9" t="s">
        <v>12120</v>
      </c>
      <c r="Q2306" s="10"/>
      <c r="U2306" s="9" t="str">
        <f t="shared" ca="1" si="92"/>
        <v/>
      </c>
      <c r="V2306" s="9" t="str">
        <f t="shared" ca="1" si="93"/>
        <v/>
      </c>
      <c r="AC2306" s="9" t="s">
        <v>12742</v>
      </c>
      <c r="AD2306" s="9" t="s">
        <v>19</v>
      </c>
    </row>
    <row r="2307" spans="1:33" ht="29">
      <c r="A2307" s="3" t="s">
        <v>2554</v>
      </c>
      <c r="D2307" s="3" t="s">
        <v>7674</v>
      </c>
      <c r="E2307" s="3" t="s">
        <v>7676</v>
      </c>
      <c r="J2307" s="9" t="s">
        <v>12120</v>
      </c>
      <c r="Q2307" s="10"/>
      <c r="U2307" s="9" t="str">
        <f t="shared" ca="1" si="92"/>
        <v/>
      </c>
      <c r="V2307" s="9" t="str">
        <f t="shared" ca="1" si="93"/>
        <v/>
      </c>
      <c r="AG2307" s="9" t="s">
        <v>20</v>
      </c>
    </row>
    <row r="2308" spans="1:33" ht="29">
      <c r="A2308" s="3" t="s">
        <v>2554</v>
      </c>
      <c r="D2308" s="3" t="s">
        <v>7675</v>
      </c>
      <c r="E2308" s="3" t="s">
        <v>7677</v>
      </c>
      <c r="J2308" s="9" t="s">
        <v>24</v>
      </c>
      <c r="L2308" s="9">
        <v>1</v>
      </c>
      <c r="M2308" s="9">
        <v>3</v>
      </c>
      <c r="N2308" s="9" t="s">
        <v>12094</v>
      </c>
      <c r="O2308" s="9" t="s">
        <v>12079</v>
      </c>
      <c r="Q2308" s="10"/>
      <c r="S2308" s="9">
        <v>1496</v>
      </c>
      <c r="U2308" s="9" t="str">
        <f t="shared" ca="1" si="92"/>
        <v/>
      </c>
      <c r="V2308" s="9" t="str">
        <f t="shared" ca="1" si="93"/>
        <v/>
      </c>
      <c r="AG2308" s="9" t="s">
        <v>19</v>
      </c>
    </row>
    <row r="2309" spans="1:33">
      <c r="A2309" s="3" t="s">
        <v>2556</v>
      </c>
      <c r="D2309" s="3" t="s">
        <v>7678</v>
      </c>
      <c r="E2309" s="3" t="s">
        <v>7679</v>
      </c>
      <c r="J2309" s="9" t="s">
        <v>12120</v>
      </c>
      <c r="Q2309" s="10"/>
      <c r="U2309" s="9" t="str">
        <f t="shared" ca="1" si="92"/>
        <v/>
      </c>
      <c r="V2309" s="9" t="str">
        <f t="shared" ca="1" si="93"/>
        <v/>
      </c>
      <c r="AG2309" s="9" t="s">
        <v>19</v>
      </c>
    </row>
    <row r="2310" spans="1:33">
      <c r="A2310" s="3" t="s">
        <v>2557</v>
      </c>
      <c r="D2310" s="3" t="s">
        <v>7623</v>
      </c>
      <c r="E2310" s="3" t="s">
        <v>7680</v>
      </c>
      <c r="J2310" s="9" t="s">
        <v>25</v>
      </c>
      <c r="L2310" s="9">
        <v>1</v>
      </c>
      <c r="M2310" s="9">
        <v>2</v>
      </c>
      <c r="N2310" s="9" t="s">
        <v>12087</v>
      </c>
      <c r="O2310" s="9" t="s">
        <v>12119</v>
      </c>
      <c r="Q2310" s="10"/>
      <c r="S2310" s="9">
        <v>1966</v>
      </c>
      <c r="U2310" s="9" t="str">
        <f t="shared" ca="1" si="92"/>
        <v/>
      </c>
      <c r="V2310" s="9" t="str">
        <f t="shared" ca="1" si="93"/>
        <v/>
      </c>
      <c r="AG2310" s="9" t="s">
        <v>20</v>
      </c>
    </row>
    <row r="2311" spans="1:33" ht="29">
      <c r="A2311" s="3" t="s">
        <v>2558</v>
      </c>
      <c r="D2311" s="3" t="s">
        <v>7682</v>
      </c>
      <c r="E2311" s="3" t="s">
        <v>7681</v>
      </c>
      <c r="I2311" t="s">
        <v>12189</v>
      </c>
      <c r="J2311" s="9" t="s">
        <v>26</v>
      </c>
      <c r="Q2311" s="10"/>
      <c r="U2311" s="9" t="str">
        <f t="shared" ca="1" si="92"/>
        <v/>
      </c>
      <c r="V2311" s="9" t="str">
        <f t="shared" ca="1" si="93"/>
        <v/>
      </c>
      <c r="AG2311" s="9" t="s">
        <v>20</v>
      </c>
    </row>
    <row r="2312" spans="1:33">
      <c r="A2312" s="3" t="s">
        <v>2558</v>
      </c>
      <c r="D2312" s="3" t="s">
        <v>1248</v>
      </c>
      <c r="E2312" s="3" t="s">
        <v>156</v>
      </c>
      <c r="F2312" t="s">
        <v>11</v>
      </c>
      <c r="Q2312" s="10"/>
      <c r="U2312" s="9" t="str">
        <f t="shared" ca="1" si="92"/>
        <v/>
      </c>
      <c r="V2312" s="9" t="str">
        <f t="shared" ca="1" si="93"/>
        <v/>
      </c>
    </row>
    <row r="2313" spans="1:33">
      <c r="A2313" s="3" t="s">
        <v>2559</v>
      </c>
      <c r="D2313" s="3" t="s">
        <v>7683</v>
      </c>
      <c r="E2313" s="3" t="s">
        <v>7684</v>
      </c>
      <c r="F2313" t="s">
        <v>11</v>
      </c>
      <c r="Q2313" s="10"/>
      <c r="U2313" s="9" t="str">
        <f t="shared" ca="1" si="92"/>
        <v/>
      </c>
      <c r="V2313" s="9" t="str">
        <f t="shared" ca="1" si="93"/>
        <v/>
      </c>
    </row>
    <row r="2314" spans="1:33" ht="29">
      <c r="A2314" s="3" t="s">
        <v>2560</v>
      </c>
      <c r="D2314" s="3" t="s">
        <v>7686</v>
      </c>
      <c r="E2314" s="3" t="s">
        <v>7687</v>
      </c>
      <c r="J2314" s="9" t="s">
        <v>12120</v>
      </c>
      <c r="Q2314" s="10"/>
      <c r="U2314" s="9" t="str">
        <f t="shared" ca="1" si="92"/>
        <v/>
      </c>
      <c r="V2314" s="9" t="str">
        <f t="shared" ca="1" si="93"/>
        <v/>
      </c>
      <c r="AC2314" s="9" t="s">
        <v>12153</v>
      </c>
      <c r="AD2314" s="9" t="s">
        <v>19</v>
      </c>
      <c r="AE2314" s="9" t="s">
        <v>12077</v>
      </c>
    </row>
    <row r="2315" spans="1:33" ht="29">
      <c r="A2315" s="3" t="s">
        <v>2560</v>
      </c>
      <c r="D2315" s="3" t="s">
        <v>7685</v>
      </c>
      <c r="E2315" s="3" t="s">
        <v>7688</v>
      </c>
      <c r="J2315" s="9" t="s">
        <v>24</v>
      </c>
      <c r="L2315" s="9">
        <v>1</v>
      </c>
      <c r="M2315" s="9">
        <v>2</v>
      </c>
      <c r="N2315" s="9" t="s">
        <v>12096</v>
      </c>
      <c r="O2315" s="9" t="s">
        <v>12119</v>
      </c>
      <c r="Q2315" s="10"/>
      <c r="S2315" s="9">
        <v>444</v>
      </c>
      <c r="U2315" s="9" t="str">
        <f t="shared" ca="1" si="92"/>
        <v/>
      </c>
      <c r="V2315" s="9" t="str">
        <f t="shared" ca="1" si="93"/>
        <v/>
      </c>
      <c r="AG2315" s="9" t="s">
        <v>19</v>
      </c>
    </row>
    <row r="2316" spans="1:33">
      <c r="A2316" s="3" t="s">
        <v>2561</v>
      </c>
      <c r="D2316" s="3" t="s">
        <v>7690</v>
      </c>
      <c r="E2316" s="3" t="s">
        <v>7689</v>
      </c>
      <c r="J2316" s="9" t="s">
        <v>25</v>
      </c>
      <c r="L2316" s="9">
        <v>1</v>
      </c>
      <c r="M2316" s="9">
        <v>3</v>
      </c>
      <c r="N2316" s="9" t="s">
        <v>12087</v>
      </c>
      <c r="O2316" s="9" t="s">
        <v>12079</v>
      </c>
      <c r="Q2316" s="10"/>
      <c r="S2316" s="9">
        <v>5676</v>
      </c>
      <c r="U2316" s="9" t="str">
        <f t="shared" ca="1" si="92"/>
        <v/>
      </c>
      <c r="V2316" s="9" t="str">
        <f t="shared" ca="1" si="93"/>
        <v/>
      </c>
      <c r="AG2316" s="9" t="s">
        <v>19</v>
      </c>
    </row>
    <row r="2317" spans="1:33">
      <c r="A2317" s="3" t="s">
        <v>2561</v>
      </c>
      <c r="D2317" s="3" t="s">
        <v>117</v>
      </c>
      <c r="E2317" s="3" t="s">
        <v>118</v>
      </c>
      <c r="J2317" s="9" t="s">
        <v>12118</v>
      </c>
      <c r="Q2317" s="10"/>
      <c r="T2317" s="9" t="s">
        <v>12131</v>
      </c>
      <c r="U2317" s="9" t="str">
        <f t="shared" ca="1" si="92"/>
        <v/>
      </c>
      <c r="V2317" s="9" t="str">
        <f t="shared" ca="1" si="93"/>
        <v/>
      </c>
      <c r="AC2317" s="9" t="s">
        <v>12740</v>
      </c>
      <c r="AD2317" s="9" t="s">
        <v>19</v>
      </c>
    </row>
    <row r="2318" spans="1:33">
      <c r="A2318" s="3" t="s">
        <v>2562</v>
      </c>
      <c r="D2318" s="3" t="s">
        <v>7691</v>
      </c>
      <c r="E2318" s="3" t="s">
        <v>7692</v>
      </c>
      <c r="I2318" s="4"/>
      <c r="J2318" s="9" t="s">
        <v>25</v>
      </c>
      <c r="L2318" s="9">
        <v>1</v>
      </c>
      <c r="M2318" s="9">
        <v>1</v>
      </c>
      <c r="N2318" s="9" t="s">
        <v>12078</v>
      </c>
      <c r="O2318" s="9" t="s">
        <v>12119</v>
      </c>
      <c r="Q2318" s="10"/>
      <c r="S2318" s="9">
        <v>11843</v>
      </c>
      <c r="U2318" s="9" t="str">
        <f t="shared" ref="U2318:U2381" ca="1" si="94">IF(ISNUMBER(T2318),VALUE(MID(_xlfn.FORMULATEXT(T2318),SEARCH("-",_xlfn.FORMULATEXT(T2318))+1,LEN(_xlfn.FORMULATEXT(T2318))-SEARCH("-",_xlfn.FORMULATEXT(T2318)))), "")</f>
        <v/>
      </c>
      <c r="V2318" s="9" t="str">
        <f t="shared" ref="V2318:V2381" ca="1" si="95">IF(ISNUMBER(T2318), VALUE(MID(_xlfn.FORMULATEXT(T2318), 2, SEARCH("-", _xlfn.FORMULATEXT(T2318)) - 2)), "")</f>
        <v/>
      </c>
      <c r="AG2318" s="9" t="s">
        <v>19</v>
      </c>
    </row>
    <row r="2319" spans="1:33" ht="29">
      <c r="A2319" s="3" t="s">
        <v>2562</v>
      </c>
      <c r="D2319" s="3" t="s">
        <v>7693</v>
      </c>
      <c r="E2319" s="3" t="s">
        <v>7694</v>
      </c>
      <c r="J2319" s="9" t="s">
        <v>24</v>
      </c>
      <c r="L2319" s="9">
        <v>1</v>
      </c>
      <c r="M2319" s="9">
        <v>3</v>
      </c>
      <c r="N2319" s="9" t="s">
        <v>12084</v>
      </c>
      <c r="O2319" s="9" t="s">
        <v>12079</v>
      </c>
      <c r="Q2319" s="10"/>
      <c r="S2319" s="9">
        <v>50</v>
      </c>
      <c r="U2319" s="9" t="str">
        <f t="shared" ca="1" si="94"/>
        <v/>
      </c>
      <c r="V2319" s="9" t="str">
        <f t="shared" ca="1" si="95"/>
        <v/>
      </c>
      <c r="AG2319" s="9" t="s">
        <v>20</v>
      </c>
    </row>
    <row r="2320" spans="1:33">
      <c r="A2320" s="3" t="s">
        <v>2562</v>
      </c>
      <c r="D2320" s="3" t="s">
        <v>697</v>
      </c>
      <c r="E2320" s="3" t="s">
        <v>698</v>
      </c>
      <c r="F2320" t="s">
        <v>11</v>
      </c>
      <c r="Q2320" s="10"/>
      <c r="U2320" s="9" t="str">
        <f t="shared" ca="1" si="94"/>
        <v/>
      </c>
      <c r="V2320" s="9" t="str">
        <f t="shared" ca="1" si="95"/>
        <v/>
      </c>
    </row>
    <row r="2321" spans="1:33">
      <c r="A2321" s="3" t="s">
        <v>2562</v>
      </c>
      <c r="D2321" s="3" t="s">
        <v>2563</v>
      </c>
      <c r="E2321" s="3" t="s">
        <v>2564</v>
      </c>
      <c r="J2321" s="9" t="s">
        <v>12118</v>
      </c>
      <c r="Q2321" s="10"/>
      <c r="T2321" s="9" t="s">
        <v>12131</v>
      </c>
      <c r="U2321" s="9" t="str">
        <f t="shared" ca="1" si="94"/>
        <v/>
      </c>
      <c r="V2321" s="9" t="str">
        <f t="shared" ca="1" si="95"/>
        <v/>
      </c>
      <c r="AC2321" s="9" t="s">
        <v>12144</v>
      </c>
      <c r="AD2321" s="9" t="s">
        <v>19</v>
      </c>
      <c r="AE2321" s="9" t="s">
        <v>12077</v>
      </c>
    </row>
    <row r="2322" spans="1:33">
      <c r="A2322" s="3" t="s">
        <v>2565</v>
      </c>
      <c r="D2322" s="3" t="s">
        <v>259</v>
      </c>
      <c r="E2322" s="3" t="s">
        <v>260</v>
      </c>
      <c r="J2322" s="9" t="s">
        <v>12118</v>
      </c>
      <c r="Q2322" s="10"/>
      <c r="T2322" s="9" t="s">
        <v>12131</v>
      </c>
      <c r="U2322" s="9" t="str">
        <f t="shared" ca="1" si="94"/>
        <v/>
      </c>
      <c r="V2322" s="9" t="str">
        <f t="shared" ca="1" si="95"/>
        <v/>
      </c>
      <c r="AC2322" s="9" t="s">
        <v>12397</v>
      </c>
      <c r="AD2322" s="9" t="s">
        <v>19</v>
      </c>
    </row>
    <row r="2323" spans="1:33" ht="29">
      <c r="A2323" s="3" t="s">
        <v>2565</v>
      </c>
      <c r="D2323" s="3" t="s">
        <v>7695</v>
      </c>
      <c r="E2323" s="3" t="s">
        <v>7696</v>
      </c>
      <c r="J2323" s="9" t="s">
        <v>12120</v>
      </c>
      <c r="Q2323" s="10"/>
      <c r="U2323" s="9" t="str">
        <f t="shared" ca="1" si="94"/>
        <v/>
      </c>
      <c r="V2323" s="9" t="str">
        <f t="shared" ca="1" si="95"/>
        <v/>
      </c>
      <c r="AC2323" s="9" t="s">
        <v>12130</v>
      </c>
      <c r="AD2323" s="9" t="s">
        <v>20</v>
      </c>
      <c r="AG2323" s="9" t="s">
        <v>19</v>
      </c>
    </row>
    <row r="2324" spans="1:33" ht="29">
      <c r="A2324" s="3" t="s">
        <v>2565</v>
      </c>
      <c r="D2324" s="3" t="s">
        <v>7698</v>
      </c>
      <c r="E2324" s="3" t="s">
        <v>7697</v>
      </c>
      <c r="J2324" s="9" t="s">
        <v>12120</v>
      </c>
      <c r="Q2324" s="10"/>
      <c r="U2324" s="9" t="str">
        <f t="shared" ca="1" si="94"/>
        <v/>
      </c>
      <c r="V2324" s="9" t="str">
        <f t="shared" ca="1" si="95"/>
        <v/>
      </c>
      <c r="AE2324" s="9" t="s">
        <v>12083</v>
      </c>
    </row>
    <row r="2325" spans="1:33">
      <c r="A2325" s="3" t="s">
        <v>2565</v>
      </c>
      <c r="D2325" s="3" t="s">
        <v>7699</v>
      </c>
      <c r="E2325" s="3" t="s">
        <v>7700</v>
      </c>
      <c r="J2325" s="9" t="s">
        <v>25</v>
      </c>
      <c r="L2325" s="9">
        <v>1</v>
      </c>
      <c r="M2325" s="9">
        <v>3</v>
      </c>
      <c r="N2325" s="9" t="s">
        <v>12078</v>
      </c>
      <c r="O2325" s="9" t="s">
        <v>12079</v>
      </c>
      <c r="Q2325" s="10"/>
      <c r="S2325" s="9">
        <v>11843</v>
      </c>
      <c r="U2325" s="9" t="str">
        <f t="shared" ca="1" si="94"/>
        <v/>
      </c>
      <c r="V2325" s="9" t="str">
        <f t="shared" ca="1" si="95"/>
        <v/>
      </c>
      <c r="AG2325" s="9" t="s">
        <v>20</v>
      </c>
    </row>
    <row r="2326" spans="1:33">
      <c r="A2326" s="3" t="s">
        <v>2566</v>
      </c>
      <c r="D2326" s="3" t="s">
        <v>2568</v>
      </c>
      <c r="E2326" s="3" t="s">
        <v>7701</v>
      </c>
      <c r="G2326" t="s">
        <v>19</v>
      </c>
      <c r="J2326" s="9" t="s">
        <v>12118</v>
      </c>
      <c r="Q2326" s="10"/>
      <c r="T2326" s="9" t="s">
        <v>12131</v>
      </c>
      <c r="U2326" s="9" t="str">
        <f t="shared" ca="1" si="94"/>
        <v/>
      </c>
      <c r="V2326" s="9" t="str">
        <f t="shared" ca="1" si="95"/>
        <v/>
      </c>
      <c r="AE2326" s="9" t="s">
        <v>12086</v>
      </c>
    </row>
    <row r="2327" spans="1:33">
      <c r="A2327" s="3" t="s">
        <v>2569</v>
      </c>
      <c r="D2327" s="3" t="s">
        <v>7702</v>
      </c>
      <c r="E2327" s="3" t="s">
        <v>7703</v>
      </c>
      <c r="J2327" s="9" t="s">
        <v>12118</v>
      </c>
      <c r="Q2327" s="10"/>
      <c r="T2327" s="9">
        <f>485-444</f>
        <v>41</v>
      </c>
      <c r="U2327" s="9">
        <f t="shared" ca="1" si="94"/>
        <v>444</v>
      </c>
      <c r="V2327" s="9">
        <f t="shared" ca="1" si="95"/>
        <v>485</v>
      </c>
      <c r="AG2327" s="9" t="s">
        <v>13141</v>
      </c>
    </row>
    <row r="2328" spans="1:33">
      <c r="A2328" s="3" t="s">
        <v>2570</v>
      </c>
      <c r="D2328" s="3" t="s">
        <v>430</v>
      </c>
      <c r="E2328" s="3" t="s">
        <v>431</v>
      </c>
      <c r="J2328" s="9" t="s">
        <v>12118</v>
      </c>
      <c r="Q2328" s="10"/>
      <c r="T2328" s="9" t="s">
        <v>12131</v>
      </c>
      <c r="U2328" s="9" t="str">
        <f t="shared" ca="1" si="94"/>
        <v/>
      </c>
      <c r="V2328" s="9" t="str">
        <f t="shared" ca="1" si="95"/>
        <v/>
      </c>
      <c r="AC2328" s="9" t="s">
        <v>12130</v>
      </c>
      <c r="AD2328" s="9" t="s">
        <v>19</v>
      </c>
      <c r="AE2328" s="9" t="s">
        <v>12086</v>
      </c>
    </row>
    <row r="2329" spans="1:33">
      <c r="A2329" s="3" t="s">
        <v>2570</v>
      </c>
      <c r="D2329" s="3" t="s">
        <v>7705</v>
      </c>
      <c r="E2329" s="3" t="s">
        <v>7704</v>
      </c>
      <c r="J2329" s="9" t="s">
        <v>24</v>
      </c>
      <c r="L2329" s="9">
        <v>1</v>
      </c>
      <c r="M2329" s="9">
        <v>2</v>
      </c>
      <c r="N2329" s="9" t="s">
        <v>12087</v>
      </c>
      <c r="O2329" s="9" t="s">
        <v>12119</v>
      </c>
      <c r="Q2329" s="10"/>
      <c r="S2329" s="9">
        <v>1966</v>
      </c>
      <c r="U2329" s="9" t="str">
        <f t="shared" ca="1" si="94"/>
        <v/>
      </c>
      <c r="V2329" s="9" t="str">
        <f t="shared" ca="1" si="95"/>
        <v/>
      </c>
      <c r="AG2329" s="9" t="s">
        <v>20</v>
      </c>
    </row>
    <row r="2330" spans="1:33">
      <c r="A2330" s="3" t="s">
        <v>2570</v>
      </c>
      <c r="D2330" s="3" t="s">
        <v>7706</v>
      </c>
      <c r="E2330" s="3" t="s">
        <v>7707</v>
      </c>
      <c r="J2330" s="9" t="s">
        <v>12120</v>
      </c>
      <c r="Q2330" s="10"/>
      <c r="U2330" s="9" t="str">
        <f t="shared" ca="1" si="94"/>
        <v/>
      </c>
      <c r="V2330" s="9" t="str">
        <f t="shared" ca="1" si="95"/>
        <v/>
      </c>
      <c r="AG2330" s="9" t="s">
        <v>19</v>
      </c>
    </row>
    <row r="2331" spans="1:33">
      <c r="A2331" s="3" t="s">
        <v>2571</v>
      </c>
      <c r="D2331" s="3" t="s">
        <v>2572</v>
      </c>
      <c r="E2331" s="3" t="s">
        <v>2573</v>
      </c>
      <c r="J2331" s="9" t="s">
        <v>12120</v>
      </c>
      <c r="Q2331" s="10"/>
      <c r="U2331" s="9" t="str">
        <f t="shared" ca="1" si="94"/>
        <v/>
      </c>
      <c r="V2331" s="9" t="str">
        <f t="shared" ca="1" si="95"/>
        <v/>
      </c>
      <c r="AC2331" s="9" t="s">
        <v>12134</v>
      </c>
      <c r="AD2331" s="9" t="s">
        <v>19</v>
      </c>
    </row>
    <row r="2332" spans="1:33">
      <c r="A2332" s="3" t="s">
        <v>2571</v>
      </c>
      <c r="D2332" s="3" t="s">
        <v>2574</v>
      </c>
      <c r="E2332" s="3" t="s">
        <v>2575</v>
      </c>
      <c r="J2332" s="9" t="s">
        <v>12120</v>
      </c>
      <c r="Q2332" s="10"/>
      <c r="U2332" s="9" t="str">
        <f t="shared" ca="1" si="94"/>
        <v/>
      </c>
      <c r="V2332" s="9" t="str">
        <f t="shared" ca="1" si="95"/>
        <v/>
      </c>
      <c r="AE2332" s="9" t="s">
        <v>12077</v>
      </c>
    </row>
    <row r="2333" spans="1:33">
      <c r="A2333" s="3" t="s">
        <v>2576</v>
      </c>
      <c r="D2333" s="3" t="s">
        <v>7709</v>
      </c>
      <c r="E2333" s="3" t="s">
        <v>7708</v>
      </c>
      <c r="J2333" s="9" t="s">
        <v>12118</v>
      </c>
      <c r="Q2333" s="10"/>
      <c r="R2333" s="9" t="s">
        <v>12074</v>
      </c>
      <c r="T2333" s="9">
        <f>227-193</f>
        <v>34</v>
      </c>
      <c r="U2333" s="9">
        <f t="shared" ca="1" si="94"/>
        <v>193</v>
      </c>
      <c r="V2333" s="9">
        <f t="shared" ca="1" si="95"/>
        <v>227</v>
      </c>
      <c r="AG2333" s="9" t="s">
        <v>19</v>
      </c>
    </row>
    <row r="2334" spans="1:33">
      <c r="A2334" s="3" t="s">
        <v>2577</v>
      </c>
      <c r="D2334" s="3" t="s">
        <v>2578</v>
      </c>
      <c r="E2334" s="3" t="s">
        <v>2579</v>
      </c>
      <c r="J2334" s="9" t="s">
        <v>12120</v>
      </c>
      <c r="Q2334" s="10"/>
      <c r="U2334" s="9" t="str">
        <f t="shared" ca="1" si="94"/>
        <v/>
      </c>
      <c r="V2334" s="9" t="str">
        <f t="shared" ca="1" si="95"/>
        <v/>
      </c>
      <c r="AC2334" s="9" t="s">
        <v>12130</v>
      </c>
      <c r="AD2334" s="9" t="s">
        <v>19</v>
      </c>
    </row>
    <row r="2335" spans="1:33">
      <c r="A2335" s="3" t="s">
        <v>2580</v>
      </c>
      <c r="D2335" s="3" t="s">
        <v>7710</v>
      </c>
      <c r="E2335" s="3" t="s">
        <v>7711</v>
      </c>
      <c r="J2335" s="9" t="s">
        <v>12120</v>
      </c>
      <c r="Q2335" s="10"/>
      <c r="U2335" s="9" t="str">
        <f t="shared" ca="1" si="94"/>
        <v/>
      </c>
      <c r="V2335" s="9" t="str">
        <f t="shared" ca="1" si="95"/>
        <v/>
      </c>
      <c r="AE2335" s="9" t="s">
        <v>12089</v>
      </c>
    </row>
    <row r="2336" spans="1:33">
      <c r="A2336" s="3" t="s">
        <v>2580</v>
      </c>
      <c r="D2336" s="3" t="s">
        <v>2581</v>
      </c>
      <c r="E2336" s="3" t="s">
        <v>2581</v>
      </c>
      <c r="F2336" t="s">
        <v>11</v>
      </c>
      <c r="Q2336" s="10"/>
      <c r="U2336" s="9" t="str">
        <f t="shared" ca="1" si="94"/>
        <v/>
      </c>
      <c r="V2336" s="9" t="str">
        <f t="shared" ca="1" si="95"/>
        <v/>
      </c>
    </row>
    <row r="2337" spans="1:33">
      <c r="A2337" s="3" t="s">
        <v>2580</v>
      </c>
      <c r="D2337" s="3" t="s">
        <v>2582</v>
      </c>
      <c r="E2337" s="3" t="s">
        <v>2583</v>
      </c>
      <c r="J2337" s="9" t="s">
        <v>12120</v>
      </c>
      <c r="Q2337" s="10"/>
      <c r="U2337" s="9" t="str">
        <f t="shared" ca="1" si="94"/>
        <v/>
      </c>
      <c r="V2337" s="9" t="str">
        <f t="shared" ca="1" si="95"/>
        <v/>
      </c>
      <c r="AC2337" s="9" t="s">
        <v>12740</v>
      </c>
      <c r="AD2337" s="9" t="s">
        <v>19</v>
      </c>
    </row>
    <row r="2338" spans="1:33">
      <c r="A2338" s="3" t="s">
        <v>2584</v>
      </c>
      <c r="D2338" s="3" t="s">
        <v>7712</v>
      </c>
      <c r="E2338" s="3" t="s">
        <v>7713</v>
      </c>
      <c r="J2338" s="9" t="s">
        <v>25</v>
      </c>
      <c r="L2338" s="9">
        <v>1</v>
      </c>
      <c r="M2338" s="9">
        <v>3</v>
      </c>
      <c r="N2338" s="9" t="s">
        <v>12078</v>
      </c>
      <c r="O2338" s="9" t="s">
        <v>12119</v>
      </c>
      <c r="Q2338" s="10"/>
      <c r="S2338" s="9">
        <v>11843</v>
      </c>
      <c r="U2338" s="9" t="str">
        <f t="shared" ca="1" si="94"/>
        <v/>
      </c>
      <c r="V2338" s="9" t="str">
        <f t="shared" ca="1" si="95"/>
        <v/>
      </c>
      <c r="AG2338" s="9" t="s">
        <v>20</v>
      </c>
    </row>
    <row r="2339" spans="1:33">
      <c r="A2339" s="3" t="s">
        <v>2584</v>
      </c>
      <c r="D2339" s="3" t="s">
        <v>7714</v>
      </c>
      <c r="E2339" s="3" t="s">
        <v>7715</v>
      </c>
      <c r="J2339" s="9" t="s">
        <v>12118</v>
      </c>
      <c r="Q2339" s="10"/>
      <c r="T2339" s="9" t="s">
        <v>12131</v>
      </c>
      <c r="U2339" s="9" t="str">
        <f t="shared" ca="1" si="94"/>
        <v/>
      </c>
      <c r="V2339" s="9" t="str">
        <f t="shared" ca="1" si="95"/>
        <v/>
      </c>
      <c r="AB2339" s="9" t="s">
        <v>12124</v>
      </c>
      <c r="AD2339" s="9" t="s">
        <v>19</v>
      </c>
      <c r="AE2339" s="9" t="s">
        <v>12086</v>
      </c>
    </row>
    <row r="2340" spans="1:33">
      <c r="A2340" s="3" t="s">
        <v>2584</v>
      </c>
      <c r="D2340" s="3" t="s">
        <v>7716</v>
      </c>
      <c r="E2340" s="3" t="s">
        <v>7717</v>
      </c>
      <c r="J2340" s="9" t="s">
        <v>12120</v>
      </c>
      <c r="Q2340" s="10"/>
      <c r="U2340" s="9" t="str">
        <f t="shared" ca="1" si="94"/>
        <v/>
      </c>
      <c r="V2340" s="9" t="str">
        <f t="shared" ca="1" si="95"/>
        <v/>
      </c>
      <c r="AC2340" s="9" t="s">
        <v>12740</v>
      </c>
      <c r="AD2340" s="9" t="s">
        <v>19</v>
      </c>
    </row>
    <row r="2341" spans="1:33">
      <c r="A2341" s="3" t="s">
        <v>2585</v>
      </c>
      <c r="D2341" s="3" t="s">
        <v>7718</v>
      </c>
      <c r="E2341" s="3" t="s">
        <v>7719</v>
      </c>
      <c r="J2341" s="9" t="s">
        <v>12120</v>
      </c>
      <c r="Q2341" s="10"/>
      <c r="U2341" s="9" t="str">
        <f t="shared" ca="1" si="94"/>
        <v/>
      </c>
      <c r="V2341" s="9" t="str">
        <f t="shared" ca="1" si="95"/>
        <v/>
      </c>
      <c r="AB2341" s="9" t="s">
        <v>12738</v>
      </c>
      <c r="AD2341" s="9" t="s">
        <v>19</v>
      </c>
    </row>
    <row r="2342" spans="1:33">
      <c r="A2342" s="3" t="s">
        <v>2586</v>
      </c>
      <c r="D2342" s="3" t="s">
        <v>7720</v>
      </c>
      <c r="E2342" s="3" t="s">
        <v>7721</v>
      </c>
      <c r="J2342" s="9" t="s">
        <v>12120</v>
      </c>
      <c r="Q2342" s="10"/>
      <c r="U2342" s="9" t="str">
        <f t="shared" ca="1" si="94"/>
        <v/>
      </c>
      <c r="V2342" s="9" t="str">
        <f t="shared" ca="1" si="95"/>
        <v/>
      </c>
      <c r="AE2342" s="9" t="s">
        <v>12089</v>
      </c>
    </row>
    <row r="2343" spans="1:33" ht="29">
      <c r="A2343" s="3" t="s">
        <v>2587</v>
      </c>
      <c r="D2343" s="3" t="s">
        <v>12398</v>
      </c>
      <c r="E2343" s="3" t="s">
        <v>12399</v>
      </c>
      <c r="G2343" t="s">
        <v>19</v>
      </c>
      <c r="J2343" s="9" t="s">
        <v>12120</v>
      </c>
      <c r="Q2343" s="10"/>
      <c r="U2343" s="9" t="str">
        <f t="shared" ca="1" si="94"/>
        <v/>
      </c>
      <c r="V2343" s="9" t="str">
        <f t="shared" ca="1" si="95"/>
        <v/>
      </c>
      <c r="AE2343" s="9" t="s">
        <v>12089</v>
      </c>
    </row>
    <row r="2344" spans="1:33">
      <c r="A2344" s="3" t="s">
        <v>2588</v>
      </c>
      <c r="D2344" s="3" t="s">
        <v>309</v>
      </c>
      <c r="E2344" s="3" t="s">
        <v>521</v>
      </c>
      <c r="J2344" s="9" t="s">
        <v>12120</v>
      </c>
      <c r="Q2344" s="10"/>
      <c r="U2344" s="9" t="str">
        <f t="shared" ca="1" si="94"/>
        <v/>
      </c>
      <c r="V2344" s="9" t="str">
        <f t="shared" ca="1" si="95"/>
        <v/>
      </c>
      <c r="AC2344" s="9" t="s">
        <v>12173</v>
      </c>
      <c r="AD2344" s="9" t="s">
        <v>19</v>
      </c>
      <c r="AE2344" s="9" t="s">
        <v>12089</v>
      </c>
    </row>
    <row r="2345" spans="1:33">
      <c r="A2345" s="3" t="s">
        <v>2588</v>
      </c>
      <c r="D2345" s="3" t="s">
        <v>1923</v>
      </c>
      <c r="E2345" s="3" t="s">
        <v>518</v>
      </c>
      <c r="J2345" s="9" t="s">
        <v>12120</v>
      </c>
      <c r="Q2345" s="10"/>
      <c r="U2345" s="9" t="str">
        <f t="shared" ca="1" si="94"/>
        <v/>
      </c>
      <c r="V2345" s="9" t="str">
        <f t="shared" ca="1" si="95"/>
        <v/>
      </c>
      <c r="AC2345" s="9" t="s">
        <v>12134</v>
      </c>
      <c r="AD2345" s="9" t="s">
        <v>19</v>
      </c>
      <c r="AE2345" s="9" t="s">
        <v>12086</v>
      </c>
    </row>
    <row r="2346" spans="1:33">
      <c r="A2346" s="3" t="s">
        <v>2589</v>
      </c>
      <c r="D2346" s="3" t="s">
        <v>7722</v>
      </c>
      <c r="E2346" s="3" t="s">
        <v>7723</v>
      </c>
      <c r="J2346" s="9" t="s">
        <v>12118</v>
      </c>
      <c r="Q2346" s="10"/>
      <c r="T2346" s="9">
        <f>3-92</f>
        <v>-89</v>
      </c>
      <c r="U2346" s="9">
        <f t="shared" ca="1" si="94"/>
        <v>92</v>
      </c>
      <c r="V2346" s="9">
        <f t="shared" ca="1" si="95"/>
        <v>3</v>
      </c>
      <c r="AG2346" s="9" t="s">
        <v>20</v>
      </c>
    </row>
    <row r="2347" spans="1:33">
      <c r="A2347" s="3" t="s">
        <v>2590</v>
      </c>
      <c r="D2347" s="3" t="s">
        <v>7725</v>
      </c>
      <c r="E2347" s="3" t="s">
        <v>7724</v>
      </c>
      <c r="J2347" s="9" t="s">
        <v>24</v>
      </c>
      <c r="L2347" s="9">
        <v>1</v>
      </c>
      <c r="M2347" s="9">
        <v>3</v>
      </c>
      <c r="N2347" s="9" t="s">
        <v>12078</v>
      </c>
      <c r="O2347" s="9" t="s">
        <v>12073</v>
      </c>
      <c r="P2347" s="9" t="s">
        <v>12142</v>
      </c>
      <c r="Q2347" s="10" t="s">
        <v>12143</v>
      </c>
      <c r="R2347" s="9" t="s">
        <v>12074</v>
      </c>
      <c r="S2347" s="9">
        <v>11843</v>
      </c>
      <c r="U2347" s="9" t="str">
        <f t="shared" ca="1" si="94"/>
        <v/>
      </c>
      <c r="V2347" s="9" t="str">
        <f t="shared" ca="1" si="95"/>
        <v/>
      </c>
      <c r="AE2347" s="9" t="s">
        <v>12083</v>
      </c>
    </row>
    <row r="2348" spans="1:33">
      <c r="A2348" s="3" t="s">
        <v>2591</v>
      </c>
      <c r="D2348" s="3" t="s">
        <v>2592</v>
      </c>
      <c r="E2348" s="3" t="s">
        <v>7726</v>
      </c>
      <c r="F2348" t="s">
        <v>11</v>
      </c>
      <c r="G2348" t="s">
        <v>19</v>
      </c>
      <c r="Q2348" s="10"/>
      <c r="U2348" s="9" t="str">
        <f t="shared" ca="1" si="94"/>
        <v/>
      </c>
      <c r="V2348" s="9" t="str">
        <f t="shared" ca="1" si="95"/>
        <v/>
      </c>
    </row>
    <row r="2349" spans="1:33">
      <c r="A2349" s="3" t="s">
        <v>2593</v>
      </c>
      <c r="D2349" s="3" t="s">
        <v>7727</v>
      </c>
      <c r="E2349" s="3" t="s">
        <v>2594</v>
      </c>
      <c r="J2349" s="9" t="s">
        <v>12118</v>
      </c>
      <c r="Q2349" s="10"/>
      <c r="T2349" s="9" t="s">
        <v>12119</v>
      </c>
      <c r="U2349" s="9" t="str">
        <f t="shared" ca="1" si="94"/>
        <v/>
      </c>
      <c r="V2349" s="9" t="str">
        <f t="shared" ca="1" si="95"/>
        <v/>
      </c>
      <c r="AC2349" s="9" t="s">
        <v>12130</v>
      </c>
      <c r="AD2349" s="9" t="s">
        <v>19</v>
      </c>
      <c r="AE2349" s="9" t="s">
        <v>12086</v>
      </c>
    </row>
    <row r="2350" spans="1:33" ht="43.5">
      <c r="A2350" s="3" t="s">
        <v>2595</v>
      </c>
      <c r="D2350" s="3" t="s">
        <v>12400</v>
      </c>
      <c r="E2350" s="3" t="s">
        <v>12401</v>
      </c>
      <c r="G2350" t="s">
        <v>20</v>
      </c>
      <c r="I2350" t="s">
        <v>7729</v>
      </c>
      <c r="J2350" s="9" t="s">
        <v>12120</v>
      </c>
      <c r="Q2350" s="10"/>
      <c r="U2350" s="9" t="str">
        <f t="shared" ca="1" si="94"/>
        <v/>
      </c>
      <c r="V2350" s="9" t="str">
        <f t="shared" ca="1" si="95"/>
        <v/>
      </c>
      <c r="AG2350" s="9" t="s">
        <v>20</v>
      </c>
    </row>
    <row r="2351" spans="1:33" ht="43.5">
      <c r="A2351" s="3" t="s">
        <v>2595</v>
      </c>
      <c r="D2351" s="3" t="s">
        <v>12402</v>
      </c>
      <c r="E2351" s="3" t="s">
        <v>7728</v>
      </c>
      <c r="J2351" s="9" t="s">
        <v>25</v>
      </c>
      <c r="L2351" s="9">
        <v>1</v>
      </c>
      <c r="M2351" s="9">
        <v>5</v>
      </c>
      <c r="N2351" s="9" t="s">
        <v>12125</v>
      </c>
      <c r="O2351" s="9" t="s">
        <v>12073</v>
      </c>
      <c r="P2351" s="9" t="s">
        <v>12203</v>
      </c>
      <c r="Q2351" s="10" t="s">
        <v>12403</v>
      </c>
      <c r="S2351" s="9">
        <v>1565</v>
      </c>
      <c r="U2351" s="9" t="str">
        <f t="shared" ca="1" si="94"/>
        <v/>
      </c>
      <c r="V2351" s="9" t="str">
        <f t="shared" ca="1" si="95"/>
        <v/>
      </c>
      <c r="AE2351" s="9" t="s">
        <v>12089</v>
      </c>
    </row>
    <row r="2352" spans="1:33">
      <c r="A2352" s="3" t="s">
        <v>2596</v>
      </c>
      <c r="D2352" s="3" t="s">
        <v>7730</v>
      </c>
      <c r="E2352" s="3" t="s">
        <v>7731</v>
      </c>
      <c r="J2352" s="9" t="s">
        <v>12120</v>
      </c>
      <c r="Q2352" s="10"/>
      <c r="U2352" s="9" t="str">
        <f t="shared" ca="1" si="94"/>
        <v/>
      </c>
      <c r="V2352" s="9" t="str">
        <f t="shared" ca="1" si="95"/>
        <v/>
      </c>
      <c r="AB2352" s="9" t="s">
        <v>12738</v>
      </c>
      <c r="AD2352" s="9" t="s">
        <v>19</v>
      </c>
    </row>
    <row r="2353" spans="1:33">
      <c r="A2353" s="3" t="s">
        <v>2597</v>
      </c>
      <c r="D2353" s="3" t="s">
        <v>7732</v>
      </c>
      <c r="E2353" s="3" t="s">
        <v>7733</v>
      </c>
      <c r="J2353" s="9" t="s">
        <v>12118</v>
      </c>
      <c r="Q2353" s="10"/>
      <c r="T2353" s="9" t="s">
        <v>12131</v>
      </c>
      <c r="U2353" s="9" t="str">
        <f t="shared" ca="1" si="94"/>
        <v/>
      </c>
      <c r="V2353" s="9" t="str">
        <f t="shared" ca="1" si="95"/>
        <v/>
      </c>
      <c r="AE2353" s="9" t="s">
        <v>12077</v>
      </c>
    </row>
    <row r="2354" spans="1:33">
      <c r="A2354" s="3" t="s">
        <v>2598</v>
      </c>
      <c r="D2354" s="3" t="s">
        <v>2599</v>
      </c>
      <c r="E2354" s="3" t="s">
        <v>2600</v>
      </c>
      <c r="J2354" s="9" t="s">
        <v>12118</v>
      </c>
      <c r="Q2354" s="10"/>
      <c r="T2354" s="9" t="s">
        <v>12131</v>
      </c>
      <c r="U2354" s="9" t="str">
        <f t="shared" ca="1" si="94"/>
        <v/>
      </c>
      <c r="V2354" s="9" t="str">
        <f t="shared" ca="1" si="95"/>
        <v/>
      </c>
      <c r="AC2354" s="9" t="s">
        <v>12130</v>
      </c>
      <c r="AD2354" s="9" t="s">
        <v>19</v>
      </c>
      <c r="AE2354" s="9" t="s">
        <v>12086</v>
      </c>
    </row>
    <row r="2355" spans="1:33">
      <c r="A2355" s="3" t="s">
        <v>2601</v>
      </c>
      <c r="D2355" s="3" t="s">
        <v>7734</v>
      </c>
      <c r="E2355" s="3" t="s">
        <v>7735</v>
      </c>
      <c r="F2355" t="s">
        <v>11</v>
      </c>
      <c r="G2355" t="s">
        <v>19</v>
      </c>
      <c r="Q2355" s="10"/>
      <c r="U2355" s="9" t="str">
        <f t="shared" ca="1" si="94"/>
        <v/>
      </c>
      <c r="V2355" s="9" t="str">
        <f t="shared" ca="1" si="95"/>
        <v/>
      </c>
    </row>
    <row r="2356" spans="1:33" ht="43.5">
      <c r="A2356" s="3" t="s">
        <v>2602</v>
      </c>
      <c r="D2356" s="3" t="s">
        <v>7736</v>
      </c>
      <c r="E2356" s="3" t="s">
        <v>7737</v>
      </c>
      <c r="J2356" s="9" t="s">
        <v>12118</v>
      </c>
      <c r="Q2356" s="10"/>
      <c r="T2356" s="9">
        <f>5676-526</f>
        <v>5150</v>
      </c>
      <c r="U2356" s="9">
        <f t="shared" ca="1" si="94"/>
        <v>526</v>
      </c>
      <c r="V2356" s="9">
        <f t="shared" ca="1" si="95"/>
        <v>5676</v>
      </c>
      <c r="AG2356" s="9" t="s">
        <v>19</v>
      </c>
    </row>
    <row r="2357" spans="1:33" ht="43.5">
      <c r="A2357" s="3" t="s">
        <v>2602</v>
      </c>
      <c r="D2357" s="3" t="s">
        <v>7738</v>
      </c>
      <c r="E2357" s="3" t="s">
        <v>7739</v>
      </c>
      <c r="J2357" s="9" t="s">
        <v>12120</v>
      </c>
      <c r="Q2357" s="10"/>
      <c r="U2357" s="9" t="str">
        <f t="shared" ca="1" si="94"/>
        <v/>
      </c>
      <c r="V2357" s="9" t="str">
        <f t="shared" ca="1" si="95"/>
        <v/>
      </c>
      <c r="AG2357" s="9" t="s">
        <v>20</v>
      </c>
    </row>
    <row r="2358" spans="1:33">
      <c r="A2358" s="3" t="s">
        <v>2603</v>
      </c>
      <c r="D2358" s="3" t="s">
        <v>1351</v>
      </c>
      <c r="E2358" s="3" t="s">
        <v>2604</v>
      </c>
      <c r="J2358" s="9" t="s">
        <v>12120</v>
      </c>
      <c r="Q2358" s="10"/>
      <c r="U2358" s="9" t="str">
        <f t="shared" ca="1" si="94"/>
        <v/>
      </c>
      <c r="V2358" s="9" t="str">
        <f t="shared" ca="1" si="95"/>
        <v/>
      </c>
      <c r="AC2358" s="9" t="s">
        <v>12740</v>
      </c>
      <c r="AD2358" s="9" t="s">
        <v>19</v>
      </c>
    </row>
    <row r="2359" spans="1:33">
      <c r="A2359" s="3" t="s">
        <v>2605</v>
      </c>
      <c r="D2359" s="3" t="s">
        <v>1212</v>
      </c>
      <c r="E2359" s="3" t="s">
        <v>1073</v>
      </c>
      <c r="J2359" s="9" t="s">
        <v>12120</v>
      </c>
      <c r="Q2359" s="10"/>
      <c r="U2359" s="9" t="str">
        <f t="shared" ca="1" si="94"/>
        <v/>
      </c>
      <c r="V2359" s="9" t="str">
        <f t="shared" ca="1" si="95"/>
        <v/>
      </c>
      <c r="AC2359" s="9" t="s">
        <v>12740</v>
      </c>
      <c r="AD2359" s="9" t="s">
        <v>19</v>
      </c>
    </row>
    <row r="2360" spans="1:33" ht="29">
      <c r="A2360" s="3" t="s">
        <v>2606</v>
      </c>
      <c r="D2360" s="3" t="s">
        <v>7740</v>
      </c>
      <c r="E2360" s="3" t="s">
        <v>7741</v>
      </c>
      <c r="J2360" s="9" t="s">
        <v>25</v>
      </c>
      <c r="L2360" s="9">
        <v>1</v>
      </c>
      <c r="M2360" s="9">
        <v>3</v>
      </c>
      <c r="N2360" s="9" t="s">
        <v>12078</v>
      </c>
      <c r="O2360" s="9" t="s">
        <v>12073</v>
      </c>
      <c r="P2360" s="9" t="s">
        <v>12149</v>
      </c>
      <c r="Q2360" s="10" t="s">
        <v>12143</v>
      </c>
      <c r="S2360" s="9">
        <v>11843</v>
      </c>
      <c r="U2360" s="9" t="str">
        <f t="shared" ca="1" si="94"/>
        <v/>
      </c>
      <c r="V2360" s="9" t="str">
        <f t="shared" ca="1" si="95"/>
        <v/>
      </c>
      <c r="AG2360" s="9" t="s">
        <v>20</v>
      </c>
    </row>
    <row r="2361" spans="1:33">
      <c r="A2361" s="3" t="s">
        <v>2606</v>
      </c>
      <c r="D2361" s="6" t="s">
        <v>7742</v>
      </c>
      <c r="E2361" s="3" t="s">
        <v>7743</v>
      </c>
      <c r="F2361" t="s">
        <v>11</v>
      </c>
      <c r="G2361" t="s">
        <v>19</v>
      </c>
      <c r="I2361" t="s">
        <v>7744</v>
      </c>
      <c r="J2361" s="9" t="s">
        <v>12121</v>
      </c>
      <c r="Q2361" s="10"/>
      <c r="T2361" s="9">
        <f xml:space="preserve"> 3-93</f>
        <v>-90</v>
      </c>
      <c r="U2361" s="9">
        <f t="shared" ca="1" si="94"/>
        <v>93</v>
      </c>
      <c r="V2361" s="9">
        <f t="shared" ca="1" si="95"/>
        <v>3</v>
      </c>
      <c r="AE2361" s="9" t="s">
        <v>12086</v>
      </c>
      <c r="AF2361" s="9" t="s">
        <v>19</v>
      </c>
    </row>
    <row r="2362" spans="1:33">
      <c r="A2362" s="3" t="s">
        <v>2607</v>
      </c>
      <c r="D2362" s="3" t="s">
        <v>7746</v>
      </c>
      <c r="E2362" s="3" t="s">
        <v>7745</v>
      </c>
      <c r="J2362" s="9" t="s">
        <v>25</v>
      </c>
      <c r="L2362" s="9">
        <v>1</v>
      </c>
      <c r="M2362" s="9">
        <v>3</v>
      </c>
      <c r="N2362" s="9" t="s">
        <v>12087</v>
      </c>
      <c r="O2362" s="9" t="s">
        <v>12079</v>
      </c>
      <c r="Q2362" s="10"/>
      <c r="S2362" s="9">
        <v>5676</v>
      </c>
      <c r="U2362" s="9" t="str">
        <f t="shared" ca="1" si="94"/>
        <v/>
      </c>
      <c r="V2362" s="9" t="str">
        <f t="shared" ca="1" si="95"/>
        <v/>
      </c>
      <c r="AG2362" s="9" t="s">
        <v>19</v>
      </c>
    </row>
    <row r="2363" spans="1:33">
      <c r="A2363" s="3" t="s">
        <v>2607</v>
      </c>
      <c r="D2363" s="3" t="s">
        <v>7747</v>
      </c>
      <c r="E2363" s="3" t="s">
        <v>7748</v>
      </c>
      <c r="J2363" s="9" t="s">
        <v>12121</v>
      </c>
      <c r="Q2363" s="10"/>
      <c r="T2363" s="9" t="s">
        <v>12131</v>
      </c>
      <c r="U2363" s="9" t="str">
        <f t="shared" ca="1" si="94"/>
        <v/>
      </c>
      <c r="V2363" s="9" t="str">
        <f t="shared" ca="1" si="95"/>
        <v/>
      </c>
      <c r="AC2363" s="9" t="s">
        <v>12134</v>
      </c>
      <c r="AD2363" s="9" t="s">
        <v>20</v>
      </c>
      <c r="AE2363" s="9" t="s">
        <v>12077</v>
      </c>
    </row>
    <row r="2364" spans="1:33">
      <c r="A2364" s="3" t="s">
        <v>2607</v>
      </c>
      <c r="D2364" s="3" t="s">
        <v>2608</v>
      </c>
      <c r="E2364" s="3" t="s">
        <v>2609</v>
      </c>
      <c r="J2364" s="9" t="s">
        <v>12118</v>
      </c>
      <c r="Q2364" s="10"/>
      <c r="T2364" s="9">
        <f>165-18</f>
        <v>147</v>
      </c>
      <c r="U2364" s="9">
        <f t="shared" ca="1" si="94"/>
        <v>18</v>
      </c>
      <c r="V2364" s="9">
        <f t="shared" ca="1" si="95"/>
        <v>165</v>
      </c>
      <c r="AG2364" s="9" t="s">
        <v>19</v>
      </c>
    </row>
    <row r="2365" spans="1:33">
      <c r="A2365" s="3" t="s">
        <v>2610</v>
      </c>
      <c r="D2365" s="6" t="s">
        <v>296</v>
      </c>
      <c r="E2365" s="3" t="s">
        <v>103</v>
      </c>
      <c r="F2365" t="s">
        <v>11</v>
      </c>
      <c r="G2365" t="s">
        <v>19</v>
      </c>
      <c r="J2365" s="9" t="s">
        <v>12120</v>
      </c>
      <c r="Q2365" s="10"/>
      <c r="U2365" s="9" t="str">
        <f t="shared" ca="1" si="94"/>
        <v/>
      </c>
      <c r="V2365" s="9" t="str">
        <f t="shared" ca="1" si="95"/>
        <v/>
      </c>
      <c r="AE2365" s="9" t="s">
        <v>12083</v>
      </c>
      <c r="AF2365" s="9" t="s">
        <v>19</v>
      </c>
    </row>
    <row r="2366" spans="1:33" ht="58">
      <c r="A2366" s="3" t="s">
        <v>2611</v>
      </c>
      <c r="D2366" s="3" t="s">
        <v>12752</v>
      </c>
      <c r="E2366" s="3" t="s">
        <v>12753</v>
      </c>
      <c r="F2366" t="s">
        <v>4774</v>
      </c>
      <c r="J2366" s="15" t="s">
        <v>27</v>
      </c>
      <c r="K2366" s="15"/>
      <c r="L2366" s="15"/>
      <c r="M2366" s="15"/>
      <c r="N2366" s="15"/>
      <c r="O2366" s="15"/>
      <c r="P2366" s="15"/>
      <c r="Q2366" s="16"/>
      <c r="R2366" s="15"/>
      <c r="S2366" s="15"/>
      <c r="T2366" s="15"/>
      <c r="U2366" s="15" t="str">
        <f t="shared" ca="1" si="94"/>
        <v/>
      </c>
      <c r="V2366" s="15" t="str">
        <f t="shared" ca="1" si="95"/>
        <v/>
      </c>
      <c r="W2366" s="15"/>
      <c r="X2366" s="15"/>
      <c r="Y2366" s="15"/>
      <c r="Z2366" s="15"/>
      <c r="AA2366" s="15"/>
      <c r="AB2366" s="15"/>
      <c r="AC2366" s="15"/>
      <c r="AD2366" s="15"/>
      <c r="AE2366" s="15"/>
      <c r="AF2366" s="15" t="s">
        <v>19</v>
      </c>
      <c r="AG2366" s="15"/>
    </row>
    <row r="2367" spans="1:33" ht="58">
      <c r="A2367" s="3" t="s">
        <v>2611</v>
      </c>
      <c r="D2367" s="3" t="s">
        <v>12754</v>
      </c>
      <c r="E2367" s="3" t="s">
        <v>12753</v>
      </c>
      <c r="F2367" t="s">
        <v>4774</v>
      </c>
      <c r="J2367" s="9" t="s">
        <v>25</v>
      </c>
      <c r="L2367" s="9">
        <v>1</v>
      </c>
      <c r="M2367" s="9">
        <v>7</v>
      </c>
      <c r="N2367" s="9" t="s">
        <v>12092</v>
      </c>
      <c r="O2367" s="9" t="s">
        <v>12079</v>
      </c>
      <c r="Q2367" s="10"/>
      <c r="S2367" s="9">
        <v>0</v>
      </c>
      <c r="U2367" s="9" t="str">
        <f t="shared" ca="1" si="94"/>
        <v/>
      </c>
      <c r="V2367" s="9" t="str">
        <f t="shared" ca="1" si="95"/>
        <v/>
      </c>
    </row>
    <row r="2368" spans="1:33" ht="58">
      <c r="A2368" s="3" t="s">
        <v>2611</v>
      </c>
      <c r="D2368" s="3" t="s">
        <v>12756</v>
      </c>
      <c r="E2368" s="3" t="s">
        <v>12755</v>
      </c>
      <c r="F2368" t="s">
        <v>4774</v>
      </c>
      <c r="I2368" t="s">
        <v>5457</v>
      </c>
      <c r="J2368" s="9" t="s">
        <v>26</v>
      </c>
      <c r="Q2368" s="10"/>
      <c r="U2368" s="9" t="str">
        <f t="shared" ca="1" si="94"/>
        <v/>
      </c>
      <c r="V2368" s="9" t="str">
        <f t="shared" ca="1" si="95"/>
        <v/>
      </c>
    </row>
    <row r="2369" spans="1:33" ht="58">
      <c r="A2369" s="3" t="s">
        <v>2611</v>
      </c>
      <c r="D2369" s="3" t="s">
        <v>12758</v>
      </c>
      <c r="E2369" s="3" t="s">
        <v>12757</v>
      </c>
      <c r="F2369" t="s">
        <v>4774</v>
      </c>
      <c r="I2369" t="s">
        <v>12759</v>
      </c>
      <c r="Q2369" s="10"/>
      <c r="U2369" s="9" t="str">
        <f t="shared" ca="1" si="94"/>
        <v/>
      </c>
      <c r="V2369" s="9" t="str">
        <f t="shared" ca="1" si="95"/>
        <v/>
      </c>
    </row>
    <row r="2370" spans="1:33" ht="58">
      <c r="A2370" s="3" t="s">
        <v>2611</v>
      </c>
      <c r="D2370" s="3" t="s">
        <v>12762</v>
      </c>
      <c r="E2370" s="3" t="s">
        <v>12763</v>
      </c>
      <c r="F2370" t="s">
        <v>4774</v>
      </c>
      <c r="J2370" s="9" t="s">
        <v>12118</v>
      </c>
      <c r="Q2370" s="10"/>
      <c r="T2370" s="9">
        <f>1-169</f>
        <v>-168</v>
      </c>
      <c r="U2370" s="9">
        <f t="shared" ca="1" si="94"/>
        <v>169</v>
      </c>
      <c r="V2370" s="9">
        <f t="shared" ca="1" si="95"/>
        <v>1</v>
      </c>
    </row>
    <row r="2371" spans="1:33" ht="58">
      <c r="A2371" s="3" t="s">
        <v>2611</v>
      </c>
      <c r="D2371" s="3" t="s">
        <v>12752</v>
      </c>
      <c r="E2371" s="3" t="s">
        <v>12760</v>
      </c>
      <c r="F2371" t="s">
        <v>4774</v>
      </c>
      <c r="J2371" s="9" t="s">
        <v>24</v>
      </c>
      <c r="L2371" s="9">
        <v>3</v>
      </c>
      <c r="M2371" s="9">
        <v>13</v>
      </c>
      <c r="O2371" s="9" t="s">
        <v>12079</v>
      </c>
      <c r="Q2371" s="10"/>
      <c r="S2371" s="9">
        <v>33</v>
      </c>
      <c r="U2371" s="9" t="str">
        <f t="shared" ca="1" si="94"/>
        <v/>
      </c>
      <c r="V2371" s="9" t="str">
        <f t="shared" ca="1" si="95"/>
        <v/>
      </c>
    </row>
    <row r="2372" spans="1:33" ht="58">
      <c r="A2372" s="3" t="s">
        <v>2611</v>
      </c>
      <c r="D2372" s="3" t="s">
        <v>7749</v>
      </c>
      <c r="E2372" s="5" t="s">
        <v>7750</v>
      </c>
      <c r="F2372" t="s">
        <v>4774</v>
      </c>
      <c r="I2372" t="s">
        <v>13038</v>
      </c>
      <c r="J2372" s="9" t="s">
        <v>12120</v>
      </c>
      <c r="Q2372" s="10"/>
      <c r="U2372" s="9" t="str">
        <f t="shared" ca="1" si="94"/>
        <v/>
      </c>
      <c r="V2372" s="9" t="str">
        <f t="shared" ca="1" si="95"/>
        <v/>
      </c>
    </row>
    <row r="2373" spans="1:33" ht="58">
      <c r="A2373" s="3" t="s">
        <v>2611</v>
      </c>
      <c r="D2373" s="3" t="s">
        <v>7751</v>
      </c>
      <c r="E2373" s="3" t="s">
        <v>7752</v>
      </c>
      <c r="F2373" t="s">
        <v>4774</v>
      </c>
      <c r="J2373" s="9" t="s">
        <v>12120</v>
      </c>
      <c r="Q2373" s="10"/>
      <c r="U2373" s="9" t="str">
        <f t="shared" ca="1" si="94"/>
        <v/>
      </c>
      <c r="V2373" s="9" t="str">
        <f t="shared" ca="1" si="95"/>
        <v/>
      </c>
    </row>
    <row r="2374" spans="1:33">
      <c r="A2374" s="3" t="s">
        <v>2612</v>
      </c>
      <c r="D2374" s="3" t="s">
        <v>13039</v>
      </c>
      <c r="E2374" s="3" t="s">
        <v>2613</v>
      </c>
      <c r="J2374" s="9" t="s">
        <v>12118</v>
      </c>
      <c r="Q2374" s="10"/>
      <c r="T2374" s="9" t="s">
        <v>12131</v>
      </c>
      <c r="U2374" s="9" t="str">
        <f t="shared" ca="1" si="94"/>
        <v/>
      </c>
      <c r="V2374" s="9" t="str">
        <f t="shared" ca="1" si="95"/>
        <v/>
      </c>
      <c r="AE2374" s="9" t="s">
        <v>12077</v>
      </c>
    </row>
    <row r="2375" spans="1:33">
      <c r="A2375" s="3" t="s">
        <v>2614</v>
      </c>
      <c r="D2375" s="3" t="s">
        <v>2615</v>
      </c>
      <c r="E2375" s="3" t="s">
        <v>2616</v>
      </c>
      <c r="J2375" s="9" t="s">
        <v>12120</v>
      </c>
      <c r="Q2375" s="10"/>
      <c r="U2375" s="9" t="str">
        <f t="shared" ca="1" si="94"/>
        <v/>
      </c>
      <c r="V2375" s="9" t="str">
        <f t="shared" ca="1" si="95"/>
        <v/>
      </c>
      <c r="AC2375" s="9" t="s">
        <v>12744</v>
      </c>
      <c r="AD2375" s="9" t="s">
        <v>19</v>
      </c>
    </row>
    <row r="2376" spans="1:33">
      <c r="A2376" s="3" t="s">
        <v>2617</v>
      </c>
      <c r="D2376" s="3" t="s">
        <v>7753</v>
      </c>
      <c r="E2376" s="3" t="s">
        <v>7754</v>
      </c>
      <c r="F2376" t="s">
        <v>17</v>
      </c>
      <c r="Q2376" s="10"/>
      <c r="U2376" s="9" t="str">
        <f t="shared" ca="1" si="94"/>
        <v/>
      </c>
      <c r="V2376" s="9" t="str">
        <f t="shared" ca="1" si="95"/>
        <v/>
      </c>
    </row>
    <row r="2377" spans="1:33">
      <c r="A2377" s="3" t="s">
        <v>2617</v>
      </c>
      <c r="D2377" s="3" t="s">
        <v>7755</v>
      </c>
      <c r="E2377" s="3" t="s">
        <v>7756</v>
      </c>
      <c r="J2377" s="9" t="s">
        <v>12118</v>
      </c>
      <c r="Q2377" s="10"/>
      <c r="T2377" s="9">
        <f>526-28</f>
        <v>498</v>
      </c>
      <c r="U2377" s="9">
        <f t="shared" ca="1" si="94"/>
        <v>28</v>
      </c>
      <c r="V2377" s="9">
        <f t="shared" ca="1" si="95"/>
        <v>526</v>
      </c>
      <c r="AG2377" s="9" t="s">
        <v>19</v>
      </c>
    </row>
    <row r="2378" spans="1:33" ht="43.5">
      <c r="A2378" s="3" t="s">
        <v>2618</v>
      </c>
      <c r="D2378" s="3" t="s">
        <v>7757</v>
      </c>
      <c r="E2378" s="3" t="s">
        <v>7759</v>
      </c>
      <c r="J2378" s="9" t="s">
        <v>24</v>
      </c>
      <c r="L2378" s="9">
        <v>1</v>
      </c>
      <c r="M2378" s="9">
        <v>8</v>
      </c>
      <c r="N2378" s="9" t="s">
        <v>12125</v>
      </c>
      <c r="O2378" s="9" t="s">
        <v>12073</v>
      </c>
      <c r="P2378" s="9" t="s">
        <v>12142</v>
      </c>
      <c r="Q2378" s="10" t="s">
        <v>12199</v>
      </c>
      <c r="R2378" s="9" t="s">
        <v>12074</v>
      </c>
      <c r="S2378" s="9">
        <v>72</v>
      </c>
      <c r="U2378" s="9" t="str">
        <f t="shared" ca="1" si="94"/>
        <v/>
      </c>
      <c r="V2378" s="9" t="str">
        <f t="shared" ca="1" si="95"/>
        <v/>
      </c>
      <c r="AE2378" s="9" t="s">
        <v>12083</v>
      </c>
    </row>
    <row r="2379" spans="1:33" ht="43.5">
      <c r="A2379" s="3" t="s">
        <v>2618</v>
      </c>
      <c r="D2379" s="3" t="s">
        <v>7757</v>
      </c>
      <c r="E2379" s="3" t="s">
        <v>7758</v>
      </c>
      <c r="J2379" s="9" t="s">
        <v>24</v>
      </c>
      <c r="L2379" s="9">
        <v>1</v>
      </c>
      <c r="M2379" s="9">
        <v>8</v>
      </c>
      <c r="N2379" s="9" t="s">
        <v>12125</v>
      </c>
      <c r="O2379" s="9" t="s">
        <v>12073</v>
      </c>
      <c r="P2379" s="9" t="s">
        <v>12142</v>
      </c>
      <c r="Q2379" s="10" t="s">
        <v>12199</v>
      </c>
      <c r="R2379" s="9" t="s">
        <v>12074</v>
      </c>
      <c r="S2379" s="9">
        <v>72</v>
      </c>
      <c r="U2379" s="9" t="str">
        <f t="shared" ca="1" si="94"/>
        <v/>
      </c>
      <c r="V2379" s="9" t="str">
        <f t="shared" ca="1" si="95"/>
        <v/>
      </c>
      <c r="AG2379" s="9" t="s">
        <v>19</v>
      </c>
    </row>
    <row r="2380" spans="1:33" ht="29">
      <c r="A2380" s="3" t="s">
        <v>2619</v>
      </c>
      <c r="D2380" s="3" t="s">
        <v>7760</v>
      </c>
      <c r="E2380" s="3" t="s">
        <v>7761</v>
      </c>
      <c r="J2380" s="9" t="s">
        <v>25</v>
      </c>
      <c r="L2380" s="9">
        <v>1</v>
      </c>
      <c r="M2380" s="9">
        <v>5</v>
      </c>
      <c r="N2380" s="9" t="s">
        <v>12094</v>
      </c>
      <c r="O2380" s="9" t="s">
        <v>12079</v>
      </c>
      <c r="Q2380" s="10"/>
      <c r="S2380" s="9">
        <v>1741</v>
      </c>
      <c r="U2380" s="9" t="str">
        <f t="shared" ca="1" si="94"/>
        <v/>
      </c>
      <c r="V2380" s="9" t="str">
        <f t="shared" ca="1" si="95"/>
        <v/>
      </c>
      <c r="AG2380" s="9" t="s">
        <v>19</v>
      </c>
    </row>
    <row r="2381" spans="1:33">
      <c r="A2381" s="3" t="s">
        <v>2620</v>
      </c>
      <c r="D2381" s="3" t="s">
        <v>7762</v>
      </c>
      <c r="E2381" s="3" t="s">
        <v>7763</v>
      </c>
      <c r="J2381" s="9" t="s">
        <v>25</v>
      </c>
      <c r="L2381" s="9">
        <v>1</v>
      </c>
      <c r="M2381" s="9">
        <v>3</v>
      </c>
      <c r="N2381" s="9" t="s">
        <v>12087</v>
      </c>
      <c r="O2381" s="9" t="s">
        <v>12079</v>
      </c>
      <c r="Q2381" s="10"/>
      <c r="S2381" s="9">
        <v>810</v>
      </c>
      <c r="U2381" s="9" t="str">
        <f t="shared" ca="1" si="94"/>
        <v/>
      </c>
      <c r="V2381" s="9" t="str">
        <f t="shared" ca="1" si="95"/>
        <v/>
      </c>
      <c r="AG2381" s="9" t="s">
        <v>19</v>
      </c>
    </row>
    <row r="2382" spans="1:33">
      <c r="A2382" s="3" t="s">
        <v>2621</v>
      </c>
      <c r="D2382" s="3" t="s">
        <v>7765</v>
      </c>
      <c r="E2382" s="3" t="s">
        <v>7764</v>
      </c>
      <c r="J2382" s="9" t="s">
        <v>25</v>
      </c>
      <c r="L2382" s="9">
        <v>1</v>
      </c>
      <c r="M2382" s="9">
        <v>2</v>
      </c>
      <c r="N2382" s="9" t="s">
        <v>12078</v>
      </c>
      <c r="O2382" s="9" t="s">
        <v>12119</v>
      </c>
      <c r="Q2382" s="10"/>
      <c r="S2382" s="9">
        <v>11843</v>
      </c>
      <c r="U2382" s="9" t="str">
        <f t="shared" ref="U2382:U2446" ca="1" si="96">IF(ISNUMBER(T2382),VALUE(MID(_xlfn.FORMULATEXT(T2382),SEARCH("-",_xlfn.FORMULATEXT(T2382))+1,LEN(_xlfn.FORMULATEXT(T2382))-SEARCH("-",_xlfn.FORMULATEXT(T2382)))), "")</f>
        <v/>
      </c>
      <c r="V2382" s="9" t="str">
        <f t="shared" ref="V2382:V2446" ca="1" si="97">IF(ISNUMBER(T2382), VALUE(MID(_xlfn.FORMULATEXT(T2382), 2, SEARCH("-", _xlfn.FORMULATEXT(T2382)) - 2)), "")</f>
        <v/>
      </c>
      <c r="AG2382" s="9" t="s">
        <v>20</v>
      </c>
    </row>
    <row r="2383" spans="1:33">
      <c r="A2383" s="3" t="s">
        <v>2622</v>
      </c>
      <c r="D2383" s="3" t="s">
        <v>2623</v>
      </c>
      <c r="E2383" s="3" t="s">
        <v>2624</v>
      </c>
      <c r="J2383" s="9" t="s">
        <v>12120</v>
      </c>
      <c r="Q2383" s="10"/>
      <c r="U2383" s="9" t="str">
        <f t="shared" ca="1" si="96"/>
        <v/>
      </c>
      <c r="V2383" s="9" t="str">
        <f t="shared" ca="1" si="97"/>
        <v/>
      </c>
      <c r="AC2383" s="9" t="s">
        <v>12144</v>
      </c>
      <c r="AD2383" s="9" t="s">
        <v>19</v>
      </c>
    </row>
    <row r="2384" spans="1:33" ht="29">
      <c r="A2384" s="3" t="s">
        <v>2625</v>
      </c>
      <c r="D2384" s="3" t="s">
        <v>7766</v>
      </c>
      <c r="E2384" s="3" t="s">
        <v>7767</v>
      </c>
      <c r="J2384" s="9" t="s">
        <v>12120</v>
      </c>
      <c r="Q2384" s="10"/>
      <c r="U2384" s="9" t="str">
        <f t="shared" ca="1" si="96"/>
        <v/>
      </c>
      <c r="V2384" s="9" t="str">
        <f t="shared" ca="1" si="97"/>
        <v/>
      </c>
      <c r="AG2384" s="9" t="s">
        <v>20</v>
      </c>
    </row>
    <row r="2385" spans="1:33" ht="29">
      <c r="A2385" s="3" t="s">
        <v>2626</v>
      </c>
      <c r="D2385" s="3" t="s">
        <v>7769</v>
      </c>
      <c r="E2385" s="3" t="s">
        <v>7768</v>
      </c>
      <c r="I2385" t="s">
        <v>12302</v>
      </c>
      <c r="J2385" s="9" t="s">
        <v>26</v>
      </c>
      <c r="Q2385" s="10"/>
      <c r="U2385" s="9" t="str">
        <f t="shared" ca="1" si="96"/>
        <v/>
      </c>
      <c r="V2385" s="9" t="str">
        <f t="shared" ca="1" si="97"/>
        <v/>
      </c>
      <c r="AG2385" s="9" t="s">
        <v>20</v>
      </c>
    </row>
    <row r="2386" spans="1:33">
      <c r="A2386" s="3" t="s">
        <v>2627</v>
      </c>
      <c r="D2386" s="3" t="s">
        <v>7771</v>
      </c>
      <c r="E2386" s="3" t="s">
        <v>7770</v>
      </c>
      <c r="J2386" s="9" t="s">
        <v>25</v>
      </c>
      <c r="L2386" s="9">
        <v>1</v>
      </c>
      <c r="M2386" s="9">
        <v>4</v>
      </c>
      <c r="N2386" s="9" t="s">
        <v>12125</v>
      </c>
      <c r="O2386" s="9" t="s">
        <v>12079</v>
      </c>
      <c r="Q2386" s="10"/>
      <c r="S2386" s="9">
        <v>2042</v>
      </c>
      <c r="U2386" s="9" t="str">
        <f t="shared" ca="1" si="96"/>
        <v/>
      </c>
      <c r="V2386" s="9" t="str">
        <f t="shared" ca="1" si="97"/>
        <v/>
      </c>
      <c r="AG2386" s="9" t="s">
        <v>20</v>
      </c>
    </row>
    <row r="2387" spans="1:33">
      <c r="A2387" s="3" t="s">
        <v>2627</v>
      </c>
      <c r="D2387" s="3" t="s">
        <v>2628</v>
      </c>
      <c r="E2387" s="3" t="s">
        <v>1207</v>
      </c>
      <c r="J2387" s="9" t="s">
        <v>12120</v>
      </c>
      <c r="Q2387" s="10"/>
      <c r="U2387" s="9" t="str">
        <f t="shared" ca="1" si="96"/>
        <v/>
      </c>
      <c r="V2387" s="9" t="str">
        <f t="shared" ca="1" si="97"/>
        <v/>
      </c>
      <c r="AC2387" s="9" t="s">
        <v>12144</v>
      </c>
      <c r="AD2387" s="9" t="s">
        <v>19</v>
      </c>
    </row>
    <row r="2388" spans="1:33">
      <c r="A2388" s="3" t="s">
        <v>2629</v>
      </c>
      <c r="D2388" s="3" t="s">
        <v>7773</v>
      </c>
      <c r="E2388" s="3" t="s">
        <v>7772</v>
      </c>
      <c r="J2388" s="9" t="s">
        <v>25</v>
      </c>
      <c r="L2388" s="9">
        <v>1</v>
      </c>
      <c r="M2388" s="9">
        <v>3</v>
      </c>
      <c r="N2388" s="9" t="s">
        <v>12078</v>
      </c>
      <c r="O2388" s="9" t="s">
        <v>12079</v>
      </c>
      <c r="Q2388" s="10"/>
      <c r="S2388" s="9">
        <v>11843</v>
      </c>
      <c r="U2388" s="9" t="str">
        <f t="shared" ca="1" si="96"/>
        <v/>
      </c>
      <c r="V2388" s="9" t="str">
        <f t="shared" ca="1" si="97"/>
        <v/>
      </c>
      <c r="AG2388" s="9" t="s">
        <v>20</v>
      </c>
    </row>
    <row r="2389" spans="1:33">
      <c r="A2389" s="3" t="s">
        <v>2629</v>
      </c>
      <c r="D2389" s="3" t="s">
        <v>7774</v>
      </c>
      <c r="E2389" s="3" t="s">
        <v>7775</v>
      </c>
      <c r="J2389" s="9" t="s">
        <v>25</v>
      </c>
      <c r="L2389" s="9">
        <v>1</v>
      </c>
      <c r="M2389" s="9">
        <v>4</v>
      </c>
      <c r="N2389" s="9" t="s">
        <v>12087</v>
      </c>
      <c r="O2389" s="9" t="s">
        <v>12079</v>
      </c>
      <c r="Q2389" s="10"/>
      <c r="S2389" s="9">
        <v>37</v>
      </c>
      <c r="U2389" s="9" t="str">
        <f t="shared" ca="1" si="96"/>
        <v/>
      </c>
      <c r="V2389" s="9" t="str">
        <f t="shared" ca="1" si="97"/>
        <v/>
      </c>
      <c r="AG2389" s="9" t="s">
        <v>19</v>
      </c>
    </row>
    <row r="2390" spans="1:33">
      <c r="A2390" s="3" t="s">
        <v>2630</v>
      </c>
      <c r="D2390" s="3" t="s">
        <v>2631</v>
      </c>
      <c r="E2390" s="3" t="s">
        <v>2632</v>
      </c>
      <c r="J2390" s="9" t="s">
        <v>12118</v>
      </c>
      <c r="Q2390" s="10"/>
      <c r="T2390" s="9" t="s">
        <v>12131</v>
      </c>
      <c r="U2390" s="9" t="str">
        <f t="shared" ca="1" si="96"/>
        <v/>
      </c>
      <c r="V2390" s="9" t="str">
        <f t="shared" ca="1" si="97"/>
        <v/>
      </c>
      <c r="AC2390" s="9" t="s">
        <v>12130</v>
      </c>
      <c r="AD2390" s="9" t="s">
        <v>19</v>
      </c>
      <c r="AE2390" s="9" t="s">
        <v>12086</v>
      </c>
    </row>
    <row r="2391" spans="1:33">
      <c r="A2391" s="3" t="s">
        <v>2633</v>
      </c>
      <c r="D2391" s="3" t="s">
        <v>7776</v>
      </c>
      <c r="E2391" s="3" t="s">
        <v>7777</v>
      </c>
      <c r="J2391" s="9" t="s">
        <v>25</v>
      </c>
      <c r="L2391" s="9">
        <v>1</v>
      </c>
      <c r="M2391" s="9">
        <v>2</v>
      </c>
      <c r="N2391" s="9" t="s">
        <v>12094</v>
      </c>
      <c r="O2391" s="9" t="s">
        <v>12119</v>
      </c>
      <c r="Q2391" s="10"/>
      <c r="S2391" s="9">
        <v>412</v>
      </c>
      <c r="U2391" s="9" t="str">
        <f t="shared" ca="1" si="96"/>
        <v/>
      </c>
      <c r="V2391" s="9" t="str">
        <f t="shared" ca="1" si="97"/>
        <v/>
      </c>
      <c r="AG2391" s="9" t="s">
        <v>19</v>
      </c>
    </row>
    <row r="2392" spans="1:33" ht="29">
      <c r="A2392" s="3" t="s">
        <v>2634</v>
      </c>
      <c r="D2392" s="3" t="s">
        <v>7779</v>
      </c>
      <c r="E2392" s="3" t="s">
        <v>7778</v>
      </c>
      <c r="G2392" t="s">
        <v>19</v>
      </c>
      <c r="J2392" s="9" t="s">
        <v>12118</v>
      </c>
      <c r="Q2392" s="10"/>
      <c r="T2392" s="9">
        <f>472-4240</f>
        <v>-3768</v>
      </c>
      <c r="U2392" s="9">
        <f t="shared" ca="1" si="96"/>
        <v>4240</v>
      </c>
      <c r="V2392" s="9">
        <f t="shared" ca="1" si="97"/>
        <v>472</v>
      </c>
    </row>
    <row r="2393" spans="1:33">
      <c r="A2393" s="3" t="s">
        <v>2635</v>
      </c>
      <c r="D2393" s="3" t="s">
        <v>2636</v>
      </c>
      <c r="E2393" s="3" t="s">
        <v>2637</v>
      </c>
      <c r="J2393" s="9" t="s">
        <v>12120</v>
      </c>
      <c r="Q2393" s="10"/>
      <c r="U2393" s="9" t="str">
        <f t="shared" ca="1" si="96"/>
        <v/>
      </c>
      <c r="V2393" s="9" t="str">
        <f t="shared" ca="1" si="97"/>
        <v/>
      </c>
      <c r="AC2393" s="9" t="s">
        <v>12740</v>
      </c>
      <c r="AD2393" s="9" t="s">
        <v>19</v>
      </c>
    </row>
    <row r="2394" spans="1:33">
      <c r="A2394" s="3" t="s">
        <v>2635</v>
      </c>
      <c r="D2394" s="3" t="s">
        <v>2638</v>
      </c>
      <c r="E2394" s="3" t="s">
        <v>2639</v>
      </c>
      <c r="G2394" t="s">
        <v>20</v>
      </c>
      <c r="I2394" t="s">
        <v>7780</v>
      </c>
      <c r="J2394" s="9" t="s">
        <v>12118</v>
      </c>
      <c r="Q2394" s="10"/>
      <c r="T2394" s="9" t="s">
        <v>12131</v>
      </c>
      <c r="U2394" s="9" t="str">
        <f t="shared" ca="1" si="96"/>
        <v/>
      </c>
      <c r="V2394" s="9" t="str">
        <f t="shared" ca="1" si="97"/>
        <v/>
      </c>
      <c r="AE2394" s="9" t="s">
        <v>12077</v>
      </c>
    </row>
    <row r="2395" spans="1:33">
      <c r="A2395" s="3" t="s">
        <v>2635</v>
      </c>
      <c r="D2395" s="3" t="s">
        <v>2640</v>
      </c>
      <c r="E2395" s="3" t="s">
        <v>2641</v>
      </c>
      <c r="J2395" s="9" t="s">
        <v>12118</v>
      </c>
      <c r="Q2395" s="10"/>
      <c r="T2395" s="9" t="s">
        <v>12131</v>
      </c>
      <c r="U2395" s="9" t="str">
        <f t="shared" ca="1" si="96"/>
        <v/>
      </c>
      <c r="V2395" s="9" t="str">
        <f t="shared" ca="1" si="97"/>
        <v/>
      </c>
      <c r="AE2395" s="9" t="s">
        <v>12077</v>
      </c>
    </row>
    <row r="2396" spans="1:33">
      <c r="A2396" s="3" t="s">
        <v>2642</v>
      </c>
      <c r="D2396" s="3" t="s">
        <v>7782</v>
      </c>
      <c r="E2396" s="3" t="s">
        <v>7781</v>
      </c>
      <c r="G2396" t="s">
        <v>19</v>
      </c>
      <c r="J2396" s="9" t="s">
        <v>12118</v>
      </c>
      <c r="Q2396" s="10"/>
      <c r="T2396" s="9">
        <f>1565-0</f>
        <v>1565</v>
      </c>
      <c r="U2396" s="9">
        <f t="shared" ca="1" si="96"/>
        <v>0</v>
      </c>
      <c r="V2396" s="9">
        <f t="shared" ca="1" si="97"/>
        <v>1565</v>
      </c>
    </row>
    <row r="2397" spans="1:33">
      <c r="A2397" s="3" t="s">
        <v>2642</v>
      </c>
      <c r="D2397" s="3" t="s">
        <v>7784</v>
      </c>
      <c r="E2397" s="3" t="s">
        <v>7783</v>
      </c>
      <c r="G2397" t="s">
        <v>19</v>
      </c>
      <c r="J2397" s="9" t="s">
        <v>12118</v>
      </c>
      <c r="Q2397" s="10"/>
      <c r="T2397" s="9">
        <f>1741-1496</f>
        <v>245</v>
      </c>
      <c r="U2397" s="9">
        <f t="shared" ca="1" si="96"/>
        <v>1496</v>
      </c>
      <c r="V2397" s="9">
        <f t="shared" ca="1" si="97"/>
        <v>1741</v>
      </c>
    </row>
    <row r="2398" spans="1:33">
      <c r="A2398" s="3" t="s">
        <v>2643</v>
      </c>
      <c r="D2398" s="3" t="s">
        <v>2644</v>
      </c>
      <c r="E2398" s="3" t="s">
        <v>2645</v>
      </c>
      <c r="J2398" s="9" t="s">
        <v>12118</v>
      </c>
      <c r="Q2398" s="10"/>
      <c r="T2398" s="9" t="s">
        <v>12131</v>
      </c>
      <c r="U2398" s="9" t="str">
        <f t="shared" ca="1" si="96"/>
        <v/>
      </c>
      <c r="V2398" s="9" t="str">
        <f t="shared" ca="1" si="97"/>
        <v/>
      </c>
      <c r="AE2398" s="9" t="s">
        <v>12086</v>
      </c>
    </row>
    <row r="2399" spans="1:33">
      <c r="A2399" s="3" t="s">
        <v>2643</v>
      </c>
      <c r="D2399" s="3" t="s">
        <v>2646</v>
      </c>
      <c r="E2399" s="3" t="s">
        <v>2647</v>
      </c>
      <c r="J2399" s="9" t="s">
        <v>12118</v>
      </c>
      <c r="Q2399" s="10"/>
      <c r="T2399" s="9" t="s">
        <v>12131</v>
      </c>
      <c r="U2399" s="9" t="str">
        <f t="shared" ca="1" si="96"/>
        <v/>
      </c>
      <c r="V2399" s="9" t="str">
        <f t="shared" ca="1" si="97"/>
        <v/>
      </c>
      <c r="AE2399" s="9" t="s">
        <v>12086</v>
      </c>
    </row>
    <row r="2400" spans="1:33">
      <c r="A2400" s="3" t="s">
        <v>2648</v>
      </c>
      <c r="D2400" s="3" t="s">
        <v>7786</v>
      </c>
      <c r="E2400" s="3" t="s">
        <v>7785</v>
      </c>
      <c r="J2400" s="9" t="s">
        <v>12118</v>
      </c>
      <c r="Q2400" s="10"/>
      <c r="T2400" s="9">
        <f>142-20</f>
        <v>122</v>
      </c>
      <c r="U2400" s="9">
        <f t="shared" ca="1" si="96"/>
        <v>20</v>
      </c>
      <c r="V2400" s="9">
        <f t="shared" ca="1" si="97"/>
        <v>142</v>
      </c>
      <c r="AG2400" s="9" t="s">
        <v>20</v>
      </c>
    </row>
    <row r="2401" spans="1:33">
      <c r="A2401" s="3" t="s">
        <v>2649</v>
      </c>
      <c r="D2401" s="3" t="s">
        <v>7788</v>
      </c>
      <c r="E2401" s="3" t="s">
        <v>7787</v>
      </c>
      <c r="J2401" s="9" t="s">
        <v>25</v>
      </c>
      <c r="L2401" s="9">
        <v>1</v>
      </c>
      <c r="M2401" s="9">
        <v>2</v>
      </c>
      <c r="N2401" s="9" t="s">
        <v>12078</v>
      </c>
      <c r="O2401" s="9" t="s">
        <v>12119</v>
      </c>
      <c r="Q2401" s="10"/>
      <c r="S2401" s="9">
        <v>11843</v>
      </c>
      <c r="U2401" s="9" t="str">
        <f t="shared" ca="1" si="96"/>
        <v/>
      </c>
      <c r="V2401" s="9" t="str">
        <f t="shared" ca="1" si="97"/>
        <v/>
      </c>
      <c r="AG2401" s="9" t="s">
        <v>20</v>
      </c>
    </row>
    <row r="2402" spans="1:33" ht="43.5">
      <c r="A2402" s="3" t="s">
        <v>2650</v>
      </c>
      <c r="D2402" s="3" t="s">
        <v>7790</v>
      </c>
      <c r="E2402" s="3" t="s">
        <v>7789</v>
      </c>
      <c r="I2402" t="s">
        <v>13116</v>
      </c>
      <c r="J2402" s="9" t="s">
        <v>24</v>
      </c>
      <c r="L2402" s="9">
        <v>5</v>
      </c>
      <c r="M2402" s="9">
        <v>29</v>
      </c>
      <c r="O2402" s="9" t="s">
        <v>12079</v>
      </c>
      <c r="Q2402" s="10"/>
      <c r="S2402" s="9">
        <v>4</v>
      </c>
      <c r="U2402" s="9" t="str">
        <f t="shared" ca="1" si="96"/>
        <v/>
      </c>
      <c r="V2402" s="9" t="str">
        <f t="shared" ca="1" si="97"/>
        <v/>
      </c>
      <c r="AE2402" s="9" t="s">
        <v>12083</v>
      </c>
    </row>
    <row r="2403" spans="1:33">
      <c r="A2403" s="3" t="s">
        <v>2651</v>
      </c>
      <c r="D2403" s="3" t="s">
        <v>7792</v>
      </c>
      <c r="E2403" s="3" t="s">
        <v>7791</v>
      </c>
      <c r="J2403" s="9" t="s">
        <v>12118</v>
      </c>
      <c r="Q2403" s="10"/>
      <c r="T2403" s="9">
        <f>11843-780</f>
        <v>11063</v>
      </c>
      <c r="U2403" s="9">
        <f t="shared" ca="1" si="96"/>
        <v>780</v>
      </c>
      <c r="V2403" s="9">
        <f t="shared" ca="1" si="97"/>
        <v>11843</v>
      </c>
      <c r="AG2403" s="9" t="s">
        <v>20</v>
      </c>
    </row>
    <row r="2404" spans="1:33" ht="29">
      <c r="A2404" s="3" t="s">
        <v>2652</v>
      </c>
      <c r="D2404" s="3" t="s">
        <v>7793</v>
      </c>
      <c r="E2404" s="3" t="s">
        <v>7794</v>
      </c>
      <c r="J2404" s="9" t="s">
        <v>12120</v>
      </c>
      <c r="Q2404" s="10"/>
      <c r="U2404" s="9" t="str">
        <f t="shared" ca="1" si="96"/>
        <v/>
      </c>
      <c r="V2404" s="9" t="str">
        <f t="shared" ca="1" si="97"/>
        <v/>
      </c>
      <c r="AG2404" s="9" t="s">
        <v>19</v>
      </c>
    </row>
    <row r="2405" spans="1:33">
      <c r="A2405" s="3" t="s">
        <v>2653</v>
      </c>
      <c r="D2405" s="3" t="s">
        <v>7795</v>
      </c>
      <c r="E2405" s="3" t="s">
        <v>7796</v>
      </c>
      <c r="J2405" s="9" t="s">
        <v>24</v>
      </c>
      <c r="L2405" s="9">
        <v>1</v>
      </c>
      <c r="M2405" s="9">
        <v>3</v>
      </c>
      <c r="N2405" s="9" t="s">
        <v>12087</v>
      </c>
      <c r="O2405" s="9" t="s">
        <v>12073</v>
      </c>
      <c r="P2405" s="9" t="s">
        <v>12142</v>
      </c>
      <c r="Q2405" s="10" t="s">
        <v>12143</v>
      </c>
      <c r="R2405" s="9" t="s">
        <v>12074</v>
      </c>
      <c r="S2405" s="9">
        <v>810</v>
      </c>
      <c r="U2405" s="9" t="str">
        <f t="shared" ca="1" si="96"/>
        <v/>
      </c>
      <c r="V2405" s="9" t="str">
        <f t="shared" ca="1" si="97"/>
        <v/>
      </c>
      <c r="AE2405" s="9" t="s">
        <v>12083</v>
      </c>
    </row>
    <row r="2406" spans="1:33" ht="29">
      <c r="A2406" s="3" t="s">
        <v>2654</v>
      </c>
      <c r="D2406" s="3" t="s">
        <v>7797</v>
      </c>
      <c r="E2406" s="3" t="s">
        <v>13040</v>
      </c>
      <c r="J2406" s="9" t="s">
        <v>24</v>
      </c>
      <c r="L2406" s="9">
        <v>1</v>
      </c>
      <c r="M2406" s="9">
        <v>3</v>
      </c>
      <c r="N2406" s="9" t="s">
        <v>12087</v>
      </c>
      <c r="O2406" s="9" t="s">
        <v>12079</v>
      </c>
      <c r="Q2406" s="10"/>
      <c r="S2406" s="9">
        <v>5676</v>
      </c>
      <c r="U2406" s="9" t="str">
        <f t="shared" ca="1" si="96"/>
        <v/>
      </c>
      <c r="V2406" s="9" t="str">
        <f t="shared" ca="1" si="97"/>
        <v/>
      </c>
      <c r="AG2406" s="9" t="s">
        <v>19</v>
      </c>
    </row>
    <row r="2407" spans="1:33" ht="29">
      <c r="A2407" s="3" t="s">
        <v>2654</v>
      </c>
      <c r="D2407" s="3" t="s">
        <v>13041</v>
      </c>
      <c r="E2407" s="5" t="s">
        <v>13042</v>
      </c>
      <c r="F2407" t="s">
        <v>32</v>
      </c>
      <c r="I2407" t="s">
        <v>13043</v>
      </c>
      <c r="J2407" s="9" t="s">
        <v>12120</v>
      </c>
      <c r="L2407" s="9">
        <v>1</v>
      </c>
      <c r="M2407" s="9">
        <v>3</v>
      </c>
      <c r="N2407" s="9" t="s">
        <v>12087</v>
      </c>
      <c r="O2407" s="9" t="s">
        <v>12079</v>
      </c>
      <c r="Q2407" s="10"/>
      <c r="S2407" s="9">
        <v>5676</v>
      </c>
      <c r="U2407" s="9" t="str">
        <f t="shared" ref="U2407" ca="1" si="98">IF(ISNUMBER(T2407),VALUE(MID(_xlfn.FORMULATEXT(T2407),SEARCH("-",_xlfn.FORMULATEXT(T2407))+1,LEN(_xlfn.FORMULATEXT(T2407))-SEARCH("-",_xlfn.FORMULATEXT(T2407)))), "")</f>
        <v/>
      </c>
      <c r="V2407" s="9" t="str">
        <f t="shared" ref="V2407" ca="1" si="99">IF(ISNUMBER(T2407), VALUE(MID(_xlfn.FORMULATEXT(T2407), 2, SEARCH("-", _xlfn.FORMULATEXT(T2407)) - 2)), "")</f>
        <v/>
      </c>
      <c r="AE2407" s="9" t="s">
        <v>12077</v>
      </c>
    </row>
    <row r="2408" spans="1:33">
      <c r="A2408" s="3" t="s">
        <v>2655</v>
      </c>
      <c r="D2408" s="3" t="s">
        <v>2656</v>
      </c>
      <c r="E2408" s="3" t="s">
        <v>2567</v>
      </c>
      <c r="J2408" s="9" t="s">
        <v>12118</v>
      </c>
      <c r="Q2408" s="10"/>
      <c r="T2408" s="9">
        <f>4-14</f>
        <v>-10</v>
      </c>
      <c r="U2408" s="9">
        <f t="shared" ca="1" si="96"/>
        <v>14</v>
      </c>
      <c r="V2408" s="9">
        <f t="shared" ca="1" si="97"/>
        <v>4</v>
      </c>
      <c r="AC2408" s="9" t="s">
        <v>12144</v>
      </c>
      <c r="AD2408" s="9" t="s">
        <v>19</v>
      </c>
    </row>
    <row r="2409" spans="1:33">
      <c r="A2409" s="3" t="s">
        <v>2655</v>
      </c>
      <c r="D2409" s="3" t="s">
        <v>12909</v>
      </c>
      <c r="E2409" s="3" t="s">
        <v>7798</v>
      </c>
      <c r="J2409" s="9" t="s">
        <v>25</v>
      </c>
      <c r="L2409" s="9">
        <v>1</v>
      </c>
      <c r="M2409" s="9">
        <v>5</v>
      </c>
      <c r="N2409" s="9" t="s">
        <v>12094</v>
      </c>
      <c r="O2409" s="9" t="s">
        <v>12079</v>
      </c>
      <c r="Q2409" s="10"/>
      <c r="S2409" s="9">
        <v>4240</v>
      </c>
      <c r="U2409" s="9" t="str">
        <f t="shared" ca="1" si="96"/>
        <v/>
      </c>
      <c r="V2409" s="9" t="str">
        <f t="shared" ca="1" si="97"/>
        <v/>
      </c>
      <c r="AG2409" s="9" t="s">
        <v>20</v>
      </c>
    </row>
    <row r="2410" spans="1:33">
      <c r="A2410" s="3" t="s">
        <v>2657</v>
      </c>
      <c r="D2410" s="3" t="s">
        <v>7800</v>
      </c>
      <c r="E2410" s="5" t="s">
        <v>7799</v>
      </c>
      <c r="F2410" t="s">
        <v>32</v>
      </c>
      <c r="I2410" t="s">
        <v>7801</v>
      </c>
      <c r="J2410" s="9" t="s">
        <v>12120</v>
      </c>
      <c r="Q2410" s="10"/>
      <c r="U2410" s="9" t="str">
        <f t="shared" ca="1" si="96"/>
        <v/>
      </c>
      <c r="V2410" s="9" t="str">
        <f t="shared" ca="1" si="97"/>
        <v/>
      </c>
      <c r="AC2410" s="9" t="s">
        <v>12173</v>
      </c>
      <c r="AD2410" s="9" t="s">
        <v>19</v>
      </c>
      <c r="AE2410" s="9" t="s">
        <v>12083</v>
      </c>
    </row>
    <row r="2411" spans="1:33">
      <c r="A2411" s="3" t="s">
        <v>2657</v>
      </c>
      <c r="D2411" s="3" t="s">
        <v>7802</v>
      </c>
      <c r="E2411" s="3" t="s">
        <v>7803</v>
      </c>
      <c r="J2411" s="9" t="s">
        <v>12118</v>
      </c>
      <c r="Q2411" s="10"/>
      <c r="T2411" s="9">
        <f>128-444</f>
        <v>-316</v>
      </c>
      <c r="U2411" s="9">
        <f t="shared" ca="1" si="96"/>
        <v>444</v>
      </c>
      <c r="V2411" s="9">
        <f t="shared" ca="1" si="97"/>
        <v>128</v>
      </c>
      <c r="AG2411" s="9" t="s">
        <v>19</v>
      </c>
    </row>
    <row r="2412" spans="1:33">
      <c r="A2412" s="3" t="s">
        <v>2658</v>
      </c>
      <c r="D2412" s="3" t="s">
        <v>7804</v>
      </c>
      <c r="E2412" s="3" t="s">
        <v>7805</v>
      </c>
      <c r="J2412" s="9" t="s">
        <v>25</v>
      </c>
      <c r="L2412" s="9">
        <v>1</v>
      </c>
      <c r="M2412" s="9">
        <v>3</v>
      </c>
      <c r="N2412" s="9" t="s">
        <v>12078</v>
      </c>
      <c r="O2412" s="9" t="s">
        <v>12079</v>
      </c>
      <c r="Q2412" s="10"/>
      <c r="S2412" s="9">
        <v>11843</v>
      </c>
      <c r="U2412" s="9" t="str">
        <f t="shared" ca="1" si="96"/>
        <v/>
      </c>
      <c r="V2412" s="9" t="str">
        <f t="shared" ca="1" si="97"/>
        <v/>
      </c>
      <c r="AG2412" s="9" t="s">
        <v>19</v>
      </c>
    </row>
    <row r="2413" spans="1:33">
      <c r="A2413" s="3" t="s">
        <v>2659</v>
      </c>
      <c r="D2413" s="3" t="s">
        <v>2660</v>
      </c>
      <c r="E2413" s="3" t="s">
        <v>2661</v>
      </c>
      <c r="J2413" s="9" t="s">
        <v>12118</v>
      </c>
      <c r="Q2413" s="10"/>
      <c r="T2413" s="9">
        <f>6-5</f>
        <v>1</v>
      </c>
      <c r="U2413" s="9">
        <f t="shared" ca="1" si="96"/>
        <v>5</v>
      </c>
      <c r="V2413" s="9">
        <f t="shared" ca="1" si="97"/>
        <v>6</v>
      </c>
      <c r="AG2413" s="9" t="s">
        <v>19</v>
      </c>
    </row>
    <row r="2414" spans="1:33" ht="29">
      <c r="A2414" s="3" t="s">
        <v>2662</v>
      </c>
      <c r="D2414" s="3" t="s">
        <v>7807</v>
      </c>
      <c r="E2414" s="3" t="s">
        <v>7806</v>
      </c>
      <c r="J2414" s="9" t="s">
        <v>25</v>
      </c>
      <c r="L2414" s="9">
        <v>1</v>
      </c>
      <c r="M2414" s="9">
        <v>4</v>
      </c>
      <c r="N2414" s="9" t="s">
        <v>12087</v>
      </c>
      <c r="O2414" s="9" t="s">
        <v>12079</v>
      </c>
      <c r="Q2414" s="10"/>
      <c r="S2414" s="9">
        <v>25</v>
      </c>
      <c r="U2414" s="9" t="str">
        <f t="shared" ca="1" si="96"/>
        <v/>
      </c>
      <c r="V2414" s="9" t="str">
        <f t="shared" ca="1" si="97"/>
        <v/>
      </c>
      <c r="AG2414" s="9" t="s">
        <v>19</v>
      </c>
    </row>
    <row r="2415" spans="1:33">
      <c r="A2415" s="3" t="s">
        <v>2663</v>
      </c>
      <c r="D2415" s="3" t="s">
        <v>2664</v>
      </c>
      <c r="E2415" s="3" t="s">
        <v>2665</v>
      </c>
      <c r="J2415" s="9" t="s">
        <v>12120</v>
      </c>
      <c r="Q2415" s="10"/>
      <c r="U2415" s="9" t="str">
        <f t="shared" ca="1" si="96"/>
        <v/>
      </c>
      <c r="V2415" s="9" t="str">
        <f t="shared" ca="1" si="97"/>
        <v/>
      </c>
      <c r="AE2415" s="9" t="s">
        <v>12077</v>
      </c>
    </row>
    <row r="2416" spans="1:33">
      <c r="A2416" s="3" t="s">
        <v>2666</v>
      </c>
      <c r="D2416" s="3" t="s">
        <v>7809</v>
      </c>
      <c r="E2416" s="3" t="s">
        <v>7808</v>
      </c>
      <c r="J2416" s="9" t="s">
        <v>12120</v>
      </c>
      <c r="Q2416" s="10"/>
      <c r="U2416" s="9" t="str">
        <f t="shared" ca="1" si="96"/>
        <v/>
      </c>
      <c r="V2416" s="9" t="str">
        <f t="shared" ca="1" si="97"/>
        <v/>
      </c>
      <c r="AG2416" s="9" t="s">
        <v>19</v>
      </c>
    </row>
    <row r="2417" spans="1:33">
      <c r="A2417" s="3" t="s">
        <v>2666</v>
      </c>
      <c r="D2417" s="3" t="s">
        <v>2667</v>
      </c>
      <c r="E2417" s="3" t="s">
        <v>2668</v>
      </c>
      <c r="J2417" s="9" t="s">
        <v>12118</v>
      </c>
      <c r="Q2417" s="10"/>
      <c r="T2417" s="9" t="s">
        <v>12131</v>
      </c>
      <c r="U2417" s="9" t="str">
        <f t="shared" ca="1" si="96"/>
        <v/>
      </c>
      <c r="V2417" s="9" t="str">
        <f t="shared" ca="1" si="97"/>
        <v/>
      </c>
      <c r="AC2417" s="9" t="s">
        <v>12130</v>
      </c>
      <c r="AD2417" s="9" t="s">
        <v>19</v>
      </c>
      <c r="AE2417" s="9" t="s">
        <v>12086</v>
      </c>
    </row>
    <row r="2418" spans="1:33">
      <c r="A2418" s="3" t="s">
        <v>2669</v>
      </c>
      <c r="D2418" s="3" t="s">
        <v>2670</v>
      </c>
      <c r="E2418" s="3" t="s">
        <v>2671</v>
      </c>
      <c r="J2418" s="9" t="s">
        <v>12120</v>
      </c>
      <c r="Q2418" s="10"/>
      <c r="U2418" s="9" t="str">
        <f t="shared" ca="1" si="96"/>
        <v/>
      </c>
      <c r="V2418" s="9" t="str">
        <f t="shared" ca="1" si="97"/>
        <v/>
      </c>
      <c r="AG2418" s="9" t="s">
        <v>19</v>
      </c>
    </row>
    <row r="2419" spans="1:33">
      <c r="A2419" s="3" t="s">
        <v>2672</v>
      </c>
      <c r="D2419" s="3" t="s">
        <v>2673</v>
      </c>
      <c r="E2419" s="3" t="s">
        <v>2674</v>
      </c>
      <c r="J2419" s="9" t="s">
        <v>12120</v>
      </c>
      <c r="Q2419" s="10"/>
      <c r="U2419" s="9" t="str">
        <f t="shared" ca="1" si="96"/>
        <v/>
      </c>
      <c r="V2419" s="9" t="str">
        <f t="shared" ca="1" si="97"/>
        <v/>
      </c>
      <c r="AC2419" s="9" t="s">
        <v>12130</v>
      </c>
      <c r="AD2419" s="9" t="s">
        <v>19</v>
      </c>
    </row>
    <row r="2420" spans="1:33" ht="58">
      <c r="A2420" s="3" t="s">
        <v>2675</v>
      </c>
      <c r="D2420" s="3" t="s">
        <v>7810</v>
      </c>
      <c r="E2420" s="3" t="s">
        <v>7811</v>
      </c>
      <c r="I2420" t="s">
        <v>7812</v>
      </c>
      <c r="J2420" s="9" t="s">
        <v>26</v>
      </c>
      <c r="Q2420" s="10"/>
      <c r="U2420" s="9" t="str">
        <f t="shared" ca="1" si="96"/>
        <v/>
      </c>
      <c r="V2420" s="9" t="str">
        <f t="shared" ca="1" si="97"/>
        <v/>
      </c>
      <c r="AG2420" s="9" t="s">
        <v>20</v>
      </c>
    </row>
    <row r="2421" spans="1:33">
      <c r="A2421" s="3" t="s">
        <v>2676</v>
      </c>
      <c r="D2421" s="3" t="s">
        <v>2677</v>
      </c>
      <c r="E2421" s="3" t="s">
        <v>2678</v>
      </c>
      <c r="I2421" t="s">
        <v>12681</v>
      </c>
      <c r="J2421" s="9" t="s">
        <v>12120</v>
      </c>
      <c r="Q2421" s="10"/>
      <c r="U2421" s="9" t="str">
        <f t="shared" ca="1" si="96"/>
        <v/>
      </c>
      <c r="V2421" s="9" t="str">
        <f t="shared" ca="1" si="97"/>
        <v/>
      </c>
      <c r="AG2421" s="9" t="s">
        <v>20</v>
      </c>
    </row>
    <row r="2422" spans="1:33">
      <c r="A2422" s="3" t="s">
        <v>2679</v>
      </c>
      <c r="D2422" s="3" t="s">
        <v>7814</v>
      </c>
      <c r="E2422" s="3" t="s">
        <v>7813</v>
      </c>
      <c r="J2422" s="9" t="s">
        <v>24</v>
      </c>
      <c r="L2422" s="9">
        <v>1</v>
      </c>
      <c r="M2422" s="9">
        <v>6</v>
      </c>
      <c r="N2422" s="9" t="s">
        <v>12094</v>
      </c>
      <c r="O2422" s="9" t="s">
        <v>12073</v>
      </c>
      <c r="P2422" s="9" t="s">
        <v>12149</v>
      </c>
      <c r="Q2422" s="10" t="s">
        <v>12143</v>
      </c>
      <c r="S2422" s="9">
        <v>930</v>
      </c>
      <c r="U2422" s="9" t="str">
        <f t="shared" ca="1" si="96"/>
        <v/>
      </c>
      <c r="V2422" s="9" t="str">
        <f t="shared" ca="1" si="97"/>
        <v/>
      </c>
      <c r="AG2422" s="9" t="s">
        <v>20</v>
      </c>
    </row>
    <row r="2423" spans="1:33" ht="29">
      <c r="A2423" s="3" t="s">
        <v>2679</v>
      </c>
      <c r="D2423" s="3" t="s">
        <v>7816</v>
      </c>
      <c r="E2423" s="3" t="s">
        <v>7815</v>
      </c>
      <c r="G2423" t="s">
        <v>19</v>
      </c>
      <c r="J2423" s="9" t="s">
        <v>12120</v>
      </c>
      <c r="Q2423" s="10"/>
      <c r="U2423" s="9" t="str">
        <f t="shared" ca="1" si="96"/>
        <v/>
      </c>
      <c r="V2423" s="9" t="str">
        <f t="shared" ca="1" si="97"/>
        <v/>
      </c>
      <c r="AE2423" s="9" t="s">
        <v>12086</v>
      </c>
    </row>
    <row r="2424" spans="1:33">
      <c r="A2424" s="3" t="s">
        <v>2680</v>
      </c>
      <c r="D2424" s="3" t="s">
        <v>7817</v>
      </c>
      <c r="E2424" s="3" t="s">
        <v>7818</v>
      </c>
      <c r="I2424" t="s">
        <v>12682</v>
      </c>
      <c r="J2424" s="9" t="s">
        <v>12118</v>
      </c>
      <c r="Q2424" s="10"/>
      <c r="T2424" s="9">
        <f>249-810</f>
        <v>-561</v>
      </c>
      <c r="U2424" s="9">
        <f t="shared" ca="1" si="96"/>
        <v>810</v>
      </c>
      <c r="V2424" s="9">
        <f t="shared" ca="1" si="97"/>
        <v>249</v>
      </c>
      <c r="W2424" s="9" t="s">
        <v>4</v>
      </c>
      <c r="AG2424" s="9" t="s">
        <v>19</v>
      </c>
    </row>
    <row r="2425" spans="1:33">
      <c r="A2425" s="3" t="s">
        <v>2680</v>
      </c>
      <c r="D2425" s="3" t="s">
        <v>2681</v>
      </c>
      <c r="E2425" s="3" t="s">
        <v>2682</v>
      </c>
      <c r="H2425" t="s">
        <v>19</v>
      </c>
      <c r="J2425" s="9" t="s">
        <v>12118</v>
      </c>
      <c r="Q2425" s="10"/>
      <c r="T2425" s="9" t="s">
        <v>12131</v>
      </c>
      <c r="U2425" s="9" t="str">
        <f t="shared" ca="1" si="96"/>
        <v/>
      </c>
      <c r="V2425" s="9" t="str">
        <f t="shared" ca="1" si="97"/>
        <v/>
      </c>
      <c r="AE2425" s="9" t="s">
        <v>12077</v>
      </c>
    </row>
    <row r="2426" spans="1:33">
      <c r="A2426" s="3" t="s">
        <v>2683</v>
      </c>
      <c r="D2426" s="3" t="s">
        <v>7819</v>
      </c>
      <c r="E2426" s="3" t="s">
        <v>7820</v>
      </c>
      <c r="J2426" s="9" t="s">
        <v>12118</v>
      </c>
      <c r="Q2426" s="10"/>
      <c r="T2426" s="9">
        <f>887-526</f>
        <v>361</v>
      </c>
      <c r="U2426" s="9">
        <f t="shared" ca="1" si="96"/>
        <v>526</v>
      </c>
      <c r="V2426" s="9">
        <f t="shared" ca="1" si="97"/>
        <v>887</v>
      </c>
      <c r="AG2426" s="9" t="s">
        <v>19</v>
      </c>
    </row>
    <row r="2427" spans="1:33" ht="29">
      <c r="A2427" s="3" t="s">
        <v>2684</v>
      </c>
      <c r="D2427" s="3" t="s">
        <v>7821</v>
      </c>
      <c r="E2427" s="3" t="s">
        <v>7822</v>
      </c>
      <c r="I2427" t="s">
        <v>5457</v>
      </c>
      <c r="J2427" s="9" t="s">
        <v>26</v>
      </c>
      <c r="Q2427" s="10"/>
      <c r="U2427" s="9" t="str">
        <f t="shared" ca="1" si="96"/>
        <v/>
      </c>
      <c r="V2427" s="9" t="str">
        <f t="shared" ca="1" si="97"/>
        <v/>
      </c>
      <c r="AG2427" s="9" t="s">
        <v>19</v>
      </c>
    </row>
    <row r="2428" spans="1:33" ht="29">
      <c r="A2428" s="3" t="s">
        <v>2684</v>
      </c>
      <c r="D2428" s="3" t="s">
        <v>7824</v>
      </c>
      <c r="E2428" s="3" t="s">
        <v>7823</v>
      </c>
      <c r="J2428" s="9" t="s">
        <v>12118</v>
      </c>
      <c r="Q2428" s="10"/>
      <c r="T2428" s="9">
        <f>560-444</f>
        <v>116</v>
      </c>
      <c r="U2428" s="9">
        <f t="shared" ca="1" si="96"/>
        <v>444</v>
      </c>
      <c r="V2428" s="9">
        <f t="shared" ca="1" si="97"/>
        <v>560</v>
      </c>
      <c r="AG2428" s="9" t="s">
        <v>20</v>
      </c>
    </row>
    <row r="2429" spans="1:33">
      <c r="A2429" s="3" t="s">
        <v>2684</v>
      </c>
      <c r="D2429" s="3" t="s">
        <v>7826</v>
      </c>
      <c r="E2429" s="3" t="s">
        <v>7825</v>
      </c>
      <c r="J2429" s="9" t="s">
        <v>12120</v>
      </c>
      <c r="Q2429" s="10"/>
      <c r="U2429" s="9" t="str">
        <f t="shared" ca="1" si="96"/>
        <v/>
      </c>
      <c r="V2429" s="9" t="str">
        <f t="shared" ca="1" si="97"/>
        <v/>
      </c>
      <c r="AB2429" s="9" t="s">
        <v>12738</v>
      </c>
      <c r="AD2429" s="9" t="s">
        <v>19</v>
      </c>
    </row>
    <row r="2430" spans="1:33">
      <c r="A2430" s="3" t="s">
        <v>2684</v>
      </c>
      <c r="D2430" s="3" t="s">
        <v>7828</v>
      </c>
      <c r="E2430" s="3" t="s">
        <v>7827</v>
      </c>
      <c r="J2430" s="9" t="s">
        <v>25</v>
      </c>
      <c r="L2430" s="9">
        <v>1</v>
      </c>
      <c r="M2430" s="9">
        <v>5</v>
      </c>
      <c r="N2430" s="9" t="s">
        <v>12094</v>
      </c>
      <c r="O2430" s="9" t="s">
        <v>12079</v>
      </c>
      <c r="Q2430" s="10"/>
      <c r="S2430" s="9">
        <v>4240</v>
      </c>
      <c r="U2430" s="9" t="str">
        <f t="shared" ca="1" si="96"/>
        <v/>
      </c>
      <c r="V2430" s="9" t="str">
        <f t="shared" ca="1" si="97"/>
        <v/>
      </c>
      <c r="AG2430" s="9" t="s">
        <v>20</v>
      </c>
    </row>
    <row r="2431" spans="1:33" ht="29">
      <c r="A2431" s="3" t="s">
        <v>2685</v>
      </c>
      <c r="D2431" s="3" t="s">
        <v>7830</v>
      </c>
      <c r="E2431" s="3" t="s">
        <v>7829</v>
      </c>
      <c r="J2431" s="9" t="s">
        <v>25</v>
      </c>
      <c r="L2431" s="9">
        <v>1</v>
      </c>
      <c r="M2431" s="9">
        <v>7</v>
      </c>
      <c r="N2431" s="9" t="s">
        <v>12092</v>
      </c>
      <c r="O2431" s="9" t="s">
        <v>12073</v>
      </c>
      <c r="P2431" s="9" t="s">
        <v>12142</v>
      </c>
      <c r="Q2431" s="10" t="s">
        <v>12160</v>
      </c>
      <c r="S2431" s="9">
        <v>2</v>
      </c>
      <c r="U2431" s="9" t="str">
        <f t="shared" ca="1" si="96"/>
        <v/>
      </c>
      <c r="V2431" s="9" t="str">
        <f t="shared" ca="1" si="97"/>
        <v/>
      </c>
      <c r="AG2431" s="9" t="s">
        <v>20</v>
      </c>
    </row>
    <row r="2432" spans="1:33" ht="29">
      <c r="A2432" s="3" t="s">
        <v>2686</v>
      </c>
      <c r="D2432" s="3" t="s">
        <v>7832</v>
      </c>
      <c r="E2432" s="3" t="s">
        <v>7831</v>
      </c>
      <c r="J2432" s="9" t="s">
        <v>24</v>
      </c>
      <c r="L2432" s="9">
        <v>1</v>
      </c>
      <c r="M2432" s="9">
        <v>2</v>
      </c>
      <c r="N2432" s="9" t="s">
        <v>12078</v>
      </c>
      <c r="O2432" s="9" t="s">
        <v>12119</v>
      </c>
      <c r="Q2432" s="10"/>
      <c r="S2432" s="9">
        <v>11843</v>
      </c>
      <c r="U2432" s="9" t="str">
        <f t="shared" ca="1" si="96"/>
        <v/>
      </c>
      <c r="V2432" s="9" t="str">
        <f t="shared" ca="1" si="97"/>
        <v/>
      </c>
      <c r="AG2432" s="9" t="s">
        <v>20</v>
      </c>
    </row>
    <row r="2433" spans="1:33">
      <c r="A2433" s="3" t="s">
        <v>2687</v>
      </c>
      <c r="D2433" s="3" t="s">
        <v>2688</v>
      </c>
      <c r="E2433" s="3" t="s">
        <v>7833</v>
      </c>
      <c r="G2433" t="s">
        <v>19</v>
      </c>
      <c r="J2433" s="9" t="s">
        <v>12118</v>
      </c>
      <c r="Q2433" s="10"/>
      <c r="T2433" s="9" t="s">
        <v>12131</v>
      </c>
      <c r="U2433" s="9" t="str">
        <f t="shared" ca="1" si="96"/>
        <v/>
      </c>
      <c r="V2433" s="9" t="str">
        <f t="shared" ca="1" si="97"/>
        <v/>
      </c>
      <c r="AE2433" s="9" t="s">
        <v>12077</v>
      </c>
    </row>
    <row r="2434" spans="1:33">
      <c r="A2434" s="3" t="s">
        <v>2689</v>
      </c>
      <c r="D2434" s="3" t="s">
        <v>2691</v>
      </c>
      <c r="E2434" s="3" t="s">
        <v>2690</v>
      </c>
      <c r="J2434" s="9" t="s">
        <v>12120</v>
      </c>
      <c r="Q2434" s="10"/>
      <c r="U2434" s="9" t="str">
        <f t="shared" ca="1" si="96"/>
        <v/>
      </c>
      <c r="V2434" s="9" t="str">
        <f t="shared" ca="1" si="97"/>
        <v/>
      </c>
      <c r="AG2434" s="9" t="s">
        <v>19</v>
      </c>
    </row>
    <row r="2435" spans="1:33" ht="58">
      <c r="A2435" s="3" t="s">
        <v>2692</v>
      </c>
      <c r="D2435" s="3" t="s">
        <v>7835</v>
      </c>
      <c r="E2435" s="3" t="s">
        <v>7834</v>
      </c>
      <c r="I2435" t="s">
        <v>7812</v>
      </c>
      <c r="J2435" s="9" t="s">
        <v>26</v>
      </c>
      <c r="Q2435" s="10"/>
      <c r="U2435" s="9" t="str">
        <f t="shared" ca="1" si="96"/>
        <v/>
      </c>
      <c r="V2435" s="9" t="str">
        <f t="shared" ca="1" si="97"/>
        <v/>
      </c>
      <c r="AG2435" s="9" t="s">
        <v>19</v>
      </c>
    </row>
    <row r="2436" spans="1:33">
      <c r="A2436" s="3" t="s">
        <v>2693</v>
      </c>
      <c r="D2436" s="3" t="s">
        <v>7837</v>
      </c>
      <c r="E2436" s="3" t="s">
        <v>7836</v>
      </c>
      <c r="J2436" s="9" t="s">
        <v>12120</v>
      </c>
      <c r="Q2436" s="10"/>
      <c r="U2436" s="9" t="str">
        <f t="shared" ca="1" si="96"/>
        <v/>
      </c>
      <c r="V2436" s="9" t="str">
        <f t="shared" ca="1" si="97"/>
        <v/>
      </c>
      <c r="AE2436" s="9" t="s">
        <v>12083</v>
      </c>
    </row>
    <row r="2437" spans="1:33" ht="43.5">
      <c r="A2437" s="3" t="s">
        <v>2694</v>
      </c>
      <c r="D2437" s="3" t="s">
        <v>7839</v>
      </c>
      <c r="E2437" s="3" t="s">
        <v>7838</v>
      </c>
      <c r="I2437" t="s">
        <v>12189</v>
      </c>
      <c r="J2437" s="9" t="s">
        <v>26</v>
      </c>
      <c r="Q2437" s="10"/>
      <c r="U2437" s="9" t="str">
        <f t="shared" ca="1" si="96"/>
        <v/>
      </c>
      <c r="V2437" s="9" t="str">
        <f t="shared" ca="1" si="97"/>
        <v/>
      </c>
      <c r="AG2437" s="9" t="s">
        <v>20</v>
      </c>
    </row>
    <row r="2438" spans="1:33">
      <c r="A2438" s="3" t="s">
        <v>2695</v>
      </c>
      <c r="D2438" s="3" t="s">
        <v>7840</v>
      </c>
      <c r="E2438" s="3" t="s">
        <v>7841</v>
      </c>
      <c r="J2438" s="9" t="s">
        <v>24</v>
      </c>
      <c r="L2438" s="9">
        <v>1</v>
      </c>
      <c r="M2438" s="9">
        <v>3</v>
      </c>
      <c r="N2438" s="9" t="s">
        <v>12087</v>
      </c>
      <c r="O2438" s="9" t="s">
        <v>12073</v>
      </c>
      <c r="P2438" s="9" t="s">
        <v>12142</v>
      </c>
      <c r="Q2438" s="10" t="s">
        <v>12143</v>
      </c>
      <c r="R2438" s="9" t="s">
        <v>12074</v>
      </c>
      <c r="S2438" s="9">
        <v>5676</v>
      </c>
      <c r="U2438" s="9" t="str">
        <f t="shared" ca="1" si="96"/>
        <v/>
      </c>
      <c r="V2438" s="9" t="str">
        <f t="shared" ca="1" si="97"/>
        <v/>
      </c>
      <c r="AE2438" s="9" t="s">
        <v>12083</v>
      </c>
    </row>
    <row r="2439" spans="1:33" ht="29">
      <c r="A2439" s="3" t="s">
        <v>2695</v>
      </c>
      <c r="D2439" s="3" t="s">
        <v>7843</v>
      </c>
      <c r="E2439" s="3" t="s">
        <v>7842</v>
      </c>
      <c r="J2439" s="9" t="s">
        <v>24</v>
      </c>
      <c r="L2439" s="9">
        <v>1</v>
      </c>
      <c r="M2439" s="9">
        <v>4</v>
      </c>
      <c r="N2439" s="9" t="s">
        <v>12072</v>
      </c>
      <c r="O2439" s="9" t="s">
        <v>12079</v>
      </c>
      <c r="Q2439" s="10"/>
      <c r="S2439" s="9">
        <v>130</v>
      </c>
      <c r="U2439" s="9" t="str">
        <f t="shared" ca="1" si="96"/>
        <v/>
      </c>
      <c r="V2439" s="9" t="str">
        <f t="shared" ca="1" si="97"/>
        <v/>
      </c>
      <c r="AG2439" s="9" t="s">
        <v>19</v>
      </c>
    </row>
    <row r="2440" spans="1:33">
      <c r="A2440" s="3" t="s">
        <v>2696</v>
      </c>
      <c r="D2440" s="3" t="s">
        <v>7845</v>
      </c>
      <c r="E2440" s="3" t="s">
        <v>7844</v>
      </c>
      <c r="J2440" s="9" t="s">
        <v>12118</v>
      </c>
      <c r="Q2440" s="10"/>
      <c r="T2440" s="9">
        <f xml:space="preserve"> 193-5676</f>
        <v>-5483</v>
      </c>
      <c r="U2440" s="9">
        <f t="shared" ca="1" si="96"/>
        <v>5676</v>
      </c>
      <c r="V2440" s="9">
        <f t="shared" ca="1" si="97"/>
        <v>193</v>
      </c>
      <c r="AG2440" s="9" t="s">
        <v>20</v>
      </c>
    </row>
    <row r="2441" spans="1:33" ht="29">
      <c r="A2441" s="3" t="s">
        <v>2696</v>
      </c>
      <c r="D2441" s="3" t="s">
        <v>7847</v>
      </c>
      <c r="E2441" s="5" t="s">
        <v>7846</v>
      </c>
      <c r="F2441" t="s">
        <v>16</v>
      </c>
      <c r="I2441" t="s">
        <v>12683</v>
      </c>
      <c r="J2441" s="9" t="s">
        <v>25</v>
      </c>
      <c r="L2441" s="9">
        <v>1</v>
      </c>
      <c r="M2441" s="9">
        <v>5</v>
      </c>
      <c r="N2441" s="9" t="s">
        <v>12094</v>
      </c>
      <c r="O2441" s="9" t="s">
        <v>12079</v>
      </c>
      <c r="Q2441" s="10"/>
      <c r="S2441" s="9">
        <v>4240</v>
      </c>
      <c r="U2441" s="9" t="str">
        <f t="shared" ca="1" si="96"/>
        <v/>
      </c>
      <c r="V2441" s="9" t="str">
        <f t="shared" ca="1" si="97"/>
        <v/>
      </c>
      <c r="W2441" s="9" t="s">
        <v>12117</v>
      </c>
    </row>
    <row r="2442" spans="1:33" ht="29">
      <c r="A2442" s="3" t="s">
        <v>2697</v>
      </c>
      <c r="D2442" s="3" t="s">
        <v>7849</v>
      </c>
      <c r="E2442" s="3" t="s">
        <v>7848</v>
      </c>
      <c r="J2442" s="9" t="s">
        <v>12118</v>
      </c>
      <c r="Q2442" s="10"/>
      <c r="T2442" s="9">
        <f>9-31</f>
        <v>-22</v>
      </c>
      <c r="U2442" s="9">
        <f t="shared" ca="1" si="96"/>
        <v>31</v>
      </c>
      <c r="V2442" s="9">
        <f t="shared" ca="1" si="97"/>
        <v>9</v>
      </c>
      <c r="AG2442" s="9" t="s">
        <v>19</v>
      </c>
    </row>
    <row r="2443" spans="1:33" ht="29">
      <c r="A2443" s="3" t="s">
        <v>2698</v>
      </c>
      <c r="D2443" s="3" t="s">
        <v>7851</v>
      </c>
      <c r="E2443" s="3" t="s">
        <v>7850</v>
      </c>
      <c r="J2443" s="9" t="s">
        <v>12118</v>
      </c>
      <c r="Q2443" s="10"/>
      <c r="T2443" s="9">
        <f>356-134</f>
        <v>222</v>
      </c>
      <c r="U2443" s="9">
        <f t="shared" ca="1" si="96"/>
        <v>134</v>
      </c>
      <c r="V2443" s="9">
        <f t="shared" ca="1" si="97"/>
        <v>356</v>
      </c>
      <c r="AG2443" s="9" t="s">
        <v>20</v>
      </c>
    </row>
    <row r="2444" spans="1:33">
      <c r="A2444" s="3" t="s">
        <v>2699</v>
      </c>
      <c r="D2444" s="3" t="s">
        <v>2700</v>
      </c>
      <c r="E2444" s="3" t="s">
        <v>2701</v>
      </c>
      <c r="J2444" s="9" t="s">
        <v>12120</v>
      </c>
      <c r="Q2444" s="10"/>
      <c r="U2444" s="9" t="str">
        <f t="shared" ca="1" si="96"/>
        <v/>
      </c>
      <c r="V2444" s="9" t="str">
        <f t="shared" ca="1" si="97"/>
        <v/>
      </c>
      <c r="AC2444" s="9" t="s">
        <v>12144</v>
      </c>
      <c r="AD2444" s="9" t="s">
        <v>19</v>
      </c>
    </row>
    <row r="2445" spans="1:33">
      <c r="A2445" s="3" t="s">
        <v>2699</v>
      </c>
      <c r="D2445" s="3" t="s">
        <v>7853</v>
      </c>
      <c r="E2445" s="3" t="s">
        <v>7852</v>
      </c>
      <c r="J2445" s="9" t="s">
        <v>25</v>
      </c>
      <c r="L2445" s="9">
        <v>1</v>
      </c>
      <c r="M2445" s="9">
        <v>2</v>
      </c>
      <c r="N2445" s="9" t="s">
        <v>12092</v>
      </c>
      <c r="O2445" s="9" t="s">
        <v>12119</v>
      </c>
      <c r="Q2445" s="10"/>
      <c r="S2445" s="9">
        <v>361</v>
      </c>
      <c r="U2445" s="9" t="str">
        <f t="shared" ca="1" si="96"/>
        <v/>
      </c>
      <c r="V2445" s="9" t="str">
        <f t="shared" ca="1" si="97"/>
        <v/>
      </c>
      <c r="AG2445" s="9" t="s">
        <v>19</v>
      </c>
    </row>
    <row r="2446" spans="1:33">
      <c r="A2446" s="3" t="s">
        <v>2702</v>
      </c>
      <c r="D2446" s="3" t="s">
        <v>1250</v>
      </c>
      <c r="E2446" s="3" t="s">
        <v>2703</v>
      </c>
      <c r="J2446" s="9" t="s">
        <v>12120</v>
      </c>
      <c r="Q2446" s="10"/>
      <c r="U2446" s="9" t="str">
        <f t="shared" ca="1" si="96"/>
        <v/>
      </c>
      <c r="V2446" s="9" t="str">
        <f t="shared" ca="1" si="97"/>
        <v/>
      </c>
      <c r="AC2446" s="9" t="s">
        <v>12153</v>
      </c>
      <c r="AD2446" s="9" t="s">
        <v>19</v>
      </c>
    </row>
    <row r="2447" spans="1:33">
      <c r="A2447" s="3" t="s">
        <v>2702</v>
      </c>
      <c r="D2447" s="3" t="s">
        <v>1850</v>
      </c>
      <c r="E2447" s="3" t="s">
        <v>41</v>
      </c>
      <c r="J2447" s="9" t="s">
        <v>12118</v>
      </c>
      <c r="Q2447" s="10"/>
      <c r="T2447" s="9" t="s">
        <v>12131</v>
      </c>
      <c r="U2447" s="9" t="str">
        <f t="shared" ref="U2447:U2510" ca="1" si="100">IF(ISNUMBER(T2447),VALUE(MID(_xlfn.FORMULATEXT(T2447),SEARCH("-",_xlfn.FORMULATEXT(T2447))+1,LEN(_xlfn.FORMULATEXT(T2447))-SEARCH("-",_xlfn.FORMULATEXT(T2447)))), "")</f>
        <v/>
      </c>
      <c r="V2447" s="9" t="str">
        <f t="shared" ref="V2447:V2510" ca="1" si="101">IF(ISNUMBER(T2447), VALUE(MID(_xlfn.FORMULATEXT(T2447), 2, SEARCH("-", _xlfn.FORMULATEXT(T2447)) - 2)), "")</f>
        <v/>
      </c>
      <c r="AB2447" s="9" t="s">
        <v>12124</v>
      </c>
      <c r="AD2447" s="9" t="s">
        <v>19</v>
      </c>
    </row>
    <row r="2448" spans="1:33">
      <c r="A2448" s="3" t="s">
        <v>2702</v>
      </c>
      <c r="D2448" s="3" t="s">
        <v>7854</v>
      </c>
      <c r="E2448" s="3" t="s">
        <v>7855</v>
      </c>
      <c r="I2448" t="s">
        <v>12684</v>
      </c>
      <c r="J2448" s="9" t="s">
        <v>25</v>
      </c>
      <c r="L2448" s="9">
        <v>1</v>
      </c>
      <c r="M2448" s="9">
        <v>2</v>
      </c>
      <c r="N2448" s="9" t="s">
        <v>12078</v>
      </c>
      <c r="O2448" s="9" t="s">
        <v>12119</v>
      </c>
      <c r="Q2448" s="10"/>
      <c r="S2448" s="9">
        <v>11843</v>
      </c>
      <c r="U2448" s="9" t="str">
        <f t="shared" ca="1" si="100"/>
        <v/>
      </c>
      <c r="V2448" s="9" t="str">
        <f t="shared" ca="1" si="101"/>
        <v/>
      </c>
      <c r="W2448" s="9" t="s">
        <v>12117</v>
      </c>
      <c r="AG2448" s="9" t="s">
        <v>19</v>
      </c>
    </row>
    <row r="2449" spans="1:33">
      <c r="A2449" s="3" t="s">
        <v>2704</v>
      </c>
      <c r="D2449" s="3" t="s">
        <v>7856</v>
      </c>
      <c r="E2449" s="3" t="s">
        <v>7857</v>
      </c>
      <c r="H2449" t="s">
        <v>19</v>
      </c>
      <c r="J2449" s="9" t="s">
        <v>12118</v>
      </c>
      <c r="Q2449" s="10"/>
      <c r="T2449" s="9">
        <f>352-14</f>
        <v>338</v>
      </c>
      <c r="U2449" s="9">
        <f t="shared" ca="1" si="100"/>
        <v>14</v>
      </c>
      <c r="V2449" s="9">
        <f t="shared" ca="1" si="101"/>
        <v>352</v>
      </c>
      <c r="AC2449" s="9" t="s">
        <v>12144</v>
      </c>
      <c r="AD2449" s="9" t="s">
        <v>19</v>
      </c>
      <c r="AE2449" s="9" t="s">
        <v>12083</v>
      </c>
    </row>
    <row r="2450" spans="1:33">
      <c r="A2450" s="3" t="s">
        <v>2704</v>
      </c>
      <c r="D2450" s="3" t="s">
        <v>2705</v>
      </c>
      <c r="E2450" s="3" t="s">
        <v>2706</v>
      </c>
      <c r="J2450" s="9" t="s">
        <v>12120</v>
      </c>
      <c r="Q2450" s="10"/>
      <c r="U2450" s="9" t="str">
        <f t="shared" ca="1" si="100"/>
        <v/>
      </c>
      <c r="V2450" s="9" t="str">
        <f t="shared" ca="1" si="101"/>
        <v/>
      </c>
      <c r="AE2450" s="9" t="s">
        <v>12077</v>
      </c>
    </row>
    <row r="2451" spans="1:33" ht="72.5">
      <c r="A2451" s="3" t="s">
        <v>2707</v>
      </c>
      <c r="D2451" s="3" t="s">
        <v>7859</v>
      </c>
      <c r="E2451" s="3" t="s">
        <v>7858</v>
      </c>
      <c r="I2451" t="s">
        <v>12404</v>
      </c>
      <c r="J2451" s="9" t="s">
        <v>25</v>
      </c>
      <c r="L2451" s="9">
        <v>13</v>
      </c>
      <c r="M2451" s="9">
        <v>65</v>
      </c>
      <c r="O2451" s="9" t="s">
        <v>12079</v>
      </c>
      <c r="Q2451" s="10"/>
      <c r="S2451" s="9">
        <v>31</v>
      </c>
      <c r="U2451" s="9" t="str">
        <f t="shared" ca="1" si="100"/>
        <v/>
      </c>
      <c r="V2451" s="9" t="str">
        <f t="shared" ca="1" si="101"/>
        <v/>
      </c>
      <c r="AG2451" s="9" t="s">
        <v>20</v>
      </c>
    </row>
    <row r="2452" spans="1:33">
      <c r="A2452" s="3" t="s">
        <v>2708</v>
      </c>
      <c r="D2452" s="3" t="s">
        <v>2709</v>
      </c>
      <c r="E2452" s="3" t="s">
        <v>2710</v>
      </c>
      <c r="J2452" s="9" t="s">
        <v>12118</v>
      </c>
      <c r="Q2452" s="10"/>
      <c r="T2452" s="9" t="s">
        <v>12131</v>
      </c>
      <c r="U2452" s="9" t="str">
        <f t="shared" ca="1" si="100"/>
        <v/>
      </c>
      <c r="V2452" s="9" t="str">
        <f t="shared" ca="1" si="101"/>
        <v/>
      </c>
      <c r="AB2452" s="9" t="s">
        <v>12124</v>
      </c>
      <c r="AD2452" s="9" t="s">
        <v>19</v>
      </c>
    </row>
    <row r="2453" spans="1:33" ht="43.5">
      <c r="A2453" s="3" t="s">
        <v>2711</v>
      </c>
      <c r="D2453" s="3" t="s">
        <v>7861</v>
      </c>
      <c r="E2453" s="3" t="s">
        <v>7860</v>
      </c>
      <c r="I2453" t="s">
        <v>12406</v>
      </c>
      <c r="J2453" s="9" t="s">
        <v>24</v>
      </c>
      <c r="L2453" s="9">
        <v>4</v>
      </c>
      <c r="M2453" s="9">
        <v>15</v>
      </c>
      <c r="O2453" s="9" t="s">
        <v>12073</v>
      </c>
      <c r="P2453" s="9" t="s">
        <v>12154</v>
      </c>
      <c r="Q2453" s="10" t="s">
        <v>12405</v>
      </c>
      <c r="S2453" s="9">
        <v>28</v>
      </c>
      <c r="U2453" s="9" t="str">
        <f t="shared" ca="1" si="100"/>
        <v/>
      </c>
      <c r="V2453" s="9" t="str">
        <f t="shared" ca="1" si="101"/>
        <v/>
      </c>
      <c r="AG2453" s="9" t="s">
        <v>20</v>
      </c>
    </row>
    <row r="2454" spans="1:33" ht="29">
      <c r="A2454" s="3" t="s">
        <v>2712</v>
      </c>
      <c r="D2454" s="3" t="s">
        <v>7863</v>
      </c>
      <c r="E2454" s="3" t="s">
        <v>7862</v>
      </c>
      <c r="G2454" t="s">
        <v>20</v>
      </c>
      <c r="I2454" t="s">
        <v>7864</v>
      </c>
      <c r="J2454" s="9" t="s">
        <v>12121</v>
      </c>
      <c r="Q2454" s="10"/>
      <c r="T2454" s="9">
        <f>116-92</f>
        <v>24</v>
      </c>
      <c r="U2454" s="9">
        <f t="shared" ca="1" si="100"/>
        <v>92</v>
      </c>
      <c r="V2454" s="9">
        <f t="shared" ca="1" si="101"/>
        <v>116</v>
      </c>
      <c r="AG2454" s="9" t="s">
        <v>19</v>
      </c>
    </row>
    <row r="2455" spans="1:33">
      <c r="A2455" s="3" t="s">
        <v>2713</v>
      </c>
      <c r="D2455" s="3" t="s">
        <v>7865</v>
      </c>
      <c r="E2455" s="3" t="s">
        <v>7866</v>
      </c>
      <c r="J2455" s="9" t="s">
        <v>12120</v>
      </c>
      <c r="Q2455" s="10"/>
      <c r="U2455" s="9" t="str">
        <f t="shared" ca="1" si="100"/>
        <v/>
      </c>
      <c r="V2455" s="9" t="str">
        <f t="shared" ca="1" si="101"/>
        <v/>
      </c>
      <c r="AE2455" s="9" t="s">
        <v>12083</v>
      </c>
    </row>
    <row r="2456" spans="1:33">
      <c r="A2456" s="3" t="s">
        <v>2713</v>
      </c>
      <c r="D2456" s="3" t="s">
        <v>7867</v>
      </c>
      <c r="E2456" s="3" t="s">
        <v>7868</v>
      </c>
      <c r="J2456" s="9" t="s">
        <v>12120</v>
      </c>
      <c r="Q2456" s="10"/>
      <c r="U2456" s="9" t="str">
        <f t="shared" ca="1" si="100"/>
        <v/>
      </c>
      <c r="V2456" s="9" t="str">
        <f t="shared" ca="1" si="101"/>
        <v/>
      </c>
      <c r="AC2456" s="9" t="s">
        <v>12144</v>
      </c>
      <c r="AD2456" s="9" t="s">
        <v>19</v>
      </c>
      <c r="AE2456" s="9" t="s">
        <v>12077</v>
      </c>
    </row>
    <row r="2457" spans="1:33">
      <c r="A2457" s="3" t="s">
        <v>2714</v>
      </c>
      <c r="D2457" s="3" t="s">
        <v>7869</v>
      </c>
      <c r="E2457" s="3" t="s">
        <v>7870</v>
      </c>
      <c r="G2457" t="s">
        <v>19</v>
      </c>
      <c r="J2457" s="9" t="s">
        <v>12120</v>
      </c>
      <c r="Q2457" s="10"/>
      <c r="U2457" s="9" t="str">
        <f t="shared" ca="1" si="100"/>
        <v/>
      </c>
      <c r="V2457" s="9" t="str">
        <f t="shared" ca="1" si="101"/>
        <v/>
      </c>
      <c r="AC2457" s="9" t="s">
        <v>12134</v>
      </c>
      <c r="AD2457" s="9" t="s">
        <v>19</v>
      </c>
    </row>
    <row r="2458" spans="1:33">
      <c r="A2458" s="3" t="s">
        <v>2715</v>
      </c>
      <c r="D2458" s="3" t="s">
        <v>1840</v>
      </c>
      <c r="E2458" s="3" t="s">
        <v>7871</v>
      </c>
      <c r="J2458" s="9" t="s">
        <v>12118</v>
      </c>
      <c r="Q2458" s="10"/>
      <c r="R2458" s="9" t="s">
        <v>12074</v>
      </c>
      <c r="T2458" s="9" t="s">
        <v>12131</v>
      </c>
      <c r="U2458" s="9" t="str">
        <f t="shared" ca="1" si="100"/>
        <v/>
      </c>
      <c r="V2458" s="9" t="str">
        <f t="shared" ca="1" si="101"/>
        <v/>
      </c>
      <c r="AE2458" s="9" t="s">
        <v>12077</v>
      </c>
    </row>
    <row r="2459" spans="1:33" ht="43.5">
      <c r="A2459" s="3" t="s">
        <v>2716</v>
      </c>
      <c r="D2459" s="3" t="s">
        <v>7873</v>
      </c>
      <c r="E2459" s="3" t="s">
        <v>7872</v>
      </c>
      <c r="I2459" t="s">
        <v>12407</v>
      </c>
      <c r="J2459" s="9" t="s">
        <v>26</v>
      </c>
      <c r="Q2459" s="10"/>
      <c r="U2459" s="9" t="str">
        <f t="shared" ca="1" si="100"/>
        <v/>
      </c>
      <c r="V2459" s="9" t="str">
        <f t="shared" ca="1" si="101"/>
        <v/>
      </c>
      <c r="AG2459" s="9" t="s">
        <v>20</v>
      </c>
    </row>
    <row r="2460" spans="1:33">
      <c r="A2460" s="3" t="s">
        <v>2717</v>
      </c>
      <c r="D2460" s="3" t="s">
        <v>2718</v>
      </c>
      <c r="E2460" s="3" t="s">
        <v>2719</v>
      </c>
      <c r="J2460" s="9" t="s">
        <v>12120</v>
      </c>
      <c r="Q2460" s="10"/>
      <c r="U2460" s="9" t="str">
        <f t="shared" ca="1" si="100"/>
        <v/>
      </c>
      <c r="V2460" s="9" t="str">
        <f t="shared" ca="1" si="101"/>
        <v/>
      </c>
      <c r="AE2460" s="9" t="s">
        <v>12077</v>
      </c>
    </row>
    <row r="2461" spans="1:33">
      <c r="A2461" s="3" t="s">
        <v>2720</v>
      </c>
      <c r="D2461" s="3" t="s">
        <v>7875</v>
      </c>
      <c r="E2461" s="3" t="s">
        <v>7874</v>
      </c>
      <c r="G2461" t="s">
        <v>19</v>
      </c>
      <c r="J2461" s="9" t="s">
        <v>24</v>
      </c>
      <c r="L2461" s="9">
        <v>1</v>
      </c>
      <c r="M2461" s="9">
        <v>3</v>
      </c>
      <c r="N2461" s="9" t="s">
        <v>12078</v>
      </c>
      <c r="O2461" s="9" t="s">
        <v>12073</v>
      </c>
      <c r="P2461" s="9" t="s">
        <v>12149</v>
      </c>
      <c r="Q2461" s="10" t="s">
        <v>12143</v>
      </c>
      <c r="S2461" s="9">
        <v>11843</v>
      </c>
      <c r="U2461" s="9" t="str">
        <f t="shared" ca="1" si="100"/>
        <v/>
      </c>
      <c r="V2461" s="9" t="str">
        <f t="shared" ca="1" si="101"/>
        <v/>
      </c>
    </row>
    <row r="2462" spans="1:33">
      <c r="A2462" s="3" t="s">
        <v>2721</v>
      </c>
      <c r="D2462" s="3" t="s">
        <v>2722</v>
      </c>
      <c r="E2462" s="3" t="s">
        <v>2723</v>
      </c>
      <c r="J2462" s="9" t="s">
        <v>12118</v>
      </c>
      <c r="Q2462" s="10"/>
      <c r="T2462" s="9" t="s">
        <v>12131</v>
      </c>
      <c r="U2462" s="9" t="str">
        <f t="shared" ca="1" si="100"/>
        <v/>
      </c>
      <c r="V2462" s="9" t="str">
        <f t="shared" ca="1" si="101"/>
        <v/>
      </c>
      <c r="AE2462" s="9" t="s">
        <v>12086</v>
      </c>
    </row>
    <row r="2463" spans="1:33">
      <c r="A2463" s="3" t="s">
        <v>2724</v>
      </c>
      <c r="D2463" s="3" t="s">
        <v>7876</v>
      </c>
      <c r="E2463" s="3" t="s">
        <v>7877</v>
      </c>
      <c r="J2463" s="9" t="s">
        <v>12120</v>
      </c>
      <c r="Q2463" s="10"/>
      <c r="U2463" s="9" t="str">
        <f t="shared" ca="1" si="100"/>
        <v/>
      </c>
      <c r="V2463" s="9" t="str">
        <f t="shared" ca="1" si="101"/>
        <v/>
      </c>
      <c r="AB2463" s="9" t="s">
        <v>12737</v>
      </c>
      <c r="AD2463" s="9" t="s">
        <v>19</v>
      </c>
    </row>
    <row r="2464" spans="1:33" ht="29">
      <c r="A2464" s="3" t="s">
        <v>2725</v>
      </c>
      <c r="D2464" s="3" t="s">
        <v>7878</v>
      </c>
      <c r="E2464" s="3" t="s">
        <v>7879</v>
      </c>
      <c r="G2464" t="s">
        <v>19</v>
      </c>
      <c r="J2464" s="9" t="s">
        <v>12121</v>
      </c>
      <c r="Q2464" s="10"/>
      <c r="T2464" s="9">
        <f>780-11843</f>
        <v>-11063</v>
      </c>
      <c r="U2464" s="9">
        <f t="shared" ca="1" si="100"/>
        <v>11843</v>
      </c>
      <c r="V2464" s="9">
        <f t="shared" ca="1" si="101"/>
        <v>780</v>
      </c>
    </row>
    <row r="2465" spans="1:33">
      <c r="A2465" s="3" t="s">
        <v>2725</v>
      </c>
      <c r="D2465" s="3" t="s">
        <v>2726</v>
      </c>
      <c r="E2465" s="3" t="s">
        <v>7880</v>
      </c>
      <c r="J2465" s="9" t="s">
        <v>12118</v>
      </c>
      <c r="Q2465" s="10"/>
      <c r="T2465" s="9" t="s">
        <v>12131</v>
      </c>
      <c r="U2465" s="9" t="str">
        <f t="shared" ca="1" si="100"/>
        <v/>
      </c>
      <c r="V2465" s="9" t="str">
        <f t="shared" ca="1" si="101"/>
        <v/>
      </c>
      <c r="AE2465" s="9" t="s">
        <v>12086</v>
      </c>
    </row>
    <row r="2466" spans="1:33">
      <c r="A2466" s="3" t="s">
        <v>2727</v>
      </c>
      <c r="D2466" s="3" t="s">
        <v>7882</v>
      </c>
      <c r="E2466" s="3" t="s">
        <v>7881</v>
      </c>
      <c r="J2466" s="9" t="s">
        <v>24</v>
      </c>
      <c r="L2466" s="9">
        <v>1</v>
      </c>
      <c r="M2466" s="9">
        <v>4</v>
      </c>
      <c r="N2466" s="9" t="s">
        <v>12094</v>
      </c>
      <c r="O2466" s="9" t="s">
        <v>12079</v>
      </c>
      <c r="Q2466" s="10"/>
      <c r="S2466" s="9">
        <v>4240</v>
      </c>
      <c r="U2466" s="9" t="str">
        <f t="shared" ca="1" si="100"/>
        <v/>
      </c>
      <c r="V2466" s="9" t="str">
        <f t="shared" ca="1" si="101"/>
        <v/>
      </c>
      <c r="AG2466" s="9" t="s">
        <v>19</v>
      </c>
    </row>
    <row r="2467" spans="1:33">
      <c r="A2467" s="3" t="s">
        <v>2728</v>
      </c>
      <c r="D2467" s="3" t="s">
        <v>7884</v>
      </c>
      <c r="E2467" s="3" t="s">
        <v>7883</v>
      </c>
      <c r="J2467" s="9" t="s">
        <v>24</v>
      </c>
      <c r="L2467" s="9">
        <v>1</v>
      </c>
      <c r="M2467" s="9">
        <v>3</v>
      </c>
      <c r="N2467" s="9" t="s">
        <v>12087</v>
      </c>
      <c r="O2467" s="9" t="s">
        <v>12079</v>
      </c>
      <c r="Q2467" s="10"/>
      <c r="S2467" s="9">
        <v>5676</v>
      </c>
      <c r="U2467" s="9" t="str">
        <f t="shared" ca="1" si="100"/>
        <v/>
      </c>
      <c r="V2467" s="9" t="str">
        <f t="shared" ca="1" si="101"/>
        <v/>
      </c>
      <c r="AG2467" s="9" t="s">
        <v>19</v>
      </c>
    </row>
    <row r="2468" spans="1:33" ht="43.5">
      <c r="A2468" s="3" t="s">
        <v>2729</v>
      </c>
      <c r="D2468" s="3" t="s">
        <v>7885</v>
      </c>
      <c r="E2468" s="3" t="s">
        <v>7886</v>
      </c>
      <c r="J2468" s="9" t="s">
        <v>24</v>
      </c>
      <c r="L2468" s="9">
        <v>1</v>
      </c>
      <c r="M2468" s="9">
        <v>3</v>
      </c>
      <c r="N2468" s="9" t="s">
        <v>12087</v>
      </c>
      <c r="O2468" s="9" t="s">
        <v>12073</v>
      </c>
      <c r="P2468" s="9" t="s">
        <v>12142</v>
      </c>
      <c r="Q2468" s="10" t="s">
        <v>12143</v>
      </c>
      <c r="R2468" s="9" t="s">
        <v>12074</v>
      </c>
      <c r="S2468" s="9">
        <v>5676</v>
      </c>
      <c r="U2468" s="9" t="str">
        <f t="shared" ca="1" si="100"/>
        <v/>
      </c>
      <c r="V2468" s="9" t="str">
        <f t="shared" ca="1" si="101"/>
        <v/>
      </c>
      <c r="AE2468" s="9" t="s">
        <v>12083</v>
      </c>
    </row>
    <row r="2469" spans="1:33" ht="43.5">
      <c r="A2469" s="3" t="s">
        <v>2729</v>
      </c>
      <c r="D2469" s="3" t="s">
        <v>7887</v>
      </c>
      <c r="E2469" s="3" t="s">
        <v>7888</v>
      </c>
      <c r="G2469" t="s">
        <v>19</v>
      </c>
      <c r="J2469" s="9" t="s">
        <v>12120</v>
      </c>
      <c r="Q2469" s="10"/>
      <c r="U2469" s="9" t="str">
        <f t="shared" ca="1" si="100"/>
        <v/>
      </c>
      <c r="V2469" s="9" t="str">
        <f t="shared" ca="1" si="101"/>
        <v/>
      </c>
      <c r="AE2469" s="9" t="s">
        <v>12086</v>
      </c>
    </row>
    <row r="2470" spans="1:33" ht="29">
      <c r="A2470" s="3" t="s">
        <v>2730</v>
      </c>
      <c r="D2470" s="3" t="s">
        <v>7889</v>
      </c>
      <c r="E2470" s="3" t="s">
        <v>7890</v>
      </c>
      <c r="G2470" t="s">
        <v>19</v>
      </c>
      <c r="J2470" s="9" t="s">
        <v>12120</v>
      </c>
      <c r="Q2470" s="10"/>
      <c r="U2470" s="9" t="str">
        <f t="shared" ca="1" si="100"/>
        <v/>
      </c>
      <c r="V2470" s="9" t="str">
        <f t="shared" ca="1" si="101"/>
        <v/>
      </c>
    </row>
    <row r="2471" spans="1:33" ht="29">
      <c r="A2471" s="3" t="s">
        <v>2730</v>
      </c>
      <c r="D2471" s="3" t="s">
        <v>7891</v>
      </c>
      <c r="E2471" s="3" t="s">
        <v>7892</v>
      </c>
      <c r="J2471" s="9" t="s">
        <v>12120</v>
      </c>
      <c r="Q2471" s="10"/>
      <c r="U2471" s="9" t="str">
        <f t="shared" ca="1" si="100"/>
        <v/>
      </c>
      <c r="V2471" s="9" t="str">
        <f t="shared" ca="1" si="101"/>
        <v/>
      </c>
      <c r="AG2471" s="9" t="s">
        <v>20</v>
      </c>
    </row>
    <row r="2472" spans="1:33">
      <c r="A2472" s="3" t="s">
        <v>2731</v>
      </c>
      <c r="D2472" s="3" t="s">
        <v>7894</v>
      </c>
      <c r="E2472" s="3" t="s">
        <v>7893</v>
      </c>
      <c r="J2472" s="9" t="s">
        <v>25</v>
      </c>
      <c r="L2472" s="9">
        <v>1</v>
      </c>
      <c r="M2472" s="9">
        <v>5</v>
      </c>
      <c r="N2472" s="9" t="s">
        <v>12094</v>
      </c>
      <c r="O2472" s="9" t="s">
        <v>12079</v>
      </c>
      <c r="Q2472" s="10"/>
      <c r="S2472" s="9">
        <v>4240</v>
      </c>
      <c r="U2472" s="9" t="str">
        <f t="shared" ca="1" si="100"/>
        <v/>
      </c>
      <c r="V2472" s="9" t="str">
        <f t="shared" ca="1" si="101"/>
        <v/>
      </c>
      <c r="AG2472" s="9" t="s">
        <v>19</v>
      </c>
    </row>
    <row r="2473" spans="1:33">
      <c r="A2473" s="3" t="s">
        <v>2731</v>
      </c>
      <c r="D2473" s="3" t="s">
        <v>7896</v>
      </c>
      <c r="E2473" s="3" t="s">
        <v>7895</v>
      </c>
      <c r="I2473" t="s">
        <v>5457</v>
      </c>
      <c r="J2473" s="9" t="s">
        <v>26</v>
      </c>
      <c r="Q2473" s="10"/>
      <c r="U2473" s="9" t="str">
        <f t="shared" ca="1" si="100"/>
        <v/>
      </c>
      <c r="V2473" s="9" t="str">
        <f t="shared" ca="1" si="101"/>
        <v/>
      </c>
      <c r="AG2473" s="9" t="s">
        <v>20</v>
      </c>
    </row>
    <row r="2474" spans="1:33">
      <c r="A2474" s="3" t="s">
        <v>2732</v>
      </c>
      <c r="D2474" s="3" t="s">
        <v>7898</v>
      </c>
      <c r="E2474" s="3" t="s">
        <v>7897</v>
      </c>
      <c r="G2474" t="s">
        <v>19</v>
      </c>
      <c r="J2474" s="9" t="s">
        <v>12118</v>
      </c>
      <c r="Q2474" s="10"/>
      <c r="T2474" s="9">
        <f>25-24</f>
        <v>1</v>
      </c>
      <c r="U2474" s="9">
        <f t="shared" ca="1" si="100"/>
        <v>24</v>
      </c>
      <c r="V2474" s="9">
        <f t="shared" ca="1" si="101"/>
        <v>25</v>
      </c>
    </row>
    <row r="2475" spans="1:33">
      <c r="A2475" s="3" t="s">
        <v>2733</v>
      </c>
      <c r="D2475" s="3" t="s">
        <v>7900</v>
      </c>
      <c r="E2475" s="3" t="s">
        <v>7899</v>
      </c>
      <c r="J2475" s="9" t="s">
        <v>24</v>
      </c>
      <c r="L2475" s="9">
        <v>1</v>
      </c>
      <c r="M2475" s="9">
        <v>3</v>
      </c>
      <c r="N2475" s="9" t="s">
        <v>12087</v>
      </c>
      <c r="O2475" s="9" t="s">
        <v>12079</v>
      </c>
      <c r="Q2475" s="10"/>
      <c r="S2475" s="9">
        <v>810</v>
      </c>
      <c r="U2475" s="9" t="str">
        <f t="shared" ca="1" si="100"/>
        <v/>
      </c>
      <c r="V2475" s="9" t="str">
        <f t="shared" ca="1" si="101"/>
        <v/>
      </c>
      <c r="AG2475" s="9" t="s">
        <v>19</v>
      </c>
    </row>
    <row r="2476" spans="1:33">
      <c r="A2476" s="3" t="s">
        <v>2734</v>
      </c>
      <c r="D2476" s="3" t="s">
        <v>7901</v>
      </c>
      <c r="E2476" s="3" t="s">
        <v>7902</v>
      </c>
      <c r="J2476" s="9" t="s">
        <v>12120</v>
      </c>
      <c r="Q2476" s="10"/>
      <c r="U2476" s="9" t="str">
        <f t="shared" ca="1" si="100"/>
        <v/>
      </c>
      <c r="V2476" s="9" t="str">
        <f t="shared" ca="1" si="101"/>
        <v/>
      </c>
      <c r="AB2476" s="9" t="s">
        <v>12738</v>
      </c>
      <c r="AD2476" s="9" t="s">
        <v>19</v>
      </c>
    </row>
    <row r="2477" spans="1:33">
      <c r="A2477" s="3" t="s">
        <v>2735</v>
      </c>
      <c r="D2477" s="3" t="s">
        <v>7904</v>
      </c>
      <c r="E2477" s="3" t="s">
        <v>7903</v>
      </c>
      <c r="J2477" s="9" t="s">
        <v>12121</v>
      </c>
      <c r="Q2477" s="10"/>
      <c r="T2477" s="9">
        <f>930-1565</f>
        <v>-635</v>
      </c>
      <c r="U2477" s="9">
        <f t="shared" ca="1" si="100"/>
        <v>1565</v>
      </c>
      <c r="V2477" s="9">
        <f t="shared" ca="1" si="101"/>
        <v>930</v>
      </c>
      <c r="AG2477" s="9" t="s">
        <v>20</v>
      </c>
    </row>
    <row r="2478" spans="1:33" ht="29">
      <c r="A2478" s="3" t="s">
        <v>2737</v>
      </c>
      <c r="D2478" s="3" t="s">
        <v>7906</v>
      </c>
      <c r="E2478" s="3" t="s">
        <v>7905</v>
      </c>
      <c r="G2478" t="s">
        <v>19</v>
      </c>
      <c r="J2478" s="9" t="s">
        <v>12120</v>
      </c>
      <c r="Q2478" s="10"/>
      <c r="U2478" s="9" t="str">
        <f t="shared" ca="1" si="100"/>
        <v/>
      </c>
      <c r="V2478" s="9" t="str">
        <f t="shared" ca="1" si="101"/>
        <v/>
      </c>
      <c r="AE2478" s="9" t="s">
        <v>12089</v>
      </c>
    </row>
    <row r="2479" spans="1:33">
      <c r="A2479" s="3" t="s">
        <v>2738</v>
      </c>
      <c r="D2479" s="3" t="s">
        <v>7907</v>
      </c>
      <c r="E2479" s="3" t="s">
        <v>7908</v>
      </c>
      <c r="J2479" s="9" t="s">
        <v>25</v>
      </c>
      <c r="L2479" s="9">
        <v>1</v>
      </c>
      <c r="M2479" s="9">
        <v>2</v>
      </c>
      <c r="N2479" s="9" t="s">
        <v>12087</v>
      </c>
      <c r="O2479" s="9" t="s">
        <v>12079</v>
      </c>
      <c r="Q2479" s="10"/>
      <c r="S2479" s="9">
        <v>166</v>
      </c>
      <c r="U2479" s="9" t="str">
        <f t="shared" ca="1" si="100"/>
        <v/>
      </c>
      <c r="V2479" s="9" t="str">
        <f t="shared" ca="1" si="101"/>
        <v/>
      </c>
      <c r="AG2479" s="9" t="s">
        <v>19</v>
      </c>
    </row>
    <row r="2480" spans="1:33" ht="29">
      <c r="A2480" s="3" t="s">
        <v>2738</v>
      </c>
      <c r="D2480" s="3" t="s">
        <v>7911</v>
      </c>
      <c r="E2480" s="3" t="s">
        <v>7912</v>
      </c>
      <c r="J2480" s="9" t="s">
        <v>12120</v>
      </c>
      <c r="Q2480" s="10"/>
      <c r="U2480" s="9" t="str">
        <f t="shared" ca="1" si="100"/>
        <v/>
      </c>
      <c r="V2480" s="9" t="str">
        <f t="shared" ca="1" si="101"/>
        <v/>
      </c>
      <c r="AG2480" s="9" t="s">
        <v>20</v>
      </c>
    </row>
    <row r="2481" spans="1:33" ht="29">
      <c r="A2481" s="3" t="s">
        <v>2738</v>
      </c>
      <c r="D2481" s="3" t="s">
        <v>7909</v>
      </c>
      <c r="E2481" s="3" t="s">
        <v>7910</v>
      </c>
      <c r="G2481" t="s">
        <v>19</v>
      </c>
      <c r="J2481" s="9" t="s">
        <v>12118</v>
      </c>
      <c r="Q2481" s="10"/>
      <c r="T2481" s="9" t="s">
        <v>12131</v>
      </c>
      <c r="U2481" s="9" t="str">
        <f t="shared" ca="1" si="100"/>
        <v/>
      </c>
      <c r="V2481" s="9" t="str">
        <f t="shared" ca="1" si="101"/>
        <v/>
      </c>
      <c r="AE2481" s="9" t="s">
        <v>12086</v>
      </c>
    </row>
    <row r="2482" spans="1:33">
      <c r="A2482" s="3" t="s">
        <v>2739</v>
      </c>
      <c r="D2482" s="3" t="s">
        <v>7914</v>
      </c>
      <c r="E2482" s="3" t="s">
        <v>7913</v>
      </c>
      <c r="J2482" s="9" t="s">
        <v>12120</v>
      </c>
      <c r="Q2482" s="10"/>
      <c r="U2482" s="9" t="str">
        <f t="shared" ca="1" si="100"/>
        <v/>
      </c>
      <c r="V2482" s="9" t="str">
        <f t="shared" ca="1" si="101"/>
        <v/>
      </c>
      <c r="AB2482" s="9" t="s">
        <v>12082</v>
      </c>
      <c r="AD2482" s="9" t="s">
        <v>19</v>
      </c>
    </row>
    <row r="2483" spans="1:33">
      <c r="A2483" s="3" t="s">
        <v>2740</v>
      </c>
      <c r="D2483" s="3" t="s">
        <v>7916</v>
      </c>
      <c r="E2483" s="3" t="s">
        <v>7917</v>
      </c>
      <c r="G2483" t="s">
        <v>19</v>
      </c>
      <c r="J2483" s="9" t="s">
        <v>12120</v>
      </c>
      <c r="Q2483" s="10"/>
      <c r="U2483" s="9" t="str">
        <f t="shared" ca="1" si="100"/>
        <v/>
      </c>
      <c r="V2483" s="9" t="str">
        <f t="shared" ca="1" si="101"/>
        <v/>
      </c>
      <c r="AE2483" s="9" t="s">
        <v>12089</v>
      </c>
    </row>
    <row r="2484" spans="1:33">
      <c r="A2484" s="3" t="s">
        <v>2740</v>
      </c>
      <c r="D2484" s="3" t="s">
        <v>7915</v>
      </c>
      <c r="E2484" s="3" t="s">
        <v>7918</v>
      </c>
      <c r="G2484" t="s">
        <v>19</v>
      </c>
      <c r="J2484" s="9" t="s">
        <v>24</v>
      </c>
      <c r="L2484" s="9">
        <v>1</v>
      </c>
      <c r="M2484" s="9">
        <v>3</v>
      </c>
      <c r="N2484" s="9" t="s">
        <v>12078</v>
      </c>
      <c r="O2484" s="9" t="s">
        <v>12079</v>
      </c>
      <c r="Q2484" s="10"/>
      <c r="S2484" s="9">
        <v>11843</v>
      </c>
      <c r="U2484" s="9" t="str">
        <f t="shared" ca="1" si="100"/>
        <v/>
      </c>
      <c r="V2484" s="9" t="str">
        <f t="shared" ca="1" si="101"/>
        <v/>
      </c>
    </row>
    <row r="2485" spans="1:33">
      <c r="A2485" s="3" t="s">
        <v>2740</v>
      </c>
      <c r="D2485" s="3" t="s">
        <v>2741</v>
      </c>
      <c r="E2485" s="3" t="s">
        <v>2742</v>
      </c>
      <c r="J2485" s="9" t="s">
        <v>12120</v>
      </c>
      <c r="Q2485" s="10"/>
      <c r="U2485" s="9" t="str">
        <f t="shared" ca="1" si="100"/>
        <v/>
      </c>
      <c r="V2485" s="9" t="str">
        <f t="shared" ca="1" si="101"/>
        <v/>
      </c>
      <c r="AC2485" s="9" t="s">
        <v>12744</v>
      </c>
      <c r="AD2485" s="9" t="s">
        <v>19</v>
      </c>
    </row>
    <row r="2486" spans="1:33">
      <c r="A2486" s="3" t="s">
        <v>2740</v>
      </c>
      <c r="D2486" s="3" t="s">
        <v>7919</v>
      </c>
      <c r="E2486" s="3" t="s">
        <v>7920</v>
      </c>
      <c r="J2486" s="9" t="s">
        <v>12120</v>
      </c>
      <c r="Q2486" s="10"/>
      <c r="U2486" s="9" t="str">
        <f t="shared" ca="1" si="100"/>
        <v/>
      </c>
      <c r="V2486" s="9" t="str">
        <f t="shared" ca="1" si="101"/>
        <v/>
      </c>
      <c r="AE2486" s="9" t="s">
        <v>12083</v>
      </c>
    </row>
    <row r="2487" spans="1:33">
      <c r="A2487" s="3" t="s">
        <v>2740</v>
      </c>
      <c r="D2487" s="3" t="s">
        <v>2743</v>
      </c>
      <c r="E2487" s="3" t="s">
        <v>2744</v>
      </c>
      <c r="J2487" s="9" t="s">
        <v>12120</v>
      </c>
      <c r="Q2487" s="10"/>
      <c r="U2487" s="9" t="str">
        <f t="shared" ca="1" si="100"/>
        <v/>
      </c>
      <c r="V2487" s="9" t="str">
        <f t="shared" ca="1" si="101"/>
        <v/>
      </c>
      <c r="AC2487" s="9" t="s">
        <v>12744</v>
      </c>
      <c r="AD2487" s="9" t="s">
        <v>19</v>
      </c>
    </row>
    <row r="2488" spans="1:33">
      <c r="A2488" s="3" t="s">
        <v>2740</v>
      </c>
      <c r="D2488" s="3" t="s">
        <v>825</v>
      </c>
      <c r="E2488" s="3" t="s">
        <v>2745</v>
      </c>
      <c r="J2488" s="9" t="s">
        <v>12120</v>
      </c>
      <c r="Q2488" s="10"/>
      <c r="U2488" s="9" t="str">
        <f t="shared" ca="1" si="100"/>
        <v/>
      </c>
      <c r="V2488" s="9" t="str">
        <f t="shared" ca="1" si="101"/>
        <v/>
      </c>
      <c r="AC2488" s="9" t="s">
        <v>12408</v>
      </c>
      <c r="AD2488" s="9" t="s">
        <v>19</v>
      </c>
      <c r="AE2488" s="9" t="s">
        <v>12077</v>
      </c>
    </row>
    <row r="2489" spans="1:33">
      <c r="A2489" s="3" t="s">
        <v>2746</v>
      </c>
      <c r="D2489" s="3" t="s">
        <v>2747</v>
      </c>
      <c r="E2489" s="3" t="s">
        <v>2748</v>
      </c>
      <c r="H2489" t="s">
        <v>19</v>
      </c>
      <c r="J2489" s="9" t="s">
        <v>12118</v>
      </c>
      <c r="Q2489" s="10"/>
      <c r="R2489" s="9" t="s">
        <v>12074</v>
      </c>
      <c r="U2489" s="9" t="str">
        <f t="shared" ca="1" si="100"/>
        <v/>
      </c>
      <c r="V2489" s="9" t="str">
        <f t="shared" ca="1" si="101"/>
        <v/>
      </c>
      <c r="AE2489" s="9" t="s">
        <v>12077</v>
      </c>
    </row>
    <row r="2490" spans="1:33">
      <c r="A2490" s="3" t="s">
        <v>2746</v>
      </c>
      <c r="D2490" s="3" t="s">
        <v>7921</v>
      </c>
      <c r="E2490" s="3" t="s">
        <v>7922</v>
      </c>
      <c r="G2490" t="s">
        <v>19</v>
      </c>
      <c r="J2490" s="9" t="s">
        <v>12120</v>
      </c>
      <c r="Q2490" s="10"/>
      <c r="U2490" s="9" t="str">
        <f t="shared" ca="1" si="100"/>
        <v/>
      </c>
      <c r="V2490" s="9" t="str">
        <f t="shared" ca="1" si="101"/>
        <v/>
      </c>
      <c r="AB2490" s="9" t="s">
        <v>12082</v>
      </c>
      <c r="AD2490" s="9" t="s">
        <v>19</v>
      </c>
    </row>
    <row r="2491" spans="1:33" ht="29">
      <c r="A2491" s="3" t="s">
        <v>2749</v>
      </c>
      <c r="D2491" s="3" t="s">
        <v>7924</v>
      </c>
      <c r="E2491" s="3" t="s">
        <v>7923</v>
      </c>
      <c r="I2491" t="s">
        <v>5457</v>
      </c>
      <c r="J2491" s="9" t="s">
        <v>26</v>
      </c>
      <c r="Q2491" s="10"/>
      <c r="U2491" s="9" t="str">
        <f t="shared" ca="1" si="100"/>
        <v/>
      </c>
      <c r="V2491" s="9" t="str">
        <f t="shared" ca="1" si="101"/>
        <v/>
      </c>
      <c r="AG2491" s="9" t="s">
        <v>19</v>
      </c>
    </row>
    <row r="2492" spans="1:33">
      <c r="A2492" s="3" t="s">
        <v>2750</v>
      </c>
      <c r="D2492" s="3" t="s">
        <v>2741</v>
      </c>
      <c r="E2492" s="3" t="s">
        <v>2742</v>
      </c>
      <c r="J2492" s="9" t="s">
        <v>12120</v>
      </c>
      <c r="Q2492" s="10"/>
      <c r="U2492" s="9" t="str">
        <f t="shared" ca="1" si="100"/>
        <v/>
      </c>
      <c r="V2492" s="9" t="str">
        <f t="shared" ca="1" si="101"/>
        <v/>
      </c>
      <c r="AC2492" s="9" t="s">
        <v>12744</v>
      </c>
      <c r="AD2492" s="9" t="s">
        <v>19</v>
      </c>
    </row>
    <row r="2493" spans="1:33">
      <c r="A2493" s="3" t="s">
        <v>2750</v>
      </c>
      <c r="D2493" s="3" t="s">
        <v>7926</v>
      </c>
      <c r="E2493" s="3" t="s">
        <v>7925</v>
      </c>
      <c r="J2493" s="9" t="s">
        <v>24</v>
      </c>
      <c r="L2493" s="9">
        <v>1</v>
      </c>
      <c r="M2493" s="9">
        <v>3</v>
      </c>
      <c r="N2493" s="9" t="s">
        <v>12078</v>
      </c>
      <c r="O2493" s="9" t="s">
        <v>12079</v>
      </c>
      <c r="Q2493" s="10"/>
      <c r="S2493" s="9">
        <v>11843</v>
      </c>
      <c r="U2493" s="9" t="str">
        <f t="shared" ca="1" si="100"/>
        <v/>
      </c>
      <c r="V2493" s="9" t="str">
        <f t="shared" ca="1" si="101"/>
        <v/>
      </c>
      <c r="AG2493" s="9" t="s">
        <v>20</v>
      </c>
    </row>
    <row r="2494" spans="1:33">
      <c r="A2494" s="3" t="s">
        <v>2750</v>
      </c>
      <c r="D2494" s="3" t="s">
        <v>2743</v>
      </c>
      <c r="E2494" s="3" t="s">
        <v>2744</v>
      </c>
      <c r="J2494" s="9" t="s">
        <v>12120</v>
      </c>
      <c r="Q2494" s="10"/>
      <c r="U2494" s="9" t="str">
        <f t="shared" ca="1" si="100"/>
        <v/>
      </c>
      <c r="V2494" s="9" t="str">
        <f t="shared" ca="1" si="101"/>
        <v/>
      </c>
      <c r="AC2494" s="9" t="s">
        <v>12744</v>
      </c>
      <c r="AD2494" s="9" t="s">
        <v>19</v>
      </c>
    </row>
    <row r="2495" spans="1:33" ht="29">
      <c r="A2495" s="3" t="s">
        <v>2751</v>
      </c>
      <c r="D2495" s="3" t="s">
        <v>7927</v>
      </c>
      <c r="E2495" s="3" t="s">
        <v>7928</v>
      </c>
      <c r="J2495" s="9" t="s">
        <v>12118</v>
      </c>
      <c r="Q2495" s="10"/>
      <c r="T2495" s="9">
        <f>2-6</f>
        <v>-4</v>
      </c>
      <c r="U2495" s="9">
        <f t="shared" ca="1" si="100"/>
        <v>6</v>
      </c>
      <c r="V2495" s="9">
        <f t="shared" ca="1" si="101"/>
        <v>2</v>
      </c>
      <c r="AG2495" s="9" t="s">
        <v>19</v>
      </c>
    </row>
    <row r="2496" spans="1:33">
      <c r="A2496" s="3" t="s">
        <v>2752</v>
      </c>
      <c r="D2496" s="3" t="s">
        <v>7930</v>
      </c>
      <c r="E2496" s="3" t="s">
        <v>7929</v>
      </c>
      <c r="G2496" t="s">
        <v>19</v>
      </c>
      <c r="I2496" t="s">
        <v>12409</v>
      </c>
      <c r="J2496" s="9" t="s">
        <v>12118</v>
      </c>
      <c r="Q2496" s="10"/>
      <c r="T2496" s="9">
        <f>8-0</f>
        <v>8</v>
      </c>
      <c r="U2496" s="9">
        <f t="shared" ca="1" si="100"/>
        <v>0</v>
      </c>
      <c r="V2496" s="9">
        <f t="shared" ca="1" si="101"/>
        <v>8</v>
      </c>
    </row>
    <row r="2497" spans="1:33">
      <c r="A2497" s="3" t="s">
        <v>2753</v>
      </c>
      <c r="D2497" s="3" t="s">
        <v>2754</v>
      </c>
      <c r="E2497" s="3" t="s">
        <v>2755</v>
      </c>
      <c r="J2497" s="9" t="s">
        <v>12118</v>
      </c>
      <c r="Q2497" s="10"/>
      <c r="T2497" s="9" t="s">
        <v>12131</v>
      </c>
      <c r="U2497" s="9" t="str">
        <f t="shared" ca="1" si="100"/>
        <v/>
      </c>
      <c r="V2497" s="9" t="str">
        <f t="shared" ca="1" si="101"/>
        <v/>
      </c>
      <c r="AC2497" s="9" t="s">
        <v>12130</v>
      </c>
      <c r="AD2497" s="9" t="s">
        <v>19</v>
      </c>
      <c r="AE2497" s="9" t="s">
        <v>12086</v>
      </c>
    </row>
    <row r="2498" spans="1:33" ht="43.5">
      <c r="A2498" s="3" t="s">
        <v>2756</v>
      </c>
      <c r="D2498" s="3" t="s">
        <v>12410</v>
      </c>
      <c r="E2498" s="3" t="s">
        <v>7931</v>
      </c>
      <c r="G2498" t="s">
        <v>19</v>
      </c>
      <c r="J2498" s="9" t="s">
        <v>12118</v>
      </c>
      <c r="Q2498" s="10"/>
      <c r="T2498" s="9" t="s">
        <v>12131</v>
      </c>
      <c r="U2498" s="9" t="str">
        <f t="shared" ca="1" si="100"/>
        <v/>
      </c>
      <c r="V2498" s="9" t="str">
        <f t="shared" ca="1" si="101"/>
        <v/>
      </c>
      <c r="AE2498" s="9" t="s">
        <v>12086</v>
      </c>
    </row>
    <row r="2499" spans="1:33" ht="43.5">
      <c r="A2499" s="3" t="s">
        <v>2756</v>
      </c>
      <c r="D2499" s="3" t="s">
        <v>7933</v>
      </c>
      <c r="E2499" s="3" t="s">
        <v>7932</v>
      </c>
      <c r="J2499" s="9" t="s">
        <v>12118</v>
      </c>
      <c r="Q2499" s="10"/>
      <c r="T2499" s="9" t="s">
        <v>12131</v>
      </c>
      <c r="U2499" s="9" t="str">
        <f t="shared" ca="1" si="100"/>
        <v/>
      </c>
      <c r="V2499" s="9" t="str">
        <f t="shared" ca="1" si="101"/>
        <v/>
      </c>
      <c r="AC2499" s="9" t="s">
        <v>12742</v>
      </c>
      <c r="AD2499" s="9" t="s">
        <v>19</v>
      </c>
      <c r="AE2499" s="9" t="s">
        <v>12077</v>
      </c>
    </row>
    <row r="2500" spans="1:33" ht="29">
      <c r="A2500" s="3" t="s">
        <v>2756</v>
      </c>
      <c r="D2500" s="3" t="s">
        <v>7935</v>
      </c>
      <c r="E2500" s="3" t="s">
        <v>7934</v>
      </c>
      <c r="G2500" t="s">
        <v>19</v>
      </c>
      <c r="J2500" s="9" t="s">
        <v>12118</v>
      </c>
      <c r="Q2500" s="10"/>
      <c r="T2500" s="9">
        <f>4240-11843</f>
        <v>-7603</v>
      </c>
      <c r="U2500" s="9">
        <f t="shared" ca="1" si="100"/>
        <v>11843</v>
      </c>
      <c r="V2500" s="9">
        <f t="shared" ca="1" si="101"/>
        <v>4240</v>
      </c>
      <c r="AE2500" s="9" t="s">
        <v>12089</v>
      </c>
    </row>
    <row r="2501" spans="1:33">
      <c r="A2501" s="3" t="s">
        <v>2757</v>
      </c>
      <c r="D2501" s="3" t="s">
        <v>2758</v>
      </c>
      <c r="E2501" s="5" t="s">
        <v>2759</v>
      </c>
      <c r="F2501" t="s">
        <v>16</v>
      </c>
      <c r="Q2501" s="10"/>
      <c r="U2501" s="9" t="str">
        <f t="shared" ca="1" si="100"/>
        <v/>
      </c>
      <c r="V2501" s="9" t="str">
        <f t="shared" ca="1" si="101"/>
        <v/>
      </c>
    </row>
    <row r="2502" spans="1:33">
      <c r="A2502" s="3" t="s">
        <v>2760</v>
      </c>
      <c r="D2502" s="3" t="s">
        <v>7937</v>
      </c>
      <c r="E2502" s="3" t="s">
        <v>7936</v>
      </c>
      <c r="G2502" t="s">
        <v>19</v>
      </c>
      <c r="J2502" s="9" t="s">
        <v>12120</v>
      </c>
      <c r="Q2502" s="10"/>
      <c r="U2502" s="9" t="str">
        <f t="shared" ca="1" si="100"/>
        <v/>
      </c>
      <c r="V2502" s="9" t="str">
        <f t="shared" ca="1" si="101"/>
        <v/>
      </c>
      <c r="AB2502" s="9" t="s">
        <v>12082</v>
      </c>
      <c r="AD2502" s="9" t="s">
        <v>19</v>
      </c>
    </row>
    <row r="2503" spans="1:33">
      <c r="A2503" s="3" t="s">
        <v>2760</v>
      </c>
      <c r="D2503" s="5" t="s">
        <v>2761</v>
      </c>
      <c r="E2503" s="3" t="s">
        <v>2762</v>
      </c>
      <c r="F2503" t="s">
        <v>15</v>
      </c>
      <c r="Q2503" s="10"/>
      <c r="U2503" s="9" t="str">
        <f t="shared" ca="1" si="100"/>
        <v/>
      </c>
      <c r="V2503" s="9" t="str">
        <f t="shared" ca="1" si="101"/>
        <v/>
      </c>
    </row>
    <row r="2504" spans="1:33">
      <c r="A2504" s="3" t="s">
        <v>2760</v>
      </c>
      <c r="D2504" s="3" t="s">
        <v>7939</v>
      </c>
      <c r="E2504" s="3" t="s">
        <v>7938</v>
      </c>
      <c r="G2504" t="s">
        <v>19</v>
      </c>
      <c r="J2504" s="9" t="s">
        <v>24</v>
      </c>
      <c r="L2504" s="9">
        <v>1</v>
      </c>
      <c r="M2504" s="9">
        <v>3</v>
      </c>
      <c r="N2504" s="9" t="s">
        <v>12087</v>
      </c>
      <c r="O2504" s="9" t="s">
        <v>12073</v>
      </c>
      <c r="P2504" s="9" t="s">
        <v>12149</v>
      </c>
      <c r="Q2504" s="10" t="s">
        <v>12143</v>
      </c>
      <c r="S2504" s="9">
        <v>5676</v>
      </c>
      <c r="U2504" s="9" t="str">
        <f t="shared" ca="1" si="100"/>
        <v/>
      </c>
      <c r="V2504" s="9" t="str">
        <f t="shared" ca="1" si="101"/>
        <v/>
      </c>
    </row>
    <row r="2505" spans="1:33">
      <c r="A2505" s="3" t="s">
        <v>2763</v>
      </c>
      <c r="D2505" s="3" t="s">
        <v>7941</v>
      </c>
      <c r="E2505" s="3" t="s">
        <v>7940</v>
      </c>
      <c r="I2505" t="s">
        <v>12685</v>
      </c>
      <c r="J2505" s="9" t="s">
        <v>24</v>
      </c>
      <c r="L2505" s="9">
        <v>1</v>
      </c>
      <c r="M2505" s="9">
        <v>3</v>
      </c>
      <c r="N2505" s="9" t="s">
        <v>12087</v>
      </c>
      <c r="O2505" s="9" t="s">
        <v>12079</v>
      </c>
      <c r="Q2505" s="10"/>
      <c r="S2505" s="9">
        <v>5676</v>
      </c>
      <c r="U2505" s="9" t="str">
        <f t="shared" ca="1" si="100"/>
        <v/>
      </c>
      <c r="V2505" s="9" t="str">
        <f t="shared" ca="1" si="101"/>
        <v/>
      </c>
      <c r="W2505" s="9" t="s">
        <v>12117</v>
      </c>
      <c r="AG2505" s="9" t="s">
        <v>19</v>
      </c>
    </row>
    <row r="2506" spans="1:33" ht="29">
      <c r="A2506" s="3" t="s">
        <v>2764</v>
      </c>
      <c r="D2506" s="3" t="s">
        <v>7942</v>
      </c>
      <c r="E2506" s="3" t="s">
        <v>7943</v>
      </c>
      <c r="G2506" t="s">
        <v>19</v>
      </c>
      <c r="J2506" s="9" t="s">
        <v>24</v>
      </c>
      <c r="L2506" s="9">
        <v>1</v>
      </c>
      <c r="M2506" s="9">
        <v>3</v>
      </c>
      <c r="N2506" s="9" t="s">
        <v>12078</v>
      </c>
      <c r="O2506" s="9" t="s">
        <v>12079</v>
      </c>
      <c r="Q2506" s="10"/>
      <c r="S2506" s="9">
        <v>11843</v>
      </c>
      <c r="U2506" s="9" t="str">
        <f t="shared" ca="1" si="100"/>
        <v/>
      </c>
      <c r="V2506" s="9" t="str">
        <f t="shared" ca="1" si="101"/>
        <v/>
      </c>
    </row>
    <row r="2507" spans="1:33" ht="29">
      <c r="A2507" s="3" t="s">
        <v>2764</v>
      </c>
      <c r="D2507" s="3" t="s">
        <v>7942</v>
      </c>
      <c r="E2507" s="3" t="s">
        <v>7944</v>
      </c>
      <c r="J2507" s="9" t="s">
        <v>24</v>
      </c>
      <c r="L2507" s="9">
        <v>2</v>
      </c>
      <c r="M2507" s="9">
        <v>9</v>
      </c>
      <c r="O2507" s="9" t="s">
        <v>12073</v>
      </c>
      <c r="P2507" s="9" t="s">
        <v>12208</v>
      </c>
      <c r="Q2507" s="10" t="s">
        <v>12411</v>
      </c>
      <c r="S2507" s="9">
        <v>4</v>
      </c>
      <c r="U2507" s="9" t="str">
        <f t="shared" ca="1" si="100"/>
        <v/>
      </c>
      <c r="V2507" s="9" t="str">
        <f t="shared" ca="1" si="101"/>
        <v/>
      </c>
      <c r="AE2507" s="9" t="s">
        <v>12083</v>
      </c>
    </row>
    <row r="2508" spans="1:33">
      <c r="A2508" s="3" t="s">
        <v>2765</v>
      </c>
      <c r="D2508" s="3" t="s">
        <v>2766</v>
      </c>
      <c r="E2508" s="3" t="s">
        <v>2767</v>
      </c>
      <c r="J2508" s="9" t="s">
        <v>12118</v>
      </c>
      <c r="Q2508" s="10"/>
      <c r="T2508" s="9" t="s">
        <v>12131</v>
      </c>
      <c r="U2508" s="9" t="str">
        <f t="shared" ca="1" si="100"/>
        <v/>
      </c>
      <c r="V2508" s="9" t="str">
        <f t="shared" ca="1" si="101"/>
        <v/>
      </c>
      <c r="AC2508" s="9" t="s">
        <v>12130</v>
      </c>
      <c r="AD2508" s="9" t="s">
        <v>19</v>
      </c>
      <c r="AE2508" s="9" t="s">
        <v>12086</v>
      </c>
    </row>
    <row r="2509" spans="1:33">
      <c r="A2509" s="3" t="s">
        <v>2768</v>
      </c>
      <c r="D2509" s="3" t="s">
        <v>2769</v>
      </c>
      <c r="E2509" s="3" t="s">
        <v>825</v>
      </c>
      <c r="J2509" s="9" t="s">
        <v>12120</v>
      </c>
      <c r="Q2509" s="10"/>
      <c r="U2509" s="9" t="str">
        <f t="shared" ca="1" si="100"/>
        <v/>
      </c>
      <c r="V2509" s="9" t="str">
        <f t="shared" ca="1" si="101"/>
        <v/>
      </c>
      <c r="AC2509" s="9" t="s">
        <v>12173</v>
      </c>
      <c r="AD2509" s="9" t="s">
        <v>19</v>
      </c>
    </row>
    <row r="2510" spans="1:33">
      <c r="A2510" s="3" t="s">
        <v>2770</v>
      </c>
      <c r="D2510" s="3" t="s">
        <v>2766</v>
      </c>
      <c r="E2510" s="3" t="s">
        <v>2767</v>
      </c>
      <c r="J2510" s="9" t="s">
        <v>12118</v>
      </c>
      <c r="Q2510" s="10"/>
      <c r="T2510" s="9" t="s">
        <v>12131</v>
      </c>
      <c r="U2510" s="9" t="str">
        <f t="shared" ca="1" si="100"/>
        <v/>
      </c>
      <c r="V2510" s="9" t="str">
        <f t="shared" ca="1" si="101"/>
        <v/>
      </c>
      <c r="AC2510" s="9" t="s">
        <v>12130</v>
      </c>
      <c r="AD2510" s="9" t="s">
        <v>19</v>
      </c>
      <c r="AE2510" s="9" t="s">
        <v>12086</v>
      </c>
    </row>
    <row r="2511" spans="1:33">
      <c r="A2511" s="3" t="s">
        <v>2771</v>
      </c>
      <c r="D2511" s="3" t="s">
        <v>430</v>
      </c>
      <c r="E2511" s="3" t="s">
        <v>431</v>
      </c>
      <c r="J2511" s="9" t="s">
        <v>12118</v>
      </c>
      <c r="Q2511" s="10"/>
      <c r="T2511" s="9" t="s">
        <v>12131</v>
      </c>
      <c r="U2511" s="9" t="str">
        <f t="shared" ref="U2511:U2573" ca="1" si="102">IF(ISNUMBER(T2511),VALUE(MID(_xlfn.FORMULATEXT(T2511),SEARCH("-",_xlfn.FORMULATEXT(T2511))+1,LEN(_xlfn.FORMULATEXT(T2511))-SEARCH("-",_xlfn.FORMULATEXT(T2511)))), "")</f>
        <v/>
      </c>
      <c r="V2511" s="9" t="str">
        <f t="shared" ref="V2511:V2573" ca="1" si="103">IF(ISNUMBER(T2511), VALUE(MID(_xlfn.FORMULATEXT(T2511), 2, SEARCH("-", _xlfn.FORMULATEXT(T2511)) - 2)), "")</f>
        <v/>
      </c>
      <c r="AC2511" s="9" t="s">
        <v>12130</v>
      </c>
      <c r="AD2511" s="9" t="s">
        <v>19</v>
      </c>
      <c r="AE2511" s="9" t="s">
        <v>12086</v>
      </c>
    </row>
    <row r="2512" spans="1:33">
      <c r="A2512" s="3" t="s">
        <v>2771</v>
      </c>
      <c r="D2512" s="3" t="s">
        <v>7945</v>
      </c>
      <c r="E2512" s="3" t="s">
        <v>7946</v>
      </c>
      <c r="J2512" s="9" t="s">
        <v>12118</v>
      </c>
      <c r="Q2512" s="10"/>
      <c r="T2512" s="9">
        <f>42-32</f>
        <v>10</v>
      </c>
      <c r="U2512" s="9">
        <f t="shared" ca="1" si="102"/>
        <v>32</v>
      </c>
      <c r="V2512" s="9">
        <f t="shared" ca="1" si="103"/>
        <v>42</v>
      </c>
      <c r="AC2512" s="9" t="s">
        <v>12432</v>
      </c>
      <c r="AD2512" s="9" t="s">
        <v>19</v>
      </c>
    </row>
    <row r="2513" spans="1:33" ht="29">
      <c r="A2513" s="3" t="s">
        <v>2771</v>
      </c>
      <c r="D2513" s="3" t="s">
        <v>7947</v>
      </c>
      <c r="E2513" s="3" t="s">
        <v>7948</v>
      </c>
      <c r="I2513" t="s">
        <v>5457</v>
      </c>
      <c r="J2513" s="9" t="s">
        <v>26</v>
      </c>
      <c r="Q2513" s="10"/>
      <c r="U2513" s="9" t="str">
        <f t="shared" ca="1" si="102"/>
        <v/>
      </c>
      <c r="V2513" s="9" t="str">
        <f t="shared" ca="1" si="103"/>
        <v/>
      </c>
      <c r="AG2513" s="9" t="s">
        <v>20</v>
      </c>
    </row>
    <row r="2514" spans="1:33" ht="29">
      <c r="A2514" s="3" t="s">
        <v>2771</v>
      </c>
      <c r="D2514" s="3" t="s">
        <v>7950</v>
      </c>
      <c r="E2514" s="3" t="s">
        <v>7949</v>
      </c>
      <c r="J2514" s="9" t="s">
        <v>12118</v>
      </c>
      <c r="Q2514" s="10"/>
      <c r="T2514" s="9">
        <f xml:space="preserve"> 36-0</f>
        <v>36</v>
      </c>
      <c r="U2514" s="9">
        <f t="shared" ca="1" si="102"/>
        <v>0</v>
      </c>
      <c r="V2514" s="9">
        <f t="shared" ca="1" si="103"/>
        <v>36</v>
      </c>
      <c r="AG2514" s="9" t="s">
        <v>20</v>
      </c>
    </row>
    <row r="2515" spans="1:33" ht="43.5">
      <c r="A2515" s="3" t="s">
        <v>2772</v>
      </c>
      <c r="D2515" s="3" t="s">
        <v>7951</v>
      </c>
      <c r="E2515" s="3" t="s">
        <v>12412</v>
      </c>
      <c r="I2515" t="s">
        <v>12190</v>
      </c>
      <c r="J2515" s="9" t="s">
        <v>26</v>
      </c>
      <c r="Q2515" s="10"/>
      <c r="U2515" s="9" t="str">
        <f t="shared" ca="1" si="102"/>
        <v/>
      </c>
      <c r="V2515" s="9" t="str">
        <f t="shared" ca="1" si="103"/>
        <v/>
      </c>
      <c r="AG2515" s="9" t="s">
        <v>20</v>
      </c>
    </row>
    <row r="2516" spans="1:33">
      <c r="A2516" s="3" t="s">
        <v>2772</v>
      </c>
      <c r="D2516" s="3" t="s">
        <v>2766</v>
      </c>
      <c r="E2516" s="3" t="s">
        <v>2767</v>
      </c>
      <c r="J2516" s="9" t="s">
        <v>12118</v>
      </c>
      <c r="Q2516" s="10"/>
      <c r="T2516" s="9" t="s">
        <v>12131</v>
      </c>
      <c r="U2516" s="9" t="str">
        <f t="shared" ca="1" si="102"/>
        <v/>
      </c>
      <c r="V2516" s="9" t="str">
        <f t="shared" ca="1" si="103"/>
        <v/>
      </c>
      <c r="AC2516" s="9" t="s">
        <v>12130</v>
      </c>
      <c r="AD2516" s="9" t="s">
        <v>19</v>
      </c>
      <c r="AE2516" s="9" t="s">
        <v>12086</v>
      </c>
    </row>
    <row r="2517" spans="1:33">
      <c r="A2517" s="3" t="s">
        <v>2773</v>
      </c>
      <c r="D2517" s="3" t="s">
        <v>2774</v>
      </c>
      <c r="E2517" s="3" t="s">
        <v>2775</v>
      </c>
      <c r="J2517" s="9" t="s">
        <v>12120</v>
      </c>
      <c r="Q2517" s="10"/>
      <c r="U2517" s="9" t="str">
        <f t="shared" ca="1" si="102"/>
        <v/>
      </c>
      <c r="V2517" s="9" t="str">
        <f t="shared" ca="1" si="103"/>
        <v/>
      </c>
      <c r="AE2517" s="9" t="s">
        <v>12077</v>
      </c>
    </row>
    <row r="2518" spans="1:33">
      <c r="A2518" s="3" t="s">
        <v>2776</v>
      </c>
      <c r="D2518" s="3" t="s">
        <v>7952</v>
      </c>
      <c r="E2518" s="3" t="s">
        <v>7953</v>
      </c>
      <c r="G2518" t="s">
        <v>19</v>
      </c>
      <c r="J2518" s="9" t="s">
        <v>12120</v>
      </c>
      <c r="Q2518" s="10"/>
      <c r="U2518" s="9" t="str">
        <f t="shared" ca="1" si="102"/>
        <v/>
      </c>
      <c r="V2518" s="9" t="str">
        <f t="shared" ca="1" si="103"/>
        <v/>
      </c>
      <c r="AE2518" s="9" t="s">
        <v>12086</v>
      </c>
    </row>
    <row r="2519" spans="1:33" ht="29">
      <c r="A2519" s="3" t="s">
        <v>2776</v>
      </c>
      <c r="D2519" s="3" t="s">
        <v>7954</v>
      </c>
      <c r="E2519" s="3" t="s">
        <v>7955</v>
      </c>
      <c r="J2519" s="9" t="s">
        <v>12118</v>
      </c>
      <c r="Q2519" s="10"/>
      <c r="T2519" s="9">
        <f>1294-485</f>
        <v>809</v>
      </c>
      <c r="U2519" s="9">
        <f t="shared" ca="1" si="102"/>
        <v>485</v>
      </c>
      <c r="V2519" s="9">
        <f t="shared" ca="1" si="103"/>
        <v>1294</v>
      </c>
      <c r="AE2519" s="9" t="s">
        <v>12083</v>
      </c>
    </row>
    <row r="2520" spans="1:33" ht="29">
      <c r="A2520" s="3" t="s">
        <v>2776</v>
      </c>
      <c r="D2520" s="3" t="s">
        <v>7956</v>
      </c>
      <c r="E2520" s="3" t="s">
        <v>7957</v>
      </c>
      <c r="J2520" s="9" t="s">
        <v>12118</v>
      </c>
      <c r="Q2520" s="10"/>
      <c r="T2520" s="9" t="s">
        <v>12131</v>
      </c>
      <c r="U2520" s="9" t="str">
        <f t="shared" ca="1" si="102"/>
        <v/>
      </c>
      <c r="V2520" s="9" t="str">
        <f t="shared" ca="1" si="103"/>
        <v/>
      </c>
      <c r="AE2520" s="9" t="s">
        <v>12077</v>
      </c>
    </row>
    <row r="2521" spans="1:33">
      <c r="A2521" s="3" t="s">
        <v>2777</v>
      </c>
      <c r="D2521" s="3" t="s">
        <v>2778</v>
      </c>
      <c r="E2521" s="3" t="s">
        <v>2779</v>
      </c>
      <c r="J2521" s="9" t="s">
        <v>12118</v>
      </c>
      <c r="Q2521" s="10"/>
      <c r="T2521" s="9" t="s">
        <v>12131</v>
      </c>
      <c r="U2521" s="9" t="str">
        <f t="shared" ca="1" si="102"/>
        <v/>
      </c>
      <c r="V2521" s="9" t="str">
        <f t="shared" ca="1" si="103"/>
        <v/>
      </c>
      <c r="AC2521" s="9" t="s">
        <v>12414</v>
      </c>
      <c r="AD2521" s="9" t="s">
        <v>19</v>
      </c>
      <c r="AE2521" s="9" t="s">
        <v>12077</v>
      </c>
    </row>
    <row r="2522" spans="1:33">
      <c r="A2522" s="3" t="s">
        <v>2780</v>
      </c>
      <c r="D2522" s="3" t="s">
        <v>2781</v>
      </c>
      <c r="E2522" s="3" t="s">
        <v>7958</v>
      </c>
      <c r="G2522" t="s">
        <v>19</v>
      </c>
      <c r="J2522" s="9" t="s">
        <v>12118</v>
      </c>
      <c r="Q2522" s="10"/>
      <c r="T2522" s="9">
        <f>0-0</f>
        <v>0</v>
      </c>
      <c r="U2522" s="9">
        <f t="shared" ca="1" si="102"/>
        <v>0</v>
      </c>
      <c r="V2522" s="9">
        <f t="shared" ca="1" si="103"/>
        <v>0</v>
      </c>
    </row>
    <row r="2523" spans="1:33" ht="29">
      <c r="A2523" s="3" t="s">
        <v>2782</v>
      </c>
      <c r="D2523" s="3" t="s">
        <v>7960</v>
      </c>
      <c r="E2523" s="3" t="s">
        <v>7959</v>
      </c>
      <c r="I2523" t="s">
        <v>5457</v>
      </c>
      <c r="J2523" s="9" t="s">
        <v>26</v>
      </c>
      <c r="Q2523" s="10"/>
      <c r="U2523" s="9" t="str">
        <f t="shared" ca="1" si="102"/>
        <v/>
      </c>
      <c r="V2523" s="9" t="str">
        <f t="shared" ca="1" si="103"/>
        <v/>
      </c>
      <c r="AG2523" s="9" t="s">
        <v>19</v>
      </c>
    </row>
    <row r="2524" spans="1:33" ht="29">
      <c r="A2524" s="3" t="s">
        <v>2782</v>
      </c>
      <c r="D2524" s="3" t="s">
        <v>7962</v>
      </c>
      <c r="E2524" s="3" t="s">
        <v>7961</v>
      </c>
      <c r="I2524" t="s">
        <v>5457</v>
      </c>
      <c r="J2524" s="9" t="s">
        <v>26</v>
      </c>
      <c r="Q2524" s="10"/>
      <c r="U2524" s="9" t="str">
        <f t="shared" ca="1" si="102"/>
        <v/>
      </c>
      <c r="V2524" s="9" t="str">
        <f t="shared" ca="1" si="103"/>
        <v/>
      </c>
      <c r="AG2524" s="9" t="s">
        <v>13141</v>
      </c>
    </row>
    <row r="2525" spans="1:33">
      <c r="A2525" s="3" t="s">
        <v>2782</v>
      </c>
      <c r="D2525" s="3" t="s">
        <v>7963</v>
      </c>
      <c r="E2525" s="3" t="s">
        <v>7964</v>
      </c>
      <c r="J2525" s="9" t="s">
        <v>12120</v>
      </c>
      <c r="Q2525" s="10"/>
      <c r="U2525" s="9" t="str">
        <f t="shared" ca="1" si="102"/>
        <v/>
      </c>
      <c r="V2525" s="9" t="str">
        <f t="shared" ca="1" si="103"/>
        <v/>
      </c>
      <c r="AG2525" s="9" t="s">
        <v>19</v>
      </c>
    </row>
    <row r="2526" spans="1:33" ht="29">
      <c r="A2526" s="3" t="s">
        <v>2782</v>
      </c>
      <c r="D2526" s="3" t="s">
        <v>7965</v>
      </c>
      <c r="E2526" s="3" t="s">
        <v>7966</v>
      </c>
      <c r="J2526" s="9" t="s">
        <v>24</v>
      </c>
      <c r="L2526" s="9">
        <v>1</v>
      </c>
      <c r="M2526" s="9">
        <v>3</v>
      </c>
      <c r="N2526" s="9" t="s">
        <v>12096</v>
      </c>
      <c r="O2526" s="9" t="s">
        <v>12073</v>
      </c>
      <c r="P2526" s="9" t="s">
        <v>12142</v>
      </c>
      <c r="Q2526" s="10" t="s">
        <v>12143</v>
      </c>
      <c r="R2526" s="9" t="s">
        <v>12074</v>
      </c>
      <c r="S2526" s="9">
        <v>1101</v>
      </c>
      <c r="U2526" s="9" t="str">
        <f t="shared" ca="1" si="102"/>
        <v/>
      </c>
      <c r="V2526" s="9" t="str">
        <f t="shared" ca="1" si="103"/>
        <v/>
      </c>
      <c r="AE2526" s="9" t="s">
        <v>12083</v>
      </c>
    </row>
    <row r="2527" spans="1:33">
      <c r="A2527" s="3" t="s">
        <v>2784</v>
      </c>
      <c r="D2527" s="3" t="s">
        <v>2785</v>
      </c>
      <c r="E2527" s="3" t="s">
        <v>2783</v>
      </c>
      <c r="G2527" t="s">
        <v>19</v>
      </c>
      <c r="J2527" s="9" t="s">
        <v>12118</v>
      </c>
      <c r="Q2527" s="10"/>
      <c r="T2527" s="9" t="s">
        <v>12131</v>
      </c>
      <c r="U2527" s="9" t="str">
        <f t="shared" ca="1" si="102"/>
        <v/>
      </c>
      <c r="V2527" s="9" t="str">
        <f t="shared" ca="1" si="103"/>
        <v/>
      </c>
      <c r="AC2527" s="9" t="s">
        <v>12166</v>
      </c>
      <c r="AD2527" s="9" t="s">
        <v>19</v>
      </c>
      <c r="AE2527" s="9" t="s">
        <v>12086</v>
      </c>
    </row>
    <row r="2528" spans="1:33">
      <c r="A2528" s="3" t="s">
        <v>2786</v>
      </c>
      <c r="D2528" s="3" t="s">
        <v>2785</v>
      </c>
      <c r="E2528" s="3" t="s">
        <v>2783</v>
      </c>
      <c r="G2528" t="s">
        <v>19</v>
      </c>
      <c r="J2528" s="9" t="s">
        <v>12118</v>
      </c>
      <c r="Q2528" s="10"/>
      <c r="T2528" s="9" t="s">
        <v>12131</v>
      </c>
      <c r="U2528" s="9" t="str">
        <f t="shared" ca="1" si="102"/>
        <v/>
      </c>
      <c r="V2528" s="9" t="str">
        <f t="shared" ca="1" si="103"/>
        <v/>
      </c>
      <c r="AC2528" s="9" t="s">
        <v>12166</v>
      </c>
      <c r="AD2528" s="9" t="s">
        <v>19</v>
      </c>
      <c r="AE2528" s="9" t="s">
        <v>12086</v>
      </c>
    </row>
    <row r="2529" spans="1:33">
      <c r="A2529" s="3" t="s">
        <v>2787</v>
      </c>
      <c r="D2529" s="3" t="s">
        <v>1383</v>
      </c>
      <c r="E2529" s="3" t="s">
        <v>634</v>
      </c>
      <c r="J2529" s="9" t="s">
        <v>12118</v>
      </c>
      <c r="Q2529" s="10"/>
      <c r="T2529" s="9" t="s">
        <v>12131</v>
      </c>
      <c r="U2529" s="9" t="str">
        <f t="shared" ca="1" si="102"/>
        <v/>
      </c>
      <c r="V2529" s="9" t="str">
        <f t="shared" ca="1" si="103"/>
        <v/>
      </c>
      <c r="AB2529" s="9" t="s">
        <v>12124</v>
      </c>
      <c r="AC2529" s="9" t="s">
        <v>12740</v>
      </c>
      <c r="AD2529" s="9" t="s">
        <v>19</v>
      </c>
    </row>
    <row r="2530" spans="1:33">
      <c r="A2530" s="3" t="s">
        <v>2787</v>
      </c>
      <c r="D2530" s="3" t="s">
        <v>7968</v>
      </c>
      <c r="E2530" s="3" t="s">
        <v>7967</v>
      </c>
      <c r="G2530" t="s">
        <v>19</v>
      </c>
      <c r="J2530" s="9" t="s">
        <v>12118</v>
      </c>
      <c r="Q2530" s="10"/>
      <c r="T2530" s="9">
        <f>142-166</f>
        <v>-24</v>
      </c>
      <c r="U2530" s="9">
        <f t="shared" ca="1" si="102"/>
        <v>166</v>
      </c>
      <c r="V2530" s="9">
        <f t="shared" ca="1" si="103"/>
        <v>142</v>
      </c>
      <c r="AE2530" s="9" t="s">
        <v>12083</v>
      </c>
    </row>
    <row r="2531" spans="1:33" ht="43.5">
      <c r="A2531" s="3" t="s">
        <v>2788</v>
      </c>
      <c r="D2531" s="3" t="s">
        <v>12415</v>
      </c>
      <c r="E2531" s="3" t="s">
        <v>12416</v>
      </c>
      <c r="I2531" t="s">
        <v>12418</v>
      </c>
      <c r="J2531" s="9" t="s">
        <v>25</v>
      </c>
      <c r="L2531" s="9">
        <v>5</v>
      </c>
      <c r="M2531" s="9">
        <v>29</v>
      </c>
      <c r="O2531" s="9" t="s">
        <v>12073</v>
      </c>
      <c r="P2531" s="9" t="s">
        <v>12140</v>
      </c>
      <c r="Q2531" s="10" t="s">
        <v>12417</v>
      </c>
      <c r="S2531" s="9">
        <v>9</v>
      </c>
      <c r="U2531" s="9" t="str">
        <f t="shared" ca="1" si="102"/>
        <v/>
      </c>
      <c r="V2531" s="9" t="str">
        <f t="shared" ca="1" si="103"/>
        <v/>
      </c>
      <c r="AG2531" s="9" t="s">
        <v>20</v>
      </c>
    </row>
    <row r="2532" spans="1:33" ht="43.5">
      <c r="A2532" s="3" t="s">
        <v>2789</v>
      </c>
      <c r="D2532" s="3" t="s">
        <v>7970</v>
      </c>
      <c r="E2532" s="3" t="s">
        <v>7969</v>
      </c>
      <c r="J2532" s="9" t="s">
        <v>24</v>
      </c>
      <c r="L2532" s="9">
        <v>1</v>
      </c>
      <c r="M2532" s="9">
        <v>2</v>
      </c>
      <c r="N2532" s="9" t="s">
        <v>12087</v>
      </c>
      <c r="O2532" s="9" t="s">
        <v>12119</v>
      </c>
      <c r="Q2532" s="10"/>
      <c r="S2532" s="9">
        <v>1966</v>
      </c>
      <c r="U2532" s="9" t="str">
        <f t="shared" ca="1" si="102"/>
        <v/>
      </c>
      <c r="V2532" s="9" t="str">
        <f t="shared" ca="1" si="103"/>
        <v/>
      </c>
      <c r="AG2532" s="9" t="s">
        <v>19</v>
      </c>
    </row>
    <row r="2533" spans="1:33" ht="43.5">
      <c r="A2533" s="3" t="s">
        <v>2789</v>
      </c>
      <c r="D2533" s="3" t="s">
        <v>7971</v>
      </c>
      <c r="E2533" s="3" t="s">
        <v>7972</v>
      </c>
      <c r="G2533" t="s">
        <v>19</v>
      </c>
      <c r="J2533" s="9" t="s">
        <v>12120</v>
      </c>
      <c r="Q2533" s="10"/>
      <c r="U2533" s="9" t="str">
        <f t="shared" ca="1" si="102"/>
        <v/>
      </c>
      <c r="V2533" s="9" t="str">
        <f t="shared" ca="1" si="103"/>
        <v/>
      </c>
      <c r="AE2533" s="9" t="s">
        <v>12089</v>
      </c>
    </row>
    <row r="2534" spans="1:33" ht="43.5">
      <c r="A2534" s="3" t="s">
        <v>2789</v>
      </c>
      <c r="D2534" s="3" t="s">
        <v>7973</v>
      </c>
      <c r="E2534" s="3" t="s">
        <v>7974</v>
      </c>
      <c r="J2534" s="9" t="s">
        <v>12118</v>
      </c>
      <c r="Q2534" s="10"/>
      <c r="T2534" s="9" t="s">
        <v>12131</v>
      </c>
      <c r="U2534" s="9" t="str">
        <f t="shared" ca="1" si="102"/>
        <v/>
      </c>
      <c r="V2534" s="9" t="str">
        <f t="shared" ca="1" si="103"/>
        <v/>
      </c>
      <c r="AE2534" s="9" t="s">
        <v>12077</v>
      </c>
    </row>
    <row r="2535" spans="1:33">
      <c r="A2535" s="3" t="s">
        <v>2790</v>
      </c>
      <c r="D2535" s="3" t="s">
        <v>7976</v>
      </c>
      <c r="E2535" s="3" t="s">
        <v>7975</v>
      </c>
      <c r="J2535" s="9" t="s">
        <v>24</v>
      </c>
      <c r="L2535" s="9">
        <v>1</v>
      </c>
      <c r="M2535" s="9">
        <v>2</v>
      </c>
      <c r="N2535" s="9" t="s">
        <v>12125</v>
      </c>
      <c r="O2535" s="9" t="s">
        <v>12119</v>
      </c>
      <c r="Q2535" s="10"/>
      <c r="S2535" s="9">
        <v>1565</v>
      </c>
      <c r="U2535" s="9" t="str">
        <f t="shared" ca="1" si="102"/>
        <v/>
      </c>
      <c r="V2535" s="9" t="str">
        <f t="shared" ca="1" si="103"/>
        <v/>
      </c>
      <c r="AG2535" s="9" t="s">
        <v>19</v>
      </c>
    </row>
    <row r="2536" spans="1:33" ht="43.5">
      <c r="A2536" s="3" t="s">
        <v>2791</v>
      </c>
      <c r="D2536" s="3" t="s">
        <v>7978</v>
      </c>
      <c r="E2536" s="3" t="s">
        <v>7977</v>
      </c>
      <c r="I2536" t="s">
        <v>12419</v>
      </c>
      <c r="J2536" s="9" t="s">
        <v>25</v>
      </c>
      <c r="L2536" s="9">
        <v>3</v>
      </c>
      <c r="M2536" s="9">
        <v>13</v>
      </c>
      <c r="O2536" s="9" t="s">
        <v>12079</v>
      </c>
      <c r="Q2536" s="10"/>
      <c r="S2536" s="9">
        <v>75</v>
      </c>
      <c r="U2536" s="9" t="str">
        <f t="shared" ca="1" si="102"/>
        <v/>
      </c>
      <c r="V2536" s="9" t="str">
        <f t="shared" ca="1" si="103"/>
        <v/>
      </c>
      <c r="AG2536" s="9" t="s">
        <v>20</v>
      </c>
    </row>
    <row r="2537" spans="1:33" ht="43.5">
      <c r="A2537" s="3" t="s">
        <v>2791</v>
      </c>
      <c r="D2537" s="3" t="s">
        <v>7979</v>
      </c>
      <c r="E2537" s="3" t="s">
        <v>7980</v>
      </c>
      <c r="J2537" s="9" t="s">
        <v>12120</v>
      </c>
      <c r="Q2537" s="10"/>
      <c r="U2537" s="9" t="str">
        <f t="shared" ca="1" si="102"/>
        <v/>
      </c>
      <c r="V2537" s="9" t="str">
        <f t="shared" ca="1" si="103"/>
        <v/>
      </c>
      <c r="AB2537" s="9" t="s">
        <v>12082</v>
      </c>
      <c r="AD2537" s="9" t="s">
        <v>19</v>
      </c>
    </row>
    <row r="2538" spans="1:33" ht="29">
      <c r="A2538" s="3" t="s">
        <v>2792</v>
      </c>
      <c r="D2538" s="6" t="s">
        <v>7982</v>
      </c>
      <c r="E2538" s="3" t="s">
        <v>7981</v>
      </c>
      <c r="F2538" t="s">
        <v>11</v>
      </c>
      <c r="G2538" t="s">
        <v>19</v>
      </c>
      <c r="J2538" s="9" t="s">
        <v>12120</v>
      </c>
      <c r="Q2538" s="10"/>
      <c r="U2538" s="9" t="str">
        <f t="shared" ca="1" si="102"/>
        <v/>
      </c>
      <c r="V2538" s="9" t="str">
        <f t="shared" ca="1" si="103"/>
        <v/>
      </c>
      <c r="AE2538" s="9" t="s">
        <v>12086</v>
      </c>
    </row>
    <row r="2539" spans="1:33" ht="29">
      <c r="A2539" s="3" t="s">
        <v>2793</v>
      </c>
      <c r="D2539" s="3" t="s">
        <v>7983</v>
      </c>
      <c r="E2539" s="3" t="s">
        <v>13044</v>
      </c>
      <c r="J2539" s="9" t="s">
        <v>24</v>
      </c>
      <c r="L2539" s="9">
        <v>2</v>
      </c>
      <c r="M2539" s="9">
        <v>6</v>
      </c>
      <c r="O2539" s="9" t="s">
        <v>12073</v>
      </c>
      <c r="P2539" s="9" t="s">
        <v>12142</v>
      </c>
      <c r="Q2539" s="10" t="s">
        <v>12158</v>
      </c>
      <c r="R2539" s="9" t="s">
        <v>12074</v>
      </c>
      <c r="S2539" s="9">
        <v>560</v>
      </c>
      <c r="U2539" s="9" t="str">
        <f t="shared" ca="1" si="102"/>
        <v/>
      </c>
      <c r="V2539" s="9" t="str">
        <f t="shared" ca="1" si="103"/>
        <v/>
      </c>
      <c r="AE2539" s="9" t="s">
        <v>12083</v>
      </c>
    </row>
    <row r="2540" spans="1:33">
      <c r="A2540" s="3" t="s">
        <v>2793</v>
      </c>
      <c r="D2540" s="3" t="s">
        <v>354</v>
      </c>
      <c r="E2540" s="3" t="s">
        <v>355</v>
      </c>
      <c r="J2540" s="9" t="s">
        <v>12118</v>
      </c>
      <c r="Q2540" s="10"/>
      <c r="T2540" s="9">
        <f>28-20</f>
        <v>8</v>
      </c>
      <c r="U2540" s="9">
        <f t="shared" ca="1" si="102"/>
        <v>20</v>
      </c>
      <c r="V2540" s="9">
        <f t="shared" ca="1" si="103"/>
        <v>28</v>
      </c>
      <c r="AG2540" s="9" t="s">
        <v>19</v>
      </c>
    </row>
    <row r="2541" spans="1:33">
      <c r="A2541" s="3" t="s">
        <v>2794</v>
      </c>
      <c r="D2541" s="3" t="s">
        <v>7984</v>
      </c>
      <c r="E2541" s="3" t="s">
        <v>7985</v>
      </c>
      <c r="J2541" s="9" t="s">
        <v>25</v>
      </c>
      <c r="L2541" s="9">
        <v>1</v>
      </c>
      <c r="M2541" s="9">
        <v>6</v>
      </c>
      <c r="N2541" s="9" t="s">
        <v>12092</v>
      </c>
      <c r="O2541" s="9" t="s">
        <v>12079</v>
      </c>
      <c r="Q2541" s="10"/>
      <c r="S2541" s="9">
        <v>41</v>
      </c>
      <c r="U2541" s="9" t="str">
        <f t="shared" ca="1" si="102"/>
        <v/>
      </c>
      <c r="V2541" s="9" t="str">
        <f t="shared" ca="1" si="103"/>
        <v/>
      </c>
      <c r="AG2541" s="9" t="s">
        <v>19</v>
      </c>
    </row>
    <row r="2542" spans="1:33">
      <c r="A2542" s="3" t="s">
        <v>2795</v>
      </c>
      <c r="D2542" s="3" t="s">
        <v>7986</v>
      </c>
      <c r="E2542" s="3" t="s">
        <v>7987</v>
      </c>
      <c r="J2542" s="9" t="s">
        <v>12120</v>
      </c>
      <c r="Q2542" s="10"/>
      <c r="U2542" s="9" t="str">
        <f t="shared" ca="1" si="102"/>
        <v/>
      </c>
      <c r="V2542" s="9" t="str">
        <f t="shared" ca="1" si="103"/>
        <v/>
      </c>
      <c r="AB2542" s="9" t="s">
        <v>12082</v>
      </c>
      <c r="AD2542" s="9" t="s">
        <v>19</v>
      </c>
    </row>
    <row r="2543" spans="1:33" ht="29">
      <c r="A2543" s="3" t="s">
        <v>2796</v>
      </c>
      <c r="D2543" s="3" t="s">
        <v>7989</v>
      </c>
      <c r="E2543" s="3" t="s">
        <v>7990</v>
      </c>
      <c r="J2543" s="9" t="s">
        <v>12120</v>
      </c>
      <c r="Q2543" s="10"/>
      <c r="U2543" s="9" t="str">
        <f t="shared" ca="1" si="102"/>
        <v/>
      </c>
      <c r="V2543" s="9" t="str">
        <f t="shared" ca="1" si="103"/>
        <v/>
      </c>
      <c r="AB2543" s="9" t="s">
        <v>12737</v>
      </c>
      <c r="AD2543" s="9" t="s">
        <v>19</v>
      </c>
    </row>
    <row r="2544" spans="1:33" ht="29">
      <c r="A2544" s="3" t="s">
        <v>2796</v>
      </c>
      <c r="D2544" s="3" t="s">
        <v>7991</v>
      </c>
      <c r="E2544" s="3" t="s">
        <v>7988</v>
      </c>
      <c r="J2544" s="9" t="s">
        <v>25</v>
      </c>
      <c r="L2544" s="9">
        <v>2</v>
      </c>
      <c r="M2544" s="9">
        <v>8</v>
      </c>
      <c r="O2544" s="9" t="s">
        <v>12079</v>
      </c>
      <c r="Q2544" s="10"/>
      <c r="S2544" s="9">
        <v>58</v>
      </c>
      <c r="U2544" s="9" t="str">
        <f t="shared" ca="1" si="102"/>
        <v/>
      </c>
      <c r="V2544" s="9" t="str">
        <f t="shared" ca="1" si="103"/>
        <v/>
      </c>
      <c r="AG2544" s="9" t="s">
        <v>20</v>
      </c>
    </row>
    <row r="2545" spans="1:33">
      <c r="A2545" s="3" t="s">
        <v>2797</v>
      </c>
      <c r="D2545" s="3" t="s">
        <v>7992</v>
      </c>
      <c r="E2545" s="3" t="s">
        <v>7993</v>
      </c>
      <c r="J2545" s="9" t="s">
        <v>12120</v>
      </c>
      <c r="Q2545" s="10"/>
      <c r="U2545" s="9" t="str">
        <f t="shared" ca="1" si="102"/>
        <v/>
      </c>
      <c r="V2545" s="9" t="str">
        <f t="shared" ca="1" si="103"/>
        <v/>
      </c>
      <c r="AG2545" s="9" t="s">
        <v>20</v>
      </c>
    </row>
    <row r="2546" spans="1:33">
      <c r="A2546" s="3" t="s">
        <v>2797</v>
      </c>
      <c r="D2546" s="3" t="s">
        <v>7994</v>
      </c>
      <c r="E2546" s="3" t="s">
        <v>7995</v>
      </c>
      <c r="J2546" s="9" t="s">
        <v>12120</v>
      </c>
      <c r="Q2546" s="10"/>
      <c r="U2546" s="9" t="str">
        <f t="shared" ca="1" si="102"/>
        <v/>
      </c>
      <c r="V2546" s="9" t="str">
        <f t="shared" ca="1" si="103"/>
        <v/>
      </c>
      <c r="AB2546" s="9" t="s">
        <v>12737</v>
      </c>
      <c r="AD2546" s="9" t="s">
        <v>19</v>
      </c>
    </row>
    <row r="2547" spans="1:33">
      <c r="A2547" s="3" t="s">
        <v>2798</v>
      </c>
      <c r="D2547" s="3" t="s">
        <v>7997</v>
      </c>
      <c r="E2547" s="3" t="s">
        <v>7996</v>
      </c>
      <c r="J2547" s="9" t="s">
        <v>24</v>
      </c>
      <c r="L2547" s="9">
        <v>1</v>
      </c>
      <c r="M2547" s="9">
        <v>2</v>
      </c>
      <c r="N2547" s="9" t="s">
        <v>12087</v>
      </c>
      <c r="O2547" s="9" t="s">
        <v>12119</v>
      </c>
      <c r="Q2547" s="10"/>
      <c r="S2547" s="9">
        <v>1966</v>
      </c>
      <c r="U2547" s="9" t="str">
        <f t="shared" ca="1" si="102"/>
        <v/>
      </c>
      <c r="V2547" s="9" t="str">
        <f t="shared" ca="1" si="103"/>
        <v/>
      </c>
      <c r="AG2547" s="9" t="s">
        <v>19</v>
      </c>
    </row>
    <row r="2548" spans="1:33">
      <c r="A2548" s="3" t="s">
        <v>2799</v>
      </c>
      <c r="D2548" s="6" t="s">
        <v>7998</v>
      </c>
      <c r="E2548" s="3" t="s">
        <v>7999</v>
      </c>
      <c r="G2548" t="s">
        <v>21</v>
      </c>
      <c r="I2548" t="s">
        <v>8000</v>
      </c>
      <c r="J2548" s="9" t="s">
        <v>12120</v>
      </c>
      <c r="Q2548" s="10"/>
      <c r="U2548" s="9" t="str">
        <f t="shared" ca="1" si="102"/>
        <v/>
      </c>
      <c r="V2548" s="9" t="str">
        <f t="shared" ca="1" si="103"/>
        <v/>
      </c>
    </row>
    <row r="2549" spans="1:33" ht="29">
      <c r="A2549" s="3" t="s">
        <v>2800</v>
      </c>
      <c r="D2549" s="3" t="s">
        <v>8002</v>
      </c>
      <c r="E2549" s="3" t="s">
        <v>8001</v>
      </c>
      <c r="J2549" s="9" t="s">
        <v>25</v>
      </c>
      <c r="L2549" s="9">
        <v>1</v>
      </c>
      <c r="M2549" s="9">
        <v>2</v>
      </c>
      <c r="N2549" s="9" t="s">
        <v>12078</v>
      </c>
      <c r="O2549" s="9" t="s">
        <v>12119</v>
      </c>
      <c r="Q2549" s="10"/>
      <c r="S2549" s="9">
        <v>11843</v>
      </c>
      <c r="U2549" s="9" t="str">
        <f t="shared" ca="1" si="102"/>
        <v/>
      </c>
      <c r="V2549" s="9" t="str">
        <f t="shared" ca="1" si="103"/>
        <v/>
      </c>
      <c r="AG2549" s="9" t="s">
        <v>19</v>
      </c>
    </row>
    <row r="2550" spans="1:33" ht="29">
      <c r="A2550" s="3" t="s">
        <v>2800</v>
      </c>
      <c r="D2550" s="3" t="s">
        <v>8003</v>
      </c>
      <c r="E2550" s="3" t="s">
        <v>8004</v>
      </c>
      <c r="J2550" s="9" t="s">
        <v>12120</v>
      </c>
      <c r="Q2550" s="10"/>
      <c r="U2550" s="9" t="str">
        <f t="shared" ca="1" si="102"/>
        <v/>
      </c>
      <c r="V2550" s="9" t="str">
        <f t="shared" ca="1" si="103"/>
        <v/>
      </c>
      <c r="AC2550" s="9" t="s">
        <v>12134</v>
      </c>
      <c r="AD2550" s="9" t="s">
        <v>19</v>
      </c>
      <c r="AE2550" s="9" t="s">
        <v>12077</v>
      </c>
    </row>
    <row r="2551" spans="1:33">
      <c r="A2551" s="3" t="s">
        <v>2800</v>
      </c>
      <c r="D2551" s="3" t="s">
        <v>8005</v>
      </c>
      <c r="E2551" s="3" t="s">
        <v>8006</v>
      </c>
      <c r="G2551" t="s">
        <v>20</v>
      </c>
      <c r="I2551" t="s">
        <v>8007</v>
      </c>
      <c r="Q2551" s="10"/>
      <c r="U2551" s="9" t="str">
        <f t="shared" ca="1" si="102"/>
        <v/>
      </c>
      <c r="V2551" s="9" t="str">
        <f t="shared" ca="1" si="103"/>
        <v/>
      </c>
    </row>
    <row r="2552" spans="1:33">
      <c r="A2552" s="3" t="s">
        <v>2801</v>
      </c>
      <c r="D2552" s="3" t="s">
        <v>8009</v>
      </c>
      <c r="E2552" s="3" t="s">
        <v>8008</v>
      </c>
      <c r="J2552" s="9" t="s">
        <v>25</v>
      </c>
      <c r="L2552" s="9">
        <v>1</v>
      </c>
      <c r="M2552" s="9">
        <v>6</v>
      </c>
      <c r="N2552" s="9" t="s">
        <v>12094</v>
      </c>
      <c r="O2552" s="9" t="s">
        <v>12079</v>
      </c>
      <c r="Q2552" s="10"/>
      <c r="S2552" s="9">
        <v>4240</v>
      </c>
      <c r="U2552" s="9" t="str">
        <f t="shared" ca="1" si="102"/>
        <v/>
      </c>
      <c r="V2552" s="9" t="str">
        <f t="shared" ca="1" si="103"/>
        <v/>
      </c>
      <c r="AG2552" s="9" t="s">
        <v>20</v>
      </c>
    </row>
    <row r="2553" spans="1:33">
      <c r="A2553" s="3" t="s">
        <v>2801</v>
      </c>
      <c r="D2553" s="3" t="s">
        <v>8010</v>
      </c>
      <c r="E2553" s="3" t="s">
        <v>8011</v>
      </c>
      <c r="J2553" s="9" t="s">
        <v>12120</v>
      </c>
      <c r="Q2553" s="10"/>
      <c r="U2553" s="9" t="str">
        <f t="shared" ca="1" si="102"/>
        <v/>
      </c>
      <c r="V2553" s="9" t="str">
        <f t="shared" ca="1" si="103"/>
        <v/>
      </c>
      <c r="AG2553" s="9" t="s">
        <v>20</v>
      </c>
    </row>
    <row r="2554" spans="1:33" ht="29">
      <c r="A2554" s="3" t="s">
        <v>2802</v>
      </c>
      <c r="D2554" s="3" t="s">
        <v>8013</v>
      </c>
      <c r="E2554" s="3" t="s">
        <v>8012</v>
      </c>
      <c r="I2554" t="s">
        <v>5457</v>
      </c>
      <c r="J2554" s="9" t="s">
        <v>26</v>
      </c>
      <c r="Q2554" s="10"/>
      <c r="U2554" s="9" t="str">
        <f t="shared" ca="1" si="102"/>
        <v/>
      </c>
      <c r="V2554" s="9" t="str">
        <f t="shared" ca="1" si="103"/>
        <v/>
      </c>
      <c r="AG2554" s="9" t="s">
        <v>20</v>
      </c>
    </row>
    <row r="2555" spans="1:33">
      <c r="A2555" s="3" t="s">
        <v>2803</v>
      </c>
      <c r="D2555" s="3" t="s">
        <v>8015</v>
      </c>
      <c r="E2555" s="3" t="s">
        <v>8014</v>
      </c>
      <c r="I2555" t="s">
        <v>5457</v>
      </c>
      <c r="J2555" s="9" t="s">
        <v>26</v>
      </c>
      <c r="Q2555" s="10"/>
      <c r="U2555" s="9" t="str">
        <f t="shared" ca="1" si="102"/>
        <v/>
      </c>
      <c r="V2555" s="9" t="str">
        <f t="shared" ca="1" si="103"/>
        <v/>
      </c>
      <c r="AG2555" s="9" t="s">
        <v>20</v>
      </c>
    </row>
    <row r="2556" spans="1:33" ht="29">
      <c r="A2556" s="3" t="s">
        <v>2804</v>
      </c>
      <c r="D2556" s="3" t="s">
        <v>8017</v>
      </c>
      <c r="E2556" s="3" t="s">
        <v>8018</v>
      </c>
      <c r="I2556" t="s">
        <v>5457</v>
      </c>
      <c r="J2556" s="9" t="s">
        <v>26</v>
      </c>
      <c r="Q2556" s="10"/>
      <c r="U2556" s="9" t="str">
        <f t="shared" ca="1" si="102"/>
        <v/>
      </c>
      <c r="V2556" s="9" t="str">
        <f t="shared" ca="1" si="103"/>
        <v/>
      </c>
      <c r="AG2556" s="9" t="s">
        <v>19</v>
      </c>
    </row>
    <row r="2557" spans="1:33" ht="29">
      <c r="A2557" s="3" t="s">
        <v>2804</v>
      </c>
      <c r="D2557" s="3" t="s">
        <v>8016</v>
      </c>
      <c r="E2557" s="3" t="s">
        <v>8019</v>
      </c>
      <c r="J2557" s="9" t="s">
        <v>24</v>
      </c>
      <c r="L2557" s="9">
        <v>1</v>
      </c>
      <c r="M2557" s="9">
        <v>6</v>
      </c>
      <c r="N2557" s="9" t="s">
        <v>12072</v>
      </c>
      <c r="O2557" s="9" t="s">
        <v>12079</v>
      </c>
      <c r="Q2557" s="10"/>
      <c r="S2557" s="9">
        <v>202</v>
      </c>
      <c r="U2557" s="9" t="str">
        <f t="shared" ca="1" si="102"/>
        <v/>
      </c>
      <c r="V2557" s="9" t="str">
        <f t="shared" ca="1" si="103"/>
        <v/>
      </c>
      <c r="AG2557" s="9" t="s">
        <v>19</v>
      </c>
    </row>
    <row r="2558" spans="1:33">
      <c r="A2558" s="3" t="s">
        <v>2805</v>
      </c>
      <c r="D2558" s="3" t="s">
        <v>8021</v>
      </c>
      <c r="E2558" s="3" t="s">
        <v>8020</v>
      </c>
      <c r="J2558" s="9" t="s">
        <v>12120</v>
      </c>
      <c r="Q2558" s="10"/>
      <c r="U2558" s="9" t="str">
        <f t="shared" ca="1" si="102"/>
        <v/>
      </c>
      <c r="V2558" s="9" t="str">
        <f t="shared" ca="1" si="103"/>
        <v/>
      </c>
      <c r="AB2558" s="9" t="s">
        <v>12738</v>
      </c>
      <c r="AD2558" s="9" t="s">
        <v>19</v>
      </c>
    </row>
    <row r="2559" spans="1:33" ht="29">
      <c r="A2559" s="3" t="s">
        <v>2806</v>
      </c>
      <c r="D2559" s="3" t="s">
        <v>8023</v>
      </c>
      <c r="E2559" s="3" t="s">
        <v>8022</v>
      </c>
      <c r="J2559" s="9" t="s">
        <v>24</v>
      </c>
      <c r="L2559" s="9">
        <v>1</v>
      </c>
      <c r="M2559" s="9">
        <v>3</v>
      </c>
      <c r="N2559" s="9" t="s">
        <v>12087</v>
      </c>
      <c r="O2559" s="9" t="s">
        <v>12073</v>
      </c>
      <c r="P2559" s="9" t="s">
        <v>12142</v>
      </c>
      <c r="Q2559" s="10" t="s">
        <v>12143</v>
      </c>
      <c r="R2559" s="9" t="s">
        <v>12074</v>
      </c>
      <c r="S2559" s="9">
        <v>5676</v>
      </c>
      <c r="U2559" s="9" t="str">
        <f t="shared" ca="1" si="102"/>
        <v/>
      </c>
      <c r="V2559" s="9" t="str">
        <f t="shared" ca="1" si="103"/>
        <v/>
      </c>
      <c r="AE2559" s="9" t="s">
        <v>12083</v>
      </c>
    </row>
    <row r="2560" spans="1:33">
      <c r="A2560" s="3" t="s">
        <v>2807</v>
      </c>
      <c r="D2560" s="3" t="s">
        <v>8024</v>
      </c>
      <c r="E2560" s="3" t="s">
        <v>8025</v>
      </c>
      <c r="G2560" t="s">
        <v>20</v>
      </c>
      <c r="I2560" t="s">
        <v>8026</v>
      </c>
      <c r="J2560" s="9" t="s">
        <v>12118</v>
      </c>
      <c r="Q2560" s="10"/>
      <c r="T2560" s="9" t="s">
        <v>12131</v>
      </c>
      <c r="U2560" s="9" t="str">
        <f t="shared" ca="1" si="102"/>
        <v/>
      </c>
      <c r="V2560" s="9" t="str">
        <f t="shared" ca="1" si="103"/>
        <v/>
      </c>
      <c r="AE2560" s="9" t="s">
        <v>12077</v>
      </c>
    </row>
    <row r="2561" spans="1:33">
      <c r="A2561" s="3" t="s">
        <v>2808</v>
      </c>
      <c r="D2561" s="3" t="s">
        <v>8027</v>
      </c>
      <c r="E2561" s="3" t="s">
        <v>8028</v>
      </c>
      <c r="J2561" s="9" t="s">
        <v>25</v>
      </c>
      <c r="L2561" s="9">
        <v>1</v>
      </c>
      <c r="M2561" s="9">
        <v>2</v>
      </c>
      <c r="N2561" s="9" t="s">
        <v>12087</v>
      </c>
      <c r="O2561" s="9" t="s">
        <v>12119</v>
      </c>
      <c r="Q2561" s="10"/>
      <c r="S2561" s="9">
        <v>1966</v>
      </c>
      <c r="U2561" s="9" t="str">
        <f t="shared" ca="1" si="102"/>
        <v/>
      </c>
      <c r="V2561" s="9" t="str">
        <f t="shared" ca="1" si="103"/>
        <v/>
      </c>
      <c r="AG2561" s="9" t="s">
        <v>19</v>
      </c>
    </row>
    <row r="2562" spans="1:33">
      <c r="A2562" s="3" t="s">
        <v>2809</v>
      </c>
      <c r="D2562" s="6" t="s">
        <v>8030</v>
      </c>
      <c r="E2562" s="3" t="s">
        <v>8029</v>
      </c>
      <c r="F2562" t="s">
        <v>11</v>
      </c>
      <c r="G2562" t="s">
        <v>19</v>
      </c>
      <c r="J2562" s="9" t="s">
        <v>12118</v>
      </c>
      <c r="Q2562" s="10"/>
      <c r="T2562" s="9">
        <f>5676-11843</f>
        <v>-6167</v>
      </c>
      <c r="U2562" s="9">
        <f t="shared" ca="1" si="102"/>
        <v>11843</v>
      </c>
      <c r="V2562" s="9">
        <f t="shared" ca="1" si="103"/>
        <v>5676</v>
      </c>
      <c r="AF2562" s="9" t="s">
        <v>19</v>
      </c>
    </row>
    <row r="2563" spans="1:33">
      <c r="A2563" s="3" t="s">
        <v>2809</v>
      </c>
      <c r="D2563" s="3" t="s">
        <v>8031</v>
      </c>
      <c r="E2563" s="3" t="s">
        <v>8032</v>
      </c>
      <c r="J2563" s="9" t="s">
        <v>12118</v>
      </c>
      <c r="Q2563" s="10"/>
      <c r="T2563" s="9" t="s">
        <v>12131</v>
      </c>
      <c r="U2563" s="9" t="str">
        <f t="shared" ca="1" si="102"/>
        <v/>
      </c>
      <c r="V2563" s="9" t="str">
        <f t="shared" ca="1" si="103"/>
        <v/>
      </c>
      <c r="AE2563" s="9" t="s">
        <v>12086</v>
      </c>
    </row>
    <row r="2564" spans="1:33" ht="29">
      <c r="A2564" s="3" t="s">
        <v>2810</v>
      </c>
      <c r="D2564" s="3" t="s">
        <v>8034</v>
      </c>
      <c r="E2564" s="3" t="s">
        <v>8033</v>
      </c>
      <c r="J2564" s="9" t="s">
        <v>25</v>
      </c>
      <c r="L2564" s="9">
        <v>2</v>
      </c>
      <c r="M2564" s="9">
        <v>12</v>
      </c>
      <c r="O2564" s="9" t="s">
        <v>12079</v>
      </c>
      <c r="Q2564" s="10"/>
      <c r="S2564" s="9">
        <v>169</v>
      </c>
      <c r="U2564" s="9" t="str">
        <f t="shared" ca="1" si="102"/>
        <v/>
      </c>
      <c r="V2564" s="9" t="str">
        <f t="shared" ca="1" si="103"/>
        <v/>
      </c>
      <c r="AG2564" s="9" t="s">
        <v>19</v>
      </c>
    </row>
    <row r="2565" spans="1:33">
      <c r="A2565" s="3" t="s">
        <v>2811</v>
      </c>
      <c r="D2565" s="3" t="s">
        <v>8036</v>
      </c>
      <c r="E2565" s="3" t="s">
        <v>8035</v>
      </c>
      <c r="J2565" s="9" t="s">
        <v>24</v>
      </c>
      <c r="L2565" s="9">
        <v>1</v>
      </c>
      <c r="M2565" s="9">
        <v>1</v>
      </c>
      <c r="N2565" s="9" t="s">
        <v>12087</v>
      </c>
      <c r="O2565" s="9" t="s">
        <v>12119</v>
      </c>
      <c r="Q2565" s="10"/>
      <c r="S2565" s="9">
        <v>193</v>
      </c>
      <c r="U2565" s="9" t="str">
        <f t="shared" ca="1" si="102"/>
        <v/>
      </c>
      <c r="V2565" s="9" t="str">
        <f t="shared" ca="1" si="103"/>
        <v/>
      </c>
      <c r="AG2565" s="9" t="s">
        <v>19</v>
      </c>
    </row>
    <row r="2566" spans="1:33">
      <c r="A2566" s="3" t="s">
        <v>2812</v>
      </c>
      <c r="D2566" s="3" t="s">
        <v>8038</v>
      </c>
      <c r="E2566" s="3" t="s">
        <v>8037</v>
      </c>
      <c r="G2566" t="s">
        <v>19</v>
      </c>
      <c r="J2566" s="9" t="s">
        <v>12118</v>
      </c>
      <c r="Q2566" s="10"/>
      <c r="T2566" s="9">
        <f>64-264</f>
        <v>-200</v>
      </c>
      <c r="U2566" s="9">
        <f t="shared" ca="1" si="102"/>
        <v>264</v>
      </c>
      <c r="V2566" s="9">
        <f t="shared" ca="1" si="103"/>
        <v>64</v>
      </c>
      <c r="AC2566" s="9" t="s">
        <v>12134</v>
      </c>
      <c r="AD2566" s="9" t="s">
        <v>19</v>
      </c>
    </row>
    <row r="2567" spans="1:33">
      <c r="A2567" s="3" t="s">
        <v>2812</v>
      </c>
      <c r="D2567" s="3" t="s">
        <v>8040</v>
      </c>
      <c r="E2567" s="3" t="s">
        <v>8039</v>
      </c>
      <c r="J2567" s="9" t="s">
        <v>25</v>
      </c>
      <c r="L2567" s="9">
        <v>1</v>
      </c>
      <c r="M2567" s="9">
        <v>3</v>
      </c>
      <c r="N2567" s="9" t="s">
        <v>12078</v>
      </c>
      <c r="O2567" s="9" t="s">
        <v>12079</v>
      </c>
      <c r="Q2567" s="10"/>
      <c r="S2567" s="9">
        <v>11843</v>
      </c>
      <c r="U2567" s="9" t="str">
        <f t="shared" ca="1" si="102"/>
        <v/>
      </c>
      <c r="V2567" s="9" t="str">
        <f t="shared" ca="1" si="103"/>
        <v/>
      </c>
      <c r="AG2567" s="9" t="s">
        <v>20</v>
      </c>
    </row>
    <row r="2568" spans="1:33">
      <c r="A2568" s="3" t="s">
        <v>2813</v>
      </c>
      <c r="D2568" s="3" t="s">
        <v>8042</v>
      </c>
      <c r="E2568" s="3" t="s">
        <v>8041</v>
      </c>
      <c r="G2568" t="s">
        <v>19</v>
      </c>
      <c r="J2568" s="9" t="s">
        <v>12120</v>
      </c>
      <c r="Q2568" s="10"/>
      <c r="U2568" s="9" t="str">
        <f t="shared" ca="1" si="102"/>
        <v/>
      </c>
      <c r="V2568" s="9" t="str">
        <f t="shared" ca="1" si="103"/>
        <v/>
      </c>
      <c r="AB2568" s="9" t="s">
        <v>12082</v>
      </c>
      <c r="AD2568" s="9" t="s">
        <v>19</v>
      </c>
    </row>
    <row r="2569" spans="1:33">
      <c r="A2569" s="3" t="s">
        <v>2813</v>
      </c>
      <c r="D2569" s="3" t="s">
        <v>8043</v>
      </c>
      <c r="E2569" s="3" t="s">
        <v>8044</v>
      </c>
      <c r="J2569" s="9" t="s">
        <v>12120</v>
      </c>
      <c r="Q2569" s="10"/>
      <c r="U2569" s="9" t="str">
        <f t="shared" ca="1" si="102"/>
        <v/>
      </c>
      <c r="V2569" s="9" t="str">
        <f t="shared" ca="1" si="103"/>
        <v/>
      </c>
      <c r="AB2569" s="9" t="s">
        <v>12082</v>
      </c>
      <c r="AD2569" s="9" t="s">
        <v>19</v>
      </c>
    </row>
    <row r="2570" spans="1:33">
      <c r="A2570" s="3" t="s">
        <v>2814</v>
      </c>
      <c r="D2570" s="3" t="s">
        <v>8045</v>
      </c>
      <c r="E2570" s="3" t="s">
        <v>8046</v>
      </c>
      <c r="J2570" s="9" t="s">
        <v>12118</v>
      </c>
      <c r="Q2570" s="10"/>
      <c r="T2570" s="9">
        <f>27-20</f>
        <v>7</v>
      </c>
      <c r="U2570" s="9">
        <f t="shared" ca="1" si="102"/>
        <v>20</v>
      </c>
      <c r="V2570" s="9">
        <f t="shared" ca="1" si="103"/>
        <v>27</v>
      </c>
      <c r="AG2570" s="9" t="s">
        <v>20</v>
      </c>
    </row>
    <row r="2571" spans="1:33">
      <c r="A2571" s="3" t="s">
        <v>2815</v>
      </c>
      <c r="D2571" s="3" t="s">
        <v>2816</v>
      </c>
      <c r="E2571" s="3" t="s">
        <v>2817</v>
      </c>
      <c r="J2571" s="9" t="s">
        <v>12118</v>
      </c>
      <c r="Q2571" s="10"/>
      <c r="T2571" s="9" t="s">
        <v>12131</v>
      </c>
      <c r="U2571" s="9" t="str">
        <f t="shared" ca="1" si="102"/>
        <v/>
      </c>
      <c r="V2571" s="9" t="str">
        <f t="shared" ca="1" si="103"/>
        <v/>
      </c>
      <c r="AE2571" s="9" t="s">
        <v>12077</v>
      </c>
    </row>
    <row r="2572" spans="1:33" ht="29">
      <c r="A2572" s="3" t="s">
        <v>2818</v>
      </c>
      <c r="D2572" s="3" t="s">
        <v>8048</v>
      </c>
      <c r="E2572" s="3" t="s">
        <v>8047</v>
      </c>
      <c r="J2572" s="9" t="s">
        <v>12118</v>
      </c>
      <c r="Q2572" s="10"/>
      <c r="T2572" s="9">
        <f>66-2</f>
        <v>64</v>
      </c>
      <c r="U2572" s="9">
        <f t="shared" ca="1" si="102"/>
        <v>2</v>
      </c>
      <c r="V2572" s="9">
        <f t="shared" ca="1" si="103"/>
        <v>66</v>
      </c>
      <c r="AG2572" s="9" t="s">
        <v>19</v>
      </c>
    </row>
    <row r="2573" spans="1:33" ht="29">
      <c r="A2573" s="3" t="s">
        <v>2818</v>
      </c>
      <c r="D2573" s="3" t="s">
        <v>12420</v>
      </c>
      <c r="E2573" s="3" t="s">
        <v>8049</v>
      </c>
      <c r="I2573" t="s">
        <v>5457</v>
      </c>
      <c r="J2573" s="9" t="s">
        <v>26</v>
      </c>
      <c r="Q2573" s="10"/>
      <c r="U2573" s="9" t="str">
        <f t="shared" ca="1" si="102"/>
        <v/>
      </c>
      <c r="V2573" s="9" t="str">
        <f t="shared" ca="1" si="103"/>
        <v/>
      </c>
      <c r="AG2573" s="9" t="s">
        <v>19</v>
      </c>
    </row>
    <row r="2574" spans="1:33">
      <c r="A2574" s="3" t="s">
        <v>2819</v>
      </c>
      <c r="D2574" s="3" t="s">
        <v>2820</v>
      </c>
      <c r="E2574" s="3" t="s">
        <v>2821</v>
      </c>
      <c r="J2574" s="9" t="s">
        <v>12120</v>
      </c>
      <c r="Q2574" s="10"/>
      <c r="U2574" s="9" t="str">
        <f t="shared" ref="U2574:U2638" ca="1" si="104">IF(ISNUMBER(T2574),VALUE(MID(_xlfn.FORMULATEXT(T2574),SEARCH("-",_xlfn.FORMULATEXT(T2574))+1,LEN(_xlfn.FORMULATEXT(T2574))-SEARCH("-",_xlfn.FORMULATEXT(T2574)))), "")</f>
        <v/>
      </c>
      <c r="V2574" s="9" t="str">
        <f t="shared" ref="V2574:V2638" ca="1" si="105">IF(ISNUMBER(T2574), VALUE(MID(_xlfn.FORMULATEXT(T2574), 2, SEARCH("-", _xlfn.FORMULATEXT(T2574)) - 2)), "")</f>
        <v/>
      </c>
      <c r="AE2574" s="9" t="s">
        <v>12077</v>
      </c>
    </row>
    <row r="2575" spans="1:33">
      <c r="A2575" s="3" t="s">
        <v>2822</v>
      </c>
      <c r="D2575" s="3" t="s">
        <v>8050</v>
      </c>
      <c r="E2575" s="3" t="s">
        <v>8051</v>
      </c>
      <c r="G2575" t="s">
        <v>19</v>
      </c>
      <c r="I2575" t="s">
        <v>12421</v>
      </c>
      <c r="J2575" s="9" t="s">
        <v>12118</v>
      </c>
      <c r="Q2575" s="10"/>
      <c r="T2575" s="9">
        <f>36-99</f>
        <v>-63</v>
      </c>
      <c r="U2575" s="9">
        <f t="shared" ca="1" si="104"/>
        <v>99</v>
      </c>
      <c r="V2575" s="9">
        <f t="shared" ca="1" si="105"/>
        <v>36</v>
      </c>
      <c r="AE2575" s="9" t="s">
        <v>12089</v>
      </c>
    </row>
    <row r="2576" spans="1:33" ht="72.5">
      <c r="A2576" s="3" t="s">
        <v>2823</v>
      </c>
      <c r="D2576" s="3" t="s">
        <v>8053</v>
      </c>
      <c r="E2576" s="3" t="s">
        <v>8054</v>
      </c>
      <c r="F2576" t="s">
        <v>11</v>
      </c>
      <c r="G2576" t="s">
        <v>19</v>
      </c>
      <c r="I2576" t="s">
        <v>8052</v>
      </c>
      <c r="Q2576" s="10"/>
      <c r="U2576" s="9" t="str">
        <f t="shared" ca="1" si="104"/>
        <v/>
      </c>
      <c r="V2576" s="9" t="str">
        <f t="shared" ca="1" si="105"/>
        <v/>
      </c>
    </row>
    <row r="2577" spans="1:33" ht="72.5">
      <c r="A2577" s="3" t="s">
        <v>2823</v>
      </c>
      <c r="D2577" s="3" t="s">
        <v>8055</v>
      </c>
      <c r="E2577" s="3" t="s">
        <v>8056</v>
      </c>
      <c r="I2577" t="s">
        <v>12422</v>
      </c>
      <c r="J2577" s="9" t="s">
        <v>12118</v>
      </c>
      <c r="Q2577" s="10"/>
      <c r="T2577" s="9">
        <f>810-508</f>
        <v>302</v>
      </c>
      <c r="U2577" s="9">
        <f t="shared" ca="1" si="104"/>
        <v>508</v>
      </c>
      <c r="V2577" s="9">
        <f t="shared" ca="1" si="105"/>
        <v>810</v>
      </c>
      <c r="AG2577" s="9" t="s">
        <v>20</v>
      </c>
    </row>
    <row r="2578" spans="1:33">
      <c r="A2578" s="3" t="s">
        <v>2824</v>
      </c>
      <c r="D2578" s="3" t="s">
        <v>8058</v>
      </c>
      <c r="E2578" s="3" t="s">
        <v>8057</v>
      </c>
      <c r="J2578" s="9" t="s">
        <v>25</v>
      </c>
      <c r="L2578" s="9">
        <v>1</v>
      </c>
      <c r="M2578" s="9">
        <v>2</v>
      </c>
      <c r="N2578" s="9" t="s">
        <v>12123</v>
      </c>
      <c r="O2578" s="9" t="s">
        <v>12119</v>
      </c>
      <c r="Q2578" s="10"/>
      <c r="S2578" s="9">
        <v>887</v>
      </c>
      <c r="U2578" s="9" t="str">
        <f t="shared" ca="1" si="104"/>
        <v/>
      </c>
      <c r="V2578" s="9" t="str">
        <f t="shared" ca="1" si="105"/>
        <v/>
      </c>
      <c r="AG2578" s="9" t="s">
        <v>20</v>
      </c>
    </row>
    <row r="2579" spans="1:33">
      <c r="A2579" s="3" t="s">
        <v>2824</v>
      </c>
      <c r="D2579" s="3" t="s">
        <v>8059</v>
      </c>
      <c r="E2579" s="3" t="s">
        <v>8060</v>
      </c>
      <c r="J2579" s="9" t="s">
        <v>12120</v>
      </c>
      <c r="Q2579" s="10"/>
      <c r="U2579" s="9" t="str">
        <f t="shared" ca="1" si="104"/>
        <v/>
      </c>
      <c r="V2579" s="9" t="str">
        <f t="shared" ca="1" si="105"/>
        <v/>
      </c>
      <c r="AG2579" s="9" t="s">
        <v>19</v>
      </c>
    </row>
    <row r="2580" spans="1:33" ht="29">
      <c r="A2580" s="3" t="s">
        <v>2825</v>
      </c>
      <c r="D2580" s="3" t="s">
        <v>8062</v>
      </c>
      <c r="E2580" s="3" t="s">
        <v>8061</v>
      </c>
      <c r="J2580" s="9" t="s">
        <v>24</v>
      </c>
      <c r="L2580" s="9">
        <v>1</v>
      </c>
      <c r="M2580" s="9">
        <v>4</v>
      </c>
      <c r="N2580" s="9" t="s">
        <v>12078</v>
      </c>
      <c r="O2580" s="9" t="s">
        <v>12073</v>
      </c>
      <c r="P2580" s="9" t="s">
        <v>12149</v>
      </c>
      <c r="Q2580" s="10" t="s">
        <v>12143</v>
      </c>
      <c r="S2580" s="9">
        <v>11843</v>
      </c>
      <c r="U2580" s="9" t="str">
        <f t="shared" ca="1" si="104"/>
        <v/>
      </c>
      <c r="V2580" s="9" t="str">
        <f t="shared" ca="1" si="105"/>
        <v/>
      </c>
      <c r="AG2580" s="9" t="s">
        <v>20</v>
      </c>
    </row>
    <row r="2581" spans="1:33">
      <c r="A2581" s="3" t="s">
        <v>2826</v>
      </c>
      <c r="D2581" s="3" t="s">
        <v>2827</v>
      </c>
      <c r="E2581" s="3" t="s">
        <v>2828</v>
      </c>
      <c r="J2581" s="9" t="s">
        <v>12118</v>
      </c>
      <c r="Q2581" s="10"/>
      <c r="R2581" s="9" t="s">
        <v>12074</v>
      </c>
      <c r="T2581" s="9" t="s">
        <v>12119</v>
      </c>
      <c r="U2581" s="9" t="str">
        <f t="shared" ca="1" si="104"/>
        <v/>
      </c>
      <c r="V2581" s="9" t="str">
        <f t="shared" ca="1" si="105"/>
        <v/>
      </c>
      <c r="AE2581" s="9" t="s">
        <v>12086</v>
      </c>
    </row>
    <row r="2582" spans="1:33">
      <c r="A2582" s="3" t="s">
        <v>2829</v>
      </c>
      <c r="D2582" s="3" t="s">
        <v>8063</v>
      </c>
      <c r="E2582" s="3" t="s">
        <v>8064</v>
      </c>
      <c r="J2582" s="9" t="s">
        <v>25</v>
      </c>
      <c r="L2582" s="9">
        <v>1</v>
      </c>
      <c r="M2582" s="9">
        <v>2</v>
      </c>
      <c r="N2582" s="9" t="s">
        <v>12078</v>
      </c>
      <c r="O2582" s="9" t="s">
        <v>12119</v>
      </c>
      <c r="Q2582" s="10"/>
      <c r="S2582" s="9">
        <v>11843</v>
      </c>
      <c r="U2582" s="9" t="str">
        <f t="shared" ca="1" si="104"/>
        <v/>
      </c>
      <c r="V2582" s="9" t="str">
        <f t="shared" ca="1" si="105"/>
        <v/>
      </c>
      <c r="AG2582" s="9" t="s">
        <v>19</v>
      </c>
    </row>
    <row r="2583" spans="1:33" ht="29">
      <c r="A2583" s="3" t="s">
        <v>2830</v>
      </c>
      <c r="D2583" s="11" t="s">
        <v>8065</v>
      </c>
      <c r="E2583" s="11" t="s">
        <v>8066</v>
      </c>
      <c r="J2583" s="9" t="s">
        <v>12120</v>
      </c>
      <c r="Q2583" s="10"/>
      <c r="U2583" s="9" t="str">
        <f t="shared" ca="1" si="104"/>
        <v/>
      </c>
      <c r="V2583" s="9" t="str">
        <f t="shared" ca="1" si="105"/>
        <v/>
      </c>
      <c r="AB2583" s="9" t="s">
        <v>12737</v>
      </c>
      <c r="AD2583" s="9" t="s">
        <v>19</v>
      </c>
    </row>
    <row r="2584" spans="1:33" ht="29">
      <c r="A2584" s="3" t="s">
        <v>2830</v>
      </c>
      <c r="D2584" s="11" t="s">
        <v>8067</v>
      </c>
      <c r="E2584" s="11" t="s">
        <v>8068</v>
      </c>
      <c r="G2584" t="s">
        <v>19</v>
      </c>
      <c r="J2584" s="9" t="s">
        <v>12120</v>
      </c>
      <c r="Q2584" s="10"/>
      <c r="U2584" s="9" t="str">
        <f t="shared" ca="1" si="104"/>
        <v/>
      </c>
      <c r="V2584" s="9" t="str">
        <f t="shared" ca="1" si="105"/>
        <v/>
      </c>
      <c r="AB2584" s="9" t="s">
        <v>12082</v>
      </c>
      <c r="AD2584" s="9" t="s">
        <v>19</v>
      </c>
    </row>
    <row r="2585" spans="1:33">
      <c r="A2585" s="3" t="s">
        <v>2831</v>
      </c>
      <c r="D2585" s="3" t="s">
        <v>8069</v>
      </c>
      <c r="E2585" s="3" t="s">
        <v>8070</v>
      </c>
      <c r="J2585" s="9" t="s">
        <v>12118</v>
      </c>
      <c r="Q2585" s="10"/>
      <c r="T2585" s="9" t="s">
        <v>12131</v>
      </c>
      <c r="U2585" s="9" t="str">
        <f t="shared" ca="1" si="104"/>
        <v/>
      </c>
      <c r="V2585" s="9" t="str">
        <f t="shared" ca="1" si="105"/>
        <v/>
      </c>
      <c r="AC2585" s="9" t="s">
        <v>12188</v>
      </c>
      <c r="AD2585" s="9" t="s">
        <v>19</v>
      </c>
    </row>
    <row r="2586" spans="1:33">
      <c r="A2586" s="3" t="s">
        <v>2831</v>
      </c>
      <c r="D2586" s="3" t="s">
        <v>8072</v>
      </c>
      <c r="E2586" s="3" t="s">
        <v>8071</v>
      </c>
      <c r="G2586" t="s">
        <v>19</v>
      </c>
      <c r="J2586" s="9" t="s">
        <v>12118</v>
      </c>
      <c r="Q2586" s="10"/>
      <c r="T2586" s="9">
        <f>160-4240</f>
        <v>-4080</v>
      </c>
      <c r="U2586" s="9">
        <f t="shared" ca="1" si="104"/>
        <v>4240</v>
      </c>
      <c r="V2586" s="9">
        <f t="shared" ca="1" si="105"/>
        <v>160</v>
      </c>
    </row>
    <row r="2587" spans="1:33">
      <c r="A2587" s="3" t="s">
        <v>2832</v>
      </c>
      <c r="D2587" s="3" t="s">
        <v>12423</v>
      </c>
      <c r="E2587" s="3" t="s">
        <v>8073</v>
      </c>
      <c r="J2587" s="9" t="s">
        <v>24</v>
      </c>
      <c r="L2587" s="9">
        <v>1</v>
      </c>
      <c r="M2587" s="9">
        <v>5</v>
      </c>
      <c r="N2587" s="9" t="s">
        <v>12125</v>
      </c>
      <c r="O2587" s="9" t="s">
        <v>12079</v>
      </c>
      <c r="Q2587" s="10"/>
      <c r="S2587" s="9">
        <v>2042</v>
      </c>
      <c r="U2587" s="9" t="str">
        <f t="shared" ca="1" si="104"/>
        <v/>
      </c>
      <c r="V2587" s="9" t="str">
        <f t="shared" ca="1" si="105"/>
        <v/>
      </c>
      <c r="AE2587" s="9" t="s">
        <v>12089</v>
      </c>
    </row>
    <row r="2588" spans="1:33">
      <c r="A2588" s="3" t="s">
        <v>2832</v>
      </c>
      <c r="D2588" s="3" t="s">
        <v>8074</v>
      </c>
      <c r="E2588" s="3" t="s">
        <v>8075</v>
      </c>
      <c r="J2588" s="9" t="s">
        <v>12120</v>
      </c>
      <c r="Q2588" s="10"/>
      <c r="U2588" s="9" t="str">
        <f t="shared" ca="1" si="104"/>
        <v/>
      </c>
      <c r="V2588" s="9" t="str">
        <f t="shared" ca="1" si="105"/>
        <v/>
      </c>
      <c r="AG2588" s="9" t="s">
        <v>20</v>
      </c>
    </row>
    <row r="2589" spans="1:33">
      <c r="A2589" s="3" t="s">
        <v>2832</v>
      </c>
      <c r="D2589" s="3" t="s">
        <v>8076</v>
      </c>
      <c r="E2589" s="5" t="s">
        <v>8077</v>
      </c>
      <c r="F2589" t="s">
        <v>16</v>
      </c>
      <c r="Q2589" s="10"/>
      <c r="U2589" s="9" t="str">
        <f t="shared" ca="1" si="104"/>
        <v/>
      </c>
      <c r="V2589" s="9" t="str">
        <f t="shared" ca="1" si="105"/>
        <v/>
      </c>
    </row>
    <row r="2590" spans="1:33" ht="58">
      <c r="A2590" s="3" t="s">
        <v>2833</v>
      </c>
      <c r="D2590" s="3" t="s">
        <v>13045</v>
      </c>
      <c r="E2590" s="5" t="s">
        <v>8078</v>
      </c>
      <c r="F2590" t="s">
        <v>32</v>
      </c>
      <c r="I2590" t="s">
        <v>13046</v>
      </c>
      <c r="J2590" s="9" t="s">
        <v>12120</v>
      </c>
      <c r="Q2590" s="10"/>
      <c r="AC2590" s="9" t="s">
        <v>12130</v>
      </c>
      <c r="AD2590" s="9" t="s">
        <v>19</v>
      </c>
    </row>
    <row r="2591" spans="1:33" ht="58">
      <c r="A2591" s="3" t="s">
        <v>2833</v>
      </c>
      <c r="D2591" s="3" t="s">
        <v>8080</v>
      </c>
      <c r="E2591" s="3" t="s">
        <v>8079</v>
      </c>
      <c r="J2591" s="9" t="s">
        <v>12118</v>
      </c>
      <c r="Q2591" s="10"/>
      <c r="T2591" s="9">
        <f>526-887</f>
        <v>-361</v>
      </c>
      <c r="U2591" s="9">
        <f t="shared" ca="1" si="104"/>
        <v>887</v>
      </c>
      <c r="V2591" s="9">
        <f t="shared" ca="1" si="105"/>
        <v>526</v>
      </c>
      <c r="AG2591" s="9" t="s">
        <v>19</v>
      </c>
    </row>
    <row r="2592" spans="1:33" ht="58">
      <c r="A2592" s="3" t="s">
        <v>2833</v>
      </c>
      <c r="D2592" s="3" t="s">
        <v>8081</v>
      </c>
      <c r="E2592" s="3" t="s">
        <v>8078</v>
      </c>
      <c r="J2592" s="9" t="s">
        <v>25</v>
      </c>
      <c r="L2592" s="9">
        <v>2</v>
      </c>
      <c r="M2592" s="9">
        <v>9</v>
      </c>
      <c r="O2592" s="9" t="s">
        <v>12073</v>
      </c>
      <c r="P2592" s="9" t="s">
        <v>12140</v>
      </c>
      <c r="Q2592" s="10" t="s">
        <v>12193</v>
      </c>
      <c r="S2592" s="9">
        <v>8</v>
      </c>
      <c r="U2592" s="9" t="str">
        <f t="shared" ca="1" si="104"/>
        <v/>
      </c>
      <c r="V2592" s="9" t="str">
        <f t="shared" ca="1" si="105"/>
        <v/>
      </c>
      <c r="AG2592" s="9" t="s">
        <v>20</v>
      </c>
    </row>
    <row r="2593" spans="1:33" ht="58">
      <c r="A2593" s="3" t="s">
        <v>2833</v>
      </c>
      <c r="D2593" s="3" t="s">
        <v>8082</v>
      </c>
      <c r="E2593" s="3" t="s">
        <v>8083</v>
      </c>
      <c r="J2593" s="9" t="s">
        <v>12118</v>
      </c>
      <c r="Q2593" s="10"/>
      <c r="T2593" s="9">
        <f>887-526</f>
        <v>361</v>
      </c>
      <c r="U2593" s="9">
        <f t="shared" ca="1" si="104"/>
        <v>526</v>
      </c>
      <c r="V2593" s="9">
        <f t="shared" ca="1" si="105"/>
        <v>887</v>
      </c>
      <c r="AG2593" s="9" t="s">
        <v>19</v>
      </c>
    </row>
    <row r="2594" spans="1:33">
      <c r="A2594" s="3" t="s">
        <v>2833</v>
      </c>
      <c r="D2594" s="3" t="s">
        <v>8084</v>
      </c>
      <c r="E2594" s="3" t="s">
        <v>8085</v>
      </c>
      <c r="J2594" s="9" t="s">
        <v>24</v>
      </c>
      <c r="L2594" s="9">
        <v>1</v>
      </c>
      <c r="M2594" s="9">
        <v>3</v>
      </c>
      <c r="N2594" s="9" t="s">
        <v>12094</v>
      </c>
      <c r="O2594" s="9" t="s">
        <v>12079</v>
      </c>
      <c r="Q2594" s="10"/>
      <c r="S2594" s="9">
        <v>1741</v>
      </c>
      <c r="U2594" s="9" t="str">
        <f t="shared" ca="1" si="104"/>
        <v/>
      </c>
      <c r="V2594" s="9" t="str">
        <f t="shared" ca="1" si="105"/>
        <v/>
      </c>
      <c r="AG2594" s="9" t="s">
        <v>19</v>
      </c>
    </row>
    <row r="2595" spans="1:33">
      <c r="A2595" s="3" t="s">
        <v>2834</v>
      </c>
      <c r="D2595" s="3" t="s">
        <v>8086</v>
      </c>
      <c r="E2595" s="3" t="s">
        <v>8087</v>
      </c>
      <c r="J2595" s="9" t="s">
        <v>12118</v>
      </c>
      <c r="Q2595" s="10"/>
      <c r="T2595" s="9">
        <f>810-42</f>
        <v>768</v>
      </c>
      <c r="U2595" s="9">
        <f t="shared" ca="1" si="104"/>
        <v>42</v>
      </c>
      <c r="V2595" s="9">
        <f t="shared" ca="1" si="105"/>
        <v>810</v>
      </c>
      <c r="AG2595" s="9" t="s">
        <v>20</v>
      </c>
    </row>
    <row r="2596" spans="1:33" ht="29">
      <c r="A2596" s="3" t="s">
        <v>2834</v>
      </c>
      <c r="D2596" s="3" t="s">
        <v>8089</v>
      </c>
      <c r="E2596" s="3" t="s">
        <v>8088</v>
      </c>
      <c r="J2596" s="9" t="s">
        <v>25</v>
      </c>
      <c r="L2596" s="9">
        <v>1</v>
      </c>
      <c r="M2596" s="9">
        <v>4</v>
      </c>
      <c r="N2596" s="9" t="s">
        <v>12078</v>
      </c>
      <c r="O2596" s="9" t="s">
        <v>12073</v>
      </c>
      <c r="P2596" s="9" t="s">
        <v>12149</v>
      </c>
      <c r="Q2596" s="10" t="s">
        <v>12143</v>
      </c>
      <c r="S2596" s="9">
        <v>11843</v>
      </c>
      <c r="U2596" s="9" t="str">
        <f t="shared" ca="1" si="104"/>
        <v/>
      </c>
      <c r="V2596" s="9" t="str">
        <f t="shared" ca="1" si="105"/>
        <v/>
      </c>
      <c r="AG2596" s="9" t="s">
        <v>19</v>
      </c>
    </row>
    <row r="2597" spans="1:33" ht="29">
      <c r="A2597" s="3" t="s">
        <v>2834</v>
      </c>
      <c r="D2597" s="3" t="s">
        <v>8091</v>
      </c>
      <c r="E2597" s="3" t="s">
        <v>8090</v>
      </c>
      <c r="J2597" s="9" t="s">
        <v>12120</v>
      </c>
      <c r="Q2597" s="10"/>
      <c r="U2597" s="9" t="str">
        <f t="shared" ca="1" si="104"/>
        <v/>
      </c>
      <c r="V2597" s="9" t="str">
        <f t="shared" ca="1" si="105"/>
        <v/>
      </c>
      <c r="AG2597" s="9" t="s">
        <v>19</v>
      </c>
    </row>
    <row r="2598" spans="1:33">
      <c r="A2598" s="3" t="s">
        <v>2834</v>
      </c>
      <c r="D2598" s="3" t="s">
        <v>8092</v>
      </c>
      <c r="E2598" s="3" t="s">
        <v>2835</v>
      </c>
      <c r="J2598" s="9" t="s">
        <v>12120</v>
      </c>
      <c r="Q2598" s="10"/>
      <c r="U2598" s="9" t="str">
        <f t="shared" ca="1" si="104"/>
        <v/>
      </c>
      <c r="V2598" s="9" t="str">
        <f t="shared" ca="1" si="105"/>
        <v/>
      </c>
      <c r="AC2598" s="9" t="s">
        <v>12134</v>
      </c>
      <c r="AD2598" s="9" t="s">
        <v>19</v>
      </c>
      <c r="AE2598" s="9" t="s">
        <v>12086</v>
      </c>
    </row>
    <row r="2599" spans="1:33">
      <c r="A2599" s="3" t="s">
        <v>2836</v>
      </c>
      <c r="D2599" s="3" t="s">
        <v>8093</v>
      </c>
      <c r="E2599" s="3" t="s">
        <v>8094</v>
      </c>
      <c r="J2599" s="9" t="s">
        <v>12118</v>
      </c>
      <c r="Q2599" s="10"/>
      <c r="T2599" s="9">
        <f>507-165</f>
        <v>342</v>
      </c>
      <c r="U2599" s="9">
        <f t="shared" ca="1" si="104"/>
        <v>165</v>
      </c>
      <c r="V2599" s="9">
        <f t="shared" ca="1" si="105"/>
        <v>507</v>
      </c>
      <c r="AG2599" s="9" t="s">
        <v>20</v>
      </c>
    </row>
    <row r="2600" spans="1:33">
      <c r="A2600" s="3" t="s">
        <v>2837</v>
      </c>
      <c r="D2600" s="3" t="s">
        <v>8096</v>
      </c>
      <c r="E2600" s="3" t="s">
        <v>8095</v>
      </c>
      <c r="J2600" s="9" t="s">
        <v>25</v>
      </c>
      <c r="L2600" s="9">
        <v>1</v>
      </c>
      <c r="M2600" s="9">
        <v>2</v>
      </c>
      <c r="N2600" s="9" t="s">
        <v>12123</v>
      </c>
      <c r="O2600" s="9" t="s">
        <v>12119</v>
      </c>
      <c r="Q2600" s="10"/>
      <c r="S2600" s="9">
        <v>526</v>
      </c>
      <c r="U2600" s="9" t="str">
        <f t="shared" ca="1" si="104"/>
        <v/>
      </c>
      <c r="V2600" s="9" t="str">
        <f t="shared" ca="1" si="105"/>
        <v/>
      </c>
      <c r="AG2600" s="9" t="s">
        <v>20</v>
      </c>
    </row>
    <row r="2601" spans="1:33">
      <c r="A2601" s="3" t="s">
        <v>2837</v>
      </c>
      <c r="D2601" s="3" t="s">
        <v>8097</v>
      </c>
      <c r="E2601" s="3" t="s">
        <v>8098</v>
      </c>
      <c r="J2601" s="9" t="s">
        <v>12118</v>
      </c>
      <c r="Q2601" s="10"/>
      <c r="T2601" s="9">
        <f>6-169</f>
        <v>-163</v>
      </c>
      <c r="U2601" s="9">
        <f t="shared" ca="1" si="104"/>
        <v>169</v>
      </c>
      <c r="V2601" s="9">
        <f t="shared" ca="1" si="105"/>
        <v>6</v>
      </c>
      <c r="AG2601" s="9" t="s">
        <v>19</v>
      </c>
    </row>
    <row r="2602" spans="1:33">
      <c r="A2602" s="3" t="s">
        <v>2838</v>
      </c>
      <c r="D2602" s="3" t="s">
        <v>8100</v>
      </c>
      <c r="E2602" s="3" t="s">
        <v>8099</v>
      </c>
      <c r="F2602" t="s">
        <v>11</v>
      </c>
      <c r="G2602" t="s">
        <v>19</v>
      </c>
      <c r="Q2602" s="10"/>
      <c r="U2602" s="9" t="str">
        <f t="shared" ca="1" si="104"/>
        <v/>
      </c>
      <c r="V2602" s="9" t="str">
        <f t="shared" ca="1" si="105"/>
        <v/>
      </c>
    </row>
    <row r="2603" spans="1:33">
      <c r="A2603" s="3" t="s">
        <v>2839</v>
      </c>
      <c r="D2603" s="3" t="s">
        <v>799</v>
      </c>
      <c r="E2603" s="3" t="s">
        <v>800</v>
      </c>
      <c r="J2603" s="9" t="s">
        <v>12120</v>
      </c>
      <c r="Q2603" s="10"/>
      <c r="U2603" s="9" t="str">
        <f t="shared" ca="1" si="104"/>
        <v/>
      </c>
      <c r="V2603" s="9" t="str">
        <f t="shared" ca="1" si="105"/>
        <v/>
      </c>
      <c r="AC2603" s="9" t="s">
        <v>12739</v>
      </c>
      <c r="AD2603" s="9" t="s">
        <v>19</v>
      </c>
    </row>
    <row r="2604" spans="1:33">
      <c r="A2604" s="3" t="s">
        <v>2840</v>
      </c>
      <c r="D2604" s="3" t="s">
        <v>2841</v>
      </c>
      <c r="E2604" s="3" t="s">
        <v>2842</v>
      </c>
      <c r="J2604" s="9" t="s">
        <v>12118</v>
      </c>
      <c r="Q2604" s="10"/>
      <c r="T2604" s="9" t="s">
        <v>12131</v>
      </c>
      <c r="U2604" s="9" t="str">
        <f t="shared" ca="1" si="104"/>
        <v/>
      </c>
      <c r="V2604" s="9" t="str">
        <f t="shared" ca="1" si="105"/>
        <v/>
      </c>
      <c r="AC2604" s="9" t="s">
        <v>12130</v>
      </c>
      <c r="AD2604" s="9" t="s">
        <v>19</v>
      </c>
      <c r="AE2604" s="9" t="s">
        <v>12086</v>
      </c>
    </row>
    <row r="2605" spans="1:33">
      <c r="A2605" s="3" t="s">
        <v>2843</v>
      </c>
      <c r="D2605" s="3" t="s">
        <v>2844</v>
      </c>
      <c r="E2605" s="3" t="s">
        <v>2845</v>
      </c>
      <c r="J2605" s="9" t="s">
        <v>12120</v>
      </c>
      <c r="Q2605" s="10"/>
      <c r="U2605" s="9" t="str">
        <f t="shared" ca="1" si="104"/>
        <v/>
      </c>
      <c r="V2605" s="9" t="str">
        <f t="shared" ca="1" si="105"/>
        <v/>
      </c>
      <c r="AC2605" s="9" t="s">
        <v>12744</v>
      </c>
      <c r="AD2605" s="9" t="s">
        <v>19</v>
      </c>
    </row>
    <row r="2606" spans="1:33">
      <c r="A2606" s="3" t="s">
        <v>2846</v>
      </c>
      <c r="D2606" s="3" t="s">
        <v>2847</v>
      </c>
      <c r="E2606" s="3" t="s">
        <v>2848</v>
      </c>
      <c r="J2606" s="9" t="s">
        <v>12118</v>
      </c>
      <c r="Q2606" s="10"/>
      <c r="T2606" s="9" t="s">
        <v>12131</v>
      </c>
      <c r="U2606" s="9" t="str">
        <f t="shared" ca="1" si="104"/>
        <v/>
      </c>
      <c r="V2606" s="9" t="str">
        <f t="shared" ca="1" si="105"/>
        <v/>
      </c>
      <c r="AB2606" s="9" t="s">
        <v>12124</v>
      </c>
      <c r="AD2606" s="9" t="s">
        <v>19</v>
      </c>
    </row>
    <row r="2607" spans="1:33">
      <c r="A2607" s="3" t="s">
        <v>2849</v>
      </c>
      <c r="D2607" s="3" t="s">
        <v>8102</v>
      </c>
      <c r="E2607" s="3" t="s">
        <v>8101</v>
      </c>
      <c r="J2607" s="9" t="s">
        <v>12120</v>
      </c>
      <c r="Q2607" s="10"/>
      <c r="U2607" s="9" t="str">
        <f t="shared" ca="1" si="104"/>
        <v/>
      </c>
      <c r="V2607" s="9" t="str">
        <f t="shared" ca="1" si="105"/>
        <v/>
      </c>
      <c r="AG2607" s="9" t="s">
        <v>19</v>
      </c>
    </row>
    <row r="2608" spans="1:33">
      <c r="A2608" s="3" t="s">
        <v>2850</v>
      </c>
      <c r="D2608" s="3" t="s">
        <v>2851</v>
      </c>
      <c r="E2608" s="3" t="s">
        <v>2852</v>
      </c>
      <c r="J2608" s="9" t="s">
        <v>12120</v>
      </c>
      <c r="Q2608" s="10"/>
      <c r="U2608" s="9" t="str">
        <f t="shared" ca="1" si="104"/>
        <v/>
      </c>
      <c r="V2608" s="9" t="str">
        <f t="shared" ca="1" si="105"/>
        <v/>
      </c>
      <c r="AE2608" s="9" t="s">
        <v>12077</v>
      </c>
    </row>
    <row r="2609" spans="1:33">
      <c r="A2609" s="3" t="s">
        <v>2853</v>
      </c>
      <c r="D2609" s="3" t="s">
        <v>8103</v>
      </c>
      <c r="E2609" s="3" t="s">
        <v>5422</v>
      </c>
      <c r="G2609" t="s">
        <v>19</v>
      </c>
      <c r="J2609" s="9" t="s">
        <v>12120</v>
      </c>
      <c r="Q2609" s="10"/>
      <c r="U2609" s="9" t="str">
        <f t="shared" ca="1" si="104"/>
        <v/>
      </c>
      <c r="V2609" s="9" t="str">
        <f t="shared" ca="1" si="105"/>
        <v/>
      </c>
      <c r="AB2609" s="9" t="s">
        <v>12082</v>
      </c>
      <c r="AD2609" s="9" t="s">
        <v>19</v>
      </c>
    </row>
    <row r="2610" spans="1:33" ht="29">
      <c r="A2610" s="3" t="s">
        <v>2854</v>
      </c>
      <c r="D2610" s="3" t="s">
        <v>8104</v>
      </c>
      <c r="E2610" s="3" t="s">
        <v>13047</v>
      </c>
      <c r="J2610" s="9" t="s">
        <v>25</v>
      </c>
      <c r="L2610" s="9">
        <v>1</v>
      </c>
      <c r="M2610" s="9">
        <v>3</v>
      </c>
      <c r="N2610" s="9" t="s">
        <v>12087</v>
      </c>
      <c r="O2610" s="9" t="s">
        <v>12073</v>
      </c>
      <c r="P2610" s="9" t="s">
        <v>12142</v>
      </c>
      <c r="Q2610" s="10" t="s">
        <v>12143</v>
      </c>
      <c r="R2610" s="9" t="s">
        <v>12074</v>
      </c>
      <c r="S2610" s="9">
        <v>5676</v>
      </c>
      <c r="U2610" s="9" t="str">
        <f t="shared" ca="1" si="104"/>
        <v/>
      </c>
      <c r="V2610" s="9" t="str">
        <f t="shared" ca="1" si="105"/>
        <v/>
      </c>
      <c r="AE2610" s="9" t="s">
        <v>12089</v>
      </c>
    </row>
    <row r="2611" spans="1:33">
      <c r="A2611" s="3" t="s">
        <v>2855</v>
      </c>
      <c r="D2611" s="3" t="s">
        <v>8106</v>
      </c>
      <c r="E2611" s="3" t="s">
        <v>8105</v>
      </c>
      <c r="J2611" s="9" t="s">
        <v>12118</v>
      </c>
      <c r="Q2611" s="10"/>
      <c r="T2611" s="9">
        <f xml:space="preserve"> 780-930</f>
        <v>-150</v>
      </c>
      <c r="U2611" s="9">
        <f t="shared" ca="1" si="104"/>
        <v>930</v>
      </c>
      <c r="V2611" s="9">
        <f t="shared" ca="1" si="105"/>
        <v>780</v>
      </c>
      <c r="AE2611" s="9" t="s">
        <v>12083</v>
      </c>
    </row>
    <row r="2612" spans="1:33" ht="29">
      <c r="A2612" s="3" t="s">
        <v>2856</v>
      </c>
      <c r="D2612" s="3" t="s">
        <v>8107</v>
      </c>
      <c r="E2612" s="3" t="s">
        <v>8108</v>
      </c>
      <c r="J2612" s="9" t="s">
        <v>24</v>
      </c>
      <c r="L2612" s="9">
        <v>1</v>
      </c>
      <c r="M2612" s="9">
        <v>8</v>
      </c>
      <c r="N2612" s="9" t="s">
        <v>12098</v>
      </c>
      <c r="O2612" s="9" t="s">
        <v>12073</v>
      </c>
      <c r="P2612" s="9" t="s">
        <v>12142</v>
      </c>
      <c r="Q2612" s="10" t="s">
        <v>12160</v>
      </c>
      <c r="S2612" s="9">
        <v>2042</v>
      </c>
      <c r="U2612" s="9" t="str">
        <f t="shared" ca="1" si="104"/>
        <v/>
      </c>
      <c r="V2612" s="9" t="str">
        <f t="shared" ca="1" si="105"/>
        <v/>
      </c>
      <c r="AG2612" s="9" t="s">
        <v>19</v>
      </c>
    </row>
    <row r="2613" spans="1:33">
      <c r="A2613" s="3" t="s">
        <v>2856</v>
      </c>
      <c r="D2613" s="3" t="s">
        <v>8109</v>
      </c>
      <c r="E2613" s="3" t="s">
        <v>8110</v>
      </c>
      <c r="J2613" s="9" t="s">
        <v>12120</v>
      </c>
      <c r="Q2613" s="10"/>
      <c r="U2613" s="9" t="str">
        <f t="shared" ca="1" si="104"/>
        <v/>
      </c>
      <c r="V2613" s="9" t="str">
        <f t="shared" ca="1" si="105"/>
        <v/>
      </c>
      <c r="AB2613" s="9" t="s">
        <v>12082</v>
      </c>
      <c r="AD2613" s="9" t="s">
        <v>19</v>
      </c>
    </row>
    <row r="2614" spans="1:33">
      <c r="A2614" s="3" t="s">
        <v>2857</v>
      </c>
      <c r="D2614" s="3" t="s">
        <v>8111</v>
      </c>
      <c r="E2614" s="3" t="s">
        <v>8112</v>
      </c>
      <c r="J2614" s="9" t="s">
        <v>25</v>
      </c>
      <c r="L2614" s="9">
        <v>1</v>
      </c>
      <c r="M2614" s="9">
        <v>1</v>
      </c>
      <c r="N2614" s="9" t="s">
        <v>12078</v>
      </c>
      <c r="O2614" s="9" t="s">
        <v>12119</v>
      </c>
      <c r="Q2614" s="10"/>
      <c r="S2614" s="9">
        <v>11843</v>
      </c>
      <c r="U2614" s="9" t="str">
        <f t="shared" ca="1" si="104"/>
        <v/>
      </c>
      <c r="V2614" s="9" t="str">
        <f t="shared" ca="1" si="105"/>
        <v/>
      </c>
      <c r="AG2614" s="9" t="s">
        <v>19</v>
      </c>
    </row>
    <row r="2615" spans="1:33" ht="29">
      <c r="A2615" s="3" t="s">
        <v>2857</v>
      </c>
      <c r="D2615" s="3" t="s">
        <v>8113</v>
      </c>
      <c r="E2615" s="3" t="s">
        <v>8114</v>
      </c>
      <c r="G2615" t="s">
        <v>20</v>
      </c>
      <c r="I2615" t="s">
        <v>8117</v>
      </c>
      <c r="J2615" s="9" t="s">
        <v>12120</v>
      </c>
      <c r="Q2615" s="10"/>
      <c r="U2615" s="9" t="str">
        <f t="shared" ca="1" si="104"/>
        <v/>
      </c>
      <c r="V2615" s="9" t="str">
        <f t="shared" ca="1" si="105"/>
        <v/>
      </c>
      <c r="AE2615" s="9" t="s">
        <v>12077</v>
      </c>
    </row>
    <row r="2616" spans="1:33" ht="29">
      <c r="A2616" s="3" t="s">
        <v>2857</v>
      </c>
      <c r="D2616" s="3" t="s">
        <v>8115</v>
      </c>
      <c r="E2616" s="3" t="s">
        <v>8116</v>
      </c>
      <c r="G2616" t="s">
        <v>19</v>
      </c>
      <c r="J2616" s="9" t="s">
        <v>12120</v>
      </c>
      <c r="Q2616" s="10"/>
      <c r="U2616" s="9" t="str">
        <f t="shared" ca="1" si="104"/>
        <v/>
      </c>
      <c r="V2616" s="9" t="str">
        <f t="shared" ca="1" si="105"/>
        <v/>
      </c>
    </row>
    <row r="2617" spans="1:33" ht="29">
      <c r="A2617" s="3" t="s">
        <v>2858</v>
      </c>
      <c r="D2617" s="3" t="s">
        <v>8118</v>
      </c>
      <c r="E2617" s="3" t="s">
        <v>8119</v>
      </c>
      <c r="J2617" s="9" t="s">
        <v>25</v>
      </c>
      <c r="L2617" s="9">
        <v>1</v>
      </c>
      <c r="M2617" s="9">
        <v>5</v>
      </c>
      <c r="N2617" s="9" t="s">
        <v>12125</v>
      </c>
      <c r="O2617" s="9" t="s">
        <v>12079</v>
      </c>
      <c r="Q2617" s="10"/>
      <c r="S2617" s="9">
        <v>1565</v>
      </c>
      <c r="U2617" s="9" t="str">
        <f t="shared" ca="1" si="104"/>
        <v/>
      </c>
      <c r="V2617" s="9" t="str">
        <f t="shared" ca="1" si="105"/>
        <v/>
      </c>
      <c r="AG2617" s="9" t="s">
        <v>20</v>
      </c>
    </row>
    <row r="2618" spans="1:33">
      <c r="A2618" s="3" t="s">
        <v>2859</v>
      </c>
      <c r="D2618" s="3" t="s">
        <v>8120</v>
      </c>
      <c r="E2618" s="3" t="s">
        <v>8121</v>
      </c>
      <c r="J2618" s="9" t="s">
        <v>25</v>
      </c>
      <c r="L2618" s="9">
        <v>1</v>
      </c>
      <c r="M2618" s="9">
        <v>2</v>
      </c>
      <c r="N2618" s="9" t="s">
        <v>12078</v>
      </c>
      <c r="O2618" s="9" t="s">
        <v>12119</v>
      </c>
      <c r="Q2618" s="10"/>
      <c r="S2618" s="9">
        <v>11843</v>
      </c>
      <c r="U2618" s="9" t="str">
        <f t="shared" ca="1" si="104"/>
        <v/>
      </c>
      <c r="V2618" s="9" t="str">
        <f t="shared" ca="1" si="105"/>
        <v/>
      </c>
      <c r="AG2618" s="9" t="s">
        <v>20</v>
      </c>
    </row>
    <row r="2619" spans="1:33">
      <c r="A2619" s="3" t="s">
        <v>2859</v>
      </c>
      <c r="D2619" s="3" t="s">
        <v>2860</v>
      </c>
      <c r="E2619" s="3" t="s">
        <v>2861</v>
      </c>
      <c r="J2619" s="9" t="s">
        <v>12118</v>
      </c>
      <c r="Q2619" s="10"/>
      <c r="T2619" s="9" t="s">
        <v>12131</v>
      </c>
      <c r="U2619" s="9" t="str">
        <f t="shared" ca="1" si="104"/>
        <v/>
      </c>
      <c r="V2619" s="9" t="str">
        <f t="shared" ca="1" si="105"/>
        <v/>
      </c>
      <c r="AE2619" s="9" t="s">
        <v>12077</v>
      </c>
    </row>
    <row r="2620" spans="1:33">
      <c r="A2620" s="3" t="s">
        <v>2862</v>
      </c>
      <c r="D2620" s="3" t="s">
        <v>8122</v>
      </c>
      <c r="E2620" s="3" t="s">
        <v>8123</v>
      </c>
      <c r="J2620" s="9" t="s">
        <v>12118</v>
      </c>
      <c r="Q2620" s="10"/>
      <c r="T2620" s="9">
        <f>356-1966</f>
        <v>-1610</v>
      </c>
      <c r="U2620" s="9">
        <f t="shared" ca="1" si="104"/>
        <v>1966</v>
      </c>
      <c r="V2620" s="9">
        <f t="shared" ca="1" si="105"/>
        <v>356</v>
      </c>
      <c r="AG2620" s="9" t="s">
        <v>19</v>
      </c>
    </row>
    <row r="2621" spans="1:33">
      <c r="A2621" s="3" t="s">
        <v>2862</v>
      </c>
      <c r="D2621" s="3" t="s">
        <v>8124</v>
      </c>
      <c r="E2621" s="3" t="s">
        <v>8125</v>
      </c>
      <c r="J2621" s="9" t="s">
        <v>12120</v>
      </c>
      <c r="Q2621" s="10"/>
      <c r="U2621" s="9" t="str">
        <f t="shared" ca="1" si="104"/>
        <v/>
      </c>
      <c r="V2621" s="9" t="str">
        <f t="shared" ca="1" si="105"/>
        <v/>
      </c>
      <c r="AG2621" s="9" t="s">
        <v>19</v>
      </c>
    </row>
    <row r="2622" spans="1:33">
      <c r="A2622" s="3" t="s">
        <v>2862</v>
      </c>
      <c r="D2622" s="3" t="s">
        <v>8126</v>
      </c>
      <c r="E2622" s="3" t="s">
        <v>2863</v>
      </c>
      <c r="J2622" s="9" t="s">
        <v>12120</v>
      </c>
      <c r="Q2622" s="10"/>
      <c r="U2622" s="9" t="str">
        <f t="shared" ca="1" si="104"/>
        <v/>
      </c>
      <c r="V2622" s="9" t="str">
        <f t="shared" ca="1" si="105"/>
        <v/>
      </c>
      <c r="AE2622" s="9" t="s">
        <v>12086</v>
      </c>
    </row>
    <row r="2623" spans="1:33">
      <c r="A2623" s="3" t="s">
        <v>2864</v>
      </c>
      <c r="D2623" s="3" t="s">
        <v>2865</v>
      </c>
      <c r="E2623" s="3" t="s">
        <v>2866</v>
      </c>
      <c r="J2623" s="9" t="s">
        <v>12120</v>
      </c>
      <c r="Q2623" s="10"/>
      <c r="U2623" s="9" t="str">
        <f t="shared" ca="1" si="104"/>
        <v/>
      </c>
      <c r="V2623" s="9" t="str">
        <f t="shared" ca="1" si="105"/>
        <v/>
      </c>
      <c r="AG2623" s="9" t="s">
        <v>19</v>
      </c>
    </row>
    <row r="2624" spans="1:33">
      <c r="A2624" s="3" t="s">
        <v>2867</v>
      </c>
      <c r="D2624" s="3" t="s">
        <v>8127</v>
      </c>
      <c r="E2624" s="3" t="s">
        <v>8127</v>
      </c>
      <c r="G2624" t="s">
        <v>20</v>
      </c>
      <c r="I2624" t="s">
        <v>8128</v>
      </c>
      <c r="Q2624" s="10"/>
      <c r="U2624" s="9" t="str">
        <f t="shared" ca="1" si="104"/>
        <v/>
      </c>
      <c r="V2624" s="9" t="str">
        <f t="shared" ca="1" si="105"/>
        <v/>
      </c>
    </row>
    <row r="2625" spans="1:33">
      <c r="A2625" s="3" t="s">
        <v>2868</v>
      </c>
      <c r="D2625" s="3" t="s">
        <v>8129</v>
      </c>
      <c r="E2625" s="3" t="s">
        <v>8130</v>
      </c>
      <c r="J2625" s="9" t="s">
        <v>12120</v>
      </c>
      <c r="Q2625" s="10"/>
      <c r="U2625" s="9" t="str">
        <f t="shared" ca="1" si="104"/>
        <v/>
      </c>
      <c r="V2625" s="9" t="str">
        <f t="shared" ca="1" si="105"/>
        <v/>
      </c>
      <c r="AB2625" s="9" t="s">
        <v>12085</v>
      </c>
      <c r="AC2625" s="9" t="s">
        <v>12166</v>
      </c>
      <c r="AD2625" s="9" t="s">
        <v>19</v>
      </c>
    </row>
    <row r="2626" spans="1:33">
      <c r="A2626" s="3" t="s">
        <v>2869</v>
      </c>
      <c r="D2626" s="3" t="s">
        <v>2870</v>
      </c>
      <c r="E2626" s="3" t="s">
        <v>2871</v>
      </c>
      <c r="J2626" s="9" t="s">
        <v>12120</v>
      </c>
      <c r="Q2626" s="10"/>
      <c r="U2626" s="9" t="str">
        <f t="shared" ca="1" si="104"/>
        <v/>
      </c>
      <c r="V2626" s="9" t="str">
        <f t="shared" ca="1" si="105"/>
        <v/>
      </c>
      <c r="AG2626" s="9" t="s">
        <v>20</v>
      </c>
    </row>
    <row r="2627" spans="1:33" ht="29">
      <c r="A2627" s="3" t="s">
        <v>2872</v>
      </c>
      <c r="D2627" s="3" t="s">
        <v>8132</v>
      </c>
      <c r="E2627" s="3" t="s">
        <v>8131</v>
      </c>
      <c r="I2627" t="s">
        <v>5457</v>
      </c>
      <c r="J2627" s="9" t="s">
        <v>26</v>
      </c>
      <c r="Q2627" s="10"/>
      <c r="U2627" s="9" t="str">
        <f t="shared" ca="1" si="104"/>
        <v/>
      </c>
      <c r="V2627" s="9" t="str">
        <f t="shared" ca="1" si="105"/>
        <v/>
      </c>
      <c r="AG2627" s="9" t="s">
        <v>19</v>
      </c>
    </row>
    <row r="2628" spans="1:33">
      <c r="A2628" s="3" t="s">
        <v>2873</v>
      </c>
      <c r="D2628" s="3" t="s">
        <v>2874</v>
      </c>
      <c r="E2628" s="3" t="s">
        <v>2875</v>
      </c>
      <c r="J2628" s="9" t="s">
        <v>12118</v>
      </c>
      <c r="Q2628" s="10"/>
      <c r="T2628" s="9" t="s">
        <v>12131</v>
      </c>
      <c r="U2628" s="9" t="str">
        <f t="shared" ca="1" si="104"/>
        <v/>
      </c>
      <c r="V2628" s="9" t="str">
        <f t="shared" ca="1" si="105"/>
        <v/>
      </c>
      <c r="AC2628" s="9" t="s">
        <v>12130</v>
      </c>
      <c r="AD2628" s="9" t="s">
        <v>19</v>
      </c>
    </row>
    <row r="2629" spans="1:33">
      <c r="A2629" s="3" t="s">
        <v>2876</v>
      </c>
      <c r="D2629" s="3" t="s">
        <v>8134</v>
      </c>
      <c r="E2629" s="3" t="s">
        <v>8133</v>
      </c>
      <c r="G2629" t="s">
        <v>19</v>
      </c>
      <c r="J2629" s="9" t="s">
        <v>12120</v>
      </c>
      <c r="Q2629" s="10"/>
      <c r="U2629" s="9" t="str">
        <f t="shared" ca="1" si="104"/>
        <v/>
      </c>
      <c r="V2629" s="9" t="str">
        <f t="shared" ca="1" si="105"/>
        <v/>
      </c>
      <c r="AB2629" s="9" t="s">
        <v>12082</v>
      </c>
      <c r="AD2629" s="9" t="s">
        <v>19</v>
      </c>
    </row>
    <row r="2630" spans="1:33">
      <c r="A2630" s="3" t="s">
        <v>2877</v>
      </c>
      <c r="D2630" s="3" t="s">
        <v>8135</v>
      </c>
      <c r="E2630" s="3" t="s">
        <v>8136</v>
      </c>
      <c r="J2630" s="9" t="s">
        <v>12118</v>
      </c>
      <c r="Q2630" s="10"/>
      <c r="T2630" s="9" t="s">
        <v>12131</v>
      </c>
      <c r="U2630" s="9" t="str">
        <f t="shared" ca="1" si="104"/>
        <v/>
      </c>
      <c r="V2630" s="9" t="str">
        <f t="shared" ca="1" si="105"/>
        <v/>
      </c>
      <c r="AC2630" s="9" t="s">
        <v>12134</v>
      </c>
      <c r="AD2630" s="9" t="s">
        <v>19</v>
      </c>
      <c r="AE2630" s="9" t="s">
        <v>12086</v>
      </c>
    </row>
    <row r="2631" spans="1:33">
      <c r="A2631" s="3" t="s">
        <v>2878</v>
      </c>
      <c r="D2631" s="3" t="s">
        <v>8137</v>
      </c>
      <c r="E2631" s="3" t="s">
        <v>8138</v>
      </c>
      <c r="J2631" s="9" t="s">
        <v>12120</v>
      </c>
      <c r="Q2631" s="10"/>
      <c r="U2631" s="9" t="str">
        <f t="shared" ca="1" si="104"/>
        <v/>
      </c>
      <c r="V2631" s="9" t="str">
        <f t="shared" ca="1" si="105"/>
        <v/>
      </c>
      <c r="AB2631" s="9" t="s">
        <v>12082</v>
      </c>
      <c r="AD2631" s="9" t="s">
        <v>19</v>
      </c>
    </row>
    <row r="2632" spans="1:33">
      <c r="A2632" s="3" t="s">
        <v>2878</v>
      </c>
      <c r="D2632" s="3" t="s">
        <v>2879</v>
      </c>
      <c r="E2632" s="3" t="s">
        <v>2880</v>
      </c>
      <c r="J2632" s="9" t="s">
        <v>12120</v>
      </c>
      <c r="Q2632" s="10"/>
      <c r="U2632" s="9" t="str">
        <f t="shared" ca="1" si="104"/>
        <v/>
      </c>
      <c r="V2632" s="9" t="str">
        <f t="shared" ca="1" si="105"/>
        <v/>
      </c>
      <c r="AC2632" s="9" t="s">
        <v>12744</v>
      </c>
      <c r="AD2632" s="9" t="s">
        <v>19</v>
      </c>
      <c r="AE2632" s="9" t="s">
        <v>12086</v>
      </c>
    </row>
    <row r="2633" spans="1:33" ht="29">
      <c r="A2633" s="3" t="s">
        <v>2881</v>
      </c>
      <c r="D2633" s="3" t="s">
        <v>8139</v>
      </c>
      <c r="E2633" s="3" t="s">
        <v>8140</v>
      </c>
      <c r="I2633" t="s">
        <v>5457</v>
      </c>
      <c r="J2633" s="9" t="s">
        <v>26</v>
      </c>
      <c r="Q2633" s="10"/>
      <c r="U2633" s="9" t="str">
        <f t="shared" ca="1" si="104"/>
        <v/>
      </c>
      <c r="V2633" s="9" t="str">
        <f t="shared" ca="1" si="105"/>
        <v/>
      </c>
      <c r="AG2633" s="9" t="s">
        <v>20</v>
      </c>
    </row>
    <row r="2634" spans="1:33" ht="43.5">
      <c r="A2634" s="3" t="s">
        <v>2882</v>
      </c>
      <c r="D2634" s="3" t="s">
        <v>8142</v>
      </c>
      <c r="E2634" s="3" t="s">
        <v>8143</v>
      </c>
      <c r="J2634" s="9" t="s">
        <v>24</v>
      </c>
      <c r="L2634" s="9">
        <v>1</v>
      </c>
      <c r="M2634" s="9">
        <v>9</v>
      </c>
      <c r="N2634" s="9" t="s">
        <v>12084</v>
      </c>
      <c r="O2634" s="9" t="s">
        <v>12073</v>
      </c>
      <c r="P2634" s="9" t="s">
        <v>12142</v>
      </c>
      <c r="Q2634" s="10" t="s">
        <v>12160</v>
      </c>
      <c r="S2634" s="9">
        <v>37</v>
      </c>
      <c r="U2634" s="9" t="str">
        <f t="shared" ca="1" si="104"/>
        <v/>
      </c>
      <c r="V2634" s="9" t="str">
        <f t="shared" ca="1" si="105"/>
        <v/>
      </c>
      <c r="AG2634" s="9" t="s">
        <v>19</v>
      </c>
    </row>
    <row r="2635" spans="1:33" ht="43.5">
      <c r="A2635" s="3" t="s">
        <v>2882</v>
      </c>
      <c r="D2635" s="3" t="s">
        <v>8144</v>
      </c>
      <c r="E2635" s="3" t="s">
        <v>8141</v>
      </c>
      <c r="J2635" s="9" t="s">
        <v>25</v>
      </c>
      <c r="L2635" s="9">
        <v>1</v>
      </c>
      <c r="M2635" s="9">
        <v>2</v>
      </c>
      <c r="N2635" s="9" t="s">
        <v>12087</v>
      </c>
      <c r="O2635" s="9" t="s">
        <v>12119</v>
      </c>
      <c r="Q2635" s="10"/>
      <c r="S2635" s="9">
        <v>1966</v>
      </c>
      <c r="U2635" s="9" t="str">
        <f t="shared" ca="1" si="104"/>
        <v/>
      </c>
      <c r="V2635" s="9" t="str">
        <f t="shared" ca="1" si="105"/>
        <v/>
      </c>
      <c r="AG2635" s="9" t="s">
        <v>19</v>
      </c>
    </row>
    <row r="2636" spans="1:33">
      <c r="A2636" s="3" t="s">
        <v>2883</v>
      </c>
      <c r="D2636" s="3" t="s">
        <v>8146</v>
      </c>
      <c r="E2636" s="3" t="s">
        <v>8145</v>
      </c>
      <c r="G2636" t="s">
        <v>19</v>
      </c>
      <c r="J2636" s="9" t="s">
        <v>12120</v>
      </c>
      <c r="Q2636" s="10"/>
      <c r="U2636" s="9" t="str">
        <f t="shared" ca="1" si="104"/>
        <v/>
      </c>
      <c r="V2636" s="9" t="str">
        <f t="shared" ca="1" si="105"/>
        <v/>
      </c>
      <c r="AB2636" s="9" t="s">
        <v>12124</v>
      </c>
      <c r="AD2636" s="9" t="s">
        <v>19</v>
      </c>
    </row>
    <row r="2637" spans="1:33" ht="29">
      <c r="A2637" s="3" t="s">
        <v>2884</v>
      </c>
      <c r="D2637" s="3" t="s">
        <v>8149</v>
      </c>
      <c r="E2637" s="3" t="s">
        <v>8148</v>
      </c>
      <c r="J2637" s="9" t="s">
        <v>12120</v>
      </c>
      <c r="Q2637" s="10"/>
      <c r="U2637" s="9" t="str">
        <f t="shared" ca="1" si="104"/>
        <v/>
      </c>
      <c r="V2637" s="9" t="str">
        <f t="shared" ca="1" si="105"/>
        <v/>
      </c>
      <c r="AG2637" s="9" t="s">
        <v>19</v>
      </c>
    </row>
    <row r="2638" spans="1:33" ht="72.5">
      <c r="A2638" s="3" t="s">
        <v>2884</v>
      </c>
      <c r="D2638" s="3" t="s">
        <v>8147</v>
      </c>
      <c r="E2638" s="3" t="s">
        <v>8150</v>
      </c>
      <c r="G2638" t="s">
        <v>19</v>
      </c>
      <c r="I2638" t="s">
        <v>12424</v>
      </c>
      <c r="J2638" s="9" t="s">
        <v>24</v>
      </c>
      <c r="L2638" s="9">
        <v>9</v>
      </c>
      <c r="M2638" s="9">
        <v>53</v>
      </c>
      <c r="O2638" s="9" t="s">
        <v>12079</v>
      </c>
      <c r="Q2638" s="10"/>
      <c r="S2638" s="9">
        <v>30</v>
      </c>
      <c r="U2638" s="9" t="str">
        <f t="shared" ca="1" si="104"/>
        <v/>
      </c>
      <c r="V2638" s="9" t="str">
        <f t="shared" ca="1" si="105"/>
        <v/>
      </c>
    </row>
    <row r="2639" spans="1:33" ht="43.5">
      <c r="A2639" s="3" t="s">
        <v>2885</v>
      </c>
      <c r="D2639" s="3" t="s">
        <v>8151</v>
      </c>
      <c r="E2639" s="3" t="s">
        <v>13048</v>
      </c>
      <c r="J2639" s="9" t="s">
        <v>25</v>
      </c>
      <c r="L2639" s="9">
        <v>1</v>
      </c>
      <c r="M2639" s="9">
        <v>11</v>
      </c>
      <c r="N2639" s="9" t="s">
        <v>12125</v>
      </c>
      <c r="O2639" s="9" t="s">
        <v>12073</v>
      </c>
      <c r="P2639" s="9" t="s">
        <v>12142</v>
      </c>
      <c r="Q2639" s="10" t="s">
        <v>12170</v>
      </c>
      <c r="S2639" s="9">
        <v>229</v>
      </c>
      <c r="U2639" s="9" t="str">
        <f t="shared" ref="U2639:U2702" ca="1" si="106">IF(ISNUMBER(T2639),VALUE(MID(_xlfn.FORMULATEXT(T2639),SEARCH("-",_xlfn.FORMULATEXT(T2639))+1,LEN(_xlfn.FORMULATEXT(T2639))-SEARCH("-",_xlfn.FORMULATEXT(T2639)))), "")</f>
        <v/>
      </c>
      <c r="V2639" s="9" t="str">
        <f t="shared" ref="V2639:V2702" ca="1" si="107">IF(ISNUMBER(T2639), VALUE(MID(_xlfn.FORMULATEXT(T2639), 2, SEARCH("-", _xlfn.FORMULATEXT(T2639)) - 2)), "")</f>
        <v/>
      </c>
      <c r="AG2639" s="9" t="s">
        <v>20</v>
      </c>
    </row>
    <row r="2640" spans="1:33">
      <c r="A2640" s="3" t="s">
        <v>2886</v>
      </c>
      <c r="D2640" s="3" t="s">
        <v>8153</v>
      </c>
      <c r="E2640" s="3" t="s">
        <v>8152</v>
      </c>
      <c r="J2640" s="9" t="s">
        <v>25</v>
      </c>
      <c r="L2640" s="9">
        <v>1</v>
      </c>
      <c r="M2640" s="9">
        <v>3</v>
      </c>
      <c r="N2640" s="9" t="s">
        <v>12078</v>
      </c>
      <c r="O2640" s="9" t="s">
        <v>12079</v>
      </c>
      <c r="Q2640" s="10"/>
      <c r="S2640" s="9">
        <v>11843</v>
      </c>
      <c r="U2640" s="9" t="str">
        <f t="shared" ca="1" si="106"/>
        <v/>
      </c>
      <c r="V2640" s="9" t="str">
        <f t="shared" ca="1" si="107"/>
        <v/>
      </c>
      <c r="AG2640" s="9" t="s">
        <v>20</v>
      </c>
    </row>
    <row r="2641" spans="1:33" ht="43.5">
      <c r="A2641" s="3" t="s">
        <v>2886</v>
      </c>
      <c r="D2641" s="3" t="s">
        <v>8154</v>
      </c>
      <c r="E2641" s="3" t="s">
        <v>8155</v>
      </c>
      <c r="J2641" s="9" t="s">
        <v>12120</v>
      </c>
      <c r="Q2641" s="10"/>
      <c r="U2641" s="9" t="str">
        <f t="shared" ca="1" si="106"/>
        <v/>
      </c>
      <c r="V2641" s="9" t="str">
        <f t="shared" ca="1" si="107"/>
        <v/>
      </c>
      <c r="AE2641" s="9" t="s">
        <v>12089</v>
      </c>
    </row>
    <row r="2642" spans="1:33" ht="43.5">
      <c r="A2642" s="3" t="s">
        <v>2886</v>
      </c>
      <c r="D2642" s="3" t="s">
        <v>8156</v>
      </c>
      <c r="E2642" s="3" t="s">
        <v>8157</v>
      </c>
      <c r="J2642" s="9" t="s">
        <v>12120</v>
      </c>
      <c r="Q2642" s="10"/>
      <c r="U2642" s="9" t="str">
        <f t="shared" ca="1" si="106"/>
        <v/>
      </c>
      <c r="V2642" s="9" t="str">
        <f t="shared" ca="1" si="107"/>
        <v/>
      </c>
      <c r="AC2642" s="9" t="s">
        <v>12739</v>
      </c>
      <c r="AD2642" s="9" t="s">
        <v>19</v>
      </c>
    </row>
    <row r="2643" spans="1:33" ht="43.5">
      <c r="A2643" s="3" t="s">
        <v>2889</v>
      </c>
      <c r="D2643" s="3" t="s">
        <v>8159</v>
      </c>
      <c r="E2643" s="3" t="s">
        <v>8158</v>
      </c>
      <c r="I2643" t="s">
        <v>12425</v>
      </c>
      <c r="J2643" s="9" t="s">
        <v>25</v>
      </c>
      <c r="L2643" s="9">
        <v>3</v>
      </c>
      <c r="M2643" s="9">
        <v>20</v>
      </c>
      <c r="O2643" s="9" t="s">
        <v>12079</v>
      </c>
      <c r="Q2643" s="10"/>
      <c r="S2643" s="9">
        <v>25</v>
      </c>
      <c r="U2643" s="9" t="str">
        <f t="shared" ca="1" si="106"/>
        <v/>
      </c>
      <c r="V2643" s="9" t="str">
        <f t="shared" ca="1" si="107"/>
        <v/>
      </c>
      <c r="AG2643" s="9" t="s">
        <v>19</v>
      </c>
    </row>
    <row r="2644" spans="1:33">
      <c r="A2644" s="3" t="s">
        <v>2890</v>
      </c>
      <c r="D2644" s="11" t="s">
        <v>8161</v>
      </c>
      <c r="E2644" s="3" t="s">
        <v>8160</v>
      </c>
      <c r="J2644" s="9" t="s">
        <v>24</v>
      </c>
      <c r="L2644" s="9">
        <v>1</v>
      </c>
      <c r="M2644" s="9">
        <v>3</v>
      </c>
      <c r="N2644" s="9" t="s">
        <v>12078</v>
      </c>
      <c r="O2644" s="9" t="s">
        <v>12079</v>
      </c>
      <c r="Q2644" s="10"/>
      <c r="S2644" s="9">
        <v>11843</v>
      </c>
      <c r="U2644" s="9" t="str">
        <f t="shared" ca="1" si="106"/>
        <v/>
      </c>
      <c r="V2644" s="9" t="str">
        <f t="shared" ca="1" si="107"/>
        <v/>
      </c>
      <c r="AG2644" s="9" t="s">
        <v>20</v>
      </c>
    </row>
    <row r="2645" spans="1:33">
      <c r="A2645" s="3" t="s">
        <v>2891</v>
      </c>
      <c r="D2645" s="3" t="s">
        <v>8162</v>
      </c>
      <c r="E2645" s="3" t="s">
        <v>8163</v>
      </c>
      <c r="J2645" s="9" t="s">
        <v>12120</v>
      </c>
      <c r="Q2645" s="10"/>
      <c r="U2645" s="9" t="str">
        <f t="shared" ca="1" si="106"/>
        <v/>
      </c>
      <c r="V2645" s="9" t="str">
        <f t="shared" ca="1" si="107"/>
        <v/>
      </c>
      <c r="AB2645" s="9" t="s">
        <v>12082</v>
      </c>
      <c r="AD2645" s="9" t="s">
        <v>19</v>
      </c>
    </row>
    <row r="2646" spans="1:33">
      <c r="A2646" s="3" t="s">
        <v>2891</v>
      </c>
      <c r="D2646" s="3" t="s">
        <v>8164</v>
      </c>
      <c r="E2646" s="3" t="s">
        <v>8165</v>
      </c>
      <c r="J2646" s="9" t="s">
        <v>12120</v>
      </c>
      <c r="Q2646" s="10"/>
      <c r="U2646" s="9" t="str">
        <f t="shared" ca="1" si="106"/>
        <v/>
      </c>
      <c r="V2646" s="9" t="str">
        <f t="shared" ca="1" si="107"/>
        <v/>
      </c>
      <c r="AG2646" s="9" t="s">
        <v>19</v>
      </c>
    </row>
    <row r="2647" spans="1:33">
      <c r="A2647" s="3" t="s">
        <v>2892</v>
      </c>
      <c r="D2647" s="3" t="s">
        <v>8166</v>
      </c>
      <c r="E2647" s="3" t="s">
        <v>8167</v>
      </c>
      <c r="J2647" s="9" t="s">
        <v>12118</v>
      </c>
      <c r="Q2647" s="10"/>
      <c r="T2647" s="9">
        <f>14-105</f>
        <v>-91</v>
      </c>
      <c r="U2647" s="9">
        <f t="shared" ca="1" si="106"/>
        <v>105</v>
      </c>
      <c r="V2647" s="9">
        <f t="shared" ca="1" si="107"/>
        <v>14</v>
      </c>
      <c r="AG2647" s="9" t="s">
        <v>20</v>
      </c>
    </row>
    <row r="2648" spans="1:33">
      <c r="A2648" s="3" t="s">
        <v>2894</v>
      </c>
      <c r="D2648" s="3" t="s">
        <v>8169</v>
      </c>
      <c r="E2648" s="3" t="s">
        <v>8168</v>
      </c>
      <c r="J2648" s="9" t="s">
        <v>12118</v>
      </c>
      <c r="Q2648" s="10"/>
      <c r="T2648" s="9">
        <f>5676-780</f>
        <v>4896</v>
      </c>
      <c r="U2648" s="9">
        <f t="shared" ca="1" si="106"/>
        <v>780</v>
      </c>
      <c r="V2648" s="9">
        <f t="shared" ca="1" si="107"/>
        <v>5676</v>
      </c>
      <c r="AG2648" s="9" t="s">
        <v>19</v>
      </c>
    </row>
    <row r="2649" spans="1:33">
      <c r="A2649" s="3" t="s">
        <v>2895</v>
      </c>
      <c r="D2649" s="3" t="s">
        <v>8171</v>
      </c>
      <c r="E2649" s="3" t="s">
        <v>8170</v>
      </c>
      <c r="J2649" s="9" t="s">
        <v>12120</v>
      </c>
      <c r="Q2649" s="10"/>
      <c r="U2649" s="9" t="str">
        <f t="shared" ca="1" si="106"/>
        <v/>
      </c>
      <c r="V2649" s="9" t="str">
        <f t="shared" ca="1" si="107"/>
        <v/>
      </c>
      <c r="AG2649" s="9" t="s">
        <v>20</v>
      </c>
    </row>
    <row r="2650" spans="1:33">
      <c r="A2650" s="3" t="s">
        <v>2895</v>
      </c>
      <c r="D2650" s="3" t="s">
        <v>8172</v>
      </c>
      <c r="E2650" s="3" t="s">
        <v>8173</v>
      </c>
      <c r="J2650" s="9" t="s">
        <v>12118</v>
      </c>
      <c r="Q2650" s="10"/>
      <c r="T2650" s="9" t="s">
        <v>12131</v>
      </c>
      <c r="U2650" s="9" t="str">
        <f t="shared" ca="1" si="106"/>
        <v/>
      </c>
      <c r="V2650" s="9" t="str">
        <f t="shared" ca="1" si="107"/>
        <v/>
      </c>
      <c r="AC2650" s="9" t="s">
        <v>12740</v>
      </c>
      <c r="AD2650" s="9" t="s">
        <v>19</v>
      </c>
    </row>
    <row r="2651" spans="1:33">
      <c r="A2651" s="3" t="s">
        <v>2896</v>
      </c>
      <c r="D2651" s="3" t="s">
        <v>8174</v>
      </c>
      <c r="E2651" s="3" t="s">
        <v>8175</v>
      </c>
      <c r="J2651" s="9" t="s">
        <v>12118</v>
      </c>
      <c r="Q2651" s="10"/>
      <c r="T2651" s="9">
        <f>591-31</f>
        <v>560</v>
      </c>
      <c r="U2651" s="9">
        <f t="shared" ca="1" si="106"/>
        <v>31</v>
      </c>
      <c r="V2651" s="9">
        <f t="shared" ca="1" si="107"/>
        <v>591</v>
      </c>
      <c r="AG2651" s="9" t="s">
        <v>19</v>
      </c>
    </row>
    <row r="2652" spans="1:33">
      <c r="A2652" s="3" t="s">
        <v>2896</v>
      </c>
      <c r="D2652" s="3" t="s">
        <v>738</v>
      </c>
      <c r="E2652" s="3" t="s">
        <v>737</v>
      </c>
      <c r="J2652" s="9" t="s">
        <v>12118</v>
      </c>
      <c r="Q2652" s="10"/>
      <c r="T2652" s="9" t="s">
        <v>12131</v>
      </c>
      <c r="U2652" s="9" t="str">
        <f t="shared" ca="1" si="106"/>
        <v/>
      </c>
      <c r="V2652" s="9" t="str">
        <f t="shared" ca="1" si="107"/>
        <v/>
      </c>
      <c r="AC2652" s="9" t="s">
        <v>12740</v>
      </c>
      <c r="AD2652" s="9" t="s">
        <v>19</v>
      </c>
    </row>
    <row r="2653" spans="1:33">
      <c r="A2653" s="3" t="s">
        <v>2897</v>
      </c>
      <c r="D2653" s="3" t="s">
        <v>2898</v>
      </c>
      <c r="E2653" s="11" t="s">
        <v>898</v>
      </c>
      <c r="G2653" t="s">
        <v>19</v>
      </c>
      <c r="J2653" s="9" t="s">
        <v>12118</v>
      </c>
      <c r="Q2653" s="10"/>
      <c r="T2653" s="9" t="s">
        <v>12131</v>
      </c>
      <c r="U2653" s="9" t="str">
        <f t="shared" ca="1" si="106"/>
        <v/>
      </c>
      <c r="V2653" s="9" t="str">
        <f t="shared" ca="1" si="107"/>
        <v/>
      </c>
      <c r="AE2653" s="9" t="s">
        <v>12086</v>
      </c>
    </row>
    <row r="2654" spans="1:33">
      <c r="A2654" s="3" t="s">
        <v>2899</v>
      </c>
      <c r="D2654" s="3" t="s">
        <v>2900</v>
      </c>
      <c r="E2654" s="3" t="s">
        <v>2901</v>
      </c>
      <c r="G2654" t="s">
        <v>21</v>
      </c>
      <c r="I2654" t="s">
        <v>8176</v>
      </c>
      <c r="J2654" s="9" t="s">
        <v>12118</v>
      </c>
      <c r="Q2654" s="10"/>
      <c r="T2654" s="9" t="s">
        <v>12131</v>
      </c>
      <c r="U2654" s="9" t="str">
        <f t="shared" ca="1" si="106"/>
        <v/>
      </c>
      <c r="V2654" s="9" t="str">
        <f t="shared" ca="1" si="107"/>
        <v/>
      </c>
      <c r="AE2654" s="9" t="s">
        <v>12086</v>
      </c>
    </row>
    <row r="2655" spans="1:33">
      <c r="A2655" s="3" t="s">
        <v>2902</v>
      </c>
      <c r="D2655" s="3" t="s">
        <v>2903</v>
      </c>
      <c r="E2655" s="3" t="s">
        <v>77</v>
      </c>
      <c r="J2655" s="9" t="s">
        <v>12118</v>
      </c>
      <c r="Q2655" s="10"/>
      <c r="T2655" s="9">
        <f>75-437</f>
        <v>-362</v>
      </c>
      <c r="U2655" s="9">
        <f t="shared" ca="1" si="106"/>
        <v>437</v>
      </c>
      <c r="V2655" s="9">
        <f t="shared" ca="1" si="107"/>
        <v>75</v>
      </c>
      <c r="AC2655" s="9" t="s">
        <v>12740</v>
      </c>
      <c r="AD2655" s="9" t="s">
        <v>19</v>
      </c>
    </row>
    <row r="2656" spans="1:33" ht="43.5">
      <c r="A2656" s="3" t="s">
        <v>2904</v>
      </c>
      <c r="D2656" s="3" t="s">
        <v>8177</v>
      </c>
      <c r="E2656" s="3" t="s">
        <v>8178</v>
      </c>
      <c r="I2656" t="s">
        <v>12190</v>
      </c>
      <c r="J2656" s="9" t="s">
        <v>26</v>
      </c>
      <c r="Q2656" s="10"/>
      <c r="U2656" s="9" t="str">
        <f t="shared" ca="1" si="106"/>
        <v/>
      </c>
      <c r="V2656" s="9" t="str">
        <f t="shared" ca="1" si="107"/>
        <v/>
      </c>
      <c r="AG2656" s="9" t="s">
        <v>20</v>
      </c>
    </row>
    <row r="2657" spans="1:33">
      <c r="A2657" s="3" t="s">
        <v>2905</v>
      </c>
      <c r="D2657" s="3" t="s">
        <v>2906</v>
      </c>
      <c r="E2657" s="3" t="s">
        <v>2907</v>
      </c>
      <c r="J2657" s="9" t="s">
        <v>12120</v>
      </c>
      <c r="Q2657" s="10"/>
      <c r="U2657" s="9" t="str">
        <f t="shared" ca="1" si="106"/>
        <v/>
      </c>
      <c r="V2657" s="9" t="str">
        <f t="shared" ca="1" si="107"/>
        <v/>
      </c>
      <c r="AC2657" s="9" t="s">
        <v>12744</v>
      </c>
      <c r="AD2657" s="9" t="s">
        <v>19</v>
      </c>
    </row>
    <row r="2658" spans="1:33">
      <c r="A2658" s="3" t="s">
        <v>2905</v>
      </c>
      <c r="D2658" s="3" t="s">
        <v>8179</v>
      </c>
      <c r="E2658" s="3" t="s">
        <v>8180</v>
      </c>
      <c r="J2658" s="9" t="s">
        <v>12120</v>
      </c>
      <c r="Q2658" s="10"/>
      <c r="U2658" s="9" t="str">
        <f t="shared" ca="1" si="106"/>
        <v/>
      </c>
      <c r="V2658" s="9" t="str">
        <f t="shared" ca="1" si="107"/>
        <v/>
      </c>
      <c r="AG2658" s="9" t="s">
        <v>20</v>
      </c>
    </row>
    <row r="2659" spans="1:33" ht="29">
      <c r="A2659" s="3" t="s">
        <v>2908</v>
      </c>
      <c r="D2659" s="3" t="s">
        <v>8182</v>
      </c>
      <c r="E2659" s="3" t="s">
        <v>8181</v>
      </c>
      <c r="H2659" t="s">
        <v>19</v>
      </c>
      <c r="J2659" s="9" t="s">
        <v>24</v>
      </c>
      <c r="L2659" s="9">
        <v>1</v>
      </c>
      <c r="M2659" s="9">
        <v>2</v>
      </c>
      <c r="N2659" s="9" t="s">
        <v>12078</v>
      </c>
      <c r="O2659" s="9" t="s">
        <v>12119</v>
      </c>
      <c r="Q2659" s="10"/>
      <c r="S2659" s="9">
        <v>11843</v>
      </c>
      <c r="U2659" s="9" t="str">
        <f t="shared" ca="1" si="106"/>
        <v/>
      </c>
      <c r="V2659" s="9" t="str">
        <f t="shared" ca="1" si="107"/>
        <v/>
      </c>
      <c r="AG2659" s="9" t="s">
        <v>20</v>
      </c>
    </row>
    <row r="2660" spans="1:33">
      <c r="A2660" s="3" t="s">
        <v>2908</v>
      </c>
      <c r="D2660" s="3" t="s">
        <v>6709</v>
      </c>
      <c r="E2660" s="3" t="s">
        <v>6710</v>
      </c>
      <c r="J2660" s="9" t="s">
        <v>12120</v>
      </c>
      <c r="Q2660" s="10"/>
      <c r="U2660" s="9" t="str">
        <f t="shared" ca="1" si="106"/>
        <v/>
      </c>
      <c r="V2660" s="9" t="str">
        <f t="shared" ca="1" si="107"/>
        <v/>
      </c>
      <c r="AB2660" s="9" t="s">
        <v>12737</v>
      </c>
      <c r="AD2660" s="9" t="s">
        <v>19</v>
      </c>
    </row>
    <row r="2661" spans="1:33" ht="29">
      <c r="A2661" s="3" t="s">
        <v>2909</v>
      </c>
      <c r="D2661" s="3" t="s">
        <v>8183</v>
      </c>
      <c r="E2661" s="3" t="s">
        <v>8184</v>
      </c>
      <c r="J2661" s="9" t="s">
        <v>12118</v>
      </c>
      <c r="Q2661" s="10"/>
      <c r="T2661" s="9">
        <f>6-17</f>
        <v>-11</v>
      </c>
      <c r="U2661" s="9">
        <f t="shared" ca="1" si="106"/>
        <v>17</v>
      </c>
      <c r="V2661" s="9">
        <f t="shared" ca="1" si="107"/>
        <v>6</v>
      </c>
      <c r="AG2661" s="9" t="s">
        <v>19</v>
      </c>
    </row>
    <row r="2662" spans="1:33">
      <c r="A2662" s="3" t="s">
        <v>2909</v>
      </c>
      <c r="D2662" s="3" t="s">
        <v>8186</v>
      </c>
      <c r="E2662" s="3" t="s">
        <v>8185</v>
      </c>
      <c r="J2662" s="9" t="s">
        <v>25</v>
      </c>
      <c r="L2662" s="9">
        <v>1</v>
      </c>
      <c r="M2662" s="9">
        <v>2</v>
      </c>
      <c r="N2662" s="9" t="s">
        <v>12078</v>
      </c>
      <c r="O2662" s="9" t="s">
        <v>12119</v>
      </c>
      <c r="Q2662" s="10"/>
      <c r="S2662" s="9">
        <v>11843</v>
      </c>
      <c r="U2662" s="9" t="str">
        <f t="shared" ca="1" si="106"/>
        <v/>
      </c>
      <c r="V2662" s="9" t="str">
        <f t="shared" ca="1" si="107"/>
        <v/>
      </c>
      <c r="AG2662" s="9" t="s">
        <v>19</v>
      </c>
    </row>
    <row r="2663" spans="1:33" ht="29">
      <c r="A2663" s="3" t="s">
        <v>2910</v>
      </c>
      <c r="D2663" s="3" t="s">
        <v>8188</v>
      </c>
      <c r="E2663" s="3" t="s">
        <v>8187</v>
      </c>
      <c r="I2663" t="s">
        <v>12413</v>
      </c>
      <c r="J2663" s="9" t="s">
        <v>26</v>
      </c>
      <c r="Q2663" s="10"/>
      <c r="U2663" s="9" t="str">
        <f t="shared" ca="1" si="106"/>
        <v/>
      </c>
      <c r="V2663" s="9" t="str">
        <f t="shared" ca="1" si="107"/>
        <v/>
      </c>
      <c r="AG2663" s="9" t="s">
        <v>20</v>
      </c>
    </row>
    <row r="2664" spans="1:33">
      <c r="A2664" s="3" t="s">
        <v>2911</v>
      </c>
      <c r="D2664" s="3" t="s">
        <v>8189</v>
      </c>
      <c r="E2664" s="3" t="s">
        <v>8190</v>
      </c>
      <c r="J2664" s="9" t="s">
        <v>24</v>
      </c>
      <c r="L2664" s="9">
        <v>1</v>
      </c>
      <c r="M2664" s="9">
        <v>1</v>
      </c>
      <c r="N2664" s="9" t="s">
        <v>12078</v>
      </c>
      <c r="O2664" s="9" t="s">
        <v>12119</v>
      </c>
      <c r="Q2664" s="10"/>
      <c r="S2664" s="9">
        <v>11843</v>
      </c>
      <c r="U2664" s="9" t="str">
        <f t="shared" ca="1" si="106"/>
        <v/>
      </c>
      <c r="V2664" s="9" t="str">
        <f t="shared" ca="1" si="107"/>
        <v/>
      </c>
      <c r="AG2664" s="9" t="s">
        <v>20</v>
      </c>
    </row>
    <row r="2665" spans="1:33">
      <c r="A2665" s="3" t="s">
        <v>2911</v>
      </c>
      <c r="D2665" s="3" t="s">
        <v>2912</v>
      </c>
      <c r="E2665" s="3" t="s">
        <v>2913</v>
      </c>
      <c r="J2665" s="9" t="s">
        <v>12120</v>
      </c>
      <c r="Q2665" s="10"/>
      <c r="U2665" s="9" t="str">
        <f t="shared" ca="1" si="106"/>
        <v/>
      </c>
      <c r="V2665" s="9" t="str">
        <f t="shared" ca="1" si="107"/>
        <v/>
      </c>
      <c r="AG2665" s="9" t="s">
        <v>19</v>
      </c>
    </row>
    <row r="2666" spans="1:33" ht="29">
      <c r="A2666" s="3" t="s">
        <v>2914</v>
      </c>
      <c r="D2666" s="3" t="s">
        <v>8192</v>
      </c>
      <c r="E2666" s="3" t="s">
        <v>8191</v>
      </c>
      <c r="I2666" t="s">
        <v>12192</v>
      </c>
      <c r="J2666" s="9" t="s">
        <v>26</v>
      </c>
      <c r="Q2666" s="10"/>
      <c r="U2666" s="9" t="str">
        <f t="shared" ca="1" si="106"/>
        <v/>
      </c>
      <c r="V2666" s="9" t="str">
        <f t="shared" ca="1" si="107"/>
        <v/>
      </c>
      <c r="AE2666" s="9" t="s">
        <v>12083</v>
      </c>
      <c r="AF2666" s="9" t="s">
        <v>19</v>
      </c>
    </row>
    <row r="2667" spans="1:33" ht="29">
      <c r="A2667" s="3" t="s">
        <v>2914</v>
      </c>
      <c r="D2667" s="3" t="s">
        <v>8194</v>
      </c>
      <c r="E2667" s="3" t="s">
        <v>8193</v>
      </c>
      <c r="I2667" t="s">
        <v>12141</v>
      </c>
      <c r="J2667" s="9" t="s">
        <v>26</v>
      </c>
      <c r="Q2667" s="10"/>
      <c r="U2667" s="9" t="str">
        <f t="shared" ca="1" si="106"/>
        <v/>
      </c>
      <c r="V2667" s="9" t="str">
        <f t="shared" ca="1" si="107"/>
        <v/>
      </c>
      <c r="AG2667" s="9" t="s">
        <v>20</v>
      </c>
    </row>
    <row r="2668" spans="1:33">
      <c r="A2668" s="3" t="s">
        <v>2915</v>
      </c>
      <c r="D2668" s="3" t="s">
        <v>8195</v>
      </c>
      <c r="E2668" s="3" t="s">
        <v>13049</v>
      </c>
      <c r="J2668" s="9" t="s">
        <v>24</v>
      </c>
      <c r="L2668" s="9">
        <v>1</v>
      </c>
      <c r="M2668" s="9">
        <v>3</v>
      </c>
      <c r="N2668" s="9" t="s">
        <v>12087</v>
      </c>
      <c r="O2668" s="9" t="s">
        <v>12079</v>
      </c>
      <c r="Q2668" s="10"/>
      <c r="S2668" s="9">
        <v>5676</v>
      </c>
      <c r="U2668" s="9" t="str">
        <f t="shared" ca="1" si="106"/>
        <v/>
      </c>
      <c r="V2668" s="9" t="str">
        <f t="shared" ca="1" si="107"/>
        <v/>
      </c>
      <c r="AG2668" s="9" t="s">
        <v>19</v>
      </c>
    </row>
    <row r="2669" spans="1:33">
      <c r="A2669" s="3" t="s">
        <v>2915</v>
      </c>
      <c r="D2669" s="3" t="s">
        <v>13050</v>
      </c>
      <c r="E2669" s="3" t="s">
        <v>13051</v>
      </c>
      <c r="F2669" t="s">
        <v>32</v>
      </c>
      <c r="I2669" t="s">
        <v>13052</v>
      </c>
      <c r="J2669" s="9" t="s">
        <v>12120</v>
      </c>
      <c r="Q2669" s="10"/>
      <c r="U2669" s="9" t="str">
        <f t="shared" ref="U2669" ca="1" si="108">IF(ISNUMBER(T2669),VALUE(MID(_xlfn.FORMULATEXT(T2669),SEARCH("-",_xlfn.FORMULATEXT(T2669))+1,LEN(_xlfn.FORMULATEXT(T2669))-SEARCH("-",_xlfn.FORMULATEXT(T2669)))), "")</f>
        <v/>
      </c>
      <c r="V2669" s="9" t="str">
        <f t="shared" ref="V2669" ca="1" si="109">IF(ISNUMBER(T2669), VALUE(MID(_xlfn.FORMULATEXT(T2669), 2, SEARCH("-", _xlfn.FORMULATEXT(T2669)) - 2)), "")</f>
        <v/>
      </c>
      <c r="AB2669" s="9" t="s">
        <v>12124</v>
      </c>
      <c r="AD2669" s="9" t="s">
        <v>19</v>
      </c>
    </row>
    <row r="2670" spans="1:33">
      <c r="A2670" s="3" t="s">
        <v>2915</v>
      </c>
      <c r="D2670" s="3" t="s">
        <v>1850</v>
      </c>
      <c r="E2670" s="3" t="s">
        <v>2916</v>
      </c>
      <c r="J2670" s="9" t="s">
        <v>12118</v>
      </c>
      <c r="Q2670" s="10"/>
      <c r="T2670" s="9" t="s">
        <v>12119</v>
      </c>
      <c r="U2670" s="9" t="str">
        <f t="shared" ca="1" si="106"/>
        <v/>
      </c>
      <c r="V2670" s="9" t="str">
        <f t="shared" ca="1" si="107"/>
        <v/>
      </c>
      <c r="AB2670" s="9" t="s">
        <v>12124</v>
      </c>
      <c r="AD2670" s="9" t="s">
        <v>19</v>
      </c>
    </row>
    <row r="2671" spans="1:33">
      <c r="A2671" s="3" t="s">
        <v>2917</v>
      </c>
      <c r="D2671" s="3" t="s">
        <v>2918</v>
      </c>
      <c r="E2671" s="3" t="s">
        <v>2919</v>
      </c>
      <c r="J2671" s="9" t="s">
        <v>12118</v>
      </c>
      <c r="Q2671" s="10"/>
      <c r="T2671" s="9">
        <f>7-0</f>
        <v>7</v>
      </c>
      <c r="U2671" s="9">
        <f t="shared" ca="1" si="106"/>
        <v>0</v>
      </c>
      <c r="V2671" s="9">
        <f t="shared" ca="1" si="107"/>
        <v>7</v>
      </c>
      <c r="AG2671" s="9" t="s">
        <v>19</v>
      </c>
    </row>
    <row r="2672" spans="1:33">
      <c r="A2672" s="3" t="s">
        <v>2920</v>
      </c>
      <c r="D2672" s="3" t="s">
        <v>8196</v>
      </c>
      <c r="E2672" s="3" t="s">
        <v>8197</v>
      </c>
      <c r="J2672" s="9" t="s">
        <v>12118</v>
      </c>
      <c r="Q2672" s="10"/>
      <c r="T2672" s="9">
        <f>73-73</f>
        <v>0</v>
      </c>
      <c r="U2672" s="9">
        <f t="shared" ca="1" si="106"/>
        <v>73</v>
      </c>
      <c r="V2672" s="9">
        <f t="shared" ca="1" si="107"/>
        <v>73</v>
      </c>
      <c r="AG2672" s="9" t="s">
        <v>20</v>
      </c>
    </row>
    <row r="2673" spans="1:33">
      <c r="A2673" s="3" t="s">
        <v>2921</v>
      </c>
      <c r="D2673" s="3" t="s">
        <v>8199</v>
      </c>
      <c r="E2673" s="3" t="s">
        <v>8198</v>
      </c>
      <c r="J2673" s="9" t="s">
        <v>12118</v>
      </c>
      <c r="Q2673" s="10"/>
      <c r="T2673" s="9">
        <f>93-2042</f>
        <v>-1949</v>
      </c>
      <c r="U2673" s="9">
        <f t="shared" ca="1" si="106"/>
        <v>2042</v>
      </c>
      <c r="V2673" s="9">
        <f t="shared" ca="1" si="107"/>
        <v>93</v>
      </c>
      <c r="AG2673" s="9" t="s">
        <v>19</v>
      </c>
    </row>
    <row r="2674" spans="1:33" ht="29">
      <c r="A2674" s="3" t="s">
        <v>2922</v>
      </c>
      <c r="D2674" s="3" t="s">
        <v>8201</v>
      </c>
      <c r="E2674" s="3" t="s">
        <v>8200</v>
      </c>
      <c r="J2674" s="9" t="s">
        <v>24</v>
      </c>
      <c r="L2674" s="9">
        <v>1</v>
      </c>
      <c r="M2674" s="9">
        <v>5</v>
      </c>
      <c r="N2674" s="9" t="s">
        <v>12094</v>
      </c>
      <c r="O2674" s="9" t="s">
        <v>12079</v>
      </c>
      <c r="Q2674" s="10"/>
      <c r="S2674" s="9">
        <v>4240</v>
      </c>
      <c r="U2674" s="9" t="str">
        <f t="shared" ca="1" si="106"/>
        <v/>
      </c>
      <c r="V2674" s="9" t="str">
        <f t="shared" ca="1" si="107"/>
        <v/>
      </c>
      <c r="AG2674" s="9" t="s">
        <v>19</v>
      </c>
    </row>
    <row r="2675" spans="1:33">
      <c r="A2675" s="3" t="s">
        <v>2923</v>
      </c>
      <c r="D2675" s="3" t="s">
        <v>2924</v>
      </c>
      <c r="E2675" s="3" t="s">
        <v>2925</v>
      </c>
      <c r="J2675" s="9" t="s">
        <v>12120</v>
      </c>
      <c r="Q2675" s="10"/>
      <c r="U2675" s="9" t="str">
        <f t="shared" ca="1" si="106"/>
        <v/>
      </c>
      <c r="V2675" s="9" t="str">
        <f t="shared" ca="1" si="107"/>
        <v/>
      </c>
      <c r="AG2675" s="9" t="s">
        <v>20</v>
      </c>
    </row>
    <row r="2676" spans="1:33">
      <c r="A2676" s="3" t="s">
        <v>2923</v>
      </c>
      <c r="D2676" s="3" t="s">
        <v>2526</v>
      </c>
      <c r="E2676" s="3" t="s">
        <v>1101</v>
      </c>
      <c r="J2676" s="9" t="s">
        <v>12118</v>
      </c>
      <c r="Q2676" s="10"/>
      <c r="T2676" s="9">
        <f>0-84</f>
        <v>-84</v>
      </c>
      <c r="U2676" s="9">
        <f t="shared" ca="1" si="106"/>
        <v>84</v>
      </c>
      <c r="V2676" s="9">
        <f t="shared" ca="1" si="107"/>
        <v>0</v>
      </c>
      <c r="AC2676" s="9" t="s">
        <v>12134</v>
      </c>
      <c r="AD2676" s="9" t="s">
        <v>19</v>
      </c>
    </row>
    <row r="2677" spans="1:33" ht="29">
      <c r="A2677" s="3" t="s">
        <v>2923</v>
      </c>
      <c r="D2677" s="3" t="s">
        <v>8202</v>
      </c>
      <c r="E2677" s="3" t="s">
        <v>8203</v>
      </c>
      <c r="J2677" s="9" t="s">
        <v>12120</v>
      </c>
      <c r="Q2677" s="10"/>
      <c r="U2677" s="9" t="str">
        <f t="shared" ca="1" si="106"/>
        <v/>
      </c>
      <c r="V2677" s="9" t="str">
        <f t="shared" ca="1" si="107"/>
        <v/>
      </c>
      <c r="AG2677" s="9" t="s">
        <v>20</v>
      </c>
    </row>
    <row r="2678" spans="1:33">
      <c r="A2678" s="3" t="s">
        <v>2926</v>
      </c>
      <c r="D2678" s="3" t="s">
        <v>8204</v>
      </c>
      <c r="E2678" s="3" t="s">
        <v>8205</v>
      </c>
      <c r="J2678" s="9" t="s">
        <v>12120</v>
      </c>
      <c r="Q2678" s="10"/>
      <c r="U2678" s="9" t="str">
        <f t="shared" ca="1" si="106"/>
        <v/>
      </c>
      <c r="V2678" s="9" t="str">
        <f t="shared" ca="1" si="107"/>
        <v/>
      </c>
      <c r="AB2678" s="9" t="s">
        <v>12082</v>
      </c>
      <c r="AD2678" s="9" t="s">
        <v>19</v>
      </c>
    </row>
    <row r="2679" spans="1:33">
      <c r="A2679" s="3" t="s">
        <v>2927</v>
      </c>
      <c r="D2679" s="3" t="s">
        <v>8206</v>
      </c>
      <c r="E2679" s="11" t="s">
        <v>8207</v>
      </c>
      <c r="G2679" t="s">
        <v>19</v>
      </c>
      <c r="J2679" s="9" t="s">
        <v>12118</v>
      </c>
      <c r="Q2679" s="10"/>
      <c r="T2679" s="9" t="s">
        <v>12131</v>
      </c>
      <c r="U2679" s="9" t="str">
        <f t="shared" ca="1" si="106"/>
        <v/>
      </c>
      <c r="V2679" s="9" t="str">
        <f t="shared" ca="1" si="107"/>
        <v/>
      </c>
      <c r="AE2679" s="9" t="s">
        <v>12086</v>
      </c>
    </row>
    <row r="2680" spans="1:33">
      <c r="A2680" s="3" t="s">
        <v>2928</v>
      </c>
      <c r="D2680" s="5" t="s">
        <v>2929</v>
      </c>
      <c r="E2680" s="3" t="s">
        <v>2930</v>
      </c>
      <c r="F2680" t="s">
        <v>15</v>
      </c>
      <c r="Q2680" s="10"/>
      <c r="U2680" s="9" t="str">
        <f t="shared" ca="1" si="106"/>
        <v/>
      </c>
      <c r="V2680" s="9" t="str">
        <f t="shared" ca="1" si="107"/>
        <v/>
      </c>
    </row>
    <row r="2681" spans="1:33">
      <c r="A2681" s="3" t="s">
        <v>2931</v>
      </c>
      <c r="D2681" s="3" t="s">
        <v>8209</v>
      </c>
      <c r="E2681" s="3" t="s">
        <v>8208</v>
      </c>
      <c r="J2681" s="9" t="s">
        <v>24</v>
      </c>
      <c r="L2681" s="9">
        <v>1</v>
      </c>
      <c r="M2681" s="9">
        <v>1</v>
      </c>
      <c r="N2681" s="9" t="s">
        <v>12094</v>
      </c>
      <c r="O2681" s="9" t="s">
        <v>12119</v>
      </c>
      <c r="Q2681" s="10"/>
      <c r="S2681" s="9">
        <v>780</v>
      </c>
      <c r="U2681" s="9" t="str">
        <f t="shared" ca="1" si="106"/>
        <v/>
      </c>
      <c r="V2681" s="9" t="str">
        <f t="shared" ca="1" si="107"/>
        <v/>
      </c>
      <c r="AG2681" s="9" t="s">
        <v>19</v>
      </c>
    </row>
    <row r="2682" spans="1:33" ht="29">
      <c r="A2682" s="3" t="s">
        <v>2931</v>
      </c>
      <c r="D2682" s="3" t="s">
        <v>8211</v>
      </c>
      <c r="E2682" s="3" t="s">
        <v>8210</v>
      </c>
      <c r="J2682" s="9" t="s">
        <v>12120</v>
      </c>
      <c r="Q2682" s="10"/>
      <c r="U2682" s="9" t="str">
        <f t="shared" ca="1" si="106"/>
        <v/>
      </c>
      <c r="V2682" s="9" t="str">
        <f t="shared" ca="1" si="107"/>
        <v/>
      </c>
      <c r="AC2682" s="9" t="s">
        <v>12166</v>
      </c>
      <c r="AD2682" s="9" t="s">
        <v>19</v>
      </c>
    </row>
    <row r="2683" spans="1:33">
      <c r="A2683" s="3" t="s">
        <v>2932</v>
      </c>
      <c r="D2683" s="3" t="s">
        <v>8212</v>
      </c>
      <c r="E2683" s="3" t="s">
        <v>8213</v>
      </c>
      <c r="J2683" s="9" t="s">
        <v>25</v>
      </c>
      <c r="L2683" s="9">
        <v>1</v>
      </c>
      <c r="M2683" s="9">
        <v>3</v>
      </c>
      <c r="N2683" s="9" t="s">
        <v>12094</v>
      </c>
      <c r="O2683" s="9" t="s">
        <v>12079</v>
      </c>
      <c r="Q2683" s="10"/>
      <c r="S2683" s="9">
        <v>1741</v>
      </c>
      <c r="U2683" s="9" t="str">
        <f t="shared" ca="1" si="106"/>
        <v/>
      </c>
      <c r="V2683" s="9" t="str">
        <f t="shared" ca="1" si="107"/>
        <v/>
      </c>
      <c r="AG2683" s="9" t="s">
        <v>20</v>
      </c>
    </row>
    <row r="2684" spans="1:33">
      <c r="A2684" s="3" t="s">
        <v>2933</v>
      </c>
      <c r="D2684" s="5" t="s">
        <v>2934</v>
      </c>
      <c r="E2684" s="3" t="s">
        <v>2935</v>
      </c>
      <c r="F2684" t="s">
        <v>15</v>
      </c>
      <c r="Q2684" s="10"/>
      <c r="U2684" s="9" t="str">
        <f t="shared" ca="1" si="106"/>
        <v/>
      </c>
      <c r="V2684" s="9" t="str">
        <f t="shared" ca="1" si="107"/>
        <v/>
      </c>
    </row>
    <row r="2685" spans="1:33">
      <c r="A2685" s="3" t="s">
        <v>2936</v>
      </c>
      <c r="D2685" s="3" t="s">
        <v>8214</v>
      </c>
      <c r="E2685" s="3" t="s">
        <v>8215</v>
      </c>
      <c r="J2685" s="9" t="s">
        <v>12120</v>
      </c>
      <c r="Q2685" s="10"/>
      <c r="U2685" s="9" t="str">
        <f t="shared" ca="1" si="106"/>
        <v/>
      </c>
      <c r="V2685" s="9" t="str">
        <f t="shared" ca="1" si="107"/>
        <v/>
      </c>
      <c r="AG2685" s="9" t="s">
        <v>19</v>
      </c>
    </row>
    <row r="2686" spans="1:33">
      <c r="A2686" s="3" t="s">
        <v>2937</v>
      </c>
      <c r="D2686" s="3" t="s">
        <v>8216</v>
      </c>
      <c r="E2686" s="3" t="s">
        <v>8217</v>
      </c>
      <c r="J2686" s="9" t="s">
        <v>12120</v>
      </c>
      <c r="Q2686" s="10"/>
      <c r="U2686" s="9" t="str">
        <f t="shared" ca="1" si="106"/>
        <v/>
      </c>
      <c r="V2686" s="9" t="str">
        <f t="shared" ca="1" si="107"/>
        <v/>
      </c>
      <c r="AC2686" s="9" t="s">
        <v>12134</v>
      </c>
      <c r="AD2686" s="9" t="s">
        <v>19</v>
      </c>
      <c r="AE2686" s="9" t="s">
        <v>12086</v>
      </c>
    </row>
    <row r="2687" spans="1:33">
      <c r="A2687" s="3" t="s">
        <v>2938</v>
      </c>
      <c r="D2687" s="3" t="s">
        <v>2939</v>
      </c>
      <c r="E2687" s="3" t="s">
        <v>2940</v>
      </c>
      <c r="J2687" s="9" t="s">
        <v>12120</v>
      </c>
      <c r="Q2687" s="10"/>
      <c r="U2687" s="9" t="str">
        <f t="shared" ca="1" si="106"/>
        <v/>
      </c>
      <c r="V2687" s="9" t="str">
        <f t="shared" ca="1" si="107"/>
        <v/>
      </c>
      <c r="AE2687" s="9" t="s">
        <v>12077</v>
      </c>
    </row>
    <row r="2688" spans="1:33">
      <c r="A2688" s="3" t="s">
        <v>2941</v>
      </c>
      <c r="D2688" s="3" t="s">
        <v>2942</v>
      </c>
      <c r="E2688" s="3" t="s">
        <v>2943</v>
      </c>
      <c r="J2688" s="9" t="s">
        <v>12120</v>
      </c>
      <c r="Q2688" s="10"/>
      <c r="U2688" s="9" t="str">
        <f t="shared" ca="1" si="106"/>
        <v/>
      </c>
      <c r="V2688" s="9" t="str">
        <f t="shared" ca="1" si="107"/>
        <v/>
      </c>
      <c r="AC2688" s="9" t="s">
        <v>12744</v>
      </c>
      <c r="AD2688" s="9" t="s">
        <v>19</v>
      </c>
    </row>
    <row r="2689" spans="1:33">
      <c r="A2689" s="3" t="s">
        <v>2944</v>
      </c>
      <c r="D2689" s="3" t="s">
        <v>369</v>
      </c>
      <c r="E2689" s="3" t="s">
        <v>370</v>
      </c>
      <c r="J2689" s="9" t="s">
        <v>12118</v>
      </c>
      <c r="Q2689" s="10"/>
      <c r="T2689" s="9" t="s">
        <v>12131</v>
      </c>
      <c r="U2689" s="9" t="str">
        <f t="shared" ca="1" si="106"/>
        <v/>
      </c>
      <c r="V2689" s="9" t="str">
        <f t="shared" ca="1" si="107"/>
        <v/>
      </c>
      <c r="AC2689" s="9" t="s">
        <v>12130</v>
      </c>
      <c r="AD2689" s="9" t="s">
        <v>19</v>
      </c>
      <c r="AE2689" s="9" t="s">
        <v>12086</v>
      </c>
    </row>
    <row r="2690" spans="1:33">
      <c r="A2690" s="3" t="s">
        <v>2945</v>
      </c>
      <c r="D2690" s="3" t="s">
        <v>8219</v>
      </c>
      <c r="E2690" s="3" t="s">
        <v>8218</v>
      </c>
      <c r="G2690" t="s">
        <v>19</v>
      </c>
      <c r="J2690" s="9" t="s">
        <v>12120</v>
      </c>
      <c r="Q2690" s="10"/>
      <c r="U2690" s="9" t="str">
        <f t="shared" ca="1" si="106"/>
        <v/>
      </c>
      <c r="V2690" s="9" t="str">
        <f t="shared" ca="1" si="107"/>
        <v/>
      </c>
    </row>
    <row r="2691" spans="1:33">
      <c r="A2691" s="3" t="s">
        <v>2945</v>
      </c>
      <c r="D2691" s="3" t="s">
        <v>8221</v>
      </c>
      <c r="E2691" s="3" t="s">
        <v>8220</v>
      </c>
      <c r="J2691" s="9" t="s">
        <v>25</v>
      </c>
      <c r="L2691" s="9">
        <v>1</v>
      </c>
      <c r="M2691" s="9">
        <v>2</v>
      </c>
      <c r="N2691" s="9" t="s">
        <v>12078</v>
      </c>
      <c r="O2691" s="9" t="s">
        <v>12119</v>
      </c>
      <c r="Q2691" s="10"/>
      <c r="S2691" s="9">
        <v>11843</v>
      </c>
      <c r="U2691" s="9" t="str">
        <f t="shared" ca="1" si="106"/>
        <v/>
      </c>
      <c r="V2691" s="9" t="str">
        <f t="shared" ca="1" si="107"/>
        <v/>
      </c>
      <c r="AG2691" s="9" t="s">
        <v>20</v>
      </c>
    </row>
    <row r="2692" spans="1:33">
      <c r="A2692" s="3" t="s">
        <v>2945</v>
      </c>
      <c r="D2692" s="3" t="s">
        <v>2946</v>
      </c>
      <c r="E2692" s="3" t="s">
        <v>8222</v>
      </c>
      <c r="J2692" s="9" t="s">
        <v>12118</v>
      </c>
      <c r="Q2692" s="10"/>
      <c r="R2692" s="9" t="s">
        <v>12074</v>
      </c>
      <c r="T2692" s="9" t="s">
        <v>12131</v>
      </c>
      <c r="U2692" s="9" t="str">
        <f t="shared" ca="1" si="106"/>
        <v/>
      </c>
      <c r="V2692" s="9" t="str">
        <f t="shared" ca="1" si="107"/>
        <v/>
      </c>
      <c r="AE2692" s="9" t="s">
        <v>12077</v>
      </c>
    </row>
    <row r="2693" spans="1:33" ht="29">
      <c r="A2693" s="3" t="s">
        <v>2947</v>
      </c>
      <c r="D2693" s="3" t="s">
        <v>8223</v>
      </c>
      <c r="E2693" s="3" t="s">
        <v>8224</v>
      </c>
      <c r="J2693" s="9" t="s">
        <v>24</v>
      </c>
      <c r="L2693" s="9">
        <v>1</v>
      </c>
      <c r="M2693" s="9">
        <v>3</v>
      </c>
      <c r="N2693" s="9" t="s">
        <v>12078</v>
      </c>
      <c r="O2693" s="9" t="s">
        <v>12073</v>
      </c>
      <c r="P2693" s="9" t="s">
        <v>12142</v>
      </c>
      <c r="Q2693" s="10" t="s">
        <v>12143</v>
      </c>
      <c r="R2693" s="9" t="s">
        <v>12074</v>
      </c>
      <c r="S2693" s="9">
        <v>11843</v>
      </c>
      <c r="U2693" s="9" t="str">
        <f t="shared" ca="1" si="106"/>
        <v/>
      </c>
      <c r="V2693" s="9" t="str">
        <f t="shared" ca="1" si="107"/>
        <v/>
      </c>
      <c r="AG2693" s="9" t="s">
        <v>20</v>
      </c>
    </row>
    <row r="2694" spans="1:33">
      <c r="A2694" s="3" t="s">
        <v>2947</v>
      </c>
      <c r="D2694" s="3" t="s">
        <v>12426</v>
      </c>
      <c r="E2694" s="3" t="s">
        <v>12427</v>
      </c>
      <c r="J2694" s="9" t="s">
        <v>25</v>
      </c>
      <c r="L2694" s="9">
        <v>1</v>
      </c>
      <c r="M2694" s="9">
        <v>1</v>
      </c>
      <c r="N2694" s="9" t="s">
        <v>12078</v>
      </c>
      <c r="O2694" s="9" t="s">
        <v>12119</v>
      </c>
      <c r="Q2694" s="10"/>
      <c r="S2694" s="9">
        <v>11843</v>
      </c>
      <c r="U2694" s="9" t="str">
        <f t="shared" ca="1" si="106"/>
        <v/>
      </c>
      <c r="V2694" s="9" t="str">
        <f t="shared" ca="1" si="107"/>
        <v/>
      </c>
      <c r="AG2694" s="9" t="s">
        <v>13141</v>
      </c>
    </row>
    <row r="2695" spans="1:33">
      <c r="A2695" s="3" t="s">
        <v>2947</v>
      </c>
      <c r="D2695" s="3" t="s">
        <v>2948</v>
      </c>
      <c r="E2695" s="3" t="s">
        <v>2949</v>
      </c>
      <c r="J2695" s="9" t="s">
        <v>12118</v>
      </c>
      <c r="Q2695" s="10"/>
      <c r="T2695" s="9" t="s">
        <v>12131</v>
      </c>
      <c r="U2695" s="9" t="str">
        <f t="shared" ca="1" si="106"/>
        <v/>
      </c>
      <c r="V2695" s="9" t="str">
        <f t="shared" ca="1" si="107"/>
        <v/>
      </c>
      <c r="AE2695" s="9" t="s">
        <v>12077</v>
      </c>
    </row>
    <row r="2696" spans="1:33">
      <c r="A2696" s="3" t="s">
        <v>2950</v>
      </c>
      <c r="D2696" s="3" t="s">
        <v>8225</v>
      </c>
      <c r="E2696" s="3" t="s">
        <v>8226</v>
      </c>
      <c r="I2696" t="s">
        <v>5457</v>
      </c>
      <c r="J2696" s="9" t="s">
        <v>26</v>
      </c>
      <c r="Q2696" s="10"/>
      <c r="U2696" s="9" t="str">
        <f t="shared" ca="1" si="106"/>
        <v/>
      </c>
      <c r="V2696" s="9" t="str">
        <f t="shared" ca="1" si="107"/>
        <v/>
      </c>
      <c r="AG2696" s="9" t="s">
        <v>20</v>
      </c>
    </row>
    <row r="2697" spans="1:33">
      <c r="A2697" s="3" t="s">
        <v>2951</v>
      </c>
      <c r="D2697" s="3" t="s">
        <v>8228</v>
      </c>
      <c r="E2697" s="3" t="s">
        <v>8227</v>
      </c>
      <c r="J2697" s="9" t="s">
        <v>24</v>
      </c>
      <c r="L2697" s="9">
        <v>1</v>
      </c>
      <c r="M2697" s="9">
        <v>4</v>
      </c>
      <c r="N2697" s="9" t="s">
        <v>12094</v>
      </c>
      <c r="O2697" s="9" t="s">
        <v>12079</v>
      </c>
      <c r="Q2697" s="10"/>
      <c r="S2697" s="9">
        <v>1741</v>
      </c>
      <c r="U2697" s="9" t="str">
        <f t="shared" ca="1" si="106"/>
        <v/>
      </c>
      <c r="V2697" s="9" t="str">
        <f t="shared" ca="1" si="107"/>
        <v/>
      </c>
      <c r="AG2697" s="9" t="s">
        <v>19</v>
      </c>
    </row>
    <row r="2698" spans="1:33">
      <c r="A2698" s="3" t="s">
        <v>2952</v>
      </c>
      <c r="D2698" s="3" t="s">
        <v>8230</v>
      </c>
      <c r="E2698" s="3" t="s">
        <v>8229</v>
      </c>
      <c r="J2698" s="9" t="s">
        <v>12120</v>
      </c>
      <c r="Q2698" s="10"/>
      <c r="U2698" s="9" t="str">
        <f t="shared" ca="1" si="106"/>
        <v/>
      </c>
      <c r="V2698" s="9" t="str">
        <f t="shared" ca="1" si="107"/>
        <v/>
      </c>
      <c r="AB2698" s="9" t="s">
        <v>12082</v>
      </c>
      <c r="AD2698" s="9" t="s">
        <v>19</v>
      </c>
    </row>
    <row r="2699" spans="1:33" ht="72.5">
      <c r="A2699" s="3" t="s">
        <v>2952</v>
      </c>
      <c r="D2699" s="3" t="s">
        <v>12428</v>
      </c>
      <c r="E2699" s="3" t="s">
        <v>8232</v>
      </c>
      <c r="I2699" t="s">
        <v>12431</v>
      </c>
      <c r="J2699" s="9" t="s">
        <v>24</v>
      </c>
      <c r="L2699" s="9">
        <v>3</v>
      </c>
      <c r="M2699" s="9">
        <v>14</v>
      </c>
      <c r="O2699" s="9" t="s">
        <v>12079</v>
      </c>
      <c r="Q2699" s="10"/>
      <c r="S2699" s="9">
        <v>47</v>
      </c>
      <c r="U2699" s="9" t="str">
        <f t="shared" ca="1" si="106"/>
        <v/>
      </c>
      <c r="V2699" s="9" t="str">
        <f t="shared" ca="1" si="107"/>
        <v/>
      </c>
      <c r="AG2699" s="9" t="s">
        <v>20</v>
      </c>
    </row>
    <row r="2700" spans="1:33" ht="72.5">
      <c r="A2700" s="3" t="s">
        <v>2952</v>
      </c>
      <c r="D2700" s="3" t="s">
        <v>12430</v>
      </c>
      <c r="E2700" s="3" t="s">
        <v>12429</v>
      </c>
      <c r="J2700" s="9" t="s">
        <v>25</v>
      </c>
      <c r="L2700" s="9">
        <v>3</v>
      </c>
      <c r="M2700" s="9">
        <v>14</v>
      </c>
      <c r="O2700" s="9" t="s">
        <v>12073</v>
      </c>
      <c r="P2700" s="9" t="s">
        <v>12140</v>
      </c>
      <c r="Q2700" s="10" t="s">
        <v>12136</v>
      </c>
      <c r="S2700" s="9">
        <v>47</v>
      </c>
      <c r="U2700" s="9" t="str">
        <f t="shared" ca="1" si="106"/>
        <v/>
      </c>
      <c r="V2700" s="9" t="str">
        <f t="shared" ca="1" si="107"/>
        <v/>
      </c>
      <c r="AG2700" s="9" t="s">
        <v>20</v>
      </c>
    </row>
    <row r="2701" spans="1:33" ht="72.5">
      <c r="A2701" s="3" t="s">
        <v>2953</v>
      </c>
      <c r="D2701" s="3" t="s">
        <v>8231</v>
      </c>
      <c r="E2701" s="3" t="s">
        <v>8233</v>
      </c>
      <c r="J2701" s="9" t="s">
        <v>12118</v>
      </c>
      <c r="Q2701" s="10"/>
      <c r="T2701" s="9" t="s">
        <v>12131</v>
      </c>
      <c r="U2701" s="9" t="str">
        <f t="shared" ca="1" si="106"/>
        <v/>
      </c>
      <c r="V2701" s="9" t="str">
        <f t="shared" ca="1" si="107"/>
        <v/>
      </c>
      <c r="AC2701" s="9" t="s">
        <v>12130</v>
      </c>
      <c r="AD2701" s="9" t="s">
        <v>19</v>
      </c>
    </row>
    <row r="2702" spans="1:33">
      <c r="A2702" s="3" t="s">
        <v>2954</v>
      </c>
      <c r="D2702" s="3" t="s">
        <v>8021</v>
      </c>
      <c r="E2702" s="3" t="s">
        <v>8020</v>
      </c>
      <c r="J2702" s="9" t="s">
        <v>12120</v>
      </c>
      <c r="Q2702" s="10"/>
      <c r="U2702" s="9" t="str">
        <f t="shared" ca="1" si="106"/>
        <v/>
      </c>
      <c r="V2702" s="9" t="str">
        <f t="shared" ca="1" si="107"/>
        <v/>
      </c>
      <c r="AB2702" s="9" t="s">
        <v>12738</v>
      </c>
      <c r="AD2702" s="9" t="s">
        <v>19</v>
      </c>
    </row>
    <row r="2703" spans="1:33">
      <c r="A2703" s="3" t="s">
        <v>2955</v>
      </c>
      <c r="D2703" s="3" t="s">
        <v>8234</v>
      </c>
      <c r="E2703" s="3" t="s">
        <v>8235</v>
      </c>
      <c r="G2703" t="s">
        <v>20</v>
      </c>
      <c r="I2703" t="s">
        <v>8236</v>
      </c>
      <c r="J2703" s="9" t="s">
        <v>12118</v>
      </c>
      <c r="Q2703" s="10"/>
      <c r="T2703" s="9" t="s">
        <v>12131</v>
      </c>
      <c r="U2703" s="9" t="str">
        <f t="shared" ref="U2703:U2767" ca="1" si="110">IF(ISNUMBER(T2703),VALUE(MID(_xlfn.FORMULATEXT(T2703),SEARCH("-",_xlfn.FORMULATEXT(T2703))+1,LEN(_xlfn.FORMULATEXT(T2703))-SEARCH("-",_xlfn.FORMULATEXT(T2703)))), "")</f>
        <v/>
      </c>
      <c r="V2703" s="9" t="str">
        <f t="shared" ref="V2703:V2767" ca="1" si="111">IF(ISNUMBER(T2703), VALUE(MID(_xlfn.FORMULATEXT(T2703), 2, SEARCH("-", _xlfn.FORMULATEXT(T2703)) - 2)), "")</f>
        <v/>
      </c>
      <c r="AC2703" s="9" t="s">
        <v>12128</v>
      </c>
      <c r="AD2703" s="9" t="s">
        <v>20</v>
      </c>
      <c r="AE2703" s="9" t="s">
        <v>12086</v>
      </c>
    </row>
    <row r="2704" spans="1:33">
      <c r="A2704" s="3" t="s">
        <v>2956</v>
      </c>
      <c r="D2704" s="3" t="s">
        <v>8238</v>
      </c>
      <c r="E2704" s="3" t="s">
        <v>8237</v>
      </c>
      <c r="J2704" s="9" t="s">
        <v>25</v>
      </c>
      <c r="L2704" s="9">
        <v>1</v>
      </c>
      <c r="M2704" s="9">
        <v>3</v>
      </c>
      <c r="N2704" s="9" t="s">
        <v>12087</v>
      </c>
      <c r="O2704" s="9" t="s">
        <v>12079</v>
      </c>
      <c r="Q2704" s="10"/>
      <c r="S2704" s="9">
        <v>431</v>
      </c>
      <c r="U2704" s="9" t="str">
        <f t="shared" ca="1" si="110"/>
        <v/>
      </c>
      <c r="V2704" s="9" t="str">
        <f t="shared" ca="1" si="111"/>
        <v/>
      </c>
      <c r="AG2704" s="9" t="s">
        <v>20</v>
      </c>
    </row>
    <row r="2705" spans="1:33" ht="29">
      <c r="A2705" s="3" t="s">
        <v>2957</v>
      </c>
      <c r="D2705" s="3" t="s">
        <v>8240</v>
      </c>
      <c r="E2705" s="3" t="s">
        <v>8239</v>
      </c>
      <c r="J2705" s="9" t="s">
        <v>25</v>
      </c>
      <c r="L2705" s="9">
        <v>1</v>
      </c>
      <c r="M2705" s="9">
        <v>2</v>
      </c>
      <c r="N2705" s="9" t="s">
        <v>12078</v>
      </c>
      <c r="O2705" s="9" t="s">
        <v>12119</v>
      </c>
      <c r="Q2705" s="10"/>
      <c r="R2705" s="9" t="s">
        <v>12074</v>
      </c>
      <c r="S2705" s="9">
        <v>11843</v>
      </c>
      <c r="U2705" s="9" t="str">
        <f t="shared" ca="1" si="110"/>
        <v/>
      </c>
      <c r="V2705" s="9" t="str">
        <f t="shared" ca="1" si="111"/>
        <v/>
      </c>
      <c r="AG2705" s="9" t="s">
        <v>20</v>
      </c>
    </row>
    <row r="2706" spans="1:33">
      <c r="A2706" s="3" t="s">
        <v>2958</v>
      </c>
      <c r="D2706" s="3" t="s">
        <v>2959</v>
      </c>
      <c r="E2706" s="3" t="s">
        <v>2960</v>
      </c>
      <c r="G2706" t="s">
        <v>21</v>
      </c>
      <c r="I2706" t="s">
        <v>8241</v>
      </c>
      <c r="J2706" s="9" t="s">
        <v>12120</v>
      </c>
      <c r="Q2706" s="10"/>
      <c r="U2706" s="9" t="str">
        <f t="shared" ca="1" si="110"/>
        <v/>
      </c>
      <c r="V2706" s="9" t="str">
        <f t="shared" ca="1" si="111"/>
        <v/>
      </c>
      <c r="AC2706" s="9" t="s">
        <v>12432</v>
      </c>
      <c r="AD2706" s="9" t="s">
        <v>20</v>
      </c>
      <c r="AE2706" s="9" t="s">
        <v>12086</v>
      </c>
    </row>
    <row r="2707" spans="1:33">
      <c r="A2707" s="3" t="s">
        <v>2961</v>
      </c>
      <c r="D2707" s="3" t="s">
        <v>2359</v>
      </c>
      <c r="E2707" s="3" t="s">
        <v>121</v>
      </c>
      <c r="J2707" s="9" t="s">
        <v>12120</v>
      </c>
      <c r="Q2707" s="10"/>
      <c r="U2707" s="9" t="str">
        <f t="shared" ca="1" si="110"/>
        <v/>
      </c>
      <c r="V2707" s="9" t="str">
        <f t="shared" ca="1" si="111"/>
        <v/>
      </c>
      <c r="AC2707" s="9" t="s">
        <v>12432</v>
      </c>
      <c r="AD2707" s="9" t="s">
        <v>19</v>
      </c>
    </row>
    <row r="2708" spans="1:33">
      <c r="A2708" s="3" t="s">
        <v>2962</v>
      </c>
      <c r="D2708" s="3" t="s">
        <v>2893</v>
      </c>
      <c r="E2708" s="3" t="s">
        <v>1188</v>
      </c>
      <c r="J2708" s="9" t="s">
        <v>12120</v>
      </c>
      <c r="Q2708" s="10"/>
      <c r="U2708" s="9" t="str">
        <f t="shared" ca="1" si="110"/>
        <v/>
      </c>
      <c r="V2708" s="9" t="str">
        <f t="shared" ca="1" si="111"/>
        <v/>
      </c>
      <c r="AC2708" s="9" t="s">
        <v>12134</v>
      </c>
      <c r="AD2708" s="9" t="s">
        <v>19</v>
      </c>
      <c r="AE2708" s="9" t="s">
        <v>12086</v>
      </c>
    </row>
    <row r="2709" spans="1:33" ht="29">
      <c r="A2709" s="3" t="s">
        <v>2962</v>
      </c>
      <c r="D2709" s="3" t="s">
        <v>8242</v>
      </c>
      <c r="E2709" s="3" t="s">
        <v>8243</v>
      </c>
      <c r="H2709" t="s">
        <v>19</v>
      </c>
      <c r="J2709" s="9" t="s">
        <v>12118</v>
      </c>
      <c r="Q2709" s="10"/>
      <c r="T2709" s="9">
        <f>11843-93</f>
        <v>11750</v>
      </c>
      <c r="U2709" s="9">
        <f t="shared" ca="1" si="110"/>
        <v>93</v>
      </c>
      <c r="V2709" s="9">
        <f t="shared" ca="1" si="111"/>
        <v>11843</v>
      </c>
      <c r="AG2709" s="9" t="s">
        <v>20</v>
      </c>
    </row>
    <row r="2710" spans="1:33">
      <c r="A2710" s="3" t="s">
        <v>2962</v>
      </c>
      <c r="D2710" s="3" t="s">
        <v>2963</v>
      </c>
      <c r="E2710" s="11" t="s">
        <v>8244</v>
      </c>
      <c r="G2710" t="s">
        <v>19</v>
      </c>
      <c r="J2710" s="9" t="s">
        <v>12120</v>
      </c>
      <c r="Q2710" s="10"/>
      <c r="U2710" s="9" t="str">
        <f t="shared" ca="1" si="110"/>
        <v/>
      </c>
      <c r="V2710" s="9" t="str">
        <f t="shared" ca="1" si="111"/>
        <v/>
      </c>
      <c r="AE2710" s="9" t="s">
        <v>12086</v>
      </c>
    </row>
    <row r="2711" spans="1:33">
      <c r="A2711" s="3" t="s">
        <v>2964</v>
      </c>
      <c r="D2711" s="3" t="s">
        <v>8245</v>
      </c>
      <c r="E2711" s="3" t="s">
        <v>8246</v>
      </c>
      <c r="J2711" s="9" t="s">
        <v>12118</v>
      </c>
      <c r="Q2711" s="10"/>
      <c r="T2711" s="9" t="s">
        <v>12131</v>
      </c>
      <c r="U2711" s="9" t="str">
        <f t="shared" ca="1" si="110"/>
        <v/>
      </c>
      <c r="V2711" s="9" t="str">
        <f t="shared" ca="1" si="111"/>
        <v/>
      </c>
      <c r="AB2711" s="9" t="s">
        <v>12124</v>
      </c>
      <c r="AD2711" s="9" t="s">
        <v>19</v>
      </c>
    </row>
    <row r="2712" spans="1:33">
      <c r="A2712" s="3" t="s">
        <v>2964</v>
      </c>
      <c r="D2712" s="11" t="s">
        <v>8247</v>
      </c>
      <c r="E2712" s="11" t="s">
        <v>8247</v>
      </c>
      <c r="G2712" t="s">
        <v>20</v>
      </c>
      <c r="I2712" t="s">
        <v>8248</v>
      </c>
      <c r="Q2712" s="10"/>
      <c r="U2712" s="9" t="str">
        <f t="shared" ca="1" si="110"/>
        <v/>
      </c>
      <c r="V2712" s="9" t="str">
        <f t="shared" ca="1" si="111"/>
        <v/>
      </c>
    </row>
    <row r="2713" spans="1:33" ht="29">
      <c r="A2713" s="3" t="s">
        <v>2965</v>
      </c>
      <c r="D2713" s="3" t="s">
        <v>8249</v>
      </c>
      <c r="E2713" s="3" t="s">
        <v>8250</v>
      </c>
      <c r="J2713" s="9" t="s">
        <v>24</v>
      </c>
      <c r="L2713" s="9">
        <v>1</v>
      </c>
      <c r="M2713" s="9">
        <v>3</v>
      </c>
      <c r="N2713" s="9" t="s">
        <v>12087</v>
      </c>
      <c r="O2713" s="9" t="s">
        <v>12073</v>
      </c>
      <c r="P2713" s="9" t="s">
        <v>12142</v>
      </c>
      <c r="Q2713" s="10" t="s">
        <v>12143</v>
      </c>
      <c r="R2713" s="9" t="s">
        <v>12074</v>
      </c>
      <c r="S2713" s="9">
        <v>5676</v>
      </c>
      <c r="U2713" s="9" t="str">
        <f t="shared" ca="1" si="110"/>
        <v/>
      </c>
      <c r="V2713" s="9" t="str">
        <f t="shared" ca="1" si="111"/>
        <v/>
      </c>
      <c r="AE2713" s="9" t="s">
        <v>12083</v>
      </c>
    </row>
    <row r="2714" spans="1:33">
      <c r="A2714" s="3" t="s">
        <v>2965</v>
      </c>
      <c r="D2714" s="3" t="s">
        <v>8251</v>
      </c>
      <c r="E2714" s="3" t="s">
        <v>8252</v>
      </c>
      <c r="J2714" s="9" t="s">
        <v>25</v>
      </c>
      <c r="L2714" s="9">
        <v>1</v>
      </c>
      <c r="M2714" s="9">
        <v>6</v>
      </c>
      <c r="N2714" s="9" t="s">
        <v>12125</v>
      </c>
      <c r="O2714" s="9" t="s">
        <v>12079</v>
      </c>
      <c r="Q2714" s="10"/>
      <c r="S2714" s="9">
        <v>265</v>
      </c>
      <c r="U2714" s="9" t="str">
        <f t="shared" ca="1" si="110"/>
        <v/>
      </c>
      <c r="V2714" s="9" t="str">
        <f t="shared" ca="1" si="111"/>
        <v/>
      </c>
      <c r="AG2714" s="9" t="s">
        <v>20</v>
      </c>
    </row>
    <row r="2715" spans="1:33">
      <c r="A2715" s="3" t="s">
        <v>2966</v>
      </c>
      <c r="D2715" s="3" t="s">
        <v>738</v>
      </c>
      <c r="E2715" s="3" t="s">
        <v>737</v>
      </c>
      <c r="J2715" s="9" t="s">
        <v>12118</v>
      </c>
      <c r="Q2715" s="10"/>
      <c r="T2715" s="9" t="s">
        <v>12131</v>
      </c>
      <c r="U2715" s="9" t="str">
        <f t="shared" ca="1" si="110"/>
        <v/>
      </c>
      <c r="V2715" s="9" t="str">
        <f t="shared" ca="1" si="111"/>
        <v/>
      </c>
      <c r="AB2715" s="9" t="s">
        <v>12124</v>
      </c>
      <c r="AC2715" s="9" t="s">
        <v>12740</v>
      </c>
      <c r="AD2715" s="9" t="s">
        <v>19</v>
      </c>
    </row>
    <row r="2716" spans="1:33">
      <c r="A2716" s="3" t="s">
        <v>2967</v>
      </c>
      <c r="D2716" s="3" t="s">
        <v>2526</v>
      </c>
      <c r="E2716" s="3" t="s">
        <v>1101</v>
      </c>
      <c r="J2716" s="9" t="s">
        <v>12118</v>
      </c>
      <c r="Q2716" s="10"/>
      <c r="T2716" s="9">
        <f>0-84</f>
        <v>-84</v>
      </c>
      <c r="U2716" s="9">
        <f t="shared" ca="1" si="110"/>
        <v>84</v>
      </c>
      <c r="V2716" s="9">
        <f t="shared" ca="1" si="111"/>
        <v>0</v>
      </c>
      <c r="AC2716" s="9" t="s">
        <v>12134</v>
      </c>
      <c r="AD2716" s="9" t="s">
        <v>19</v>
      </c>
    </row>
    <row r="2717" spans="1:33">
      <c r="A2717" s="3" t="s">
        <v>2968</v>
      </c>
      <c r="D2717" s="3" t="s">
        <v>8254</v>
      </c>
      <c r="E2717" s="3" t="s">
        <v>8253</v>
      </c>
      <c r="J2717" s="9" t="s">
        <v>24</v>
      </c>
      <c r="L2717" s="9">
        <v>1</v>
      </c>
      <c r="M2717" s="9">
        <v>4</v>
      </c>
      <c r="N2717" s="9" t="s">
        <v>12072</v>
      </c>
      <c r="O2717" s="9" t="s">
        <v>12079</v>
      </c>
      <c r="Q2717" s="10"/>
      <c r="S2717" s="9">
        <v>130</v>
      </c>
      <c r="AG2717" s="9" t="s">
        <v>19</v>
      </c>
    </row>
    <row r="2718" spans="1:33">
      <c r="A2718" s="3" t="s">
        <v>2969</v>
      </c>
      <c r="D2718" s="3" t="s">
        <v>8255</v>
      </c>
      <c r="E2718" s="3" t="s">
        <v>8256</v>
      </c>
      <c r="G2718" t="s">
        <v>19</v>
      </c>
      <c r="J2718" s="9" t="s">
        <v>12120</v>
      </c>
      <c r="Q2718" s="10"/>
      <c r="U2718" s="9" t="str">
        <f t="shared" ca="1" si="110"/>
        <v/>
      </c>
      <c r="V2718" s="9" t="str">
        <f t="shared" ca="1" si="111"/>
        <v/>
      </c>
    </row>
    <row r="2719" spans="1:33">
      <c r="A2719" s="3" t="s">
        <v>2970</v>
      </c>
      <c r="D2719" s="3" t="s">
        <v>8258</v>
      </c>
      <c r="E2719" s="3" t="s">
        <v>8257</v>
      </c>
      <c r="J2719" s="9" t="s">
        <v>25</v>
      </c>
      <c r="L2719" s="9">
        <v>1</v>
      </c>
      <c r="M2719" s="9">
        <v>2</v>
      </c>
      <c r="N2719" s="9" t="s">
        <v>12123</v>
      </c>
      <c r="O2719" s="9" t="s">
        <v>12119</v>
      </c>
      <c r="Q2719" s="10"/>
      <c r="S2719" s="9">
        <v>526</v>
      </c>
      <c r="U2719" s="9" t="str">
        <f t="shared" ca="1" si="110"/>
        <v/>
      </c>
      <c r="V2719" s="9" t="str">
        <f t="shared" ca="1" si="111"/>
        <v/>
      </c>
      <c r="AG2719" s="9" t="s">
        <v>20</v>
      </c>
    </row>
    <row r="2720" spans="1:33" ht="29">
      <c r="A2720" s="3" t="s">
        <v>2971</v>
      </c>
      <c r="D2720" s="3" t="s">
        <v>8260</v>
      </c>
      <c r="E2720" s="3" t="s">
        <v>8259</v>
      </c>
      <c r="I2720" t="s">
        <v>12433</v>
      </c>
      <c r="J2720" s="9" t="s">
        <v>25</v>
      </c>
      <c r="L2720" s="9">
        <v>3</v>
      </c>
      <c r="M2720" s="9">
        <v>9</v>
      </c>
      <c r="O2720" s="9" t="s">
        <v>12079</v>
      </c>
      <c r="Q2720" s="10"/>
      <c r="S2720" s="9">
        <v>75</v>
      </c>
      <c r="U2720" s="9" t="str">
        <f t="shared" ca="1" si="110"/>
        <v/>
      </c>
      <c r="V2720" s="9" t="str">
        <f t="shared" ca="1" si="111"/>
        <v/>
      </c>
      <c r="AG2720" s="9" t="s">
        <v>13141</v>
      </c>
    </row>
    <row r="2721" spans="1:33">
      <c r="A2721" s="3" t="s">
        <v>2971</v>
      </c>
      <c r="D2721" s="3" t="s">
        <v>2972</v>
      </c>
      <c r="E2721" s="3" t="s">
        <v>2973</v>
      </c>
      <c r="J2721" s="9" t="s">
        <v>12118</v>
      </c>
      <c r="Q2721" s="10"/>
      <c r="T2721" s="9">
        <f>4-3</f>
        <v>1</v>
      </c>
      <c r="U2721" s="9">
        <f t="shared" ca="1" si="110"/>
        <v>3</v>
      </c>
      <c r="V2721" s="9">
        <f t="shared" ca="1" si="111"/>
        <v>4</v>
      </c>
      <c r="AC2721" s="9" t="s">
        <v>12740</v>
      </c>
      <c r="AD2721" s="9" t="s">
        <v>19</v>
      </c>
    </row>
    <row r="2722" spans="1:33">
      <c r="A2722" s="3" t="s">
        <v>2974</v>
      </c>
      <c r="D2722" s="3" t="s">
        <v>8262</v>
      </c>
      <c r="E2722" s="3" t="s">
        <v>8261</v>
      </c>
      <c r="G2722" t="s">
        <v>19</v>
      </c>
      <c r="J2722" s="9" t="s">
        <v>12120</v>
      </c>
      <c r="Q2722" s="10"/>
      <c r="U2722" s="9" t="str">
        <f t="shared" ca="1" si="110"/>
        <v/>
      </c>
      <c r="V2722" s="9" t="str">
        <f t="shared" ca="1" si="111"/>
        <v/>
      </c>
    </row>
    <row r="2723" spans="1:33" ht="29">
      <c r="A2723" s="3" t="s">
        <v>2975</v>
      </c>
      <c r="D2723" s="3" t="s">
        <v>8264</v>
      </c>
      <c r="E2723" s="3" t="s">
        <v>8265</v>
      </c>
      <c r="J2723" s="9" t="s">
        <v>12120</v>
      </c>
      <c r="Q2723" s="10"/>
      <c r="U2723" s="9" t="str">
        <f t="shared" ca="1" si="110"/>
        <v/>
      </c>
      <c r="V2723" s="9" t="str">
        <f t="shared" ca="1" si="111"/>
        <v/>
      </c>
      <c r="AC2723" s="9" t="s">
        <v>12134</v>
      </c>
      <c r="AD2723" s="9" t="s">
        <v>19</v>
      </c>
    </row>
    <row r="2724" spans="1:33" ht="29">
      <c r="A2724" s="3" t="s">
        <v>2975</v>
      </c>
      <c r="D2724" s="3" t="s">
        <v>8263</v>
      </c>
      <c r="E2724" s="5" t="s">
        <v>8266</v>
      </c>
      <c r="F2724" t="s">
        <v>16</v>
      </c>
      <c r="Q2724" s="10"/>
      <c r="U2724" s="9" t="str">
        <f t="shared" ca="1" si="110"/>
        <v/>
      </c>
      <c r="V2724" s="9" t="str">
        <f t="shared" ca="1" si="111"/>
        <v/>
      </c>
    </row>
    <row r="2725" spans="1:33">
      <c r="A2725" s="3" t="s">
        <v>2976</v>
      </c>
      <c r="D2725" s="3" t="s">
        <v>8267</v>
      </c>
      <c r="E2725" s="3" t="s">
        <v>8268</v>
      </c>
      <c r="J2725" s="9" t="s">
        <v>24</v>
      </c>
      <c r="L2725" s="9">
        <v>1</v>
      </c>
      <c r="M2725" s="9">
        <v>1</v>
      </c>
      <c r="N2725" s="9" t="s">
        <v>12078</v>
      </c>
      <c r="O2725" s="9" t="s">
        <v>12119</v>
      </c>
      <c r="Q2725" s="10"/>
      <c r="S2725" s="9">
        <v>11843</v>
      </c>
      <c r="U2725" s="9" t="str">
        <f t="shared" ca="1" si="110"/>
        <v/>
      </c>
      <c r="V2725" s="9" t="str">
        <f t="shared" ca="1" si="111"/>
        <v/>
      </c>
      <c r="AG2725" s="9" t="s">
        <v>19</v>
      </c>
    </row>
    <row r="2726" spans="1:33">
      <c r="A2726" s="3" t="s">
        <v>2976</v>
      </c>
      <c r="D2726" s="3" t="s">
        <v>8270</v>
      </c>
      <c r="E2726" s="3" t="s">
        <v>8269</v>
      </c>
      <c r="J2726" s="9" t="s">
        <v>12118</v>
      </c>
      <c r="Q2726" s="10"/>
      <c r="T2726" s="9" t="s">
        <v>12131</v>
      </c>
      <c r="U2726" s="9" t="str">
        <f t="shared" ca="1" si="110"/>
        <v/>
      </c>
      <c r="V2726" s="9" t="str">
        <f t="shared" ca="1" si="111"/>
        <v/>
      </c>
      <c r="AC2726" s="9" t="s">
        <v>12130</v>
      </c>
      <c r="AD2726" s="9" t="s">
        <v>19</v>
      </c>
      <c r="AE2726" s="9" t="s">
        <v>12086</v>
      </c>
    </row>
    <row r="2727" spans="1:33">
      <c r="A2727" s="3" t="s">
        <v>2978</v>
      </c>
      <c r="D2727" s="3" t="s">
        <v>8272</v>
      </c>
      <c r="E2727" s="3" t="s">
        <v>8271</v>
      </c>
      <c r="H2727" t="s">
        <v>19</v>
      </c>
      <c r="J2727" s="9" t="s">
        <v>25</v>
      </c>
      <c r="L2727" s="9">
        <v>1</v>
      </c>
      <c r="M2727" s="9">
        <v>3</v>
      </c>
      <c r="N2727" s="9" t="s">
        <v>12123</v>
      </c>
      <c r="O2727" s="9" t="s">
        <v>12079</v>
      </c>
      <c r="Q2727" s="10"/>
      <c r="S2727" s="9">
        <v>887</v>
      </c>
      <c r="U2727" s="9" t="str">
        <f t="shared" ca="1" si="110"/>
        <v/>
      </c>
      <c r="V2727" s="9" t="str">
        <f t="shared" ca="1" si="111"/>
        <v/>
      </c>
      <c r="AG2727" s="9" t="s">
        <v>20</v>
      </c>
    </row>
    <row r="2728" spans="1:33">
      <c r="A2728" s="3" t="s">
        <v>2979</v>
      </c>
      <c r="D2728" s="3" t="s">
        <v>8274</v>
      </c>
      <c r="E2728" s="3" t="s">
        <v>8273</v>
      </c>
      <c r="J2728" s="9" t="s">
        <v>12118</v>
      </c>
      <c r="Q2728" s="10"/>
      <c r="T2728" s="9">
        <f>1966-5676</f>
        <v>-3710</v>
      </c>
      <c r="U2728" s="9">
        <f t="shared" ca="1" si="110"/>
        <v>5676</v>
      </c>
      <c r="V2728" s="9">
        <f t="shared" ca="1" si="111"/>
        <v>1966</v>
      </c>
      <c r="AG2728" s="9" t="s">
        <v>19</v>
      </c>
    </row>
    <row r="2729" spans="1:33" ht="29">
      <c r="A2729" s="3" t="s">
        <v>2980</v>
      </c>
      <c r="D2729" s="3" t="s">
        <v>8275</v>
      </c>
      <c r="E2729" s="3" t="s">
        <v>8276</v>
      </c>
      <c r="J2729" s="9" t="s">
        <v>24</v>
      </c>
      <c r="L2729" s="9">
        <v>2</v>
      </c>
      <c r="M2729" s="9">
        <v>4</v>
      </c>
      <c r="O2729" s="9" t="s">
        <v>12073</v>
      </c>
      <c r="P2729" s="9" t="s">
        <v>12149</v>
      </c>
      <c r="Q2729" s="10" t="s">
        <v>12160</v>
      </c>
      <c r="R2729" s="9" t="s">
        <v>12074</v>
      </c>
      <c r="S2729" s="9">
        <v>1496</v>
      </c>
      <c r="U2729" s="9" t="str">
        <f t="shared" ca="1" si="110"/>
        <v/>
      </c>
      <c r="V2729" s="9" t="str">
        <f t="shared" ca="1" si="111"/>
        <v/>
      </c>
      <c r="AE2729" s="9" t="s">
        <v>12083</v>
      </c>
    </row>
    <row r="2730" spans="1:33">
      <c r="A2730" s="3" t="s">
        <v>2981</v>
      </c>
      <c r="D2730" s="3" t="s">
        <v>2982</v>
      </c>
      <c r="E2730" s="3" t="s">
        <v>8277</v>
      </c>
      <c r="H2730" t="s">
        <v>19</v>
      </c>
      <c r="J2730" s="9" t="s">
        <v>12120</v>
      </c>
      <c r="Q2730" s="10"/>
      <c r="U2730" s="9" t="str">
        <f t="shared" ca="1" si="110"/>
        <v/>
      </c>
      <c r="V2730" s="9" t="str">
        <f t="shared" ca="1" si="111"/>
        <v/>
      </c>
      <c r="AG2730" s="9" t="s">
        <v>20</v>
      </c>
    </row>
    <row r="2731" spans="1:33">
      <c r="A2731" s="3" t="s">
        <v>2981</v>
      </c>
      <c r="D2731" s="3" t="s">
        <v>2983</v>
      </c>
      <c r="E2731" s="3" t="s">
        <v>2984</v>
      </c>
      <c r="J2731" s="9" t="s">
        <v>12118</v>
      </c>
      <c r="Q2731" s="10"/>
      <c r="T2731" s="9">
        <f>54-17</f>
        <v>37</v>
      </c>
      <c r="U2731" s="9">
        <f t="shared" ca="1" si="110"/>
        <v>17</v>
      </c>
      <c r="V2731" s="9">
        <f t="shared" ca="1" si="111"/>
        <v>54</v>
      </c>
      <c r="AC2731" s="9" t="s">
        <v>12130</v>
      </c>
      <c r="AD2731" s="9" t="s">
        <v>19</v>
      </c>
      <c r="AE2731" s="9" t="s">
        <v>12086</v>
      </c>
    </row>
    <row r="2732" spans="1:33" ht="29">
      <c r="A2732" s="3" t="s">
        <v>2981</v>
      </c>
      <c r="D2732" s="3" t="s">
        <v>8278</v>
      </c>
      <c r="E2732" s="3" t="s">
        <v>8279</v>
      </c>
      <c r="I2732" t="s">
        <v>5457</v>
      </c>
      <c r="J2732" s="9" t="s">
        <v>26</v>
      </c>
      <c r="Q2732" s="10"/>
      <c r="U2732" s="9" t="str">
        <f t="shared" ca="1" si="110"/>
        <v/>
      </c>
      <c r="V2732" s="9" t="str">
        <f t="shared" ca="1" si="111"/>
        <v/>
      </c>
      <c r="AG2732" s="9" t="s">
        <v>20</v>
      </c>
    </row>
    <row r="2733" spans="1:33" ht="29">
      <c r="A2733" s="3" t="s">
        <v>2981</v>
      </c>
      <c r="D2733" s="3" t="s">
        <v>8280</v>
      </c>
      <c r="E2733" s="3" t="s">
        <v>8281</v>
      </c>
      <c r="J2733" s="9" t="s">
        <v>12120</v>
      </c>
      <c r="Q2733" s="10"/>
      <c r="U2733" s="9" t="str">
        <f t="shared" ca="1" si="110"/>
        <v/>
      </c>
      <c r="V2733" s="9" t="str">
        <f t="shared" ca="1" si="111"/>
        <v/>
      </c>
      <c r="AG2733" s="9" t="s">
        <v>20</v>
      </c>
    </row>
    <row r="2734" spans="1:33">
      <c r="A2734" s="3" t="s">
        <v>2985</v>
      </c>
      <c r="D2734" s="3" t="s">
        <v>8282</v>
      </c>
      <c r="E2734" s="3" t="s">
        <v>8283</v>
      </c>
      <c r="J2734" s="9" t="s">
        <v>12120</v>
      </c>
      <c r="Q2734" s="10"/>
      <c r="U2734" s="9" t="str">
        <f t="shared" ca="1" si="110"/>
        <v/>
      </c>
      <c r="V2734" s="9" t="str">
        <f t="shared" ca="1" si="111"/>
        <v/>
      </c>
      <c r="AC2734" s="9" t="s">
        <v>12134</v>
      </c>
      <c r="AD2734" s="9" t="s">
        <v>19</v>
      </c>
    </row>
    <row r="2735" spans="1:33" ht="29">
      <c r="A2735" s="3" t="s">
        <v>2985</v>
      </c>
      <c r="D2735" s="3" t="s">
        <v>8285</v>
      </c>
      <c r="E2735" s="3" t="s">
        <v>8284</v>
      </c>
      <c r="H2735" t="s">
        <v>19</v>
      </c>
      <c r="J2735" s="9" t="s">
        <v>25</v>
      </c>
      <c r="L2735" s="9">
        <v>1</v>
      </c>
      <c r="M2735" s="9">
        <v>4</v>
      </c>
      <c r="N2735" s="9" t="s">
        <v>12078</v>
      </c>
      <c r="O2735" s="9" t="s">
        <v>12073</v>
      </c>
      <c r="P2735" s="9" t="s">
        <v>12149</v>
      </c>
      <c r="Q2735" s="10" t="s">
        <v>12143</v>
      </c>
      <c r="S2735" s="9">
        <v>11843</v>
      </c>
      <c r="U2735" s="9" t="str">
        <f t="shared" ca="1" si="110"/>
        <v/>
      </c>
      <c r="V2735" s="9" t="str">
        <f t="shared" ca="1" si="111"/>
        <v/>
      </c>
      <c r="AG2735" s="9" t="s">
        <v>20</v>
      </c>
    </row>
    <row r="2736" spans="1:33">
      <c r="A2736" s="3" t="s">
        <v>2986</v>
      </c>
      <c r="D2736" s="3" t="s">
        <v>8287</v>
      </c>
      <c r="E2736" s="3" t="s">
        <v>8286</v>
      </c>
      <c r="J2736" s="9" t="s">
        <v>25</v>
      </c>
      <c r="L2736" s="9">
        <v>1</v>
      </c>
      <c r="M2736" s="9">
        <v>2</v>
      </c>
      <c r="N2736" s="9" t="s">
        <v>12094</v>
      </c>
      <c r="O2736" s="9" t="s">
        <v>12119</v>
      </c>
      <c r="Q2736" s="10"/>
      <c r="S2736" s="9">
        <v>1496</v>
      </c>
      <c r="U2736" s="9" t="str">
        <f t="shared" ca="1" si="110"/>
        <v/>
      </c>
      <c r="V2736" s="9" t="str">
        <f t="shared" ca="1" si="111"/>
        <v/>
      </c>
      <c r="AG2736" s="9" t="s">
        <v>19</v>
      </c>
    </row>
    <row r="2737" spans="1:33">
      <c r="A2737" s="3" t="s">
        <v>2987</v>
      </c>
      <c r="D2737" s="3" t="s">
        <v>2988</v>
      </c>
      <c r="E2737" s="3" t="s">
        <v>2989</v>
      </c>
      <c r="J2737" s="9" t="s">
        <v>12120</v>
      </c>
      <c r="Q2737" s="10"/>
      <c r="U2737" s="9" t="str">
        <f t="shared" ca="1" si="110"/>
        <v/>
      </c>
      <c r="V2737" s="9" t="str">
        <f t="shared" ca="1" si="111"/>
        <v/>
      </c>
      <c r="AC2737" s="9" t="s">
        <v>12740</v>
      </c>
      <c r="AD2737" s="9" t="s">
        <v>19</v>
      </c>
    </row>
    <row r="2738" spans="1:33">
      <c r="A2738" s="3" t="s">
        <v>2990</v>
      </c>
      <c r="D2738" s="3" t="s">
        <v>2519</v>
      </c>
      <c r="E2738" s="3" t="s">
        <v>2520</v>
      </c>
      <c r="J2738" s="9" t="s">
        <v>12120</v>
      </c>
      <c r="Q2738" s="10"/>
      <c r="U2738" s="9" t="str">
        <f t="shared" ca="1" si="110"/>
        <v/>
      </c>
      <c r="V2738" s="9" t="str">
        <f t="shared" ca="1" si="111"/>
        <v/>
      </c>
      <c r="AC2738" s="9" t="s">
        <v>12740</v>
      </c>
      <c r="AD2738" s="9" t="s">
        <v>19</v>
      </c>
    </row>
    <row r="2739" spans="1:33">
      <c r="A2739" s="3" t="s">
        <v>2991</v>
      </c>
      <c r="D2739" s="3" t="s">
        <v>8288</v>
      </c>
      <c r="E2739" s="3" t="s">
        <v>8289</v>
      </c>
      <c r="I2739" t="s">
        <v>5457</v>
      </c>
      <c r="J2739" s="9" t="s">
        <v>26</v>
      </c>
      <c r="Q2739" s="10"/>
      <c r="U2739" s="9" t="str">
        <f t="shared" ca="1" si="110"/>
        <v/>
      </c>
      <c r="V2739" s="9" t="str">
        <f t="shared" ca="1" si="111"/>
        <v/>
      </c>
      <c r="AG2739" s="9" t="s">
        <v>19</v>
      </c>
    </row>
    <row r="2740" spans="1:33" ht="29">
      <c r="A2740" s="3" t="s">
        <v>2992</v>
      </c>
      <c r="D2740" s="3" t="s">
        <v>8291</v>
      </c>
      <c r="E2740" s="3" t="s">
        <v>8290</v>
      </c>
      <c r="J2740" s="9" t="s">
        <v>24</v>
      </c>
      <c r="L2740" s="9">
        <v>1</v>
      </c>
      <c r="M2740" s="9">
        <v>5</v>
      </c>
      <c r="N2740" s="9" t="s">
        <v>12094</v>
      </c>
      <c r="O2740" s="9" t="s">
        <v>12079</v>
      </c>
      <c r="Q2740" s="10"/>
      <c r="S2740" s="9">
        <v>4240</v>
      </c>
      <c r="U2740" s="9" t="str">
        <f t="shared" ca="1" si="110"/>
        <v/>
      </c>
      <c r="V2740" s="9" t="str">
        <f t="shared" ca="1" si="111"/>
        <v/>
      </c>
      <c r="AG2740" s="9" t="s">
        <v>19</v>
      </c>
    </row>
    <row r="2741" spans="1:33" ht="87">
      <c r="A2741" s="3" t="s">
        <v>2993</v>
      </c>
      <c r="D2741" s="3" t="s">
        <v>8293</v>
      </c>
      <c r="E2741" s="3" t="s">
        <v>8294</v>
      </c>
      <c r="I2741" t="s">
        <v>13117</v>
      </c>
      <c r="J2741" s="9" t="s">
        <v>26</v>
      </c>
      <c r="Q2741" s="10"/>
      <c r="U2741" s="9" t="str">
        <f t="shared" ca="1" si="110"/>
        <v/>
      </c>
      <c r="V2741" s="9" t="str">
        <f t="shared" ca="1" si="111"/>
        <v/>
      </c>
      <c r="AF2741" s="9" t="s">
        <v>19</v>
      </c>
      <c r="AG2741" s="9" t="s">
        <v>20</v>
      </c>
    </row>
    <row r="2742" spans="1:33" ht="87">
      <c r="A2742" s="3" t="s">
        <v>2993</v>
      </c>
      <c r="D2742" s="3" t="s">
        <v>8292</v>
      </c>
      <c r="E2742" s="3" t="s">
        <v>8295</v>
      </c>
      <c r="J2742" s="9" t="s">
        <v>24</v>
      </c>
      <c r="L2742" s="9">
        <v>1</v>
      </c>
      <c r="M2742" s="9">
        <v>4</v>
      </c>
      <c r="N2742" s="9" t="s">
        <v>12087</v>
      </c>
      <c r="O2742" s="9" t="s">
        <v>12079</v>
      </c>
      <c r="Q2742" s="10"/>
      <c r="S2742" s="9">
        <v>25</v>
      </c>
      <c r="U2742" s="9" t="str">
        <f t="shared" ca="1" si="110"/>
        <v/>
      </c>
      <c r="V2742" s="9" t="str">
        <f t="shared" ca="1" si="111"/>
        <v/>
      </c>
      <c r="AG2742" s="9" t="s">
        <v>19</v>
      </c>
    </row>
    <row r="2743" spans="1:33" ht="43.5">
      <c r="A2743" s="3" t="s">
        <v>2994</v>
      </c>
      <c r="D2743" s="3" t="s">
        <v>8296</v>
      </c>
      <c r="E2743" s="3" t="s">
        <v>8297</v>
      </c>
      <c r="J2743" s="9" t="s">
        <v>24</v>
      </c>
      <c r="L2743" s="9">
        <v>1</v>
      </c>
      <c r="M2743" s="9">
        <v>11</v>
      </c>
      <c r="N2743" s="9" t="s">
        <v>12098</v>
      </c>
      <c r="O2743" s="9" t="s">
        <v>12073</v>
      </c>
      <c r="P2743" s="9" t="s">
        <v>12142</v>
      </c>
      <c r="Q2743" s="10" t="s">
        <v>12434</v>
      </c>
      <c r="R2743" s="9" t="s">
        <v>12074</v>
      </c>
      <c r="S2743" s="9">
        <v>101</v>
      </c>
      <c r="U2743" s="9" t="str">
        <f t="shared" ca="1" si="110"/>
        <v/>
      </c>
      <c r="V2743" s="9" t="str">
        <f t="shared" ca="1" si="111"/>
        <v/>
      </c>
      <c r="AG2743" s="9" t="s">
        <v>20</v>
      </c>
    </row>
    <row r="2744" spans="1:33" ht="29">
      <c r="A2744" s="3" t="s">
        <v>2995</v>
      </c>
      <c r="D2744" s="3" t="s">
        <v>12435</v>
      </c>
      <c r="E2744" s="3" t="s">
        <v>12436</v>
      </c>
      <c r="G2744" t="s">
        <v>19</v>
      </c>
      <c r="J2744" s="9" t="s">
        <v>12120</v>
      </c>
      <c r="Q2744" s="10"/>
      <c r="U2744" s="9" t="str">
        <f t="shared" ca="1" si="110"/>
        <v/>
      </c>
      <c r="V2744" s="9" t="str">
        <f t="shared" ca="1" si="111"/>
        <v/>
      </c>
      <c r="AE2744" s="9" t="s">
        <v>12089</v>
      </c>
    </row>
    <row r="2745" spans="1:33" ht="29">
      <c r="A2745" s="3" t="s">
        <v>2995</v>
      </c>
      <c r="D2745" s="3" t="s">
        <v>8298</v>
      </c>
      <c r="E2745" s="3" t="s">
        <v>8299</v>
      </c>
      <c r="G2745" t="s">
        <v>19</v>
      </c>
      <c r="J2745" s="9" t="s">
        <v>12118</v>
      </c>
      <c r="Q2745" s="10"/>
      <c r="T2745" s="9" t="s">
        <v>12119</v>
      </c>
      <c r="U2745" s="9" t="str">
        <f t="shared" ca="1" si="110"/>
        <v/>
      </c>
      <c r="V2745" s="9" t="str">
        <f t="shared" ca="1" si="111"/>
        <v/>
      </c>
      <c r="AB2745" s="9" t="s">
        <v>12124</v>
      </c>
      <c r="AC2745" s="9" t="s">
        <v>12134</v>
      </c>
      <c r="AD2745" s="9" t="s">
        <v>19</v>
      </c>
    </row>
    <row r="2746" spans="1:33" ht="43.5">
      <c r="A2746" s="3" t="s">
        <v>2995</v>
      </c>
      <c r="D2746" s="3" t="s">
        <v>8300</v>
      </c>
      <c r="E2746" s="3" t="s">
        <v>13142</v>
      </c>
      <c r="J2746" s="9" t="s">
        <v>27</v>
      </c>
      <c r="Q2746" s="10"/>
    </row>
    <row r="2747" spans="1:33" ht="43.5">
      <c r="A2747" s="3" t="s">
        <v>2995</v>
      </c>
      <c r="D2747" s="3" t="s">
        <v>8301</v>
      </c>
      <c r="E2747" s="3" t="s">
        <v>8305</v>
      </c>
      <c r="F2747" t="s">
        <v>4774</v>
      </c>
      <c r="J2747" s="9" t="s">
        <v>12120</v>
      </c>
      <c r="Q2747" s="10"/>
      <c r="U2747" s="9" t="str">
        <f t="shared" ca="1" si="110"/>
        <v/>
      </c>
      <c r="V2747" s="9" t="str">
        <f t="shared" ca="1" si="111"/>
        <v/>
      </c>
    </row>
    <row r="2748" spans="1:33" ht="43.5">
      <c r="A2748" s="3" t="s">
        <v>2995</v>
      </c>
      <c r="D2748" s="3" t="s">
        <v>8302</v>
      </c>
      <c r="E2748" s="3" t="s">
        <v>8306</v>
      </c>
      <c r="F2748" t="s">
        <v>4774</v>
      </c>
      <c r="I2748" t="s">
        <v>12189</v>
      </c>
      <c r="J2748" s="9" t="s">
        <v>26</v>
      </c>
      <c r="Q2748" s="10"/>
      <c r="U2748" s="9" t="str">
        <f t="shared" ca="1" si="110"/>
        <v/>
      </c>
      <c r="V2748" s="9" t="str">
        <f t="shared" ca="1" si="111"/>
        <v/>
      </c>
    </row>
    <row r="2749" spans="1:33" ht="43.5">
      <c r="A2749" s="3" t="s">
        <v>2995</v>
      </c>
      <c r="D2749" s="3" t="s">
        <v>8303</v>
      </c>
      <c r="E2749" s="3" t="s">
        <v>8307</v>
      </c>
      <c r="F2749" t="s">
        <v>4774</v>
      </c>
      <c r="J2749" s="9" t="s">
        <v>12120</v>
      </c>
      <c r="Q2749" s="10"/>
      <c r="U2749" s="9" t="str">
        <f t="shared" ca="1" si="110"/>
        <v/>
      </c>
      <c r="V2749" s="9" t="str">
        <f t="shared" ca="1" si="111"/>
        <v/>
      </c>
    </row>
    <row r="2750" spans="1:33" ht="43.5">
      <c r="A2750" s="3" t="s">
        <v>2995</v>
      </c>
      <c r="D2750" s="3" t="s">
        <v>8304</v>
      </c>
      <c r="E2750" s="3" t="s">
        <v>8308</v>
      </c>
      <c r="F2750" t="s">
        <v>4774</v>
      </c>
      <c r="J2750" s="9" t="s">
        <v>12120</v>
      </c>
      <c r="Q2750" s="10"/>
      <c r="U2750" s="9" t="str">
        <f t="shared" ca="1" si="110"/>
        <v/>
      </c>
      <c r="V2750" s="9" t="str">
        <f t="shared" ca="1" si="111"/>
        <v/>
      </c>
    </row>
    <row r="2751" spans="1:33" ht="43.5">
      <c r="A2751" s="3" t="s">
        <v>2995</v>
      </c>
      <c r="D2751" s="3" t="s">
        <v>8300</v>
      </c>
      <c r="E2751" s="3" t="s">
        <v>8309</v>
      </c>
      <c r="F2751" t="s">
        <v>4774</v>
      </c>
      <c r="J2751" s="9" t="s">
        <v>24</v>
      </c>
      <c r="L2751" s="9">
        <v>1</v>
      </c>
      <c r="M2751" s="9">
        <v>5</v>
      </c>
      <c r="N2751" s="9" t="s">
        <v>12094</v>
      </c>
      <c r="O2751" s="9" t="s">
        <v>12079</v>
      </c>
      <c r="Q2751" s="10"/>
      <c r="S2751" s="9">
        <v>4240</v>
      </c>
      <c r="U2751" s="9" t="str">
        <f t="shared" ca="1" si="110"/>
        <v/>
      </c>
      <c r="V2751" s="9" t="str">
        <f t="shared" ca="1" si="111"/>
        <v/>
      </c>
    </row>
    <row r="2752" spans="1:33" ht="29">
      <c r="A2752" s="3" t="s">
        <v>2997</v>
      </c>
      <c r="D2752" s="3" t="s">
        <v>8311</v>
      </c>
      <c r="E2752" s="3" t="s">
        <v>8312</v>
      </c>
      <c r="J2752" s="9" t="s">
        <v>12118</v>
      </c>
      <c r="Q2752" s="10"/>
      <c r="T2752" s="9">
        <f>4240-11843</f>
        <v>-7603</v>
      </c>
      <c r="U2752" s="9">
        <f t="shared" ca="1" si="110"/>
        <v>11843</v>
      </c>
      <c r="V2752" s="9">
        <f t="shared" ca="1" si="111"/>
        <v>4240</v>
      </c>
      <c r="AG2752" s="9" t="s">
        <v>19</v>
      </c>
    </row>
    <row r="2753" spans="1:33" ht="29">
      <c r="A2753" s="3" t="s">
        <v>2997</v>
      </c>
      <c r="D2753" s="3" t="s">
        <v>8310</v>
      </c>
      <c r="E2753" s="3" t="s">
        <v>8313</v>
      </c>
      <c r="J2753" s="9" t="s">
        <v>24</v>
      </c>
      <c r="L2753" s="9">
        <v>1</v>
      </c>
      <c r="M2753" s="9">
        <v>2</v>
      </c>
      <c r="N2753" s="9" t="s">
        <v>12078</v>
      </c>
      <c r="O2753" s="9" t="s">
        <v>12119</v>
      </c>
      <c r="Q2753" s="10"/>
      <c r="S2753" s="9">
        <v>11843</v>
      </c>
      <c r="U2753" s="9" t="str">
        <f t="shared" ca="1" si="110"/>
        <v/>
      </c>
      <c r="V2753" s="9" t="str">
        <f t="shared" ca="1" si="111"/>
        <v/>
      </c>
      <c r="AG2753" s="9" t="s">
        <v>20</v>
      </c>
    </row>
    <row r="2754" spans="1:33">
      <c r="A2754" s="3" t="s">
        <v>2998</v>
      </c>
      <c r="D2754" s="3" t="s">
        <v>8314</v>
      </c>
      <c r="E2754" s="3" t="s">
        <v>8315</v>
      </c>
      <c r="J2754" s="9" t="s">
        <v>25</v>
      </c>
      <c r="L2754" s="9">
        <v>1</v>
      </c>
      <c r="M2754" s="9">
        <v>2</v>
      </c>
      <c r="N2754" s="9" t="s">
        <v>12096</v>
      </c>
      <c r="O2754" s="9" t="s">
        <v>12119</v>
      </c>
      <c r="Q2754" s="10"/>
      <c r="R2754" s="9" t="s">
        <v>12074</v>
      </c>
      <c r="S2754" s="9">
        <v>1294</v>
      </c>
      <c r="U2754" s="9" t="str">
        <f t="shared" ca="1" si="110"/>
        <v/>
      </c>
      <c r="V2754" s="9" t="str">
        <f t="shared" ca="1" si="111"/>
        <v/>
      </c>
      <c r="AG2754" s="9" t="s">
        <v>20</v>
      </c>
    </row>
    <row r="2755" spans="1:33">
      <c r="A2755" s="3" t="s">
        <v>2999</v>
      </c>
      <c r="D2755" s="3" t="s">
        <v>8316</v>
      </c>
      <c r="E2755" s="3" t="s">
        <v>8317</v>
      </c>
      <c r="J2755" s="9" t="s">
        <v>12120</v>
      </c>
      <c r="Q2755" s="10"/>
      <c r="U2755" s="9" t="str">
        <f t="shared" ca="1" si="110"/>
        <v/>
      </c>
      <c r="V2755" s="9" t="str">
        <f t="shared" ca="1" si="111"/>
        <v/>
      </c>
      <c r="AB2755" s="9" t="s">
        <v>12738</v>
      </c>
      <c r="AD2755" s="9" t="s">
        <v>19</v>
      </c>
    </row>
    <row r="2756" spans="1:33">
      <c r="A2756" s="3" t="s">
        <v>3001</v>
      </c>
      <c r="D2756" s="3" t="s">
        <v>3002</v>
      </c>
      <c r="E2756" s="3" t="s">
        <v>8318</v>
      </c>
      <c r="G2756" t="s">
        <v>19</v>
      </c>
      <c r="J2756" s="9" t="s">
        <v>12118</v>
      </c>
      <c r="Q2756" s="10"/>
      <c r="T2756" s="9" t="s">
        <v>12131</v>
      </c>
      <c r="U2756" s="9" t="str">
        <f t="shared" ca="1" si="110"/>
        <v/>
      </c>
      <c r="V2756" s="9" t="str">
        <f t="shared" ca="1" si="111"/>
        <v/>
      </c>
      <c r="AE2756" s="9" t="s">
        <v>12086</v>
      </c>
    </row>
    <row r="2757" spans="1:33">
      <c r="A2757" s="3" t="s">
        <v>3001</v>
      </c>
      <c r="D2757" s="3" t="s">
        <v>8319</v>
      </c>
      <c r="E2757" s="3" t="s">
        <v>8320</v>
      </c>
      <c r="J2757" s="9" t="s">
        <v>12120</v>
      </c>
      <c r="Q2757" s="10"/>
      <c r="U2757" s="9" t="str">
        <f t="shared" ca="1" si="110"/>
        <v/>
      </c>
      <c r="V2757" s="9" t="str">
        <f t="shared" ca="1" si="111"/>
        <v/>
      </c>
      <c r="AB2757" s="9" t="s">
        <v>12737</v>
      </c>
      <c r="AD2757" s="9" t="s">
        <v>19</v>
      </c>
    </row>
    <row r="2758" spans="1:33" ht="43.5">
      <c r="A2758" s="3" t="s">
        <v>3001</v>
      </c>
      <c r="D2758" s="3" t="s">
        <v>8321</v>
      </c>
      <c r="E2758" s="3" t="s">
        <v>8322</v>
      </c>
      <c r="J2758" s="9" t="s">
        <v>24</v>
      </c>
      <c r="L2758" s="9">
        <v>1</v>
      </c>
      <c r="M2758" s="9">
        <v>1</v>
      </c>
      <c r="N2758" s="9" t="s">
        <v>12078</v>
      </c>
      <c r="O2758" s="9" t="s">
        <v>12119</v>
      </c>
      <c r="Q2758" s="10"/>
      <c r="S2758" s="9">
        <v>11843</v>
      </c>
      <c r="U2758" s="9" t="str">
        <f t="shared" ca="1" si="110"/>
        <v/>
      </c>
      <c r="V2758" s="9" t="str">
        <f t="shared" ca="1" si="111"/>
        <v/>
      </c>
      <c r="AG2758" s="9" t="s">
        <v>19</v>
      </c>
    </row>
    <row r="2759" spans="1:33" ht="43.5">
      <c r="A2759" s="3" t="s">
        <v>3001</v>
      </c>
      <c r="D2759" s="3" t="s">
        <v>8323</v>
      </c>
      <c r="E2759" s="3" t="s">
        <v>8324</v>
      </c>
      <c r="J2759" s="9" t="s">
        <v>12120</v>
      </c>
      <c r="Q2759" s="10"/>
      <c r="U2759" s="9" t="str">
        <f t="shared" ca="1" si="110"/>
        <v/>
      </c>
      <c r="V2759" s="9" t="str">
        <f t="shared" ca="1" si="111"/>
        <v/>
      </c>
      <c r="AG2759" s="9" t="s">
        <v>19</v>
      </c>
    </row>
    <row r="2760" spans="1:33" ht="29">
      <c r="A2760" s="3" t="s">
        <v>3003</v>
      </c>
      <c r="D2760" s="3" t="s">
        <v>8326</v>
      </c>
      <c r="E2760" s="3" t="s">
        <v>8325</v>
      </c>
      <c r="G2760" t="s">
        <v>19</v>
      </c>
      <c r="J2760" s="9" t="s">
        <v>12120</v>
      </c>
      <c r="Q2760" s="10"/>
      <c r="U2760" s="9" t="str">
        <f t="shared" ca="1" si="110"/>
        <v/>
      </c>
      <c r="V2760" s="9" t="str">
        <f t="shared" ca="1" si="111"/>
        <v/>
      </c>
      <c r="AC2760" s="9" t="s">
        <v>12134</v>
      </c>
      <c r="AD2760" s="9" t="s">
        <v>19</v>
      </c>
    </row>
    <row r="2761" spans="1:33">
      <c r="A2761" s="3" t="s">
        <v>3003</v>
      </c>
      <c r="D2761" s="3" t="s">
        <v>8328</v>
      </c>
      <c r="E2761" s="3" t="s">
        <v>8327</v>
      </c>
      <c r="F2761" t="s">
        <v>17</v>
      </c>
      <c r="Q2761" s="10"/>
      <c r="U2761" s="9" t="str">
        <f t="shared" ca="1" si="110"/>
        <v/>
      </c>
      <c r="V2761" s="9" t="str">
        <f t="shared" ca="1" si="111"/>
        <v/>
      </c>
    </row>
    <row r="2762" spans="1:33">
      <c r="A2762" s="3" t="s">
        <v>3004</v>
      </c>
      <c r="D2762" s="3" t="s">
        <v>8329</v>
      </c>
      <c r="E2762" s="3" t="s">
        <v>8329</v>
      </c>
      <c r="G2762" t="s">
        <v>20</v>
      </c>
      <c r="I2762" t="s">
        <v>8330</v>
      </c>
      <c r="Q2762" s="10"/>
      <c r="U2762" s="9" t="str">
        <f t="shared" ca="1" si="110"/>
        <v/>
      </c>
      <c r="V2762" s="9" t="str">
        <f t="shared" ca="1" si="111"/>
        <v/>
      </c>
    </row>
    <row r="2763" spans="1:33">
      <c r="A2763" s="3" t="s">
        <v>3005</v>
      </c>
      <c r="D2763" s="3" t="s">
        <v>8332</v>
      </c>
      <c r="E2763" s="3" t="s">
        <v>8331</v>
      </c>
      <c r="J2763" s="9" t="s">
        <v>12120</v>
      </c>
      <c r="Q2763" s="10"/>
      <c r="U2763" s="9" t="str">
        <f t="shared" ca="1" si="110"/>
        <v/>
      </c>
      <c r="V2763" s="9" t="str">
        <f t="shared" ca="1" si="111"/>
        <v/>
      </c>
      <c r="AC2763" s="9" t="s">
        <v>12130</v>
      </c>
      <c r="AD2763" s="9" t="s">
        <v>19</v>
      </c>
    </row>
    <row r="2764" spans="1:33">
      <c r="A2764" s="3" t="s">
        <v>3006</v>
      </c>
      <c r="D2764" s="3" t="s">
        <v>3007</v>
      </c>
      <c r="E2764" s="3" t="s">
        <v>3008</v>
      </c>
      <c r="J2764" s="9" t="s">
        <v>12120</v>
      </c>
      <c r="Q2764" s="10"/>
      <c r="U2764" s="9" t="str">
        <f t="shared" ca="1" si="110"/>
        <v/>
      </c>
      <c r="V2764" s="9" t="str">
        <f t="shared" ca="1" si="111"/>
        <v/>
      </c>
      <c r="AE2764" s="9" t="s">
        <v>12089</v>
      </c>
    </row>
    <row r="2765" spans="1:33">
      <c r="A2765" s="3" t="s">
        <v>3006</v>
      </c>
      <c r="D2765" s="3" t="s">
        <v>3009</v>
      </c>
      <c r="E2765" s="3" t="s">
        <v>132</v>
      </c>
      <c r="G2765" t="s">
        <v>19</v>
      </c>
      <c r="J2765" s="9" t="s">
        <v>12118</v>
      </c>
      <c r="Q2765" s="10"/>
      <c r="T2765" s="9" t="s">
        <v>12131</v>
      </c>
      <c r="U2765" s="9" t="str">
        <f t="shared" ca="1" si="110"/>
        <v/>
      </c>
      <c r="V2765" s="9" t="str">
        <f t="shared" ca="1" si="111"/>
        <v/>
      </c>
      <c r="AE2765" s="9" t="s">
        <v>12086</v>
      </c>
    </row>
    <row r="2766" spans="1:33">
      <c r="A2766" s="3" t="s">
        <v>3010</v>
      </c>
      <c r="D2766" s="3" t="s">
        <v>8334</v>
      </c>
      <c r="E2766" s="3" t="s">
        <v>8333</v>
      </c>
      <c r="J2766" s="9" t="s">
        <v>12118</v>
      </c>
      <c r="Q2766" s="10"/>
      <c r="T2766" s="9">
        <f>361-635</f>
        <v>-274</v>
      </c>
      <c r="U2766" s="9">
        <f t="shared" ca="1" si="110"/>
        <v>635</v>
      </c>
      <c r="V2766" s="9">
        <f t="shared" ca="1" si="111"/>
        <v>361</v>
      </c>
      <c r="AG2766" s="9" t="s">
        <v>19</v>
      </c>
    </row>
    <row r="2767" spans="1:33" ht="29">
      <c r="A2767" s="3" t="s">
        <v>3010</v>
      </c>
      <c r="D2767" s="3" t="s">
        <v>8337</v>
      </c>
      <c r="E2767" s="3" t="s">
        <v>8335</v>
      </c>
      <c r="G2767" t="s">
        <v>19</v>
      </c>
      <c r="J2767" s="9" t="s">
        <v>12118</v>
      </c>
      <c r="Q2767" s="10"/>
      <c r="T2767" s="9" t="s">
        <v>12131</v>
      </c>
      <c r="U2767" s="9" t="str">
        <f t="shared" ca="1" si="110"/>
        <v/>
      </c>
      <c r="V2767" s="9" t="str">
        <f t="shared" ca="1" si="111"/>
        <v/>
      </c>
      <c r="AB2767" s="9" t="s">
        <v>12124</v>
      </c>
      <c r="AD2767" s="9" t="s">
        <v>19</v>
      </c>
      <c r="AE2767" s="9" t="s">
        <v>12086</v>
      </c>
    </row>
    <row r="2768" spans="1:33" ht="29">
      <c r="A2768" s="3" t="s">
        <v>3010</v>
      </c>
      <c r="D2768" s="3" t="s">
        <v>8336</v>
      </c>
      <c r="E2768" s="3" t="s">
        <v>8338</v>
      </c>
      <c r="G2768" t="s">
        <v>19</v>
      </c>
      <c r="J2768" s="9" t="s">
        <v>24</v>
      </c>
      <c r="L2768" s="9">
        <v>1</v>
      </c>
      <c r="M2768" s="9">
        <v>3</v>
      </c>
      <c r="N2768" s="9" t="s">
        <v>12087</v>
      </c>
      <c r="O2768" s="9" t="s">
        <v>12079</v>
      </c>
      <c r="Q2768" s="10"/>
      <c r="S2768" s="9">
        <v>5676</v>
      </c>
      <c r="U2768" s="9" t="str">
        <f t="shared" ref="U2768:U2832" ca="1" si="112">IF(ISNUMBER(T2768),VALUE(MID(_xlfn.FORMULATEXT(T2768),SEARCH("-",_xlfn.FORMULATEXT(T2768))+1,LEN(_xlfn.FORMULATEXT(T2768))-SEARCH("-",_xlfn.FORMULATEXT(T2768)))), "")</f>
        <v/>
      </c>
      <c r="V2768" s="9" t="str">
        <f t="shared" ref="V2768:V2832" ca="1" si="113">IF(ISNUMBER(T2768), VALUE(MID(_xlfn.FORMULATEXT(T2768), 2, SEARCH("-", _xlfn.FORMULATEXT(T2768)) - 2)), "")</f>
        <v/>
      </c>
    </row>
    <row r="2769" spans="1:33" ht="29">
      <c r="A2769" s="3" t="s">
        <v>3010</v>
      </c>
      <c r="D2769" s="3" t="s">
        <v>13053</v>
      </c>
      <c r="E2769" s="3" t="s">
        <v>13054</v>
      </c>
      <c r="F2769" t="s">
        <v>32</v>
      </c>
      <c r="H2769" t="s">
        <v>19</v>
      </c>
      <c r="I2769" t="s">
        <v>13055</v>
      </c>
      <c r="J2769" s="9" t="s">
        <v>12118</v>
      </c>
      <c r="Q2769" s="10"/>
      <c r="T2769" s="9" t="s">
        <v>12119</v>
      </c>
      <c r="U2769" s="9" t="str">
        <f t="shared" ref="U2769" ca="1" si="114">IF(ISNUMBER(T2769),VALUE(MID(_xlfn.FORMULATEXT(T2769),SEARCH("-",_xlfn.FORMULATEXT(T2769))+1,LEN(_xlfn.FORMULATEXT(T2769))-SEARCH("-",_xlfn.FORMULATEXT(T2769)))), "")</f>
        <v/>
      </c>
      <c r="V2769" s="9" t="str">
        <f t="shared" ref="V2769" ca="1" si="115">IF(ISNUMBER(T2769), VALUE(MID(_xlfn.FORMULATEXT(T2769), 2, SEARCH("-", _xlfn.FORMULATEXT(T2769)) - 2)), "")</f>
        <v/>
      </c>
      <c r="AE2769" s="9" t="s">
        <v>12077</v>
      </c>
    </row>
    <row r="2770" spans="1:33" ht="43.5">
      <c r="A2770" s="3" t="s">
        <v>3010</v>
      </c>
      <c r="D2770" s="3" t="s">
        <v>8340</v>
      </c>
      <c r="E2770" s="3" t="s">
        <v>8339</v>
      </c>
      <c r="I2770" t="s">
        <v>12437</v>
      </c>
      <c r="J2770" s="9" t="s">
        <v>25</v>
      </c>
      <c r="L2770" s="9">
        <v>4</v>
      </c>
      <c r="M2770" s="9">
        <v>13</v>
      </c>
      <c r="O2770" s="9" t="s">
        <v>12079</v>
      </c>
      <c r="Q2770" s="10"/>
      <c r="S2770" s="9">
        <v>173</v>
      </c>
      <c r="U2770" s="9" t="str">
        <f t="shared" ca="1" si="112"/>
        <v/>
      </c>
      <c r="V2770" s="9" t="str">
        <f t="shared" ca="1" si="113"/>
        <v/>
      </c>
      <c r="AG2770" s="9" t="s">
        <v>13141</v>
      </c>
    </row>
    <row r="2771" spans="1:33" ht="29">
      <c r="A2771" s="3" t="s">
        <v>3011</v>
      </c>
      <c r="D2771" s="3" t="s">
        <v>8343</v>
      </c>
      <c r="E2771" s="3" t="s">
        <v>8342</v>
      </c>
      <c r="H2771" t="s">
        <v>19</v>
      </c>
      <c r="J2771" s="9" t="s">
        <v>25</v>
      </c>
      <c r="L2771" s="9">
        <v>1</v>
      </c>
      <c r="M2771" s="9">
        <v>2</v>
      </c>
      <c r="N2771" s="9" t="s">
        <v>12087</v>
      </c>
      <c r="O2771" s="9" t="s">
        <v>12119</v>
      </c>
      <c r="Q2771" s="10"/>
      <c r="S2771" s="9">
        <v>207</v>
      </c>
      <c r="U2771" s="9" t="str">
        <f t="shared" ca="1" si="112"/>
        <v/>
      </c>
      <c r="V2771" s="9" t="str">
        <f t="shared" ca="1" si="113"/>
        <v/>
      </c>
      <c r="AG2771" s="9" t="s">
        <v>20</v>
      </c>
    </row>
    <row r="2772" spans="1:33" ht="29">
      <c r="A2772" s="3" t="s">
        <v>3011</v>
      </c>
      <c r="D2772" s="3" t="s">
        <v>8341</v>
      </c>
      <c r="E2772" s="3" t="s">
        <v>8344</v>
      </c>
      <c r="J2772" s="9" t="s">
        <v>24</v>
      </c>
      <c r="L2772" s="9">
        <v>1</v>
      </c>
      <c r="M2772" s="9">
        <v>5</v>
      </c>
      <c r="N2772" s="9" t="s">
        <v>12092</v>
      </c>
      <c r="O2772" s="9" t="s">
        <v>12073</v>
      </c>
      <c r="P2772" s="9" t="s">
        <v>12142</v>
      </c>
      <c r="Q2772" s="10" t="s">
        <v>12170</v>
      </c>
      <c r="R2772" s="9" t="s">
        <v>12074</v>
      </c>
      <c r="S2772" s="9">
        <v>280</v>
      </c>
      <c r="U2772" s="9" t="str">
        <f t="shared" ca="1" si="112"/>
        <v/>
      </c>
      <c r="V2772" s="9" t="str">
        <f t="shared" ca="1" si="113"/>
        <v/>
      </c>
      <c r="AE2772" s="9" t="s">
        <v>12083</v>
      </c>
    </row>
    <row r="2773" spans="1:33">
      <c r="A2773" s="3" t="s">
        <v>3012</v>
      </c>
      <c r="D2773" s="3" t="s">
        <v>8345</v>
      </c>
      <c r="E2773" s="3" t="s">
        <v>8346</v>
      </c>
      <c r="G2773" t="s">
        <v>19</v>
      </c>
      <c r="J2773" s="9" t="s">
        <v>12120</v>
      </c>
      <c r="Q2773" s="10"/>
      <c r="U2773" s="9" t="str">
        <f t="shared" ca="1" si="112"/>
        <v/>
      </c>
      <c r="V2773" s="9" t="str">
        <f t="shared" ca="1" si="113"/>
        <v/>
      </c>
      <c r="AC2773" s="9" t="s">
        <v>12739</v>
      </c>
      <c r="AD2773" s="9" t="s">
        <v>19</v>
      </c>
      <c r="AE2773" s="9" t="s">
        <v>12086</v>
      </c>
    </row>
    <row r="2774" spans="1:33" ht="29">
      <c r="A2774" s="3" t="s">
        <v>3013</v>
      </c>
      <c r="D2774" s="3" t="s">
        <v>8347</v>
      </c>
      <c r="E2774" s="3" t="s">
        <v>8348</v>
      </c>
      <c r="J2774" s="9" t="s">
        <v>25</v>
      </c>
      <c r="L2774" s="9">
        <v>1</v>
      </c>
      <c r="M2774" s="9">
        <v>5</v>
      </c>
      <c r="N2774" s="9" t="s">
        <v>12094</v>
      </c>
      <c r="O2774" s="9" t="s">
        <v>12073</v>
      </c>
      <c r="P2774" s="9" t="s">
        <v>12142</v>
      </c>
      <c r="Q2774" s="10" t="s">
        <v>12170</v>
      </c>
      <c r="R2774" s="9" t="s">
        <v>12074</v>
      </c>
      <c r="S2774" s="9">
        <v>4240</v>
      </c>
      <c r="U2774" s="9" t="str">
        <f t="shared" ca="1" si="112"/>
        <v/>
      </c>
      <c r="V2774" s="9" t="str">
        <f t="shared" ca="1" si="113"/>
        <v/>
      </c>
      <c r="AE2774" s="9" t="s">
        <v>12089</v>
      </c>
    </row>
    <row r="2775" spans="1:33">
      <c r="A2775" s="3" t="s">
        <v>3014</v>
      </c>
      <c r="D2775" s="3" t="s">
        <v>1430</v>
      </c>
      <c r="E2775" s="3" t="s">
        <v>2370</v>
      </c>
      <c r="J2775" s="9" t="s">
        <v>12120</v>
      </c>
      <c r="Q2775" s="10"/>
      <c r="U2775" s="9" t="str">
        <f t="shared" ca="1" si="112"/>
        <v/>
      </c>
      <c r="V2775" s="9" t="str">
        <f t="shared" ca="1" si="113"/>
        <v/>
      </c>
      <c r="AE2775" s="9" t="s">
        <v>12083</v>
      </c>
    </row>
    <row r="2776" spans="1:33" ht="29">
      <c r="A2776" s="3" t="s">
        <v>3014</v>
      </c>
      <c r="D2776" s="3" t="s">
        <v>8350</v>
      </c>
      <c r="E2776" s="3" t="s">
        <v>8349</v>
      </c>
      <c r="G2776" t="s">
        <v>19</v>
      </c>
      <c r="J2776" s="9" t="s">
        <v>12120</v>
      </c>
      <c r="Q2776" s="10"/>
      <c r="U2776" s="9" t="str">
        <f t="shared" ca="1" si="112"/>
        <v/>
      </c>
      <c r="V2776" s="9" t="str">
        <f t="shared" ca="1" si="113"/>
        <v/>
      </c>
      <c r="AE2776" s="9" t="s">
        <v>12089</v>
      </c>
    </row>
    <row r="2777" spans="1:33">
      <c r="A2777" s="3" t="s">
        <v>3015</v>
      </c>
      <c r="D2777" s="3" t="s">
        <v>1263</v>
      </c>
      <c r="E2777" s="3" t="s">
        <v>1316</v>
      </c>
      <c r="J2777" s="9" t="s">
        <v>12118</v>
      </c>
      <c r="Q2777" s="10"/>
      <c r="T2777" s="9" t="s">
        <v>12131</v>
      </c>
      <c r="U2777" s="9" t="str">
        <f t="shared" ca="1" si="112"/>
        <v/>
      </c>
      <c r="V2777" s="9" t="str">
        <f t="shared" ca="1" si="113"/>
        <v/>
      </c>
      <c r="AB2777" s="9" t="s">
        <v>12124</v>
      </c>
      <c r="AC2777" s="9" t="s">
        <v>12134</v>
      </c>
      <c r="AD2777" s="9" t="s">
        <v>19</v>
      </c>
    </row>
    <row r="2778" spans="1:33">
      <c r="A2778" s="3" t="s">
        <v>3015</v>
      </c>
      <c r="D2778" s="3" t="s">
        <v>1714</v>
      </c>
      <c r="E2778" s="3" t="s">
        <v>3016</v>
      </c>
      <c r="J2778" s="9" t="s">
        <v>12120</v>
      </c>
      <c r="Q2778" s="10"/>
      <c r="U2778" s="9" t="str">
        <f t="shared" ca="1" si="112"/>
        <v/>
      </c>
      <c r="V2778" s="9" t="str">
        <f t="shared" ca="1" si="113"/>
        <v/>
      </c>
      <c r="AG2778" s="9" t="s">
        <v>20</v>
      </c>
    </row>
    <row r="2779" spans="1:33">
      <c r="A2779" s="3" t="s">
        <v>3017</v>
      </c>
      <c r="D2779" s="3" t="s">
        <v>8352</v>
      </c>
      <c r="E2779" s="3" t="s">
        <v>8353</v>
      </c>
      <c r="J2779" s="9" t="s">
        <v>12118</v>
      </c>
      <c r="Q2779" s="10"/>
      <c r="T2779" s="9" t="s">
        <v>12131</v>
      </c>
      <c r="U2779" s="9" t="str">
        <f t="shared" ca="1" si="112"/>
        <v/>
      </c>
      <c r="V2779" s="9" t="str">
        <f t="shared" ca="1" si="113"/>
        <v/>
      </c>
      <c r="AB2779" s="9" t="s">
        <v>12124</v>
      </c>
      <c r="AC2779" s="9" t="s">
        <v>12134</v>
      </c>
      <c r="AD2779" s="9" t="s">
        <v>19</v>
      </c>
    </row>
    <row r="2780" spans="1:33">
      <c r="A2780" s="3" t="s">
        <v>3017</v>
      </c>
      <c r="D2780" s="3" t="s">
        <v>8354</v>
      </c>
      <c r="E2780" s="3" t="s">
        <v>8351</v>
      </c>
      <c r="J2780" s="9" t="s">
        <v>25</v>
      </c>
      <c r="L2780" s="9">
        <v>1</v>
      </c>
      <c r="M2780" s="9">
        <v>3</v>
      </c>
      <c r="N2780" s="9" t="s">
        <v>12078</v>
      </c>
      <c r="O2780" s="9" t="s">
        <v>12079</v>
      </c>
      <c r="Q2780" s="10"/>
      <c r="S2780" s="9">
        <v>11843</v>
      </c>
      <c r="U2780" s="9" t="str">
        <f t="shared" ca="1" si="112"/>
        <v/>
      </c>
      <c r="V2780" s="9" t="str">
        <f t="shared" ca="1" si="113"/>
        <v/>
      </c>
      <c r="AG2780" s="9" t="s">
        <v>13141</v>
      </c>
    </row>
    <row r="2781" spans="1:33" ht="29">
      <c r="A2781" s="3" t="s">
        <v>3017</v>
      </c>
      <c r="D2781" s="3" t="s">
        <v>8356</v>
      </c>
      <c r="E2781" s="3" t="s">
        <v>8355</v>
      </c>
      <c r="J2781" s="9" t="s">
        <v>25</v>
      </c>
      <c r="L2781" s="9">
        <v>1</v>
      </c>
      <c r="M2781" s="9">
        <v>3</v>
      </c>
      <c r="N2781" s="9" t="s">
        <v>12078</v>
      </c>
      <c r="O2781" s="9" t="s">
        <v>12079</v>
      </c>
      <c r="Q2781" s="10"/>
      <c r="S2781" s="9">
        <v>11843</v>
      </c>
      <c r="U2781" s="9" t="str">
        <f t="shared" ca="1" si="112"/>
        <v/>
      </c>
      <c r="V2781" s="9" t="str">
        <f t="shared" ca="1" si="113"/>
        <v/>
      </c>
      <c r="AG2781" s="9" t="s">
        <v>20</v>
      </c>
    </row>
    <row r="2782" spans="1:33" ht="29">
      <c r="A2782" s="3" t="s">
        <v>3017</v>
      </c>
      <c r="D2782" s="3" t="s">
        <v>8357</v>
      </c>
      <c r="E2782" s="3" t="s">
        <v>8355</v>
      </c>
      <c r="J2782" s="9" t="s">
        <v>25</v>
      </c>
      <c r="L2782" s="9">
        <v>1</v>
      </c>
      <c r="M2782" s="9">
        <v>1</v>
      </c>
      <c r="N2782" s="9" t="s">
        <v>12078</v>
      </c>
      <c r="O2782" s="9" t="s">
        <v>12119</v>
      </c>
      <c r="Q2782" s="10"/>
      <c r="S2782" s="9">
        <v>11843</v>
      </c>
      <c r="U2782" s="9" t="str">
        <f t="shared" ca="1" si="112"/>
        <v/>
      </c>
      <c r="V2782" s="9" t="str">
        <f t="shared" ca="1" si="113"/>
        <v/>
      </c>
      <c r="AG2782" s="9" t="s">
        <v>20</v>
      </c>
    </row>
    <row r="2783" spans="1:33">
      <c r="A2783" s="3" t="s">
        <v>3018</v>
      </c>
      <c r="D2783" s="3" t="s">
        <v>2887</v>
      </c>
      <c r="E2783" s="3" t="s">
        <v>8358</v>
      </c>
      <c r="G2783" t="s">
        <v>19</v>
      </c>
      <c r="J2783" s="9" t="s">
        <v>12120</v>
      </c>
      <c r="Q2783" s="10"/>
      <c r="U2783" s="9" t="str">
        <f t="shared" ca="1" si="112"/>
        <v/>
      </c>
      <c r="V2783" s="9" t="str">
        <f t="shared" ca="1" si="113"/>
        <v/>
      </c>
      <c r="AC2783" s="9" t="s">
        <v>12173</v>
      </c>
      <c r="AD2783" s="9" t="s">
        <v>19</v>
      </c>
      <c r="AF2783" s="9" t="s">
        <v>19</v>
      </c>
    </row>
    <row r="2784" spans="1:33">
      <c r="A2784" s="3" t="s">
        <v>3019</v>
      </c>
      <c r="D2784" s="3" t="s">
        <v>3020</v>
      </c>
      <c r="E2784" s="3" t="s">
        <v>1033</v>
      </c>
      <c r="J2784" s="9" t="s">
        <v>12120</v>
      </c>
      <c r="Q2784" s="10"/>
      <c r="U2784" s="9" t="str">
        <f t="shared" ca="1" si="112"/>
        <v/>
      </c>
      <c r="V2784" s="9" t="str">
        <f t="shared" ca="1" si="113"/>
        <v/>
      </c>
      <c r="AC2784" s="9" t="s">
        <v>12134</v>
      </c>
      <c r="AD2784" s="9" t="s">
        <v>19</v>
      </c>
      <c r="AE2784" s="9" t="s">
        <v>12086</v>
      </c>
    </row>
    <row r="2785" spans="1:33">
      <c r="A2785" s="3" t="s">
        <v>3021</v>
      </c>
      <c r="D2785" s="3" t="s">
        <v>8360</v>
      </c>
      <c r="E2785" s="3" t="s">
        <v>8359</v>
      </c>
      <c r="J2785" s="9" t="s">
        <v>12120</v>
      </c>
      <c r="Q2785" s="10"/>
      <c r="U2785" s="9" t="str">
        <f t="shared" ca="1" si="112"/>
        <v/>
      </c>
      <c r="V2785" s="9" t="str">
        <f t="shared" ca="1" si="113"/>
        <v/>
      </c>
      <c r="AE2785" s="9" t="s">
        <v>12089</v>
      </c>
    </row>
    <row r="2786" spans="1:33">
      <c r="A2786" s="3" t="s">
        <v>3021</v>
      </c>
      <c r="D2786" s="3" t="s">
        <v>8362</v>
      </c>
      <c r="E2786" s="3" t="s">
        <v>8361</v>
      </c>
      <c r="G2786" t="s">
        <v>19</v>
      </c>
      <c r="J2786" s="9" t="s">
        <v>25</v>
      </c>
      <c r="L2786" s="9">
        <v>1</v>
      </c>
      <c r="M2786" s="9">
        <v>1</v>
      </c>
      <c r="N2786" s="9" t="s">
        <v>12094</v>
      </c>
      <c r="O2786" s="9" t="s">
        <v>12119</v>
      </c>
      <c r="Q2786" s="10"/>
      <c r="S2786" s="9">
        <v>780</v>
      </c>
      <c r="U2786" s="9" t="str">
        <f t="shared" ca="1" si="112"/>
        <v/>
      </c>
      <c r="V2786" s="9" t="str">
        <f t="shared" ca="1" si="113"/>
        <v/>
      </c>
      <c r="AE2786" s="9" t="s">
        <v>12089</v>
      </c>
    </row>
    <row r="2787" spans="1:33">
      <c r="A2787" s="3" t="s">
        <v>3022</v>
      </c>
      <c r="D2787" s="3" t="s">
        <v>1263</v>
      </c>
      <c r="E2787" s="3" t="s">
        <v>1316</v>
      </c>
      <c r="J2787" s="9" t="s">
        <v>12118</v>
      </c>
      <c r="Q2787" s="10"/>
      <c r="T2787" s="9" t="s">
        <v>12131</v>
      </c>
      <c r="U2787" s="9" t="str">
        <f t="shared" ca="1" si="112"/>
        <v/>
      </c>
      <c r="V2787" s="9" t="str">
        <f t="shared" ca="1" si="113"/>
        <v/>
      </c>
      <c r="AB2787" s="9" t="s">
        <v>12124</v>
      </c>
      <c r="AC2787" s="9" t="s">
        <v>12134</v>
      </c>
      <c r="AD2787" s="9" t="s">
        <v>19</v>
      </c>
    </row>
    <row r="2788" spans="1:33">
      <c r="A2788" s="3" t="s">
        <v>3022</v>
      </c>
      <c r="D2788" s="3" t="s">
        <v>8364</v>
      </c>
      <c r="E2788" s="3" t="s">
        <v>8363</v>
      </c>
      <c r="J2788" s="9" t="s">
        <v>25</v>
      </c>
      <c r="L2788" s="9">
        <v>1</v>
      </c>
      <c r="M2788" s="9">
        <v>1</v>
      </c>
      <c r="N2788" s="9" t="s">
        <v>12078</v>
      </c>
      <c r="O2788" s="9" t="s">
        <v>12119</v>
      </c>
      <c r="Q2788" s="10"/>
      <c r="S2788" s="9">
        <v>11843</v>
      </c>
      <c r="U2788" s="9" t="str">
        <f t="shared" ca="1" si="112"/>
        <v/>
      </c>
      <c r="V2788" s="9" t="str">
        <f t="shared" ca="1" si="113"/>
        <v/>
      </c>
      <c r="AG2788" s="9" t="s">
        <v>20</v>
      </c>
    </row>
    <row r="2789" spans="1:33">
      <c r="A2789" s="3" t="s">
        <v>3023</v>
      </c>
      <c r="D2789" s="3" t="s">
        <v>8365</v>
      </c>
      <c r="E2789" s="3" t="s">
        <v>8366</v>
      </c>
      <c r="J2789" s="9" t="s">
        <v>12120</v>
      </c>
      <c r="Q2789" s="10"/>
      <c r="U2789" s="9" t="str">
        <f t="shared" ca="1" si="112"/>
        <v/>
      </c>
      <c r="V2789" s="9" t="str">
        <f t="shared" ca="1" si="113"/>
        <v/>
      </c>
      <c r="AG2789" s="9" t="s">
        <v>19</v>
      </c>
    </row>
    <row r="2790" spans="1:33">
      <c r="A2790" s="3" t="s">
        <v>3024</v>
      </c>
      <c r="D2790" s="3" t="s">
        <v>8367</v>
      </c>
      <c r="E2790" s="3" t="s">
        <v>8368</v>
      </c>
      <c r="J2790" s="9" t="s">
        <v>12118</v>
      </c>
      <c r="Q2790" s="10"/>
      <c r="T2790" s="9">
        <f>27-4</f>
        <v>23</v>
      </c>
      <c r="U2790" s="9">
        <f t="shared" ca="1" si="112"/>
        <v>4</v>
      </c>
      <c r="V2790" s="9">
        <f t="shared" ca="1" si="113"/>
        <v>27</v>
      </c>
      <c r="AG2790" s="9" t="s">
        <v>19</v>
      </c>
    </row>
    <row r="2791" spans="1:33" ht="29">
      <c r="A2791" s="3" t="s">
        <v>3025</v>
      </c>
      <c r="D2791" s="3" t="s">
        <v>8369</v>
      </c>
      <c r="E2791" s="3" t="s">
        <v>8370</v>
      </c>
      <c r="I2791" t="s">
        <v>12189</v>
      </c>
      <c r="J2791" s="9" t="s">
        <v>26</v>
      </c>
      <c r="Q2791" s="10"/>
      <c r="U2791" s="9" t="str">
        <f t="shared" ca="1" si="112"/>
        <v/>
      </c>
      <c r="V2791" s="9" t="str">
        <f t="shared" ca="1" si="113"/>
        <v/>
      </c>
      <c r="AG2791" s="9" t="s">
        <v>20</v>
      </c>
    </row>
    <row r="2792" spans="1:33" ht="29">
      <c r="A2792" s="3" t="s">
        <v>3026</v>
      </c>
      <c r="D2792" s="3" t="s">
        <v>8371</v>
      </c>
      <c r="E2792" s="5" t="s">
        <v>8372</v>
      </c>
      <c r="F2792" t="s">
        <v>32</v>
      </c>
      <c r="G2792" t="s">
        <v>20</v>
      </c>
      <c r="I2792" t="s">
        <v>13056</v>
      </c>
      <c r="J2792" s="9" t="s">
        <v>12118</v>
      </c>
      <c r="Q2792" s="10"/>
      <c r="R2792" s="9" t="s">
        <v>12074</v>
      </c>
      <c r="T2792" s="9">
        <f>37-11843</f>
        <v>-11806</v>
      </c>
      <c r="U2792" s="9">
        <f t="shared" ca="1" si="112"/>
        <v>11843</v>
      </c>
      <c r="V2792" s="9">
        <v>37</v>
      </c>
      <c r="AG2792" s="9" t="s">
        <v>20</v>
      </c>
    </row>
    <row r="2793" spans="1:33">
      <c r="A2793" s="3" t="s">
        <v>3027</v>
      </c>
      <c r="D2793" s="3" t="s">
        <v>8374</v>
      </c>
      <c r="E2793" s="3" t="s">
        <v>8375</v>
      </c>
      <c r="J2793" s="9" t="s">
        <v>12120</v>
      </c>
      <c r="Q2793" s="10"/>
      <c r="U2793" s="9" t="str">
        <f t="shared" ca="1" si="112"/>
        <v/>
      </c>
      <c r="V2793" s="9" t="str">
        <f t="shared" ca="1" si="113"/>
        <v/>
      </c>
      <c r="AE2793" s="9" t="s">
        <v>12089</v>
      </c>
    </row>
    <row r="2794" spans="1:33">
      <c r="A2794" s="3" t="s">
        <v>3027</v>
      </c>
      <c r="D2794" s="3" t="s">
        <v>8376</v>
      </c>
      <c r="E2794" s="3" t="s">
        <v>8373</v>
      </c>
      <c r="G2794" t="s">
        <v>19</v>
      </c>
      <c r="J2794" s="9" t="s">
        <v>25</v>
      </c>
      <c r="L2794" s="9">
        <v>1</v>
      </c>
      <c r="M2794" s="9">
        <v>3</v>
      </c>
      <c r="N2794" s="9" t="s">
        <v>12078</v>
      </c>
      <c r="O2794" s="9" t="s">
        <v>12073</v>
      </c>
      <c r="P2794" s="9" t="s">
        <v>12142</v>
      </c>
      <c r="Q2794" s="10" t="s">
        <v>12143</v>
      </c>
      <c r="R2794" s="9" t="s">
        <v>12074</v>
      </c>
      <c r="S2794" s="9">
        <v>11843</v>
      </c>
      <c r="U2794" s="9" t="str">
        <f t="shared" ca="1" si="112"/>
        <v/>
      </c>
      <c r="V2794" s="9" t="str">
        <f t="shared" ca="1" si="113"/>
        <v/>
      </c>
    </row>
    <row r="2795" spans="1:33" ht="29">
      <c r="A2795" s="3" t="s">
        <v>3028</v>
      </c>
      <c r="D2795" s="3" t="s">
        <v>8378</v>
      </c>
      <c r="E2795" s="3" t="s">
        <v>8379</v>
      </c>
      <c r="J2795" s="9" t="s">
        <v>12118</v>
      </c>
      <c r="Q2795" s="10"/>
      <c r="T2795" s="9" t="s">
        <v>12131</v>
      </c>
      <c r="U2795" s="9" t="str">
        <f t="shared" ca="1" si="112"/>
        <v/>
      </c>
      <c r="V2795" s="9" t="str">
        <f t="shared" ca="1" si="113"/>
        <v/>
      </c>
      <c r="AC2795" s="9" t="s">
        <v>12130</v>
      </c>
      <c r="AD2795" s="9" t="s">
        <v>19</v>
      </c>
      <c r="AE2795" s="9" t="s">
        <v>12086</v>
      </c>
    </row>
    <row r="2796" spans="1:33" ht="29">
      <c r="A2796" s="3" t="s">
        <v>3028</v>
      </c>
      <c r="D2796" s="3" t="s">
        <v>8380</v>
      </c>
      <c r="E2796" s="3" t="s">
        <v>8377</v>
      </c>
      <c r="J2796" s="9" t="s">
        <v>25</v>
      </c>
      <c r="L2796" s="9">
        <v>1</v>
      </c>
      <c r="M2796" s="9">
        <v>2</v>
      </c>
      <c r="N2796" s="9" t="s">
        <v>12087</v>
      </c>
      <c r="O2796" s="9" t="s">
        <v>12119</v>
      </c>
      <c r="Q2796" s="10"/>
      <c r="S2796" s="9">
        <v>1966</v>
      </c>
      <c r="U2796" s="9" t="str">
        <f t="shared" ca="1" si="112"/>
        <v/>
      </c>
      <c r="V2796" s="9" t="str">
        <f t="shared" ca="1" si="113"/>
        <v/>
      </c>
      <c r="AG2796" s="9" t="s">
        <v>20</v>
      </c>
    </row>
    <row r="2797" spans="1:33">
      <c r="A2797" s="3" t="s">
        <v>3029</v>
      </c>
      <c r="D2797" s="3" t="s">
        <v>6321</v>
      </c>
      <c r="E2797" s="3" t="s">
        <v>6322</v>
      </c>
      <c r="I2797" t="s">
        <v>12686</v>
      </c>
      <c r="J2797" s="9" t="s">
        <v>24</v>
      </c>
      <c r="L2797" s="9">
        <v>1</v>
      </c>
      <c r="M2797" s="9">
        <v>3</v>
      </c>
      <c r="N2797" s="9" t="s">
        <v>12078</v>
      </c>
      <c r="O2797" s="9" t="s">
        <v>12079</v>
      </c>
      <c r="Q2797" s="10"/>
      <c r="S2797" s="9">
        <v>11843</v>
      </c>
      <c r="U2797" s="9" t="str">
        <f t="shared" ca="1" si="112"/>
        <v/>
      </c>
      <c r="V2797" s="9" t="str">
        <f t="shared" ca="1" si="113"/>
        <v/>
      </c>
      <c r="W2797" s="9" t="s">
        <v>12117</v>
      </c>
      <c r="AG2797" s="9" t="s">
        <v>19</v>
      </c>
    </row>
    <row r="2798" spans="1:33">
      <c r="A2798" s="3" t="s">
        <v>3029</v>
      </c>
      <c r="D2798" s="3" t="s">
        <v>8381</v>
      </c>
      <c r="E2798" s="3" t="s">
        <v>12438</v>
      </c>
      <c r="J2798" s="9" t="s">
        <v>25</v>
      </c>
      <c r="L2798" s="9">
        <v>1</v>
      </c>
      <c r="M2798" s="9">
        <v>5</v>
      </c>
      <c r="N2798" s="9" t="s">
        <v>12094</v>
      </c>
      <c r="O2798" s="9" t="s">
        <v>12079</v>
      </c>
      <c r="Q2798" s="10"/>
      <c r="S2798" s="9">
        <v>4240</v>
      </c>
      <c r="U2798" s="9" t="str">
        <f t="shared" ca="1" si="112"/>
        <v/>
      </c>
      <c r="V2798" s="9" t="str">
        <f t="shared" ca="1" si="113"/>
        <v/>
      </c>
      <c r="AG2798" s="9" t="s">
        <v>20</v>
      </c>
    </row>
    <row r="2799" spans="1:33">
      <c r="A2799" s="3" t="s">
        <v>3030</v>
      </c>
      <c r="D2799" s="3" t="s">
        <v>3031</v>
      </c>
      <c r="E2799" s="3" t="s">
        <v>3032</v>
      </c>
      <c r="J2799" s="9" t="s">
        <v>12118</v>
      </c>
      <c r="Q2799" s="10"/>
      <c r="T2799" s="9" t="s">
        <v>12131</v>
      </c>
      <c r="U2799" s="9" t="str">
        <f t="shared" ca="1" si="112"/>
        <v/>
      </c>
      <c r="V2799" s="9" t="str">
        <f t="shared" ca="1" si="113"/>
        <v/>
      </c>
      <c r="AE2799" s="9" t="s">
        <v>12086</v>
      </c>
    </row>
    <row r="2800" spans="1:33">
      <c r="A2800" s="3" t="s">
        <v>3033</v>
      </c>
      <c r="D2800" s="3" t="s">
        <v>8382</v>
      </c>
      <c r="E2800" s="11" t="s">
        <v>8383</v>
      </c>
      <c r="J2800" s="9" t="s">
        <v>25</v>
      </c>
      <c r="L2800" s="9">
        <v>1</v>
      </c>
      <c r="M2800" s="9">
        <v>2</v>
      </c>
      <c r="N2800" s="9" t="s">
        <v>12078</v>
      </c>
      <c r="O2800" s="9" t="s">
        <v>12119</v>
      </c>
      <c r="Q2800" s="10"/>
      <c r="S2800" s="9">
        <v>11843</v>
      </c>
      <c r="U2800" s="9" t="str">
        <f t="shared" ca="1" si="112"/>
        <v/>
      </c>
      <c r="V2800" s="9" t="str">
        <f t="shared" ca="1" si="113"/>
        <v/>
      </c>
      <c r="AG2800" s="9" t="s">
        <v>20</v>
      </c>
    </row>
    <row r="2801" spans="1:33" ht="29">
      <c r="A2801" s="3" t="s">
        <v>3033</v>
      </c>
      <c r="D2801" s="3" t="s">
        <v>8385</v>
      </c>
      <c r="E2801" s="3" t="s">
        <v>8384</v>
      </c>
      <c r="J2801" s="9" t="s">
        <v>24</v>
      </c>
      <c r="L2801" s="9">
        <v>1</v>
      </c>
      <c r="M2801" s="9">
        <v>5</v>
      </c>
      <c r="N2801" s="9" t="s">
        <v>12094</v>
      </c>
      <c r="O2801" s="9" t="s">
        <v>12079</v>
      </c>
      <c r="Q2801" s="10"/>
      <c r="S2801" s="9">
        <v>4240</v>
      </c>
      <c r="U2801" s="9" t="str">
        <f t="shared" ca="1" si="112"/>
        <v/>
      </c>
      <c r="V2801" s="9" t="str">
        <f t="shared" ca="1" si="113"/>
        <v/>
      </c>
      <c r="AG2801" s="9" t="s">
        <v>19</v>
      </c>
    </row>
    <row r="2802" spans="1:33">
      <c r="A2802" s="3" t="s">
        <v>3034</v>
      </c>
      <c r="D2802" s="3" t="s">
        <v>3035</v>
      </c>
      <c r="E2802" s="3" t="s">
        <v>1080</v>
      </c>
      <c r="J2802" s="9" t="s">
        <v>12118</v>
      </c>
      <c r="Q2802" s="10"/>
      <c r="R2802" s="9" t="s">
        <v>12074</v>
      </c>
      <c r="T2802" s="9" t="s">
        <v>12131</v>
      </c>
      <c r="U2802" s="9" t="str">
        <f t="shared" ca="1" si="112"/>
        <v/>
      </c>
      <c r="V2802" s="9" t="str">
        <f t="shared" ca="1" si="113"/>
        <v/>
      </c>
      <c r="AE2802" s="9" t="s">
        <v>12086</v>
      </c>
    </row>
    <row r="2803" spans="1:33">
      <c r="A2803" s="3" t="s">
        <v>3034</v>
      </c>
      <c r="D2803" s="3" t="s">
        <v>8386</v>
      </c>
      <c r="E2803" s="3" t="s">
        <v>8387</v>
      </c>
      <c r="J2803" s="9" t="s">
        <v>12120</v>
      </c>
      <c r="Q2803" s="10"/>
      <c r="U2803" s="9" t="str">
        <f t="shared" ca="1" si="112"/>
        <v/>
      </c>
      <c r="V2803" s="9" t="str">
        <f t="shared" ca="1" si="113"/>
        <v/>
      </c>
      <c r="AG2803" s="9" t="s">
        <v>20</v>
      </c>
    </row>
    <row r="2804" spans="1:33">
      <c r="A2804" s="3" t="s">
        <v>3036</v>
      </c>
      <c r="D2804" s="3" t="s">
        <v>8388</v>
      </c>
      <c r="E2804" s="3" t="s">
        <v>8389</v>
      </c>
      <c r="H2804" t="s">
        <v>19</v>
      </c>
      <c r="J2804" s="9" t="s">
        <v>24</v>
      </c>
      <c r="L2804" s="9">
        <v>1</v>
      </c>
      <c r="M2804" s="9">
        <v>2</v>
      </c>
      <c r="N2804" s="9" t="s">
        <v>12078</v>
      </c>
      <c r="O2804" s="9" t="s">
        <v>12119</v>
      </c>
      <c r="Q2804" s="10"/>
      <c r="S2804" s="9">
        <v>11843</v>
      </c>
      <c r="U2804" s="9" t="str">
        <f t="shared" ca="1" si="112"/>
        <v/>
      </c>
      <c r="V2804" s="9" t="str">
        <f t="shared" ca="1" si="113"/>
        <v/>
      </c>
      <c r="AG2804" s="9" t="s">
        <v>20</v>
      </c>
    </row>
    <row r="2805" spans="1:33">
      <c r="A2805" s="3" t="s">
        <v>3036</v>
      </c>
      <c r="D2805" s="3" t="s">
        <v>8390</v>
      </c>
      <c r="E2805" s="3" t="s">
        <v>12439</v>
      </c>
      <c r="J2805" s="9" t="s">
        <v>12120</v>
      </c>
      <c r="Q2805" s="10"/>
      <c r="U2805" s="9" t="str">
        <f t="shared" ca="1" si="112"/>
        <v/>
      </c>
      <c r="V2805" s="9" t="str">
        <f t="shared" ca="1" si="113"/>
        <v/>
      </c>
      <c r="AB2805" s="9" t="s">
        <v>12738</v>
      </c>
      <c r="AD2805" s="9" t="s">
        <v>19</v>
      </c>
    </row>
    <row r="2806" spans="1:33">
      <c r="A2806" s="3" t="s">
        <v>3036</v>
      </c>
      <c r="D2806" s="3" t="s">
        <v>3037</v>
      </c>
      <c r="E2806" s="3" t="s">
        <v>8391</v>
      </c>
      <c r="G2806" t="s">
        <v>19</v>
      </c>
      <c r="J2806" s="9" t="s">
        <v>12120</v>
      </c>
      <c r="Q2806" s="10"/>
      <c r="U2806" s="9" t="str">
        <f t="shared" ca="1" si="112"/>
        <v/>
      </c>
      <c r="V2806" s="9" t="str">
        <f t="shared" ca="1" si="113"/>
        <v/>
      </c>
      <c r="AC2806" s="9" t="s">
        <v>12742</v>
      </c>
      <c r="AD2806" s="9" t="s">
        <v>19</v>
      </c>
    </row>
    <row r="2807" spans="1:33" ht="72.5">
      <c r="A2807" s="3" t="s">
        <v>3038</v>
      </c>
      <c r="D2807" s="3" t="s">
        <v>8392</v>
      </c>
      <c r="E2807" s="3" t="s">
        <v>8393</v>
      </c>
      <c r="G2807" t="s">
        <v>19</v>
      </c>
      <c r="I2807" t="s">
        <v>12440</v>
      </c>
      <c r="J2807" s="9" t="s">
        <v>24</v>
      </c>
      <c r="L2807" s="9">
        <v>12</v>
      </c>
      <c r="M2807" s="9">
        <v>52</v>
      </c>
      <c r="O2807" s="9" t="s">
        <v>12073</v>
      </c>
      <c r="P2807" s="9" t="s">
        <v>12140</v>
      </c>
      <c r="Q2807" s="10" t="s">
        <v>12136</v>
      </c>
      <c r="S2807" s="9">
        <v>130</v>
      </c>
      <c r="U2807" s="9" t="str">
        <f t="shared" ca="1" si="112"/>
        <v/>
      </c>
      <c r="V2807" s="9" t="str">
        <f t="shared" ca="1" si="113"/>
        <v/>
      </c>
    </row>
    <row r="2808" spans="1:33">
      <c r="A2808" s="3" t="s">
        <v>3039</v>
      </c>
      <c r="D2808" s="3" t="s">
        <v>8395</v>
      </c>
      <c r="E2808" s="3" t="s">
        <v>8394</v>
      </c>
      <c r="J2808" s="9" t="s">
        <v>12118</v>
      </c>
      <c r="Q2808" s="10"/>
      <c r="T2808" s="9">
        <f>1966-5676</f>
        <v>-3710</v>
      </c>
      <c r="U2808" s="9">
        <f t="shared" ca="1" si="112"/>
        <v>5676</v>
      </c>
      <c r="V2808" s="9">
        <f t="shared" ca="1" si="113"/>
        <v>1966</v>
      </c>
      <c r="AG2808" s="9" t="s">
        <v>20</v>
      </c>
    </row>
    <row r="2809" spans="1:33">
      <c r="A2809" s="3" t="s">
        <v>3039</v>
      </c>
      <c r="D2809" s="3" t="s">
        <v>8396</v>
      </c>
      <c r="E2809" s="3" t="s">
        <v>8397</v>
      </c>
      <c r="J2809" s="9" t="s">
        <v>12120</v>
      </c>
      <c r="Q2809" s="10"/>
      <c r="U2809" s="9" t="str">
        <f t="shared" ca="1" si="112"/>
        <v/>
      </c>
      <c r="V2809" s="9" t="str">
        <f t="shared" ca="1" si="113"/>
        <v/>
      </c>
      <c r="AG2809" s="9" t="s">
        <v>20</v>
      </c>
    </row>
    <row r="2810" spans="1:33">
      <c r="A2810" s="3" t="s">
        <v>3040</v>
      </c>
      <c r="D2810" s="3" t="s">
        <v>3041</v>
      </c>
      <c r="E2810" s="3" t="s">
        <v>3042</v>
      </c>
      <c r="J2810" s="9" t="s">
        <v>12120</v>
      </c>
      <c r="Q2810" s="10"/>
      <c r="U2810" s="9" t="str">
        <f t="shared" ca="1" si="112"/>
        <v/>
      </c>
      <c r="V2810" s="9" t="str">
        <f t="shared" ca="1" si="113"/>
        <v/>
      </c>
      <c r="AE2810" s="9" t="s">
        <v>12077</v>
      </c>
    </row>
    <row r="2811" spans="1:33" ht="29">
      <c r="A2811" s="3" t="s">
        <v>3043</v>
      </c>
      <c r="D2811" s="3" t="s">
        <v>8399</v>
      </c>
      <c r="E2811" s="3" t="s">
        <v>8398</v>
      </c>
      <c r="J2811" s="9" t="s">
        <v>12118</v>
      </c>
      <c r="Q2811" s="10"/>
      <c r="T2811" s="9">
        <f>74-2</f>
        <v>72</v>
      </c>
      <c r="U2811" s="9">
        <f t="shared" ca="1" si="112"/>
        <v>2</v>
      </c>
      <c r="V2811" s="9">
        <f t="shared" ca="1" si="113"/>
        <v>74</v>
      </c>
      <c r="AG2811" s="9" t="s">
        <v>19</v>
      </c>
    </row>
    <row r="2812" spans="1:33" ht="29">
      <c r="A2812" s="3" t="s">
        <v>3044</v>
      </c>
      <c r="D2812" s="3" t="s">
        <v>8400</v>
      </c>
      <c r="E2812" s="3" t="s">
        <v>8401</v>
      </c>
      <c r="G2812" t="s">
        <v>21</v>
      </c>
      <c r="I2812" t="s">
        <v>8402</v>
      </c>
      <c r="J2812" s="9" t="s">
        <v>12118</v>
      </c>
      <c r="Q2812" s="10"/>
      <c r="T2812" s="9" t="s">
        <v>12131</v>
      </c>
      <c r="U2812" s="9" t="str">
        <f t="shared" ca="1" si="112"/>
        <v/>
      </c>
      <c r="V2812" s="9" t="str">
        <f t="shared" ca="1" si="113"/>
        <v/>
      </c>
      <c r="AE2812" s="9" t="s">
        <v>12086</v>
      </c>
    </row>
    <row r="2813" spans="1:33">
      <c r="A2813" s="3" t="s">
        <v>3045</v>
      </c>
      <c r="D2813" s="3" t="s">
        <v>8404</v>
      </c>
      <c r="E2813" s="3" t="s">
        <v>8403</v>
      </c>
      <c r="J2813" s="9" t="s">
        <v>25</v>
      </c>
      <c r="L2813" s="9">
        <v>1</v>
      </c>
      <c r="M2813" s="9">
        <v>3</v>
      </c>
      <c r="N2813" s="9" t="s">
        <v>12123</v>
      </c>
      <c r="O2813" s="9" t="s">
        <v>12079</v>
      </c>
      <c r="Q2813" s="10"/>
      <c r="S2813" s="9">
        <v>92</v>
      </c>
      <c r="U2813" s="9" t="str">
        <f t="shared" ca="1" si="112"/>
        <v/>
      </c>
      <c r="V2813" s="9" t="str">
        <f t="shared" ca="1" si="113"/>
        <v/>
      </c>
      <c r="AG2813" s="9" t="s">
        <v>20</v>
      </c>
    </row>
    <row r="2814" spans="1:33">
      <c r="A2814" s="3" t="s">
        <v>3046</v>
      </c>
      <c r="D2814" s="3" t="s">
        <v>5309</v>
      </c>
      <c r="E2814" s="3" t="s">
        <v>5310</v>
      </c>
      <c r="J2814" s="9" t="s">
        <v>25</v>
      </c>
      <c r="L2814" s="9">
        <v>1</v>
      </c>
      <c r="M2814" s="9">
        <v>2</v>
      </c>
      <c r="N2814" s="9" t="s">
        <v>12087</v>
      </c>
      <c r="O2814" s="9" t="s">
        <v>12119</v>
      </c>
      <c r="Q2814" s="10"/>
      <c r="S2814" s="9">
        <v>1966</v>
      </c>
      <c r="U2814" s="9" t="str">
        <f t="shared" ca="1" si="112"/>
        <v/>
      </c>
      <c r="V2814" s="9" t="str">
        <f t="shared" ca="1" si="113"/>
        <v/>
      </c>
      <c r="AG2814" s="9" t="s">
        <v>20</v>
      </c>
    </row>
    <row r="2815" spans="1:33" ht="29">
      <c r="A2815" s="3" t="s">
        <v>3046</v>
      </c>
      <c r="D2815" s="3" t="s">
        <v>8406</v>
      </c>
      <c r="E2815" s="3" t="s">
        <v>8405</v>
      </c>
      <c r="G2815" t="s">
        <v>20</v>
      </c>
      <c r="I2815" t="s">
        <v>8407</v>
      </c>
      <c r="J2815" s="9" t="s">
        <v>25</v>
      </c>
      <c r="L2815" s="9">
        <v>2</v>
      </c>
      <c r="M2815" s="9">
        <v>11</v>
      </c>
      <c r="O2815" s="9" t="s">
        <v>12079</v>
      </c>
      <c r="Q2815" s="10"/>
      <c r="S2815" s="9">
        <v>4</v>
      </c>
      <c r="U2815" s="9" t="str">
        <f t="shared" ca="1" si="112"/>
        <v/>
      </c>
      <c r="V2815" s="9" t="str">
        <f t="shared" ca="1" si="113"/>
        <v/>
      </c>
      <c r="AE2815" s="9" t="s">
        <v>12086</v>
      </c>
    </row>
    <row r="2816" spans="1:33">
      <c r="A2816" s="3" t="s">
        <v>3046</v>
      </c>
      <c r="D2816" s="11" t="s">
        <v>8409</v>
      </c>
      <c r="E2816" s="3" t="s">
        <v>8408</v>
      </c>
      <c r="J2816" s="9" t="s">
        <v>25</v>
      </c>
      <c r="L2816" s="9">
        <v>1</v>
      </c>
      <c r="M2816" s="9">
        <v>2</v>
      </c>
      <c r="N2816" s="9" t="s">
        <v>12078</v>
      </c>
      <c r="O2816" s="9" t="s">
        <v>12119</v>
      </c>
      <c r="Q2816" s="10"/>
      <c r="S2816" s="9">
        <v>11843</v>
      </c>
      <c r="U2816" s="9" t="str">
        <f t="shared" ca="1" si="112"/>
        <v/>
      </c>
      <c r="V2816" s="9" t="str">
        <f t="shared" ca="1" si="113"/>
        <v/>
      </c>
      <c r="AG2816" s="9" t="s">
        <v>20</v>
      </c>
    </row>
    <row r="2817" spans="1:33">
      <c r="A2817" s="3" t="s">
        <v>3047</v>
      </c>
      <c r="D2817" s="3" t="s">
        <v>8410</v>
      </c>
      <c r="E2817" s="3" t="s">
        <v>3048</v>
      </c>
      <c r="J2817" s="9" t="s">
        <v>12120</v>
      </c>
      <c r="Q2817" s="10"/>
      <c r="U2817" s="9" t="str">
        <f t="shared" ca="1" si="112"/>
        <v/>
      </c>
      <c r="V2817" s="9" t="str">
        <f t="shared" ca="1" si="113"/>
        <v/>
      </c>
      <c r="AC2817" s="9" t="s">
        <v>12740</v>
      </c>
      <c r="AD2817" s="9" t="s">
        <v>19</v>
      </c>
    </row>
    <row r="2818" spans="1:33">
      <c r="A2818" s="3" t="s">
        <v>3049</v>
      </c>
      <c r="D2818" s="3" t="s">
        <v>3050</v>
      </c>
      <c r="E2818" s="3" t="s">
        <v>3051</v>
      </c>
      <c r="G2818" t="s">
        <v>21</v>
      </c>
      <c r="I2818" t="s">
        <v>8411</v>
      </c>
      <c r="J2818" s="9" t="s">
        <v>12120</v>
      </c>
      <c r="Q2818" s="10"/>
      <c r="U2818" s="9" t="str">
        <f t="shared" ca="1" si="112"/>
        <v/>
      </c>
      <c r="V2818" s="9" t="str">
        <f t="shared" ca="1" si="113"/>
        <v/>
      </c>
      <c r="AE2818" s="9" t="s">
        <v>12077</v>
      </c>
    </row>
    <row r="2819" spans="1:33">
      <c r="A2819" s="3" t="s">
        <v>3052</v>
      </c>
      <c r="D2819" s="3" t="s">
        <v>3053</v>
      </c>
      <c r="E2819" s="3" t="s">
        <v>2736</v>
      </c>
      <c r="F2819" t="s">
        <v>17</v>
      </c>
      <c r="Q2819" s="10"/>
      <c r="U2819" s="9" t="str">
        <f t="shared" ca="1" si="112"/>
        <v/>
      </c>
      <c r="V2819" s="9" t="str">
        <f t="shared" ca="1" si="113"/>
        <v/>
      </c>
    </row>
    <row r="2820" spans="1:33">
      <c r="A2820" s="3" t="s">
        <v>3054</v>
      </c>
      <c r="D2820" s="3" t="s">
        <v>8413</v>
      </c>
      <c r="E2820" s="3" t="s">
        <v>8412</v>
      </c>
      <c r="J2820" s="9" t="s">
        <v>12121</v>
      </c>
      <c r="Q2820" s="10"/>
      <c r="T2820" s="9">
        <f>0-1</f>
        <v>-1</v>
      </c>
      <c r="U2820" s="9">
        <f t="shared" ca="1" si="112"/>
        <v>1</v>
      </c>
      <c r="V2820" s="9">
        <f t="shared" ca="1" si="113"/>
        <v>0</v>
      </c>
      <c r="AG2820" s="9" t="s">
        <v>20</v>
      </c>
    </row>
    <row r="2821" spans="1:33" ht="29">
      <c r="A2821" s="3" t="s">
        <v>3055</v>
      </c>
      <c r="D2821" s="3" t="s">
        <v>8414</v>
      </c>
      <c r="E2821" s="3" t="s">
        <v>12441</v>
      </c>
      <c r="J2821" s="9" t="s">
        <v>12120</v>
      </c>
      <c r="Q2821" s="10"/>
      <c r="U2821" s="9" t="str">
        <f t="shared" ca="1" si="112"/>
        <v/>
      </c>
      <c r="V2821" s="9" t="str">
        <f t="shared" ca="1" si="113"/>
        <v/>
      </c>
      <c r="AG2821" s="9" t="s">
        <v>20</v>
      </c>
    </row>
    <row r="2822" spans="1:33">
      <c r="A2822" s="3" t="s">
        <v>3056</v>
      </c>
      <c r="D2822" s="3" t="s">
        <v>82</v>
      </c>
      <c r="E2822" s="3" t="s">
        <v>8415</v>
      </c>
      <c r="J2822" s="9" t="s">
        <v>12118</v>
      </c>
      <c r="Q2822" s="10"/>
      <c r="R2822" s="9" t="s">
        <v>12074</v>
      </c>
      <c r="T2822" s="9" t="s">
        <v>12119</v>
      </c>
      <c r="U2822" s="9" t="str">
        <f t="shared" ca="1" si="112"/>
        <v/>
      </c>
      <c r="V2822" s="9" t="str">
        <f t="shared" ca="1" si="113"/>
        <v/>
      </c>
      <c r="AE2822" s="9" t="s">
        <v>12077</v>
      </c>
    </row>
    <row r="2823" spans="1:33">
      <c r="A2823" s="3" t="s">
        <v>3057</v>
      </c>
      <c r="D2823" s="3" t="s">
        <v>3058</v>
      </c>
      <c r="E2823" s="5" t="s">
        <v>3059</v>
      </c>
      <c r="F2823" t="s">
        <v>32</v>
      </c>
      <c r="I2823" t="s">
        <v>8416</v>
      </c>
      <c r="J2823" s="9" t="s">
        <v>12120</v>
      </c>
      <c r="Q2823" s="10"/>
      <c r="U2823" s="9" t="str">
        <f t="shared" ca="1" si="112"/>
        <v/>
      </c>
      <c r="V2823" s="9" t="str">
        <f t="shared" ca="1" si="113"/>
        <v/>
      </c>
      <c r="AC2823" s="9" t="s">
        <v>12744</v>
      </c>
      <c r="AD2823" s="9" t="s">
        <v>20</v>
      </c>
      <c r="AE2823" s="9" t="s">
        <v>12077</v>
      </c>
    </row>
    <row r="2824" spans="1:33">
      <c r="A2824" s="3" t="s">
        <v>3057</v>
      </c>
      <c r="D2824" s="3" t="s">
        <v>8417</v>
      </c>
      <c r="E2824" s="3" t="s">
        <v>8418</v>
      </c>
      <c r="G2824" t="s">
        <v>19</v>
      </c>
      <c r="J2824" s="9" t="s">
        <v>12120</v>
      </c>
      <c r="Q2824" s="10"/>
      <c r="U2824" s="9" t="str">
        <f t="shared" ca="1" si="112"/>
        <v/>
      </c>
      <c r="V2824" s="9" t="str">
        <f t="shared" ca="1" si="113"/>
        <v/>
      </c>
    </row>
    <row r="2825" spans="1:33">
      <c r="A2825" s="3" t="s">
        <v>3057</v>
      </c>
      <c r="D2825" s="3" t="s">
        <v>3060</v>
      </c>
      <c r="E2825" s="3" t="s">
        <v>3061</v>
      </c>
      <c r="J2825" s="9" t="s">
        <v>12120</v>
      </c>
      <c r="Q2825" s="10"/>
      <c r="U2825" s="9" t="str">
        <f t="shared" ca="1" si="112"/>
        <v/>
      </c>
      <c r="V2825" s="9" t="str">
        <f t="shared" ca="1" si="113"/>
        <v/>
      </c>
      <c r="AG2825" s="9" t="s">
        <v>19</v>
      </c>
    </row>
    <row r="2826" spans="1:33" ht="29">
      <c r="A2826" s="3" t="s">
        <v>3062</v>
      </c>
      <c r="D2826" s="3" t="s">
        <v>8419</v>
      </c>
      <c r="E2826" s="3" t="s">
        <v>13057</v>
      </c>
      <c r="G2826" t="s">
        <v>19</v>
      </c>
      <c r="J2826" s="9" t="s">
        <v>24</v>
      </c>
      <c r="L2826" s="9">
        <v>1</v>
      </c>
      <c r="M2826" s="9">
        <v>3</v>
      </c>
      <c r="N2826" s="9" t="s">
        <v>12087</v>
      </c>
      <c r="O2826" s="9" t="s">
        <v>12079</v>
      </c>
      <c r="Q2826" s="10"/>
      <c r="S2826" s="9">
        <v>5676</v>
      </c>
      <c r="U2826" s="9" t="str">
        <f t="shared" ca="1" si="112"/>
        <v/>
      </c>
      <c r="V2826" s="9" t="str">
        <f t="shared" ca="1" si="113"/>
        <v/>
      </c>
    </row>
    <row r="2827" spans="1:33">
      <c r="A2827" s="3" t="s">
        <v>3063</v>
      </c>
      <c r="D2827" s="3" t="s">
        <v>8420</v>
      </c>
      <c r="E2827" s="3" t="s">
        <v>8421</v>
      </c>
      <c r="J2827" s="9" t="s">
        <v>25</v>
      </c>
      <c r="L2827" s="9">
        <v>1</v>
      </c>
      <c r="M2827" s="9">
        <v>1</v>
      </c>
      <c r="N2827" s="9" t="s">
        <v>12078</v>
      </c>
      <c r="O2827" s="9" t="s">
        <v>12119</v>
      </c>
      <c r="Q2827" s="10"/>
      <c r="R2827" s="9" t="s">
        <v>12074</v>
      </c>
      <c r="S2827" s="9">
        <v>11843</v>
      </c>
      <c r="U2827" s="9" t="str">
        <f t="shared" ca="1" si="112"/>
        <v/>
      </c>
      <c r="V2827" s="9" t="str">
        <f t="shared" ca="1" si="113"/>
        <v/>
      </c>
      <c r="AG2827" s="9" t="s">
        <v>19</v>
      </c>
    </row>
    <row r="2828" spans="1:33">
      <c r="A2828" s="3" t="s">
        <v>3064</v>
      </c>
      <c r="D2828" s="3" t="s">
        <v>3065</v>
      </c>
      <c r="E2828" s="3" t="s">
        <v>3066</v>
      </c>
      <c r="J2828" s="9" t="s">
        <v>12120</v>
      </c>
      <c r="Q2828" s="10"/>
      <c r="U2828" s="9" t="str">
        <f t="shared" ca="1" si="112"/>
        <v/>
      </c>
      <c r="V2828" s="9" t="str">
        <f t="shared" ca="1" si="113"/>
        <v/>
      </c>
      <c r="AE2828" s="9" t="s">
        <v>12077</v>
      </c>
    </row>
    <row r="2829" spans="1:33" ht="29">
      <c r="A2829" s="3" t="s">
        <v>3064</v>
      </c>
      <c r="D2829" s="3" t="s">
        <v>8422</v>
      </c>
      <c r="E2829" s="3" t="s">
        <v>8423</v>
      </c>
      <c r="J2829" s="9" t="s">
        <v>24</v>
      </c>
      <c r="L2829" s="9">
        <v>1</v>
      </c>
      <c r="M2829" s="9">
        <v>4</v>
      </c>
      <c r="N2829" s="9" t="s">
        <v>12094</v>
      </c>
      <c r="O2829" s="9" t="s">
        <v>12079</v>
      </c>
      <c r="Q2829" s="10"/>
      <c r="S2829" s="9">
        <v>4240</v>
      </c>
      <c r="U2829" s="9" t="str">
        <f t="shared" ca="1" si="112"/>
        <v/>
      </c>
      <c r="V2829" s="9" t="str">
        <f t="shared" ca="1" si="113"/>
        <v/>
      </c>
      <c r="AG2829" s="9" t="s">
        <v>19</v>
      </c>
    </row>
    <row r="2830" spans="1:33" ht="29">
      <c r="A2830" s="3" t="s">
        <v>3064</v>
      </c>
      <c r="D2830" s="3" t="s">
        <v>8425</v>
      </c>
      <c r="E2830" s="3" t="s">
        <v>8424</v>
      </c>
      <c r="J2830" s="9" t="s">
        <v>12118</v>
      </c>
      <c r="Q2830" s="10"/>
      <c r="T2830" s="9" t="s">
        <v>12131</v>
      </c>
      <c r="U2830" s="9" t="str">
        <f t="shared" ca="1" si="112"/>
        <v/>
      </c>
      <c r="V2830" s="9" t="str">
        <f t="shared" ca="1" si="113"/>
        <v/>
      </c>
      <c r="AB2830" s="9" t="s">
        <v>12124</v>
      </c>
      <c r="AD2830" s="9" t="s">
        <v>19</v>
      </c>
      <c r="AE2830" s="9" t="s">
        <v>12086</v>
      </c>
    </row>
    <row r="2831" spans="1:33">
      <c r="A2831" s="3" t="s">
        <v>3067</v>
      </c>
      <c r="D2831" s="3" t="s">
        <v>3068</v>
      </c>
      <c r="E2831" s="3" t="s">
        <v>3068</v>
      </c>
      <c r="G2831" t="s">
        <v>20</v>
      </c>
      <c r="I2831" t="s">
        <v>8426</v>
      </c>
      <c r="Q2831" s="10"/>
      <c r="U2831" s="9" t="str">
        <f t="shared" ca="1" si="112"/>
        <v/>
      </c>
      <c r="V2831" s="9" t="str">
        <f t="shared" ca="1" si="113"/>
        <v/>
      </c>
    </row>
    <row r="2832" spans="1:33" ht="43.5">
      <c r="A2832" s="3" t="s">
        <v>3069</v>
      </c>
      <c r="D2832" s="3" t="s">
        <v>8427</v>
      </c>
      <c r="E2832" s="3" t="s">
        <v>8428</v>
      </c>
      <c r="J2832" s="9" t="s">
        <v>25</v>
      </c>
      <c r="L2832" s="9">
        <v>1</v>
      </c>
      <c r="M2832" s="9">
        <v>3</v>
      </c>
      <c r="N2832" s="9" t="s">
        <v>12072</v>
      </c>
      <c r="O2832" s="9" t="s">
        <v>12079</v>
      </c>
      <c r="Q2832" s="10"/>
      <c r="S2832" s="9">
        <v>214</v>
      </c>
      <c r="U2832" s="9" t="str">
        <f t="shared" ca="1" si="112"/>
        <v/>
      </c>
      <c r="V2832" s="9" t="str">
        <f t="shared" ca="1" si="113"/>
        <v/>
      </c>
      <c r="AG2832" s="9" t="s">
        <v>20</v>
      </c>
    </row>
    <row r="2833" spans="1:33">
      <c r="A2833" s="3" t="s">
        <v>3069</v>
      </c>
      <c r="D2833" s="3" t="s">
        <v>8429</v>
      </c>
      <c r="E2833" s="3" t="s">
        <v>8430</v>
      </c>
      <c r="J2833" s="9" t="s">
        <v>12118</v>
      </c>
      <c r="Q2833" s="10"/>
      <c r="T2833" s="9">
        <f>560-7</f>
        <v>553</v>
      </c>
      <c r="U2833" s="9">
        <f t="shared" ref="U2833:U2896" ca="1" si="116">IF(ISNUMBER(T2833),VALUE(MID(_xlfn.FORMULATEXT(T2833),SEARCH("-",_xlfn.FORMULATEXT(T2833))+1,LEN(_xlfn.FORMULATEXT(T2833))-SEARCH("-",_xlfn.FORMULATEXT(T2833)))), "")</f>
        <v>7</v>
      </c>
      <c r="V2833" s="9">
        <f t="shared" ref="V2833:V2896" ca="1" si="117">IF(ISNUMBER(T2833), VALUE(MID(_xlfn.FORMULATEXT(T2833), 2, SEARCH("-", _xlfn.FORMULATEXT(T2833)) - 2)), "")</f>
        <v>560</v>
      </c>
      <c r="AC2833" s="9" t="s">
        <v>12130</v>
      </c>
      <c r="AD2833" s="9" t="s">
        <v>19</v>
      </c>
      <c r="AE2833" s="9" t="s">
        <v>12089</v>
      </c>
    </row>
    <row r="2834" spans="1:33">
      <c r="A2834" s="3" t="s">
        <v>3069</v>
      </c>
      <c r="D2834" s="3" t="s">
        <v>3070</v>
      </c>
      <c r="E2834" s="3" t="s">
        <v>3071</v>
      </c>
      <c r="J2834" s="9" t="s">
        <v>12120</v>
      </c>
      <c r="Q2834" s="10"/>
      <c r="U2834" s="9" t="str">
        <f t="shared" ca="1" si="116"/>
        <v/>
      </c>
      <c r="V2834" s="9" t="str">
        <f t="shared" ca="1" si="117"/>
        <v/>
      </c>
      <c r="AG2834" s="9" t="s">
        <v>20</v>
      </c>
    </row>
    <row r="2835" spans="1:33">
      <c r="A2835" s="3" t="s">
        <v>3069</v>
      </c>
      <c r="D2835" s="3" t="s">
        <v>8432</v>
      </c>
      <c r="E2835" s="3" t="s">
        <v>8431</v>
      </c>
      <c r="G2835" t="s">
        <v>19</v>
      </c>
      <c r="J2835" s="9" t="s">
        <v>12121</v>
      </c>
      <c r="Q2835" s="10"/>
      <c r="T2835" s="9">
        <f>4-10</f>
        <v>-6</v>
      </c>
      <c r="U2835" s="9">
        <f t="shared" ca="1" si="116"/>
        <v>10</v>
      </c>
      <c r="V2835" s="9">
        <f t="shared" ca="1" si="117"/>
        <v>4</v>
      </c>
    </row>
    <row r="2836" spans="1:33">
      <c r="A2836" s="3" t="s">
        <v>3072</v>
      </c>
      <c r="D2836" s="3" t="s">
        <v>8433</v>
      </c>
      <c r="E2836" s="3" t="s">
        <v>8434</v>
      </c>
      <c r="J2836" s="9" t="s">
        <v>12120</v>
      </c>
      <c r="Q2836" s="10"/>
      <c r="U2836" s="9" t="str">
        <f t="shared" ca="1" si="116"/>
        <v/>
      </c>
      <c r="V2836" s="9" t="str">
        <f t="shared" ca="1" si="117"/>
        <v/>
      </c>
      <c r="AB2836" s="9" t="s">
        <v>12738</v>
      </c>
      <c r="AD2836" s="9" t="s">
        <v>19</v>
      </c>
    </row>
    <row r="2837" spans="1:33">
      <c r="A2837" s="3" t="s">
        <v>3073</v>
      </c>
      <c r="D2837" s="3" t="s">
        <v>8435</v>
      </c>
      <c r="E2837" s="11" t="s">
        <v>8436</v>
      </c>
      <c r="J2837" s="9" t="s">
        <v>12118</v>
      </c>
      <c r="Q2837" s="10"/>
      <c r="T2837" s="9">
        <f>4-4</f>
        <v>0</v>
      </c>
      <c r="U2837" s="9">
        <f t="shared" ca="1" si="116"/>
        <v>4</v>
      </c>
      <c r="V2837" s="9">
        <f t="shared" ca="1" si="117"/>
        <v>4</v>
      </c>
      <c r="AG2837" s="9" t="s">
        <v>19</v>
      </c>
    </row>
    <row r="2838" spans="1:33" ht="29">
      <c r="A2838" s="3" t="s">
        <v>3073</v>
      </c>
      <c r="D2838" s="3" t="s">
        <v>8438</v>
      </c>
      <c r="E2838" s="3" t="s">
        <v>8437</v>
      </c>
      <c r="J2838" s="9" t="s">
        <v>25</v>
      </c>
      <c r="L2838" s="9">
        <v>1</v>
      </c>
      <c r="M2838" s="9">
        <v>6</v>
      </c>
      <c r="N2838" s="9" t="s">
        <v>12094</v>
      </c>
      <c r="O2838" s="9" t="s">
        <v>12079</v>
      </c>
      <c r="Q2838" s="10"/>
      <c r="S2838" s="9">
        <v>4240</v>
      </c>
      <c r="U2838" s="9" t="str">
        <f t="shared" ca="1" si="116"/>
        <v/>
      </c>
      <c r="V2838" s="9" t="str">
        <f t="shared" ca="1" si="117"/>
        <v/>
      </c>
      <c r="AG2838" s="9" t="s">
        <v>20</v>
      </c>
    </row>
    <row r="2839" spans="1:33">
      <c r="A2839" s="3" t="s">
        <v>3074</v>
      </c>
      <c r="D2839" s="3" t="s">
        <v>7154</v>
      </c>
      <c r="E2839" s="3" t="s">
        <v>7153</v>
      </c>
      <c r="J2839" s="9" t="s">
        <v>12120</v>
      </c>
      <c r="Q2839" s="10"/>
      <c r="U2839" s="9" t="str">
        <f t="shared" ca="1" si="116"/>
        <v/>
      </c>
      <c r="V2839" s="9" t="str">
        <f t="shared" ca="1" si="117"/>
        <v/>
      </c>
      <c r="AB2839" s="9" t="s">
        <v>12082</v>
      </c>
      <c r="AD2839" s="9" t="s">
        <v>19</v>
      </c>
    </row>
    <row r="2840" spans="1:33">
      <c r="A2840" s="3" t="s">
        <v>3075</v>
      </c>
      <c r="D2840" s="3" t="s">
        <v>5938</v>
      </c>
      <c r="E2840" s="3" t="s">
        <v>8439</v>
      </c>
      <c r="J2840" s="9" t="s">
        <v>24</v>
      </c>
      <c r="L2840" s="9">
        <v>1</v>
      </c>
      <c r="M2840" s="9">
        <v>2</v>
      </c>
      <c r="N2840" s="9" t="s">
        <v>12087</v>
      </c>
      <c r="O2840" s="9" t="s">
        <v>12119</v>
      </c>
      <c r="Q2840" s="10"/>
      <c r="S2840" s="9">
        <v>1966</v>
      </c>
      <c r="U2840" s="9" t="str">
        <f t="shared" ca="1" si="116"/>
        <v/>
      </c>
      <c r="V2840" s="9" t="str">
        <f t="shared" ca="1" si="117"/>
        <v/>
      </c>
      <c r="AG2840" s="9" t="s">
        <v>19</v>
      </c>
    </row>
    <row r="2841" spans="1:33">
      <c r="A2841" s="3" t="s">
        <v>3075</v>
      </c>
      <c r="D2841" s="3" t="s">
        <v>3076</v>
      </c>
      <c r="E2841" s="3" t="s">
        <v>3077</v>
      </c>
      <c r="J2841" s="9" t="s">
        <v>12118</v>
      </c>
      <c r="Q2841" s="10"/>
      <c r="T2841" s="9" t="s">
        <v>12131</v>
      </c>
      <c r="U2841" s="9" t="str">
        <f t="shared" ca="1" si="116"/>
        <v/>
      </c>
      <c r="V2841" s="9" t="str">
        <f t="shared" ca="1" si="117"/>
        <v/>
      </c>
      <c r="AB2841" s="9" t="s">
        <v>12124</v>
      </c>
      <c r="AC2841" s="9" t="s">
        <v>12740</v>
      </c>
      <c r="AD2841" s="9" t="s">
        <v>19</v>
      </c>
    </row>
    <row r="2842" spans="1:33" ht="29">
      <c r="A2842" s="3" t="s">
        <v>3075</v>
      </c>
      <c r="D2842" s="3" t="s">
        <v>8441</v>
      </c>
      <c r="E2842" s="3" t="s">
        <v>8440</v>
      </c>
      <c r="G2842" t="s">
        <v>19</v>
      </c>
      <c r="J2842" s="9" t="s">
        <v>12118</v>
      </c>
      <c r="Q2842" s="10"/>
      <c r="T2842" s="9">
        <f>11843-4240</f>
        <v>7603</v>
      </c>
      <c r="U2842" s="9">
        <f t="shared" ca="1" si="116"/>
        <v>4240</v>
      </c>
      <c r="V2842" s="9">
        <f t="shared" ca="1" si="117"/>
        <v>11843</v>
      </c>
    </row>
    <row r="2843" spans="1:33">
      <c r="A2843" s="3" t="s">
        <v>3078</v>
      </c>
      <c r="D2843" s="3" t="s">
        <v>8442</v>
      </c>
      <c r="E2843" s="3" t="s">
        <v>8443</v>
      </c>
      <c r="G2843" t="s">
        <v>19</v>
      </c>
      <c r="J2843" s="9" t="s">
        <v>12118</v>
      </c>
      <c r="Q2843" s="10"/>
      <c r="R2843" s="9" t="s">
        <v>12074</v>
      </c>
      <c r="T2843" s="9" t="s">
        <v>12131</v>
      </c>
      <c r="U2843" s="9" t="str">
        <f t="shared" ca="1" si="116"/>
        <v/>
      </c>
      <c r="V2843" s="9" t="str">
        <f t="shared" ca="1" si="117"/>
        <v/>
      </c>
      <c r="AB2843" s="9" t="s">
        <v>12124</v>
      </c>
      <c r="AD2843" s="9" t="s">
        <v>19</v>
      </c>
      <c r="AE2843" s="9" t="s">
        <v>12077</v>
      </c>
    </row>
    <row r="2844" spans="1:33" ht="29">
      <c r="A2844" s="3" t="s">
        <v>3079</v>
      </c>
      <c r="D2844" s="3" t="s">
        <v>8444</v>
      </c>
      <c r="E2844" s="3" t="s">
        <v>8445</v>
      </c>
      <c r="J2844" s="9" t="s">
        <v>24</v>
      </c>
      <c r="L2844" s="9">
        <v>1</v>
      </c>
      <c r="M2844" s="9">
        <v>3</v>
      </c>
      <c r="N2844" s="9" t="s">
        <v>12078</v>
      </c>
      <c r="O2844" s="9" t="s">
        <v>12073</v>
      </c>
      <c r="P2844" s="9" t="s">
        <v>12149</v>
      </c>
      <c r="Q2844" s="10" t="s">
        <v>12143</v>
      </c>
      <c r="S2844" s="9">
        <v>11843</v>
      </c>
      <c r="U2844" s="9" t="str">
        <f t="shared" ca="1" si="116"/>
        <v/>
      </c>
      <c r="V2844" s="9" t="str">
        <f t="shared" ca="1" si="117"/>
        <v/>
      </c>
      <c r="AG2844" s="9" t="s">
        <v>19</v>
      </c>
    </row>
    <row r="2845" spans="1:33" ht="29">
      <c r="A2845" s="3" t="s">
        <v>3079</v>
      </c>
      <c r="D2845" s="3" t="s">
        <v>8447</v>
      </c>
      <c r="E2845" s="3" t="s">
        <v>8446</v>
      </c>
      <c r="J2845" s="9" t="s">
        <v>12120</v>
      </c>
      <c r="Q2845" s="10"/>
      <c r="U2845" s="9" t="str">
        <f t="shared" ca="1" si="116"/>
        <v/>
      </c>
      <c r="V2845" s="9" t="str">
        <f t="shared" ca="1" si="117"/>
        <v/>
      </c>
      <c r="AB2845" s="9" t="s">
        <v>12738</v>
      </c>
      <c r="AD2845" s="9" t="s">
        <v>19</v>
      </c>
      <c r="AE2845" s="9" t="s">
        <v>12086</v>
      </c>
    </row>
    <row r="2846" spans="1:33">
      <c r="A2846" s="3" t="s">
        <v>3080</v>
      </c>
      <c r="D2846" s="3" t="s">
        <v>8449</v>
      </c>
      <c r="E2846" s="3" t="s">
        <v>8448</v>
      </c>
      <c r="J2846" s="9" t="s">
        <v>24</v>
      </c>
      <c r="L2846" s="9">
        <v>2</v>
      </c>
      <c r="M2846" s="9">
        <v>10</v>
      </c>
      <c r="O2846" s="9" t="s">
        <v>12079</v>
      </c>
      <c r="Q2846" s="10"/>
      <c r="S2846" s="9">
        <v>508</v>
      </c>
      <c r="U2846" s="9" t="str">
        <f t="shared" ca="1" si="116"/>
        <v/>
      </c>
      <c r="V2846" s="9" t="str">
        <f t="shared" ca="1" si="117"/>
        <v/>
      </c>
      <c r="AG2846" s="9" t="s">
        <v>13141</v>
      </c>
    </row>
    <row r="2847" spans="1:33">
      <c r="A2847" s="3" t="s">
        <v>3081</v>
      </c>
      <c r="D2847" s="3" t="s">
        <v>431</v>
      </c>
      <c r="E2847" s="3" t="s">
        <v>8450</v>
      </c>
      <c r="J2847" s="9" t="s">
        <v>12118</v>
      </c>
      <c r="Q2847" s="10"/>
      <c r="R2847" s="9" t="s">
        <v>12074</v>
      </c>
      <c r="T2847" s="9" t="s">
        <v>12131</v>
      </c>
      <c r="U2847" s="9" t="str">
        <f t="shared" ca="1" si="116"/>
        <v/>
      </c>
      <c r="V2847" s="9" t="str">
        <f t="shared" ca="1" si="117"/>
        <v/>
      </c>
      <c r="AE2847" s="9" t="s">
        <v>12077</v>
      </c>
    </row>
    <row r="2848" spans="1:33">
      <c r="A2848" s="3" t="s">
        <v>3081</v>
      </c>
      <c r="D2848" s="3" t="s">
        <v>8452</v>
      </c>
      <c r="E2848" s="3" t="s">
        <v>8451</v>
      </c>
      <c r="J2848" s="9" t="s">
        <v>12120</v>
      </c>
      <c r="Q2848" s="10"/>
      <c r="U2848" s="9" t="str">
        <f t="shared" ca="1" si="116"/>
        <v/>
      </c>
      <c r="V2848" s="9" t="str">
        <f t="shared" ca="1" si="117"/>
        <v/>
      </c>
      <c r="AG2848" s="9" t="s">
        <v>20</v>
      </c>
    </row>
    <row r="2849" spans="1:33">
      <c r="A2849" s="3" t="s">
        <v>3082</v>
      </c>
      <c r="D2849" s="3" t="s">
        <v>8453</v>
      </c>
      <c r="E2849" s="3" t="s">
        <v>8454</v>
      </c>
      <c r="J2849" s="9" t="s">
        <v>12120</v>
      </c>
      <c r="Q2849" s="10"/>
      <c r="U2849" s="9" t="str">
        <f t="shared" ca="1" si="116"/>
        <v/>
      </c>
      <c r="V2849" s="9" t="str">
        <f t="shared" ca="1" si="117"/>
        <v/>
      </c>
      <c r="AC2849" s="9" t="s">
        <v>12166</v>
      </c>
      <c r="AD2849" s="9" t="s">
        <v>19</v>
      </c>
    </row>
    <row r="2850" spans="1:33">
      <c r="A2850" s="3" t="s">
        <v>3083</v>
      </c>
      <c r="D2850" s="3" t="s">
        <v>8456</v>
      </c>
      <c r="E2850" s="3" t="s">
        <v>8455</v>
      </c>
      <c r="G2850" t="s">
        <v>19</v>
      </c>
      <c r="J2850" s="9" t="s">
        <v>25</v>
      </c>
      <c r="L2850" s="9">
        <v>1</v>
      </c>
      <c r="M2850" s="9">
        <v>7</v>
      </c>
      <c r="N2850" s="9" t="s">
        <v>12084</v>
      </c>
      <c r="O2850" s="9" t="s">
        <v>12073</v>
      </c>
      <c r="P2850" s="9" t="s">
        <v>12142</v>
      </c>
      <c r="Q2850" s="10" t="s">
        <v>12158</v>
      </c>
      <c r="S2850" s="9">
        <v>29</v>
      </c>
      <c r="U2850" s="9" t="str">
        <f t="shared" ca="1" si="116"/>
        <v/>
      </c>
      <c r="V2850" s="9" t="str">
        <f t="shared" ca="1" si="117"/>
        <v/>
      </c>
      <c r="AE2850" s="9" t="s">
        <v>12086</v>
      </c>
    </row>
    <row r="2851" spans="1:33">
      <c r="A2851" s="3" t="s">
        <v>3084</v>
      </c>
      <c r="D2851" s="3" t="s">
        <v>3085</v>
      </c>
      <c r="E2851" s="3" t="s">
        <v>3086</v>
      </c>
      <c r="H2851" t="s">
        <v>22</v>
      </c>
      <c r="I2851" t="s">
        <v>8457</v>
      </c>
      <c r="J2851" s="9" t="s">
        <v>12120</v>
      </c>
      <c r="Q2851" s="10"/>
      <c r="U2851" s="9" t="str">
        <f t="shared" ca="1" si="116"/>
        <v/>
      </c>
      <c r="V2851" s="9" t="str">
        <f t="shared" ca="1" si="117"/>
        <v/>
      </c>
      <c r="AG2851" s="9" t="s">
        <v>20</v>
      </c>
    </row>
    <row r="2852" spans="1:33">
      <c r="A2852" s="3" t="s">
        <v>3087</v>
      </c>
      <c r="D2852" s="3" t="s">
        <v>3088</v>
      </c>
      <c r="E2852" s="5" t="s">
        <v>3089</v>
      </c>
      <c r="F2852" t="s">
        <v>16</v>
      </c>
      <c r="Q2852" s="10"/>
      <c r="U2852" s="9" t="str">
        <f t="shared" ca="1" si="116"/>
        <v/>
      </c>
      <c r="V2852" s="9" t="str">
        <f t="shared" ca="1" si="117"/>
        <v/>
      </c>
    </row>
    <row r="2853" spans="1:33">
      <c r="A2853" s="3" t="s">
        <v>3090</v>
      </c>
      <c r="D2853" s="3" t="s">
        <v>3091</v>
      </c>
      <c r="E2853" s="3" t="s">
        <v>8458</v>
      </c>
      <c r="G2853" t="s">
        <v>19</v>
      </c>
      <c r="J2853" s="9" t="s">
        <v>12120</v>
      </c>
      <c r="Q2853" s="10"/>
      <c r="U2853" s="9" t="str">
        <f t="shared" ca="1" si="116"/>
        <v/>
      </c>
      <c r="V2853" s="9" t="str">
        <f t="shared" ca="1" si="117"/>
        <v/>
      </c>
      <c r="AE2853" s="9" t="s">
        <v>12086</v>
      </c>
    </row>
    <row r="2854" spans="1:33">
      <c r="A2854" s="3" t="s">
        <v>3090</v>
      </c>
      <c r="D2854" s="3" t="s">
        <v>3092</v>
      </c>
      <c r="E2854" s="3" t="s">
        <v>3093</v>
      </c>
      <c r="J2854" s="9" t="s">
        <v>12118</v>
      </c>
      <c r="Q2854" s="10"/>
      <c r="T2854" s="9" t="s">
        <v>12131</v>
      </c>
      <c r="U2854" s="9" t="str">
        <f t="shared" ca="1" si="116"/>
        <v/>
      </c>
      <c r="V2854" s="9" t="str">
        <f t="shared" ca="1" si="117"/>
        <v/>
      </c>
      <c r="AC2854" s="9" t="s">
        <v>12442</v>
      </c>
      <c r="AD2854" s="9" t="s">
        <v>19</v>
      </c>
      <c r="AE2854" s="9" t="s">
        <v>12086</v>
      </c>
    </row>
    <row r="2855" spans="1:33">
      <c r="A2855" s="3" t="s">
        <v>3094</v>
      </c>
      <c r="D2855" s="3" t="s">
        <v>3095</v>
      </c>
      <c r="E2855" s="3" t="s">
        <v>3096</v>
      </c>
      <c r="J2855" s="9" t="s">
        <v>12118</v>
      </c>
      <c r="Q2855" s="10"/>
      <c r="T2855" s="9" t="s">
        <v>12131</v>
      </c>
      <c r="U2855" s="9" t="str">
        <f t="shared" ca="1" si="116"/>
        <v/>
      </c>
      <c r="V2855" s="9" t="str">
        <f t="shared" ca="1" si="117"/>
        <v/>
      </c>
      <c r="AE2855" s="9" t="s">
        <v>12077</v>
      </c>
    </row>
    <row r="2856" spans="1:33">
      <c r="A2856" s="3" t="s">
        <v>3097</v>
      </c>
      <c r="D2856" s="6" t="s">
        <v>8459</v>
      </c>
      <c r="E2856" s="3" t="s">
        <v>8460</v>
      </c>
      <c r="F2856" t="s">
        <v>11</v>
      </c>
      <c r="I2856" t="s">
        <v>8461</v>
      </c>
      <c r="Q2856" s="10"/>
      <c r="U2856" s="9" t="str">
        <f t="shared" ca="1" si="116"/>
        <v/>
      </c>
      <c r="V2856" s="9" t="str">
        <f t="shared" ca="1" si="117"/>
        <v/>
      </c>
    </row>
    <row r="2857" spans="1:33">
      <c r="A2857" s="3" t="s">
        <v>3097</v>
      </c>
      <c r="D2857" s="3" t="s">
        <v>8462</v>
      </c>
      <c r="E2857" s="3" t="s">
        <v>8463</v>
      </c>
      <c r="J2857" s="9" t="s">
        <v>25</v>
      </c>
      <c r="L2857" s="9">
        <v>1</v>
      </c>
      <c r="M2857" s="9">
        <v>3</v>
      </c>
      <c r="N2857" s="9" t="s">
        <v>12078</v>
      </c>
      <c r="O2857" s="9" t="s">
        <v>12073</v>
      </c>
      <c r="P2857" s="9" t="s">
        <v>12149</v>
      </c>
      <c r="Q2857" s="10" t="s">
        <v>12143</v>
      </c>
      <c r="S2857" s="9">
        <v>11843</v>
      </c>
      <c r="U2857" s="9" t="str">
        <f t="shared" ca="1" si="116"/>
        <v/>
      </c>
      <c r="V2857" s="9" t="str">
        <f t="shared" ca="1" si="117"/>
        <v/>
      </c>
      <c r="AG2857" s="9" t="s">
        <v>20</v>
      </c>
    </row>
    <row r="2858" spans="1:33">
      <c r="A2858" s="3" t="s">
        <v>3097</v>
      </c>
      <c r="D2858" s="3" t="s">
        <v>8464</v>
      </c>
      <c r="E2858" s="3" t="s">
        <v>8465</v>
      </c>
      <c r="J2858" s="9" t="s">
        <v>25</v>
      </c>
      <c r="L2858" s="9">
        <v>1</v>
      </c>
      <c r="M2858" s="9">
        <v>5</v>
      </c>
      <c r="N2858" s="9" t="s">
        <v>12094</v>
      </c>
      <c r="O2858" s="9" t="s">
        <v>12073</v>
      </c>
      <c r="P2858" s="9" t="s">
        <v>12149</v>
      </c>
      <c r="Q2858" s="10" t="s">
        <v>12160</v>
      </c>
      <c r="S2858" s="9">
        <v>4240</v>
      </c>
      <c r="U2858" s="9" t="str">
        <f t="shared" ca="1" si="116"/>
        <v/>
      </c>
      <c r="V2858" s="9" t="str">
        <f t="shared" ca="1" si="117"/>
        <v/>
      </c>
      <c r="AG2858" s="9" t="s">
        <v>20</v>
      </c>
    </row>
    <row r="2859" spans="1:33">
      <c r="A2859" s="3" t="s">
        <v>3098</v>
      </c>
      <c r="D2859" s="3" t="s">
        <v>8467</v>
      </c>
      <c r="E2859" s="3" t="s">
        <v>8466</v>
      </c>
      <c r="J2859" s="9" t="s">
        <v>24</v>
      </c>
      <c r="L2859" s="9">
        <v>1</v>
      </c>
      <c r="M2859" s="9">
        <v>3</v>
      </c>
      <c r="N2859" s="9" t="s">
        <v>12087</v>
      </c>
      <c r="O2859" s="9" t="s">
        <v>12079</v>
      </c>
      <c r="Q2859" s="10"/>
      <c r="S2859" s="9">
        <v>5676</v>
      </c>
      <c r="U2859" s="9" t="str">
        <f t="shared" ca="1" si="116"/>
        <v/>
      </c>
      <c r="V2859" s="9" t="str">
        <f t="shared" ca="1" si="117"/>
        <v/>
      </c>
      <c r="AG2859" s="9" t="s">
        <v>19</v>
      </c>
    </row>
    <row r="2860" spans="1:33" ht="29">
      <c r="A2860" s="3" t="s">
        <v>3098</v>
      </c>
      <c r="D2860" s="3" t="s">
        <v>8468</v>
      </c>
      <c r="E2860" s="3" t="s">
        <v>8469</v>
      </c>
      <c r="G2860" t="s">
        <v>19</v>
      </c>
      <c r="J2860" s="9" t="s">
        <v>12120</v>
      </c>
      <c r="Q2860" s="10"/>
      <c r="U2860" s="9" t="str">
        <f t="shared" ca="1" si="116"/>
        <v/>
      </c>
      <c r="V2860" s="9" t="str">
        <f t="shared" ca="1" si="117"/>
        <v/>
      </c>
    </row>
    <row r="2861" spans="1:33">
      <c r="A2861" s="3" t="s">
        <v>3099</v>
      </c>
      <c r="D2861" s="3" t="s">
        <v>8470</v>
      </c>
      <c r="E2861" s="3" t="s">
        <v>8471</v>
      </c>
      <c r="G2861" t="s">
        <v>19</v>
      </c>
      <c r="J2861" s="9" t="s">
        <v>12120</v>
      </c>
      <c r="Q2861" s="10"/>
      <c r="U2861" s="9" t="str">
        <f t="shared" ca="1" si="116"/>
        <v/>
      </c>
      <c r="V2861" s="9" t="str">
        <f t="shared" ca="1" si="117"/>
        <v/>
      </c>
      <c r="AC2861" s="9" t="s">
        <v>12130</v>
      </c>
      <c r="AD2861" s="9" t="s">
        <v>19</v>
      </c>
    </row>
    <row r="2862" spans="1:33">
      <c r="A2862" s="3" t="s">
        <v>3100</v>
      </c>
      <c r="D2862" s="3" t="s">
        <v>8472</v>
      </c>
      <c r="E2862" s="3" t="s">
        <v>8473</v>
      </c>
      <c r="G2862" t="s">
        <v>19</v>
      </c>
      <c r="J2862" s="9" t="s">
        <v>12120</v>
      </c>
      <c r="Q2862" s="10"/>
      <c r="U2862" s="9" t="str">
        <f t="shared" ca="1" si="116"/>
        <v/>
      </c>
      <c r="V2862" s="9" t="str">
        <f t="shared" ca="1" si="117"/>
        <v/>
      </c>
      <c r="AC2862" s="9" t="s">
        <v>12130</v>
      </c>
      <c r="AD2862" s="9" t="s">
        <v>19</v>
      </c>
    </row>
    <row r="2863" spans="1:33">
      <c r="A2863" s="3" t="s">
        <v>3100</v>
      </c>
      <c r="D2863" s="3" t="s">
        <v>8475</v>
      </c>
      <c r="E2863" s="3" t="s">
        <v>8474</v>
      </c>
      <c r="I2863" t="s">
        <v>5457</v>
      </c>
      <c r="J2863" s="9" t="s">
        <v>26</v>
      </c>
      <c r="Q2863" s="10"/>
      <c r="U2863" s="9" t="str">
        <f t="shared" ca="1" si="116"/>
        <v/>
      </c>
      <c r="V2863" s="9" t="str">
        <f t="shared" ca="1" si="117"/>
        <v/>
      </c>
      <c r="AG2863" s="9" t="s">
        <v>19</v>
      </c>
    </row>
    <row r="2864" spans="1:33">
      <c r="A2864" s="3" t="s">
        <v>3100</v>
      </c>
      <c r="D2864" s="3" t="s">
        <v>8476</v>
      </c>
      <c r="E2864" s="3" t="s">
        <v>8477</v>
      </c>
      <c r="J2864" s="9" t="s">
        <v>24</v>
      </c>
      <c r="L2864" s="9">
        <v>1</v>
      </c>
      <c r="M2864" s="9">
        <v>3</v>
      </c>
      <c r="N2864" s="9" t="s">
        <v>12123</v>
      </c>
      <c r="O2864" s="9" t="s">
        <v>12073</v>
      </c>
      <c r="P2864" s="9" t="s">
        <v>12142</v>
      </c>
      <c r="Q2864" s="10" t="s">
        <v>12143</v>
      </c>
      <c r="R2864" s="9" t="s">
        <v>12074</v>
      </c>
      <c r="S2864" s="9">
        <v>887</v>
      </c>
      <c r="U2864" s="9" t="str">
        <f t="shared" ca="1" si="116"/>
        <v/>
      </c>
      <c r="V2864" s="9" t="str">
        <f t="shared" ca="1" si="117"/>
        <v/>
      </c>
      <c r="AG2864" s="9" t="s">
        <v>20</v>
      </c>
    </row>
    <row r="2865" spans="1:33">
      <c r="A2865" s="3" t="s">
        <v>3100</v>
      </c>
      <c r="D2865" s="3" t="s">
        <v>8478</v>
      </c>
      <c r="E2865" s="3" t="s">
        <v>8479</v>
      </c>
      <c r="J2865" s="9" t="s">
        <v>12120</v>
      </c>
      <c r="Q2865" s="10"/>
      <c r="U2865" s="9" t="str">
        <f t="shared" ca="1" si="116"/>
        <v/>
      </c>
      <c r="V2865" s="9" t="str">
        <f t="shared" ca="1" si="117"/>
        <v/>
      </c>
      <c r="AG2865" s="9" t="s">
        <v>20</v>
      </c>
    </row>
    <row r="2866" spans="1:33">
      <c r="A2866" s="3" t="s">
        <v>3100</v>
      </c>
      <c r="D2866" s="5" t="s">
        <v>8480</v>
      </c>
      <c r="E2866" s="3" t="s">
        <v>8481</v>
      </c>
      <c r="F2866" t="s">
        <v>15</v>
      </c>
      <c r="Q2866" s="10"/>
      <c r="U2866" s="9" t="str">
        <f t="shared" ca="1" si="116"/>
        <v/>
      </c>
      <c r="V2866" s="9" t="str">
        <f t="shared" ca="1" si="117"/>
        <v/>
      </c>
    </row>
    <row r="2867" spans="1:33">
      <c r="A2867" s="3" t="s">
        <v>3101</v>
      </c>
      <c r="D2867" s="3" t="s">
        <v>8482</v>
      </c>
      <c r="E2867" s="3" t="s">
        <v>8483</v>
      </c>
      <c r="G2867" t="s">
        <v>19</v>
      </c>
      <c r="J2867" s="9" t="s">
        <v>12118</v>
      </c>
      <c r="Q2867" s="10"/>
      <c r="T2867" s="9" t="s">
        <v>12131</v>
      </c>
      <c r="U2867" s="9" t="str">
        <f t="shared" ca="1" si="116"/>
        <v/>
      </c>
      <c r="V2867" s="9" t="str">
        <f t="shared" ca="1" si="117"/>
        <v/>
      </c>
      <c r="AE2867" s="9" t="s">
        <v>12086</v>
      </c>
    </row>
    <row r="2868" spans="1:33">
      <c r="A2868" s="3" t="s">
        <v>3102</v>
      </c>
      <c r="D2868" s="3" t="s">
        <v>8484</v>
      </c>
      <c r="E2868" s="3" t="s">
        <v>8485</v>
      </c>
      <c r="G2868" t="s">
        <v>19</v>
      </c>
      <c r="J2868" s="9" t="s">
        <v>12118</v>
      </c>
      <c r="Q2868" s="10"/>
      <c r="T2868" s="9">
        <f>58-24</f>
        <v>34</v>
      </c>
      <c r="U2868" s="9">
        <f t="shared" ca="1" si="116"/>
        <v>24</v>
      </c>
      <c r="V2868" s="9">
        <f t="shared" ca="1" si="117"/>
        <v>58</v>
      </c>
    </row>
    <row r="2869" spans="1:33" ht="29">
      <c r="A2869" s="3" t="s">
        <v>3103</v>
      </c>
      <c r="D2869" s="3" t="s">
        <v>8487</v>
      </c>
      <c r="E2869" s="3" t="s">
        <v>8486</v>
      </c>
      <c r="I2869" t="s">
        <v>12192</v>
      </c>
      <c r="J2869" s="9" t="s">
        <v>26</v>
      </c>
      <c r="Q2869" s="10"/>
      <c r="U2869" s="9" t="str">
        <f t="shared" ca="1" si="116"/>
        <v/>
      </c>
      <c r="V2869" s="9" t="str">
        <f t="shared" ca="1" si="117"/>
        <v/>
      </c>
      <c r="AG2869" s="9" t="s">
        <v>19</v>
      </c>
    </row>
    <row r="2870" spans="1:33" ht="29">
      <c r="A2870" s="3" t="s">
        <v>3104</v>
      </c>
      <c r="D2870" s="3" t="s">
        <v>8489</v>
      </c>
      <c r="E2870" s="3" t="s">
        <v>8488</v>
      </c>
      <c r="J2870" s="9" t="s">
        <v>25</v>
      </c>
      <c r="L2870" s="9">
        <v>1</v>
      </c>
      <c r="M2870" s="9">
        <v>3</v>
      </c>
      <c r="N2870" s="9" t="s">
        <v>12087</v>
      </c>
      <c r="O2870" s="9" t="s">
        <v>12079</v>
      </c>
      <c r="Q2870" s="10"/>
      <c r="S2870" s="9">
        <v>5676</v>
      </c>
      <c r="U2870" s="9" t="str">
        <f t="shared" ca="1" si="116"/>
        <v/>
      </c>
      <c r="V2870" s="9" t="str">
        <f t="shared" ca="1" si="117"/>
        <v/>
      </c>
      <c r="AG2870" s="9" t="s">
        <v>19</v>
      </c>
    </row>
    <row r="2871" spans="1:33" ht="29">
      <c r="A2871" s="3" t="s">
        <v>3104</v>
      </c>
      <c r="D2871" s="3" t="s">
        <v>8490</v>
      </c>
      <c r="E2871" s="3" t="s">
        <v>8491</v>
      </c>
      <c r="F2871" t="s">
        <v>11</v>
      </c>
      <c r="Q2871" s="10"/>
      <c r="U2871" s="9" t="str">
        <f t="shared" ca="1" si="116"/>
        <v/>
      </c>
      <c r="V2871" s="9" t="str">
        <f t="shared" ca="1" si="117"/>
        <v/>
      </c>
    </row>
    <row r="2872" spans="1:33">
      <c r="A2872" s="3" t="s">
        <v>3105</v>
      </c>
      <c r="D2872" s="3" t="s">
        <v>8492</v>
      </c>
      <c r="E2872" s="3" t="s">
        <v>8493</v>
      </c>
      <c r="J2872" s="9" t="s">
        <v>12120</v>
      </c>
      <c r="Q2872" s="10"/>
      <c r="U2872" s="9" t="str">
        <f t="shared" ca="1" si="116"/>
        <v/>
      </c>
      <c r="V2872" s="9" t="str">
        <f t="shared" ca="1" si="117"/>
        <v/>
      </c>
      <c r="AC2872" s="9" t="s">
        <v>12144</v>
      </c>
      <c r="AD2872" s="9" t="s">
        <v>19</v>
      </c>
    </row>
    <row r="2873" spans="1:33">
      <c r="A2873" s="3" t="s">
        <v>3106</v>
      </c>
      <c r="D2873" s="3" t="s">
        <v>8494</v>
      </c>
      <c r="E2873" s="3" t="s">
        <v>8494</v>
      </c>
      <c r="G2873" t="s">
        <v>20</v>
      </c>
      <c r="I2873" t="s">
        <v>8495</v>
      </c>
      <c r="Q2873" s="10"/>
      <c r="U2873" s="9" t="str">
        <f t="shared" ca="1" si="116"/>
        <v/>
      </c>
      <c r="V2873" s="9" t="str">
        <f t="shared" ca="1" si="117"/>
        <v/>
      </c>
    </row>
    <row r="2874" spans="1:33" ht="29">
      <c r="A2874" s="3" t="s">
        <v>3106</v>
      </c>
      <c r="D2874" s="3" t="s">
        <v>8497</v>
      </c>
      <c r="E2874" s="3" t="s">
        <v>8496</v>
      </c>
      <c r="J2874" s="9" t="s">
        <v>12118</v>
      </c>
      <c r="Q2874" s="10"/>
      <c r="T2874" s="9">
        <f>887-156</f>
        <v>731</v>
      </c>
      <c r="U2874" s="9">
        <f t="shared" ca="1" si="116"/>
        <v>156</v>
      </c>
      <c r="V2874" s="9">
        <f t="shared" ca="1" si="117"/>
        <v>887</v>
      </c>
      <c r="AG2874" s="9" t="s">
        <v>20</v>
      </c>
    </row>
    <row r="2875" spans="1:33" ht="29">
      <c r="A2875" s="3" t="s">
        <v>3107</v>
      </c>
      <c r="D2875" s="3" t="s">
        <v>8498</v>
      </c>
      <c r="E2875" s="3" t="s">
        <v>8499</v>
      </c>
      <c r="G2875" t="s">
        <v>19</v>
      </c>
      <c r="J2875" s="9" t="s">
        <v>12118</v>
      </c>
      <c r="Q2875" s="10"/>
      <c r="T2875" s="9">
        <f>472-361</f>
        <v>111</v>
      </c>
      <c r="U2875" s="9">
        <f t="shared" ca="1" si="116"/>
        <v>361</v>
      </c>
      <c r="V2875" s="9">
        <f t="shared" ca="1" si="117"/>
        <v>472</v>
      </c>
    </row>
    <row r="2876" spans="1:33" ht="29">
      <c r="A2876" s="3" t="s">
        <v>3107</v>
      </c>
      <c r="D2876" s="6" t="s">
        <v>8500</v>
      </c>
      <c r="E2876" s="3" t="s">
        <v>8501</v>
      </c>
      <c r="G2876" t="s">
        <v>19</v>
      </c>
      <c r="I2876" t="s">
        <v>6670</v>
      </c>
      <c r="J2876" s="9" t="s">
        <v>12118</v>
      </c>
      <c r="Q2876" s="10"/>
      <c r="T2876" s="9">
        <f>1565-1294</f>
        <v>271</v>
      </c>
      <c r="U2876" s="9">
        <f t="shared" ca="1" si="116"/>
        <v>1294</v>
      </c>
      <c r="V2876" s="9">
        <f t="shared" ca="1" si="117"/>
        <v>1565</v>
      </c>
      <c r="AC2876" s="9" t="s">
        <v>12153</v>
      </c>
      <c r="AD2876" s="9" t="s">
        <v>19</v>
      </c>
      <c r="AF2876" s="9" t="s">
        <v>19</v>
      </c>
    </row>
    <row r="2877" spans="1:33" ht="29">
      <c r="A2877" s="3" t="s">
        <v>3107</v>
      </c>
      <c r="D2877" s="3" t="s">
        <v>8503</v>
      </c>
      <c r="E2877" s="3" t="s">
        <v>8502</v>
      </c>
      <c r="G2877" t="s">
        <v>19</v>
      </c>
      <c r="J2877" s="9" t="s">
        <v>12120</v>
      </c>
      <c r="Q2877" s="10"/>
      <c r="U2877" s="9" t="str">
        <f t="shared" ca="1" si="116"/>
        <v/>
      </c>
      <c r="V2877" s="9" t="str">
        <f t="shared" ca="1" si="117"/>
        <v/>
      </c>
      <c r="AB2877" s="9" t="s">
        <v>12124</v>
      </c>
      <c r="AD2877" s="9" t="s">
        <v>19</v>
      </c>
    </row>
    <row r="2878" spans="1:33">
      <c r="A2878" s="3" t="s">
        <v>3108</v>
      </c>
      <c r="D2878" s="3" t="s">
        <v>8505</v>
      </c>
      <c r="E2878" s="3" t="s">
        <v>8504</v>
      </c>
      <c r="J2878" s="9" t="s">
        <v>24</v>
      </c>
      <c r="L2878" s="9">
        <v>1</v>
      </c>
      <c r="M2878" s="9">
        <v>2</v>
      </c>
      <c r="N2878" s="9" t="s">
        <v>12087</v>
      </c>
      <c r="O2878" s="9" t="s">
        <v>12119</v>
      </c>
      <c r="Q2878" s="10"/>
      <c r="S2878" s="9">
        <v>1966</v>
      </c>
      <c r="U2878" s="9" t="str">
        <f t="shared" ca="1" si="116"/>
        <v/>
      </c>
      <c r="V2878" s="9" t="str">
        <f t="shared" ca="1" si="117"/>
        <v/>
      </c>
      <c r="AG2878" s="9" t="s">
        <v>19</v>
      </c>
    </row>
    <row r="2879" spans="1:33">
      <c r="A2879" s="3" t="s">
        <v>3108</v>
      </c>
      <c r="D2879" s="3" t="s">
        <v>8506</v>
      </c>
      <c r="E2879" s="3" t="s">
        <v>8507</v>
      </c>
      <c r="G2879" t="s">
        <v>19</v>
      </c>
      <c r="J2879" s="9" t="s">
        <v>12120</v>
      </c>
      <c r="Q2879" s="10"/>
      <c r="U2879" s="9" t="str">
        <f t="shared" ca="1" si="116"/>
        <v/>
      </c>
      <c r="V2879" s="9" t="str">
        <f t="shared" ca="1" si="117"/>
        <v/>
      </c>
    </row>
    <row r="2880" spans="1:33" ht="29">
      <c r="A2880" s="3" t="s">
        <v>3109</v>
      </c>
      <c r="D2880" s="3" t="s">
        <v>8508</v>
      </c>
      <c r="E2880" s="3" t="s">
        <v>8509</v>
      </c>
      <c r="G2880" t="s">
        <v>19</v>
      </c>
      <c r="J2880" s="9" t="s">
        <v>24</v>
      </c>
      <c r="L2880" s="9">
        <v>1</v>
      </c>
      <c r="M2880" s="9">
        <v>2</v>
      </c>
      <c r="N2880" s="9" t="s">
        <v>12078</v>
      </c>
      <c r="O2880" s="9" t="s">
        <v>12119</v>
      </c>
      <c r="Q2880" s="10"/>
      <c r="S2880" s="9">
        <v>11843</v>
      </c>
      <c r="U2880" s="9" t="str">
        <f t="shared" ca="1" si="116"/>
        <v/>
      </c>
      <c r="V2880" s="9" t="str">
        <f t="shared" ca="1" si="117"/>
        <v/>
      </c>
    </row>
    <row r="2881" spans="1:33" ht="29">
      <c r="A2881" s="3" t="s">
        <v>3109</v>
      </c>
      <c r="D2881" s="3" t="s">
        <v>12910</v>
      </c>
      <c r="E2881" s="3" t="s">
        <v>12911</v>
      </c>
      <c r="G2881" t="s">
        <v>19</v>
      </c>
      <c r="J2881" s="9" t="s">
        <v>24</v>
      </c>
      <c r="L2881" s="9">
        <v>1</v>
      </c>
      <c r="M2881" s="9">
        <v>2</v>
      </c>
      <c r="N2881" s="9" t="s">
        <v>12096</v>
      </c>
      <c r="O2881" s="9" t="s">
        <v>12119</v>
      </c>
      <c r="Q2881" s="10"/>
      <c r="S2881" s="9">
        <v>485</v>
      </c>
      <c r="U2881" s="9" t="str">
        <f t="shared" ca="1" si="116"/>
        <v/>
      </c>
      <c r="V2881" s="9" t="str">
        <f t="shared" ca="1" si="117"/>
        <v/>
      </c>
    </row>
    <row r="2882" spans="1:33">
      <c r="A2882" s="3" t="s">
        <v>3110</v>
      </c>
      <c r="D2882" s="3" t="s">
        <v>8510</v>
      </c>
      <c r="E2882" s="3" t="s">
        <v>8511</v>
      </c>
      <c r="J2882" s="9" t="s">
        <v>12120</v>
      </c>
      <c r="Q2882" s="10"/>
      <c r="U2882" s="9" t="str">
        <f t="shared" ca="1" si="116"/>
        <v/>
      </c>
      <c r="V2882" s="9" t="str">
        <f t="shared" ca="1" si="117"/>
        <v/>
      </c>
      <c r="AE2882" s="9" t="s">
        <v>12089</v>
      </c>
    </row>
    <row r="2883" spans="1:33">
      <c r="A2883" s="3" t="s">
        <v>3111</v>
      </c>
      <c r="D2883" s="3" t="s">
        <v>8513</v>
      </c>
      <c r="E2883" s="3" t="s">
        <v>8512</v>
      </c>
      <c r="J2883" s="9" t="s">
        <v>12120</v>
      </c>
      <c r="Q2883" s="10"/>
      <c r="U2883" s="9" t="str">
        <f t="shared" ca="1" si="116"/>
        <v/>
      </c>
      <c r="V2883" s="9" t="str">
        <f t="shared" ca="1" si="117"/>
        <v/>
      </c>
      <c r="AB2883" s="9" t="s">
        <v>12082</v>
      </c>
      <c r="AD2883" s="9" t="s">
        <v>19</v>
      </c>
    </row>
    <row r="2884" spans="1:33">
      <c r="A2884" s="3" t="s">
        <v>3111</v>
      </c>
      <c r="D2884" s="3" t="s">
        <v>8514</v>
      </c>
      <c r="E2884" s="3" t="s">
        <v>8514</v>
      </c>
      <c r="G2884" t="s">
        <v>20</v>
      </c>
      <c r="I2884" t="s">
        <v>8515</v>
      </c>
      <c r="Q2884" s="10"/>
      <c r="U2884" s="9" t="str">
        <f t="shared" ca="1" si="116"/>
        <v/>
      </c>
      <c r="V2884" s="9" t="str">
        <f t="shared" ca="1" si="117"/>
        <v/>
      </c>
    </row>
    <row r="2885" spans="1:33" ht="29">
      <c r="A2885" s="3" t="s">
        <v>3112</v>
      </c>
      <c r="D2885" s="3" t="s">
        <v>8517</v>
      </c>
      <c r="E2885" s="3" t="s">
        <v>8516</v>
      </c>
      <c r="I2885" s="4" t="s">
        <v>12443</v>
      </c>
      <c r="J2885" s="9" t="s">
        <v>25</v>
      </c>
      <c r="L2885" s="9">
        <v>3</v>
      </c>
      <c r="M2885" s="9">
        <v>16</v>
      </c>
      <c r="O2885" s="9" t="s">
        <v>12073</v>
      </c>
      <c r="P2885" s="9" t="s">
        <v>12140</v>
      </c>
      <c r="Q2885" s="10" t="s">
        <v>12137</v>
      </c>
      <c r="S2885" s="9">
        <v>591</v>
      </c>
      <c r="U2885" s="9" t="str">
        <f t="shared" ca="1" si="116"/>
        <v/>
      </c>
      <c r="V2885" s="9" t="str">
        <f t="shared" ca="1" si="117"/>
        <v/>
      </c>
      <c r="AG2885" s="9" t="s">
        <v>20</v>
      </c>
    </row>
    <row r="2886" spans="1:33">
      <c r="A2886" s="3" t="s">
        <v>3114</v>
      </c>
      <c r="D2886" s="3" t="s">
        <v>8518</v>
      </c>
      <c r="E2886" s="3" t="s">
        <v>8519</v>
      </c>
      <c r="J2886" s="9" t="s">
        <v>12120</v>
      </c>
      <c r="Q2886" s="10"/>
      <c r="U2886" s="9" t="str">
        <f t="shared" ca="1" si="116"/>
        <v/>
      </c>
      <c r="V2886" s="9" t="str">
        <f t="shared" ca="1" si="117"/>
        <v/>
      </c>
      <c r="AG2886" s="9" t="s">
        <v>19</v>
      </c>
    </row>
    <row r="2887" spans="1:33">
      <c r="A2887" s="3" t="s">
        <v>3115</v>
      </c>
      <c r="D2887" s="3" t="s">
        <v>8520</v>
      </c>
      <c r="E2887" s="3" t="s">
        <v>8521</v>
      </c>
      <c r="G2887" t="s">
        <v>19</v>
      </c>
      <c r="J2887" s="9" t="s">
        <v>12118</v>
      </c>
      <c r="Q2887" s="10"/>
      <c r="T2887" s="9" t="s">
        <v>12131</v>
      </c>
      <c r="U2887" s="9" t="str">
        <f t="shared" ca="1" si="116"/>
        <v/>
      </c>
      <c r="V2887" s="9" t="str">
        <f t="shared" ca="1" si="117"/>
        <v/>
      </c>
      <c r="AE2887" s="9" t="s">
        <v>12086</v>
      </c>
    </row>
    <row r="2888" spans="1:33">
      <c r="A2888" s="3" t="s">
        <v>3115</v>
      </c>
      <c r="D2888" s="3" t="s">
        <v>8522</v>
      </c>
      <c r="E2888" s="3" t="s">
        <v>8523</v>
      </c>
      <c r="J2888" s="9" t="s">
        <v>12118</v>
      </c>
      <c r="Q2888" s="10"/>
      <c r="T2888" s="9" t="s">
        <v>12131</v>
      </c>
      <c r="U2888" s="9" t="str">
        <f t="shared" ca="1" si="116"/>
        <v/>
      </c>
      <c r="V2888" s="9" t="str">
        <f t="shared" ca="1" si="117"/>
        <v/>
      </c>
      <c r="AE2888" s="9" t="s">
        <v>12086</v>
      </c>
    </row>
    <row r="2889" spans="1:33" ht="43.5">
      <c r="A2889" s="3" t="s">
        <v>3116</v>
      </c>
      <c r="D2889" s="3" t="s">
        <v>8525</v>
      </c>
      <c r="E2889" s="3" t="s">
        <v>8524</v>
      </c>
      <c r="J2889" s="9" t="s">
        <v>25</v>
      </c>
      <c r="L2889" s="9">
        <v>1</v>
      </c>
      <c r="M2889" s="9">
        <v>2</v>
      </c>
      <c r="N2889" s="9" t="s">
        <v>12087</v>
      </c>
      <c r="O2889" s="9" t="s">
        <v>12119</v>
      </c>
      <c r="Q2889" s="10"/>
      <c r="S2889" s="9">
        <v>1966</v>
      </c>
      <c r="U2889" s="9" t="str">
        <f t="shared" ca="1" si="116"/>
        <v/>
      </c>
      <c r="V2889" s="9" t="str">
        <f t="shared" ca="1" si="117"/>
        <v/>
      </c>
      <c r="AG2889" s="9" t="s">
        <v>19</v>
      </c>
    </row>
    <row r="2890" spans="1:33" ht="43.5">
      <c r="A2890" s="3" t="s">
        <v>3116</v>
      </c>
      <c r="D2890" s="3" t="s">
        <v>12444</v>
      </c>
      <c r="E2890" s="3" t="s">
        <v>8524</v>
      </c>
      <c r="I2890" t="s">
        <v>12445</v>
      </c>
      <c r="J2890" s="9" t="s">
        <v>25</v>
      </c>
      <c r="L2890" s="9">
        <v>5</v>
      </c>
      <c r="M2890" s="9">
        <v>16</v>
      </c>
      <c r="O2890" s="9" t="s">
        <v>12073</v>
      </c>
      <c r="P2890" s="9" t="s">
        <v>12140</v>
      </c>
      <c r="Q2890" s="10" t="s">
        <v>12417</v>
      </c>
      <c r="S2890" s="9">
        <v>133</v>
      </c>
      <c r="U2890" s="9" t="str">
        <f t="shared" ca="1" si="116"/>
        <v/>
      </c>
      <c r="V2890" s="9" t="str">
        <f t="shared" ca="1" si="117"/>
        <v/>
      </c>
      <c r="AG2890" s="9" t="s">
        <v>20</v>
      </c>
    </row>
    <row r="2891" spans="1:33">
      <c r="A2891" s="3" t="s">
        <v>3117</v>
      </c>
      <c r="D2891" s="3" t="s">
        <v>8527</v>
      </c>
      <c r="E2891" s="3" t="s">
        <v>8526</v>
      </c>
      <c r="J2891" s="9" t="s">
        <v>24</v>
      </c>
      <c r="L2891" s="9">
        <v>1</v>
      </c>
      <c r="M2891" s="9">
        <v>2</v>
      </c>
      <c r="N2891" s="9" t="s">
        <v>12087</v>
      </c>
      <c r="O2891" s="9" t="s">
        <v>12119</v>
      </c>
      <c r="Q2891" s="10"/>
      <c r="S2891" s="9">
        <v>1966</v>
      </c>
      <c r="U2891" s="9" t="str">
        <f t="shared" ca="1" si="116"/>
        <v/>
      </c>
      <c r="V2891" s="9" t="str">
        <f t="shared" ca="1" si="117"/>
        <v/>
      </c>
      <c r="AG2891" s="9" t="s">
        <v>20</v>
      </c>
    </row>
    <row r="2892" spans="1:33" ht="29">
      <c r="A2892" s="3" t="s">
        <v>3118</v>
      </c>
      <c r="D2892" s="3" t="s">
        <v>8528</v>
      </c>
      <c r="E2892" s="3" t="s">
        <v>8529</v>
      </c>
      <c r="J2892" s="9" t="s">
        <v>25</v>
      </c>
      <c r="L2892" s="9">
        <v>1</v>
      </c>
      <c r="M2892" s="9">
        <v>3</v>
      </c>
      <c r="N2892" s="9" t="s">
        <v>12087</v>
      </c>
      <c r="O2892" s="9" t="s">
        <v>12079</v>
      </c>
      <c r="Q2892" s="10"/>
      <c r="S2892" s="9">
        <v>309</v>
      </c>
      <c r="U2892" s="9" t="str">
        <f t="shared" ca="1" si="116"/>
        <v/>
      </c>
      <c r="V2892" s="9" t="str">
        <f t="shared" ca="1" si="117"/>
        <v/>
      </c>
      <c r="AG2892" s="9" t="s">
        <v>19</v>
      </c>
    </row>
    <row r="2893" spans="1:33">
      <c r="A2893" s="3" t="s">
        <v>3118</v>
      </c>
      <c r="D2893" s="3" t="s">
        <v>8530</v>
      </c>
      <c r="E2893" s="3" t="s">
        <v>8531</v>
      </c>
      <c r="J2893" s="9" t="s">
        <v>12120</v>
      </c>
      <c r="Q2893" s="10"/>
      <c r="U2893" s="9" t="str">
        <f t="shared" ca="1" si="116"/>
        <v/>
      </c>
      <c r="V2893" s="9" t="str">
        <f t="shared" ca="1" si="117"/>
        <v/>
      </c>
      <c r="AG2893" s="9" t="s">
        <v>19</v>
      </c>
    </row>
    <row r="2894" spans="1:33">
      <c r="A2894" s="3" t="s">
        <v>3118</v>
      </c>
      <c r="D2894" s="3" t="s">
        <v>8533</v>
      </c>
      <c r="E2894" s="3" t="s">
        <v>8532</v>
      </c>
      <c r="G2894" t="s">
        <v>19</v>
      </c>
      <c r="J2894" s="9" t="s">
        <v>12118</v>
      </c>
      <c r="Q2894" s="10"/>
      <c r="T2894" s="9">
        <f>11843-1966</f>
        <v>9877</v>
      </c>
      <c r="U2894" s="9">
        <f t="shared" ca="1" si="116"/>
        <v>1966</v>
      </c>
      <c r="V2894" s="9">
        <f t="shared" ca="1" si="117"/>
        <v>11843</v>
      </c>
      <c r="AE2894" s="9" t="s">
        <v>12089</v>
      </c>
    </row>
    <row r="2895" spans="1:33">
      <c r="A2895" s="3" t="s">
        <v>3118</v>
      </c>
      <c r="D2895" s="3" t="s">
        <v>8534</v>
      </c>
      <c r="E2895" s="3" t="s">
        <v>8535</v>
      </c>
      <c r="J2895" s="9" t="s">
        <v>12120</v>
      </c>
      <c r="Q2895" s="10"/>
      <c r="U2895" s="9" t="str">
        <f t="shared" ca="1" si="116"/>
        <v/>
      </c>
      <c r="V2895" s="9" t="str">
        <f t="shared" ca="1" si="117"/>
        <v/>
      </c>
      <c r="AB2895" s="9" t="s">
        <v>12738</v>
      </c>
      <c r="AD2895" s="9" t="s">
        <v>19</v>
      </c>
    </row>
    <row r="2896" spans="1:33">
      <c r="A2896" s="3" t="s">
        <v>3119</v>
      </c>
      <c r="D2896" s="3" t="s">
        <v>8537</v>
      </c>
      <c r="E2896" s="3" t="s">
        <v>8536</v>
      </c>
      <c r="J2896" s="9" t="s">
        <v>12118</v>
      </c>
      <c r="Q2896" s="10"/>
      <c r="T2896" s="9">
        <f>361-635</f>
        <v>-274</v>
      </c>
      <c r="U2896" s="9">
        <f t="shared" ca="1" si="116"/>
        <v>635</v>
      </c>
      <c r="V2896" s="9">
        <f t="shared" ca="1" si="117"/>
        <v>361</v>
      </c>
      <c r="AG2896" s="9" t="s">
        <v>19</v>
      </c>
    </row>
    <row r="2897" spans="1:33">
      <c r="A2897" s="3" t="s">
        <v>3119</v>
      </c>
      <c r="D2897" s="5" t="s">
        <v>8539</v>
      </c>
      <c r="E2897" s="3" t="s">
        <v>8538</v>
      </c>
      <c r="F2897" t="s">
        <v>15</v>
      </c>
      <c r="Q2897" s="10"/>
      <c r="U2897" s="9" t="str">
        <f t="shared" ref="U2897:U2960" ca="1" si="118">IF(ISNUMBER(T2897),VALUE(MID(_xlfn.FORMULATEXT(T2897),SEARCH("-",_xlfn.FORMULATEXT(T2897))+1,LEN(_xlfn.FORMULATEXT(T2897))-SEARCH("-",_xlfn.FORMULATEXT(T2897)))), "")</f>
        <v/>
      </c>
      <c r="V2897" s="9" t="str">
        <f t="shared" ref="V2897:V2960" ca="1" si="119">IF(ISNUMBER(T2897), VALUE(MID(_xlfn.FORMULATEXT(T2897), 2, SEARCH("-", _xlfn.FORMULATEXT(T2897)) - 2)), "")</f>
        <v/>
      </c>
    </row>
    <row r="2898" spans="1:33">
      <c r="A2898" s="3" t="s">
        <v>3120</v>
      </c>
      <c r="D2898" s="3" t="s">
        <v>3121</v>
      </c>
      <c r="E2898" s="3" t="s">
        <v>3122</v>
      </c>
      <c r="J2898" s="9" t="s">
        <v>12118</v>
      </c>
      <c r="Q2898" s="10"/>
      <c r="T2898" s="9" t="s">
        <v>12131</v>
      </c>
      <c r="U2898" s="9" t="str">
        <f t="shared" ca="1" si="118"/>
        <v/>
      </c>
      <c r="V2898" s="9" t="str">
        <f t="shared" ca="1" si="119"/>
        <v/>
      </c>
      <c r="AB2898" s="9" t="s">
        <v>12124</v>
      </c>
      <c r="AC2898" s="9" t="s">
        <v>12134</v>
      </c>
      <c r="AD2898" s="9" t="s">
        <v>19</v>
      </c>
    </row>
    <row r="2899" spans="1:33">
      <c r="A2899" s="3" t="s">
        <v>3123</v>
      </c>
      <c r="D2899" s="3" t="s">
        <v>3121</v>
      </c>
      <c r="E2899" s="3" t="s">
        <v>3122</v>
      </c>
      <c r="J2899" s="9" t="s">
        <v>12118</v>
      </c>
      <c r="Q2899" s="10"/>
      <c r="T2899" s="9" t="s">
        <v>12131</v>
      </c>
      <c r="U2899" s="9" t="str">
        <f t="shared" ca="1" si="118"/>
        <v/>
      </c>
      <c r="V2899" s="9" t="str">
        <f t="shared" ca="1" si="119"/>
        <v/>
      </c>
      <c r="AB2899" s="9" t="s">
        <v>12124</v>
      </c>
      <c r="AC2899" s="9" t="s">
        <v>12134</v>
      </c>
      <c r="AD2899" s="9" t="s">
        <v>19</v>
      </c>
    </row>
    <row r="2900" spans="1:33">
      <c r="A2900" s="3" t="s">
        <v>3123</v>
      </c>
      <c r="D2900" s="3" t="s">
        <v>3124</v>
      </c>
      <c r="E2900" s="3" t="s">
        <v>3125</v>
      </c>
      <c r="J2900" s="9" t="s">
        <v>12118</v>
      </c>
      <c r="Q2900" s="10"/>
      <c r="T2900" s="9" t="s">
        <v>12131</v>
      </c>
      <c r="U2900" s="9" t="str">
        <f t="shared" ca="1" si="118"/>
        <v/>
      </c>
      <c r="V2900" s="9" t="str">
        <f t="shared" ca="1" si="119"/>
        <v/>
      </c>
      <c r="AB2900" s="9" t="s">
        <v>12124</v>
      </c>
      <c r="AD2900" s="9" t="s">
        <v>19</v>
      </c>
    </row>
    <row r="2901" spans="1:33">
      <c r="A2901" s="3" t="s">
        <v>3126</v>
      </c>
      <c r="D2901" s="3" t="s">
        <v>8540</v>
      </c>
      <c r="E2901" s="3" t="s">
        <v>8541</v>
      </c>
      <c r="J2901" s="9" t="s">
        <v>12118</v>
      </c>
      <c r="Q2901" s="10"/>
      <c r="T2901" s="9">
        <f>19-207</f>
        <v>-188</v>
      </c>
      <c r="U2901" s="9">
        <f t="shared" ca="1" si="118"/>
        <v>207</v>
      </c>
      <c r="V2901" s="9">
        <f t="shared" ca="1" si="119"/>
        <v>19</v>
      </c>
      <c r="AG2901" s="9" t="s">
        <v>19</v>
      </c>
    </row>
    <row r="2902" spans="1:33">
      <c r="A2902" s="3" t="s">
        <v>3127</v>
      </c>
      <c r="D2902" s="3" t="s">
        <v>1288</v>
      </c>
      <c r="E2902" s="3" t="s">
        <v>1289</v>
      </c>
      <c r="J2902" s="9" t="s">
        <v>12120</v>
      </c>
      <c r="Q2902" s="10"/>
      <c r="U2902" s="9" t="str">
        <f t="shared" ca="1" si="118"/>
        <v/>
      </c>
      <c r="V2902" s="9" t="str">
        <f t="shared" ca="1" si="119"/>
        <v/>
      </c>
      <c r="AG2902" s="9" t="s">
        <v>19</v>
      </c>
    </row>
    <row r="2903" spans="1:33">
      <c r="A2903" s="3" t="s">
        <v>3128</v>
      </c>
      <c r="D2903" s="3" t="s">
        <v>1288</v>
      </c>
      <c r="E2903" s="3" t="s">
        <v>1289</v>
      </c>
      <c r="J2903" s="9" t="s">
        <v>12120</v>
      </c>
      <c r="Q2903" s="10"/>
      <c r="U2903" s="9" t="str">
        <f t="shared" ca="1" si="118"/>
        <v/>
      </c>
      <c r="V2903" s="9" t="str">
        <f t="shared" ca="1" si="119"/>
        <v/>
      </c>
      <c r="AG2903" s="9" t="s">
        <v>19</v>
      </c>
    </row>
    <row r="2904" spans="1:33">
      <c r="A2904" s="3" t="s">
        <v>3128</v>
      </c>
      <c r="D2904" s="3" t="s">
        <v>8543</v>
      </c>
      <c r="E2904" s="3" t="s">
        <v>8542</v>
      </c>
      <c r="J2904" s="9" t="s">
        <v>24</v>
      </c>
      <c r="L2904" s="9">
        <v>1</v>
      </c>
      <c r="M2904" s="9">
        <v>5</v>
      </c>
      <c r="N2904" s="9" t="s">
        <v>12098</v>
      </c>
      <c r="O2904" s="9" t="s">
        <v>12079</v>
      </c>
      <c r="Q2904" s="10"/>
      <c r="S2904" s="9">
        <v>1565</v>
      </c>
      <c r="U2904" s="9" t="str">
        <f t="shared" ca="1" si="118"/>
        <v/>
      </c>
      <c r="V2904" s="9" t="str">
        <f t="shared" ca="1" si="119"/>
        <v/>
      </c>
      <c r="AG2904" s="9" t="s">
        <v>19</v>
      </c>
    </row>
    <row r="2905" spans="1:33" ht="29">
      <c r="A2905" s="3" t="s">
        <v>3129</v>
      </c>
      <c r="D2905" s="3" t="s">
        <v>8544</v>
      </c>
      <c r="E2905" s="3" t="s">
        <v>8545</v>
      </c>
      <c r="J2905" s="9" t="s">
        <v>12120</v>
      </c>
      <c r="Q2905" s="10"/>
      <c r="U2905" s="9" t="str">
        <f t="shared" ca="1" si="118"/>
        <v/>
      </c>
      <c r="V2905" s="9" t="str">
        <f t="shared" ca="1" si="119"/>
        <v/>
      </c>
      <c r="AG2905" s="9" t="s">
        <v>19</v>
      </c>
    </row>
    <row r="2906" spans="1:33" ht="29">
      <c r="A2906" s="3" t="s">
        <v>3129</v>
      </c>
      <c r="D2906" s="3" t="s">
        <v>8546</v>
      </c>
      <c r="E2906" s="3" t="s">
        <v>8547</v>
      </c>
      <c r="G2906" t="s">
        <v>19</v>
      </c>
      <c r="J2906" s="9" t="s">
        <v>12118</v>
      </c>
      <c r="Q2906" s="10"/>
      <c r="T2906" s="9">
        <f>55-0</f>
        <v>55</v>
      </c>
      <c r="U2906" s="9">
        <f t="shared" ca="1" si="118"/>
        <v>0</v>
      </c>
      <c r="V2906" s="9">
        <f t="shared" ca="1" si="119"/>
        <v>55</v>
      </c>
    </row>
    <row r="2907" spans="1:33">
      <c r="A2907" s="3" t="s">
        <v>3130</v>
      </c>
      <c r="D2907" s="3" t="s">
        <v>727</v>
      </c>
      <c r="E2907" s="3" t="s">
        <v>728</v>
      </c>
      <c r="J2907" s="9" t="s">
        <v>12118</v>
      </c>
      <c r="Q2907" s="10"/>
      <c r="T2907" s="9">
        <f>37-87</f>
        <v>-50</v>
      </c>
      <c r="U2907" s="9">
        <f t="shared" ca="1" si="118"/>
        <v>87</v>
      </c>
      <c r="V2907" s="9">
        <f t="shared" ca="1" si="119"/>
        <v>37</v>
      </c>
      <c r="AG2907" s="9" t="s">
        <v>19</v>
      </c>
    </row>
    <row r="2908" spans="1:33">
      <c r="A2908" s="3" t="s">
        <v>3130</v>
      </c>
      <c r="D2908" s="3" t="s">
        <v>8548</v>
      </c>
      <c r="E2908" s="3" t="s">
        <v>8549</v>
      </c>
      <c r="J2908" s="9" t="s">
        <v>24</v>
      </c>
      <c r="L2908" s="9">
        <v>1</v>
      </c>
      <c r="M2908" s="9">
        <v>2</v>
      </c>
      <c r="N2908" s="9" t="s">
        <v>12078</v>
      </c>
      <c r="O2908" s="9" t="s">
        <v>12119</v>
      </c>
      <c r="Q2908" s="10"/>
      <c r="S2908" s="9">
        <v>11843</v>
      </c>
      <c r="U2908" s="9" t="str">
        <f t="shared" ca="1" si="118"/>
        <v/>
      </c>
      <c r="V2908" s="9" t="str">
        <f t="shared" ca="1" si="119"/>
        <v/>
      </c>
      <c r="AG2908" s="9" t="s">
        <v>19</v>
      </c>
    </row>
    <row r="2909" spans="1:33">
      <c r="A2909" s="3" t="s">
        <v>3130</v>
      </c>
      <c r="D2909" s="3" t="s">
        <v>8548</v>
      </c>
      <c r="E2909" s="3" t="s">
        <v>8550</v>
      </c>
      <c r="J2909" s="9" t="s">
        <v>24</v>
      </c>
      <c r="L2909" s="9">
        <v>1</v>
      </c>
      <c r="M2909" s="9">
        <v>2</v>
      </c>
      <c r="N2909" s="9" t="s">
        <v>12078</v>
      </c>
      <c r="O2909" s="9" t="s">
        <v>12119</v>
      </c>
      <c r="Q2909" s="10"/>
      <c r="S2909" s="9">
        <v>11843</v>
      </c>
      <c r="U2909" s="9" t="str">
        <f t="shared" ca="1" si="118"/>
        <v/>
      </c>
      <c r="V2909" s="9" t="str">
        <f t="shared" ca="1" si="119"/>
        <v/>
      </c>
      <c r="AG2909" s="9" t="s">
        <v>19</v>
      </c>
    </row>
    <row r="2910" spans="1:33">
      <c r="A2910" s="3" t="s">
        <v>3131</v>
      </c>
      <c r="D2910" s="3" t="s">
        <v>8552</v>
      </c>
      <c r="E2910" s="3" t="s">
        <v>8551</v>
      </c>
      <c r="J2910" s="9" t="s">
        <v>24</v>
      </c>
      <c r="L2910" s="9">
        <v>1</v>
      </c>
      <c r="M2910" s="9">
        <v>2</v>
      </c>
      <c r="N2910" s="9" t="s">
        <v>12123</v>
      </c>
      <c r="O2910" s="9" t="s">
        <v>12119</v>
      </c>
      <c r="Q2910" s="10"/>
      <c r="S2910" s="9">
        <v>134</v>
      </c>
      <c r="U2910" s="9" t="str">
        <f t="shared" ca="1" si="118"/>
        <v/>
      </c>
      <c r="V2910" s="9" t="str">
        <f t="shared" ca="1" si="119"/>
        <v/>
      </c>
      <c r="AG2910" s="9" t="s">
        <v>19</v>
      </c>
    </row>
    <row r="2911" spans="1:33">
      <c r="A2911" s="3" t="s">
        <v>3131</v>
      </c>
      <c r="D2911" s="3" t="s">
        <v>8554</v>
      </c>
      <c r="E2911" s="3" t="s">
        <v>8553</v>
      </c>
      <c r="J2911" s="9" t="s">
        <v>24</v>
      </c>
      <c r="L2911" s="9">
        <v>1</v>
      </c>
      <c r="M2911" s="9">
        <v>2</v>
      </c>
      <c r="N2911" s="9" t="s">
        <v>12123</v>
      </c>
      <c r="O2911" s="9" t="s">
        <v>12119</v>
      </c>
      <c r="Q2911" s="10"/>
      <c r="S2911" s="9">
        <v>526</v>
      </c>
      <c r="U2911" s="9" t="str">
        <f t="shared" ca="1" si="118"/>
        <v/>
      </c>
      <c r="V2911" s="9" t="str">
        <f t="shared" ca="1" si="119"/>
        <v/>
      </c>
      <c r="AG2911" s="9" t="s">
        <v>19</v>
      </c>
    </row>
    <row r="2912" spans="1:33">
      <c r="A2912" s="3" t="s">
        <v>3131</v>
      </c>
      <c r="D2912" s="3" t="s">
        <v>2411</v>
      </c>
      <c r="E2912" s="3" t="s">
        <v>3132</v>
      </c>
      <c r="J2912" s="9" t="s">
        <v>12118</v>
      </c>
      <c r="Q2912" s="10"/>
      <c r="T2912" s="9">
        <f>75-437</f>
        <v>-362</v>
      </c>
      <c r="U2912" s="9">
        <f t="shared" ca="1" si="118"/>
        <v>437</v>
      </c>
      <c r="V2912" s="9">
        <f t="shared" ca="1" si="119"/>
        <v>75</v>
      </c>
      <c r="AC2912" s="9" t="s">
        <v>12740</v>
      </c>
      <c r="AD2912" s="9" t="s">
        <v>19</v>
      </c>
    </row>
    <row r="2913" spans="1:33">
      <c r="A2913" s="3" t="s">
        <v>3133</v>
      </c>
      <c r="D2913" s="3" t="s">
        <v>8555</v>
      </c>
      <c r="E2913" s="3" t="s">
        <v>8556</v>
      </c>
      <c r="G2913" t="s">
        <v>20</v>
      </c>
      <c r="I2913" t="s">
        <v>8557</v>
      </c>
      <c r="J2913" s="9" t="s">
        <v>12118</v>
      </c>
      <c r="Q2913" s="10"/>
      <c r="T2913" s="9" t="s">
        <v>12131</v>
      </c>
      <c r="U2913" s="9" t="str">
        <f t="shared" ca="1" si="118"/>
        <v/>
      </c>
      <c r="V2913" s="9" t="str">
        <f t="shared" ca="1" si="119"/>
        <v/>
      </c>
      <c r="AC2913" s="9" t="s">
        <v>12130</v>
      </c>
      <c r="AD2913" s="9" t="s">
        <v>19</v>
      </c>
      <c r="AE2913" s="9" t="s">
        <v>12086</v>
      </c>
    </row>
    <row r="2914" spans="1:33">
      <c r="A2914" s="3" t="s">
        <v>3134</v>
      </c>
      <c r="D2914" s="3" t="s">
        <v>3135</v>
      </c>
      <c r="E2914" s="3" t="s">
        <v>1714</v>
      </c>
      <c r="J2914" s="9" t="s">
        <v>12118</v>
      </c>
      <c r="Q2914" s="10"/>
      <c r="T2914" s="9" t="s">
        <v>12131</v>
      </c>
      <c r="U2914" s="9" t="str">
        <f t="shared" ca="1" si="118"/>
        <v/>
      </c>
      <c r="V2914" s="9" t="str">
        <f t="shared" ca="1" si="119"/>
        <v/>
      </c>
      <c r="AC2914" s="9" t="s">
        <v>12130</v>
      </c>
      <c r="AD2914" s="9" t="s">
        <v>19</v>
      </c>
      <c r="AE2914" s="9" t="s">
        <v>12086</v>
      </c>
    </row>
    <row r="2915" spans="1:33">
      <c r="A2915" s="3" t="s">
        <v>3134</v>
      </c>
      <c r="D2915" s="3" t="s">
        <v>8558</v>
      </c>
      <c r="E2915" s="3" t="s">
        <v>8559</v>
      </c>
      <c r="I2915" t="s">
        <v>12687</v>
      </c>
      <c r="J2915" s="9" t="s">
        <v>26</v>
      </c>
      <c r="Q2915" s="10"/>
      <c r="U2915" s="9" t="str">
        <f t="shared" ca="1" si="118"/>
        <v/>
      </c>
      <c r="V2915" s="9" t="str">
        <f t="shared" ca="1" si="119"/>
        <v/>
      </c>
      <c r="W2915" s="9" t="s">
        <v>12117</v>
      </c>
      <c r="AG2915" s="9" t="s">
        <v>20</v>
      </c>
    </row>
    <row r="2916" spans="1:33">
      <c r="A2916" s="3" t="s">
        <v>3136</v>
      </c>
      <c r="D2916" s="3" t="s">
        <v>8560</v>
      </c>
      <c r="E2916" s="3" t="s">
        <v>8561</v>
      </c>
      <c r="J2916" s="9" t="s">
        <v>12118</v>
      </c>
      <c r="Q2916" s="10"/>
      <c r="T2916" s="9">
        <f>0-65</f>
        <v>-65</v>
      </c>
      <c r="U2916" s="9">
        <f t="shared" ca="1" si="118"/>
        <v>65</v>
      </c>
      <c r="V2916" s="9">
        <f t="shared" ca="1" si="119"/>
        <v>0</v>
      </c>
      <c r="AE2916" s="9" t="s">
        <v>12083</v>
      </c>
    </row>
    <row r="2917" spans="1:33">
      <c r="A2917" s="3" t="s">
        <v>3137</v>
      </c>
      <c r="D2917" s="3" t="s">
        <v>8563</v>
      </c>
      <c r="E2917" s="3" t="s">
        <v>8562</v>
      </c>
      <c r="G2917" t="s">
        <v>19</v>
      </c>
      <c r="J2917" s="9" t="s">
        <v>24</v>
      </c>
      <c r="L2917" s="9">
        <v>1</v>
      </c>
      <c r="M2917" s="9">
        <v>2</v>
      </c>
      <c r="N2917" s="9" t="s">
        <v>12078</v>
      </c>
      <c r="O2917" s="9" t="s">
        <v>12119</v>
      </c>
      <c r="Q2917" s="10"/>
      <c r="R2917" s="9" t="s">
        <v>12074</v>
      </c>
      <c r="S2917" s="9">
        <v>11843</v>
      </c>
      <c r="U2917" s="9" t="str">
        <f t="shared" ca="1" si="118"/>
        <v/>
      </c>
      <c r="V2917" s="9" t="str">
        <f t="shared" ca="1" si="119"/>
        <v/>
      </c>
      <c r="AE2917" s="9" t="s">
        <v>12086</v>
      </c>
    </row>
    <row r="2918" spans="1:33">
      <c r="A2918" s="3" t="s">
        <v>3137</v>
      </c>
      <c r="D2918" s="3" t="s">
        <v>3138</v>
      </c>
      <c r="E2918" s="3" t="s">
        <v>8564</v>
      </c>
      <c r="J2918" s="9" t="s">
        <v>12120</v>
      </c>
      <c r="Q2918" s="10"/>
      <c r="U2918" s="9" t="str">
        <f t="shared" ca="1" si="118"/>
        <v/>
      </c>
      <c r="V2918" s="9" t="str">
        <f t="shared" ca="1" si="119"/>
        <v/>
      </c>
      <c r="AB2918" s="9" t="s">
        <v>12737</v>
      </c>
      <c r="AD2918" s="9" t="s">
        <v>19</v>
      </c>
    </row>
    <row r="2919" spans="1:33">
      <c r="A2919" s="3" t="s">
        <v>3137</v>
      </c>
      <c r="D2919" s="3" t="s">
        <v>8566</v>
      </c>
      <c r="E2919" s="3" t="s">
        <v>8565</v>
      </c>
      <c r="J2919" s="9" t="s">
        <v>12120</v>
      </c>
      <c r="Q2919" s="10"/>
      <c r="U2919" s="9" t="str">
        <f t="shared" ca="1" si="118"/>
        <v/>
      </c>
      <c r="V2919" s="9" t="str">
        <f t="shared" ca="1" si="119"/>
        <v/>
      </c>
      <c r="AC2919" s="9" t="s">
        <v>12188</v>
      </c>
      <c r="AD2919" s="9" t="s">
        <v>19</v>
      </c>
      <c r="AE2919" s="9" t="s">
        <v>12086</v>
      </c>
    </row>
    <row r="2920" spans="1:33">
      <c r="A2920" s="3" t="s">
        <v>3139</v>
      </c>
      <c r="D2920" s="3" t="s">
        <v>8567</v>
      </c>
      <c r="E2920" s="3" t="s">
        <v>8568</v>
      </c>
      <c r="J2920" s="9" t="s">
        <v>12120</v>
      </c>
      <c r="Q2920" s="10"/>
      <c r="U2920" s="9" t="str">
        <f t="shared" ca="1" si="118"/>
        <v/>
      </c>
      <c r="V2920" s="9" t="str">
        <f t="shared" ca="1" si="119"/>
        <v/>
      </c>
      <c r="AB2920" s="9" t="s">
        <v>12737</v>
      </c>
      <c r="AD2920" s="9" t="s">
        <v>19</v>
      </c>
    </row>
    <row r="2921" spans="1:33">
      <c r="A2921" s="3" t="s">
        <v>3139</v>
      </c>
      <c r="D2921" s="3" t="s">
        <v>4401</v>
      </c>
      <c r="E2921" s="3" t="s">
        <v>3140</v>
      </c>
      <c r="F2921" t="s">
        <v>12122</v>
      </c>
      <c r="Q2921" s="10"/>
      <c r="U2921" s="9" t="str">
        <f t="shared" ca="1" si="118"/>
        <v/>
      </c>
      <c r="V2921" s="9" t="str">
        <f t="shared" ca="1" si="119"/>
        <v/>
      </c>
    </row>
    <row r="2922" spans="1:33" ht="29">
      <c r="A2922" s="3" t="s">
        <v>3141</v>
      </c>
      <c r="D2922" s="3" t="s">
        <v>8570</v>
      </c>
      <c r="E2922" s="3" t="s">
        <v>8569</v>
      </c>
      <c r="G2922" t="s">
        <v>19</v>
      </c>
      <c r="J2922" s="9" t="s">
        <v>24</v>
      </c>
      <c r="L2922" s="9">
        <v>1</v>
      </c>
      <c r="M2922" s="9">
        <v>5</v>
      </c>
      <c r="N2922" s="9" t="s">
        <v>12094</v>
      </c>
      <c r="O2922" s="9" t="s">
        <v>12079</v>
      </c>
      <c r="Q2922" s="10"/>
      <c r="S2922" s="9">
        <v>4240</v>
      </c>
      <c r="U2922" s="9" t="str">
        <f t="shared" ca="1" si="118"/>
        <v/>
      </c>
      <c r="V2922" s="9" t="str">
        <f t="shared" ca="1" si="119"/>
        <v/>
      </c>
    </row>
    <row r="2923" spans="1:33">
      <c r="A2923" s="3" t="s">
        <v>3142</v>
      </c>
      <c r="D2923" s="3" t="s">
        <v>480</v>
      </c>
      <c r="E2923" s="3" t="s">
        <v>3143</v>
      </c>
      <c r="J2923" s="9" t="s">
        <v>12120</v>
      </c>
      <c r="Q2923" s="10"/>
      <c r="U2923" s="9" t="str">
        <f t="shared" ca="1" si="118"/>
        <v/>
      </c>
      <c r="V2923" s="9" t="str">
        <f t="shared" ca="1" si="119"/>
        <v/>
      </c>
      <c r="AC2923" s="9" t="s">
        <v>12740</v>
      </c>
      <c r="AD2923" s="9" t="s">
        <v>19</v>
      </c>
    </row>
    <row r="2924" spans="1:33">
      <c r="A2924" s="3" t="s">
        <v>3142</v>
      </c>
      <c r="D2924" s="3" t="s">
        <v>586</v>
      </c>
      <c r="E2924" s="3" t="s">
        <v>141</v>
      </c>
      <c r="J2924" s="9" t="s">
        <v>12120</v>
      </c>
      <c r="Q2924" s="10"/>
      <c r="U2924" s="9" t="str">
        <f t="shared" ca="1" si="118"/>
        <v/>
      </c>
      <c r="V2924" s="9" t="str">
        <f t="shared" ca="1" si="119"/>
        <v/>
      </c>
      <c r="AC2924" s="9" t="s">
        <v>12130</v>
      </c>
      <c r="AD2924" s="9" t="s">
        <v>19</v>
      </c>
    </row>
    <row r="2925" spans="1:33" ht="29">
      <c r="A2925" s="3" t="s">
        <v>3144</v>
      </c>
      <c r="D2925" s="3" t="s">
        <v>8572</v>
      </c>
      <c r="E2925" s="3" t="s">
        <v>8571</v>
      </c>
      <c r="I2925" t="s">
        <v>12192</v>
      </c>
      <c r="J2925" s="9" t="s">
        <v>26</v>
      </c>
      <c r="Q2925" s="10"/>
      <c r="U2925" s="9" t="str">
        <f t="shared" ca="1" si="118"/>
        <v/>
      </c>
      <c r="V2925" s="9" t="str">
        <f t="shared" ca="1" si="119"/>
        <v/>
      </c>
      <c r="AG2925" s="9" t="s">
        <v>20</v>
      </c>
    </row>
    <row r="2926" spans="1:33">
      <c r="A2926" s="3" t="s">
        <v>3145</v>
      </c>
      <c r="D2926" s="3" t="s">
        <v>8573</v>
      </c>
      <c r="E2926" s="3" t="s">
        <v>8574</v>
      </c>
      <c r="J2926" s="9" t="s">
        <v>12120</v>
      </c>
      <c r="Q2926" s="10"/>
      <c r="U2926" s="9" t="str">
        <f t="shared" ca="1" si="118"/>
        <v/>
      </c>
      <c r="V2926" s="9" t="str">
        <f t="shared" ca="1" si="119"/>
        <v/>
      </c>
      <c r="AB2926" s="9" t="s">
        <v>12082</v>
      </c>
      <c r="AD2926" s="9" t="s">
        <v>19</v>
      </c>
    </row>
    <row r="2927" spans="1:33" ht="29">
      <c r="A2927" s="3" t="s">
        <v>3146</v>
      </c>
      <c r="D2927" s="3" t="s">
        <v>8576</v>
      </c>
      <c r="E2927" s="3" t="s">
        <v>8575</v>
      </c>
      <c r="J2927" s="9" t="s">
        <v>25</v>
      </c>
      <c r="L2927" s="9">
        <v>2</v>
      </c>
      <c r="M2927" s="9">
        <v>5</v>
      </c>
      <c r="O2927" s="9" t="s">
        <v>12073</v>
      </c>
      <c r="P2927" s="9" t="s">
        <v>12142</v>
      </c>
      <c r="Q2927" s="10" t="s">
        <v>12160</v>
      </c>
      <c r="S2927" s="9">
        <v>301</v>
      </c>
      <c r="U2927" s="9" t="str">
        <f t="shared" ca="1" si="118"/>
        <v/>
      </c>
      <c r="V2927" s="9" t="str">
        <f t="shared" ca="1" si="119"/>
        <v/>
      </c>
      <c r="AG2927" s="9" t="s">
        <v>20</v>
      </c>
    </row>
    <row r="2928" spans="1:33" ht="29">
      <c r="A2928" s="3" t="s">
        <v>3146</v>
      </c>
      <c r="D2928" s="3" t="s">
        <v>8577</v>
      </c>
      <c r="E2928" s="3" t="s">
        <v>8578</v>
      </c>
      <c r="G2928" t="s">
        <v>19</v>
      </c>
      <c r="J2928" s="9" t="s">
        <v>12120</v>
      </c>
      <c r="Q2928" s="10"/>
      <c r="U2928" s="9" t="str">
        <f t="shared" ca="1" si="118"/>
        <v/>
      </c>
      <c r="V2928" s="9" t="str">
        <f t="shared" ca="1" si="119"/>
        <v/>
      </c>
      <c r="AB2928" s="9" t="s">
        <v>12082</v>
      </c>
      <c r="AD2928" s="9" t="s">
        <v>19</v>
      </c>
    </row>
    <row r="2929" spans="1:33">
      <c r="A2929" s="3" t="s">
        <v>3147</v>
      </c>
      <c r="D2929" s="3" t="s">
        <v>3148</v>
      </c>
      <c r="E2929" s="3" t="s">
        <v>3149</v>
      </c>
      <c r="J2929" s="9" t="s">
        <v>12120</v>
      </c>
      <c r="Q2929" s="10"/>
      <c r="U2929" s="9" t="str">
        <f t="shared" ca="1" si="118"/>
        <v/>
      </c>
      <c r="V2929" s="9" t="str">
        <f t="shared" ca="1" si="119"/>
        <v/>
      </c>
      <c r="AG2929" s="9" t="s">
        <v>19</v>
      </c>
    </row>
    <row r="2930" spans="1:33" ht="43.5">
      <c r="A2930" s="3" t="s">
        <v>3150</v>
      </c>
      <c r="D2930" s="3" t="s">
        <v>8579</v>
      </c>
      <c r="E2930" s="3" t="s">
        <v>8580</v>
      </c>
      <c r="I2930" t="s">
        <v>12302</v>
      </c>
      <c r="J2930" s="9" t="s">
        <v>26</v>
      </c>
      <c r="Q2930" s="10"/>
      <c r="U2930" s="9" t="str">
        <f t="shared" ca="1" si="118"/>
        <v/>
      </c>
      <c r="V2930" s="9" t="str">
        <f t="shared" ca="1" si="119"/>
        <v/>
      </c>
      <c r="AG2930" s="9" t="s">
        <v>20</v>
      </c>
    </row>
    <row r="2931" spans="1:33" ht="43.5">
      <c r="A2931" s="3" t="s">
        <v>3150</v>
      </c>
      <c r="D2931" s="3" t="s">
        <v>8581</v>
      </c>
      <c r="E2931" s="3" t="s">
        <v>8582</v>
      </c>
      <c r="J2931" s="9" t="s">
        <v>12118</v>
      </c>
      <c r="Q2931" s="10"/>
      <c r="T2931" s="9" t="s">
        <v>12131</v>
      </c>
      <c r="U2931" s="9" t="str">
        <f t="shared" ca="1" si="118"/>
        <v/>
      </c>
      <c r="V2931" s="9" t="str">
        <f t="shared" ca="1" si="119"/>
        <v/>
      </c>
      <c r="AC2931" s="9" t="s">
        <v>12130</v>
      </c>
      <c r="AD2931" s="9" t="s">
        <v>19</v>
      </c>
      <c r="AE2931" s="9" t="s">
        <v>12086</v>
      </c>
    </row>
    <row r="2932" spans="1:33" ht="29">
      <c r="A2932" s="3" t="s">
        <v>3151</v>
      </c>
      <c r="D2932" s="3" t="s">
        <v>8583</v>
      </c>
      <c r="E2932" s="3" t="s">
        <v>8585</v>
      </c>
      <c r="G2932" t="s">
        <v>19</v>
      </c>
      <c r="J2932" s="9" t="s">
        <v>24</v>
      </c>
      <c r="L2932" s="9">
        <v>1</v>
      </c>
      <c r="M2932" s="9">
        <v>1</v>
      </c>
      <c r="N2932" s="9" t="s">
        <v>12094</v>
      </c>
      <c r="O2932" s="9" t="s">
        <v>12119</v>
      </c>
      <c r="Q2932" s="10"/>
      <c r="S2932" s="9">
        <v>780</v>
      </c>
      <c r="U2932" s="9" t="str">
        <f t="shared" ca="1" si="118"/>
        <v/>
      </c>
      <c r="V2932" s="9" t="str">
        <f t="shared" ca="1" si="119"/>
        <v/>
      </c>
    </row>
    <row r="2933" spans="1:33" ht="29">
      <c r="A2933" s="3" t="s">
        <v>3151</v>
      </c>
      <c r="D2933" s="3" t="s">
        <v>8584</v>
      </c>
      <c r="E2933" s="3" t="s">
        <v>8586</v>
      </c>
      <c r="H2933" t="s">
        <v>19</v>
      </c>
      <c r="J2933" s="9" t="s">
        <v>12120</v>
      </c>
      <c r="Q2933" s="10"/>
      <c r="U2933" s="9" t="str">
        <f t="shared" ca="1" si="118"/>
        <v/>
      </c>
      <c r="V2933" s="9" t="str">
        <f t="shared" ca="1" si="119"/>
        <v/>
      </c>
      <c r="AB2933" s="9" t="s">
        <v>12738</v>
      </c>
      <c r="AD2933" s="9" t="s">
        <v>19</v>
      </c>
    </row>
    <row r="2934" spans="1:33" ht="29">
      <c r="A2934" s="3" t="s">
        <v>3151</v>
      </c>
      <c r="D2934" s="3" t="s">
        <v>8587</v>
      </c>
      <c r="E2934" s="3" t="s">
        <v>8588</v>
      </c>
      <c r="J2934" s="9" t="s">
        <v>12120</v>
      </c>
      <c r="Q2934" s="10"/>
      <c r="U2934" s="9" t="str">
        <f t="shared" ca="1" si="118"/>
        <v/>
      </c>
      <c r="V2934" s="9" t="str">
        <f t="shared" ca="1" si="119"/>
        <v/>
      </c>
      <c r="AE2934" s="9" t="s">
        <v>12077</v>
      </c>
    </row>
    <row r="2935" spans="1:33">
      <c r="A2935" s="3" t="s">
        <v>3151</v>
      </c>
      <c r="D2935" s="3" t="s">
        <v>8589</v>
      </c>
      <c r="E2935" s="3" t="s">
        <v>8590</v>
      </c>
      <c r="J2935" s="9" t="s">
        <v>12120</v>
      </c>
      <c r="Q2935" s="10"/>
      <c r="U2935" s="9" t="str">
        <f t="shared" ca="1" si="118"/>
        <v/>
      </c>
      <c r="V2935" s="9" t="str">
        <f t="shared" ca="1" si="119"/>
        <v/>
      </c>
      <c r="AG2935" s="9" t="s">
        <v>20</v>
      </c>
    </row>
    <row r="2936" spans="1:33">
      <c r="A2936" s="3" t="s">
        <v>3152</v>
      </c>
      <c r="D2936" s="3" t="s">
        <v>8591</v>
      </c>
      <c r="E2936" s="3" t="s">
        <v>8592</v>
      </c>
      <c r="J2936" s="9" t="s">
        <v>12120</v>
      </c>
      <c r="Q2936" s="10"/>
      <c r="U2936" s="9" t="str">
        <f t="shared" ca="1" si="118"/>
        <v/>
      </c>
      <c r="V2936" s="9" t="str">
        <f t="shared" ca="1" si="119"/>
        <v/>
      </c>
      <c r="AC2936" s="9" t="s">
        <v>12166</v>
      </c>
      <c r="AD2936" s="9" t="s">
        <v>19</v>
      </c>
    </row>
    <row r="2937" spans="1:33">
      <c r="A2937" s="3" t="s">
        <v>3153</v>
      </c>
      <c r="D2937" s="3" t="s">
        <v>8593</v>
      </c>
      <c r="E2937" s="3" t="s">
        <v>8594</v>
      </c>
      <c r="J2937" s="9" t="s">
        <v>12120</v>
      </c>
      <c r="Q2937" s="10"/>
      <c r="U2937" s="9" t="str">
        <f t="shared" ca="1" si="118"/>
        <v/>
      </c>
      <c r="V2937" s="9" t="str">
        <f t="shared" ca="1" si="119"/>
        <v/>
      </c>
      <c r="AG2937" s="9" t="s">
        <v>19</v>
      </c>
    </row>
    <row r="2938" spans="1:33">
      <c r="A2938" s="3" t="s">
        <v>3154</v>
      </c>
      <c r="D2938" s="3" t="s">
        <v>8595</v>
      </c>
      <c r="E2938" s="3" t="s">
        <v>8596</v>
      </c>
      <c r="J2938" s="9" t="s">
        <v>12120</v>
      </c>
      <c r="Q2938" s="10"/>
      <c r="U2938" s="9" t="str">
        <f t="shared" ca="1" si="118"/>
        <v/>
      </c>
      <c r="V2938" s="9" t="str">
        <f t="shared" ca="1" si="119"/>
        <v/>
      </c>
      <c r="AG2938" s="9" t="s">
        <v>19</v>
      </c>
    </row>
    <row r="2939" spans="1:33">
      <c r="A2939" s="3" t="s">
        <v>3155</v>
      </c>
      <c r="D2939" s="3" t="s">
        <v>8597</v>
      </c>
      <c r="E2939" s="3" t="s">
        <v>8597</v>
      </c>
      <c r="G2939" t="s">
        <v>20</v>
      </c>
      <c r="I2939" t="s">
        <v>8598</v>
      </c>
      <c r="Q2939" s="10"/>
      <c r="U2939" s="9" t="str">
        <f t="shared" ca="1" si="118"/>
        <v/>
      </c>
      <c r="V2939" s="9" t="str">
        <f t="shared" ca="1" si="119"/>
        <v/>
      </c>
    </row>
    <row r="2940" spans="1:33" ht="29">
      <c r="A2940" s="3" t="s">
        <v>3156</v>
      </c>
      <c r="D2940" s="6" t="s">
        <v>8600</v>
      </c>
      <c r="E2940" s="3" t="s">
        <v>8601</v>
      </c>
      <c r="F2940" t="s">
        <v>4774</v>
      </c>
      <c r="G2940" t="s">
        <v>19</v>
      </c>
      <c r="I2940" t="s">
        <v>8599</v>
      </c>
      <c r="J2940" s="9" t="s">
        <v>12118</v>
      </c>
      <c r="Q2940" s="10"/>
      <c r="T2940" s="9" t="s">
        <v>12131</v>
      </c>
      <c r="U2940" s="9" t="str">
        <f t="shared" ca="1" si="118"/>
        <v/>
      </c>
      <c r="V2940" s="9" t="str">
        <f t="shared" ca="1" si="119"/>
        <v/>
      </c>
      <c r="AC2940" s="9" t="s">
        <v>12740</v>
      </c>
      <c r="AD2940" s="9" t="s">
        <v>19</v>
      </c>
      <c r="AE2940" s="9" t="s">
        <v>12086</v>
      </c>
      <c r="AF2940" s="9" t="s">
        <v>19</v>
      </c>
    </row>
    <row r="2941" spans="1:33" ht="29">
      <c r="A2941" s="3" t="s">
        <v>3156</v>
      </c>
      <c r="D2941" s="3" t="s">
        <v>8602</v>
      </c>
      <c r="E2941" s="3" t="s">
        <v>8603</v>
      </c>
      <c r="G2941" t="s">
        <v>19</v>
      </c>
      <c r="J2941" s="9" t="s">
        <v>12118</v>
      </c>
      <c r="Q2941" s="10"/>
      <c r="T2941" s="9">
        <f>361-5676</f>
        <v>-5315</v>
      </c>
      <c r="U2941" s="9">
        <f t="shared" ca="1" si="118"/>
        <v>5676</v>
      </c>
      <c r="V2941" s="9">
        <f t="shared" ca="1" si="119"/>
        <v>361</v>
      </c>
    </row>
    <row r="2942" spans="1:33" ht="29">
      <c r="A2942" s="3" t="s">
        <v>3157</v>
      </c>
      <c r="D2942" s="3" t="s">
        <v>8604</v>
      </c>
      <c r="E2942" s="3" t="s">
        <v>8605</v>
      </c>
      <c r="J2942" s="9" t="s">
        <v>24</v>
      </c>
      <c r="L2942" s="9">
        <v>1</v>
      </c>
      <c r="M2942" s="9">
        <v>8</v>
      </c>
      <c r="N2942" s="9" t="s">
        <v>12098</v>
      </c>
      <c r="O2942" s="9" t="s">
        <v>12079</v>
      </c>
      <c r="Q2942" s="10"/>
      <c r="S2942" s="9">
        <v>2042</v>
      </c>
      <c r="U2942" s="9" t="str">
        <f t="shared" ca="1" si="118"/>
        <v/>
      </c>
      <c r="V2942" s="9" t="str">
        <f t="shared" ca="1" si="119"/>
        <v/>
      </c>
      <c r="AE2942" s="9" t="s">
        <v>12089</v>
      </c>
    </row>
    <row r="2943" spans="1:33" ht="29">
      <c r="A2943" s="3" t="s">
        <v>3157</v>
      </c>
      <c r="D2943" s="3" t="s">
        <v>8606</v>
      </c>
      <c r="E2943" s="3" t="s">
        <v>8607</v>
      </c>
      <c r="I2943" t="s">
        <v>12688</v>
      </c>
      <c r="J2943" s="9" t="s">
        <v>12118</v>
      </c>
      <c r="Q2943" s="10"/>
      <c r="T2943" s="9">
        <f>24-277</f>
        <v>-253</v>
      </c>
      <c r="U2943" s="9">
        <f t="shared" ca="1" si="118"/>
        <v>277</v>
      </c>
      <c r="V2943" s="9">
        <f t="shared" ca="1" si="119"/>
        <v>24</v>
      </c>
      <c r="W2943" s="9" t="s">
        <v>12117</v>
      </c>
      <c r="AG2943" s="9" t="s">
        <v>19</v>
      </c>
    </row>
    <row r="2944" spans="1:33">
      <c r="A2944" s="3" t="s">
        <v>3158</v>
      </c>
      <c r="D2944" s="3" t="s">
        <v>1269</v>
      </c>
      <c r="E2944" s="3" t="s">
        <v>1248</v>
      </c>
      <c r="J2944" s="9" t="s">
        <v>12120</v>
      </c>
      <c r="Q2944" s="10"/>
      <c r="U2944" s="9" t="str">
        <f t="shared" ca="1" si="118"/>
        <v/>
      </c>
      <c r="V2944" s="9" t="str">
        <f t="shared" ca="1" si="119"/>
        <v/>
      </c>
      <c r="AG2944" s="9" t="s">
        <v>19</v>
      </c>
    </row>
    <row r="2945" spans="1:33">
      <c r="A2945" s="3" t="s">
        <v>3158</v>
      </c>
      <c r="D2945" s="3" t="s">
        <v>8608</v>
      </c>
      <c r="E2945" s="3" t="s">
        <v>8609</v>
      </c>
      <c r="J2945" s="9" t="s">
        <v>12120</v>
      </c>
      <c r="Q2945" s="10"/>
      <c r="U2945" s="9" t="str">
        <f t="shared" ca="1" si="118"/>
        <v/>
      </c>
      <c r="V2945" s="9" t="str">
        <f t="shared" ca="1" si="119"/>
        <v/>
      </c>
      <c r="AG2945" s="9" t="s">
        <v>19</v>
      </c>
    </row>
    <row r="2946" spans="1:33">
      <c r="A2946" s="3" t="s">
        <v>3159</v>
      </c>
      <c r="D2946" s="3" t="s">
        <v>8611</v>
      </c>
      <c r="E2946" s="3" t="s">
        <v>8610</v>
      </c>
      <c r="G2946" t="s">
        <v>19</v>
      </c>
      <c r="J2946" s="9" t="s">
        <v>12121</v>
      </c>
      <c r="Q2946" s="10"/>
      <c r="T2946" s="9">
        <f>930-11843</f>
        <v>-10913</v>
      </c>
      <c r="U2946" s="9">
        <f t="shared" ca="1" si="118"/>
        <v>11843</v>
      </c>
      <c r="V2946" s="9">
        <f t="shared" ca="1" si="119"/>
        <v>930</v>
      </c>
      <c r="AE2946" s="9" t="s">
        <v>12089</v>
      </c>
    </row>
    <row r="2947" spans="1:33">
      <c r="A2947" s="3" t="s">
        <v>3160</v>
      </c>
      <c r="D2947" s="3" t="s">
        <v>8613</v>
      </c>
      <c r="E2947" s="3" t="s">
        <v>8612</v>
      </c>
      <c r="H2947" t="s">
        <v>19</v>
      </c>
      <c r="J2947" s="9" t="s">
        <v>25</v>
      </c>
      <c r="L2947" s="9">
        <v>1</v>
      </c>
      <c r="M2947" s="9">
        <v>3</v>
      </c>
      <c r="N2947" s="9" t="s">
        <v>12087</v>
      </c>
      <c r="O2947" s="9" t="s">
        <v>12079</v>
      </c>
      <c r="Q2947" s="10"/>
      <c r="S2947" s="9">
        <v>356</v>
      </c>
      <c r="U2947" s="9" t="str">
        <f t="shared" ca="1" si="118"/>
        <v/>
      </c>
      <c r="V2947" s="9" t="str">
        <f t="shared" ca="1" si="119"/>
        <v/>
      </c>
      <c r="AG2947" s="9" t="s">
        <v>19</v>
      </c>
    </row>
    <row r="2948" spans="1:33">
      <c r="A2948" s="3" t="s">
        <v>3160</v>
      </c>
      <c r="D2948" s="3" t="s">
        <v>8614</v>
      </c>
      <c r="E2948" s="3" t="s">
        <v>8615</v>
      </c>
      <c r="J2948" s="9" t="s">
        <v>12118</v>
      </c>
      <c r="Q2948" s="10"/>
      <c r="T2948" s="9" t="s">
        <v>12131</v>
      </c>
      <c r="U2948" s="9" t="str">
        <f t="shared" ca="1" si="118"/>
        <v/>
      </c>
      <c r="V2948" s="9" t="str">
        <f t="shared" ca="1" si="119"/>
        <v/>
      </c>
      <c r="AE2948" s="9" t="s">
        <v>12086</v>
      </c>
    </row>
    <row r="2949" spans="1:33">
      <c r="A2949" s="3" t="s">
        <v>3161</v>
      </c>
      <c r="D2949" s="3" t="s">
        <v>3162</v>
      </c>
      <c r="E2949" s="3" t="s">
        <v>3163</v>
      </c>
      <c r="J2949" s="9" t="s">
        <v>12120</v>
      </c>
      <c r="Q2949" s="10"/>
      <c r="U2949" s="9" t="str">
        <f t="shared" ca="1" si="118"/>
        <v/>
      </c>
      <c r="V2949" s="9" t="str">
        <f t="shared" ca="1" si="119"/>
        <v/>
      </c>
      <c r="AC2949" s="9" t="s">
        <v>12134</v>
      </c>
      <c r="AD2949" s="9" t="s">
        <v>19</v>
      </c>
    </row>
    <row r="2950" spans="1:33">
      <c r="A2950" s="3" t="s">
        <v>3164</v>
      </c>
      <c r="D2950" s="3" t="s">
        <v>8617</v>
      </c>
      <c r="E2950" s="3" t="s">
        <v>8616</v>
      </c>
      <c r="G2950" t="s">
        <v>19</v>
      </c>
      <c r="J2950" s="9" t="s">
        <v>12120</v>
      </c>
      <c r="Q2950" s="10"/>
      <c r="U2950" s="9" t="str">
        <f t="shared" ca="1" si="118"/>
        <v/>
      </c>
      <c r="V2950" s="9" t="str">
        <f t="shared" ca="1" si="119"/>
        <v/>
      </c>
      <c r="AC2950" s="9" t="s">
        <v>12134</v>
      </c>
      <c r="AD2950" s="9" t="s">
        <v>19</v>
      </c>
    </row>
    <row r="2951" spans="1:33">
      <c r="A2951" s="3" t="s">
        <v>3165</v>
      </c>
      <c r="D2951" s="3" t="s">
        <v>3166</v>
      </c>
      <c r="E2951" s="3" t="s">
        <v>3167</v>
      </c>
      <c r="J2951" s="9" t="s">
        <v>12120</v>
      </c>
      <c r="Q2951" s="10"/>
      <c r="U2951" s="9" t="str">
        <f t="shared" ca="1" si="118"/>
        <v/>
      </c>
      <c r="V2951" s="9" t="str">
        <f t="shared" ca="1" si="119"/>
        <v/>
      </c>
      <c r="AC2951" s="9" t="s">
        <v>12740</v>
      </c>
      <c r="AD2951" s="9" t="s">
        <v>19</v>
      </c>
    </row>
    <row r="2952" spans="1:33">
      <c r="A2952" s="3" t="s">
        <v>3168</v>
      </c>
      <c r="D2952" s="3" t="s">
        <v>8618</v>
      </c>
      <c r="E2952" s="3" t="s">
        <v>8619</v>
      </c>
      <c r="J2952" s="9" t="s">
        <v>25</v>
      </c>
      <c r="L2952" s="9">
        <v>1</v>
      </c>
      <c r="M2952" s="9">
        <v>3</v>
      </c>
      <c r="N2952" s="9" t="s">
        <v>12087</v>
      </c>
      <c r="O2952" s="9" t="s">
        <v>12079</v>
      </c>
      <c r="Q2952" s="10"/>
      <c r="S2952" s="9">
        <v>5676</v>
      </c>
      <c r="U2952" s="9" t="str">
        <f t="shared" ca="1" si="118"/>
        <v/>
      </c>
      <c r="V2952" s="9" t="str">
        <f t="shared" ca="1" si="119"/>
        <v/>
      </c>
      <c r="AG2952" s="9" t="s">
        <v>19</v>
      </c>
    </row>
    <row r="2953" spans="1:33">
      <c r="A2953" s="3" t="s">
        <v>3169</v>
      </c>
      <c r="D2953" s="3" t="s">
        <v>3170</v>
      </c>
      <c r="E2953" s="3" t="s">
        <v>3171</v>
      </c>
      <c r="J2953" s="9" t="s">
        <v>12118</v>
      </c>
      <c r="Q2953" s="10"/>
      <c r="T2953" s="9" t="s">
        <v>12131</v>
      </c>
      <c r="U2953" s="9" t="str">
        <f t="shared" ca="1" si="118"/>
        <v/>
      </c>
      <c r="V2953" s="9" t="str">
        <f t="shared" ca="1" si="119"/>
        <v/>
      </c>
      <c r="AE2953" s="9" t="s">
        <v>12086</v>
      </c>
    </row>
    <row r="2954" spans="1:33" ht="130.5">
      <c r="A2954" s="3" t="s">
        <v>3172</v>
      </c>
      <c r="D2954" s="3" t="s">
        <v>12449</v>
      </c>
      <c r="E2954" s="3" t="s">
        <v>12448</v>
      </c>
      <c r="I2954" t="s">
        <v>12451</v>
      </c>
      <c r="J2954" s="9" t="s">
        <v>25</v>
      </c>
      <c r="L2954" s="9">
        <v>15</v>
      </c>
      <c r="M2954" s="9">
        <v>70</v>
      </c>
      <c r="O2954" s="9" t="s">
        <v>12073</v>
      </c>
      <c r="P2954" s="9" t="s">
        <v>12140</v>
      </c>
      <c r="Q2954" s="10" t="s">
        <v>12450</v>
      </c>
      <c r="S2954" s="9">
        <v>11</v>
      </c>
      <c r="U2954" s="9" t="str">
        <f t="shared" ca="1" si="118"/>
        <v/>
      </c>
      <c r="V2954" s="9" t="str">
        <f t="shared" ca="1" si="119"/>
        <v/>
      </c>
      <c r="AG2954" s="9" t="s">
        <v>20</v>
      </c>
    </row>
    <row r="2955" spans="1:33" ht="130.5">
      <c r="A2955" s="3" t="s">
        <v>3173</v>
      </c>
      <c r="D2955" s="3" t="s">
        <v>12446</v>
      </c>
      <c r="E2955" s="3" t="s">
        <v>12447</v>
      </c>
      <c r="G2955" t="s">
        <v>19</v>
      </c>
      <c r="J2955" s="9" t="s">
        <v>24</v>
      </c>
      <c r="L2955" s="9">
        <v>1</v>
      </c>
      <c r="M2955" s="9">
        <v>2</v>
      </c>
      <c r="N2955" s="9" t="s">
        <v>12087</v>
      </c>
      <c r="O2955" s="9" t="s">
        <v>12119</v>
      </c>
      <c r="Q2955" s="10"/>
      <c r="S2955" s="9">
        <v>1966</v>
      </c>
      <c r="U2955" s="9" t="str">
        <f t="shared" ca="1" si="118"/>
        <v/>
      </c>
      <c r="V2955" s="9" t="str">
        <f t="shared" ca="1" si="119"/>
        <v/>
      </c>
    </row>
    <row r="2956" spans="1:33">
      <c r="A2956" s="3" t="s">
        <v>3173</v>
      </c>
      <c r="D2956" s="3" t="s">
        <v>8620</v>
      </c>
      <c r="E2956" s="3" t="s">
        <v>8621</v>
      </c>
      <c r="G2956" t="s">
        <v>19</v>
      </c>
      <c r="J2956" s="9" t="s">
        <v>12118</v>
      </c>
      <c r="Q2956" s="10"/>
      <c r="T2956" s="9">
        <f>1-2</f>
        <v>-1</v>
      </c>
      <c r="U2956" s="9">
        <f t="shared" ca="1" si="118"/>
        <v>2</v>
      </c>
      <c r="V2956" s="9">
        <f t="shared" ca="1" si="119"/>
        <v>1</v>
      </c>
    </row>
    <row r="2957" spans="1:33">
      <c r="A2957" s="3" t="s">
        <v>3174</v>
      </c>
      <c r="D2957" s="3" t="s">
        <v>3175</v>
      </c>
      <c r="E2957" s="3" t="s">
        <v>3176</v>
      </c>
      <c r="J2957" s="9" t="s">
        <v>12118</v>
      </c>
      <c r="Q2957" s="10"/>
      <c r="T2957" s="9" t="s">
        <v>12131</v>
      </c>
      <c r="U2957" s="9" t="str">
        <f t="shared" ca="1" si="118"/>
        <v/>
      </c>
      <c r="V2957" s="9" t="str">
        <f t="shared" ca="1" si="119"/>
        <v/>
      </c>
      <c r="AC2957" s="9" t="s">
        <v>12134</v>
      </c>
      <c r="AD2957" s="9" t="s">
        <v>19</v>
      </c>
      <c r="AE2957" s="9" t="s">
        <v>12086</v>
      </c>
    </row>
    <row r="2958" spans="1:33">
      <c r="A2958" s="3" t="s">
        <v>3178</v>
      </c>
      <c r="D2958" s="3" t="s">
        <v>8622</v>
      </c>
      <c r="E2958" s="3" t="s">
        <v>8622</v>
      </c>
      <c r="G2958" t="s">
        <v>20</v>
      </c>
      <c r="I2958" t="s">
        <v>8625</v>
      </c>
      <c r="Q2958" s="10"/>
      <c r="U2958" s="9" t="str">
        <f t="shared" ca="1" si="118"/>
        <v/>
      </c>
      <c r="V2958" s="9" t="str">
        <f t="shared" ca="1" si="119"/>
        <v/>
      </c>
    </row>
    <row r="2959" spans="1:33">
      <c r="A2959" s="3" t="s">
        <v>3178</v>
      </c>
      <c r="D2959" s="3" t="s">
        <v>8623</v>
      </c>
      <c r="E2959" s="3" t="s">
        <v>8624</v>
      </c>
      <c r="G2959" t="s">
        <v>20</v>
      </c>
      <c r="I2959" t="s">
        <v>8626</v>
      </c>
      <c r="Q2959" s="10"/>
      <c r="U2959" s="9" t="str">
        <f t="shared" ca="1" si="118"/>
        <v/>
      </c>
      <c r="V2959" s="9" t="str">
        <f t="shared" ca="1" si="119"/>
        <v/>
      </c>
    </row>
    <row r="2960" spans="1:33">
      <c r="A2960" s="3" t="s">
        <v>3179</v>
      </c>
      <c r="D2960" s="3" t="s">
        <v>1714</v>
      </c>
      <c r="E2960" s="3" t="s">
        <v>3135</v>
      </c>
      <c r="J2960" s="9" t="s">
        <v>12118</v>
      </c>
      <c r="Q2960" s="10"/>
      <c r="T2960" s="9" t="s">
        <v>12131</v>
      </c>
      <c r="U2960" s="9" t="str">
        <f t="shared" ca="1" si="118"/>
        <v/>
      </c>
      <c r="V2960" s="9" t="str">
        <f t="shared" ca="1" si="119"/>
        <v/>
      </c>
      <c r="AC2960" s="9" t="s">
        <v>12134</v>
      </c>
      <c r="AD2960" s="9" t="s">
        <v>19</v>
      </c>
      <c r="AE2960" s="9" t="s">
        <v>12077</v>
      </c>
    </row>
    <row r="2961" spans="1:33" ht="29">
      <c r="A2961" s="3" t="s">
        <v>3179</v>
      </c>
      <c r="D2961" s="3" t="s">
        <v>8627</v>
      </c>
      <c r="E2961" s="3" t="s">
        <v>8628</v>
      </c>
      <c r="I2961" t="s">
        <v>5457</v>
      </c>
      <c r="J2961" s="9" t="s">
        <v>26</v>
      </c>
      <c r="Q2961" s="10"/>
      <c r="U2961" s="9" t="str">
        <f t="shared" ref="U2961:U3024" ca="1" si="120">IF(ISNUMBER(T2961),VALUE(MID(_xlfn.FORMULATEXT(T2961),SEARCH("-",_xlfn.FORMULATEXT(T2961))+1,LEN(_xlfn.FORMULATEXT(T2961))-SEARCH("-",_xlfn.FORMULATEXT(T2961)))), "")</f>
        <v/>
      </c>
      <c r="V2961" s="9" t="str">
        <f t="shared" ref="V2961:V3024" ca="1" si="121">IF(ISNUMBER(T2961), VALUE(MID(_xlfn.FORMULATEXT(T2961), 2, SEARCH("-", _xlfn.FORMULATEXT(T2961)) - 2)), "")</f>
        <v/>
      </c>
      <c r="AG2961" s="9" t="s">
        <v>19</v>
      </c>
    </row>
    <row r="2962" spans="1:33">
      <c r="A2962" s="3" t="s">
        <v>3179</v>
      </c>
      <c r="D2962" s="6" t="s">
        <v>8630</v>
      </c>
      <c r="E2962" s="3" t="s">
        <v>8629</v>
      </c>
      <c r="G2962" t="s">
        <v>19</v>
      </c>
      <c r="J2962" s="9" t="s">
        <v>12120</v>
      </c>
      <c r="Q2962" s="10"/>
      <c r="U2962" s="9" t="str">
        <f t="shared" ca="1" si="120"/>
        <v/>
      </c>
      <c r="V2962" s="9" t="str">
        <f t="shared" ca="1" si="121"/>
        <v/>
      </c>
      <c r="AF2962" s="9" t="s">
        <v>19</v>
      </c>
    </row>
    <row r="2963" spans="1:33">
      <c r="A2963" s="3" t="s">
        <v>3180</v>
      </c>
      <c r="D2963" s="3" t="s">
        <v>8631</v>
      </c>
      <c r="E2963" s="3" t="s">
        <v>8632</v>
      </c>
      <c r="J2963" s="9" t="s">
        <v>12120</v>
      </c>
      <c r="Q2963" s="10"/>
      <c r="U2963" s="9" t="str">
        <f t="shared" ca="1" si="120"/>
        <v/>
      </c>
      <c r="V2963" s="9" t="str">
        <f t="shared" ca="1" si="121"/>
        <v/>
      </c>
      <c r="AB2963" s="9" t="s">
        <v>12738</v>
      </c>
      <c r="AD2963" s="9" t="s">
        <v>19</v>
      </c>
    </row>
    <row r="2964" spans="1:33">
      <c r="A2964" s="3" t="s">
        <v>3181</v>
      </c>
      <c r="D2964" s="3" t="s">
        <v>8633</v>
      </c>
      <c r="E2964" s="3" t="s">
        <v>8633</v>
      </c>
      <c r="J2964" s="9" t="s">
        <v>12120</v>
      </c>
      <c r="Q2964" s="10"/>
      <c r="U2964" s="9" t="str">
        <f t="shared" ca="1" si="120"/>
        <v/>
      </c>
      <c r="V2964" s="9" t="str">
        <f t="shared" ca="1" si="121"/>
        <v/>
      </c>
      <c r="AB2964" s="9" t="s">
        <v>12082</v>
      </c>
      <c r="AD2964" s="9" t="s">
        <v>19</v>
      </c>
    </row>
    <row r="2965" spans="1:33">
      <c r="A2965" s="3" t="s">
        <v>3182</v>
      </c>
      <c r="D2965" s="3" t="s">
        <v>8635</v>
      </c>
      <c r="E2965" s="3" t="s">
        <v>8634</v>
      </c>
      <c r="G2965" t="s">
        <v>19</v>
      </c>
      <c r="J2965" s="9" t="s">
        <v>24</v>
      </c>
      <c r="L2965" s="9">
        <v>1</v>
      </c>
      <c r="M2965" s="9">
        <v>3</v>
      </c>
      <c r="N2965" s="9" t="s">
        <v>12078</v>
      </c>
      <c r="O2965" s="9" t="s">
        <v>12079</v>
      </c>
      <c r="Q2965" s="10"/>
      <c r="S2965" s="9">
        <v>11843</v>
      </c>
      <c r="U2965" s="9" t="str">
        <f t="shared" ca="1" si="120"/>
        <v/>
      </c>
      <c r="V2965" s="9" t="str">
        <f t="shared" ca="1" si="121"/>
        <v/>
      </c>
    </row>
    <row r="2966" spans="1:33">
      <c r="A2966" s="3" t="s">
        <v>3183</v>
      </c>
      <c r="D2966" s="3" t="s">
        <v>8637</v>
      </c>
      <c r="E2966" s="3" t="s">
        <v>8638</v>
      </c>
      <c r="J2966" s="9" t="s">
        <v>12118</v>
      </c>
      <c r="Q2966" s="10"/>
      <c r="T2966" s="9">
        <f>17-207</f>
        <v>-190</v>
      </c>
      <c r="U2966" s="9">
        <f t="shared" ca="1" si="120"/>
        <v>207</v>
      </c>
      <c r="V2966" s="9">
        <f t="shared" ca="1" si="121"/>
        <v>17</v>
      </c>
      <c r="AG2966" s="9" t="s">
        <v>19</v>
      </c>
    </row>
    <row r="2967" spans="1:33">
      <c r="A2967" s="3" t="s">
        <v>3183</v>
      </c>
      <c r="D2967" s="3" t="s">
        <v>8639</v>
      </c>
      <c r="E2967" s="3" t="s">
        <v>8636</v>
      </c>
      <c r="J2967" s="9" t="s">
        <v>25</v>
      </c>
      <c r="L2967" s="9">
        <v>1</v>
      </c>
      <c r="M2967" s="9">
        <v>1</v>
      </c>
      <c r="N2967" s="9" t="s">
        <v>12078</v>
      </c>
      <c r="O2967" s="9" t="s">
        <v>12119</v>
      </c>
      <c r="Q2967" s="10"/>
      <c r="S2967" s="9">
        <v>11843</v>
      </c>
      <c r="U2967" s="9" t="str">
        <f t="shared" ca="1" si="120"/>
        <v/>
      </c>
      <c r="V2967" s="9" t="str">
        <f t="shared" ca="1" si="121"/>
        <v/>
      </c>
      <c r="AG2967" s="9" t="s">
        <v>13141</v>
      </c>
    </row>
    <row r="2968" spans="1:33">
      <c r="A2968" s="3" t="s">
        <v>3184</v>
      </c>
      <c r="D2968" s="3" t="s">
        <v>3185</v>
      </c>
      <c r="E2968" s="3" t="s">
        <v>3186</v>
      </c>
      <c r="J2968" s="9" t="s">
        <v>12118</v>
      </c>
      <c r="Q2968" s="10"/>
      <c r="T2968" s="9">
        <f>25-186</f>
        <v>-161</v>
      </c>
      <c r="U2968" s="9">
        <f t="shared" ca="1" si="120"/>
        <v>186</v>
      </c>
      <c r="V2968" s="9">
        <f t="shared" ca="1" si="121"/>
        <v>25</v>
      </c>
      <c r="AE2968" s="9" t="s">
        <v>12083</v>
      </c>
    </row>
    <row r="2969" spans="1:33">
      <c r="A2969" s="3" t="s">
        <v>3184</v>
      </c>
      <c r="D2969" s="3" t="s">
        <v>8641</v>
      </c>
      <c r="E2969" s="3" t="s">
        <v>8640</v>
      </c>
      <c r="J2969" s="9" t="s">
        <v>24</v>
      </c>
      <c r="L2969" s="9">
        <v>1</v>
      </c>
      <c r="M2969" s="9">
        <v>2</v>
      </c>
      <c r="N2969" s="9" t="s">
        <v>12078</v>
      </c>
      <c r="O2969" s="9" t="s">
        <v>12119</v>
      </c>
      <c r="Q2969" s="10"/>
      <c r="S2969" s="9">
        <v>11843</v>
      </c>
      <c r="U2969" s="9" t="str">
        <f t="shared" ca="1" si="120"/>
        <v/>
      </c>
      <c r="V2969" s="9" t="str">
        <f t="shared" ca="1" si="121"/>
        <v/>
      </c>
      <c r="AG2969" s="9" t="s">
        <v>19</v>
      </c>
    </row>
    <row r="2970" spans="1:33" ht="29">
      <c r="A2970" s="3" t="s">
        <v>3187</v>
      </c>
      <c r="D2970" s="3" t="s">
        <v>8643</v>
      </c>
      <c r="E2970" s="3" t="s">
        <v>8642</v>
      </c>
      <c r="I2970" t="s">
        <v>12192</v>
      </c>
      <c r="J2970" s="9" t="s">
        <v>26</v>
      </c>
      <c r="Q2970" s="10"/>
      <c r="U2970" s="9" t="str">
        <f t="shared" ca="1" si="120"/>
        <v/>
      </c>
      <c r="V2970" s="9" t="str">
        <f t="shared" ca="1" si="121"/>
        <v/>
      </c>
      <c r="AG2970" s="9" t="s">
        <v>19</v>
      </c>
    </row>
    <row r="2971" spans="1:33">
      <c r="A2971" s="3" t="s">
        <v>3188</v>
      </c>
      <c r="D2971" s="3" t="s">
        <v>8645</v>
      </c>
      <c r="E2971" s="3" t="s">
        <v>8644</v>
      </c>
      <c r="G2971" t="s">
        <v>19</v>
      </c>
      <c r="J2971" s="9" t="s">
        <v>12118</v>
      </c>
      <c r="Q2971" s="10"/>
      <c r="T2971" s="9">
        <f>4240-1496</f>
        <v>2744</v>
      </c>
      <c r="U2971" s="9">
        <f t="shared" ca="1" si="120"/>
        <v>1496</v>
      </c>
      <c r="V2971" s="9">
        <f t="shared" ca="1" si="121"/>
        <v>4240</v>
      </c>
    </row>
    <row r="2972" spans="1:33" ht="29">
      <c r="A2972" s="3" t="s">
        <v>3189</v>
      </c>
      <c r="D2972" s="3" t="s">
        <v>8646</v>
      </c>
      <c r="E2972" s="3" t="s">
        <v>8648</v>
      </c>
      <c r="I2972" t="s">
        <v>12689</v>
      </c>
      <c r="J2972" s="9" t="s">
        <v>12120</v>
      </c>
      <c r="Q2972" s="10"/>
      <c r="U2972" s="9" t="str">
        <f t="shared" ca="1" si="120"/>
        <v/>
      </c>
      <c r="V2972" s="9" t="str">
        <f t="shared" ca="1" si="121"/>
        <v/>
      </c>
      <c r="W2972" s="9" t="s">
        <v>12117</v>
      </c>
      <c r="AG2972" s="9" t="s">
        <v>19</v>
      </c>
    </row>
    <row r="2973" spans="1:33" ht="29">
      <c r="A2973" s="3" t="s">
        <v>3189</v>
      </c>
      <c r="D2973" s="3" t="s">
        <v>8647</v>
      </c>
      <c r="E2973" s="3" t="s">
        <v>8649</v>
      </c>
      <c r="J2973" s="9" t="s">
        <v>12118</v>
      </c>
      <c r="Q2973" s="10"/>
      <c r="T2973" s="9" t="s">
        <v>12131</v>
      </c>
      <c r="U2973" s="9" t="str">
        <f t="shared" ca="1" si="120"/>
        <v/>
      </c>
      <c r="V2973" s="9" t="str">
        <f t="shared" ca="1" si="121"/>
        <v/>
      </c>
      <c r="AC2973" s="9" t="s">
        <v>12130</v>
      </c>
      <c r="AD2973" s="9" t="s">
        <v>19</v>
      </c>
      <c r="AE2973" s="9" t="s">
        <v>12086</v>
      </c>
    </row>
    <row r="2974" spans="1:33">
      <c r="A2974" s="3" t="s">
        <v>3190</v>
      </c>
      <c r="D2974" s="3" t="s">
        <v>8651</v>
      </c>
      <c r="E2974" s="3" t="s">
        <v>8650</v>
      </c>
      <c r="G2974" t="s">
        <v>19</v>
      </c>
      <c r="J2974" s="9" t="s">
        <v>12120</v>
      </c>
      <c r="Q2974" s="10"/>
      <c r="U2974" s="9" t="str">
        <f t="shared" ca="1" si="120"/>
        <v/>
      </c>
      <c r="V2974" s="9" t="str">
        <f t="shared" ca="1" si="121"/>
        <v/>
      </c>
      <c r="AE2974" s="9" t="s">
        <v>12089</v>
      </c>
    </row>
    <row r="2975" spans="1:33" ht="29">
      <c r="A2975" s="3" t="s">
        <v>3191</v>
      </c>
      <c r="D2975" s="3" t="s">
        <v>8652</v>
      </c>
      <c r="E2975" s="3" t="s">
        <v>8653</v>
      </c>
      <c r="I2975" t="s">
        <v>12141</v>
      </c>
      <c r="J2975" s="9" t="s">
        <v>26</v>
      </c>
      <c r="Q2975" s="10"/>
      <c r="U2975" s="9" t="str">
        <f t="shared" ca="1" si="120"/>
        <v/>
      </c>
      <c r="V2975" s="9" t="str">
        <f t="shared" ca="1" si="121"/>
        <v/>
      </c>
      <c r="AG2975" s="9" t="s">
        <v>20</v>
      </c>
    </row>
    <row r="2976" spans="1:33">
      <c r="A2976" s="3" t="s">
        <v>3191</v>
      </c>
      <c r="D2976" s="3" t="s">
        <v>3192</v>
      </c>
      <c r="E2976" s="3" t="s">
        <v>634</v>
      </c>
      <c r="J2976" s="9" t="s">
        <v>12118</v>
      </c>
      <c r="Q2976" s="10"/>
      <c r="T2976" s="9" t="s">
        <v>12119</v>
      </c>
      <c r="U2976" s="9" t="str">
        <f t="shared" ca="1" si="120"/>
        <v/>
      </c>
      <c r="V2976" s="9" t="str">
        <f t="shared" ca="1" si="121"/>
        <v/>
      </c>
      <c r="AB2976" s="9" t="s">
        <v>12124</v>
      </c>
      <c r="AC2976" s="9" t="s">
        <v>12740</v>
      </c>
      <c r="AD2976" s="9" t="s">
        <v>19</v>
      </c>
    </row>
    <row r="2977" spans="1:33">
      <c r="A2977" s="3" t="s">
        <v>3191</v>
      </c>
      <c r="D2977" s="3" t="s">
        <v>3193</v>
      </c>
      <c r="E2977" s="3" t="s">
        <v>3194</v>
      </c>
      <c r="J2977" s="9" t="s">
        <v>12121</v>
      </c>
      <c r="Q2977" s="10"/>
      <c r="T2977" s="9">
        <f>46-18</f>
        <v>28</v>
      </c>
      <c r="U2977" s="9">
        <f t="shared" ca="1" si="120"/>
        <v>18</v>
      </c>
      <c r="V2977" s="9">
        <f t="shared" ca="1" si="121"/>
        <v>46</v>
      </c>
      <c r="AC2977" s="9" t="s">
        <v>12134</v>
      </c>
      <c r="AD2977" s="9" t="s">
        <v>19</v>
      </c>
    </row>
    <row r="2978" spans="1:33" ht="29">
      <c r="A2978" s="3" t="s">
        <v>3191</v>
      </c>
      <c r="D2978" s="3" t="s">
        <v>8654</v>
      </c>
      <c r="E2978" s="3" t="s">
        <v>8655</v>
      </c>
      <c r="J2978" s="9" t="s">
        <v>12120</v>
      </c>
      <c r="Q2978" s="10"/>
      <c r="U2978" s="9" t="str">
        <f t="shared" ca="1" si="120"/>
        <v/>
      </c>
      <c r="V2978" s="9" t="str">
        <f t="shared" ca="1" si="121"/>
        <v/>
      </c>
      <c r="AG2978" s="9" t="s">
        <v>19</v>
      </c>
    </row>
    <row r="2979" spans="1:33">
      <c r="A2979" s="3" t="s">
        <v>3195</v>
      </c>
      <c r="D2979" s="3" t="s">
        <v>8657</v>
      </c>
      <c r="E2979" s="3" t="s">
        <v>8656</v>
      </c>
      <c r="J2979" s="9" t="s">
        <v>25</v>
      </c>
      <c r="L2979" s="9">
        <v>1</v>
      </c>
      <c r="M2979" s="9">
        <v>5</v>
      </c>
      <c r="N2979" s="9" t="s">
        <v>12094</v>
      </c>
      <c r="O2979" s="9" t="s">
        <v>12079</v>
      </c>
      <c r="Q2979" s="10"/>
      <c r="S2979" s="9">
        <v>4240</v>
      </c>
      <c r="U2979" s="9" t="str">
        <f t="shared" ca="1" si="120"/>
        <v/>
      </c>
      <c r="V2979" s="9" t="str">
        <f t="shared" ca="1" si="121"/>
        <v/>
      </c>
      <c r="AG2979" s="9" t="s">
        <v>20</v>
      </c>
    </row>
    <row r="2980" spans="1:33">
      <c r="A2980" s="3" t="s">
        <v>3195</v>
      </c>
      <c r="D2980" s="3" t="s">
        <v>8658</v>
      </c>
      <c r="E2980" s="3" t="s">
        <v>8659</v>
      </c>
      <c r="J2980" s="9" t="s">
        <v>12121</v>
      </c>
      <c r="Q2980" s="10"/>
      <c r="T2980" s="9">
        <f>46-18</f>
        <v>28</v>
      </c>
      <c r="U2980" s="9">
        <f t="shared" ca="1" si="120"/>
        <v>18</v>
      </c>
      <c r="V2980" s="9">
        <f t="shared" ca="1" si="121"/>
        <v>46</v>
      </c>
      <c r="AC2980" s="9" t="s">
        <v>12134</v>
      </c>
      <c r="AD2980" s="9" t="s">
        <v>19</v>
      </c>
      <c r="AE2980" s="9" t="s">
        <v>12089</v>
      </c>
    </row>
    <row r="2981" spans="1:33" ht="29">
      <c r="A2981" s="3" t="s">
        <v>3195</v>
      </c>
      <c r="D2981" s="3" t="s">
        <v>8660</v>
      </c>
      <c r="E2981" s="3" t="s">
        <v>8661</v>
      </c>
      <c r="I2981" t="s">
        <v>5457</v>
      </c>
      <c r="J2981" s="9" t="s">
        <v>26</v>
      </c>
      <c r="Q2981" s="10"/>
      <c r="U2981" s="9" t="str">
        <f t="shared" ca="1" si="120"/>
        <v/>
      </c>
      <c r="V2981" s="9" t="str">
        <f t="shared" ca="1" si="121"/>
        <v/>
      </c>
      <c r="AG2981" s="9" t="s">
        <v>19</v>
      </c>
    </row>
    <row r="2982" spans="1:33" ht="29">
      <c r="A2982" s="3" t="s">
        <v>3195</v>
      </c>
      <c r="D2982" s="3" t="s">
        <v>8662</v>
      </c>
      <c r="E2982" s="3" t="s">
        <v>8663</v>
      </c>
      <c r="J2982" s="9" t="s">
        <v>12118</v>
      </c>
      <c r="Q2982" s="10"/>
      <c r="T2982" s="9">
        <f>87-37</f>
        <v>50</v>
      </c>
      <c r="U2982" s="9">
        <f t="shared" ca="1" si="120"/>
        <v>37</v>
      </c>
      <c r="V2982" s="9">
        <f t="shared" ca="1" si="121"/>
        <v>87</v>
      </c>
      <c r="AG2982" s="9" t="s">
        <v>20</v>
      </c>
    </row>
    <row r="2983" spans="1:33">
      <c r="A2983" s="3" t="s">
        <v>3196</v>
      </c>
      <c r="D2983" s="5" t="s">
        <v>8664</v>
      </c>
      <c r="E2983" s="3" t="s">
        <v>8665</v>
      </c>
      <c r="F2983" t="s">
        <v>31</v>
      </c>
      <c r="G2983" t="s">
        <v>20</v>
      </c>
      <c r="I2983" t="s">
        <v>8666</v>
      </c>
      <c r="J2983" s="9" t="s">
        <v>12118</v>
      </c>
      <c r="Q2983" s="10"/>
      <c r="T2983" s="9" t="s">
        <v>12131</v>
      </c>
      <c r="U2983" s="9" t="str">
        <f t="shared" ca="1" si="120"/>
        <v/>
      </c>
      <c r="V2983" s="9" t="str">
        <f t="shared" ca="1" si="121"/>
        <v/>
      </c>
      <c r="AE2983" s="9" t="s">
        <v>12086</v>
      </c>
    </row>
    <row r="2984" spans="1:33">
      <c r="A2984" s="3" t="s">
        <v>3197</v>
      </c>
      <c r="D2984" s="3" t="s">
        <v>8667</v>
      </c>
      <c r="E2984" s="3" t="s">
        <v>8668</v>
      </c>
      <c r="G2984" t="s">
        <v>19</v>
      </c>
      <c r="J2984" s="9" t="s">
        <v>12118</v>
      </c>
      <c r="Q2984" s="10"/>
      <c r="T2984" s="9">
        <f>46-12</f>
        <v>34</v>
      </c>
      <c r="U2984" s="9">
        <f t="shared" ca="1" si="120"/>
        <v>12</v>
      </c>
      <c r="V2984" s="9">
        <f t="shared" ca="1" si="121"/>
        <v>46</v>
      </c>
      <c r="AE2984" s="9" t="s">
        <v>12086</v>
      </c>
    </row>
    <row r="2985" spans="1:33">
      <c r="A2985" s="3" t="s">
        <v>3198</v>
      </c>
      <c r="D2985" s="3" t="s">
        <v>8669</v>
      </c>
      <c r="E2985" s="3" t="s">
        <v>8670</v>
      </c>
      <c r="J2985" s="9" t="s">
        <v>12120</v>
      </c>
      <c r="Q2985" s="10"/>
      <c r="U2985" s="9" t="str">
        <f t="shared" ca="1" si="120"/>
        <v/>
      </c>
      <c r="V2985" s="9" t="str">
        <f t="shared" ca="1" si="121"/>
        <v/>
      </c>
      <c r="AB2985" s="9" t="s">
        <v>12738</v>
      </c>
      <c r="AD2985" s="9" t="s">
        <v>19</v>
      </c>
    </row>
    <row r="2986" spans="1:33">
      <c r="A2986" s="3" t="s">
        <v>3198</v>
      </c>
      <c r="D2986" s="3" t="s">
        <v>3199</v>
      </c>
      <c r="E2986" s="3" t="s">
        <v>924</v>
      </c>
      <c r="J2986" s="9" t="s">
        <v>12120</v>
      </c>
      <c r="Q2986" s="10"/>
      <c r="U2986" s="9" t="str">
        <f t="shared" ca="1" si="120"/>
        <v/>
      </c>
      <c r="V2986" s="9" t="str">
        <f t="shared" ca="1" si="121"/>
        <v/>
      </c>
      <c r="AC2986" s="9" t="s">
        <v>12134</v>
      </c>
      <c r="AD2986" s="9" t="s">
        <v>19</v>
      </c>
      <c r="AE2986" s="9" t="s">
        <v>12086</v>
      </c>
    </row>
    <row r="2987" spans="1:33">
      <c r="A2987" s="3" t="s">
        <v>3200</v>
      </c>
      <c r="D2987" s="3" t="s">
        <v>8672</v>
      </c>
      <c r="E2987" s="3" t="s">
        <v>8671</v>
      </c>
      <c r="G2987" t="s">
        <v>19</v>
      </c>
      <c r="J2987" s="9" t="s">
        <v>12120</v>
      </c>
      <c r="Q2987" s="10"/>
      <c r="U2987" s="9" t="str">
        <f t="shared" ca="1" si="120"/>
        <v/>
      </c>
      <c r="V2987" s="9" t="str">
        <f t="shared" ca="1" si="121"/>
        <v/>
      </c>
    </row>
    <row r="2988" spans="1:33">
      <c r="A2988" s="3" t="s">
        <v>3201</v>
      </c>
      <c r="D2988" s="3" t="s">
        <v>8674</v>
      </c>
      <c r="E2988" s="3" t="s">
        <v>8673</v>
      </c>
      <c r="J2988" s="9" t="s">
        <v>12118</v>
      </c>
      <c r="Q2988" s="10"/>
      <c r="T2988" s="9">
        <v>21</v>
      </c>
      <c r="U2988" s="9" t="e">
        <f t="shared" ca="1" si="120"/>
        <v>#N/A</v>
      </c>
      <c r="V2988" s="9" t="e">
        <f t="shared" ca="1" si="121"/>
        <v>#N/A</v>
      </c>
      <c r="AC2988" s="9" t="s">
        <v>12173</v>
      </c>
      <c r="AD2988" s="9" t="s">
        <v>19</v>
      </c>
    </row>
    <row r="2989" spans="1:33">
      <c r="A2989" s="3" t="s">
        <v>3201</v>
      </c>
      <c r="D2989" s="3" t="s">
        <v>8675</v>
      </c>
      <c r="E2989" s="3" t="s">
        <v>8676</v>
      </c>
      <c r="J2989" s="9" t="s">
        <v>12120</v>
      </c>
      <c r="Q2989" s="10"/>
      <c r="U2989" s="9" t="str">
        <f t="shared" ca="1" si="120"/>
        <v/>
      </c>
      <c r="V2989" s="9" t="str">
        <f t="shared" ca="1" si="121"/>
        <v/>
      </c>
      <c r="AC2989" s="9" t="s">
        <v>12144</v>
      </c>
      <c r="AD2989" s="9" t="s">
        <v>19</v>
      </c>
    </row>
    <row r="2990" spans="1:33">
      <c r="A2990" s="3" t="s">
        <v>3202</v>
      </c>
      <c r="D2990" s="3" t="s">
        <v>313</v>
      </c>
      <c r="E2990" s="3" t="s">
        <v>3203</v>
      </c>
      <c r="J2990" s="9" t="s">
        <v>12120</v>
      </c>
      <c r="Q2990" s="10"/>
      <c r="U2990" s="9" t="str">
        <f t="shared" ca="1" si="120"/>
        <v/>
      </c>
      <c r="V2990" s="9" t="str">
        <f t="shared" ca="1" si="121"/>
        <v/>
      </c>
      <c r="AC2990" s="9" t="s">
        <v>12134</v>
      </c>
      <c r="AD2990" s="9" t="s">
        <v>19</v>
      </c>
      <c r="AE2990" s="9" t="s">
        <v>12086</v>
      </c>
    </row>
    <row r="2991" spans="1:33" ht="29">
      <c r="A2991" s="3" t="s">
        <v>3202</v>
      </c>
      <c r="D2991" s="3" t="s">
        <v>8678</v>
      </c>
      <c r="E2991" s="3" t="s">
        <v>8679</v>
      </c>
      <c r="J2991" s="9" t="s">
        <v>12120</v>
      </c>
      <c r="Q2991" s="10"/>
      <c r="U2991" s="9" t="str">
        <f t="shared" ca="1" si="120"/>
        <v/>
      </c>
      <c r="V2991" s="9" t="str">
        <f t="shared" ca="1" si="121"/>
        <v/>
      </c>
      <c r="AG2991" s="9" t="s">
        <v>20</v>
      </c>
    </row>
    <row r="2992" spans="1:33" ht="29">
      <c r="A2992" s="3" t="s">
        <v>3202</v>
      </c>
      <c r="D2992" s="3" t="s">
        <v>8677</v>
      </c>
      <c r="E2992" s="3" t="s">
        <v>8680</v>
      </c>
      <c r="J2992" s="9" t="s">
        <v>24</v>
      </c>
      <c r="L2992" s="9">
        <v>1</v>
      </c>
      <c r="M2992" s="9">
        <v>5</v>
      </c>
      <c r="N2992" s="9" t="s">
        <v>12094</v>
      </c>
      <c r="O2992" s="9" t="s">
        <v>12079</v>
      </c>
      <c r="Q2992" s="10"/>
      <c r="S2992" s="9">
        <v>4240</v>
      </c>
      <c r="U2992" s="9" t="str">
        <f t="shared" ca="1" si="120"/>
        <v/>
      </c>
      <c r="V2992" s="9" t="str">
        <f t="shared" ca="1" si="121"/>
        <v/>
      </c>
      <c r="AG2992" s="9" t="s">
        <v>19</v>
      </c>
    </row>
    <row r="2993" spans="1:33">
      <c r="A2993" s="3" t="s">
        <v>3204</v>
      </c>
      <c r="D2993" s="3" t="s">
        <v>3205</v>
      </c>
      <c r="E2993" s="3" t="s">
        <v>3206</v>
      </c>
      <c r="J2993" s="9" t="s">
        <v>12118</v>
      </c>
      <c r="Q2993" s="10"/>
      <c r="T2993" s="9" t="s">
        <v>12131</v>
      </c>
      <c r="U2993" s="9" t="str">
        <f t="shared" ca="1" si="120"/>
        <v/>
      </c>
      <c r="V2993" s="9" t="str">
        <f t="shared" ca="1" si="121"/>
        <v/>
      </c>
      <c r="AC2993" s="9" t="s">
        <v>12432</v>
      </c>
      <c r="AD2993" s="9" t="s">
        <v>19</v>
      </c>
    </row>
    <row r="2994" spans="1:33">
      <c r="A2994" s="3" t="s">
        <v>3207</v>
      </c>
      <c r="D2994" s="3" t="s">
        <v>8681</v>
      </c>
      <c r="E2994" s="3" t="s">
        <v>8682</v>
      </c>
      <c r="J2994" s="9" t="s">
        <v>12120</v>
      </c>
      <c r="Q2994" s="10"/>
      <c r="U2994" s="9" t="str">
        <f t="shared" ca="1" si="120"/>
        <v/>
      </c>
      <c r="V2994" s="9" t="str">
        <f t="shared" ca="1" si="121"/>
        <v/>
      </c>
      <c r="AC2994" s="9" t="s">
        <v>12144</v>
      </c>
      <c r="AD2994" s="9" t="s">
        <v>19</v>
      </c>
    </row>
    <row r="2995" spans="1:33">
      <c r="A2995" s="3" t="s">
        <v>3209</v>
      </c>
      <c r="D2995" s="3" t="s">
        <v>3210</v>
      </c>
      <c r="E2995" s="3" t="s">
        <v>3211</v>
      </c>
      <c r="J2995" s="9" t="s">
        <v>12118</v>
      </c>
      <c r="Q2995" s="10"/>
      <c r="T2995" s="9" t="s">
        <v>12131</v>
      </c>
      <c r="U2995" s="9" t="str">
        <f t="shared" ca="1" si="120"/>
        <v/>
      </c>
      <c r="V2995" s="9" t="str">
        <f t="shared" ca="1" si="121"/>
        <v/>
      </c>
      <c r="AC2995" s="9" t="s">
        <v>12130</v>
      </c>
      <c r="AD2995" s="9" t="s">
        <v>19</v>
      </c>
    </row>
    <row r="2996" spans="1:33">
      <c r="A2996" s="3" t="s">
        <v>3209</v>
      </c>
      <c r="D2996" s="3" t="s">
        <v>8684</v>
      </c>
      <c r="E2996" s="3" t="s">
        <v>8683</v>
      </c>
      <c r="J2996" s="9" t="s">
        <v>24</v>
      </c>
      <c r="L2996" s="9">
        <v>1</v>
      </c>
      <c r="M2996" s="9">
        <v>2</v>
      </c>
      <c r="N2996" s="9" t="s">
        <v>12094</v>
      </c>
      <c r="O2996" s="9" t="s">
        <v>12119</v>
      </c>
      <c r="Q2996" s="10"/>
      <c r="S2996" s="9">
        <v>301</v>
      </c>
      <c r="U2996" s="9" t="str">
        <f t="shared" ca="1" si="120"/>
        <v/>
      </c>
      <c r="V2996" s="9" t="str">
        <f t="shared" ca="1" si="121"/>
        <v/>
      </c>
      <c r="AG2996" s="9" t="s">
        <v>19</v>
      </c>
    </row>
    <row r="2997" spans="1:33">
      <c r="A2997" s="3" t="s">
        <v>3212</v>
      </c>
      <c r="D2997" s="3" t="s">
        <v>8686</v>
      </c>
      <c r="E2997" s="3" t="s">
        <v>8685</v>
      </c>
      <c r="G2997" t="s">
        <v>19</v>
      </c>
      <c r="J2997" s="9" t="s">
        <v>12120</v>
      </c>
      <c r="Q2997" s="10"/>
      <c r="U2997" s="9" t="str">
        <f t="shared" ca="1" si="120"/>
        <v/>
      </c>
      <c r="V2997" s="9" t="str">
        <f t="shared" ca="1" si="121"/>
        <v/>
      </c>
    </row>
    <row r="2998" spans="1:33">
      <c r="A2998" s="3" t="s">
        <v>3212</v>
      </c>
      <c r="D2998" s="3" t="s">
        <v>8688</v>
      </c>
      <c r="E2998" s="3" t="s">
        <v>8687</v>
      </c>
      <c r="G2998" t="s">
        <v>19</v>
      </c>
      <c r="J2998" s="9" t="s">
        <v>24</v>
      </c>
      <c r="L2998" s="9">
        <v>1</v>
      </c>
      <c r="M2998" s="9">
        <v>2</v>
      </c>
      <c r="N2998" s="9" t="s">
        <v>12094</v>
      </c>
      <c r="O2998" s="9" t="s">
        <v>12119</v>
      </c>
      <c r="Q2998" s="10"/>
      <c r="S2998" s="9">
        <v>301</v>
      </c>
      <c r="U2998" s="9" t="str">
        <f t="shared" ca="1" si="120"/>
        <v/>
      </c>
      <c r="V2998" s="9" t="str">
        <f t="shared" ca="1" si="121"/>
        <v/>
      </c>
    </row>
    <row r="2999" spans="1:33">
      <c r="A2999" s="3" t="s">
        <v>3213</v>
      </c>
      <c r="D2999" s="3" t="s">
        <v>8690</v>
      </c>
      <c r="E2999" s="3" t="s">
        <v>8689</v>
      </c>
      <c r="J2999" s="9" t="s">
        <v>12118</v>
      </c>
      <c r="Q2999" s="10"/>
      <c r="T2999" s="9">
        <f>19-207</f>
        <v>-188</v>
      </c>
      <c r="U2999" s="9">
        <f t="shared" ca="1" si="120"/>
        <v>207</v>
      </c>
      <c r="V2999" s="9">
        <f t="shared" ca="1" si="121"/>
        <v>19</v>
      </c>
      <c r="AG2999" s="9" t="s">
        <v>19</v>
      </c>
    </row>
    <row r="3000" spans="1:33">
      <c r="A3000" s="3" t="s">
        <v>3214</v>
      </c>
      <c r="D3000" s="3" t="s">
        <v>8691</v>
      </c>
      <c r="E3000" s="3" t="s">
        <v>8692</v>
      </c>
      <c r="J3000" s="9" t="s">
        <v>25</v>
      </c>
      <c r="L3000" s="9">
        <v>1</v>
      </c>
      <c r="M3000" s="9">
        <v>2</v>
      </c>
      <c r="N3000" s="9" t="s">
        <v>12087</v>
      </c>
      <c r="O3000" s="9" t="s">
        <v>12119</v>
      </c>
      <c r="Q3000" s="10"/>
      <c r="S3000" s="9">
        <v>1966</v>
      </c>
      <c r="U3000" s="9" t="str">
        <f t="shared" ca="1" si="120"/>
        <v/>
      </c>
      <c r="V3000" s="9" t="str">
        <f t="shared" ca="1" si="121"/>
        <v/>
      </c>
      <c r="AG3000" s="9" t="s">
        <v>19</v>
      </c>
    </row>
    <row r="3001" spans="1:33">
      <c r="A3001" s="3" t="s">
        <v>3215</v>
      </c>
      <c r="D3001" s="3" t="s">
        <v>8693</v>
      </c>
      <c r="E3001" s="3" t="s">
        <v>8694</v>
      </c>
      <c r="J3001" s="9" t="s">
        <v>25</v>
      </c>
      <c r="L3001" s="9">
        <v>1</v>
      </c>
      <c r="M3001" s="9">
        <v>3</v>
      </c>
      <c r="N3001" s="9" t="s">
        <v>12087</v>
      </c>
      <c r="O3001" s="9" t="s">
        <v>12079</v>
      </c>
      <c r="Q3001" s="10"/>
      <c r="S3001" s="9">
        <v>810</v>
      </c>
      <c r="U3001" s="9" t="str">
        <f t="shared" ca="1" si="120"/>
        <v/>
      </c>
      <c r="V3001" s="9" t="str">
        <f t="shared" ca="1" si="121"/>
        <v/>
      </c>
      <c r="AG3001" s="9" t="s">
        <v>20</v>
      </c>
    </row>
    <row r="3002" spans="1:33" ht="29">
      <c r="A3002" s="3" t="s">
        <v>3216</v>
      </c>
      <c r="D3002" s="3" t="s">
        <v>8695</v>
      </c>
      <c r="E3002" s="3" t="s">
        <v>8696</v>
      </c>
      <c r="J3002" s="9" t="s">
        <v>25</v>
      </c>
      <c r="L3002" s="9">
        <v>2</v>
      </c>
      <c r="M3002" s="9">
        <v>15</v>
      </c>
      <c r="O3002" s="9" t="s">
        <v>12079</v>
      </c>
      <c r="Q3002" s="10"/>
      <c r="S3002" s="9">
        <v>10</v>
      </c>
      <c r="U3002" s="9" t="str">
        <f t="shared" ca="1" si="120"/>
        <v/>
      </c>
      <c r="V3002" s="9" t="str">
        <f t="shared" ca="1" si="121"/>
        <v/>
      </c>
      <c r="AG3002" s="9" t="s">
        <v>19</v>
      </c>
    </row>
    <row r="3003" spans="1:33" ht="29">
      <c r="A3003" s="3" t="s">
        <v>3217</v>
      </c>
      <c r="D3003" s="3" t="s">
        <v>8698</v>
      </c>
      <c r="E3003" s="3" t="s">
        <v>8697</v>
      </c>
      <c r="G3003" t="s">
        <v>19</v>
      </c>
      <c r="J3003" s="9" t="s">
        <v>12118</v>
      </c>
      <c r="Q3003" s="10"/>
      <c r="T3003" s="9">
        <f>1101-635</f>
        <v>466</v>
      </c>
      <c r="U3003" s="9">
        <f t="shared" ca="1" si="120"/>
        <v>635</v>
      </c>
      <c r="V3003" s="9">
        <f t="shared" ca="1" si="121"/>
        <v>1101</v>
      </c>
      <c r="AC3003" s="9" t="s">
        <v>12134</v>
      </c>
      <c r="AD3003" s="9" t="s">
        <v>19</v>
      </c>
      <c r="AE3003" s="9" t="s">
        <v>12089</v>
      </c>
    </row>
    <row r="3004" spans="1:33">
      <c r="A3004" s="3" t="s">
        <v>3217</v>
      </c>
      <c r="D3004" s="3" t="s">
        <v>8699</v>
      </c>
      <c r="E3004" s="3" t="s">
        <v>8700</v>
      </c>
      <c r="J3004" s="9" t="s">
        <v>12118</v>
      </c>
      <c r="Q3004" s="10"/>
      <c r="T3004" s="9">
        <f>37-19</f>
        <v>18</v>
      </c>
      <c r="U3004" s="9">
        <f t="shared" ca="1" si="120"/>
        <v>19</v>
      </c>
      <c r="V3004" s="9">
        <f t="shared" ca="1" si="121"/>
        <v>37</v>
      </c>
      <c r="AG3004" s="9" t="s">
        <v>20</v>
      </c>
    </row>
    <row r="3005" spans="1:33">
      <c r="A3005" s="3" t="s">
        <v>3218</v>
      </c>
      <c r="D3005" s="3" t="s">
        <v>8701</v>
      </c>
      <c r="E3005" s="3" t="s">
        <v>8702</v>
      </c>
      <c r="J3005" s="9" t="s">
        <v>12118</v>
      </c>
      <c r="Q3005" s="10"/>
      <c r="T3005" s="9">
        <f>207-19</f>
        <v>188</v>
      </c>
      <c r="U3005" s="9">
        <f t="shared" ca="1" si="120"/>
        <v>19</v>
      </c>
      <c r="V3005" s="9">
        <f t="shared" ca="1" si="121"/>
        <v>207</v>
      </c>
      <c r="AG3005" s="9" t="s">
        <v>19</v>
      </c>
    </row>
    <row r="3006" spans="1:33">
      <c r="A3006" s="3" t="s">
        <v>3218</v>
      </c>
      <c r="D3006" s="3" t="s">
        <v>1118</v>
      </c>
      <c r="E3006" s="3" t="s">
        <v>1119</v>
      </c>
      <c r="J3006" s="9" t="s">
        <v>12120</v>
      </c>
      <c r="Q3006" s="10"/>
      <c r="U3006" s="9" t="str">
        <f t="shared" ca="1" si="120"/>
        <v/>
      </c>
      <c r="V3006" s="9" t="str">
        <f t="shared" ca="1" si="121"/>
        <v/>
      </c>
      <c r="AC3006" s="9" t="s">
        <v>12744</v>
      </c>
      <c r="AD3006" s="9" t="s">
        <v>19</v>
      </c>
    </row>
    <row r="3007" spans="1:33" ht="29">
      <c r="A3007" s="3" t="s">
        <v>3219</v>
      </c>
      <c r="D3007" s="3" t="s">
        <v>8703</v>
      </c>
      <c r="E3007" s="3" t="s">
        <v>8704</v>
      </c>
      <c r="J3007" s="9" t="s">
        <v>24</v>
      </c>
      <c r="L3007" s="9">
        <v>2</v>
      </c>
      <c r="M3007" s="9">
        <v>7</v>
      </c>
      <c r="O3007" s="9" t="s">
        <v>12073</v>
      </c>
      <c r="P3007" s="9" t="s">
        <v>12142</v>
      </c>
      <c r="Q3007" s="10" t="s">
        <v>12156</v>
      </c>
      <c r="R3007" s="9" t="s">
        <v>12074</v>
      </c>
      <c r="S3007" s="9">
        <v>1496</v>
      </c>
      <c r="U3007" s="9" t="str">
        <f t="shared" ca="1" si="120"/>
        <v/>
      </c>
      <c r="V3007" s="9" t="str">
        <f t="shared" ca="1" si="121"/>
        <v/>
      </c>
      <c r="AG3007" s="9" t="s">
        <v>20</v>
      </c>
    </row>
    <row r="3008" spans="1:33" ht="29">
      <c r="A3008" s="3" t="s">
        <v>3219</v>
      </c>
      <c r="D3008" s="3" t="s">
        <v>8706</v>
      </c>
      <c r="E3008" s="3" t="s">
        <v>8705</v>
      </c>
      <c r="J3008" s="9" t="s">
        <v>12120</v>
      </c>
      <c r="Q3008" s="10"/>
      <c r="U3008" s="9" t="str">
        <f t="shared" ca="1" si="120"/>
        <v/>
      </c>
      <c r="V3008" s="9" t="str">
        <f t="shared" ca="1" si="121"/>
        <v/>
      </c>
      <c r="AC3008" s="9" t="s">
        <v>12134</v>
      </c>
      <c r="AD3008" s="9" t="s">
        <v>19</v>
      </c>
      <c r="AE3008" s="9" t="s">
        <v>12086</v>
      </c>
    </row>
    <row r="3009" spans="1:33">
      <c r="A3009" s="3" t="s">
        <v>3220</v>
      </c>
      <c r="D3009" s="3" t="s">
        <v>145</v>
      </c>
      <c r="E3009" s="3" t="s">
        <v>3221</v>
      </c>
      <c r="J3009" s="9" t="s">
        <v>12120</v>
      </c>
      <c r="Q3009" s="10"/>
      <c r="U3009" s="9" t="str">
        <f t="shared" ca="1" si="120"/>
        <v/>
      </c>
      <c r="V3009" s="9" t="str">
        <f t="shared" ca="1" si="121"/>
        <v/>
      </c>
      <c r="AE3009" s="9" t="s">
        <v>12083</v>
      </c>
    </row>
    <row r="3010" spans="1:33">
      <c r="A3010" s="3" t="s">
        <v>3220</v>
      </c>
      <c r="D3010" s="3" t="s">
        <v>8707</v>
      </c>
      <c r="E3010" s="3" t="s">
        <v>8708</v>
      </c>
      <c r="J3010" s="9" t="s">
        <v>12121</v>
      </c>
      <c r="Q3010" s="10"/>
      <c r="T3010" s="9">
        <f>249-103</f>
        <v>146</v>
      </c>
      <c r="U3010" s="9">
        <f t="shared" ca="1" si="120"/>
        <v>103</v>
      </c>
      <c r="V3010" s="9">
        <f t="shared" ca="1" si="121"/>
        <v>249</v>
      </c>
      <c r="AG3010" s="9" t="s">
        <v>20</v>
      </c>
    </row>
    <row r="3011" spans="1:33">
      <c r="A3011" s="3" t="s">
        <v>3220</v>
      </c>
      <c r="D3011" s="3" t="s">
        <v>8710</v>
      </c>
      <c r="E3011" s="3" t="s">
        <v>8709</v>
      </c>
      <c r="G3011" t="s">
        <v>20</v>
      </c>
      <c r="I3011" t="s">
        <v>8711</v>
      </c>
      <c r="Q3011" s="10"/>
      <c r="U3011" s="9" t="str">
        <f t="shared" ca="1" si="120"/>
        <v/>
      </c>
      <c r="V3011" s="9" t="str">
        <f t="shared" ca="1" si="121"/>
        <v/>
      </c>
    </row>
    <row r="3012" spans="1:33" ht="29">
      <c r="A3012" s="3" t="s">
        <v>3220</v>
      </c>
      <c r="D3012" s="3" t="s">
        <v>8712</v>
      </c>
      <c r="E3012" s="3" t="s">
        <v>8713</v>
      </c>
      <c r="J3012" s="9" t="s">
        <v>12120</v>
      </c>
      <c r="Q3012" s="10"/>
      <c r="U3012" s="9" t="str">
        <f t="shared" ca="1" si="120"/>
        <v/>
      </c>
      <c r="V3012" s="9" t="str">
        <f t="shared" ca="1" si="121"/>
        <v/>
      </c>
      <c r="AB3012" s="9" t="s">
        <v>12082</v>
      </c>
      <c r="AD3012" s="9" t="s">
        <v>19</v>
      </c>
    </row>
    <row r="3013" spans="1:33">
      <c r="A3013" s="3" t="s">
        <v>3220</v>
      </c>
      <c r="D3013" s="3" t="s">
        <v>8715</v>
      </c>
      <c r="E3013" s="3" t="s">
        <v>8714</v>
      </c>
      <c r="G3013" t="s">
        <v>19</v>
      </c>
      <c r="J3013" s="9" t="s">
        <v>12118</v>
      </c>
      <c r="Q3013" s="10"/>
      <c r="R3013" s="9" t="s">
        <v>12074</v>
      </c>
      <c r="T3013" s="9">
        <f>1101-635</f>
        <v>466</v>
      </c>
      <c r="U3013" s="9">
        <f t="shared" ca="1" si="120"/>
        <v>635</v>
      </c>
      <c r="V3013" s="9">
        <f t="shared" ca="1" si="121"/>
        <v>1101</v>
      </c>
      <c r="AC3013" s="9" t="s">
        <v>12134</v>
      </c>
      <c r="AD3013" s="9" t="s">
        <v>19</v>
      </c>
      <c r="AE3013" s="9" t="s">
        <v>12089</v>
      </c>
    </row>
    <row r="3014" spans="1:33">
      <c r="A3014" s="3" t="s">
        <v>3222</v>
      </c>
      <c r="D3014" s="3" t="s">
        <v>3223</v>
      </c>
      <c r="E3014" s="3" t="s">
        <v>3224</v>
      </c>
      <c r="J3014" s="9" t="s">
        <v>12118</v>
      </c>
      <c r="Q3014" s="10"/>
      <c r="T3014" s="9" t="s">
        <v>12131</v>
      </c>
      <c r="U3014" s="9" t="str">
        <f t="shared" ca="1" si="120"/>
        <v/>
      </c>
      <c r="V3014" s="9" t="str">
        <f t="shared" ca="1" si="121"/>
        <v/>
      </c>
      <c r="AC3014" s="9" t="s">
        <v>12130</v>
      </c>
      <c r="AD3014" s="9" t="s">
        <v>19</v>
      </c>
      <c r="AE3014" s="9" t="s">
        <v>12086</v>
      </c>
    </row>
    <row r="3015" spans="1:33" ht="29">
      <c r="A3015" s="3" t="s">
        <v>3225</v>
      </c>
      <c r="D3015" s="3" t="s">
        <v>8717</v>
      </c>
      <c r="E3015" s="3" t="s">
        <v>8718</v>
      </c>
      <c r="J3015" s="9" t="s">
        <v>12120</v>
      </c>
      <c r="Q3015" s="10"/>
      <c r="U3015" s="9" t="str">
        <f t="shared" ca="1" si="120"/>
        <v/>
      </c>
      <c r="V3015" s="9" t="str">
        <f t="shared" ca="1" si="121"/>
        <v/>
      </c>
      <c r="AG3015" s="9" t="s">
        <v>20</v>
      </c>
    </row>
    <row r="3016" spans="1:33" ht="29">
      <c r="A3016" s="3" t="s">
        <v>3225</v>
      </c>
      <c r="D3016" s="3" t="s">
        <v>8716</v>
      </c>
      <c r="E3016" s="3" t="s">
        <v>8719</v>
      </c>
      <c r="J3016" s="9" t="s">
        <v>24</v>
      </c>
      <c r="L3016" s="9">
        <v>2</v>
      </c>
      <c r="M3016" s="9">
        <v>5</v>
      </c>
      <c r="O3016" s="9" t="s">
        <v>12079</v>
      </c>
      <c r="Q3016" s="10"/>
      <c r="S3016" s="9">
        <v>1101</v>
      </c>
      <c r="U3016" s="9" t="str">
        <f t="shared" ca="1" si="120"/>
        <v/>
      </c>
      <c r="V3016" s="9" t="str">
        <f t="shared" ca="1" si="121"/>
        <v/>
      </c>
      <c r="AG3016" s="9" t="s">
        <v>19</v>
      </c>
    </row>
    <row r="3017" spans="1:33">
      <c r="A3017" s="3" t="s">
        <v>3226</v>
      </c>
      <c r="D3017" s="3" t="s">
        <v>3227</v>
      </c>
      <c r="E3017" s="3" t="s">
        <v>3228</v>
      </c>
      <c r="J3017" s="9" t="s">
        <v>12120</v>
      </c>
      <c r="Q3017" s="10"/>
      <c r="U3017" s="9" t="str">
        <f t="shared" ca="1" si="120"/>
        <v/>
      </c>
      <c r="V3017" s="9" t="str">
        <f t="shared" ca="1" si="121"/>
        <v/>
      </c>
      <c r="AE3017" s="9" t="s">
        <v>12077</v>
      </c>
    </row>
    <row r="3018" spans="1:33" ht="29">
      <c r="A3018" s="3" t="s">
        <v>3229</v>
      </c>
      <c r="D3018" s="3" t="s">
        <v>8721</v>
      </c>
      <c r="E3018" s="3" t="s">
        <v>8720</v>
      </c>
      <c r="J3018" s="9" t="s">
        <v>25</v>
      </c>
      <c r="L3018" s="9">
        <v>2</v>
      </c>
      <c r="M3018" s="9">
        <v>9</v>
      </c>
      <c r="O3018" s="9" t="s">
        <v>12079</v>
      </c>
      <c r="Q3018" s="10"/>
      <c r="S3018" s="9">
        <v>61</v>
      </c>
      <c r="U3018" s="9" t="str">
        <f t="shared" ca="1" si="120"/>
        <v/>
      </c>
      <c r="V3018" s="9" t="str">
        <f t="shared" ca="1" si="121"/>
        <v/>
      </c>
      <c r="AG3018" s="9" t="s">
        <v>20</v>
      </c>
    </row>
    <row r="3019" spans="1:33">
      <c r="A3019" s="3" t="s">
        <v>3230</v>
      </c>
      <c r="D3019" s="3" t="s">
        <v>8722</v>
      </c>
      <c r="E3019" s="3" t="s">
        <v>8723</v>
      </c>
      <c r="J3019" s="9" t="s">
        <v>12120</v>
      </c>
      <c r="Q3019" s="10"/>
      <c r="U3019" s="9" t="str">
        <f t="shared" ca="1" si="120"/>
        <v/>
      </c>
      <c r="V3019" s="9" t="str">
        <f t="shared" ca="1" si="121"/>
        <v/>
      </c>
      <c r="AE3019" s="9" t="s">
        <v>12077</v>
      </c>
    </row>
    <row r="3020" spans="1:33">
      <c r="A3020" s="3" t="s">
        <v>3231</v>
      </c>
      <c r="D3020" s="3" t="s">
        <v>8724</v>
      </c>
      <c r="E3020" s="3" t="s">
        <v>8725</v>
      </c>
      <c r="G3020" t="s">
        <v>21</v>
      </c>
      <c r="I3020" t="s">
        <v>8726</v>
      </c>
      <c r="J3020" s="9" t="s">
        <v>12118</v>
      </c>
      <c r="Q3020" s="10"/>
      <c r="T3020" s="9" t="s">
        <v>12131</v>
      </c>
      <c r="U3020" s="9" t="str">
        <f t="shared" ca="1" si="120"/>
        <v/>
      </c>
      <c r="V3020" s="9" t="str">
        <f t="shared" ca="1" si="121"/>
        <v/>
      </c>
      <c r="AE3020" s="9" t="s">
        <v>12086</v>
      </c>
    </row>
    <row r="3021" spans="1:33" ht="29">
      <c r="A3021" s="3" t="s">
        <v>3231</v>
      </c>
      <c r="D3021" s="3" t="s">
        <v>8728</v>
      </c>
      <c r="E3021" s="3" t="s">
        <v>8727</v>
      </c>
      <c r="J3021" s="9" t="s">
        <v>25</v>
      </c>
      <c r="L3021" s="9">
        <v>2</v>
      </c>
      <c r="M3021" s="9">
        <v>5</v>
      </c>
      <c r="O3021" s="9" t="s">
        <v>12079</v>
      </c>
      <c r="Q3021" s="10"/>
      <c r="S3021" s="9">
        <v>472</v>
      </c>
      <c r="U3021" s="9" t="str">
        <f t="shared" ca="1" si="120"/>
        <v/>
      </c>
      <c r="V3021" s="9" t="str">
        <f t="shared" ca="1" si="121"/>
        <v/>
      </c>
      <c r="AG3021" s="9" t="s">
        <v>20</v>
      </c>
    </row>
    <row r="3022" spans="1:33" ht="29">
      <c r="A3022" s="3" t="s">
        <v>3232</v>
      </c>
      <c r="D3022" s="3" t="s">
        <v>8729</v>
      </c>
      <c r="E3022" s="3" t="s">
        <v>12452</v>
      </c>
      <c r="J3022" s="9" t="s">
        <v>12118</v>
      </c>
      <c r="Q3022" s="10"/>
      <c r="T3022" s="9" t="s">
        <v>12131</v>
      </c>
      <c r="U3022" s="9" t="str">
        <f t="shared" ca="1" si="120"/>
        <v/>
      </c>
      <c r="V3022" s="9" t="str">
        <f t="shared" ca="1" si="121"/>
        <v/>
      </c>
      <c r="AC3022" s="9" t="s">
        <v>12134</v>
      </c>
      <c r="AD3022" s="9" t="s">
        <v>19</v>
      </c>
      <c r="AE3022" s="9" t="s">
        <v>12077</v>
      </c>
    </row>
    <row r="3023" spans="1:33">
      <c r="A3023" s="3" t="s">
        <v>3232</v>
      </c>
      <c r="D3023" s="3" t="s">
        <v>8730</v>
      </c>
      <c r="E3023" s="3" t="s">
        <v>8731</v>
      </c>
      <c r="J3023" s="9" t="s">
        <v>12120</v>
      </c>
      <c r="Q3023" s="10"/>
      <c r="U3023" s="9" t="str">
        <f t="shared" ca="1" si="120"/>
        <v/>
      </c>
      <c r="V3023" s="9" t="str">
        <f t="shared" ca="1" si="121"/>
        <v/>
      </c>
      <c r="AC3023" s="9" t="s">
        <v>12188</v>
      </c>
      <c r="AD3023" s="9" t="s">
        <v>19</v>
      </c>
    </row>
    <row r="3024" spans="1:33">
      <c r="A3024" s="3" t="s">
        <v>3233</v>
      </c>
      <c r="D3024" s="3" t="s">
        <v>156</v>
      </c>
      <c r="E3024" s="3" t="s">
        <v>1248</v>
      </c>
      <c r="G3024" t="s">
        <v>19</v>
      </c>
      <c r="J3024" s="9" t="s">
        <v>12120</v>
      </c>
      <c r="Q3024" s="10"/>
      <c r="U3024" s="9" t="str">
        <f t="shared" ca="1" si="120"/>
        <v/>
      </c>
      <c r="V3024" s="9" t="str">
        <f t="shared" ca="1" si="121"/>
        <v/>
      </c>
      <c r="AE3024" s="9" t="s">
        <v>12083</v>
      </c>
    </row>
    <row r="3025" spans="1:33">
      <c r="A3025" s="3" t="s">
        <v>3233</v>
      </c>
      <c r="D3025" s="3" t="s">
        <v>8733</v>
      </c>
      <c r="E3025" s="3" t="s">
        <v>8732</v>
      </c>
      <c r="J3025" s="9" t="s">
        <v>12120</v>
      </c>
      <c r="Q3025" s="10"/>
      <c r="U3025" s="9" t="str">
        <f t="shared" ref="U3025:U3088" ca="1" si="122">IF(ISNUMBER(T3025),VALUE(MID(_xlfn.FORMULATEXT(T3025),SEARCH("-",_xlfn.FORMULATEXT(T3025))+1,LEN(_xlfn.FORMULATEXT(T3025))-SEARCH("-",_xlfn.FORMULATEXT(T3025)))), "")</f>
        <v/>
      </c>
      <c r="V3025" s="9" t="str">
        <f t="shared" ref="V3025:V3088" ca="1" si="123">IF(ISNUMBER(T3025), VALUE(MID(_xlfn.FORMULATEXT(T3025), 2, SEARCH("-", _xlfn.FORMULATEXT(T3025)) - 2)), "")</f>
        <v/>
      </c>
      <c r="AG3025" s="9" t="s">
        <v>19</v>
      </c>
    </row>
    <row r="3026" spans="1:33">
      <c r="A3026" s="3" t="s">
        <v>3233</v>
      </c>
      <c r="D3026" s="3" t="s">
        <v>3234</v>
      </c>
      <c r="E3026" s="3" t="s">
        <v>3235</v>
      </c>
      <c r="J3026" s="9" t="s">
        <v>12120</v>
      </c>
      <c r="Q3026" s="10"/>
      <c r="U3026" s="9" t="str">
        <f t="shared" ca="1" si="122"/>
        <v/>
      </c>
      <c r="V3026" s="9" t="str">
        <f t="shared" ca="1" si="123"/>
        <v/>
      </c>
      <c r="AC3026" s="9" t="s">
        <v>12173</v>
      </c>
      <c r="AD3026" s="9" t="s">
        <v>19</v>
      </c>
    </row>
    <row r="3027" spans="1:33" ht="29">
      <c r="A3027" s="3" t="s">
        <v>3236</v>
      </c>
      <c r="D3027" s="3" t="s">
        <v>8735</v>
      </c>
      <c r="E3027" s="3" t="s">
        <v>8734</v>
      </c>
      <c r="G3027" t="s">
        <v>19</v>
      </c>
      <c r="J3027" s="9" t="s">
        <v>25</v>
      </c>
      <c r="L3027" s="9">
        <v>1</v>
      </c>
      <c r="M3027" s="9">
        <v>5</v>
      </c>
      <c r="N3027" s="9" t="s">
        <v>12125</v>
      </c>
      <c r="O3027" s="9" t="s">
        <v>12079</v>
      </c>
      <c r="Q3027" s="10"/>
      <c r="S3027" s="9">
        <v>1565</v>
      </c>
      <c r="U3027" s="9" t="str">
        <f t="shared" ca="1" si="122"/>
        <v/>
      </c>
      <c r="V3027" s="9" t="str">
        <f t="shared" ca="1" si="123"/>
        <v/>
      </c>
    </row>
    <row r="3028" spans="1:33">
      <c r="A3028" s="3" t="s">
        <v>3237</v>
      </c>
      <c r="D3028" s="3" t="s">
        <v>8736</v>
      </c>
      <c r="E3028" s="3" t="s">
        <v>8737</v>
      </c>
      <c r="J3028" s="9" t="s">
        <v>12120</v>
      </c>
      <c r="Q3028" s="10"/>
      <c r="U3028" s="9" t="str">
        <f t="shared" ca="1" si="122"/>
        <v/>
      </c>
      <c r="V3028" s="9" t="str">
        <f t="shared" ca="1" si="123"/>
        <v/>
      </c>
      <c r="AC3028" s="9" t="s">
        <v>12130</v>
      </c>
      <c r="AD3028" s="9" t="s">
        <v>19</v>
      </c>
    </row>
    <row r="3029" spans="1:33">
      <c r="A3029" s="3" t="s">
        <v>3238</v>
      </c>
      <c r="D3029" s="3" t="s">
        <v>8738</v>
      </c>
      <c r="E3029" s="3" t="s">
        <v>8739</v>
      </c>
      <c r="J3029" s="9" t="s">
        <v>12120</v>
      </c>
      <c r="Q3029" s="10"/>
      <c r="U3029" s="9" t="str">
        <f t="shared" ca="1" si="122"/>
        <v/>
      </c>
      <c r="V3029" s="9" t="str">
        <f t="shared" ca="1" si="123"/>
        <v/>
      </c>
      <c r="AE3029" s="9" t="s">
        <v>12089</v>
      </c>
    </row>
    <row r="3030" spans="1:33">
      <c r="A3030" s="3" t="s">
        <v>3239</v>
      </c>
      <c r="D3030" s="3" t="s">
        <v>8741</v>
      </c>
      <c r="E3030" s="3" t="s">
        <v>8740</v>
      </c>
      <c r="J3030" s="9" t="s">
        <v>24</v>
      </c>
      <c r="L3030" s="9">
        <v>1</v>
      </c>
      <c r="M3030" s="9">
        <v>3</v>
      </c>
      <c r="N3030" s="9" t="s">
        <v>12084</v>
      </c>
      <c r="O3030" s="9" t="s">
        <v>12079</v>
      </c>
      <c r="Q3030" s="10"/>
      <c r="S3030" s="9">
        <v>52</v>
      </c>
      <c r="U3030" s="9" t="str">
        <f t="shared" ca="1" si="122"/>
        <v/>
      </c>
      <c r="V3030" s="9" t="str">
        <f t="shared" ca="1" si="123"/>
        <v/>
      </c>
      <c r="AG3030" s="9" t="s">
        <v>19</v>
      </c>
    </row>
    <row r="3031" spans="1:33">
      <c r="A3031" s="3" t="s">
        <v>3240</v>
      </c>
      <c r="D3031" s="3" t="s">
        <v>3241</v>
      </c>
      <c r="E3031" s="3" t="s">
        <v>3242</v>
      </c>
      <c r="J3031" s="9" t="s">
        <v>12120</v>
      </c>
      <c r="Q3031" s="10"/>
      <c r="U3031" s="9" t="str">
        <f t="shared" ca="1" si="122"/>
        <v/>
      </c>
      <c r="V3031" s="9" t="str">
        <f t="shared" ca="1" si="123"/>
        <v/>
      </c>
      <c r="AE3031" s="9" t="s">
        <v>12077</v>
      </c>
    </row>
    <row r="3032" spans="1:33">
      <c r="A3032" s="3" t="s">
        <v>3240</v>
      </c>
      <c r="D3032" s="3" t="s">
        <v>8742</v>
      </c>
      <c r="E3032" s="3" t="s">
        <v>8743</v>
      </c>
      <c r="I3032" t="s">
        <v>12690</v>
      </c>
      <c r="J3032" s="9" t="s">
        <v>25</v>
      </c>
      <c r="L3032" s="9">
        <v>1</v>
      </c>
      <c r="M3032" s="9">
        <v>5</v>
      </c>
      <c r="N3032" s="9" t="s">
        <v>12092</v>
      </c>
      <c r="O3032" s="9" t="s">
        <v>12079</v>
      </c>
      <c r="Q3032" s="10"/>
      <c r="S3032" s="9">
        <v>308</v>
      </c>
      <c r="U3032" s="9" t="str">
        <f t="shared" ca="1" si="122"/>
        <v/>
      </c>
      <c r="V3032" s="9" t="str">
        <f t="shared" ca="1" si="123"/>
        <v/>
      </c>
      <c r="W3032" s="9" t="s">
        <v>12117</v>
      </c>
      <c r="AG3032" s="9" t="s">
        <v>19</v>
      </c>
    </row>
    <row r="3033" spans="1:33">
      <c r="A3033" s="3" t="s">
        <v>3243</v>
      </c>
      <c r="D3033" s="3" t="s">
        <v>8745</v>
      </c>
      <c r="E3033" s="3" t="s">
        <v>8744</v>
      </c>
      <c r="J3033" s="9" t="s">
        <v>24</v>
      </c>
      <c r="L3033" s="9">
        <v>1</v>
      </c>
      <c r="M3033" s="9">
        <v>5</v>
      </c>
      <c r="N3033" s="9" t="s">
        <v>12092</v>
      </c>
      <c r="O3033" s="9" t="s">
        <v>12079</v>
      </c>
      <c r="Q3033" s="10"/>
      <c r="S3033" s="9">
        <v>308</v>
      </c>
      <c r="U3033" s="9" t="str">
        <f t="shared" ca="1" si="122"/>
        <v/>
      </c>
      <c r="V3033" s="9" t="str">
        <f t="shared" ca="1" si="123"/>
        <v/>
      </c>
      <c r="AG3033" s="9" t="s">
        <v>20</v>
      </c>
    </row>
    <row r="3034" spans="1:33">
      <c r="A3034" s="3" t="s">
        <v>3243</v>
      </c>
      <c r="D3034" s="3" t="s">
        <v>8747</v>
      </c>
      <c r="E3034" s="3" t="s">
        <v>8746</v>
      </c>
      <c r="J3034" s="9" t="s">
        <v>12118</v>
      </c>
      <c r="Q3034" s="10"/>
      <c r="T3034" s="9">
        <f>31-591</f>
        <v>-560</v>
      </c>
      <c r="U3034" s="9">
        <f t="shared" ca="1" si="122"/>
        <v>591</v>
      </c>
      <c r="V3034" s="9">
        <f t="shared" ca="1" si="123"/>
        <v>31</v>
      </c>
      <c r="AG3034" s="9" t="s">
        <v>20</v>
      </c>
    </row>
    <row r="3035" spans="1:33">
      <c r="A3035" s="3" t="s">
        <v>3243</v>
      </c>
      <c r="D3035" s="3" t="s">
        <v>7492</v>
      </c>
      <c r="E3035" s="3" t="s">
        <v>7491</v>
      </c>
      <c r="J3035" s="9" t="s">
        <v>12120</v>
      </c>
      <c r="Q3035" s="10"/>
      <c r="U3035" s="9" t="str">
        <f t="shared" ca="1" si="122"/>
        <v/>
      </c>
      <c r="V3035" s="9" t="str">
        <f t="shared" ca="1" si="123"/>
        <v/>
      </c>
      <c r="AB3035" s="9" t="s">
        <v>12737</v>
      </c>
      <c r="AD3035" s="9" t="s">
        <v>19</v>
      </c>
    </row>
    <row r="3036" spans="1:33">
      <c r="A3036" s="3" t="s">
        <v>3244</v>
      </c>
      <c r="D3036" s="3" t="s">
        <v>8749</v>
      </c>
      <c r="E3036" s="3" t="s">
        <v>8748</v>
      </c>
      <c r="I3036" t="s">
        <v>12691</v>
      </c>
      <c r="J3036" s="9" t="s">
        <v>25</v>
      </c>
      <c r="L3036" s="9">
        <v>1</v>
      </c>
      <c r="M3036" s="9">
        <v>2</v>
      </c>
      <c r="N3036" s="9" t="s">
        <v>12096</v>
      </c>
      <c r="O3036" s="9" t="s">
        <v>12119</v>
      </c>
      <c r="Q3036" s="10"/>
      <c r="S3036" s="9">
        <v>1294</v>
      </c>
      <c r="U3036" s="9" t="str">
        <f t="shared" ca="1" si="122"/>
        <v/>
      </c>
      <c r="V3036" s="9" t="str">
        <f t="shared" ca="1" si="123"/>
        <v/>
      </c>
      <c r="W3036" s="9" t="s">
        <v>12117</v>
      </c>
      <c r="AG3036" s="9" t="s">
        <v>20</v>
      </c>
    </row>
    <row r="3037" spans="1:33" ht="29">
      <c r="A3037" s="3" t="s">
        <v>3245</v>
      </c>
      <c r="D3037" s="3" t="s">
        <v>8751</v>
      </c>
      <c r="E3037" s="3" t="s">
        <v>8750</v>
      </c>
      <c r="J3037" s="9" t="s">
        <v>12118</v>
      </c>
      <c r="Q3037" s="10"/>
      <c r="T3037" s="9">
        <f>356-1966</f>
        <v>-1610</v>
      </c>
      <c r="U3037" s="9">
        <f t="shared" ca="1" si="122"/>
        <v>1966</v>
      </c>
      <c r="V3037" s="9">
        <f t="shared" ca="1" si="123"/>
        <v>356</v>
      </c>
      <c r="AG3037" s="9" t="s">
        <v>19</v>
      </c>
    </row>
    <row r="3038" spans="1:33">
      <c r="A3038" s="3" t="s">
        <v>3246</v>
      </c>
      <c r="D3038" s="3" t="s">
        <v>8753</v>
      </c>
      <c r="E3038" s="3" t="s">
        <v>8752</v>
      </c>
      <c r="J3038" s="9" t="s">
        <v>25</v>
      </c>
      <c r="L3038" s="9">
        <v>1</v>
      </c>
      <c r="M3038" s="9">
        <v>5</v>
      </c>
      <c r="N3038" s="9" t="s">
        <v>12125</v>
      </c>
      <c r="O3038" s="9" t="s">
        <v>12079</v>
      </c>
      <c r="Q3038" s="10"/>
      <c r="S3038" s="9">
        <v>1565</v>
      </c>
      <c r="U3038" s="9" t="str">
        <f t="shared" ca="1" si="122"/>
        <v/>
      </c>
      <c r="V3038" s="9" t="str">
        <f t="shared" ca="1" si="123"/>
        <v/>
      </c>
      <c r="AG3038" s="9" t="s">
        <v>20</v>
      </c>
    </row>
    <row r="3039" spans="1:33">
      <c r="A3039" s="3" t="s">
        <v>3246</v>
      </c>
      <c r="D3039" s="3" t="s">
        <v>8754</v>
      </c>
      <c r="E3039" s="3" t="s">
        <v>8755</v>
      </c>
      <c r="J3039" s="9" t="s">
        <v>12118</v>
      </c>
      <c r="Q3039" s="10"/>
      <c r="T3039" s="9">
        <f>4240-160</f>
        <v>4080</v>
      </c>
      <c r="U3039" s="9">
        <f t="shared" ca="1" si="122"/>
        <v>160</v>
      </c>
      <c r="V3039" s="9">
        <f t="shared" ca="1" si="123"/>
        <v>4240</v>
      </c>
      <c r="AG3039" s="9" t="s">
        <v>20</v>
      </c>
    </row>
    <row r="3040" spans="1:33" ht="43.5">
      <c r="A3040" s="3" t="s">
        <v>3247</v>
      </c>
      <c r="D3040" s="3" t="s">
        <v>8757</v>
      </c>
      <c r="E3040" s="3" t="s">
        <v>8756</v>
      </c>
      <c r="I3040" t="s">
        <v>12692</v>
      </c>
      <c r="J3040" s="9" t="s">
        <v>25</v>
      </c>
      <c r="L3040" s="9">
        <v>1</v>
      </c>
      <c r="M3040" s="9">
        <v>1</v>
      </c>
      <c r="N3040" s="9" t="s">
        <v>12078</v>
      </c>
      <c r="O3040" s="9" t="s">
        <v>12119</v>
      </c>
      <c r="Q3040" s="10"/>
      <c r="S3040" s="9">
        <v>11843</v>
      </c>
      <c r="U3040" s="9" t="str">
        <f t="shared" ca="1" si="122"/>
        <v/>
      </c>
      <c r="V3040" s="9" t="str">
        <f t="shared" ca="1" si="123"/>
        <v/>
      </c>
      <c r="W3040" s="9" t="s">
        <v>12117</v>
      </c>
      <c r="AG3040" s="9" t="s">
        <v>20</v>
      </c>
    </row>
    <row r="3041" spans="1:33" ht="43.5">
      <c r="A3041" s="3" t="s">
        <v>3247</v>
      </c>
      <c r="D3041" s="3" t="s">
        <v>8758</v>
      </c>
      <c r="E3041" s="3" t="s">
        <v>8756</v>
      </c>
      <c r="G3041" t="s">
        <v>19</v>
      </c>
      <c r="J3041" s="9" t="s">
        <v>25</v>
      </c>
      <c r="L3041" s="9">
        <v>1</v>
      </c>
      <c r="M3041" s="9">
        <v>3</v>
      </c>
      <c r="N3041" s="9" t="s">
        <v>12087</v>
      </c>
      <c r="O3041" s="9" t="s">
        <v>12073</v>
      </c>
      <c r="P3041" s="9" t="s">
        <v>12149</v>
      </c>
      <c r="Q3041" s="10" t="s">
        <v>12143</v>
      </c>
      <c r="S3041" s="9">
        <v>5676</v>
      </c>
      <c r="U3041" s="9" t="str">
        <f t="shared" ca="1" si="122"/>
        <v/>
      </c>
      <c r="V3041" s="9" t="str">
        <f t="shared" ca="1" si="123"/>
        <v/>
      </c>
    </row>
    <row r="3042" spans="1:33" ht="43.5">
      <c r="A3042" s="3" t="s">
        <v>3247</v>
      </c>
      <c r="D3042" s="3" t="s">
        <v>8759</v>
      </c>
      <c r="E3042" s="3" t="s">
        <v>8760</v>
      </c>
      <c r="G3042" t="s">
        <v>20</v>
      </c>
      <c r="I3042" t="s">
        <v>8761</v>
      </c>
      <c r="Q3042" s="10"/>
      <c r="U3042" s="9" t="str">
        <f t="shared" ca="1" si="122"/>
        <v/>
      </c>
      <c r="V3042" s="9" t="str">
        <f t="shared" ca="1" si="123"/>
        <v/>
      </c>
    </row>
    <row r="3043" spans="1:33" ht="29">
      <c r="A3043" s="3" t="s">
        <v>3248</v>
      </c>
      <c r="D3043" s="3" t="s">
        <v>8763</v>
      </c>
      <c r="E3043" s="3" t="s">
        <v>8762</v>
      </c>
      <c r="I3043" t="s">
        <v>12192</v>
      </c>
      <c r="J3043" s="9" t="s">
        <v>26</v>
      </c>
      <c r="Q3043" s="10"/>
      <c r="U3043" s="9" t="str">
        <f t="shared" ca="1" si="122"/>
        <v/>
      </c>
      <c r="V3043" s="9" t="str">
        <f t="shared" ca="1" si="123"/>
        <v/>
      </c>
      <c r="AG3043" s="9" t="s">
        <v>19</v>
      </c>
    </row>
    <row r="3044" spans="1:33" ht="58">
      <c r="A3044" s="3" t="s">
        <v>3249</v>
      </c>
      <c r="D3044" s="3" t="s">
        <v>8765</v>
      </c>
      <c r="E3044" s="3" t="s">
        <v>8764</v>
      </c>
      <c r="J3044" s="9" t="s">
        <v>24</v>
      </c>
      <c r="L3044" s="9">
        <v>2</v>
      </c>
      <c r="M3044" s="9">
        <v>12</v>
      </c>
      <c r="O3044" s="9" t="s">
        <v>12079</v>
      </c>
      <c r="Q3044" s="10"/>
      <c r="R3044" s="9" t="s">
        <v>12080</v>
      </c>
      <c r="S3044" s="9">
        <v>42</v>
      </c>
      <c r="U3044" s="9" t="str">
        <f t="shared" ca="1" si="122"/>
        <v/>
      </c>
      <c r="V3044" s="9" t="str">
        <f t="shared" ca="1" si="123"/>
        <v/>
      </c>
      <c r="AG3044" s="9" t="s">
        <v>20</v>
      </c>
    </row>
    <row r="3045" spans="1:33" ht="43.5">
      <c r="A3045" s="3" t="s">
        <v>3250</v>
      </c>
      <c r="D3045" s="3" t="s">
        <v>8766</v>
      </c>
      <c r="E3045" s="3" t="s">
        <v>8767</v>
      </c>
      <c r="I3045" t="s">
        <v>5457</v>
      </c>
      <c r="J3045" s="9" t="s">
        <v>26</v>
      </c>
      <c r="Q3045" s="10"/>
      <c r="U3045" s="9" t="str">
        <f t="shared" ca="1" si="122"/>
        <v/>
      </c>
      <c r="V3045" s="9" t="str">
        <f t="shared" ca="1" si="123"/>
        <v/>
      </c>
      <c r="AG3045" s="9" t="s">
        <v>20</v>
      </c>
    </row>
    <row r="3046" spans="1:33">
      <c r="A3046" s="3" t="s">
        <v>3251</v>
      </c>
      <c r="D3046" s="3" t="s">
        <v>3252</v>
      </c>
      <c r="E3046" s="3" t="s">
        <v>3253</v>
      </c>
      <c r="J3046" s="9" t="s">
        <v>12118</v>
      </c>
      <c r="Q3046" s="10"/>
      <c r="T3046" s="9" t="s">
        <v>12131</v>
      </c>
      <c r="U3046" s="9" t="str">
        <f t="shared" ca="1" si="122"/>
        <v/>
      </c>
      <c r="V3046" s="9" t="str">
        <f t="shared" ca="1" si="123"/>
        <v/>
      </c>
      <c r="AC3046" s="9" t="s">
        <v>12744</v>
      </c>
      <c r="AD3046" s="9" t="s">
        <v>19</v>
      </c>
    </row>
    <row r="3047" spans="1:33" ht="29">
      <c r="A3047" s="3" t="s">
        <v>3254</v>
      </c>
      <c r="D3047" s="3" t="s">
        <v>8768</v>
      </c>
      <c r="E3047" s="3" t="s">
        <v>8769</v>
      </c>
      <c r="I3047" t="s">
        <v>5457</v>
      </c>
      <c r="J3047" s="9" t="s">
        <v>26</v>
      </c>
      <c r="Q3047" s="10"/>
      <c r="U3047" s="9" t="str">
        <f t="shared" ca="1" si="122"/>
        <v/>
      </c>
      <c r="V3047" s="9" t="str">
        <f t="shared" ca="1" si="123"/>
        <v/>
      </c>
      <c r="AG3047" s="9" t="s">
        <v>20</v>
      </c>
    </row>
    <row r="3048" spans="1:33" ht="29">
      <c r="A3048" s="3" t="s">
        <v>3254</v>
      </c>
      <c r="D3048" s="3" t="s">
        <v>8771</v>
      </c>
      <c r="E3048" s="3" t="s">
        <v>8770</v>
      </c>
      <c r="F3048" t="s">
        <v>12122</v>
      </c>
      <c r="Q3048" s="10"/>
      <c r="U3048" s="9" t="str">
        <f t="shared" ca="1" si="122"/>
        <v/>
      </c>
      <c r="V3048" s="9" t="str">
        <f t="shared" ca="1" si="123"/>
        <v/>
      </c>
      <c r="AF3048" s="9" t="s">
        <v>19</v>
      </c>
    </row>
    <row r="3049" spans="1:33">
      <c r="A3049" s="3" t="s">
        <v>3254</v>
      </c>
      <c r="D3049" s="3" t="s">
        <v>8773</v>
      </c>
      <c r="E3049" s="11" t="s">
        <v>8772</v>
      </c>
      <c r="G3049" t="s">
        <v>19</v>
      </c>
      <c r="J3049" s="9" t="s">
        <v>24</v>
      </c>
      <c r="L3049" s="9">
        <v>1</v>
      </c>
      <c r="M3049" s="9">
        <v>3</v>
      </c>
      <c r="N3049" s="9" t="s">
        <v>12087</v>
      </c>
      <c r="O3049" s="9" t="s">
        <v>12079</v>
      </c>
      <c r="Q3049" s="10"/>
      <c r="S3049" s="9">
        <v>5676</v>
      </c>
      <c r="U3049" s="9" t="str">
        <f t="shared" ca="1" si="122"/>
        <v/>
      </c>
      <c r="V3049" s="9" t="str">
        <f t="shared" ca="1" si="123"/>
        <v/>
      </c>
    </row>
    <row r="3050" spans="1:33">
      <c r="A3050" s="3" t="s">
        <v>3255</v>
      </c>
      <c r="D3050" s="3" t="s">
        <v>8775</v>
      </c>
      <c r="E3050" s="3" t="s">
        <v>8774</v>
      </c>
      <c r="I3050" t="s">
        <v>12693</v>
      </c>
      <c r="J3050" s="9" t="s">
        <v>26</v>
      </c>
      <c r="Q3050" s="10"/>
      <c r="U3050" s="9" t="str">
        <f t="shared" ca="1" si="122"/>
        <v/>
      </c>
      <c r="V3050" s="9" t="str">
        <f t="shared" ca="1" si="123"/>
        <v/>
      </c>
      <c r="W3050" s="9" t="s">
        <v>4</v>
      </c>
      <c r="AG3050" s="9" t="s">
        <v>20</v>
      </c>
    </row>
    <row r="3051" spans="1:33">
      <c r="A3051" s="3" t="s">
        <v>3255</v>
      </c>
      <c r="D3051" s="3" t="s">
        <v>8777</v>
      </c>
      <c r="E3051" s="3" t="s">
        <v>8776</v>
      </c>
      <c r="H3051" t="s">
        <v>19</v>
      </c>
      <c r="J3051" s="9" t="s">
        <v>25</v>
      </c>
      <c r="L3051" s="9">
        <v>2</v>
      </c>
      <c r="M3051" s="9">
        <v>4</v>
      </c>
      <c r="O3051" s="9" t="s">
        <v>12079</v>
      </c>
      <c r="Q3051" s="10"/>
      <c r="S3051" s="9">
        <v>635</v>
      </c>
      <c r="U3051" s="9" t="str">
        <f t="shared" ca="1" si="122"/>
        <v/>
      </c>
      <c r="V3051" s="9" t="str">
        <f t="shared" ca="1" si="123"/>
        <v/>
      </c>
      <c r="AG3051" s="9" t="s">
        <v>20</v>
      </c>
    </row>
    <row r="3052" spans="1:33">
      <c r="A3052" s="3" t="s">
        <v>3255</v>
      </c>
      <c r="D3052" s="3" t="s">
        <v>8778</v>
      </c>
      <c r="E3052" s="3" t="s">
        <v>12453</v>
      </c>
      <c r="J3052" s="9" t="s">
        <v>12120</v>
      </c>
      <c r="Q3052" s="10"/>
      <c r="U3052" s="9" t="str">
        <f t="shared" ca="1" si="122"/>
        <v/>
      </c>
      <c r="V3052" s="9" t="str">
        <f t="shared" ca="1" si="123"/>
        <v/>
      </c>
      <c r="AG3052" s="9" t="s">
        <v>19</v>
      </c>
    </row>
    <row r="3053" spans="1:33" ht="29">
      <c r="A3053" s="3" t="s">
        <v>3256</v>
      </c>
      <c r="D3053" s="3" t="s">
        <v>8780</v>
      </c>
      <c r="E3053" s="3" t="s">
        <v>8779</v>
      </c>
      <c r="I3053" t="s">
        <v>8781</v>
      </c>
      <c r="J3053" s="9" t="s">
        <v>24</v>
      </c>
      <c r="L3053" s="9">
        <v>1</v>
      </c>
      <c r="M3053" s="9">
        <v>3</v>
      </c>
      <c r="N3053" s="9" t="s">
        <v>12094</v>
      </c>
      <c r="O3053" s="9" t="s">
        <v>12079</v>
      </c>
      <c r="Q3053" s="10"/>
      <c r="S3053" s="9">
        <v>1496</v>
      </c>
      <c r="U3053" s="9" t="str">
        <f t="shared" ca="1" si="122"/>
        <v/>
      </c>
      <c r="V3053" s="9" t="str">
        <f t="shared" ca="1" si="123"/>
        <v/>
      </c>
      <c r="AG3053" s="9" t="s">
        <v>19</v>
      </c>
    </row>
    <row r="3054" spans="1:33" ht="29">
      <c r="A3054" s="3" t="s">
        <v>3257</v>
      </c>
      <c r="D3054" s="11" t="s">
        <v>12912</v>
      </c>
      <c r="E3054" s="11" t="s">
        <v>8782</v>
      </c>
      <c r="J3054" s="9" t="s">
        <v>24</v>
      </c>
      <c r="L3054" s="9">
        <v>1</v>
      </c>
      <c r="M3054" s="9">
        <v>4</v>
      </c>
      <c r="N3054" s="9" t="s">
        <v>12078</v>
      </c>
      <c r="O3054" s="9" t="s">
        <v>12073</v>
      </c>
      <c r="P3054" s="9" t="s">
        <v>12142</v>
      </c>
      <c r="Q3054" s="10" t="s">
        <v>12160</v>
      </c>
      <c r="R3054" s="9" t="s">
        <v>12074</v>
      </c>
      <c r="S3054" s="9">
        <v>11843</v>
      </c>
      <c r="U3054" s="9" t="str">
        <f t="shared" ca="1" si="122"/>
        <v/>
      </c>
      <c r="V3054" s="9" t="str">
        <f t="shared" ca="1" si="123"/>
        <v/>
      </c>
      <c r="AE3054" s="9" t="s">
        <v>12083</v>
      </c>
    </row>
    <row r="3055" spans="1:33">
      <c r="A3055" s="3" t="s">
        <v>3258</v>
      </c>
      <c r="D3055" s="3" t="s">
        <v>8783</v>
      </c>
      <c r="E3055" s="3" t="s">
        <v>8784</v>
      </c>
      <c r="J3055" s="9" t="s">
        <v>25</v>
      </c>
      <c r="L3055" s="9">
        <v>1</v>
      </c>
      <c r="M3055" s="9">
        <v>4</v>
      </c>
      <c r="N3055" s="9" t="s">
        <v>12094</v>
      </c>
      <c r="O3055" s="9" t="s">
        <v>12079</v>
      </c>
      <c r="Q3055" s="10"/>
      <c r="S3055" s="9">
        <v>4240</v>
      </c>
      <c r="U3055" s="9" t="str">
        <f t="shared" ca="1" si="122"/>
        <v/>
      </c>
      <c r="V3055" s="9" t="str">
        <f t="shared" ca="1" si="123"/>
        <v/>
      </c>
      <c r="AG3055" s="9" t="s">
        <v>20</v>
      </c>
    </row>
    <row r="3056" spans="1:33">
      <c r="A3056" s="3" t="s">
        <v>3259</v>
      </c>
      <c r="D3056" s="3" t="s">
        <v>8786</v>
      </c>
      <c r="E3056" s="3" t="s">
        <v>8785</v>
      </c>
      <c r="J3056" s="9" t="s">
        <v>25</v>
      </c>
      <c r="L3056" s="9">
        <v>1</v>
      </c>
      <c r="M3056" s="9">
        <v>2</v>
      </c>
      <c r="N3056" s="9" t="s">
        <v>12094</v>
      </c>
      <c r="O3056" s="9" t="s">
        <v>12119</v>
      </c>
      <c r="Q3056" s="10"/>
      <c r="S3056" s="9">
        <v>1741</v>
      </c>
      <c r="U3056" s="9" t="str">
        <f t="shared" ca="1" si="122"/>
        <v/>
      </c>
      <c r="V3056" s="9" t="str">
        <f t="shared" ca="1" si="123"/>
        <v/>
      </c>
      <c r="AG3056" s="9" t="s">
        <v>19</v>
      </c>
    </row>
    <row r="3057" spans="1:33" ht="43.5">
      <c r="A3057" s="3" t="s">
        <v>3259</v>
      </c>
      <c r="D3057" s="3" t="s">
        <v>8787</v>
      </c>
      <c r="E3057" s="3" t="s">
        <v>8789</v>
      </c>
      <c r="J3057" s="9" t="s">
        <v>24</v>
      </c>
      <c r="L3057" s="9">
        <v>2</v>
      </c>
      <c r="M3057" s="9">
        <v>9</v>
      </c>
      <c r="O3057" s="9" t="s">
        <v>12079</v>
      </c>
      <c r="Q3057" s="10"/>
      <c r="S3057" s="9">
        <v>47</v>
      </c>
      <c r="U3057" s="9" t="str">
        <f t="shared" ca="1" si="122"/>
        <v/>
      </c>
      <c r="V3057" s="9" t="str">
        <f t="shared" ca="1" si="123"/>
        <v/>
      </c>
      <c r="AG3057" s="9" t="s">
        <v>19</v>
      </c>
    </row>
    <row r="3058" spans="1:33" ht="43.5">
      <c r="A3058" s="3" t="s">
        <v>3260</v>
      </c>
      <c r="D3058" s="3" t="s">
        <v>8791</v>
      </c>
      <c r="E3058" s="3" t="s">
        <v>8792</v>
      </c>
      <c r="J3058" s="9" t="s">
        <v>12118</v>
      </c>
      <c r="Q3058" s="10"/>
      <c r="T3058" s="9" t="s">
        <v>12131</v>
      </c>
      <c r="U3058" s="9" t="str">
        <f t="shared" ca="1" si="122"/>
        <v/>
      </c>
      <c r="V3058" s="9" t="str">
        <f t="shared" ca="1" si="123"/>
        <v/>
      </c>
      <c r="AC3058" s="9" t="s">
        <v>12134</v>
      </c>
      <c r="AD3058" s="9" t="s">
        <v>19</v>
      </c>
      <c r="AE3058" s="9" t="s">
        <v>12077</v>
      </c>
    </row>
    <row r="3059" spans="1:33" ht="43.5">
      <c r="A3059" s="3" t="s">
        <v>3260</v>
      </c>
      <c r="D3059" s="3" t="s">
        <v>8790</v>
      </c>
      <c r="E3059" s="3" t="s">
        <v>8788</v>
      </c>
      <c r="J3059" s="9" t="s">
        <v>25</v>
      </c>
      <c r="L3059" s="9">
        <v>2</v>
      </c>
      <c r="M3059" s="9">
        <v>4</v>
      </c>
      <c r="O3059" s="9" t="s">
        <v>12079</v>
      </c>
      <c r="Q3059" s="10"/>
      <c r="S3059" s="9">
        <v>635</v>
      </c>
      <c r="U3059" s="9" t="str">
        <f t="shared" ca="1" si="122"/>
        <v/>
      </c>
      <c r="V3059" s="9" t="str">
        <f t="shared" ca="1" si="123"/>
        <v/>
      </c>
      <c r="AG3059" s="9" t="s">
        <v>20</v>
      </c>
    </row>
    <row r="3060" spans="1:33" ht="43.5">
      <c r="A3060" s="3" t="s">
        <v>3260</v>
      </c>
      <c r="D3060" s="3" t="s">
        <v>8793</v>
      </c>
      <c r="E3060" s="3" t="s">
        <v>8794</v>
      </c>
      <c r="J3060" s="9" t="s">
        <v>12120</v>
      </c>
      <c r="Q3060" s="10"/>
      <c r="U3060" s="9" t="str">
        <f t="shared" ca="1" si="122"/>
        <v/>
      </c>
      <c r="V3060" s="9" t="str">
        <f t="shared" ca="1" si="123"/>
        <v/>
      </c>
      <c r="AG3060" s="9" t="s">
        <v>20</v>
      </c>
    </row>
    <row r="3061" spans="1:33">
      <c r="A3061" s="3" t="s">
        <v>3261</v>
      </c>
      <c r="D3061" s="3" t="s">
        <v>8795</v>
      </c>
      <c r="E3061" s="3" t="s">
        <v>8796</v>
      </c>
      <c r="J3061" s="9" t="s">
        <v>12118</v>
      </c>
      <c r="Q3061" s="10"/>
      <c r="T3061" s="9" t="s">
        <v>12131</v>
      </c>
      <c r="U3061" s="9" t="str">
        <f t="shared" ca="1" si="122"/>
        <v/>
      </c>
      <c r="V3061" s="9" t="str">
        <f t="shared" ca="1" si="123"/>
        <v/>
      </c>
      <c r="AB3061" s="9" t="s">
        <v>12124</v>
      </c>
      <c r="AD3061" s="9" t="s">
        <v>19</v>
      </c>
    </row>
    <row r="3062" spans="1:33">
      <c r="A3062" s="3" t="s">
        <v>3262</v>
      </c>
      <c r="D3062" s="3" t="s">
        <v>8798</v>
      </c>
      <c r="E3062" s="3" t="s">
        <v>8797</v>
      </c>
      <c r="J3062" s="9" t="s">
        <v>12118</v>
      </c>
      <c r="Q3062" s="10"/>
      <c r="T3062" s="9">
        <f>39-61</f>
        <v>-22</v>
      </c>
      <c r="U3062" s="9">
        <f t="shared" ca="1" si="122"/>
        <v>61</v>
      </c>
      <c r="V3062" s="9">
        <f t="shared" ca="1" si="123"/>
        <v>39</v>
      </c>
      <c r="AG3062" s="9" t="s">
        <v>19</v>
      </c>
    </row>
    <row r="3063" spans="1:33">
      <c r="A3063" s="3" t="s">
        <v>3262</v>
      </c>
      <c r="D3063" s="3" t="s">
        <v>8800</v>
      </c>
      <c r="E3063" s="3" t="s">
        <v>8799</v>
      </c>
      <c r="J3063" s="9" t="s">
        <v>24</v>
      </c>
      <c r="L3063" s="9">
        <v>1</v>
      </c>
      <c r="M3063" s="9">
        <v>3</v>
      </c>
      <c r="N3063" s="9" t="s">
        <v>12094</v>
      </c>
      <c r="O3063" s="9" t="s">
        <v>12079</v>
      </c>
      <c r="Q3063" s="10"/>
      <c r="S3063" s="9">
        <v>1741</v>
      </c>
      <c r="U3063" s="9" t="str">
        <f t="shared" ca="1" si="122"/>
        <v/>
      </c>
      <c r="V3063" s="9" t="str">
        <f t="shared" ca="1" si="123"/>
        <v/>
      </c>
      <c r="AG3063" s="9" t="s">
        <v>19</v>
      </c>
    </row>
    <row r="3064" spans="1:33" ht="29">
      <c r="A3064" s="3" t="s">
        <v>3263</v>
      </c>
      <c r="D3064" s="3" t="s">
        <v>8801</v>
      </c>
      <c r="E3064" s="3" t="s">
        <v>8802</v>
      </c>
      <c r="J3064" s="9" t="s">
        <v>12118</v>
      </c>
      <c r="Q3064" s="10"/>
      <c r="T3064" s="9" t="s">
        <v>12131</v>
      </c>
      <c r="U3064" s="9" t="str">
        <f t="shared" ca="1" si="122"/>
        <v/>
      </c>
      <c r="V3064" s="9" t="str">
        <f t="shared" ca="1" si="123"/>
        <v/>
      </c>
      <c r="AC3064" s="9" t="s">
        <v>12740</v>
      </c>
      <c r="AD3064" s="9" t="s">
        <v>19</v>
      </c>
      <c r="AE3064" s="9" t="s">
        <v>12086</v>
      </c>
    </row>
    <row r="3065" spans="1:33" ht="29">
      <c r="A3065" s="3" t="s">
        <v>3263</v>
      </c>
      <c r="D3065" s="3" t="s">
        <v>8803</v>
      </c>
      <c r="E3065" s="3" t="s">
        <v>8804</v>
      </c>
      <c r="G3065" t="s">
        <v>19</v>
      </c>
      <c r="J3065" s="9" t="s">
        <v>12120</v>
      </c>
      <c r="Q3065" s="10"/>
      <c r="U3065" s="9" t="str">
        <f t="shared" ca="1" si="122"/>
        <v/>
      </c>
      <c r="V3065" s="9" t="str">
        <f t="shared" ca="1" si="123"/>
        <v/>
      </c>
    </row>
    <row r="3066" spans="1:33" ht="29">
      <c r="A3066" s="3" t="s">
        <v>3264</v>
      </c>
      <c r="D3066" s="3" t="s">
        <v>8805</v>
      </c>
      <c r="E3066" s="3" t="s">
        <v>8806</v>
      </c>
      <c r="G3066" t="s">
        <v>19</v>
      </c>
      <c r="J3066" s="9" t="s">
        <v>12118</v>
      </c>
      <c r="Q3066" s="10"/>
      <c r="T3066" s="9">
        <f>87-1966</f>
        <v>-1879</v>
      </c>
      <c r="U3066" s="9">
        <f t="shared" ca="1" si="122"/>
        <v>1966</v>
      </c>
      <c r="V3066" s="9">
        <f t="shared" ca="1" si="123"/>
        <v>87</v>
      </c>
      <c r="AE3066" s="9" t="s">
        <v>12089</v>
      </c>
    </row>
    <row r="3067" spans="1:33">
      <c r="A3067" s="3" t="s">
        <v>3265</v>
      </c>
      <c r="D3067" s="3" t="s">
        <v>3266</v>
      </c>
      <c r="E3067" s="3" t="s">
        <v>3267</v>
      </c>
      <c r="F3067" t="s">
        <v>17</v>
      </c>
      <c r="Q3067" s="10"/>
      <c r="U3067" s="9" t="str">
        <f t="shared" ca="1" si="122"/>
        <v/>
      </c>
      <c r="V3067" s="9" t="str">
        <f t="shared" ca="1" si="123"/>
        <v/>
      </c>
    </row>
    <row r="3068" spans="1:33">
      <c r="A3068" s="3" t="s">
        <v>3268</v>
      </c>
      <c r="D3068" s="3" t="s">
        <v>8808</v>
      </c>
      <c r="E3068" s="3" t="s">
        <v>8807</v>
      </c>
      <c r="J3068" s="9" t="s">
        <v>24</v>
      </c>
      <c r="L3068" s="9">
        <v>1</v>
      </c>
      <c r="M3068" s="9">
        <v>2</v>
      </c>
      <c r="N3068" s="9" t="s">
        <v>12087</v>
      </c>
      <c r="O3068" s="9" t="s">
        <v>12119</v>
      </c>
      <c r="Q3068" s="10"/>
      <c r="S3068" s="9">
        <v>1966</v>
      </c>
      <c r="U3068" s="9" t="str">
        <f t="shared" ca="1" si="122"/>
        <v/>
      </c>
      <c r="V3068" s="9" t="str">
        <f t="shared" ca="1" si="123"/>
        <v/>
      </c>
      <c r="AG3068" s="9" t="s">
        <v>19</v>
      </c>
    </row>
    <row r="3069" spans="1:33" ht="304.5">
      <c r="A3069" s="3" t="s">
        <v>3269</v>
      </c>
      <c r="D3069" s="3" t="s">
        <v>12913</v>
      </c>
      <c r="E3069" s="3" t="s">
        <v>12454</v>
      </c>
      <c r="I3069" s="2" t="s">
        <v>13118</v>
      </c>
      <c r="J3069" s="9" t="s">
        <v>24</v>
      </c>
      <c r="L3069" s="9">
        <v>37</v>
      </c>
      <c r="M3069" s="9">
        <v>151</v>
      </c>
      <c r="O3069" s="9" t="s">
        <v>12073</v>
      </c>
      <c r="P3069" s="9" t="s">
        <v>12142</v>
      </c>
      <c r="Q3069" s="10" t="s">
        <v>12455</v>
      </c>
      <c r="R3069" s="9" t="s">
        <v>12074</v>
      </c>
      <c r="S3069" s="9">
        <v>1</v>
      </c>
      <c r="U3069" s="9" t="str">
        <f t="shared" ca="1" si="122"/>
        <v/>
      </c>
      <c r="V3069" s="9" t="str">
        <f t="shared" ca="1" si="123"/>
        <v/>
      </c>
      <c r="AF3069" s="9" t="s">
        <v>19</v>
      </c>
      <c r="AG3069" s="9" t="s">
        <v>20</v>
      </c>
    </row>
    <row r="3070" spans="1:33">
      <c r="A3070" s="3" t="s">
        <v>3270</v>
      </c>
      <c r="D3070" s="3" t="s">
        <v>8809</v>
      </c>
      <c r="E3070" s="3" t="s">
        <v>8810</v>
      </c>
      <c r="J3070" s="9" t="s">
        <v>12118</v>
      </c>
      <c r="Q3070" s="10"/>
      <c r="T3070" s="9" t="s">
        <v>12131</v>
      </c>
      <c r="U3070" s="9" t="str">
        <f t="shared" ca="1" si="122"/>
        <v/>
      </c>
      <c r="V3070" s="9" t="str">
        <f t="shared" ca="1" si="123"/>
        <v/>
      </c>
      <c r="AB3070" s="9" t="s">
        <v>12124</v>
      </c>
      <c r="AD3070" s="9" t="s">
        <v>19</v>
      </c>
    </row>
    <row r="3071" spans="1:33">
      <c r="A3071" s="3" t="s">
        <v>3270</v>
      </c>
      <c r="D3071" s="3" t="s">
        <v>8814</v>
      </c>
      <c r="E3071" s="3" t="s">
        <v>8811</v>
      </c>
      <c r="I3071" t="s">
        <v>12694</v>
      </c>
      <c r="J3071" s="9" t="s">
        <v>12120</v>
      </c>
      <c r="Q3071" s="10"/>
      <c r="U3071" s="9" t="str">
        <f t="shared" ca="1" si="122"/>
        <v/>
      </c>
      <c r="V3071" s="9" t="str">
        <f t="shared" ca="1" si="123"/>
        <v/>
      </c>
      <c r="W3071" s="9" t="s">
        <v>12117</v>
      </c>
      <c r="AG3071" s="9" t="s">
        <v>19</v>
      </c>
    </row>
    <row r="3072" spans="1:33">
      <c r="A3072" s="3" t="s">
        <v>3270</v>
      </c>
      <c r="D3072" s="3" t="s">
        <v>8813</v>
      </c>
      <c r="E3072" s="3" t="s">
        <v>8812</v>
      </c>
      <c r="J3072" s="9" t="s">
        <v>12120</v>
      </c>
      <c r="Q3072" s="10"/>
      <c r="U3072" s="9" t="str">
        <f t="shared" ca="1" si="122"/>
        <v/>
      </c>
      <c r="V3072" s="9" t="str">
        <f t="shared" ca="1" si="123"/>
        <v/>
      </c>
      <c r="AC3072" s="9" t="s">
        <v>12130</v>
      </c>
      <c r="AD3072" s="9" t="s">
        <v>19</v>
      </c>
    </row>
    <row r="3073" spans="1:33">
      <c r="A3073" s="3" t="s">
        <v>3270</v>
      </c>
      <c r="D3073" s="3" t="s">
        <v>3271</v>
      </c>
      <c r="E3073" s="3" t="s">
        <v>1519</v>
      </c>
      <c r="J3073" s="9" t="s">
        <v>12120</v>
      </c>
      <c r="Q3073" s="10"/>
      <c r="U3073" s="9" t="str">
        <f t="shared" ca="1" si="122"/>
        <v/>
      </c>
      <c r="V3073" s="9" t="str">
        <f t="shared" ca="1" si="123"/>
        <v/>
      </c>
      <c r="AC3073" s="9" t="s">
        <v>12134</v>
      </c>
      <c r="AD3073" s="9" t="s">
        <v>19</v>
      </c>
      <c r="AE3073" s="9" t="s">
        <v>12086</v>
      </c>
    </row>
    <row r="3074" spans="1:33">
      <c r="A3074" s="3" t="s">
        <v>3272</v>
      </c>
      <c r="D3074" s="3" t="s">
        <v>8815</v>
      </c>
      <c r="E3074" s="3" t="s">
        <v>8816</v>
      </c>
      <c r="J3074" s="9" t="s">
        <v>25</v>
      </c>
      <c r="L3074" s="9">
        <v>1</v>
      </c>
      <c r="M3074" s="9">
        <v>1</v>
      </c>
      <c r="N3074" s="9" t="s">
        <v>12078</v>
      </c>
      <c r="O3074" s="9" t="s">
        <v>12119</v>
      </c>
      <c r="Q3074" s="10"/>
      <c r="S3074" s="9">
        <v>11843</v>
      </c>
      <c r="U3074" s="9" t="str">
        <f t="shared" ca="1" si="122"/>
        <v/>
      </c>
      <c r="V3074" s="9" t="str">
        <f t="shared" ca="1" si="123"/>
        <v/>
      </c>
      <c r="AG3074" s="9" t="s">
        <v>20</v>
      </c>
    </row>
    <row r="3075" spans="1:33">
      <c r="A3075" s="3" t="s">
        <v>3273</v>
      </c>
      <c r="D3075" s="3" t="s">
        <v>8817</v>
      </c>
      <c r="E3075" s="3" t="s">
        <v>8818</v>
      </c>
      <c r="J3075" s="9" t="s">
        <v>12118</v>
      </c>
      <c r="Q3075" s="10"/>
      <c r="T3075" s="9">
        <f>591-1741</f>
        <v>-1150</v>
      </c>
      <c r="U3075" s="9">
        <f t="shared" ca="1" si="122"/>
        <v>1741</v>
      </c>
      <c r="V3075" s="9">
        <f t="shared" ca="1" si="123"/>
        <v>591</v>
      </c>
      <c r="AG3075" s="9" t="s">
        <v>19</v>
      </c>
    </row>
    <row r="3076" spans="1:33">
      <c r="A3076" s="3" t="s">
        <v>3275</v>
      </c>
      <c r="D3076" s="3" t="s">
        <v>1849</v>
      </c>
      <c r="E3076" s="3" t="s">
        <v>3276</v>
      </c>
      <c r="J3076" s="9" t="s">
        <v>12118</v>
      </c>
      <c r="Q3076" s="10"/>
      <c r="T3076" s="9" t="s">
        <v>12131</v>
      </c>
      <c r="U3076" s="9" t="str">
        <f t="shared" ca="1" si="122"/>
        <v/>
      </c>
      <c r="V3076" s="9" t="str">
        <f t="shared" ca="1" si="123"/>
        <v/>
      </c>
      <c r="AB3076" s="9" t="s">
        <v>12124</v>
      </c>
      <c r="AD3076" s="9" t="s">
        <v>19</v>
      </c>
    </row>
    <row r="3077" spans="1:33">
      <c r="A3077" s="3" t="s">
        <v>3275</v>
      </c>
      <c r="D3077" s="3" t="s">
        <v>3277</v>
      </c>
      <c r="E3077" s="3" t="s">
        <v>132</v>
      </c>
      <c r="J3077" s="9" t="s">
        <v>12120</v>
      </c>
      <c r="Q3077" s="10"/>
      <c r="U3077" s="9" t="str">
        <f t="shared" ca="1" si="122"/>
        <v/>
      </c>
      <c r="V3077" s="9" t="str">
        <f t="shared" ca="1" si="123"/>
        <v/>
      </c>
      <c r="AC3077" s="9" t="s">
        <v>12130</v>
      </c>
      <c r="AD3077" s="9" t="s">
        <v>19</v>
      </c>
      <c r="AE3077" s="9" t="s">
        <v>12086</v>
      </c>
    </row>
    <row r="3078" spans="1:33">
      <c r="A3078" s="3" t="s">
        <v>3275</v>
      </c>
      <c r="D3078" s="3" t="s">
        <v>8819</v>
      </c>
      <c r="E3078" s="3" t="s">
        <v>8820</v>
      </c>
      <c r="J3078" s="9" t="s">
        <v>12120</v>
      </c>
      <c r="Q3078" s="10"/>
      <c r="U3078" s="9" t="str">
        <f t="shared" ca="1" si="122"/>
        <v/>
      </c>
      <c r="V3078" s="9" t="str">
        <f t="shared" ca="1" si="123"/>
        <v/>
      </c>
      <c r="AB3078" s="9" t="s">
        <v>12737</v>
      </c>
      <c r="AD3078" s="9" t="s">
        <v>19</v>
      </c>
    </row>
    <row r="3079" spans="1:33">
      <c r="A3079" s="3" t="s">
        <v>3278</v>
      </c>
      <c r="D3079" s="3" t="s">
        <v>8821</v>
      </c>
      <c r="E3079" s="3" t="s">
        <v>8822</v>
      </c>
      <c r="J3079" s="9" t="s">
        <v>12118</v>
      </c>
      <c r="Q3079" s="10"/>
      <c r="T3079" s="9" t="s">
        <v>12131</v>
      </c>
      <c r="U3079" s="9" t="str">
        <f t="shared" ca="1" si="122"/>
        <v/>
      </c>
      <c r="V3079" s="9" t="str">
        <f t="shared" ca="1" si="123"/>
        <v/>
      </c>
      <c r="AC3079" s="9" t="s">
        <v>12130</v>
      </c>
      <c r="AD3079" s="9" t="s">
        <v>19</v>
      </c>
      <c r="AE3079" s="9" t="s">
        <v>12086</v>
      </c>
    </row>
    <row r="3080" spans="1:33">
      <c r="A3080" s="3" t="s">
        <v>3279</v>
      </c>
      <c r="D3080" s="3" t="s">
        <v>3280</v>
      </c>
      <c r="E3080" s="3" t="s">
        <v>1789</v>
      </c>
      <c r="J3080" s="9" t="s">
        <v>12120</v>
      </c>
      <c r="Q3080" s="10"/>
      <c r="U3080" s="9" t="str">
        <f t="shared" ca="1" si="122"/>
        <v/>
      </c>
      <c r="V3080" s="9" t="str">
        <f t="shared" ca="1" si="123"/>
        <v/>
      </c>
      <c r="AG3080" s="9" t="s">
        <v>19</v>
      </c>
    </row>
    <row r="3081" spans="1:33">
      <c r="A3081" s="3" t="s">
        <v>3279</v>
      </c>
      <c r="D3081" s="3" t="s">
        <v>8824</v>
      </c>
      <c r="E3081" s="3" t="s">
        <v>8823</v>
      </c>
      <c r="J3081" s="9" t="s">
        <v>12120</v>
      </c>
      <c r="Q3081" s="10"/>
      <c r="U3081" s="9" t="str">
        <f t="shared" ca="1" si="122"/>
        <v/>
      </c>
      <c r="V3081" s="9" t="str">
        <f t="shared" ca="1" si="123"/>
        <v/>
      </c>
      <c r="AG3081" s="9" t="s">
        <v>20</v>
      </c>
    </row>
    <row r="3082" spans="1:33">
      <c r="A3082" s="3" t="s">
        <v>3279</v>
      </c>
      <c r="D3082" s="3" t="s">
        <v>8825</v>
      </c>
      <c r="E3082" s="3" t="s">
        <v>8826</v>
      </c>
      <c r="J3082" s="9" t="s">
        <v>12120</v>
      </c>
      <c r="Q3082" s="10"/>
      <c r="U3082" s="9" t="str">
        <f t="shared" ca="1" si="122"/>
        <v/>
      </c>
      <c r="V3082" s="9" t="str">
        <f t="shared" ca="1" si="123"/>
        <v/>
      </c>
      <c r="AB3082" s="9" t="s">
        <v>12737</v>
      </c>
      <c r="AD3082" s="9" t="s">
        <v>19</v>
      </c>
    </row>
    <row r="3083" spans="1:33" ht="29">
      <c r="A3083" s="3" t="s">
        <v>3279</v>
      </c>
      <c r="D3083" s="3" t="s">
        <v>8827</v>
      </c>
      <c r="E3083" s="3" t="s">
        <v>12695</v>
      </c>
      <c r="G3083" t="s">
        <v>19</v>
      </c>
      <c r="J3083" s="9" t="s">
        <v>24</v>
      </c>
      <c r="L3083" s="9">
        <v>1</v>
      </c>
      <c r="M3083" s="9">
        <v>3</v>
      </c>
      <c r="N3083" s="9" t="s">
        <v>12123</v>
      </c>
      <c r="O3083" s="9" t="s">
        <v>12079</v>
      </c>
      <c r="Q3083" s="10"/>
      <c r="S3083" s="9">
        <v>887</v>
      </c>
      <c r="U3083" s="9" t="str">
        <f t="shared" ca="1" si="122"/>
        <v/>
      </c>
      <c r="V3083" s="9" t="str">
        <f t="shared" ca="1" si="123"/>
        <v/>
      </c>
    </row>
    <row r="3084" spans="1:33" ht="29">
      <c r="A3084" s="3" t="s">
        <v>3279</v>
      </c>
      <c r="D3084" s="3" t="s">
        <v>12697</v>
      </c>
      <c r="E3084" s="3" t="s">
        <v>12696</v>
      </c>
      <c r="J3084" s="9" t="s">
        <v>12118</v>
      </c>
      <c r="Q3084" s="10"/>
      <c r="T3084" s="9" t="s">
        <v>12131</v>
      </c>
      <c r="U3084" s="9" t="str">
        <f t="shared" ca="1" si="122"/>
        <v/>
      </c>
      <c r="V3084" s="9" t="str">
        <f t="shared" ca="1" si="123"/>
        <v/>
      </c>
      <c r="AE3084" s="9" t="s">
        <v>12086</v>
      </c>
    </row>
    <row r="3085" spans="1:33">
      <c r="A3085" s="3" t="s">
        <v>3281</v>
      </c>
      <c r="D3085" s="3" t="s">
        <v>8828</v>
      </c>
      <c r="E3085" s="3" t="s">
        <v>8829</v>
      </c>
      <c r="J3085" s="9" t="s">
        <v>12118</v>
      </c>
      <c r="Q3085" s="10"/>
      <c r="T3085" s="9">
        <f>12-526</f>
        <v>-514</v>
      </c>
      <c r="U3085" s="9">
        <f t="shared" ca="1" si="122"/>
        <v>526</v>
      </c>
      <c r="V3085" s="9">
        <f t="shared" ca="1" si="123"/>
        <v>12</v>
      </c>
      <c r="AG3085" s="9" t="s">
        <v>19</v>
      </c>
    </row>
    <row r="3086" spans="1:33">
      <c r="A3086" s="3" t="s">
        <v>3281</v>
      </c>
      <c r="D3086" s="3" t="s">
        <v>3282</v>
      </c>
      <c r="E3086" s="3" t="s">
        <v>3283</v>
      </c>
      <c r="J3086" s="9" t="s">
        <v>12120</v>
      </c>
      <c r="Q3086" s="10"/>
      <c r="U3086" s="9" t="str">
        <f t="shared" ca="1" si="122"/>
        <v/>
      </c>
      <c r="V3086" s="9" t="str">
        <f t="shared" ca="1" si="123"/>
        <v/>
      </c>
      <c r="AG3086" s="9" t="s">
        <v>20</v>
      </c>
    </row>
    <row r="3087" spans="1:33" ht="58">
      <c r="A3087" s="3" t="s">
        <v>3284</v>
      </c>
      <c r="D3087" s="3" t="s">
        <v>8830</v>
      </c>
      <c r="E3087" s="3" t="s">
        <v>8832</v>
      </c>
      <c r="I3087" t="s">
        <v>12291</v>
      </c>
      <c r="J3087" s="9" t="s">
        <v>26</v>
      </c>
      <c r="Q3087" s="10"/>
      <c r="U3087" s="9" t="str">
        <f t="shared" ca="1" si="122"/>
        <v/>
      </c>
      <c r="V3087" s="9" t="str">
        <f t="shared" ca="1" si="123"/>
        <v/>
      </c>
      <c r="AG3087" s="9" t="s">
        <v>19</v>
      </c>
    </row>
    <row r="3088" spans="1:33" ht="43.5">
      <c r="A3088" s="3" t="s">
        <v>3284</v>
      </c>
      <c r="D3088" s="3" t="s">
        <v>8831</v>
      </c>
      <c r="E3088" s="3" t="s">
        <v>8833</v>
      </c>
      <c r="J3088" s="9" t="s">
        <v>24</v>
      </c>
      <c r="L3088" s="9">
        <v>1</v>
      </c>
      <c r="M3088" s="9">
        <v>2</v>
      </c>
      <c r="N3088" s="9" t="s">
        <v>12078</v>
      </c>
      <c r="O3088" s="9" t="s">
        <v>12119</v>
      </c>
      <c r="Q3088" s="10"/>
      <c r="R3088" s="9" t="s">
        <v>12074</v>
      </c>
      <c r="S3088" s="9">
        <v>11843</v>
      </c>
      <c r="U3088" s="9" t="str">
        <f t="shared" ca="1" si="122"/>
        <v/>
      </c>
      <c r="V3088" s="9" t="str">
        <f t="shared" ca="1" si="123"/>
        <v/>
      </c>
      <c r="AE3088" s="9" t="s">
        <v>12083</v>
      </c>
    </row>
    <row r="3089" spans="1:33">
      <c r="A3089" s="3" t="s">
        <v>3285</v>
      </c>
      <c r="D3089" s="3" t="s">
        <v>8834</v>
      </c>
      <c r="E3089" s="3" t="s">
        <v>8835</v>
      </c>
      <c r="J3089" s="9" t="s">
        <v>25</v>
      </c>
      <c r="L3089" s="9">
        <v>1</v>
      </c>
      <c r="M3089" s="9">
        <v>2</v>
      </c>
      <c r="N3089" s="9" t="s">
        <v>12078</v>
      </c>
      <c r="O3089" s="9" t="s">
        <v>12119</v>
      </c>
      <c r="Q3089" s="10"/>
      <c r="S3089" s="9">
        <v>11843</v>
      </c>
      <c r="U3089" s="9" t="str">
        <f t="shared" ref="U3089:U3152" ca="1" si="124">IF(ISNUMBER(T3089),VALUE(MID(_xlfn.FORMULATEXT(T3089),SEARCH("-",_xlfn.FORMULATEXT(T3089))+1,LEN(_xlfn.FORMULATEXT(T3089))-SEARCH("-",_xlfn.FORMULATEXT(T3089)))), "")</f>
        <v/>
      </c>
      <c r="V3089" s="9" t="str">
        <f t="shared" ref="V3089:V3152" ca="1" si="125">IF(ISNUMBER(T3089), VALUE(MID(_xlfn.FORMULATEXT(T3089), 2, SEARCH("-", _xlfn.FORMULATEXT(T3089)) - 2)), "")</f>
        <v/>
      </c>
      <c r="AG3089" s="9" t="s">
        <v>20</v>
      </c>
    </row>
    <row r="3090" spans="1:33">
      <c r="A3090" s="3" t="s">
        <v>3285</v>
      </c>
      <c r="D3090" s="3" t="s">
        <v>8837</v>
      </c>
      <c r="E3090" s="3" t="s">
        <v>8838</v>
      </c>
      <c r="J3090" s="9" t="s">
        <v>12118</v>
      </c>
      <c r="Q3090" s="10"/>
      <c r="T3090" s="9">
        <f>526-12</f>
        <v>514</v>
      </c>
      <c r="U3090" s="9">
        <f t="shared" ca="1" si="124"/>
        <v>12</v>
      </c>
      <c r="V3090" s="9">
        <f t="shared" ca="1" si="125"/>
        <v>526</v>
      </c>
      <c r="AG3090" s="9" t="s">
        <v>19</v>
      </c>
    </row>
    <row r="3091" spans="1:33">
      <c r="A3091" s="3" t="s">
        <v>3285</v>
      </c>
      <c r="D3091" s="3" t="s">
        <v>8839</v>
      </c>
      <c r="E3091" s="3" t="s">
        <v>8836</v>
      </c>
      <c r="J3091" s="9" t="s">
        <v>25</v>
      </c>
      <c r="L3091" s="9">
        <v>1</v>
      </c>
      <c r="M3091" s="9">
        <v>3</v>
      </c>
      <c r="N3091" s="9" t="s">
        <v>12078</v>
      </c>
      <c r="O3091" s="9" t="s">
        <v>12079</v>
      </c>
      <c r="Q3091" s="10"/>
      <c r="S3091" s="9">
        <v>11843</v>
      </c>
      <c r="U3091" s="9" t="str">
        <f t="shared" ca="1" si="124"/>
        <v/>
      </c>
      <c r="V3091" s="9" t="str">
        <f t="shared" ca="1" si="125"/>
        <v/>
      </c>
      <c r="AG3091" s="9" t="s">
        <v>20</v>
      </c>
    </row>
    <row r="3092" spans="1:33">
      <c r="A3092" s="3" t="s">
        <v>3286</v>
      </c>
      <c r="D3092" s="3" t="s">
        <v>8841</v>
      </c>
      <c r="E3092" s="3" t="s">
        <v>8840</v>
      </c>
      <c r="J3092" s="9" t="s">
        <v>12120</v>
      </c>
      <c r="Q3092" s="10"/>
      <c r="U3092" s="9" t="str">
        <f t="shared" ca="1" si="124"/>
        <v/>
      </c>
      <c r="V3092" s="9" t="str">
        <f t="shared" ca="1" si="125"/>
        <v/>
      </c>
      <c r="AB3092" s="9" t="s">
        <v>12082</v>
      </c>
      <c r="AD3092" s="9" t="s">
        <v>19</v>
      </c>
    </row>
    <row r="3093" spans="1:33" ht="43.5">
      <c r="A3093" s="3" t="s">
        <v>3287</v>
      </c>
      <c r="D3093" s="3" t="s">
        <v>8843</v>
      </c>
      <c r="E3093" s="3" t="s">
        <v>8842</v>
      </c>
      <c r="J3093" s="9" t="s">
        <v>25</v>
      </c>
      <c r="L3093" s="9">
        <v>1</v>
      </c>
      <c r="M3093" s="9">
        <v>2</v>
      </c>
      <c r="N3093" s="9" t="s">
        <v>12087</v>
      </c>
      <c r="O3093" s="9" t="s">
        <v>12119</v>
      </c>
      <c r="Q3093" s="10"/>
      <c r="S3093" s="9">
        <v>1966</v>
      </c>
      <c r="U3093" s="9" t="str">
        <f t="shared" ca="1" si="124"/>
        <v/>
      </c>
      <c r="V3093" s="9" t="str">
        <f t="shared" ca="1" si="125"/>
        <v/>
      </c>
      <c r="AG3093" s="9" t="s">
        <v>20</v>
      </c>
    </row>
    <row r="3094" spans="1:33" ht="43.5">
      <c r="A3094" s="3" t="s">
        <v>3287</v>
      </c>
      <c r="D3094" s="3" t="s">
        <v>8845</v>
      </c>
      <c r="E3094" s="3" t="s">
        <v>8844</v>
      </c>
      <c r="I3094" t="s">
        <v>5458</v>
      </c>
      <c r="J3094" s="9" t="s">
        <v>26</v>
      </c>
      <c r="Q3094" s="10"/>
      <c r="U3094" s="9" t="str">
        <f t="shared" ca="1" si="124"/>
        <v/>
      </c>
      <c r="V3094" s="9" t="str">
        <f t="shared" ca="1" si="125"/>
        <v/>
      </c>
      <c r="AG3094" s="9" t="s">
        <v>19</v>
      </c>
    </row>
    <row r="3095" spans="1:33" ht="43.5">
      <c r="A3095" s="3" t="s">
        <v>3287</v>
      </c>
      <c r="D3095" s="3" t="s">
        <v>8846</v>
      </c>
      <c r="E3095" s="3" t="s">
        <v>8842</v>
      </c>
      <c r="J3095" s="9" t="s">
        <v>25</v>
      </c>
      <c r="L3095" s="9">
        <v>1</v>
      </c>
      <c r="M3095" s="9">
        <v>2</v>
      </c>
      <c r="N3095" s="9" t="s">
        <v>12078</v>
      </c>
      <c r="O3095" s="9" t="s">
        <v>12119</v>
      </c>
      <c r="Q3095" s="10"/>
      <c r="S3095" s="9">
        <v>11843</v>
      </c>
      <c r="U3095" s="9" t="str">
        <f t="shared" ca="1" si="124"/>
        <v/>
      </c>
      <c r="V3095" s="9" t="str">
        <f t="shared" ca="1" si="125"/>
        <v/>
      </c>
      <c r="AG3095" s="9" t="s">
        <v>19</v>
      </c>
    </row>
    <row r="3096" spans="1:33" ht="43.5">
      <c r="A3096" s="3" t="s">
        <v>3287</v>
      </c>
      <c r="D3096" s="3" t="s">
        <v>8847</v>
      </c>
      <c r="E3096" s="3" t="s">
        <v>8842</v>
      </c>
      <c r="H3096" t="s">
        <v>19</v>
      </c>
      <c r="I3096" s="4"/>
      <c r="J3096" s="9" t="s">
        <v>25</v>
      </c>
      <c r="L3096" s="9">
        <v>1</v>
      </c>
      <c r="M3096" s="9">
        <v>2</v>
      </c>
      <c r="N3096" s="9" t="s">
        <v>12078</v>
      </c>
      <c r="O3096" s="9" t="s">
        <v>12119</v>
      </c>
      <c r="Q3096" s="10"/>
      <c r="S3096" s="9">
        <v>11843</v>
      </c>
      <c r="U3096" s="9" t="str">
        <f t="shared" ca="1" si="124"/>
        <v/>
      </c>
      <c r="V3096" s="9" t="str">
        <f t="shared" ca="1" si="125"/>
        <v/>
      </c>
      <c r="AG3096" s="9" t="s">
        <v>20</v>
      </c>
    </row>
    <row r="3097" spans="1:33">
      <c r="A3097" s="3" t="s">
        <v>3287</v>
      </c>
      <c r="D3097" s="3" t="s">
        <v>8848</v>
      </c>
      <c r="E3097" s="3" t="s">
        <v>8849</v>
      </c>
      <c r="J3097" s="9" t="s">
        <v>12120</v>
      </c>
      <c r="Q3097" s="10"/>
      <c r="U3097" s="9" t="str">
        <f t="shared" ca="1" si="124"/>
        <v/>
      </c>
      <c r="V3097" s="9" t="str">
        <f t="shared" ca="1" si="125"/>
        <v/>
      </c>
      <c r="AC3097" s="9" t="s">
        <v>12134</v>
      </c>
      <c r="AD3097" s="9" t="s">
        <v>19</v>
      </c>
    </row>
    <row r="3098" spans="1:33">
      <c r="A3098" s="3" t="s">
        <v>3287</v>
      </c>
      <c r="D3098" s="3" t="s">
        <v>3280</v>
      </c>
      <c r="E3098" s="3" t="s">
        <v>1789</v>
      </c>
      <c r="J3098" s="9" t="s">
        <v>12120</v>
      </c>
      <c r="Q3098" s="10"/>
      <c r="U3098" s="9" t="str">
        <f t="shared" ca="1" si="124"/>
        <v/>
      </c>
      <c r="V3098" s="9" t="str">
        <f t="shared" ca="1" si="125"/>
        <v/>
      </c>
      <c r="AG3098" s="9" t="s">
        <v>19</v>
      </c>
    </row>
    <row r="3099" spans="1:33" ht="29">
      <c r="A3099" s="3" t="s">
        <v>3289</v>
      </c>
      <c r="D3099" s="3" t="s">
        <v>8850</v>
      </c>
      <c r="E3099" s="3" t="s">
        <v>8851</v>
      </c>
      <c r="G3099" t="s">
        <v>19</v>
      </c>
      <c r="J3099" s="9" t="s">
        <v>24</v>
      </c>
      <c r="L3099" s="9">
        <v>1</v>
      </c>
      <c r="M3099" s="9">
        <v>2</v>
      </c>
      <c r="N3099" s="9" t="s">
        <v>12078</v>
      </c>
      <c r="O3099" s="9" t="s">
        <v>12119</v>
      </c>
      <c r="Q3099" s="10"/>
      <c r="S3099" s="9">
        <v>11843</v>
      </c>
      <c r="U3099" s="9" t="str">
        <f t="shared" ca="1" si="124"/>
        <v/>
      </c>
      <c r="V3099" s="9" t="str">
        <f t="shared" ca="1" si="125"/>
        <v/>
      </c>
    </row>
    <row r="3100" spans="1:33" ht="29">
      <c r="A3100" s="3" t="s">
        <v>3289</v>
      </c>
      <c r="D3100" s="3" t="s">
        <v>8853</v>
      </c>
      <c r="E3100" s="3" t="s">
        <v>8852</v>
      </c>
      <c r="G3100" t="s">
        <v>19</v>
      </c>
      <c r="J3100" s="9" t="s">
        <v>12120</v>
      </c>
      <c r="Q3100" s="10"/>
      <c r="U3100" s="9" t="str">
        <f t="shared" ca="1" si="124"/>
        <v/>
      </c>
      <c r="V3100" s="9" t="str">
        <f t="shared" ca="1" si="125"/>
        <v/>
      </c>
    </row>
    <row r="3101" spans="1:33" ht="29">
      <c r="A3101" s="3" t="s">
        <v>3290</v>
      </c>
      <c r="D3101" s="3" t="s">
        <v>8855</v>
      </c>
      <c r="E3101" s="3" t="s">
        <v>8854</v>
      </c>
      <c r="J3101" s="9" t="s">
        <v>25</v>
      </c>
      <c r="L3101" s="9">
        <v>1</v>
      </c>
      <c r="M3101" s="9">
        <v>5</v>
      </c>
      <c r="N3101" s="9" t="s">
        <v>12094</v>
      </c>
      <c r="O3101" s="9" t="s">
        <v>12073</v>
      </c>
      <c r="P3101" s="9" t="s">
        <v>12142</v>
      </c>
      <c r="Q3101" s="10" t="s">
        <v>12143</v>
      </c>
      <c r="S3101" s="9">
        <v>4240</v>
      </c>
      <c r="U3101" s="9" t="str">
        <f t="shared" ca="1" si="124"/>
        <v/>
      </c>
      <c r="V3101" s="9" t="str">
        <f t="shared" ca="1" si="125"/>
        <v/>
      </c>
      <c r="AG3101" s="9" t="s">
        <v>19</v>
      </c>
    </row>
    <row r="3102" spans="1:33" ht="29">
      <c r="A3102" s="3" t="s">
        <v>3290</v>
      </c>
      <c r="D3102" s="3" t="s">
        <v>8856</v>
      </c>
      <c r="E3102" s="3" t="s">
        <v>8857</v>
      </c>
      <c r="J3102" s="9" t="s">
        <v>25</v>
      </c>
      <c r="L3102" s="9">
        <v>2</v>
      </c>
      <c r="M3102" s="9">
        <v>11</v>
      </c>
      <c r="O3102" s="9" t="s">
        <v>12079</v>
      </c>
      <c r="Q3102" s="10"/>
      <c r="S3102" s="9">
        <v>16</v>
      </c>
      <c r="U3102" s="9" t="str">
        <f t="shared" ca="1" si="124"/>
        <v/>
      </c>
      <c r="V3102" s="9" t="str">
        <f t="shared" ca="1" si="125"/>
        <v/>
      </c>
      <c r="AG3102" s="9" t="s">
        <v>20</v>
      </c>
    </row>
    <row r="3103" spans="1:33">
      <c r="A3103" s="3" t="s">
        <v>3291</v>
      </c>
      <c r="D3103" s="3" t="s">
        <v>8693</v>
      </c>
      <c r="E3103" s="3" t="s">
        <v>8694</v>
      </c>
      <c r="I3103" t="s">
        <v>12698</v>
      </c>
      <c r="J3103" s="9" t="s">
        <v>25</v>
      </c>
      <c r="L3103" s="9">
        <v>1</v>
      </c>
      <c r="M3103" s="9">
        <v>3</v>
      </c>
      <c r="N3103" s="9" t="s">
        <v>12087</v>
      </c>
      <c r="O3103" s="9" t="s">
        <v>12079</v>
      </c>
      <c r="Q3103" s="10"/>
      <c r="S3103" s="9">
        <v>810</v>
      </c>
      <c r="U3103" s="9" t="str">
        <f t="shared" ca="1" si="124"/>
        <v/>
      </c>
      <c r="V3103" s="9" t="str">
        <f t="shared" ca="1" si="125"/>
        <v/>
      </c>
      <c r="W3103" s="9" t="s">
        <v>12117</v>
      </c>
      <c r="AG3103" s="9" t="s">
        <v>19</v>
      </c>
    </row>
    <row r="3104" spans="1:33">
      <c r="A3104" s="3" t="s">
        <v>3291</v>
      </c>
      <c r="D3104" s="3" t="s">
        <v>8858</v>
      </c>
      <c r="E3104" s="3" t="s">
        <v>8859</v>
      </c>
      <c r="F3104" t="s">
        <v>11</v>
      </c>
      <c r="G3104" t="s">
        <v>19</v>
      </c>
      <c r="Q3104" s="10"/>
      <c r="U3104" s="9" t="str">
        <f t="shared" ca="1" si="124"/>
        <v/>
      </c>
      <c r="V3104" s="9" t="str">
        <f t="shared" ca="1" si="125"/>
        <v/>
      </c>
    </row>
    <row r="3105" spans="1:33" ht="29">
      <c r="A3105" s="3" t="s">
        <v>3292</v>
      </c>
      <c r="D3105" s="3" t="s">
        <v>8861</v>
      </c>
      <c r="E3105" s="3" t="s">
        <v>8860</v>
      </c>
      <c r="J3105" s="9" t="s">
        <v>25</v>
      </c>
      <c r="L3105" s="9">
        <v>2</v>
      </c>
      <c r="M3105" s="9">
        <v>8</v>
      </c>
      <c r="O3105" s="9" t="s">
        <v>12079</v>
      </c>
      <c r="Q3105" s="10"/>
      <c r="S3105" s="9">
        <v>27</v>
      </c>
      <c r="U3105" s="9" t="str">
        <f t="shared" ca="1" si="124"/>
        <v/>
      </c>
      <c r="V3105" s="9" t="str">
        <f t="shared" ca="1" si="125"/>
        <v/>
      </c>
      <c r="AG3105" s="9" t="s">
        <v>20</v>
      </c>
    </row>
    <row r="3106" spans="1:33">
      <c r="A3106" s="3" t="s">
        <v>3293</v>
      </c>
      <c r="D3106" s="3" t="s">
        <v>3294</v>
      </c>
      <c r="E3106" s="3" t="s">
        <v>3295</v>
      </c>
      <c r="J3106" s="9" t="s">
        <v>12120</v>
      </c>
      <c r="Q3106" s="10"/>
      <c r="U3106" s="9" t="str">
        <f t="shared" ca="1" si="124"/>
        <v/>
      </c>
      <c r="V3106" s="9" t="str">
        <f t="shared" ca="1" si="125"/>
        <v/>
      </c>
      <c r="AE3106" s="9" t="s">
        <v>12086</v>
      </c>
    </row>
    <row r="3107" spans="1:33" ht="29">
      <c r="A3107" s="3" t="s">
        <v>3296</v>
      </c>
      <c r="D3107" s="3" t="s">
        <v>8863</v>
      </c>
      <c r="E3107" s="3" t="s">
        <v>8862</v>
      </c>
      <c r="J3107" s="9" t="s">
        <v>24</v>
      </c>
      <c r="L3107" s="9">
        <v>1</v>
      </c>
      <c r="M3107" s="9">
        <v>3</v>
      </c>
      <c r="N3107" s="9" t="s">
        <v>12087</v>
      </c>
      <c r="O3107" s="9" t="s">
        <v>12079</v>
      </c>
      <c r="Q3107" s="10"/>
      <c r="S3107" s="9">
        <v>356</v>
      </c>
      <c r="U3107" s="9" t="str">
        <f t="shared" ca="1" si="124"/>
        <v/>
      </c>
      <c r="V3107" s="9" t="str">
        <f t="shared" ca="1" si="125"/>
        <v/>
      </c>
      <c r="AG3107" s="9" t="s">
        <v>19</v>
      </c>
    </row>
    <row r="3108" spans="1:33" ht="29">
      <c r="A3108" s="3" t="s">
        <v>3296</v>
      </c>
      <c r="D3108" s="3" t="s">
        <v>8864</v>
      </c>
      <c r="E3108" s="3" t="s">
        <v>8865</v>
      </c>
      <c r="J3108" s="9" t="s">
        <v>12120</v>
      </c>
      <c r="Q3108" s="10"/>
      <c r="U3108" s="9" t="str">
        <f t="shared" ca="1" si="124"/>
        <v/>
      </c>
      <c r="V3108" s="9" t="str">
        <f t="shared" ca="1" si="125"/>
        <v/>
      </c>
      <c r="AC3108" s="9" t="s">
        <v>12188</v>
      </c>
      <c r="AD3108" s="9" t="s">
        <v>19</v>
      </c>
      <c r="AE3108" s="9" t="s">
        <v>12089</v>
      </c>
    </row>
    <row r="3109" spans="1:33" ht="29">
      <c r="A3109" s="3" t="s">
        <v>3297</v>
      </c>
      <c r="D3109" s="3" t="s">
        <v>8866</v>
      </c>
      <c r="E3109" s="3" t="s">
        <v>8867</v>
      </c>
      <c r="J3109" s="9" t="s">
        <v>12120</v>
      </c>
      <c r="Q3109" s="10"/>
      <c r="U3109" s="9" t="str">
        <f t="shared" ca="1" si="124"/>
        <v/>
      </c>
      <c r="V3109" s="9" t="str">
        <f t="shared" ca="1" si="125"/>
        <v/>
      </c>
      <c r="AE3109" s="9" t="s">
        <v>12077</v>
      </c>
    </row>
    <row r="3110" spans="1:33" ht="29">
      <c r="A3110" s="3" t="s">
        <v>3297</v>
      </c>
      <c r="D3110" s="3" t="s">
        <v>8868</v>
      </c>
      <c r="E3110" s="3" t="s">
        <v>8869</v>
      </c>
      <c r="J3110" s="9" t="s">
        <v>12120</v>
      </c>
      <c r="Q3110" s="10"/>
      <c r="U3110" s="9" t="str">
        <f t="shared" ca="1" si="124"/>
        <v/>
      </c>
      <c r="V3110" s="9" t="str">
        <f t="shared" ca="1" si="125"/>
        <v/>
      </c>
      <c r="AB3110" s="9" t="s">
        <v>12082</v>
      </c>
      <c r="AD3110" s="9" t="s">
        <v>19</v>
      </c>
    </row>
    <row r="3111" spans="1:33" ht="43.5">
      <c r="A3111" s="3" t="s">
        <v>3298</v>
      </c>
      <c r="D3111" s="3" t="s">
        <v>8870</v>
      </c>
      <c r="E3111" s="3" t="s">
        <v>8871</v>
      </c>
      <c r="I3111" t="s">
        <v>12456</v>
      </c>
      <c r="J3111" s="9" t="s">
        <v>26</v>
      </c>
      <c r="Q3111" s="10"/>
      <c r="U3111" s="9" t="str">
        <f t="shared" ca="1" si="124"/>
        <v/>
      </c>
      <c r="V3111" s="9" t="str">
        <f t="shared" ca="1" si="125"/>
        <v/>
      </c>
      <c r="AG3111" s="9" t="s">
        <v>13141</v>
      </c>
    </row>
    <row r="3112" spans="1:33">
      <c r="A3112" s="3" t="s">
        <v>3299</v>
      </c>
      <c r="D3112" s="3" t="s">
        <v>8872</v>
      </c>
      <c r="E3112" s="3" t="s">
        <v>8873</v>
      </c>
      <c r="J3112" s="9" t="s">
        <v>12118</v>
      </c>
      <c r="Q3112" s="10"/>
      <c r="T3112" s="9">
        <f>3-92</f>
        <v>-89</v>
      </c>
      <c r="U3112" s="9">
        <f t="shared" ca="1" si="124"/>
        <v>92</v>
      </c>
      <c r="V3112" s="9">
        <f t="shared" ca="1" si="125"/>
        <v>3</v>
      </c>
      <c r="AG3112" s="9" t="s">
        <v>19</v>
      </c>
    </row>
    <row r="3113" spans="1:33">
      <c r="A3113" s="3" t="s">
        <v>3300</v>
      </c>
      <c r="D3113" s="3" t="s">
        <v>8874</v>
      </c>
      <c r="E3113" s="3" t="s">
        <v>8875</v>
      </c>
      <c r="J3113" s="9" t="s">
        <v>12120</v>
      </c>
      <c r="Q3113" s="10"/>
      <c r="U3113" s="9" t="str">
        <f t="shared" ca="1" si="124"/>
        <v/>
      </c>
      <c r="V3113" s="9" t="str">
        <f t="shared" ca="1" si="125"/>
        <v/>
      </c>
      <c r="AE3113" s="9" t="s">
        <v>12089</v>
      </c>
    </row>
    <row r="3114" spans="1:33" ht="29">
      <c r="A3114" s="3" t="s">
        <v>3300</v>
      </c>
      <c r="D3114" s="3" t="s">
        <v>8876</v>
      </c>
      <c r="E3114" s="3" t="s">
        <v>8877</v>
      </c>
      <c r="I3114" t="s">
        <v>12177</v>
      </c>
      <c r="J3114" s="9" t="s">
        <v>26</v>
      </c>
      <c r="Q3114" s="10"/>
      <c r="U3114" s="9" t="str">
        <f t="shared" ca="1" si="124"/>
        <v/>
      </c>
      <c r="V3114" s="9" t="str">
        <f t="shared" ca="1" si="125"/>
        <v/>
      </c>
      <c r="AG3114" s="9" t="s">
        <v>20</v>
      </c>
    </row>
    <row r="3115" spans="1:33">
      <c r="A3115" s="3" t="s">
        <v>3301</v>
      </c>
      <c r="D3115" s="3" t="s">
        <v>115</v>
      </c>
      <c r="E3115" s="3" t="s">
        <v>116</v>
      </c>
      <c r="J3115" s="9" t="s">
        <v>12118</v>
      </c>
      <c r="Q3115" s="10"/>
      <c r="T3115" s="9" t="s">
        <v>12131</v>
      </c>
      <c r="U3115" s="9" t="str">
        <f t="shared" ca="1" si="124"/>
        <v/>
      </c>
      <c r="V3115" s="9" t="str">
        <f t="shared" ca="1" si="125"/>
        <v/>
      </c>
      <c r="AC3115" s="9" t="s">
        <v>12130</v>
      </c>
      <c r="AD3115" s="9" t="s">
        <v>19</v>
      </c>
    </row>
    <row r="3116" spans="1:33" ht="58">
      <c r="A3116" s="3" t="s">
        <v>3302</v>
      </c>
      <c r="D3116" s="3" t="s">
        <v>8878</v>
      </c>
      <c r="E3116" s="3" t="s">
        <v>8879</v>
      </c>
      <c r="I3116" t="s">
        <v>10402</v>
      </c>
      <c r="J3116" s="9" t="s">
        <v>26</v>
      </c>
      <c r="Q3116" s="10"/>
      <c r="U3116" s="9" t="str">
        <f t="shared" ca="1" si="124"/>
        <v/>
      </c>
      <c r="V3116" s="9" t="str">
        <f t="shared" ca="1" si="125"/>
        <v/>
      </c>
      <c r="AG3116" s="9" t="s">
        <v>20</v>
      </c>
    </row>
    <row r="3117" spans="1:33" ht="58">
      <c r="A3117" s="3" t="s">
        <v>3302</v>
      </c>
      <c r="D3117" s="3" t="s">
        <v>8880</v>
      </c>
      <c r="E3117" s="3" t="s">
        <v>8881</v>
      </c>
      <c r="J3117" s="9" t="s">
        <v>12118</v>
      </c>
      <c r="Q3117" s="10"/>
      <c r="T3117" s="9">
        <f>8-169</f>
        <v>-161</v>
      </c>
      <c r="U3117" s="9">
        <f t="shared" ca="1" si="124"/>
        <v>169</v>
      </c>
      <c r="V3117" s="9">
        <f t="shared" ca="1" si="125"/>
        <v>8</v>
      </c>
      <c r="AG3117" s="9" t="s">
        <v>19</v>
      </c>
    </row>
    <row r="3118" spans="1:33">
      <c r="A3118" s="3" t="s">
        <v>3304</v>
      </c>
      <c r="D3118" s="3" t="s">
        <v>8882</v>
      </c>
      <c r="E3118" s="3" t="s">
        <v>8883</v>
      </c>
      <c r="J3118" s="9" t="s">
        <v>25</v>
      </c>
      <c r="L3118" s="9">
        <v>2</v>
      </c>
      <c r="M3118" s="9">
        <v>8</v>
      </c>
      <c r="O3118" s="9" t="s">
        <v>12079</v>
      </c>
      <c r="Q3118" s="10"/>
      <c r="S3118" s="9">
        <v>14</v>
      </c>
      <c r="U3118" s="9" t="str">
        <f t="shared" ca="1" si="124"/>
        <v/>
      </c>
      <c r="V3118" s="9" t="str">
        <f t="shared" ca="1" si="125"/>
        <v/>
      </c>
      <c r="AG3118" s="9" t="s">
        <v>20</v>
      </c>
    </row>
    <row r="3119" spans="1:33">
      <c r="A3119" s="3" t="s">
        <v>3305</v>
      </c>
      <c r="D3119" s="3" t="s">
        <v>8884</v>
      </c>
      <c r="E3119" s="3" t="s">
        <v>8886</v>
      </c>
      <c r="J3119" s="9" t="s">
        <v>25</v>
      </c>
      <c r="L3119" s="9">
        <v>1</v>
      </c>
      <c r="M3119" s="9">
        <v>2</v>
      </c>
      <c r="N3119" s="9" t="s">
        <v>12087</v>
      </c>
      <c r="O3119" s="9" t="s">
        <v>12119</v>
      </c>
      <c r="Q3119" s="10"/>
      <c r="S3119" s="9">
        <v>1966</v>
      </c>
      <c r="U3119" s="9" t="str">
        <f t="shared" ca="1" si="124"/>
        <v/>
      </c>
      <c r="V3119" s="9" t="str">
        <f t="shared" ca="1" si="125"/>
        <v/>
      </c>
      <c r="AG3119" s="9" t="s">
        <v>20</v>
      </c>
    </row>
    <row r="3120" spans="1:33">
      <c r="A3120" s="3" t="s">
        <v>3305</v>
      </c>
      <c r="D3120" s="3" t="s">
        <v>8885</v>
      </c>
      <c r="E3120" s="3" t="s">
        <v>8887</v>
      </c>
      <c r="J3120" s="9" t="s">
        <v>25</v>
      </c>
      <c r="L3120" s="9">
        <v>1</v>
      </c>
      <c r="M3120" s="9">
        <v>2</v>
      </c>
      <c r="N3120" s="9" t="s">
        <v>12087</v>
      </c>
      <c r="O3120" s="9" t="s">
        <v>12119</v>
      </c>
      <c r="Q3120" s="10"/>
      <c r="S3120" s="9">
        <v>1966</v>
      </c>
      <c r="U3120" s="9" t="str">
        <f t="shared" ca="1" si="124"/>
        <v/>
      </c>
      <c r="V3120" s="9" t="str">
        <f t="shared" ca="1" si="125"/>
        <v/>
      </c>
      <c r="AG3120" s="9" t="s">
        <v>13141</v>
      </c>
    </row>
    <row r="3121" spans="1:33" ht="29">
      <c r="A3121" s="3" t="s">
        <v>3306</v>
      </c>
      <c r="D3121" s="3" t="s">
        <v>8889</v>
      </c>
      <c r="E3121" s="3" t="s">
        <v>8888</v>
      </c>
      <c r="I3121" t="s">
        <v>5457</v>
      </c>
      <c r="J3121" s="9" t="s">
        <v>26</v>
      </c>
      <c r="Q3121" s="10"/>
      <c r="U3121" s="9" t="str">
        <f t="shared" ca="1" si="124"/>
        <v/>
      </c>
      <c r="V3121" s="9" t="str">
        <f t="shared" ca="1" si="125"/>
        <v/>
      </c>
      <c r="AG3121" s="9" t="s">
        <v>20</v>
      </c>
    </row>
    <row r="3122" spans="1:33" ht="29">
      <c r="A3122" s="3" t="s">
        <v>3307</v>
      </c>
      <c r="D3122" s="3" t="s">
        <v>8891</v>
      </c>
      <c r="E3122" s="3" t="s">
        <v>8890</v>
      </c>
      <c r="I3122" t="s">
        <v>12699</v>
      </c>
      <c r="J3122" s="9" t="s">
        <v>25</v>
      </c>
      <c r="L3122" s="9">
        <v>2</v>
      </c>
      <c r="M3122" s="9">
        <v>9</v>
      </c>
      <c r="O3122" s="9" t="s">
        <v>12073</v>
      </c>
      <c r="P3122" s="9" t="s">
        <v>12140</v>
      </c>
      <c r="Q3122" s="10" t="s">
        <v>12136</v>
      </c>
      <c r="S3122" s="9">
        <v>8</v>
      </c>
      <c r="U3122" s="9" t="str">
        <f t="shared" ca="1" si="124"/>
        <v/>
      </c>
      <c r="V3122" s="9" t="str">
        <f t="shared" ca="1" si="125"/>
        <v/>
      </c>
      <c r="W3122" s="9" t="s">
        <v>12117</v>
      </c>
      <c r="AG3122" s="9" t="s">
        <v>19</v>
      </c>
    </row>
    <row r="3123" spans="1:33" ht="116">
      <c r="A3123" s="3" t="s">
        <v>3308</v>
      </c>
      <c r="D3123" s="11" t="s">
        <v>12457</v>
      </c>
      <c r="E3123" s="11" t="s">
        <v>12458</v>
      </c>
      <c r="I3123" t="s">
        <v>12459</v>
      </c>
      <c r="J3123" s="9" t="s">
        <v>26</v>
      </c>
      <c r="Q3123" s="10"/>
      <c r="U3123" s="9" t="str">
        <f t="shared" ca="1" si="124"/>
        <v/>
      </c>
      <c r="V3123" s="9" t="str">
        <f t="shared" ca="1" si="125"/>
        <v/>
      </c>
      <c r="AG3123" s="9" t="s">
        <v>20</v>
      </c>
    </row>
    <row r="3124" spans="1:33" ht="116">
      <c r="A3124" s="3" t="s">
        <v>3308</v>
      </c>
      <c r="D3124" s="3" t="s">
        <v>12461</v>
      </c>
      <c r="E3124" s="3" t="s">
        <v>12462</v>
      </c>
      <c r="J3124" s="9" t="s">
        <v>12120</v>
      </c>
      <c r="Q3124" s="10"/>
      <c r="U3124" s="9" t="str">
        <f t="shared" ca="1" si="124"/>
        <v/>
      </c>
      <c r="V3124" s="9" t="str">
        <f t="shared" ca="1" si="125"/>
        <v/>
      </c>
      <c r="AG3124" s="9" t="s">
        <v>20</v>
      </c>
    </row>
    <row r="3125" spans="1:33" ht="116">
      <c r="A3125" s="3" t="s">
        <v>3308</v>
      </c>
      <c r="D3125" s="3" t="s">
        <v>12460</v>
      </c>
      <c r="E3125" s="3" t="s">
        <v>12463</v>
      </c>
      <c r="I3125" t="s">
        <v>12464</v>
      </c>
      <c r="J3125" s="9" t="s">
        <v>24</v>
      </c>
      <c r="L3125" s="9">
        <v>6</v>
      </c>
      <c r="M3125" s="9">
        <v>30</v>
      </c>
      <c r="O3125" s="9" t="s">
        <v>12079</v>
      </c>
      <c r="Q3125" s="10"/>
      <c r="S3125" s="9">
        <v>31</v>
      </c>
      <c r="U3125" s="9" t="str">
        <f t="shared" ca="1" si="124"/>
        <v/>
      </c>
      <c r="V3125" s="9" t="str">
        <f t="shared" ca="1" si="125"/>
        <v/>
      </c>
      <c r="AG3125" s="9" t="s">
        <v>20</v>
      </c>
    </row>
    <row r="3126" spans="1:33" ht="29">
      <c r="A3126" s="3" t="s">
        <v>3309</v>
      </c>
      <c r="D3126" s="3" t="s">
        <v>8893</v>
      </c>
      <c r="E3126" s="3" t="s">
        <v>8892</v>
      </c>
      <c r="J3126" s="9" t="s">
        <v>25</v>
      </c>
      <c r="L3126" s="9">
        <v>2</v>
      </c>
      <c r="M3126" s="9">
        <v>8</v>
      </c>
      <c r="O3126" s="9" t="s">
        <v>12079</v>
      </c>
      <c r="Q3126" s="10"/>
      <c r="S3126" s="9">
        <v>33</v>
      </c>
      <c r="U3126" s="9" t="str">
        <f t="shared" ca="1" si="124"/>
        <v/>
      </c>
      <c r="V3126" s="9" t="str">
        <f t="shared" ca="1" si="125"/>
        <v/>
      </c>
      <c r="AG3126" s="9" t="s">
        <v>20</v>
      </c>
    </row>
    <row r="3127" spans="1:33" ht="29">
      <c r="A3127" s="3" t="s">
        <v>3310</v>
      </c>
      <c r="D3127" s="3" t="s">
        <v>8894</v>
      </c>
      <c r="E3127" s="3" t="s">
        <v>8895</v>
      </c>
      <c r="I3127" t="s">
        <v>12189</v>
      </c>
      <c r="J3127" s="9" t="s">
        <v>26</v>
      </c>
      <c r="Q3127" s="10"/>
      <c r="U3127" s="9" t="str">
        <f t="shared" ca="1" si="124"/>
        <v/>
      </c>
      <c r="V3127" s="9" t="str">
        <f t="shared" ca="1" si="125"/>
        <v/>
      </c>
      <c r="AG3127" s="9" t="s">
        <v>13141</v>
      </c>
    </row>
    <row r="3128" spans="1:33">
      <c r="A3128" s="3" t="s">
        <v>3310</v>
      </c>
      <c r="D3128" s="3" t="s">
        <v>8896</v>
      </c>
      <c r="E3128" s="3" t="s">
        <v>8897</v>
      </c>
      <c r="J3128" s="9" t="s">
        <v>12120</v>
      </c>
      <c r="Q3128" s="10"/>
      <c r="U3128" s="9" t="str">
        <f t="shared" ca="1" si="124"/>
        <v/>
      </c>
      <c r="V3128" s="9" t="str">
        <f t="shared" ca="1" si="125"/>
        <v/>
      </c>
      <c r="AG3128" s="9" t="s">
        <v>20</v>
      </c>
    </row>
    <row r="3129" spans="1:33">
      <c r="A3129" s="3" t="s">
        <v>3310</v>
      </c>
      <c r="D3129" s="3" t="s">
        <v>8898</v>
      </c>
      <c r="E3129" s="3" t="s">
        <v>8899</v>
      </c>
      <c r="J3129" s="9" t="s">
        <v>12120</v>
      </c>
      <c r="Q3129" s="10"/>
      <c r="U3129" s="9" t="str">
        <f t="shared" ca="1" si="124"/>
        <v/>
      </c>
      <c r="V3129" s="9" t="str">
        <f t="shared" ca="1" si="125"/>
        <v/>
      </c>
      <c r="AB3129" s="9" t="s">
        <v>12737</v>
      </c>
      <c r="AD3129" s="9" t="s">
        <v>19</v>
      </c>
    </row>
    <row r="3130" spans="1:33">
      <c r="A3130" s="3" t="s">
        <v>3311</v>
      </c>
      <c r="D3130" s="3" t="s">
        <v>3312</v>
      </c>
      <c r="E3130" s="3" t="s">
        <v>3313</v>
      </c>
      <c r="J3130" s="9" t="s">
        <v>12118</v>
      </c>
      <c r="Q3130" s="10"/>
      <c r="T3130" s="9" t="s">
        <v>12131</v>
      </c>
      <c r="U3130" s="9" t="str">
        <f t="shared" ca="1" si="124"/>
        <v/>
      </c>
      <c r="V3130" s="9" t="str">
        <f t="shared" ca="1" si="125"/>
        <v/>
      </c>
      <c r="AC3130" s="9" t="s">
        <v>12130</v>
      </c>
      <c r="AD3130" s="9" t="s">
        <v>19</v>
      </c>
    </row>
    <row r="3131" spans="1:33" ht="58">
      <c r="A3131" s="3" t="s">
        <v>3311</v>
      </c>
      <c r="D3131" s="3" t="s">
        <v>8900</v>
      </c>
      <c r="E3131" s="3" t="s">
        <v>8901</v>
      </c>
      <c r="I3131" t="s">
        <v>13119</v>
      </c>
      <c r="J3131" s="9" t="s">
        <v>25</v>
      </c>
      <c r="L3131" s="9">
        <v>8</v>
      </c>
      <c r="M3131" s="9">
        <v>32</v>
      </c>
      <c r="O3131" s="9" t="s">
        <v>12073</v>
      </c>
      <c r="P3131" s="9" t="s">
        <v>12465</v>
      </c>
      <c r="Q3131" s="10" t="s">
        <v>12138</v>
      </c>
      <c r="S3131" s="9">
        <v>25</v>
      </c>
      <c r="U3131" s="9" t="str">
        <f t="shared" ca="1" si="124"/>
        <v/>
      </c>
      <c r="V3131" s="9" t="str">
        <f t="shared" ca="1" si="125"/>
        <v/>
      </c>
      <c r="AE3131" s="9" t="s">
        <v>12083</v>
      </c>
    </row>
    <row r="3132" spans="1:33">
      <c r="A3132" s="3" t="s">
        <v>3314</v>
      </c>
      <c r="D3132" s="3" t="s">
        <v>3315</v>
      </c>
      <c r="E3132" s="3" t="s">
        <v>3316</v>
      </c>
      <c r="J3132" s="9" t="s">
        <v>12118</v>
      </c>
      <c r="Q3132" s="10"/>
      <c r="T3132" s="9" t="s">
        <v>12131</v>
      </c>
      <c r="U3132" s="9" t="str">
        <f t="shared" ca="1" si="124"/>
        <v/>
      </c>
      <c r="V3132" s="9" t="str">
        <f t="shared" ca="1" si="125"/>
        <v/>
      </c>
      <c r="AC3132" s="9" t="s">
        <v>12130</v>
      </c>
      <c r="AD3132" s="9" t="s">
        <v>19</v>
      </c>
      <c r="AE3132" s="9" t="s">
        <v>12086</v>
      </c>
    </row>
    <row r="3133" spans="1:33">
      <c r="A3133" s="3" t="s">
        <v>3317</v>
      </c>
      <c r="D3133" s="3" t="s">
        <v>8902</v>
      </c>
      <c r="E3133" s="3" t="s">
        <v>8903</v>
      </c>
      <c r="J3133" s="9" t="s">
        <v>12120</v>
      </c>
      <c r="Q3133" s="10"/>
      <c r="U3133" s="9" t="str">
        <f t="shared" ca="1" si="124"/>
        <v/>
      </c>
      <c r="V3133" s="9" t="str">
        <f t="shared" ca="1" si="125"/>
        <v/>
      </c>
      <c r="AB3133" s="9" t="s">
        <v>12737</v>
      </c>
      <c r="AD3133" s="9" t="s">
        <v>19</v>
      </c>
    </row>
    <row r="3134" spans="1:33">
      <c r="A3134" s="3" t="s">
        <v>3318</v>
      </c>
      <c r="D3134" s="3" t="s">
        <v>8904</v>
      </c>
      <c r="E3134" s="3" t="s">
        <v>8905</v>
      </c>
      <c r="J3134" s="9" t="s">
        <v>12118</v>
      </c>
      <c r="Q3134" s="10"/>
      <c r="T3134" s="9">
        <f>2-6</f>
        <v>-4</v>
      </c>
      <c r="U3134" s="9">
        <f t="shared" ca="1" si="124"/>
        <v>6</v>
      </c>
      <c r="V3134" s="9">
        <f t="shared" ca="1" si="125"/>
        <v>2</v>
      </c>
      <c r="AG3134" s="9" t="s">
        <v>20</v>
      </c>
    </row>
    <row r="3135" spans="1:33">
      <c r="A3135" s="3" t="s">
        <v>3318</v>
      </c>
      <c r="D3135" s="3" t="s">
        <v>3319</v>
      </c>
      <c r="E3135" s="3" t="s">
        <v>872</v>
      </c>
      <c r="G3135" t="s">
        <v>19</v>
      </c>
      <c r="J3135" s="9" t="s">
        <v>12118</v>
      </c>
      <c r="Q3135" s="10"/>
      <c r="T3135" s="9" t="s">
        <v>12131</v>
      </c>
      <c r="U3135" s="9" t="str">
        <f t="shared" ca="1" si="124"/>
        <v/>
      </c>
      <c r="V3135" s="9" t="str">
        <f t="shared" ca="1" si="125"/>
        <v/>
      </c>
      <c r="AE3135" s="9" t="s">
        <v>12086</v>
      </c>
    </row>
    <row r="3136" spans="1:33">
      <c r="A3136" s="3" t="s">
        <v>3320</v>
      </c>
      <c r="D3136" s="3" t="s">
        <v>8906</v>
      </c>
      <c r="E3136" s="3" t="s">
        <v>8907</v>
      </c>
      <c r="J3136" s="9" t="s">
        <v>12120</v>
      </c>
      <c r="Q3136" s="10"/>
      <c r="U3136" s="9" t="str">
        <f t="shared" ca="1" si="124"/>
        <v/>
      </c>
      <c r="V3136" s="9" t="str">
        <f t="shared" ca="1" si="125"/>
        <v/>
      </c>
      <c r="AC3136" s="9" t="s">
        <v>12191</v>
      </c>
      <c r="AD3136" s="9" t="s">
        <v>19</v>
      </c>
      <c r="AE3136" s="9" t="s">
        <v>12077</v>
      </c>
    </row>
    <row r="3137" spans="1:33">
      <c r="A3137" s="3" t="s">
        <v>3321</v>
      </c>
      <c r="D3137" s="3" t="s">
        <v>8909</v>
      </c>
      <c r="E3137" s="3" t="s">
        <v>8910</v>
      </c>
      <c r="J3137" s="9" t="s">
        <v>12118</v>
      </c>
      <c r="Q3137" s="10"/>
      <c r="T3137" s="9" t="s">
        <v>12131</v>
      </c>
      <c r="U3137" s="9" t="str">
        <f t="shared" ca="1" si="124"/>
        <v/>
      </c>
      <c r="V3137" s="9" t="str">
        <f t="shared" ca="1" si="125"/>
        <v/>
      </c>
      <c r="AC3137" s="9" t="s">
        <v>12134</v>
      </c>
      <c r="AD3137" s="9" t="s">
        <v>19</v>
      </c>
      <c r="AE3137" s="9" t="s">
        <v>12077</v>
      </c>
    </row>
    <row r="3138" spans="1:33">
      <c r="A3138" s="3" t="s">
        <v>3321</v>
      </c>
      <c r="D3138" s="3" t="s">
        <v>8908</v>
      </c>
      <c r="E3138" s="3" t="s">
        <v>8911</v>
      </c>
      <c r="I3138" t="s">
        <v>12700</v>
      </c>
      <c r="J3138" s="9" t="s">
        <v>24</v>
      </c>
      <c r="L3138" s="9">
        <v>1</v>
      </c>
      <c r="M3138" s="9">
        <v>1</v>
      </c>
      <c r="N3138" s="9" t="s">
        <v>12078</v>
      </c>
      <c r="O3138" s="9" t="s">
        <v>12119</v>
      </c>
      <c r="Q3138" s="10"/>
      <c r="S3138" s="9">
        <v>11843</v>
      </c>
      <c r="U3138" s="9" t="str">
        <f t="shared" ca="1" si="124"/>
        <v/>
      </c>
      <c r="V3138" s="9" t="str">
        <f t="shared" ca="1" si="125"/>
        <v/>
      </c>
      <c r="W3138" s="9" t="s">
        <v>12117</v>
      </c>
      <c r="AG3138" s="9" t="s">
        <v>19</v>
      </c>
    </row>
    <row r="3139" spans="1:33" ht="58">
      <c r="A3139" s="3" t="s">
        <v>3321</v>
      </c>
      <c r="D3139" s="3" t="s">
        <v>8912</v>
      </c>
      <c r="E3139" s="3" t="s">
        <v>8913</v>
      </c>
      <c r="J3139" s="9" t="s">
        <v>25</v>
      </c>
      <c r="L3139" s="9">
        <v>7</v>
      </c>
      <c r="M3139" s="9">
        <v>26</v>
      </c>
      <c r="O3139" s="9" t="s">
        <v>12073</v>
      </c>
      <c r="P3139" s="9" t="s">
        <v>12154</v>
      </c>
      <c r="Q3139" s="10" t="s">
        <v>12466</v>
      </c>
      <c r="U3139" s="9" t="str">
        <f t="shared" ca="1" si="124"/>
        <v/>
      </c>
      <c r="V3139" s="9" t="str">
        <f t="shared" ca="1" si="125"/>
        <v/>
      </c>
      <c r="AG3139" s="9" t="s">
        <v>20</v>
      </c>
    </row>
    <row r="3140" spans="1:33">
      <c r="A3140" s="3" t="s">
        <v>3322</v>
      </c>
      <c r="D3140" s="3" t="s">
        <v>8915</v>
      </c>
      <c r="E3140" s="3" t="s">
        <v>8914</v>
      </c>
      <c r="I3140" t="s">
        <v>12701</v>
      </c>
      <c r="J3140" s="9" t="s">
        <v>24</v>
      </c>
      <c r="L3140" s="9">
        <v>2</v>
      </c>
      <c r="M3140" s="9">
        <v>7</v>
      </c>
      <c r="O3140" s="9" t="s">
        <v>12079</v>
      </c>
      <c r="Q3140" s="10"/>
      <c r="S3140" s="9">
        <v>635</v>
      </c>
      <c r="U3140" s="9" t="str">
        <f t="shared" ca="1" si="124"/>
        <v/>
      </c>
      <c r="V3140" s="9" t="str">
        <f t="shared" ca="1" si="125"/>
        <v/>
      </c>
      <c r="W3140" s="9" t="s">
        <v>4</v>
      </c>
      <c r="AG3140" s="9" t="s">
        <v>19</v>
      </c>
    </row>
    <row r="3141" spans="1:33">
      <c r="A3141" s="3" t="s">
        <v>3322</v>
      </c>
      <c r="D3141" s="3" t="s">
        <v>8917</v>
      </c>
      <c r="E3141" s="3" t="s">
        <v>8916</v>
      </c>
      <c r="J3141" s="9" t="s">
        <v>12118</v>
      </c>
      <c r="Q3141" s="10"/>
      <c r="T3141" s="9">
        <f>93-47</f>
        <v>46</v>
      </c>
      <c r="U3141" s="9">
        <f t="shared" ca="1" si="124"/>
        <v>47</v>
      </c>
      <c r="V3141" s="9">
        <f t="shared" ca="1" si="125"/>
        <v>93</v>
      </c>
      <c r="AE3141" s="9" t="s">
        <v>12089</v>
      </c>
    </row>
    <row r="3142" spans="1:33">
      <c r="A3142" s="3" t="s">
        <v>3322</v>
      </c>
      <c r="D3142" s="3" t="s">
        <v>3323</v>
      </c>
      <c r="E3142" s="3" t="s">
        <v>3303</v>
      </c>
      <c r="J3142" s="9" t="s">
        <v>12118</v>
      </c>
      <c r="Q3142" s="10"/>
      <c r="T3142" s="9" t="s">
        <v>12131</v>
      </c>
      <c r="U3142" s="9" t="str">
        <f t="shared" ca="1" si="124"/>
        <v/>
      </c>
      <c r="V3142" s="9" t="str">
        <f t="shared" ca="1" si="125"/>
        <v/>
      </c>
      <c r="AC3142" s="9" t="s">
        <v>12134</v>
      </c>
      <c r="AD3142" s="9" t="s">
        <v>19</v>
      </c>
      <c r="AE3142" s="9" t="s">
        <v>12077</v>
      </c>
    </row>
    <row r="3143" spans="1:33">
      <c r="A3143" s="3" t="s">
        <v>3324</v>
      </c>
      <c r="D3143" s="3" t="s">
        <v>1510</v>
      </c>
      <c r="E3143" s="3" t="s">
        <v>1304</v>
      </c>
      <c r="G3143" t="s">
        <v>19</v>
      </c>
      <c r="J3143" s="9" t="s">
        <v>12120</v>
      </c>
      <c r="Q3143" s="10"/>
      <c r="U3143" s="9" t="str">
        <f t="shared" ca="1" si="124"/>
        <v/>
      </c>
      <c r="V3143" s="9" t="str">
        <f t="shared" ca="1" si="125"/>
        <v/>
      </c>
      <c r="AE3143" s="9" t="s">
        <v>12086</v>
      </c>
    </row>
    <row r="3144" spans="1:33">
      <c r="A3144" s="3" t="s">
        <v>3324</v>
      </c>
      <c r="D3144" s="3" t="s">
        <v>8919</v>
      </c>
      <c r="E3144" s="3" t="s">
        <v>8918</v>
      </c>
      <c r="G3144" t="s">
        <v>19</v>
      </c>
      <c r="J3144" s="9" t="s">
        <v>12118</v>
      </c>
      <c r="Q3144" s="10"/>
      <c r="T3144" s="9">
        <f>160-4240</f>
        <v>-4080</v>
      </c>
      <c r="U3144" s="9">
        <f t="shared" ca="1" si="124"/>
        <v>4240</v>
      </c>
      <c r="V3144" s="9">
        <f t="shared" ca="1" si="125"/>
        <v>160</v>
      </c>
    </row>
    <row r="3145" spans="1:33" ht="29">
      <c r="A3145" s="3" t="s">
        <v>3326</v>
      </c>
      <c r="D3145" s="3" t="s">
        <v>8921</v>
      </c>
      <c r="E3145" s="3" t="s">
        <v>8920</v>
      </c>
      <c r="G3145" t="s">
        <v>20</v>
      </c>
      <c r="I3145" t="s">
        <v>12702</v>
      </c>
      <c r="J3145" s="9" t="s">
        <v>12118</v>
      </c>
      <c r="Q3145" s="10"/>
      <c r="T3145" s="9">
        <f>2042-196</f>
        <v>1846</v>
      </c>
      <c r="U3145" s="9">
        <f t="shared" ca="1" si="124"/>
        <v>196</v>
      </c>
      <c r="V3145" s="9">
        <f t="shared" ca="1" si="125"/>
        <v>2042</v>
      </c>
      <c r="W3145" s="9" t="s">
        <v>12117</v>
      </c>
      <c r="AG3145" s="9" t="s">
        <v>19</v>
      </c>
    </row>
    <row r="3146" spans="1:33">
      <c r="A3146" s="3" t="s">
        <v>3327</v>
      </c>
      <c r="D3146" s="3" t="s">
        <v>8923</v>
      </c>
      <c r="E3146" s="3" t="s">
        <v>8922</v>
      </c>
      <c r="J3146" s="9" t="s">
        <v>12120</v>
      </c>
      <c r="Q3146" s="10"/>
      <c r="U3146" s="9" t="str">
        <f t="shared" ca="1" si="124"/>
        <v/>
      </c>
      <c r="V3146" s="9" t="str">
        <f t="shared" ca="1" si="125"/>
        <v/>
      </c>
      <c r="AG3146" s="9" t="s">
        <v>19</v>
      </c>
    </row>
    <row r="3147" spans="1:33">
      <c r="A3147" s="3" t="s">
        <v>3328</v>
      </c>
      <c r="D3147" s="3" t="s">
        <v>8925</v>
      </c>
      <c r="E3147" s="3" t="s">
        <v>8924</v>
      </c>
      <c r="J3147" s="9" t="s">
        <v>24</v>
      </c>
      <c r="L3147" s="9">
        <v>1</v>
      </c>
      <c r="M3147" s="9">
        <v>3</v>
      </c>
      <c r="N3147" s="9" t="s">
        <v>12094</v>
      </c>
      <c r="O3147" s="9" t="s">
        <v>12079</v>
      </c>
      <c r="Q3147" s="10"/>
      <c r="S3147" s="9">
        <v>1496</v>
      </c>
      <c r="U3147" s="9" t="str">
        <f t="shared" ca="1" si="124"/>
        <v/>
      </c>
      <c r="V3147" s="9" t="str">
        <f t="shared" ca="1" si="125"/>
        <v/>
      </c>
      <c r="AG3147" s="9" t="s">
        <v>19</v>
      </c>
    </row>
    <row r="3148" spans="1:33" ht="58">
      <c r="A3148" s="3" t="s">
        <v>3329</v>
      </c>
      <c r="D3148" s="3" t="s">
        <v>8926</v>
      </c>
      <c r="E3148" s="3" t="s">
        <v>8927</v>
      </c>
      <c r="J3148" s="9" t="s">
        <v>24</v>
      </c>
      <c r="L3148" s="9">
        <v>2</v>
      </c>
      <c r="M3148" s="9">
        <v>12</v>
      </c>
      <c r="O3148" s="9" t="s">
        <v>12073</v>
      </c>
      <c r="P3148" s="9" t="s">
        <v>12142</v>
      </c>
      <c r="Q3148" s="10" t="s">
        <v>12187</v>
      </c>
      <c r="R3148" s="9" t="s">
        <v>12074</v>
      </c>
      <c r="S3148" s="9">
        <v>133</v>
      </c>
      <c r="U3148" s="9" t="str">
        <f t="shared" ca="1" si="124"/>
        <v/>
      </c>
      <c r="V3148" s="9" t="str">
        <f t="shared" ca="1" si="125"/>
        <v/>
      </c>
      <c r="AE3148" s="9" t="s">
        <v>12083</v>
      </c>
    </row>
    <row r="3149" spans="1:33">
      <c r="A3149" s="3" t="s">
        <v>3330</v>
      </c>
      <c r="D3149" s="3" t="s">
        <v>2718</v>
      </c>
      <c r="E3149" s="3" t="s">
        <v>3331</v>
      </c>
      <c r="J3149" s="9" t="s">
        <v>12118</v>
      </c>
      <c r="Q3149" s="10"/>
      <c r="T3149" s="9" t="s">
        <v>12119</v>
      </c>
      <c r="U3149" s="9" t="str">
        <f t="shared" ca="1" si="124"/>
        <v/>
      </c>
      <c r="V3149" s="9" t="str">
        <f t="shared" ca="1" si="125"/>
        <v/>
      </c>
      <c r="AC3149" s="9" t="s">
        <v>12134</v>
      </c>
      <c r="AD3149" s="9" t="s">
        <v>19</v>
      </c>
      <c r="AE3149" s="9" t="s">
        <v>12077</v>
      </c>
    </row>
    <row r="3150" spans="1:33" ht="29">
      <c r="A3150" s="3" t="s">
        <v>3330</v>
      </c>
      <c r="D3150" s="3" t="s">
        <v>8928</v>
      </c>
      <c r="E3150" s="3" t="s">
        <v>8929</v>
      </c>
      <c r="J3150" s="9" t="s">
        <v>25</v>
      </c>
      <c r="L3150" s="9">
        <v>1</v>
      </c>
      <c r="M3150" s="9">
        <v>6</v>
      </c>
      <c r="N3150" s="9" t="s">
        <v>12094</v>
      </c>
      <c r="O3150" s="9" t="s">
        <v>12073</v>
      </c>
      <c r="P3150" s="9" t="s">
        <v>12142</v>
      </c>
      <c r="Q3150" s="10" t="s">
        <v>12160</v>
      </c>
      <c r="S3150" s="9">
        <v>156</v>
      </c>
      <c r="U3150" s="9" t="str">
        <f t="shared" ca="1" si="124"/>
        <v/>
      </c>
      <c r="V3150" s="9" t="str">
        <f t="shared" ca="1" si="125"/>
        <v/>
      </c>
      <c r="AG3150" s="9" t="s">
        <v>20</v>
      </c>
    </row>
    <row r="3151" spans="1:33">
      <c r="A3151" s="3" t="s">
        <v>3332</v>
      </c>
      <c r="D3151" s="3" t="s">
        <v>1545</v>
      </c>
      <c r="E3151" s="3" t="s">
        <v>97</v>
      </c>
      <c r="J3151" s="9" t="s">
        <v>12118</v>
      </c>
      <c r="Q3151" s="10"/>
      <c r="T3151" s="9">
        <f>84-0</f>
        <v>84</v>
      </c>
      <c r="U3151" s="9">
        <f t="shared" ca="1" si="124"/>
        <v>0</v>
      </c>
      <c r="V3151" s="9">
        <f t="shared" ca="1" si="125"/>
        <v>84</v>
      </c>
      <c r="AC3151" s="9" t="s">
        <v>12130</v>
      </c>
      <c r="AD3151" s="9" t="s">
        <v>19</v>
      </c>
    </row>
    <row r="3152" spans="1:33">
      <c r="A3152" s="3" t="s">
        <v>3333</v>
      </c>
      <c r="D3152" s="3" t="s">
        <v>8930</v>
      </c>
      <c r="E3152" s="3" t="s">
        <v>8931</v>
      </c>
      <c r="J3152" s="9" t="s">
        <v>12120</v>
      </c>
      <c r="Q3152" s="10"/>
      <c r="U3152" s="9" t="str">
        <f t="shared" ca="1" si="124"/>
        <v/>
      </c>
      <c r="V3152" s="9" t="str">
        <f t="shared" ca="1" si="125"/>
        <v/>
      </c>
      <c r="AG3152" s="9" t="s">
        <v>19</v>
      </c>
    </row>
    <row r="3153" spans="1:33">
      <c r="A3153" s="3" t="s">
        <v>3334</v>
      </c>
      <c r="D3153" s="3" t="s">
        <v>8932</v>
      </c>
      <c r="E3153" s="3" t="s">
        <v>12467</v>
      </c>
      <c r="G3153" t="s">
        <v>19</v>
      </c>
      <c r="J3153" s="9" t="s">
        <v>25</v>
      </c>
      <c r="L3153" s="9">
        <v>1</v>
      </c>
      <c r="M3153" s="9">
        <v>2</v>
      </c>
      <c r="N3153" s="9" t="s">
        <v>12096</v>
      </c>
      <c r="O3153" s="9" t="s">
        <v>12119</v>
      </c>
      <c r="Q3153" s="10"/>
      <c r="S3153" s="9">
        <v>1294</v>
      </c>
      <c r="U3153" s="9" t="str">
        <f t="shared" ref="U3153:U3216" ca="1" si="126">IF(ISNUMBER(T3153),VALUE(MID(_xlfn.FORMULATEXT(T3153),SEARCH("-",_xlfn.FORMULATEXT(T3153))+1,LEN(_xlfn.FORMULATEXT(T3153))-SEARCH("-",_xlfn.FORMULATEXT(T3153)))), "")</f>
        <v/>
      </c>
      <c r="V3153" s="9" t="str">
        <f t="shared" ref="V3153:V3216" ca="1" si="127">IF(ISNUMBER(T3153), VALUE(MID(_xlfn.FORMULATEXT(T3153), 2, SEARCH("-", _xlfn.FORMULATEXT(T3153)) - 2)), "")</f>
        <v/>
      </c>
    </row>
    <row r="3154" spans="1:33">
      <c r="A3154" s="3" t="s">
        <v>3334</v>
      </c>
      <c r="D3154" s="3" t="s">
        <v>12469</v>
      </c>
      <c r="E3154" s="3" t="s">
        <v>12468</v>
      </c>
      <c r="J3154" s="9" t="s">
        <v>12118</v>
      </c>
      <c r="Q3154" s="10"/>
      <c r="T3154" s="9">
        <f>1741-1496</f>
        <v>245</v>
      </c>
      <c r="U3154" s="9">
        <f t="shared" ca="1" si="126"/>
        <v>1496</v>
      </c>
      <c r="V3154" s="9">
        <f t="shared" ca="1" si="127"/>
        <v>1741</v>
      </c>
      <c r="AG3154" s="9" t="s">
        <v>19</v>
      </c>
    </row>
    <row r="3155" spans="1:33">
      <c r="A3155" s="3" t="s">
        <v>3335</v>
      </c>
      <c r="D3155" s="3" t="s">
        <v>8933</v>
      </c>
      <c r="E3155" s="3" t="s">
        <v>8934</v>
      </c>
      <c r="I3155" t="s">
        <v>12704</v>
      </c>
      <c r="J3155" s="9" t="s">
        <v>12120</v>
      </c>
      <c r="Q3155" s="10"/>
      <c r="U3155" s="9" t="str">
        <f t="shared" ca="1" si="126"/>
        <v/>
      </c>
      <c r="V3155" s="9" t="str">
        <f t="shared" ca="1" si="127"/>
        <v/>
      </c>
      <c r="W3155" s="9" t="s">
        <v>12117</v>
      </c>
      <c r="AG3155" s="9" t="s">
        <v>19</v>
      </c>
    </row>
    <row r="3156" spans="1:33">
      <c r="A3156" s="3" t="s">
        <v>3335</v>
      </c>
      <c r="D3156" s="3" t="s">
        <v>8935</v>
      </c>
      <c r="E3156" s="3" t="s">
        <v>8936</v>
      </c>
      <c r="G3156" t="s">
        <v>19</v>
      </c>
      <c r="I3156" t="s">
        <v>12703</v>
      </c>
      <c r="J3156" s="9" t="s">
        <v>12118</v>
      </c>
      <c r="Q3156" s="10"/>
      <c r="T3156" s="9">
        <f>336-0</f>
        <v>336</v>
      </c>
      <c r="U3156" s="9">
        <f t="shared" ca="1" si="126"/>
        <v>0</v>
      </c>
      <c r="V3156" s="9">
        <f t="shared" ca="1" si="127"/>
        <v>336</v>
      </c>
      <c r="W3156" s="9" t="s">
        <v>4</v>
      </c>
    </row>
    <row r="3157" spans="1:33">
      <c r="A3157" s="3" t="s">
        <v>3336</v>
      </c>
      <c r="D3157" s="3" t="s">
        <v>8937</v>
      </c>
      <c r="E3157" s="11" t="s">
        <v>8938</v>
      </c>
      <c r="G3157" t="s">
        <v>19</v>
      </c>
      <c r="J3157" s="9" t="s">
        <v>12120</v>
      </c>
      <c r="Q3157" s="10"/>
      <c r="U3157" s="9" t="str">
        <f t="shared" ca="1" si="126"/>
        <v/>
      </c>
      <c r="V3157" s="9" t="str">
        <f t="shared" ca="1" si="127"/>
        <v/>
      </c>
    </row>
    <row r="3158" spans="1:33">
      <c r="A3158" s="3" t="s">
        <v>3336</v>
      </c>
      <c r="D3158" s="3" t="s">
        <v>572</v>
      </c>
      <c r="E3158" s="5" t="s">
        <v>3338</v>
      </c>
      <c r="F3158" t="s">
        <v>16</v>
      </c>
      <c r="Q3158" s="10"/>
      <c r="U3158" s="9" t="str">
        <f t="shared" ca="1" si="126"/>
        <v/>
      </c>
      <c r="V3158" s="9" t="str">
        <f t="shared" ca="1" si="127"/>
        <v/>
      </c>
    </row>
    <row r="3159" spans="1:33">
      <c r="A3159" s="3" t="s">
        <v>3339</v>
      </c>
      <c r="D3159" s="3" t="s">
        <v>1269</v>
      </c>
      <c r="E3159" s="3" t="s">
        <v>1248</v>
      </c>
      <c r="J3159" s="9" t="s">
        <v>12120</v>
      </c>
      <c r="Q3159" s="10"/>
      <c r="U3159" s="9" t="str">
        <f t="shared" ca="1" si="126"/>
        <v/>
      </c>
      <c r="V3159" s="9" t="str">
        <f t="shared" ca="1" si="127"/>
        <v/>
      </c>
      <c r="AG3159" s="9" t="s">
        <v>19</v>
      </c>
    </row>
    <row r="3160" spans="1:33">
      <c r="A3160" s="3" t="s">
        <v>3340</v>
      </c>
      <c r="D3160" s="3" t="s">
        <v>8939</v>
      </c>
      <c r="E3160" s="3" t="s">
        <v>8940</v>
      </c>
      <c r="J3160" s="9" t="s">
        <v>25</v>
      </c>
      <c r="L3160" s="9">
        <v>1</v>
      </c>
      <c r="M3160" s="9">
        <v>3</v>
      </c>
      <c r="N3160" s="9" t="s">
        <v>12087</v>
      </c>
      <c r="O3160" s="9" t="s">
        <v>12079</v>
      </c>
      <c r="Q3160" s="10"/>
      <c r="S3160" s="9">
        <v>356</v>
      </c>
      <c r="U3160" s="9" t="str">
        <f t="shared" ca="1" si="126"/>
        <v/>
      </c>
      <c r="V3160" s="9" t="str">
        <f t="shared" ca="1" si="127"/>
        <v/>
      </c>
      <c r="AG3160" s="9" t="s">
        <v>20</v>
      </c>
    </row>
    <row r="3161" spans="1:33">
      <c r="A3161" s="3" t="s">
        <v>3340</v>
      </c>
      <c r="D3161" s="3" t="s">
        <v>8942</v>
      </c>
      <c r="E3161" s="3" t="s">
        <v>8941</v>
      </c>
      <c r="J3161" s="9" t="s">
        <v>12118</v>
      </c>
      <c r="Q3161" s="10"/>
      <c r="T3161" s="9">
        <f>87-887</f>
        <v>-800</v>
      </c>
      <c r="U3161" s="9">
        <f t="shared" ca="1" si="126"/>
        <v>887</v>
      </c>
      <c r="V3161" s="9">
        <f t="shared" ca="1" si="127"/>
        <v>87</v>
      </c>
      <c r="AG3161" s="9" t="s">
        <v>19</v>
      </c>
    </row>
    <row r="3162" spans="1:33">
      <c r="A3162" s="3" t="s">
        <v>3340</v>
      </c>
      <c r="D3162" s="3" t="s">
        <v>8943</v>
      </c>
      <c r="E3162" s="3" t="s">
        <v>8944</v>
      </c>
      <c r="J3162" s="9" t="s">
        <v>12120</v>
      </c>
      <c r="Q3162" s="10"/>
      <c r="U3162" s="9" t="str">
        <f t="shared" ca="1" si="126"/>
        <v/>
      </c>
      <c r="V3162" s="9" t="str">
        <f t="shared" ca="1" si="127"/>
        <v/>
      </c>
      <c r="AB3162" s="9" t="s">
        <v>12737</v>
      </c>
      <c r="AD3162" s="9" t="s">
        <v>19</v>
      </c>
    </row>
    <row r="3163" spans="1:33">
      <c r="A3163" s="3" t="s">
        <v>3341</v>
      </c>
      <c r="D3163" s="3" t="s">
        <v>8946</v>
      </c>
      <c r="E3163" s="3" t="s">
        <v>8945</v>
      </c>
      <c r="G3163" t="s">
        <v>19</v>
      </c>
      <c r="J3163" s="9" t="s">
        <v>12118</v>
      </c>
      <c r="Q3163" s="10"/>
      <c r="T3163" s="9">
        <f>3-35</f>
        <v>-32</v>
      </c>
      <c r="U3163" s="9">
        <f t="shared" ca="1" si="126"/>
        <v>35</v>
      </c>
      <c r="V3163" s="9">
        <f t="shared" ca="1" si="127"/>
        <v>3</v>
      </c>
    </row>
    <row r="3164" spans="1:33">
      <c r="A3164" s="3" t="s">
        <v>3342</v>
      </c>
      <c r="D3164" s="3" t="s">
        <v>3343</v>
      </c>
      <c r="E3164" s="3" t="s">
        <v>3344</v>
      </c>
      <c r="J3164" s="9" t="s">
        <v>12118</v>
      </c>
      <c r="Q3164" s="10"/>
      <c r="T3164" s="9" t="s">
        <v>12131</v>
      </c>
      <c r="U3164" s="9" t="str">
        <f t="shared" ca="1" si="126"/>
        <v/>
      </c>
      <c r="V3164" s="9" t="str">
        <f t="shared" ca="1" si="127"/>
        <v/>
      </c>
      <c r="AC3164" s="9" t="s">
        <v>12130</v>
      </c>
      <c r="AD3164" s="9" t="s">
        <v>19</v>
      </c>
      <c r="AE3164" s="9" t="s">
        <v>12086</v>
      </c>
    </row>
    <row r="3165" spans="1:33">
      <c r="A3165" s="3" t="s">
        <v>3342</v>
      </c>
      <c r="D3165" s="3" t="s">
        <v>8948</v>
      </c>
      <c r="E3165" s="3" t="s">
        <v>8947</v>
      </c>
      <c r="G3165" t="s">
        <v>19</v>
      </c>
      <c r="J3165" s="9" t="s">
        <v>12118</v>
      </c>
      <c r="Q3165" s="10"/>
      <c r="T3165" s="9">
        <f>111-1565</f>
        <v>-1454</v>
      </c>
      <c r="U3165" s="9">
        <f t="shared" ca="1" si="126"/>
        <v>1565</v>
      </c>
      <c r="V3165" s="9">
        <f t="shared" ca="1" si="127"/>
        <v>111</v>
      </c>
    </row>
    <row r="3166" spans="1:33">
      <c r="A3166" s="3" t="s">
        <v>3345</v>
      </c>
      <c r="D3166" s="3" t="s">
        <v>8949</v>
      </c>
      <c r="E3166" s="3" t="s">
        <v>8949</v>
      </c>
      <c r="G3166" t="s">
        <v>20</v>
      </c>
      <c r="Q3166" s="10"/>
      <c r="U3166" s="9" t="str">
        <f t="shared" ca="1" si="126"/>
        <v/>
      </c>
      <c r="V3166" s="9" t="str">
        <f t="shared" ca="1" si="127"/>
        <v/>
      </c>
    </row>
    <row r="3167" spans="1:33">
      <c r="A3167" s="3" t="s">
        <v>3346</v>
      </c>
      <c r="D3167" s="3" t="s">
        <v>8950</v>
      </c>
      <c r="E3167" s="3" t="s">
        <v>8951</v>
      </c>
      <c r="J3167" s="9" t="s">
        <v>12120</v>
      </c>
      <c r="Q3167" s="10"/>
      <c r="U3167" s="9" t="str">
        <f t="shared" ca="1" si="126"/>
        <v/>
      </c>
      <c r="V3167" s="9" t="str">
        <f t="shared" ca="1" si="127"/>
        <v/>
      </c>
      <c r="AG3167" s="9" t="s">
        <v>20</v>
      </c>
    </row>
    <row r="3168" spans="1:33">
      <c r="A3168" s="3" t="s">
        <v>3347</v>
      </c>
      <c r="D3168" s="3" t="s">
        <v>6730</v>
      </c>
      <c r="E3168" s="3" t="s">
        <v>6731</v>
      </c>
      <c r="J3168" s="9" t="s">
        <v>12120</v>
      </c>
      <c r="Q3168" s="10"/>
      <c r="U3168" s="9" t="str">
        <f t="shared" ca="1" si="126"/>
        <v/>
      </c>
      <c r="V3168" s="9" t="str">
        <f t="shared" ca="1" si="127"/>
        <v/>
      </c>
      <c r="AB3168" s="9" t="s">
        <v>12082</v>
      </c>
      <c r="AD3168" s="9" t="s">
        <v>19</v>
      </c>
    </row>
    <row r="3169" spans="1:33">
      <c r="A3169" s="3" t="s">
        <v>3347</v>
      </c>
      <c r="D3169" s="6" t="s">
        <v>8953</v>
      </c>
      <c r="E3169" s="3" t="s">
        <v>8952</v>
      </c>
      <c r="F3169" t="s">
        <v>11</v>
      </c>
      <c r="G3169" t="s">
        <v>19</v>
      </c>
      <c r="J3169" s="9" t="s">
        <v>24</v>
      </c>
      <c r="L3169" s="9">
        <v>1</v>
      </c>
      <c r="M3169" s="9">
        <v>2</v>
      </c>
      <c r="N3169" s="9" t="s">
        <v>12094</v>
      </c>
      <c r="O3169" s="9" t="s">
        <v>12119</v>
      </c>
      <c r="Q3169" s="10"/>
      <c r="S3169" s="9">
        <v>1741</v>
      </c>
      <c r="U3169" s="9" t="str">
        <f t="shared" ca="1" si="126"/>
        <v/>
      </c>
      <c r="V3169" s="9" t="str">
        <f t="shared" ca="1" si="127"/>
        <v/>
      </c>
      <c r="AF3169" s="9" t="s">
        <v>19</v>
      </c>
    </row>
    <row r="3170" spans="1:33" ht="29">
      <c r="A3170" s="3" t="s">
        <v>3347</v>
      </c>
      <c r="D3170" s="3" t="s">
        <v>8954</v>
      </c>
      <c r="E3170" s="3" t="s">
        <v>8955</v>
      </c>
      <c r="I3170" t="s">
        <v>8956</v>
      </c>
      <c r="J3170" s="9" t="s">
        <v>26</v>
      </c>
      <c r="Q3170" s="10"/>
      <c r="U3170" s="9" t="str">
        <f t="shared" ca="1" si="126"/>
        <v/>
      </c>
      <c r="V3170" s="9" t="str">
        <f t="shared" ca="1" si="127"/>
        <v/>
      </c>
      <c r="AG3170" s="9" t="s">
        <v>20</v>
      </c>
    </row>
    <row r="3171" spans="1:33">
      <c r="A3171" s="3" t="s">
        <v>3348</v>
      </c>
      <c r="D3171" s="3" t="s">
        <v>13058</v>
      </c>
      <c r="E3171" s="3" t="s">
        <v>13059</v>
      </c>
      <c r="G3171" t="s">
        <v>20</v>
      </c>
      <c r="I3171" t="s">
        <v>8957</v>
      </c>
      <c r="J3171" s="9" t="s">
        <v>12120</v>
      </c>
      <c r="Q3171" s="10"/>
      <c r="U3171" s="9" t="str">
        <f t="shared" ca="1" si="126"/>
        <v/>
      </c>
      <c r="V3171" s="9" t="str">
        <f t="shared" ca="1" si="127"/>
        <v/>
      </c>
      <c r="AG3171" s="9" t="s">
        <v>19</v>
      </c>
    </row>
    <row r="3172" spans="1:33">
      <c r="A3172" s="3" t="s">
        <v>3348</v>
      </c>
      <c r="D3172" s="11" t="s">
        <v>8959</v>
      </c>
      <c r="E3172" s="3" t="s">
        <v>8958</v>
      </c>
      <c r="J3172" s="9" t="s">
        <v>24</v>
      </c>
      <c r="L3172" s="9">
        <v>1</v>
      </c>
      <c r="M3172" s="9">
        <v>2</v>
      </c>
      <c r="N3172" s="9" t="s">
        <v>12094</v>
      </c>
      <c r="O3172" s="9" t="s">
        <v>12119</v>
      </c>
      <c r="Q3172" s="10"/>
      <c r="S3172" s="9">
        <v>1741</v>
      </c>
      <c r="U3172" s="9" t="str">
        <f t="shared" ca="1" si="126"/>
        <v/>
      </c>
      <c r="V3172" s="9" t="str">
        <f t="shared" ca="1" si="127"/>
        <v/>
      </c>
      <c r="AG3172" s="9" t="s">
        <v>19</v>
      </c>
    </row>
    <row r="3173" spans="1:33" ht="29">
      <c r="A3173" s="3" t="s">
        <v>3349</v>
      </c>
      <c r="D3173" s="3" t="s">
        <v>8961</v>
      </c>
      <c r="E3173" s="3" t="s">
        <v>8960</v>
      </c>
      <c r="J3173" s="9" t="s">
        <v>24</v>
      </c>
      <c r="L3173" s="9">
        <v>1</v>
      </c>
      <c r="M3173" s="9">
        <v>5</v>
      </c>
      <c r="N3173" s="9" t="s">
        <v>12125</v>
      </c>
      <c r="O3173" s="9" t="s">
        <v>12073</v>
      </c>
      <c r="P3173" s="9" t="s">
        <v>12142</v>
      </c>
      <c r="Q3173" s="10" t="s">
        <v>12170</v>
      </c>
      <c r="R3173" s="9" t="s">
        <v>12074</v>
      </c>
      <c r="S3173" s="9">
        <v>1565</v>
      </c>
      <c r="U3173" s="9" t="str">
        <f t="shared" ca="1" si="126"/>
        <v/>
      </c>
      <c r="V3173" s="9" t="str">
        <f t="shared" ca="1" si="127"/>
        <v/>
      </c>
      <c r="AE3173" s="9" t="s">
        <v>12083</v>
      </c>
    </row>
    <row r="3174" spans="1:33">
      <c r="A3174" s="3" t="s">
        <v>3350</v>
      </c>
      <c r="D3174" s="3" t="s">
        <v>8962</v>
      </c>
      <c r="E3174" s="3" t="s">
        <v>8963</v>
      </c>
      <c r="J3174" s="9" t="s">
        <v>12120</v>
      </c>
      <c r="Q3174" s="10"/>
      <c r="U3174" s="9" t="str">
        <f t="shared" ca="1" si="126"/>
        <v/>
      </c>
      <c r="V3174" s="9" t="str">
        <f t="shared" ca="1" si="127"/>
        <v/>
      </c>
      <c r="AB3174" s="9" t="s">
        <v>12737</v>
      </c>
      <c r="AD3174" s="9" t="s">
        <v>19</v>
      </c>
    </row>
    <row r="3175" spans="1:33">
      <c r="A3175" s="3" t="s">
        <v>3351</v>
      </c>
      <c r="D3175" s="3" t="s">
        <v>8965</v>
      </c>
      <c r="E3175" s="3" t="s">
        <v>8964</v>
      </c>
      <c r="G3175" t="s">
        <v>19</v>
      </c>
      <c r="J3175" s="9" t="s">
        <v>12120</v>
      </c>
      <c r="Q3175" s="10"/>
      <c r="U3175" s="9" t="str">
        <f t="shared" ca="1" si="126"/>
        <v/>
      </c>
      <c r="V3175" s="9" t="str">
        <f t="shared" ca="1" si="127"/>
        <v/>
      </c>
      <c r="AC3175" s="9" t="s">
        <v>12134</v>
      </c>
      <c r="AD3175" s="9" t="s">
        <v>19</v>
      </c>
    </row>
    <row r="3176" spans="1:33">
      <c r="A3176" s="3" t="s">
        <v>3352</v>
      </c>
      <c r="D3176" s="3" t="s">
        <v>1269</v>
      </c>
      <c r="E3176" s="3" t="s">
        <v>1248</v>
      </c>
      <c r="J3176" s="9" t="s">
        <v>12120</v>
      </c>
      <c r="Q3176" s="10"/>
      <c r="U3176" s="9" t="str">
        <f t="shared" ca="1" si="126"/>
        <v/>
      </c>
      <c r="V3176" s="9" t="str">
        <f t="shared" ca="1" si="127"/>
        <v/>
      </c>
      <c r="AG3176" s="9" t="s">
        <v>19</v>
      </c>
    </row>
    <row r="3177" spans="1:33">
      <c r="A3177" s="3" t="s">
        <v>3353</v>
      </c>
      <c r="D3177" s="3" t="s">
        <v>8966</v>
      </c>
      <c r="E3177" s="3" t="s">
        <v>8967</v>
      </c>
      <c r="J3177" s="9" t="s">
        <v>25</v>
      </c>
      <c r="L3177" s="9">
        <v>1</v>
      </c>
      <c r="M3177" s="9">
        <v>3</v>
      </c>
      <c r="N3177" s="9" t="s">
        <v>12087</v>
      </c>
      <c r="O3177" s="9" t="s">
        <v>12079</v>
      </c>
      <c r="Q3177" s="10"/>
      <c r="S3177" s="9">
        <v>356</v>
      </c>
      <c r="U3177" s="9" t="str">
        <f t="shared" ca="1" si="126"/>
        <v/>
      </c>
      <c r="V3177" s="9" t="str">
        <f t="shared" ca="1" si="127"/>
        <v/>
      </c>
      <c r="AG3177" s="9" t="s">
        <v>19</v>
      </c>
    </row>
    <row r="3178" spans="1:33">
      <c r="A3178" s="3" t="s">
        <v>3353</v>
      </c>
      <c r="D3178" s="3" t="s">
        <v>8969</v>
      </c>
      <c r="E3178" s="3" t="s">
        <v>8968</v>
      </c>
      <c r="J3178" s="9" t="s">
        <v>25</v>
      </c>
      <c r="L3178" s="9">
        <v>1</v>
      </c>
      <c r="M3178" s="9">
        <v>4</v>
      </c>
      <c r="N3178" s="9" t="s">
        <v>12084</v>
      </c>
      <c r="O3178" s="9" t="s">
        <v>12079</v>
      </c>
      <c r="Q3178" s="10"/>
      <c r="S3178" s="9">
        <v>13</v>
      </c>
      <c r="U3178" s="9" t="str">
        <f t="shared" ca="1" si="126"/>
        <v/>
      </c>
      <c r="V3178" s="9" t="str">
        <f t="shared" ca="1" si="127"/>
        <v/>
      </c>
      <c r="AG3178" s="9" t="s">
        <v>20</v>
      </c>
    </row>
    <row r="3179" spans="1:33">
      <c r="A3179" s="3" t="s">
        <v>3354</v>
      </c>
      <c r="D3179" s="3" t="s">
        <v>8970</v>
      </c>
      <c r="E3179" s="3" t="s">
        <v>8971</v>
      </c>
      <c r="F3179" t="s">
        <v>11</v>
      </c>
      <c r="Q3179" s="10"/>
      <c r="U3179" s="9" t="str">
        <f t="shared" ca="1" si="126"/>
        <v/>
      </c>
      <c r="V3179" s="9" t="str">
        <f t="shared" ca="1" si="127"/>
        <v/>
      </c>
    </row>
    <row r="3180" spans="1:33">
      <c r="A3180" s="3" t="s">
        <v>3354</v>
      </c>
      <c r="D3180" s="3" t="s">
        <v>8972</v>
      </c>
      <c r="E3180" s="3" t="s">
        <v>8973</v>
      </c>
      <c r="F3180" t="s">
        <v>11</v>
      </c>
      <c r="Q3180" s="10"/>
      <c r="U3180" s="9" t="str">
        <f t="shared" ca="1" si="126"/>
        <v/>
      </c>
      <c r="V3180" s="9" t="str">
        <f t="shared" ca="1" si="127"/>
        <v/>
      </c>
    </row>
    <row r="3181" spans="1:33" ht="29">
      <c r="A3181" s="3" t="s">
        <v>3354</v>
      </c>
      <c r="D3181" s="3" t="s">
        <v>8975</v>
      </c>
      <c r="E3181" s="3" t="s">
        <v>8974</v>
      </c>
      <c r="J3181" s="9" t="s">
        <v>25</v>
      </c>
      <c r="L3181" s="9">
        <v>1</v>
      </c>
      <c r="M3181" s="9">
        <v>9</v>
      </c>
      <c r="N3181" s="9" t="s">
        <v>12098</v>
      </c>
      <c r="O3181" s="9" t="s">
        <v>12073</v>
      </c>
      <c r="P3181" s="9" t="s">
        <v>12149</v>
      </c>
      <c r="Q3181" s="10" t="s">
        <v>12160</v>
      </c>
      <c r="S3181" s="9">
        <v>35</v>
      </c>
      <c r="U3181" s="9" t="str">
        <f t="shared" ca="1" si="126"/>
        <v/>
      </c>
      <c r="V3181" s="9" t="str">
        <f t="shared" ca="1" si="127"/>
        <v/>
      </c>
      <c r="AG3181" s="9" t="s">
        <v>19</v>
      </c>
    </row>
    <row r="3182" spans="1:33" ht="29">
      <c r="A3182" s="3" t="s">
        <v>3355</v>
      </c>
      <c r="D3182" s="3" t="s">
        <v>8976</v>
      </c>
      <c r="E3182" s="3" t="s">
        <v>8977</v>
      </c>
      <c r="J3182" s="9" t="s">
        <v>24</v>
      </c>
      <c r="L3182" s="9">
        <v>2</v>
      </c>
      <c r="M3182" s="9">
        <v>13</v>
      </c>
      <c r="O3182" s="9" t="s">
        <v>12079</v>
      </c>
      <c r="Q3182" s="10"/>
      <c r="S3182" s="9">
        <v>1565</v>
      </c>
      <c r="U3182" s="9" t="str">
        <f t="shared" ca="1" si="126"/>
        <v/>
      </c>
      <c r="V3182" s="9" t="str">
        <f t="shared" ca="1" si="127"/>
        <v/>
      </c>
      <c r="AG3182" s="9" t="s">
        <v>19</v>
      </c>
    </row>
    <row r="3183" spans="1:33" ht="29">
      <c r="A3183" s="3" t="s">
        <v>3355</v>
      </c>
      <c r="D3183" s="3" t="s">
        <v>8978</v>
      </c>
      <c r="E3183" s="3" t="s">
        <v>8979</v>
      </c>
      <c r="J3183" s="9" t="s">
        <v>12120</v>
      </c>
      <c r="Q3183" s="10"/>
      <c r="U3183" s="9" t="str">
        <f t="shared" ca="1" si="126"/>
        <v/>
      </c>
      <c r="V3183" s="9" t="str">
        <f t="shared" ca="1" si="127"/>
        <v/>
      </c>
      <c r="AC3183" s="9" t="s">
        <v>12130</v>
      </c>
      <c r="AD3183" s="9" t="s">
        <v>19</v>
      </c>
    </row>
    <row r="3184" spans="1:33" ht="29">
      <c r="A3184" s="3" t="s">
        <v>3356</v>
      </c>
      <c r="D3184" s="3" t="s">
        <v>8984</v>
      </c>
      <c r="E3184" s="3" t="s">
        <v>8981</v>
      </c>
      <c r="J3184" s="9" t="s">
        <v>24</v>
      </c>
      <c r="L3184" s="9">
        <v>1</v>
      </c>
      <c r="M3184" s="9">
        <v>3</v>
      </c>
      <c r="N3184" s="9" t="s">
        <v>12094</v>
      </c>
      <c r="O3184" s="9" t="s">
        <v>12079</v>
      </c>
      <c r="Q3184" s="10"/>
      <c r="S3184" s="9">
        <v>1496</v>
      </c>
      <c r="U3184" s="9" t="str">
        <f t="shared" ca="1" si="126"/>
        <v/>
      </c>
      <c r="V3184" s="9" t="str">
        <f t="shared" ca="1" si="127"/>
        <v/>
      </c>
      <c r="AG3184" s="9" t="s">
        <v>20</v>
      </c>
    </row>
    <row r="3185" spans="1:33" ht="29">
      <c r="A3185" s="3" t="s">
        <v>3357</v>
      </c>
      <c r="D3185" s="3" t="s">
        <v>8983</v>
      </c>
      <c r="E3185" s="3" t="s">
        <v>8982</v>
      </c>
      <c r="J3185" s="9" t="s">
        <v>12118</v>
      </c>
      <c r="Q3185" s="10"/>
      <c r="T3185" s="9">
        <f>64-264</f>
        <v>-200</v>
      </c>
      <c r="U3185" s="9">
        <f t="shared" ca="1" si="126"/>
        <v>264</v>
      </c>
      <c r="V3185" s="9">
        <f t="shared" ca="1" si="127"/>
        <v>64</v>
      </c>
      <c r="AC3185" s="9" t="s">
        <v>12134</v>
      </c>
      <c r="AD3185" s="9" t="s">
        <v>19</v>
      </c>
    </row>
    <row r="3186" spans="1:33" ht="29">
      <c r="A3186" s="3" t="s">
        <v>3357</v>
      </c>
      <c r="D3186" s="3" t="s">
        <v>8985</v>
      </c>
      <c r="E3186" s="3" t="s">
        <v>8980</v>
      </c>
      <c r="J3186" s="9" t="s">
        <v>25</v>
      </c>
      <c r="L3186" s="9">
        <v>1</v>
      </c>
      <c r="M3186" s="9">
        <v>4</v>
      </c>
      <c r="N3186" s="9" t="s">
        <v>12094</v>
      </c>
      <c r="O3186" s="9" t="s">
        <v>12079</v>
      </c>
      <c r="Q3186" s="10"/>
      <c r="S3186" s="9">
        <v>1496</v>
      </c>
      <c r="U3186" s="9" t="str">
        <f t="shared" ca="1" si="126"/>
        <v/>
      </c>
      <c r="V3186" s="9" t="str">
        <f t="shared" ca="1" si="127"/>
        <v/>
      </c>
      <c r="AG3186" s="9" t="s">
        <v>19</v>
      </c>
    </row>
    <row r="3187" spans="1:33" ht="29">
      <c r="A3187" s="3" t="s">
        <v>3358</v>
      </c>
      <c r="D3187" s="3" t="s">
        <v>8986</v>
      </c>
      <c r="E3187" s="3" t="s">
        <v>8987</v>
      </c>
      <c r="J3187" s="9" t="s">
        <v>26</v>
      </c>
      <c r="L3187" s="9">
        <v>1</v>
      </c>
      <c r="M3187" s="9">
        <v>1</v>
      </c>
      <c r="N3187" s="9" t="s">
        <v>12094</v>
      </c>
      <c r="O3187" s="9" t="s">
        <v>12119</v>
      </c>
      <c r="Q3187" s="10"/>
      <c r="S3187" s="9">
        <v>780</v>
      </c>
      <c r="U3187" s="9" t="str">
        <f t="shared" ca="1" si="126"/>
        <v/>
      </c>
      <c r="V3187" s="9" t="str">
        <f t="shared" ca="1" si="127"/>
        <v/>
      </c>
      <c r="AG3187" s="9" t="s">
        <v>19</v>
      </c>
    </row>
    <row r="3188" spans="1:33">
      <c r="A3188" s="3" t="s">
        <v>3359</v>
      </c>
      <c r="D3188" s="3" t="s">
        <v>8988</v>
      </c>
      <c r="E3188" s="3" t="s">
        <v>8989</v>
      </c>
      <c r="J3188" s="9" t="s">
        <v>25</v>
      </c>
      <c r="L3188" s="9">
        <v>1</v>
      </c>
      <c r="M3188" s="9">
        <v>3</v>
      </c>
      <c r="N3188" s="9" t="s">
        <v>12078</v>
      </c>
      <c r="O3188" s="9" t="s">
        <v>12079</v>
      </c>
      <c r="Q3188" s="10"/>
      <c r="S3188" s="9">
        <v>11843</v>
      </c>
      <c r="U3188" s="9" t="str">
        <f t="shared" ca="1" si="126"/>
        <v/>
      </c>
      <c r="V3188" s="9" t="str">
        <f t="shared" ca="1" si="127"/>
        <v/>
      </c>
      <c r="AG3188" s="9" t="s">
        <v>13141</v>
      </c>
    </row>
    <row r="3189" spans="1:33">
      <c r="A3189" s="3" t="s">
        <v>3360</v>
      </c>
      <c r="D3189" s="3" t="s">
        <v>8990</v>
      </c>
      <c r="E3189" s="3" t="s">
        <v>8991</v>
      </c>
      <c r="J3189" s="9" t="s">
        <v>12120</v>
      </c>
      <c r="Q3189" s="10"/>
      <c r="U3189" s="9" t="str">
        <f t="shared" ca="1" si="126"/>
        <v/>
      </c>
      <c r="V3189" s="9" t="str">
        <f t="shared" ca="1" si="127"/>
        <v/>
      </c>
      <c r="AB3189" s="9" t="s">
        <v>12082</v>
      </c>
      <c r="AD3189" s="9" t="s">
        <v>19</v>
      </c>
    </row>
    <row r="3190" spans="1:33">
      <c r="A3190" s="3" t="s">
        <v>3361</v>
      </c>
      <c r="D3190" s="3" t="s">
        <v>8992</v>
      </c>
      <c r="E3190" s="3" t="s">
        <v>8993</v>
      </c>
      <c r="J3190" s="9" t="s">
        <v>12118</v>
      </c>
      <c r="Q3190" s="10"/>
      <c r="T3190" s="9">
        <f>103-61</f>
        <v>42</v>
      </c>
      <c r="U3190" s="9">
        <f t="shared" ca="1" si="126"/>
        <v>61</v>
      </c>
      <c r="V3190" s="9">
        <f t="shared" ca="1" si="127"/>
        <v>103</v>
      </c>
      <c r="AG3190" s="9" t="s">
        <v>19</v>
      </c>
    </row>
    <row r="3191" spans="1:33">
      <c r="A3191" s="3" t="s">
        <v>3362</v>
      </c>
      <c r="D3191" s="3" t="s">
        <v>8995</v>
      </c>
      <c r="E3191" s="3" t="s">
        <v>8994</v>
      </c>
      <c r="J3191" s="9" t="s">
        <v>25</v>
      </c>
      <c r="L3191" s="9">
        <v>1</v>
      </c>
      <c r="M3191" s="9">
        <v>3</v>
      </c>
      <c r="N3191" s="9" t="s">
        <v>12087</v>
      </c>
      <c r="O3191" s="9" t="s">
        <v>12079</v>
      </c>
      <c r="Q3191" s="10"/>
      <c r="S3191" s="9">
        <v>356</v>
      </c>
      <c r="U3191" s="9" t="str">
        <f t="shared" ca="1" si="126"/>
        <v/>
      </c>
      <c r="V3191" s="9" t="str">
        <f t="shared" ca="1" si="127"/>
        <v/>
      </c>
      <c r="AG3191" s="9" t="s">
        <v>19</v>
      </c>
    </row>
    <row r="3192" spans="1:33">
      <c r="A3192" s="3" t="s">
        <v>3362</v>
      </c>
      <c r="D3192" s="3" t="s">
        <v>8996</v>
      </c>
      <c r="E3192" s="3" t="s">
        <v>8997</v>
      </c>
      <c r="J3192" s="9" t="s">
        <v>12120</v>
      </c>
      <c r="Q3192" s="10"/>
      <c r="U3192" s="9" t="str">
        <f t="shared" ca="1" si="126"/>
        <v/>
      </c>
      <c r="V3192" s="9" t="str">
        <f t="shared" ca="1" si="127"/>
        <v/>
      </c>
      <c r="AG3192" s="9" t="s">
        <v>19</v>
      </c>
    </row>
    <row r="3193" spans="1:33">
      <c r="A3193" s="3" t="s">
        <v>3362</v>
      </c>
      <c r="D3193" s="3" t="s">
        <v>8998</v>
      </c>
      <c r="E3193" s="3" t="s">
        <v>8999</v>
      </c>
      <c r="J3193" s="9" t="s">
        <v>24</v>
      </c>
      <c r="L3193" s="9">
        <v>1</v>
      </c>
      <c r="M3193" s="9">
        <v>2</v>
      </c>
      <c r="N3193" s="9" t="s">
        <v>12078</v>
      </c>
      <c r="O3193" s="9" t="s">
        <v>12119</v>
      </c>
      <c r="Q3193" s="10"/>
      <c r="S3193" s="9">
        <v>11843</v>
      </c>
      <c r="U3193" s="9" t="str">
        <f t="shared" ca="1" si="126"/>
        <v/>
      </c>
      <c r="V3193" s="9" t="str">
        <f t="shared" ca="1" si="127"/>
        <v/>
      </c>
      <c r="AE3193" s="9" t="s">
        <v>12083</v>
      </c>
    </row>
    <row r="3194" spans="1:33">
      <c r="A3194" s="3" t="s">
        <v>3363</v>
      </c>
      <c r="D3194" s="3" t="s">
        <v>3364</v>
      </c>
      <c r="E3194" s="3" t="s">
        <v>3365</v>
      </c>
      <c r="J3194" s="9" t="s">
        <v>12118</v>
      </c>
      <c r="Q3194" s="10"/>
      <c r="T3194" s="9" t="s">
        <v>12131</v>
      </c>
      <c r="U3194" s="9" t="str">
        <f t="shared" ca="1" si="126"/>
        <v/>
      </c>
      <c r="V3194" s="9" t="str">
        <f t="shared" ca="1" si="127"/>
        <v/>
      </c>
      <c r="AC3194" s="9" t="s">
        <v>12134</v>
      </c>
      <c r="AD3194" s="9" t="s">
        <v>19</v>
      </c>
      <c r="AE3194" s="9" t="s">
        <v>12077</v>
      </c>
    </row>
    <row r="3195" spans="1:33">
      <c r="A3195" s="3" t="s">
        <v>3363</v>
      </c>
      <c r="D3195" s="3" t="s">
        <v>3366</v>
      </c>
      <c r="E3195" s="3" t="s">
        <v>3367</v>
      </c>
      <c r="J3195" s="9" t="s">
        <v>12118</v>
      </c>
      <c r="Q3195" s="10"/>
      <c r="T3195" s="9" t="s">
        <v>12131</v>
      </c>
      <c r="U3195" s="9" t="str">
        <f t="shared" ca="1" si="126"/>
        <v/>
      </c>
      <c r="V3195" s="9" t="str">
        <f t="shared" ca="1" si="127"/>
        <v/>
      </c>
      <c r="AB3195" s="9" t="s">
        <v>12124</v>
      </c>
      <c r="AC3195" s="9" t="s">
        <v>12130</v>
      </c>
      <c r="AD3195" s="9" t="s">
        <v>19</v>
      </c>
    </row>
    <row r="3196" spans="1:33">
      <c r="A3196" s="3" t="s">
        <v>3363</v>
      </c>
      <c r="D3196" s="3" t="s">
        <v>9001</v>
      </c>
      <c r="E3196" s="3" t="s">
        <v>9000</v>
      </c>
      <c r="J3196" s="9" t="s">
        <v>24</v>
      </c>
      <c r="L3196" s="9">
        <v>1</v>
      </c>
      <c r="M3196" s="9">
        <v>3</v>
      </c>
      <c r="N3196" s="9" t="s">
        <v>12087</v>
      </c>
      <c r="O3196" s="9" t="s">
        <v>12079</v>
      </c>
      <c r="Q3196" s="10"/>
      <c r="S3196" s="9">
        <v>5676</v>
      </c>
      <c r="U3196" s="9" t="str">
        <f t="shared" ca="1" si="126"/>
        <v/>
      </c>
      <c r="V3196" s="9" t="str">
        <f t="shared" ca="1" si="127"/>
        <v/>
      </c>
      <c r="AG3196" s="9" t="s">
        <v>20</v>
      </c>
    </row>
    <row r="3197" spans="1:33">
      <c r="A3197" s="3" t="s">
        <v>3368</v>
      </c>
      <c r="D3197" s="3" t="s">
        <v>1269</v>
      </c>
      <c r="E3197" s="3" t="s">
        <v>1248</v>
      </c>
      <c r="I3197" t="s">
        <v>12705</v>
      </c>
      <c r="J3197" s="9" t="s">
        <v>12120</v>
      </c>
      <c r="Q3197" s="10"/>
      <c r="U3197" s="9" t="str">
        <f t="shared" ca="1" si="126"/>
        <v/>
      </c>
      <c r="V3197" s="9" t="str">
        <f t="shared" ca="1" si="127"/>
        <v/>
      </c>
      <c r="W3197" s="9" t="s">
        <v>4</v>
      </c>
      <c r="AG3197" s="9" t="s">
        <v>19</v>
      </c>
    </row>
    <row r="3198" spans="1:33">
      <c r="A3198" s="3" t="s">
        <v>3368</v>
      </c>
      <c r="D3198" s="3" t="s">
        <v>9002</v>
      </c>
      <c r="E3198" s="3" t="s">
        <v>9003</v>
      </c>
      <c r="J3198" s="9" t="s">
        <v>25</v>
      </c>
      <c r="L3198" s="9">
        <v>1</v>
      </c>
      <c r="M3198" s="9">
        <v>6</v>
      </c>
      <c r="N3198" s="9" t="s">
        <v>12094</v>
      </c>
      <c r="O3198" s="9" t="s">
        <v>12079</v>
      </c>
      <c r="Q3198" s="10"/>
      <c r="S3198" s="9">
        <v>4240</v>
      </c>
      <c r="U3198" s="9" t="str">
        <f t="shared" ca="1" si="126"/>
        <v/>
      </c>
      <c r="V3198" s="9" t="str">
        <f t="shared" ca="1" si="127"/>
        <v/>
      </c>
      <c r="AG3198" s="9" t="s">
        <v>19</v>
      </c>
    </row>
    <row r="3199" spans="1:33" ht="29">
      <c r="A3199" s="3" t="s">
        <v>3369</v>
      </c>
      <c r="D3199" s="3" t="s">
        <v>9005</v>
      </c>
      <c r="E3199" s="3" t="s">
        <v>9006</v>
      </c>
      <c r="I3199" t="s">
        <v>12177</v>
      </c>
      <c r="J3199" s="9" t="s">
        <v>26</v>
      </c>
      <c r="Q3199" s="10"/>
      <c r="U3199" s="9" t="str">
        <f t="shared" ca="1" si="126"/>
        <v/>
      </c>
      <c r="V3199" s="9" t="str">
        <f t="shared" ca="1" si="127"/>
        <v/>
      </c>
      <c r="AG3199" s="9" t="s">
        <v>13141</v>
      </c>
    </row>
    <row r="3200" spans="1:33" ht="29">
      <c r="A3200" s="3" t="s">
        <v>3369</v>
      </c>
      <c r="D3200" s="3" t="s">
        <v>9004</v>
      </c>
      <c r="E3200" s="3" t="s">
        <v>9007</v>
      </c>
      <c r="J3200" s="9" t="s">
        <v>24</v>
      </c>
      <c r="L3200" s="9">
        <v>1</v>
      </c>
      <c r="M3200" s="9">
        <v>3</v>
      </c>
      <c r="N3200" s="9" t="s">
        <v>12078</v>
      </c>
      <c r="O3200" s="9" t="s">
        <v>12079</v>
      </c>
      <c r="Q3200" s="10"/>
      <c r="S3200" s="9">
        <v>11843</v>
      </c>
      <c r="U3200" s="9" t="str">
        <f t="shared" ca="1" si="126"/>
        <v/>
      </c>
      <c r="V3200" s="9" t="str">
        <f t="shared" ca="1" si="127"/>
        <v/>
      </c>
      <c r="AG3200" s="9" t="s">
        <v>19</v>
      </c>
    </row>
    <row r="3201" spans="1:33">
      <c r="A3201" s="3" t="s">
        <v>3369</v>
      </c>
      <c r="D3201" s="3" t="s">
        <v>9008</v>
      </c>
      <c r="E3201" s="3" t="s">
        <v>9009</v>
      </c>
      <c r="J3201" s="9" t="s">
        <v>25</v>
      </c>
      <c r="L3201" s="9">
        <v>1</v>
      </c>
      <c r="M3201" s="9">
        <v>2</v>
      </c>
      <c r="N3201" s="9" t="s">
        <v>12087</v>
      </c>
      <c r="O3201" s="9" t="s">
        <v>12119</v>
      </c>
      <c r="Q3201" s="10"/>
      <c r="S3201" s="9">
        <v>1966</v>
      </c>
      <c r="U3201" s="9" t="str">
        <f t="shared" ca="1" si="126"/>
        <v/>
      </c>
      <c r="V3201" s="9" t="str">
        <f t="shared" ca="1" si="127"/>
        <v/>
      </c>
      <c r="AG3201" s="9" t="s">
        <v>19</v>
      </c>
    </row>
    <row r="3202" spans="1:33">
      <c r="A3202" s="3" t="s">
        <v>3370</v>
      </c>
      <c r="D3202" s="3" t="s">
        <v>9010</v>
      </c>
      <c r="E3202" s="3" t="s">
        <v>9011</v>
      </c>
      <c r="G3202" t="s">
        <v>19</v>
      </c>
      <c r="J3202" s="9" t="s">
        <v>12120</v>
      </c>
      <c r="Q3202" s="10"/>
      <c r="U3202" s="9" t="str">
        <f t="shared" ca="1" si="126"/>
        <v/>
      </c>
      <c r="V3202" s="9" t="str">
        <f t="shared" ca="1" si="127"/>
        <v/>
      </c>
      <c r="AE3202" s="9" t="s">
        <v>12086</v>
      </c>
    </row>
    <row r="3203" spans="1:33" ht="72.5">
      <c r="A3203" s="3" t="s">
        <v>3371</v>
      </c>
      <c r="D3203" s="3" t="s">
        <v>12470</v>
      </c>
      <c r="E3203" s="3" t="s">
        <v>12471</v>
      </c>
      <c r="I3203" t="s">
        <v>12473</v>
      </c>
      <c r="J3203" s="9" t="s">
        <v>25</v>
      </c>
      <c r="L3203" s="9">
        <v>9</v>
      </c>
      <c r="M3203" s="9">
        <v>43</v>
      </c>
      <c r="O3203" s="9" t="s">
        <v>12073</v>
      </c>
      <c r="P3203" s="9" t="s">
        <v>12140</v>
      </c>
      <c r="Q3203" s="10" t="s">
        <v>12472</v>
      </c>
      <c r="S3203" s="9">
        <v>45</v>
      </c>
      <c r="U3203" s="9" t="str">
        <f t="shared" ca="1" si="126"/>
        <v/>
      </c>
      <c r="V3203" s="9" t="str">
        <f t="shared" ca="1" si="127"/>
        <v/>
      </c>
      <c r="AG3203" s="9" t="s">
        <v>20</v>
      </c>
    </row>
    <row r="3204" spans="1:33">
      <c r="A3204" s="3" t="s">
        <v>3372</v>
      </c>
      <c r="D3204" s="3" t="s">
        <v>3373</v>
      </c>
      <c r="E3204" s="3" t="s">
        <v>3374</v>
      </c>
      <c r="J3204" s="9" t="s">
        <v>12120</v>
      </c>
      <c r="Q3204" s="10"/>
      <c r="U3204" s="9" t="str">
        <f t="shared" ca="1" si="126"/>
        <v/>
      </c>
      <c r="V3204" s="9" t="str">
        <f t="shared" ca="1" si="127"/>
        <v/>
      </c>
      <c r="AC3204" s="9" t="s">
        <v>12134</v>
      </c>
      <c r="AD3204" s="9" t="s">
        <v>19</v>
      </c>
      <c r="AE3204" s="9" t="s">
        <v>12086</v>
      </c>
    </row>
    <row r="3205" spans="1:33">
      <c r="A3205" s="3" t="s">
        <v>3372</v>
      </c>
      <c r="D3205" s="3" t="s">
        <v>9012</v>
      </c>
      <c r="E3205" s="3" t="s">
        <v>9013</v>
      </c>
      <c r="G3205" t="s">
        <v>19</v>
      </c>
      <c r="J3205" s="9" t="s">
        <v>12118</v>
      </c>
      <c r="Q3205" s="10"/>
      <c r="T3205" s="9" t="s">
        <v>12131</v>
      </c>
      <c r="U3205" s="9" t="str">
        <f t="shared" ca="1" si="126"/>
        <v/>
      </c>
      <c r="V3205" s="9" t="str">
        <f t="shared" ca="1" si="127"/>
        <v/>
      </c>
      <c r="AE3205" s="9" t="s">
        <v>12086</v>
      </c>
    </row>
    <row r="3206" spans="1:33">
      <c r="A3206" s="3" t="s">
        <v>3375</v>
      </c>
      <c r="D3206" s="3" t="s">
        <v>1269</v>
      </c>
      <c r="E3206" s="3" t="s">
        <v>1248</v>
      </c>
      <c r="J3206" s="9" t="s">
        <v>12120</v>
      </c>
      <c r="Q3206" s="10"/>
      <c r="U3206" s="9" t="str">
        <f t="shared" ca="1" si="126"/>
        <v/>
      </c>
      <c r="V3206" s="9" t="str">
        <f t="shared" ca="1" si="127"/>
        <v/>
      </c>
      <c r="AG3206" s="9" t="s">
        <v>19</v>
      </c>
    </row>
    <row r="3207" spans="1:33" ht="29">
      <c r="A3207" s="3" t="s">
        <v>3376</v>
      </c>
      <c r="D3207" s="3" t="s">
        <v>9016</v>
      </c>
      <c r="E3207" s="3" t="s">
        <v>9015</v>
      </c>
      <c r="J3207" s="9" t="s">
        <v>25</v>
      </c>
      <c r="L3207" s="9">
        <v>1</v>
      </c>
      <c r="M3207" s="9">
        <v>3</v>
      </c>
      <c r="N3207" s="9" t="s">
        <v>12087</v>
      </c>
      <c r="O3207" s="9" t="s">
        <v>12079</v>
      </c>
      <c r="Q3207" s="10"/>
      <c r="S3207" s="9">
        <v>356</v>
      </c>
      <c r="U3207" s="9" t="str">
        <f t="shared" ca="1" si="126"/>
        <v/>
      </c>
      <c r="V3207" s="9" t="str">
        <f t="shared" ca="1" si="127"/>
        <v/>
      </c>
      <c r="AG3207" s="9" t="s">
        <v>20</v>
      </c>
    </row>
    <row r="3208" spans="1:33" ht="29">
      <c r="A3208" s="3" t="s">
        <v>3376</v>
      </c>
      <c r="D3208" s="3" t="s">
        <v>9014</v>
      </c>
      <c r="E3208" s="3" t="s">
        <v>9017</v>
      </c>
      <c r="J3208" s="9" t="s">
        <v>24</v>
      </c>
      <c r="L3208" s="9">
        <v>1</v>
      </c>
      <c r="M3208" s="9">
        <v>8</v>
      </c>
      <c r="N3208" s="9" t="s">
        <v>12092</v>
      </c>
      <c r="O3208" s="9" t="s">
        <v>12073</v>
      </c>
      <c r="P3208" s="9" t="s">
        <v>12142</v>
      </c>
      <c r="Q3208" s="10" t="s">
        <v>12143</v>
      </c>
      <c r="S3208" s="9">
        <v>371</v>
      </c>
      <c r="U3208" s="9" t="str">
        <f t="shared" ca="1" si="126"/>
        <v/>
      </c>
      <c r="V3208" s="9" t="str">
        <f t="shared" ca="1" si="127"/>
        <v/>
      </c>
      <c r="AG3208" s="9" t="s">
        <v>19</v>
      </c>
    </row>
    <row r="3209" spans="1:33">
      <c r="A3209" s="3" t="s">
        <v>3377</v>
      </c>
      <c r="D3209" s="3" t="s">
        <v>3135</v>
      </c>
      <c r="E3209" s="3" t="s">
        <v>1714</v>
      </c>
      <c r="J3209" s="9" t="s">
        <v>12118</v>
      </c>
      <c r="Q3209" s="10"/>
      <c r="T3209" s="9" t="s">
        <v>12131</v>
      </c>
      <c r="U3209" s="9" t="str">
        <f t="shared" ca="1" si="126"/>
        <v/>
      </c>
      <c r="V3209" s="9" t="str">
        <f t="shared" ca="1" si="127"/>
        <v/>
      </c>
      <c r="AC3209" s="9" t="s">
        <v>12130</v>
      </c>
      <c r="AD3209" s="9" t="s">
        <v>19</v>
      </c>
      <c r="AE3209" s="9" t="s">
        <v>12086</v>
      </c>
    </row>
    <row r="3210" spans="1:33">
      <c r="A3210" s="3" t="s">
        <v>3378</v>
      </c>
      <c r="D3210" s="3" t="s">
        <v>9019</v>
      </c>
      <c r="E3210" s="3" t="s">
        <v>9020</v>
      </c>
      <c r="J3210" s="9" t="s">
        <v>12120</v>
      </c>
      <c r="Q3210" s="10"/>
      <c r="U3210" s="9" t="str">
        <f t="shared" ca="1" si="126"/>
        <v/>
      </c>
      <c r="V3210" s="9" t="str">
        <f t="shared" ca="1" si="127"/>
        <v/>
      </c>
      <c r="AB3210" s="9" t="s">
        <v>12082</v>
      </c>
      <c r="AD3210" s="9" t="s">
        <v>19</v>
      </c>
    </row>
    <row r="3211" spans="1:33">
      <c r="A3211" s="3" t="s">
        <v>3378</v>
      </c>
      <c r="D3211" s="3" t="s">
        <v>9021</v>
      </c>
      <c r="E3211" s="3" t="s">
        <v>9018</v>
      </c>
      <c r="J3211" s="9" t="s">
        <v>25</v>
      </c>
      <c r="L3211" s="9">
        <v>1</v>
      </c>
      <c r="M3211" s="9">
        <v>3</v>
      </c>
      <c r="N3211" s="9" t="s">
        <v>12087</v>
      </c>
      <c r="O3211" s="9" t="s">
        <v>12079</v>
      </c>
      <c r="Q3211" s="10"/>
      <c r="S3211" s="9">
        <v>5676</v>
      </c>
      <c r="U3211" s="9" t="str">
        <f t="shared" ca="1" si="126"/>
        <v/>
      </c>
      <c r="V3211" s="9" t="str">
        <f t="shared" ca="1" si="127"/>
        <v/>
      </c>
      <c r="AG3211" s="9" t="s">
        <v>19</v>
      </c>
    </row>
    <row r="3212" spans="1:33">
      <c r="A3212" s="3" t="s">
        <v>3379</v>
      </c>
      <c r="D3212" s="3" t="s">
        <v>9023</v>
      </c>
      <c r="E3212" s="3" t="s">
        <v>9022</v>
      </c>
      <c r="J3212" s="9" t="s">
        <v>24</v>
      </c>
      <c r="L3212" s="9">
        <v>1</v>
      </c>
      <c r="M3212" s="9">
        <v>6</v>
      </c>
      <c r="N3212" s="9" t="s">
        <v>12094</v>
      </c>
      <c r="O3212" s="9" t="s">
        <v>12079</v>
      </c>
      <c r="Q3212" s="10"/>
      <c r="S3212" s="9">
        <v>4240</v>
      </c>
      <c r="U3212" s="9" t="str">
        <f t="shared" ca="1" si="126"/>
        <v/>
      </c>
      <c r="V3212" s="9" t="str">
        <f t="shared" ca="1" si="127"/>
        <v/>
      </c>
      <c r="AG3212" s="9" t="s">
        <v>19</v>
      </c>
    </row>
    <row r="3213" spans="1:33">
      <c r="A3213" s="3" t="s">
        <v>3380</v>
      </c>
      <c r="D3213" s="3" t="s">
        <v>9024</v>
      </c>
      <c r="E3213" s="3" t="s">
        <v>9025</v>
      </c>
      <c r="J3213" s="9" t="s">
        <v>12120</v>
      </c>
      <c r="Q3213" s="10"/>
      <c r="U3213" s="9" t="str">
        <f t="shared" ca="1" si="126"/>
        <v/>
      </c>
      <c r="V3213" s="9" t="str">
        <f t="shared" ca="1" si="127"/>
        <v/>
      </c>
      <c r="AB3213" s="9" t="s">
        <v>12124</v>
      </c>
      <c r="AD3213" s="9" t="s">
        <v>19</v>
      </c>
    </row>
    <row r="3214" spans="1:33">
      <c r="A3214" s="3" t="s">
        <v>3380</v>
      </c>
      <c r="D3214" s="3" t="s">
        <v>9027</v>
      </c>
      <c r="E3214" s="3" t="s">
        <v>9026</v>
      </c>
      <c r="G3214" t="s">
        <v>19</v>
      </c>
      <c r="I3214" t="s">
        <v>12706</v>
      </c>
      <c r="J3214" s="9" t="s">
        <v>24</v>
      </c>
      <c r="L3214" s="9">
        <v>1</v>
      </c>
      <c r="M3214" s="9">
        <v>1</v>
      </c>
      <c r="N3214" s="9" t="s">
        <v>12078</v>
      </c>
      <c r="O3214" s="9" t="s">
        <v>12119</v>
      </c>
      <c r="Q3214" s="10"/>
      <c r="S3214" s="9">
        <v>11843</v>
      </c>
      <c r="U3214" s="9" t="str">
        <f t="shared" ca="1" si="126"/>
        <v/>
      </c>
      <c r="V3214" s="9" t="str">
        <f t="shared" ca="1" si="127"/>
        <v/>
      </c>
      <c r="W3214" s="9" t="s">
        <v>4</v>
      </c>
    </row>
    <row r="3215" spans="1:33">
      <c r="A3215" s="3" t="s">
        <v>3381</v>
      </c>
      <c r="D3215" s="3" t="s">
        <v>9029</v>
      </c>
      <c r="E3215" s="3" t="s">
        <v>9028</v>
      </c>
      <c r="J3215" s="9" t="s">
        <v>24</v>
      </c>
      <c r="L3215" s="9">
        <v>1</v>
      </c>
      <c r="M3215" s="9">
        <v>6</v>
      </c>
      <c r="N3215" s="9" t="s">
        <v>12094</v>
      </c>
      <c r="O3215" s="9" t="s">
        <v>12079</v>
      </c>
      <c r="Q3215" s="10"/>
      <c r="S3215" s="9">
        <v>4240</v>
      </c>
      <c r="U3215" s="9" t="str">
        <f t="shared" ca="1" si="126"/>
        <v/>
      </c>
      <c r="V3215" s="9" t="str">
        <f t="shared" ca="1" si="127"/>
        <v/>
      </c>
      <c r="AG3215" s="9" t="s">
        <v>19</v>
      </c>
    </row>
    <row r="3216" spans="1:33">
      <c r="A3216" s="3" t="s">
        <v>3381</v>
      </c>
      <c r="D3216" s="3" t="s">
        <v>9030</v>
      </c>
      <c r="E3216" s="3" t="s">
        <v>9031</v>
      </c>
      <c r="G3216" t="s">
        <v>19</v>
      </c>
      <c r="J3216" s="9" t="s">
        <v>12118</v>
      </c>
      <c r="Q3216" s="10"/>
      <c r="T3216" s="9">
        <f>1565-301</f>
        <v>1264</v>
      </c>
      <c r="U3216" s="9">
        <f t="shared" ca="1" si="126"/>
        <v>301</v>
      </c>
      <c r="V3216" s="9">
        <f t="shared" ca="1" si="127"/>
        <v>1565</v>
      </c>
      <c r="AE3216" s="9" t="s">
        <v>12089</v>
      </c>
    </row>
    <row r="3217" spans="1:33">
      <c r="A3217" s="3" t="s">
        <v>3381</v>
      </c>
      <c r="D3217" s="3" t="s">
        <v>9032</v>
      </c>
      <c r="E3217" s="3" t="s">
        <v>9033</v>
      </c>
      <c r="J3217" s="9" t="s">
        <v>12120</v>
      </c>
      <c r="Q3217" s="10"/>
      <c r="U3217" s="9" t="str">
        <f t="shared" ref="U3217:U3280" ca="1" si="128">IF(ISNUMBER(T3217),VALUE(MID(_xlfn.FORMULATEXT(T3217),SEARCH("-",_xlfn.FORMULATEXT(T3217))+1,LEN(_xlfn.FORMULATEXT(T3217))-SEARCH("-",_xlfn.FORMULATEXT(T3217)))), "")</f>
        <v/>
      </c>
      <c r="V3217" s="9" t="str">
        <f t="shared" ref="V3217:V3280" ca="1" si="129">IF(ISNUMBER(T3217), VALUE(MID(_xlfn.FORMULATEXT(T3217), 2, SEARCH("-", _xlfn.FORMULATEXT(T3217)) - 2)), "")</f>
        <v/>
      </c>
      <c r="AB3217" s="9" t="s">
        <v>12082</v>
      </c>
      <c r="AD3217" s="9" t="s">
        <v>19</v>
      </c>
    </row>
    <row r="3218" spans="1:33">
      <c r="A3218" s="3" t="s">
        <v>3382</v>
      </c>
      <c r="D3218" s="3" t="s">
        <v>9034</v>
      </c>
      <c r="E3218" s="3" t="s">
        <v>9035</v>
      </c>
      <c r="J3218" s="9" t="s">
        <v>12120</v>
      </c>
      <c r="Q3218" s="10"/>
      <c r="U3218" s="9" t="str">
        <f t="shared" ca="1" si="128"/>
        <v/>
      </c>
      <c r="V3218" s="9" t="str">
        <f t="shared" ca="1" si="129"/>
        <v/>
      </c>
      <c r="AB3218" s="9" t="s">
        <v>12082</v>
      </c>
      <c r="AD3218" s="9" t="s">
        <v>19</v>
      </c>
    </row>
    <row r="3219" spans="1:33">
      <c r="A3219" s="3" t="s">
        <v>3383</v>
      </c>
      <c r="D3219" s="3" t="s">
        <v>9037</v>
      </c>
      <c r="E3219" s="3" t="s">
        <v>9036</v>
      </c>
      <c r="I3219" t="s">
        <v>12189</v>
      </c>
      <c r="J3219" s="9" t="s">
        <v>26</v>
      </c>
      <c r="Q3219" s="10"/>
      <c r="U3219" s="9" t="str">
        <f t="shared" ca="1" si="128"/>
        <v/>
      </c>
      <c r="V3219" s="9" t="str">
        <f t="shared" ca="1" si="129"/>
        <v/>
      </c>
      <c r="AG3219" s="9" t="s">
        <v>20</v>
      </c>
    </row>
    <row r="3220" spans="1:33">
      <c r="A3220" s="3" t="s">
        <v>3383</v>
      </c>
      <c r="D3220" s="3" t="s">
        <v>3384</v>
      </c>
      <c r="E3220" s="3" t="s">
        <v>3452</v>
      </c>
      <c r="J3220" s="9" t="s">
        <v>12118</v>
      </c>
      <c r="Q3220" s="10"/>
      <c r="T3220" s="9" t="s">
        <v>12131</v>
      </c>
      <c r="U3220" s="9" t="str">
        <f t="shared" ca="1" si="128"/>
        <v/>
      </c>
      <c r="V3220" s="9" t="str">
        <f t="shared" ca="1" si="129"/>
        <v/>
      </c>
      <c r="AE3220" s="9" t="s">
        <v>12086</v>
      </c>
    </row>
    <row r="3221" spans="1:33" ht="29">
      <c r="A3221" s="3" t="s">
        <v>3385</v>
      </c>
      <c r="D3221" s="3" t="s">
        <v>9038</v>
      </c>
      <c r="E3221" s="3" t="s">
        <v>9039</v>
      </c>
      <c r="I3221" t="s">
        <v>5457</v>
      </c>
      <c r="J3221" s="9" t="s">
        <v>26</v>
      </c>
      <c r="Q3221" s="10"/>
      <c r="U3221" s="9" t="str">
        <f t="shared" ca="1" si="128"/>
        <v/>
      </c>
      <c r="V3221" s="9" t="str">
        <f t="shared" ca="1" si="129"/>
        <v/>
      </c>
      <c r="AG3221" s="9" t="s">
        <v>20</v>
      </c>
    </row>
    <row r="3222" spans="1:33" ht="29">
      <c r="A3222" s="3" t="s">
        <v>3385</v>
      </c>
      <c r="D3222" s="3" t="s">
        <v>9040</v>
      </c>
      <c r="E3222" s="3" t="s">
        <v>9041</v>
      </c>
      <c r="J3222" s="9" t="s">
        <v>12120</v>
      </c>
      <c r="Q3222" s="10"/>
      <c r="U3222" s="9" t="str">
        <f t="shared" ca="1" si="128"/>
        <v/>
      </c>
      <c r="V3222" s="9" t="str">
        <f t="shared" ca="1" si="129"/>
        <v/>
      </c>
      <c r="AG3222" s="9" t="s">
        <v>19</v>
      </c>
    </row>
    <row r="3223" spans="1:33" ht="29">
      <c r="A3223" s="3" t="s">
        <v>3386</v>
      </c>
      <c r="D3223" s="3" t="s">
        <v>9042</v>
      </c>
      <c r="E3223" s="3" t="s">
        <v>9043</v>
      </c>
      <c r="J3223" s="9" t="s">
        <v>24</v>
      </c>
      <c r="L3223" s="9">
        <v>1</v>
      </c>
      <c r="M3223" s="9">
        <v>3</v>
      </c>
      <c r="N3223" s="9" t="s">
        <v>12087</v>
      </c>
      <c r="O3223" s="9" t="s">
        <v>12079</v>
      </c>
      <c r="Q3223" s="10"/>
      <c r="S3223" s="9">
        <v>5676</v>
      </c>
      <c r="U3223" s="9" t="str">
        <f t="shared" ca="1" si="128"/>
        <v/>
      </c>
      <c r="V3223" s="9" t="str">
        <f t="shared" ca="1" si="129"/>
        <v/>
      </c>
      <c r="AG3223" s="9" t="s">
        <v>20</v>
      </c>
    </row>
    <row r="3224" spans="1:33">
      <c r="A3224" s="3" t="s">
        <v>3386</v>
      </c>
      <c r="D3224" s="3" t="s">
        <v>3387</v>
      </c>
      <c r="E3224" s="3" t="s">
        <v>3388</v>
      </c>
      <c r="J3224" s="9" t="s">
        <v>12120</v>
      </c>
      <c r="Q3224" s="10"/>
      <c r="U3224" s="9" t="str">
        <f t="shared" ca="1" si="128"/>
        <v/>
      </c>
      <c r="V3224" s="9" t="str">
        <f t="shared" ca="1" si="129"/>
        <v/>
      </c>
      <c r="AG3224" s="9" t="s">
        <v>20</v>
      </c>
    </row>
    <row r="3225" spans="1:33">
      <c r="A3225" s="3" t="s">
        <v>3389</v>
      </c>
      <c r="D3225" s="3" t="s">
        <v>9044</v>
      </c>
      <c r="E3225" s="3" t="s">
        <v>9045</v>
      </c>
      <c r="I3225" t="s">
        <v>12189</v>
      </c>
      <c r="J3225" s="9" t="s">
        <v>26</v>
      </c>
      <c r="Q3225" s="10"/>
      <c r="U3225" s="9" t="str">
        <f t="shared" ca="1" si="128"/>
        <v/>
      </c>
      <c r="V3225" s="9" t="str">
        <f t="shared" ca="1" si="129"/>
        <v/>
      </c>
      <c r="AG3225" s="9" t="s">
        <v>20</v>
      </c>
    </row>
    <row r="3226" spans="1:33" ht="29">
      <c r="A3226" s="3" t="s">
        <v>3390</v>
      </c>
      <c r="D3226" s="3" t="s">
        <v>9047</v>
      </c>
      <c r="E3226" s="3" t="s">
        <v>9046</v>
      </c>
      <c r="J3226" s="9" t="s">
        <v>12120</v>
      </c>
      <c r="Q3226" s="10"/>
      <c r="U3226" s="9" t="str">
        <f t="shared" ca="1" si="128"/>
        <v/>
      </c>
      <c r="V3226" s="9" t="str">
        <f t="shared" ca="1" si="129"/>
        <v/>
      </c>
      <c r="AG3226" s="9" t="s">
        <v>19</v>
      </c>
    </row>
    <row r="3227" spans="1:33" ht="29">
      <c r="A3227" s="3" t="s">
        <v>3391</v>
      </c>
      <c r="D3227" s="3" t="s">
        <v>9048</v>
      </c>
      <c r="E3227" s="3" t="s">
        <v>9049</v>
      </c>
      <c r="I3227" t="s">
        <v>12192</v>
      </c>
      <c r="J3227" s="9" t="s">
        <v>26</v>
      </c>
      <c r="Q3227" s="10"/>
      <c r="U3227" s="9" t="str">
        <f t="shared" ca="1" si="128"/>
        <v/>
      </c>
      <c r="V3227" s="9" t="str">
        <f t="shared" ca="1" si="129"/>
        <v/>
      </c>
      <c r="AG3227" s="9" t="s">
        <v>20</v>
      </c>
    </row>
    <row r="3228" spans="1:33">
      <c r="A3228" s="3" t="s">
        <v>3391</v>
      </c>
      <c r="D3228" s="3" t="s">
        <v>9050</v>
      </c>
      <c r="E3228" s="3" t="s">
        <v>9051</v>
      </c>
      <c r="J3228" s="9" t="s">
        <v>12120</v>
      </c>
      <c r="Q3228" s="10"/>
      <c r="U3228" s="9" t="str">
        <f t="shared" ca="1" si="128"/>
        <v/>
      </c>
      <c r="V3228" s="9" t="str">
        <f t="shared" ca="1" si="129"/>
        <v/>
      </c>
      <c r="AE3228" s="9" t="s">
        <v>12077</v>
      </c>
    </row>
    <row r="3229" spans="1:33" ht="29">
      <c r="A3229" s="3" t="s">
        <v>3392</v>
      </c>
      <c r="D3229" s="3" t="s">
        <v>9054</v>
      </c>
      <c r="E3229" s="3" t="s">
        <v>9055</v>
      </c>
      <c r="J3229" s="9" t="s">
        <v>25</v>
      </c>
      <c r="L3229" s="9">
        <v>1</v>
      </c>
      <c r="M3229" s="9">
        <v>3</v>
      </c>
      <c r="N3229" s="9" t="s">
        <v>12078</v>
      </c>
      <c r="O3229" s="9" t="s">
        <v>12079</v>
      </c>
      <c r="Q3229" s="10"/>
      <c r="S3229" s="9">
        <v>11843</v>
      </c>
      <c r="U3229" s="9" t="str">
        <f t="shared" ca="1" si="128"/>
        <v/>
      </c>
      <c r="V3229" s="9" t="str">
        <f t="shared" ca="1" si="129"/>
        <v/>
      </c>
      <c r="AG3229" s="9" t="s">
        <v>20</v>
      </c>
    </row>
    <row r="3230" spans="1:33" ht="29">
      <c r="A3230" s="3" t="s">
        <v>3392</v>
      </c>
      <c r="D3230" s="3" t="s">
        <v>12474</v>
      </c>
      <c r="E3230" s="3" t="s">
        <v>12475</v>
      </c>
      <c r="I3230" t="s">
        <v>12189</v>
      </c>
      <c r="J3230" s="9" t="s">
        <v>26</v>
      </c>
      <c r="Q3230" s="10"/>
      <c r="U3230" s="9" t="str">
        <f t="shared" ca="1" si="128"/>
        <v/>
      </c>
      <c r="V3230" s="9" t="str">
        <f t="shared" ca="1" si="129"/>
        <v/>
      </c>
      <c r="AG3230" s="9" t="s">
        <v>20</v>
      </c>
    </row>
    <row r="3231" spans="1:33" ht="29">
      <c r="A3231" s="3" t="s">
        <v>3392</v>
      </c>
      <c r="D3231" s="3" t="s">
        <v>9053</v>
      </c>
      <c r="E3231" s="3" t="s">
        <v>9052</v>
      </c>
      <c r="J3231" s="9" t="s">
        <v>12120</v>
      </c>
      <c r="Q3231" s="10"/>
      <c r="U3231" s="9" t="str">
        <f t="shared" ca="1" si="128"/>
        <v/>
      </c>
      <c r="V3231" s="9" t="str">
        <f t="shared" ca="1" si="129"/>
        <v/>
      </c>
      <c r="AB3231" s="9" t="s">
        <v>12738</v>
      </c>
      <c r="AD3231" s="9" t="s">
        <v>19</v>
      </c>
    </row>
    <row r="3232" spans="1:33">
      <c r="A3232" s="3" t="s">
        <v>3393</v>
      </c>
      <c r="D3232" s="3" t="s">
        <v>9057</v>
      </c>
      <c r="E3232" s="3" t="s">
        <v>9056</v>
      </c>
      <c r="J3232" s="9" t="s">
        <v>25</v>
      </c>
      <c r="L3232" s="9">
        <v>1</v>
      </c>
      <c r="M3232" s="9">
        <v>2</v>
      </c>
      <c r="N3232" s="9" t="s">
        <v>12078</v>
      </c>
      <c r="O3232" s="9" t="s">
        <v>12119</v>
      </c>
      <c r="Q3232" s="10"/>
      <c r="S3232" s="9">
        <v>11843</v>
      </c>
      <c r="U3232" s="9" t="str">
        <f t="shared" ca="1" si="128"/>
        <v/>
      </c>
      <c r="V3232" s="9" t="str">
        <f t="shared" ca="1" si="129"/>
        <v/>
      </c>
      <c r="AG3232" s="9" t="s">
        <v>20</v>
      </c>
    </row>
    <row r="3233" spans="1:33" ht="29">
      <c r="A3233" s="3" t="s">
        <v>3394</v>
      </c>
      <c r="D3233" s="3" t="s">
        <v>9059</v>
      </c>
      <c r="E3233" s="3" t="s">
        <v>9058</v>
      </c>
      <c r="I3233" t="s">
        <v>5457</v>
      </c>
      <c r="J3233" s="9" t="s">
        <v>26</v>
      </c>
      <c r="Q3233" s="10"/>
      <c r="U3233" s="9" t="str">
        <f t="shared" ca="1" si="128"/>
        <v/>
      </c>
      <c r="V3233" s="9" t="str">
        <f t="shared" ca="1" si="129"/>
        <v/>
      </c>
      <c r="AG3233" s="9" t="s">
        <v>20</v>
      </c>
    </row>
    <row r="3234" spans="1:33" ht="29">
      <c r="A3234" s="3" t="s">
        <v>3395</v>
      </c>
      <c r="D3234" s="3" t="s">
        <v>9060</v>
      </c>
      <c r="E3234" s="3" t="s">
        <v>9061</v>
      </c>
      <c r="I3234" t="s">
        <v>5457</v>
      </c>
      <c r="J3234" s="9" t="s">
        <v>26</v>
      </c>
      <c r="Q3234" s="10"/>
      <c r="U3234" s="9" t="str">
        <f t="shared" ca="1" si="128"/>
        <v/>
      </c>
      <c r="V3234" s="9" t="str">
        <f t="shared" ca="1" si="129"/>
        <v/>
      </c>
      <c r="AG3234" s="9" t="s">
        <v>20</v>
      </c>
    </row>
    <row r="3235" spans="1:33">
      <c r="A3235" s="3" t="s">
        <v>3396</v>
      </c>
      <c r="D3235" s="3" t="s">
        <v>9063</v>
      </c>
      <c r="E3235" s="3" t="s">
        <v>9062</v>
      </c>
      <c r="J3235" s="9" t="s">
        <v>12118</v>
      </c>
      <c r="Q3235" s="10"/>
      <c r="T3235" s="9">
        <f xml:space="preserve"> 35-591</f>
        <v>-556</v>
      </c>
      <c r="U3235" s="9">
        <f t="shared" ca="1" si="128"/>
        <v>591</v>
      </c>
      <c r="V3235" s="9">
        <f t="shared" ca="1" si="129"/>
        <v>35</v>
      </c>
      <c r="AG3235" s="9" t="s">
        <v>19</v>
      </c>
    </row>
    <row r="3236" spans="1:33" ht="29">
      <c r="A3236" s="3" t="s">
        <v>3396</v>
      </c>
      <c r="D3236" s="3" t="s">
        <v>9064</v>
      </c>
      <c r="E3236" s="3" t="s">
        <v>9065</v>
      </c>
      <c r="I3236" t="s">
        <v>5457</v>
      </c>
      <c r="J3236" s="9" t="s">
        <v>26</v>
      </c>
      <c r="Q3236" s="10"/>
      <c r="U3236" s="9" t="str">
        <f t="shared" ca="1" si="128"/>
        <v/>
      </c>
      <c r="V3236" s="9" t="str">
        <f t="shared" ca="1" si="129"/>
        <v/>
      </c>
      <c r="AG3236" s="9" t="s">
        <v>20</v>
      </c>
    </row>
    <row r="3237" spans="1:33">
      <c r="A3237" s="3" t="s">
        <v>3397</v>
      </c>
      <c r="D3237" s="3" t="s">
        <v>9066</v>
      </c>
      <c r="E3237" s="3" t="s">
        <v>9067</v>
      </c>
      <c r="J3237" s="9" t="s">
        <v>12120</v>
      </c>
      <c r="Q3237" s="10"/>
      <c r="U3237" s="9" t="str">
        <f t="shared" ca="1" si="128"/>
        <v/>
      </c>
      <c r="V3237" s="9" t="str">
        <f t="shared" ca="1" si="129"/>
        <v/>
      </c>
      <c r="AB3237" s="9" t="s">
        <v>12737</v>
      </c>
      <c r="AD3237" s="9" t="s">
        <v>19</v>
      </c>
    </row>
    <row r="3238" spans="1:33">
      <c r="A3238" s="3" t="s">
        <v>3398</v>
      </c>
      <c r="D3238" s="3" t="s">
        <v>9069</v>
      </c>
      <c r="E3238" s="3" t="s">
        <v>9068</v>
      </c>
      <c r="I3238" t="s">
        <v>5457</v>
      </c>
      <c r="J3238" s="9" t="s">
        <v>26</v>
      </c>
      <c r="Q3238" s="10"/>
      <c r="U3238" s="9" t="str">
        <f t="shared" ca="1" si="128"/>
        <v/>
      </c>
      <c r="V3238" s="9" t="str">
        <f t="shared" ca="1" si="129"/>
        <v/>
      </c>
      <c r="AF3238" s="9" t="s">
        <v>19</v>
      </c>
      <c r="AG3238" s="9" t="s">
        <v>19</v>
      </c>
    </row>
    <row r="3239" spans="1:33">
      <c r="A3239" s="3" t="s">
        <v>3399</v>
      </c>
      <c r="D3239" s="3" t="s">
        <v>9070</v>
      </c>
      <c r="E3239" s="3" t="s">
        <v>9071</v>
      </c>
      <c r="G3239" t="s">
        <v>19</v>
      </c>
      <c r="J3239" s="9" t="s">
        <v>12118</v>
      </c>
      <c r="Q3239" s="10"/>
      <c r="T3239" s="9" t="s">
        <v>12131</v>
      </c>
      <c r="U3239" s="9" t="str">
        <f t="shared" ca="1" si="128"/>
        <v/>
      </c>
      <c r="V3239" s="9" t="str">
        <f t="shared" ca="1" si="129"/>
        <v/>
      </c>
      <c r="AE3239" s="9" t="s">
        <v>12086</v>
      </c>
    </row>
    <row r="3240" spans="1:33">
      <c r="A3240" s="3" t="s">
        <v>3399</v>
      </c>
      <c r="D3240" s="3" t="s">
        <v>9072</v>
      </c>
      <c r="E3240" s="3" t="s">
        <v>9073</v>
      </c>
      <c r="J3240" s="9" t="s">
        <v>12120</v>
      </c>
      <c r="Q3240" s="10"/>
      <c r="U3240" s="9" t="str">
        <f t="shared" ca="1" si="128"/>
        <v/>
      </c>
      <c r="V3240" s="9" t="str">
        <f t="shared" ca="1" si="129"/>
        <v/>
      </c>
      <c r="AG3240" s="9" t="s">
        <v>20</v>
      </c>
    </row>
    <row r="3241" spans="1:33">
      <c r="A3241" s="3" t="s">
        <v>3400</v>
      </c>
      <c r="D3241" s="3" t="s">
        <v>9075</v>
      </c>
      <c r="E3241" s="3" t="s">
        <v>9074</v>
      </c>
      <c r="I3241" t="s">
        <v>12707</v>
      </c>
      <c r="J3241" s="9" t="s">
        <v>24</v>
      </c>
      <c r="L3241" s="9">
        <v>1</v>
      </c>
      <c r="M3241" s="9">
        <v>3</v>
      </c>
      <c r="N3241" s="9" t="s">
        <v>12094</v>
      </c>
      <c r="O3241" s="9" t="s">
        <v>12079</v>
      </c>
      <c r="Q3241" s="10"/>
      <c r="S3241" s="9">
        <v>1496</v>
      </c>
      <c r="U3241" s="9" t="str">
        <f t="shared" ca="1" si="128"/>
        <v/>
      </c>
      <c r="V3241" s="9" t="str">
        <f t="shared" ca="1" si="129"/>
        <v/>
      </c>
      <c r="W3241" s="9" t="s">
        <v>4</v>
      </c>
      <c r="AG3241" s="9" t="s">
        <v>19</v>
      </c>
    </row>
    <row r="3242" spans="1:33">
      <c r="A3242" s="3" t="s">
        <v>3401</v>
      </c>
      <c r="D3242" s="3" t="s">
        <v>3402</v>
      </c>
      <c r="E3242" s="3" t="s">
        <v>3403</v>
      </c>
      <c r="J3242" s="9" t="s">
        <v>12118</v>
      </c>
      <c r="Q3242" s="10"/>
      <c r="T3242" s="9">
        <f>75-437</f>
        <v>-362</v>
      </c>
      <c r="U3242" s="9">
        <f t="shared" ca="1" si="128"/>
        <v>437</v>
      </c>
      <c r="V3242" s="9">
        <f t="shared" ca="1" si="129"/>
        <v>75</v>
      </c>
      <c r="AC3242" s="9" t="s">
        <v>12740</v>
      </c>
      <c r="AD3242" s="9" t="s">
        <v>19</v>
      </c>
      <c r="AE3242" s="9" t="s">
        <v>12077</v>
      </c>
    </row>
    <row r="3243" spans="1:33">
      <c r="A3243" s="3" t="s">
        <v>3401</v>
      </c>
      <c r="D3243" s="3" t="s">
        <v>12476</v>
      </c>
      <c r="E3243" s="3" t="s">
        <v>12477</v>
      </c>
      <c r="J3243" s="9" t="s">
        <v>12121</v>
      </c>
      <c r="Q3243" s="10"/>
      <c r="T3243" s="9">
        <f>15-3</f>
        <v>12</v>
      </c>
      <c r="U3243" s="9">
        <f t="shared" ca="1" si="128"/>
        <v>3</v>
      </c>
      <c r="V3243" s="9">
        <f t="shared" ca="1" si="129"/>
        <v>15</v>
      </c>
      <c r="AE3243" s="9" t="s">
        <v>12083</v>
      </c>
    </row>
    <row r="3244" spans="1:33">
      <c r="A3244" s="3" t="s">
        <v>3404</v>
      </c>
      <c r="D3244" s="3" t="s">
        <v>9077</v>
      </c>
      <c r="E3244" s="3" t="s">
        <v>9076</v>
      </c>
      <c r="J3244" s="9" t="s">
        <v>24</v>
      </c>
      <c r="L3244" s="9">
        <v>1</v>
      </c>
      <c r="M3244" s="9">
        <v>3</v>
      </c>
      <c r="N3244" s="9" t="s">
        <v>12094</v>
      </c>
      <c r="O3244" s="9" t="s">
        <v>12079</v>
      </c>
      <c r="Q3244" s="10"/>
      <c r="S3244" s="9">
        <v>1496</v>
      </c>
      <c r="U3244" s="9" t="str">
        <f t="shared" ca="1" si="128"/>
        <v/>
      </c>
      <c r="V3244" s="9" t="str">
        <f t="shared" ca="1" si="129"/>
        <v/>
      </c>
      <c r="AG3244" s="9" t="s">
        <v>19</v>
      </c>
    </row>
    <row r="3245" spans="1:33">
      <c r="A3245" s="3" t="s">
        <v>3405</v>
      </c>
      <c r="D3245" s="3" t="s">
        <v>9079</v>
      </c>
      <c r="E3245" s="3" t="s">
        <v>9078</v>
      </c>
      <c r="G3245" t="s">
        <v>19</v>
      </c>
      <c r="J3245" s="9" t="s">
        <v>12120</v>
      </c>
      <c r="Q3245" s="10"/>
      <c r="U3245" s="9" t="str">
        <f t="shared" ca="1" si="128"/>
        <v/>
      </c>
      <c r="V3245" s="9" t="str">
        <f t="shared" ca="1" si="129"/>
        <v/>
      </c>
      <c r="AE3245" s="9" t="s">
        <v>12086</v>
      </c>
    </row>
    <row r="3246" spans="1:33" ht="29">
      <c r="A3246" s="3" t="s">
        <v>3405</v>
      </c>
      <c r="D3246" s="3" t="s">
        <v>9081</v>
      </c>
      <c r="E3246" s="3" t="s">
        <v>9080</v>
      </c>
      <c r="J3246" s="9" t="s">
        <v>24</v>
      </c>
      <c r="L3246" s="9">
        <v>1</v>
      </c>
      <c r="M3246" s="9">
        <v>3</v>
      </c>
      <c r="N3246" s="9" t="s">
        <v>12078</v>
      </c>
      <c r="O3246" s="9" t="s">
        <v>12079</v>
      </c>
      <c r="Q3246" s="10"/>
      <c r="S3246" s="9">
        <v>11843</v>
      </c>
      <c r="U3246" s="9" t="str">
        <f t="shared" ca="1" si="128"/>
        <v/>
      </c>
      <c r="V3246" s="9" t="str">
        <f t="shared" ca="1" si="129"/>
        <v/>
      </c>
      <c r="AG3246" s="9" t="s">
        <v>20</v>
      </c>
    </row>
    <row r="3247" spans="1:33">
      <c r="A3247" s="3" t="s">
        <v>3406</v>
      </c>
      <c r="D3247" s="3" t="s">
        <v>1702</v>
      </c>
      <c r="E3247" s="3" t="s">
        <v>1105</v>
      </c>
      <c r="J3247" s="9" t="s">
        <v>12120</v>
      </c>
      <c r="Q3247" s="10"/>
      <c r="U3247" s="9" t="str">
        <f t="shared" ca="1" si="128"/>
        <v/>
      </c>
      <c r="V3247" s="9" t="str">
        <f t="shared" ca="1" si="129"/>
        <v/>
      </c>
      <c r="AG3247" s="9" t="s">
        <v>19</v>
      </c>
    </row>
    <row r="3248" spans="1:33">
      <c r="A3248" s="3" t="s">
        <v>3406</v>
      </c>
      <c r="D3248" s="3" t="s">
        <v>3407</v>
      </c>
      <c r="E3248" s="3" t="s">
        <v>3408</v>
      </c>
      <c r="J3248" s="9" t="s">
        <v>12120</v>
      </c>
      <c r="Q3248" s="10"/>
      <c r="U3248" s="9" t="str">
        <f t="shared" ca="1" si="128"/>
        <v/>
      </c>
      <c r="V3248" s="9" t="str">
        <f t="shared" ca="1" si="129"/>
        <v/>
      </c>
      <c r="AC3248" s="9" t="s">
        <v>12744</v>
      </c>
      <c r="AD3248" s="9" t="s">
        <v>19</v>
      </c>
    </row>
    <row r="3249" spans="1:33" ht="29">
      <c r="A3249" s="3" t="s">
        <v>3409</v>
      </c>
      <c r="D3249" s="3" t="s">
        <v>9083</v>
      </c>
      <c r="E3249" s="3" t="s">
        <v>9082</v>
      </c>
      <c r="J3249" s="9" t="s">
        <v>24</v>
      </c>
      <c r="L3249" s="9">
        <v>1</v>
      </c>
      <c r="M3249" s="9">
        <v>6</v>
      </c>
      <c r="N3249" s="9" t="s">
        <v>12094</v>
      </c>
      <c r="O3249" s="9" t="s">
        <v>12079</v>
      </c>
      <c r="Q3249" s="10"/>
      <c r="S3249" s="9">
        <v>4240</v>
      </c>
      <c r="U3249" s="9" t="str">
        <f t="shared" ca="1" si="128"/>
        <v/>
      </c>
      <c r="V3249" s="9" t="str">
        <f t="shared" ca="1" si="129"/>
        <v/>
      </c>
      <c r="AG3249" s="9" t="s">
        <v>19</v>
      </c>
    </row>
    <row r="3250" spans="1:33">
      <c r="A3250" s="3" t="s">
        <v>3409</v>
      </c>
      <c r="D3250" s="3" t="s">
        <v>3193</v>
      </c>
      <c r="E3250" s="3" t="s">
        <v>3194</v>
      </c>
      <c r="J3250" s="9" t="s">
        <v>12121</v>
      </c>
      <c r="Q3250" s="10"/>
      <c r="T3250" s="9">
        <f>46-18</f>
        <v>28</v>
      </c>
      <c r="U3250" s="9">
        <f t="shared" ca="1" si="128"/>
        <v>18</v>
      </c>
      <c r="V3250" s="9">
        <f t="shared" ca="1" si="129"/>
        <v>46</v>
      </c>
      <c r="AC3250" s="9" t="s">
        <v>12134</v>
      </c>
      <c r="AD3250" s="9" t="s">
        <v>19</v>
      </c>
      <c r="AE3250" s="9" t="s">
        <v>12089</v>
      </c>
    </row>
    <row r="3251" spans="1:33">
      <c r="A3251" s="3" t="s">
        <v>3410</v>
      </c>
      <c r="D3251" s="3" t="s">
        <v>9084</v>
      </c>
      <c r="E3251" s="3" t="s">
        <v>9085</v>
      </c>
      <c r="J3251" s="9" t="s">
        <v>12120</v>
      </c>
      <c r="Q3251" s="10"/>
      <c r="U3251" s="9" t="str">
        <f t="shared" ca="1" si="128"/>
        <v/>
      </c>
      <c r="V3251" s="9" t="str">
        <f t="shared" ca="1" si="129"/>
        <v/>
      </c>
      <c r="AB3251" s="9" t="s">
        <v>12737</v>
      </c>
      <c r="AD3251" s="9" t="s">
        <v>19</v>
      </c>
    </row>
    <row r="3252" spans="1:33">
      <c r="A3252" s="3" t="s">
        <v>3411</v>
      </c>
      <c r="D3252" s="3" t="s">
        <v>3412</v>
      </c>
      <c r="E3252" s="3" t="s">
        <v>3413</v>
      </c>
      <c r="J3252" s="9" t="s">
        <v>12120</v>
      </c>
      <c r="Q3252" s="10"/>
      <c r="U3252" s="9" t="str">
        <f t="shared" ca="1" si="128"/>
        <v/>
      </c>
      <c r="V3252" s="9" t="str">
        <f t="shared" ca="1" si="129"/>
        <v/>
      </c>
      <c r="AC3252" s="9" t="s">
        <v>12166</v>
      </c>
      <c r="AD3252" s="9" t="s">
        <v>19</v>
      </c>
    </row>
    <row r="3253" spans="1:33" ht="29">
      <c r="A3253" s="3" t="s">
        <v>3414</v>
      </c>
      <c r="D3253" s="3" t="s">
        <v>9087</v>
      </c>
      <c r="E3253" s="3" t="s">
        <v>9088</v>
      </c>
      <c r="G3253" t="s">
        <v>19</v>
      </c>
      <c r="J3253" s="9" t="s">
        <v>12120</v>
      </c>
      <c r="Q3253" s="10"/>
      <c r="U3253" s="9" t="str">
        <f t="shared" ca="1" si="128"/>
        <v/>
      </c>
      <c r="V3253" s="9" t="str">
        <f t="shared" ca="1" si="129"/>
        <v/>
      </c>
      <c r="AE3253" s="9" t="s">
        <v>12089</v>
      </c>
    </row>
    <row r="3254" spans="1:33" ht="29">
      <c r="A3254" s="3" t="s">
        <v>3414</v>
      </c>
      <c r="D3254" s="3" t="s">
        <v>9089</v>
      </c>
      <c r="E3254" s="3" t="s">
        <v>9086</v>
      </c>
      <c r="J3254" s="9" t="s">
        <v>25</v>
      </c>
      <c r="L3254" s="9">
        <v>2</v>
      </c>
      <c r="M3254" s="9">
        <v>10</v>
      </c>
      <c r="O3254" s="9" t="s">
        <v>12079</v>
      </c>
      <c r="Q3254" s="10"/>
      <c r="S3254" s="9">
        <v>167</v>
      </c>
      <c r="U3254" s="9" t="str">
        <f t="shared" ca="1" si="128"/>
        <v/>
      </c>
      <c r="V3254" s="9" t="str">
        <f t="shared" ca="1" si="129"/>
        <v/>
      </c>
      <c r="AG3254" s="9" t="s">
        <v>20</v>
      </c>
    </row>
    <row r="3255" spans="1:33">
      <c r="A3255" s="3" t="s">
        <v>3414</v>
      </c>
      <c r="D3255" s="3" t="s">
        <v>9091</v>
      </c>
      <c r="E3255" s="3" t="s">
        <v>9090</v>
      </c>
      <c r="J3255" s="9" t="s">
        <v>25</v>
      </c>
      <c r="L3255" s="9">
        <v>1</v>
      </c>
      <c r="M3255" s="9">
        <v>3</v>
      </c>
      <c r="N3255" s="9" t="s">
        <v>12087</v>
      </c>
      <c r="O3255" s="9" t="s">
        <v>12079</v>
      </c>
      <c r="Q3255" s="10"/>
      <c r="S3255" s="9">
        <v>5676</v>
      </c>
      <c r="U3255" s="9" t="str">
        <f t="shared" ca="1" si="128"/>
        <v/>
      </c>
      <c r="V3255" s="9" t="str">
        <f t="shared" ca="1" si="129"/>
        <v/>
      </c>
      <c r="AG3255" s="9" t="s">
        <v>20</v>
      </c>
    </row>
    <row r="3256" spans="1:33">
      <c r="A3256" s="3" t="s">
        <v>3414</v>
      </c>
      <c r="D3256" s="3" t="s">
        <v>9093</v>
      </c>
      <c r="E3256" s="3" t="s">
        <v>9092</v>
      </c>
      <c r="G3256" t="s">
        <v>19</v>
      </c>
      <c r="J3256" s="9" t="s">
        <v>12118</v>
      </c>
      <c r="Q3256" s="10"/>
      <c r="T3256" s="9" t="s">
        <v>12131</v>
      </c>
      <c r="U3256" s="9" t="str">
        <f t="shared" ca="1" si="128"/>
        <v/>
      </c>
      <c r="V3256" s="9" t="str">
        <f t="shared" ca="1" si="129"/>
        <v/>
      </c>
      <c r="AC3256" s="9" t="s">
        <v>12134</v>
      </c>
      <c r="AD3256" s="9" t="s">
        <v>20</v>
      </c>
      <c r="AE3256" s="9" t="s">
        <v>12086</v>
      </c>
    </row>
    <row r="3257" spans="1:33" ht="29">
      <c r="A3257" s="3" t="s">
        <v>3415</v>
      </c>
      <c r="D3257" s="5" t="s">
        <v>9095</v>
      </c>
      <c r="E3257" s="3" t="s">
        <v>9094</v>
      </c>
      <c r="F3257" t="s">
        <v>15</v>
      </c>
      <c r="Q3257" s="10"/>
      <c r="U3257" s="9" t="str">
        <f t="shared" ca="1" si="128"/>
        <v/>
      </c>
      <c r="V3257" s="9" t="str">
        <f t="shared" ca="1" si="129"/>
        <v/>
      </c>
    </row>
    <row r="3258" spans="1:33">
      <c r="A3258" s="3" t="s">
        <v>3415</v>
      </c>
      <c r="D3258" s="3" t="s">
        <v>9097</v>
      </c>
      <c r="E3258" s="3" t="s">
        <v>9096</v>
      </c>
      <c r="J3258" s="9" t="s">
        <v>24</v>
      </c>
      <c r="L3258" s="9">
        <v>1</v>
      </c>
      <c r="M3258" s="9">
        <v>3</v>
      </c>
      <c r="N3258" s="9" t="s">
        <v>12078</v>
      </c>
      <c r="O3258" s="9" t="s">
        <v>12079</v>
      </c>
      <c r="Q3258" s="10"/>
      <c r="S3258" s="9">
        <v>11843</v>
      </c>
      <c r="U3258" s="9" t="str">
        <f t="shared" ca="1" si="128"/>
        <v/>
      </c>
      <c r="V3258" s="9" t="str">
        <f t="shared" ca="1" si="129"/>
        <v/>
      </c>
      <c r="AG3258" s="9" t="s">
        <v>19</v>
      </c>
    </row>
    <row r="3259" spans="1:33">
      <c r="A3259" s="3" t="s">
        <v>3416</v>
      </c>
      <c r="D3259" s="3" t="s">
        <v>3417</v>
      </c>
      <c r="E3259" s="3" t="s">
        <v>3418</v>
      </c>
      <c r="J3259" s="9" t="s">
        <v>12120</v>
      </c>
      <c r="Q3259" s="10"/>
      <c r="U3259" s="9" t="str">
        <f t="shared" ca="1" si="128"/>
        <v/>
      </c>
      <c r="V3259" s="9" t="str">
        <f t="shared" ca="1" si="129"/>
        <v/>
      </c>
      <c r="AC3259" s="9" t="s">
        <v>12188</v>
      </c>
      <c r="AD3259" s="9" t="s">
        <v>20</v>
      </c>
      <c r="AE3259" s="9" t="s">
        <v>12089</v>
      </c>
    </row>
    <row r="3260" spans="1:33" ht="29">
      <c r="A3260" s="3" t="s">
        <v>3419</v>
      </c>
      <c r="D3260" s="3" t="s">
        <v>9098</v>
      </c>
      <c r="E3260" s="3" t="s">
        <v>9099</v>
      </c>
      <c r="J3260" s="9" t="s">
        <v>12118</v>
      </c>
      <c r="Q3260" s="10"/>
      <c r="T3260" s="9">
        <f>356-5676</f>
        <v>-5320</v>
      </c>
      <c r="U3260" s="9">
        <f t="shared" ca="1" si="128"/>
        <v>5676</v>
      </c>
      <c r="V3260" s="9">
        <f t="shared" ca="1" si="129"/>
        <v>356</v>
      </c>
      <c r="AG3260" s="9" t="s">
        <v>19</v>
      </c>
    </row>
    <row r="3261" spans="1:33">
      <c r="A3261" s="3" t="s">
        <v>3420</v>
      </c>
      <c r="D3261" s="3" t="s">
        <v>117</v>
      </c>
      <c r="E3261" s="3" t="s">
        <v>118</v>
      </c>
      <c r="J3261" s="9" t="s">
        <v>12118</v>
      </c>
      <c r="Q3261" s="10"/>
      <c r="T3261" s="9" t="s">
        <v>12131</v>
      </c>
      <c r="U3261" s="9" t="str">
        <f t="shared" ca="1" si="128"/>
        <v/>
      </c>
      <c r="V3261" s="9" t="str">
        <f t="shared" ca="1" si="129"/>
        <v/>
      </c>
      <c r="AB3261" s="9" t="s">
        <v>12124</v>
      </c>
      <c r="AC3261" s="9" t="s">
        <v>12740</v>
      </c>
      <c r="AD3261" s="9" t="s">
        <v>19</v>
      </c>
    </row>
    <row r="3262" spans="1:33">
      <c r="A3262" s="3" t="s">
        <v>3421</v>
      </c>
      <c r="D3262" s="3" t="s">
        <v>12914</v>
      </c>
      <c r="E3262" s="3" t="s">
        <v>12915</v>
      </c>
      <c r="J3262" s="9" t="s">
        <v>12118</v>
      </c>
      <c r="Q3262" s="10"/>
      <c r="T3262" s="9" t="s">
        <v>12131</v>
      </c>
      <c r="U3262" s="9" t="str">
        <f t="shared" ca="1" si="128"/>
        <v/>
      </c>
      <c r="V3262" s="9" t="str">
        <f t="shared" ca="1" si="129"/>
        <v/>
      </c>
      <c r="AB3262" s="9" t="s">
        <v>12124</v>
      </c>
      <c r="AC3262" s="9" t="s">
        <v>12740</v>
      </c>
      <c r="AD3262" s="9" t="s">
        <v>19</v>
      </c>
    </row>
    <row r="3263" spans="1:33">
      <c r="A3263" s="3" t="s">
        <v>3421</v>
      </c>
      <c r="D3263" s="3" t="s">
        <v>12916</v>
      </c>
      <c r="E3263" s="3" t="s">
        <v>12917</v>
      </c>
      <c r="J3263" s="9" t="s">
        <v>12118</v>
      </c>
      <c r="Q3263" s="10"/>
      <c r="T3263" s="9" t="s">
        <v>12131</v>
      </c>
      <c r="U3263" s="9" t="str">
        <f t="shared" ca="1" si="128"/>
        <v/>
      </c>
      <c r="V3263" s="9" t="str">
        <f t="shared" ca="1" si="129"/>
        <v/>
      </c>
      <c r="AB3263" s="9" t="s">
        <v>12124</v>
      </c>
      <c r="AC3263" s="9" t="s">
        <v>12740</v>
      </c>
      <c r="AD3263" s="9" t="s">
        <v>19</v>
      </c>
    </row>
    <row r="3264" spans="1:33" ht="29">
      <c r="A3264" s="3" t="s">
        <v>3422</v>
      </c>
      <c r="D3264" s="3" t="s">
        <v>9100</v>
      </c>
      <c r="E3264" s="3" t="s">
        <v>9101</v>
      </c>
      <c r="I3264" t="s">
        <v>12192</v>
      </c>
      <c r="J3264" s="9" t="s">
        <v>26</v>
      </c>
      <c r="Q3264" s="10"/>
      <c r="U3264" s="9" t="str">
        <f t="shared" ca="1" si="128"/>
        <v/>
      </c>
      <c r="V3264" s="9" t="str">
        <f t="shared" ca="1" si="129"/>
        <v/>
      </c>
      <c r="AG3264" s="9" t="s">
        <v>19</v>
      </c>
    </row>
    <row r="3265" spans="1:33">
      <c r="A3265" s="3" t="s">
        <v>3423</v>
      </c>
      <c r="D3265" s="3" t="s">
        <v>9103</v>
      </c>
      <c r="E3265" s="3" t="s">
        <v>9102</v>
      </c>
      <c r="G3265" t="s">
        <v>19</v>
      </c>
      <c r="J3265" s="9" t="s">
        <v>25</v>
      </c>
      <c r="L3265" s="9">
        <v>1</v>
      </c>
      <c r="M3265" s="9">
        <v>3</v>
      </c>
      <c r="N3265" s="9" t="s">
        <v>12078</v>
      </c>
      <c r="O3265" s="9" t="s">
        <v>12079</v>
      </c>
      <c r="Q3265" s="10"/>
      <c r="S3265" s="9">
        <v>11843</v>
      </c>
      <c r="U3265" s="9" t="str">
        <f t="shared" ca="1" si="128"/>
        <v/>
      </c>
      <c r="V3265" s="9" t="str">
        <f t="shared" ca="1" si="129"/>
        <v/>
      </c>
    </row>
    <row r="3266" spans="1:33">
      <c r="A3266" s="3" t="s">
        <v>3424</v>
      </c>
      <c r="D3266" s="3" t="s">
        <v>9104</v>
      </c>
      <c r="E3266" s="3" t="s">
        <v>9105</v>
      </c>
      <c r="J3266" s="9" t="s">
        <v>25</v>
      </c>
      <c r="L3266" s="9">
        <v>1</v>
      </c>
      <c r="M3266" s="9">
        <v>5</v>
      </c>
      <c r="N3266" s="9" t="s">
        <v>12094</v>
      </c>
      <c r="O3266" s="9" t="s">
        <v>12079</v>
      </c>
      <c r="Q3266" s="10"/>
      <c r="S3266" s="9">
        <v>4240</v>
      </c>
      <c r="U3266" s="9" t="str">
        <f t="shared" ca="1" si="128"/>
        <v/>
      </c>
      <c r="V3266" s="9" t="str">
        <f t="shared" ca="1" si="129"/>
        <v/>
      </c>
      <c r="AG3266" s="9" t="s">
        <v>19</v>
      </c>
    </row>
    <row r="3267" spans="1:33" ht="29">
      <c r="A3267" s="3" t="s">
        <v>3425</v>
      </c>
      <c r="D3267" s="3" t="s">
        <v>9106</v>
      </c>
      <c r="E3267" s="3" t="s">
        <v>9107</v>
      </c>
      <c r="I3267" t="s">
        <v>12478</v>
      </c>
      <c r="J3267" s="9" t="s">
        <v>25</v>
      </c>
      <c r="L3267" s="9">
        <v>6</v>
      </c>
      <c r="M3267" s="9">
        <v>17</v>
      </c>
      <c r="O3267" s="9" t="s">
        <v>12079</v>
      </c>
      <c r="Q3267" s="10"/>
      <c r="S3267" s="9">
        <v>277</v>
      </c>
      <c r="U3267" s="9" t="str">
        <f t="shared" ca="1" si="128"/>
        <v/>
      </c>
      <c r="V3267" s="9" t="str">
        <f t="shared" ca="1" si="129"/>
        <v/>
      </c>
      <c r="AG3267" s="9" t="s">
        <v>20</v>
      </c>
    </row>
    <row r="3268" spans="1:33" ht="29">
      <c r="A3268" s="3" t="s">
        <v>3426</v>
      </c>
      <c r="D3268" s="3" t="s">
        <v>9109</v>
      </c>
      <c r="E3268" s="3" t="s">
        <v>9108</v>
      </c>
      <c r="J3268" s="9" t="s">
        <v>25</v>
      </c>
      <c r="L3268" s="9">
        <v>2</v>
      </c>
      <c r="M3268" s="9">
        <v>4</v>
      </c>
      <c r="O3268" s="9" t="s">
        <v>12079</v>
      </c>
      <c r="Q3268" s="10"/>
      <c r="S3268" s="9">
        <v>635</v>
      </c>
      <c r="U3268" s="9" t="str">
        <f t="shared" ca="1" si="128"/>
        <v/>
      </c>
      <c r="V3268" s="9" t="str">
        <f t="shared" ca="1" si="129"/>
        <v/>
      </c>
      <c r="AG3268" s="9" t="s">
        <v>19</v>
      </c>
    </row>
    <row r="3269" spans="1:33" ht="43.5">
      <c r="A3269" s="3" t="s">
        <v>3427</v>
      </c>
      <c r="D3269" s="3" t="s">
        <v>9110</v>
      </c>
      <c r="E3269" s="3" t="s">
        <v>9111</v>
      </c>
      <c r="J3269" s="9" t="s">
        <v>12118</v>
      </c>
      <c r="Q3269" s="10"/>
      <c r="T3269" s="9">
        <f>635-4240</f>
        <v>-3605</v>
      </c>
      <c r="U3269" s="9">
        <f t="shared" ca="1" si="128"/>
        <v>4240</v>
      </c>
      <c r="V3269" s="9">
        <f t="shared" ca="1" si="129"/>
        <v>635</v>
      </c>
      <c r="AG3269" s="9" t="s">
        <v>20</v>
      </c>
    </row>
    <row r="3270" spans="1:33" ht="43.5">
      <c r="A3270" s="3" t="s">
        <v>3427</v>
      </c>
      <c r="D3270" s="3" t="s">
        <v>9112</v>
      </c>
      <c r="E3270" s="3" t="s">
        <v>9113</v>
      </c>
      <c r="G3270" t="s">
        <v>19</v>
      </c>
      <c r="J3270" s="9" t="s">
        <v>12121</v>
      </c>
      <c r="Q3270" s="10"/>
      <c r="T3270" s="9">
        <f>1101-0</f>
        <v>1101</v>
      </c>
      <c r="U3270" s="9">
        <f t="shared" ca="1" si="128"/>
        <v>0</v>
      </c>
      <c r="V3270" s="9">
        <f t="shared" ca="1" si="129"/>
        <v>1101</v>
      </c>
      <c r="AC3270" s="9" t="s">
        <v>12134</v>
      </c>
      <c r="AD3270" s="9" t="s">
        <v>19</v>
      </c>
      <c r="AE3270" s="9" t="s">
        <v>12089</v>
      </c>
    </row>
    <row r="3271" spans="1:33">
      <c r="A3271" s="3" t="s">
        <v>3428</v>
      </c>
      <c r="D3271" s="3" t="s">
        <v>1038</v>
      </c>
      <c r="E3271" s="3" t="s">
        <v>3429</v>
      </c>
      <c r="J3271" s="9" t="s">
        <v>12120</v>
      </c>
      <c r="Q3271" s="10"/>
      <c r="U3271" s="9" t="str">
        <f t="shared" ca="1" si="128"/>
        <v/>
      </c>
      <c r="V3271" s="9" t="str">
        <f t="shared" ca="1" si="129"/>
        <v/>
      </c>
      <c r="AC3271" s="9" t="s">
        <v>12740</v>
      </c>
      <c r="AD3271" s="9" t="s">
        <v>19</v>
      </c>
    </row>
    <row r="3272" spans="1:33">
      <c r="A3272" s="3" t="s">
        <v>3430</v>
      </c>
      <c r="D3272" s="3" t="s">
        <v>9114</v>
      </c>
      <c r="E3272" s="3" t="s">
        <v>9114</v>
      </c>
      <c r="G3272" t="s">
        <v>20</v>
      </c>
      <c r="I3272" t="s">
        <v>9115</v>
      </c>
      <c r="Q3272" s="10"/>
      <c r="U3272" s="9" t="str">
        <f t="shared" ca="1" si="128"/>
        <v/>
      </c>
      <c r="V3272" s="9" t="str">
        <f t="shared" ca="1" si="129"/>
        <v/>
      </c>
    </row>
    <row r="3273" spans="1:33">
      <c r="A3273" s="3" t="s">
        <v>3431</v>
      </c>
      <c r="D3273" s="3" t="s">
        <v>9117</v>
      </c>
      <c r="E3273" s="3" t="s">
        <v>9116</v>
      </c>
      <c r="J3273" s="9" t="s">
        <v>12120</v>
      </c>
      <c r="Q3273" s="10"/>
      <c r="U3273" s="9" t="str">
        <f t="shared" ca="1" si="128"/>
        <v/>
      </c>
      <c r="V3273" s="9" t="str">
        <f t="shared" ca="1" si="129"/>
        <v/>
      </c>
      <c r="AB3273" s="9" t="s">
        <v>12082</v>
      </c>
      <c r="AD3273" s="9" t="s">
        <v>19</v>
      </c>
    </row>
    <row r="3274" spans="1:33">
      <c r="A3274" s="3" t="s">
        <v>3432</v>
      </c>
      <c r="D3274" s="3" t="s">
        <v>9118</v>
      </c>
      <c r="E3274" s="3" t="s">
        <v>9118</v>
      </c>
      <c r="G3274" t="s">
        <v>20</v>
      </c>
      <c r="I3274" t="s">
        <v>9119</v>
      </c>
      <c r="Q3274" s="10"/>
      <c r="U3274" s="9" t="str">
        <f t="shared" ca="1" si="128"/>
        <v/>
      </c>
      <c r="V3274" s="9" t="str">
        <f t="shared" ca="1" si="129"/>
        <v/>
      </c>
    </row>
    <row r="3275" spans="1:33">
      <c r="A3275" s="3" t="s">
        <v>3433</v>
      </c>
      <c r="D3275" s="3" t="s">
        <v>1548</v>
      </c>
      <c r="E3275" s="3" t="s">
        <v>3434</v>
      </c>
      <c r="J3275" s="9" t="s">
        <v>12120</v>
      </c>
      <c r="Q3275" s="10"/>
      <c r="U3275" s="9" t="str">
        <f t="shared" ca="1" si="128"/>
        <v/>
      </c>
      <c r="V3275" s="9" t="str">
        <f t="shared" ca="1" si="129"/>
        <v/>
      </c>
      <c r="AE3275" s="9" t="s">
        <v>12077</v>
      </c>
    </row>
    <row r="3276" spans="1:33">
      <c r="A3276" s="3" t="s">
        <v>3435</v>
      </c>
      <c r="D3276" s="3" t="s">
        <v>9120</v>
      </c>
      <c r="E3276" s="3" t="s">
        <v>9121</v>
      </c>
      <c r="J3276" s="9" t="s">
        <v>12120</v>
      </c>
      <c r="Q3276" s="10"/>
      <c r="U3276" s="9" t="str">
        <f t="shared" ca="1" si="128"/>
        <v/>
      </c>
      <c r="V3276" s="9" t="str">
        <f t="shared" ca="1" si="129"/>
        <v/>
      </c>
      <c r="AB3276" s="9" t="s">
        <v>12737</v>
      </c>
      <c r="AD3276" s="9" t="s">
        <v>19</v>
      </c>
    </row>
    <row r="3277" spans="1:33" ht="29">
      <c r="A3277" s="3" t="s">
        <v>3436</v>
      </c>
      <c r="D3277" s="3" t="s">
        <v>9123</v>
      </c>
      <c r="E3277" s="3" t="s">
        <v>9122</v>
      </c>
      <c r="J3277" s="9" t="s">
        <v>25</v>
      </c>
      <c r="L3277" s="9">
        <v>1</v>
      </c>
      <c r="M3277" s="9">
        <v>5</v>
      </c>
      <c r="N3277" s="9" t="s">
        <v>12094</v>
      </c>
      <c r="O3277" s="9" t="s">
        <v>12079</v>
      </c>
      <c r="Q3277" s="10"/>
      <c r="S3277" s="9">
        <v>4240</v>
      </c>
      <c r="U3277" s="9" t="str">
        <f t="shared" ca="1" si="128"/>
        <v/>
      </c>
      <c r="V3277" s="9" t="str">
        <f t="shared" ca="1" si="129"/>
        <v/>
      </c>
      <c r="AG3277" s="9" t="s">
        <v>19</v>
      </c>
    </row>
    <row r="3278" spans="1:33">
      <c r="A3278" s="3" t="s">
        <v>3437</v>
      </c>
      <c r="D3278" s="3" t="s">
        <v>1118</v>
      </c>
      <c r="E3278" s="3" t="s">
        <v>1119</v>
      </c>
      <c r="J3278" s="9" t="s">
        <v>12120</v>
      </c>
      <c r="Q3278" s="10"/>
      <c r="U3278" s="9" t="str">
        <f t="shared" ca="1" si="128"/>
        <v/>
      </c>
      <c r="V3278" s="9" t="str">
        <f t="shared" ca="1" si="129"/>
        <v/>
      </c>
      <c r="AC3278" s="9" t="s">
        <v>12744</v>
      </c>
      <c r="AD3278" s="9" t="s">
        <v>19</v>
      </c>
    </row>
    <row r="3279" spans="1:33">
      <c r="A3279" s="3" t="s">
        <v>3438</v>
      </c>
      <c r="D3279" s="3" t="s">
        <v>9125</v>
      </c>
      <c r="E3279" s="3" t="s">
        <v>9124</v>
      </c>
      <c r="G3279" t="s">
        <v>19</v>
      </c>
      <c r="J3279" s="9" t="s">
        <v>12118</v>
      </c>
      <c r="Q3279" s="10"/>
      <c r="T3279" s="9" t="s">
        <v>12131</v>
      </c>
      <c r="U3279" s="9" t="str">
        <f t="shared" ca="1" si="128"/>
        <v/>
      </c>
      <c r="V3279" s="9" t="str">
        <f t="shared" ca="1" si="129"/>
        <v/>
      </c>
      <c r="AE3279" s="9" t="s">
        <v>12086</v>
      </c>
    </row>
    <row r="3280" spans="1:33" ht="29">
      <c r="A3280" s="3" t="s">
        <v>3439</v>
      </c>
      <c r="D3280" s="3" t="s">
        <v>9127</v>
      </c>
      <c r="E3280" s="3" t="s">
        <v>9126</v>
      </c>
      <c r="I3280" t="s">
        <v>12708</v>
      </c>
      <c r="J3280" s="9" t="s">
        <v>26</v>
      </c>
      <c r="Q3280" s="10"/>
      <c r="U3280" s="9" t="str">
        <f t="shared" ca="1" si="128"/>
        <v/>
      </c>
      <c r="V3280" s="9" t="str">
        <f t="shared" ca="1" si="129"/>
        <v/>
      </c>
      <c r="W3280" s="9" t="s">
        <v>12117</v>
      </c>
      <c r="AG3280" s="9" t="s">
        <v>20</v>
      </c>
    </row>
    <row r="3281" spans="1:33" ht="29">
      <c r="A3281" s="3" t="s">
        <v>3440</v>
      </c>
      <c r="D3281" s="3" t="s">
        <v>9130</v>
      </c>
      <c r="E3281" s="3" t="s">
        <v>9128</v>
      </c>
      <c r="I3281" t="s">
        <v>12257</v>
      </c>
      <c r="J3281" s="9" t="s">
        <v>26</v>
      </c>
      <c r="Q3281" s="10"/>
      <c r="U3281" s="9" t="str">
        <f t="shared" ref="U3281:U3345" ca="1" si="130">IF(ISNUMBER(T3281),VALUE(MID(_xlfn.FORMULATEXT(T3281),SEARCH("-",_xlfn.FORMULATEXT(T3281))+1,LEN(_xlfn.FORMULATEXT(T3281))-SEARCH("-",_xlfn.FORMULATEXT(T3281)))), "")</f>
        <v/>
      </c>
      <c r="V3281" s="9" t="str">
        <f t="shared" ref="V3281:V3345" ca="1" si="131">IF(ISNUMBER(T3281), VALUE(MID(_xlfn.FORMULATEXT(T3281), 2, SEARCH("-", _xlfn.FORMULATEXT(T3281)) - 2)), "")</f>
        <v/>
      </c>
      <c r="AG3281" s="9" t="s">
        <v>20</v>
      </c>
    </row>
    <row r="3282" spans="1:33" ht="29">
      <c r="A3282" s="3" t="s">
        <v>3440</v>
      </c>
      <c r="D3282" s="3" t="s">
        <v>9131</v>
      </c>
      <c r="E3282" s="3" t="s">
        <v>9129</v>
      </c>
      <c r="J3282" s="9" t="s">
        <v>12120</v>
      </c>
      <c r="Q3282" s="10"/>
      <c r="U3282" s="9" t="str">
        <f t="shared" ca="1" si="130"/>
        <v/>
      </c>
      <c r="V3282" s="9" t="str">
        <f t="shared" ca="1" si="131"/>
        <v/>
      </c>
      <c r="AC3282" s="9" t="s">
        <v>12188</v>
      </c>
      <c r="AD3282" s="9" t="s">
        <v>19</v>
      </c>
      <c r="AE3282" s="9" t="s">
        <v>12086</v>
      </c>
    </row>
    <row r="3283" spans="1:33" ht="29">
      <c r="A3283" s="3" t="s">
        <v>3441</v>
      </c>
      <c r="D3283" s="3" t="s">
        <v>9133</v>
      </c>
      <c r="E3283" s="3" t="s">
        <v>9132</v>
      </c>
      <c r="J3283" s="9" t="s">
        <v>24</v>
      </c>
      <c r="L3283" s="9">
        <v>1</v>
      </c>
      <c r="M3283" s="9">
        <v>3</v>
      </c>
      <c r="N3283" s="9" t="s">
        <v>12096</v>
      </c>
      <c r="O3283" s="9" t="s">
        <v>12073</v>
      </c>
      <c r="P3283" s="9" t="s">
        <v>12142</v>
      </c>
      <c r="Q3283" s="10" t="s">
        <v>12143</v>
      </c>
      <c r="R3283" s="9" t="s">
        <v>12074</v>
      </c>
      <c r="S3283" s="9">
        <v>1101</v>
      </c>
      <c r="U3283" s="9" t="str">
        <f t="shared" ca="1" si="130"/>
        <v/>
      </c>
      <c r="V3283" s="9" t="str">
        <f t="shared" ca="1" si="131"/>
        <v/>
      </c>
      <c r="AE3283" s="9" t="s">
        <v>12083</v>
      </c>
    </row>
    <row r="3284" spans="1:33" ht="29">
      <c r="A3284" s="3" t="s">
        <v>3442</v>
      </c>
      <c r="D3284" s="3" t="s">
        <v>9135</v>
      </c>
      <c r="E3284" s="3" t="s">
        <v>9134</v>
      </c>
      <c r="G3284" t="s">
        <v>19</v>
      </c>
      <c r="J3284" s="9" t="s">
        <v>12120</v>
      </c>
      <c r="Q3284" s="10"/>
      <c r="U3284" s="9" t="str">
        <f t="shared" ca="1" si="130"/>
        <v/>
      </c>
      <c r="V3284" s="9" t="str">
        <f t="shared" ca="1" si="131"/>
        <v/>
      </c>
      <c r="AE3284" s="9" t="s">
        <v>12089</v>
      </c>
    </row>
    <row r="3285" spans="1:33" ht="29">
      <c r="A3285" s="3" t="s">
        <v>3443</v>
      </c>
      <c r="D3285" s="3" t="s">
        <v>9137</v>
      </c>
      <c r="E3285" s="3" t="s">
        <v>9136</v>
      </c>
      <c r="I3285" t="s">
        <v>10402</v>
      </c>
      <c r="J3285" s="9" t="s">
        <v>26</v>
      </c>
      <c r="Q3285" s="10"/>
      <c r="U3285" s="9" t="str">
        <f t="shared" ca="1" si="130"/>
        <v/>
      </c>
      <c r="V3285" s="9" t="str">
        <f t="shared" ca="1" si="131"/>
        <v/>
      </c>
      <c r="AG3285" s="9" t="s">
        <v>19</v>
      </c>
    </row>
    <row r="3286" spans="1:33">
      <c r="A3286" s="3" t="s">
        <v>3443</v>
      </c>
      <c r="D3286" s="3" t="s">
        <v>9138</v>
      </c>
      <c r="E3286" s="3" t="s">
        <v>9139</v>
      </c>
      <c r="J3286" s="9" t="s">
        <v>25</v>
      </c>
      <c r="L3286" s="9">
        <v>1</v>
      </c>
      <c r="M3286" s="9">
        <v>1</v>
      </c>
      <c r="N3286" s="9" t="s">
        <v>12078</v>
      </c>
      <c r="O3286" s="9" t="s">
        <v>12119</v>
      </c>
      <c r="Q3286" s="10"/>
      <c r="S3286" s="9">
        <v>11843</v>
      </c>
      <c r="U3286" s="9" t="str">
        <f t="shared" ca="1" si="130"/>
        <v/>
      </c>
      <c r="V3286" s="9" t="str">
        <f t="shared" ca="1" si="131"/>
        <v/>
      </c>
      <c r="AG3286" s="9" t="s">
        <v>20</v>
      </c>
    </row>
    <row r="3287" spans="1:33">
      <c r="A3287" s="3" t="s">
        <v>3444</v>
      </c>
      <c r="D3287" s="3" t="s">
        <v>9140</v>
      </c>
      <c r="E3287" s="3" t="s">
        <v>9141</v>
      </c>
      <c r="J3287" s="9" t="s">
        <v>12120</v>
      </c>
      <c r="Q3287" s="10"/>
      <c r="U3287" s="9" t="str">
        <f t="shared" ca="1" si="130"/>
        <v/>
      </c>
      <c r="V3287" s="9" t="str">
        <f t="shared" ca="1" si="131"/>
        <v/>
      </c>
      <c r="AC3287" s="9" t="s">
        <v>12144</v>
      </c>
      <c r="AD3287" s="9" t="s">
        <v>19</v>
      </c>
    </row>
    <row r="3288" spans="1:33" ht="29">
      <c r="A3288" s="3" t="s">
        <v>3445</v>
      </c>
      <c r="D3288" s="3" t="s">
        <v>9143</v>
      </c>
      <c r="E3288" s="3" t="s">
        <v>9144</v>
      </c>
      <c r="I3288" t="s">
        <v>5457</v>
      </c>
      <c r="J3288" s="9" t="s">
        <v>26</v>
      </c>
      <c r="Q3288" s="10"/>
      <c r="U3288" s="9" t="str">
        <f t="shared" ca="1" si="130"/>
        <v/>
      </c>
      <c r="V3288" s="9" t="str">
        <f t="shared" ca="1" si="131"/>
        <v/>
      </c>
      <c r="AG3288" s="9" t="s">
        <v>19</v>
      </c>
    </row>
    <row r="3289" spans="1:33" ht="29">
      <c r="A3289" s="3" t="s">
        <v>3445</v>
      </c>
      <c r="D3289" s="3" t="s">
        <v>9142</v>
      </c>
      <c r="E3289" s="3" t="s">
        <v>9145</v>
      </c>
      <c r="J3289" s="9" t="s">
        <v>24</v>
      </c>
      <c r="L3289" s="9">
        <v>1</v>
      </c>
      <c r="M3289" s="9">
        <v>1</v>
      </c>
      <c r="N3289" s="9" t="s">
        <v>12078</v>
      </c>
      <c r="O3289" s="9" t="s">
        <v>12119</v>
      </c>
      <c r="Q3289" s="10"/>
      <c r="S3289" s="9">
        <v>11843</v>
      </c>
      <c r="U3289" s="9" t="str">
        <f t="shared" ca="1" si="130"/>
        <v/>
      </c>
      <c r="V3289" s="9" t="str">
        <f t="shared" ca="1" si="131"/>
        <v/>
      </c>
      <c r="AG3289" s="9" t="s">
        <v>19</v>
      </c>
    </row>
    <row r="3290" spans="1:33">
      <c r="A3290" s="3" t="s">
        <v>3445</v>
      </c>
      <c r="D3290" s="3" t="s">
        <v>9146</v>
      </c>
      <c r="E3290" s="3" t="s">
        <v>9147</v>
      </c>
      <c r="J3290" s="9" t="s">
        <v>12120</v>
      </c>
      <c r="Q3290" s="10"/>
      <c r="U3290" s="9" t="str">
        <f t="shared" ca="1" si="130"/>
        <v/>
      </c>
      <c r="V3290" s="9" t="str">
        <f t="shared" ca="1" si="131"/>
        <v/>
      </c>
      <c r="AB3290" s="9" t="s">
        <v>12737</v>
      </c>
      <c r="AD3290" s="9" t="s">
        <v>19</v>
      </c>
    </row>
    <row r="3291" spans="1:33" ht="29">
      <c r="A3291" s="3" t="s">
        <v>3446</v>
      </c>
      <c r="D3291" s="3" t="s">
        <v>9149</v>
      </c>
      <c r="E3291" s="3" t="s">
        <v>9148</v>
      </c>
      <c r="J3291" s="9" t="s">
        <v>24</v>
      </c>
      <c r="L3291" s="9">
        <v>1</v>
      </c>
      <c r="M3291" s="9">
        <v>3</v>
      </c>
      <c r="N3291" s="9" t="s">
        <v>12087</v>
      </c>
      <c r="O3291" s="9" t="s">
        <v>12079</v>
      </c>
      <c r="Q3291" s="10"/>
      <c r="S3291" s="9">
        <v>5676</v>
      </c>
      <c r="U3291" s="9" t="str">
        <f t="shared" ca="1" si="130"/>
        <v/>
      </c>
      <c r="V3291" s="9" t="str">
        <f t="shared" ca="1" si="131"/>
        <v/>
      </c>
      <c r="AG3291" s="9" t="s">
        <v>19</v>
      </c>
    </row>
    <row r="3292" spans="1:33">
      <c r="A3292" s="3" t="s">
        <v>3446</v>
      </c>
      <c r="D3292" s="3" t="s">
        <v>9151</v>
      </c>
      <c r="E3292" s="3" t="s">
        <v>9150</v>
      </c>
      <c r="J3292" s="9" t="s">
        <v>12118</v>
      </c>
      <c r="Q3292" s="10"/>
      <c r="T3292" s="9">
        <f>2042-42</f>
        <v>2000</v>
      </c>
      <c r="U3292" s="9">
        <f t="shared" ca="1" si="130"/>
        <v>42</v>
      </c>
      <c r="V3292" s="9">
        <f t="shared" ca="1" si="131"/>
        <v>2042</v>
      </c>
      <c r="AG3292" s="9" t="s">
        <v>19</v>
      </c>
    </row>
    <row r="3293" spans="1:33" ht="43.5">
      <c r="A3293" s="3" t="s">
        <v>3447</v>
      </c>
      <c r="D3293" s="3" t="s">
        <v>12479</v>
      </c>
      <c r="E3293" s="3" t="s">
        <v>9152</v>
      </c>
      <c r="I3293" t="s">
        <v>12413</v>
      </c>
      <c r="J3293" s="9" t="s">
        <v>26</v>
      </c>
      <c r="Q3293" s="10"/>
      <c r="U3293" s="9" t="str">
        <f t="shared" ca="1" si="130"/>
        <v/>
      </c>
      <c r="V3293" s="9" t="str">
        <f t="shared" ca="1" si="131"/>
        <v/>
      </c>
      <c r="AG3293" s="9" t="s">
        <v>20</v>
      </c>
    </row>
    <row r="3294" spans="1:33" ht="72.5">
      <c r="A3294" s="3" t="s">
        <v>3448</v>
      </c>
      <c r="D3294" s="3" t="s">
        <v>13087</v>
      </c>
      <c r="E3294" s="3" t="s">
        <v>9153</v>
      </c>
      <c r="F3294" t="s">
        <v>4774</v>
      </c>
      <c r="J3294" s="9" t="s">
        <v>27</v>
      </c>
      <c r="Q3294" s="10"/>
      <c r="U3294" s="9" t="str">
        <f t="shared" ref="U3294" ca="1" si="132">IF(ISNUMBER(T3294),VALUE(MID(_xlfn.FORMULATEXT(T3294),SEARCH("-",_xlfn.FORMULATEXT(T3294))+1,LEN(_xlfn.FORMULATEXT(T3294))-SEARCH("-",_xlfn.FORMULATEXT(T3294)))), "")</f>
        <v/>
      </c>
      <c r="V3294" s="9" t="str">
        <f t="shared" ref="V3294" ca="1" si="133">IF(ISNUMBER(T3294), VALUE(MID(_xlfn.FORMULATEXT(T3294), 2, SEARCH("-", _xlfn.FORMULATEXT(T3294)) - 2)), "")</f>
        <v/>
      </c>
    </row>
    <row r="3295" spans="1:33" ht="72.5">
      <c r="A3295" s="3" t="s">
        <v>3448</v>
      </c>
      <c r="D3295" s="3" t="s">
        <v>9156</v>
      </c>
      <c r="E3295" s="3" t="s">
        <v>9154</v>
      </c>
      <c r="F3295" t="s">
        <v>4774</v>
      </c>
      <c r="I3295" t="s">
        <v>12480</v>
      </c>
      <c r="J3295" s="9" t="s">
        <v>26</v>
      </c>
      <c r="Q3295" s="10"/>
      <c r="U3295" s="9" t="str">
        <f t="shared" ca="1" si="130"/>
        <v/>
      </c>
      <c r="V3295" s="9" t="str">
        <f t="shared" ca="1" si="131"/>
        <v/>
      </c>
    </row>
    <row r="3296" spans="1:33" ht="72.5">
      <c r="A3296" s="3" t="s">
        <v>3448</v>
      </c>
      <c r="D3296" s="3" t="s">
        <v>9157</v>
      </c>
      <c r="E3296" s="3" t="s">
        <v>9155</v>
      </c>
      <c r="F3296" t="s">
        <v>4774</v>
      </c>
      <c r="G3296" t="s">
        <v>19</v>
      </c>
      <c r="J3296" s="9" t="s">
        <v>12118</v>
      </c>
      <c r="Q3296" s="10"/>
      <c r="T3296" s="9">
        <f>167-55</f>
        <v>112</v>
      </c>
      <c r="U3296" s="9">
        <f t="shared" ca="1" si="130"/>
        <v>55</v>
      </c>
      <c r="V3296" s="9">
        <f t="shared" ca="1" si="131"/>
        <v>167</v>
      </c>
    </row>
    <row r="3297" spans="1:33" ht="72.5">
      <c r="A3297" s="3" t="s">
        <v>3448</v>
      </c>
      <c r="D3297" s="3" t="s">
        <v>9158</v>
      </c>
      <c r="E3297" s="3" t="s">
        <v>9153</v>
      </c>
      <c r="F3297" t="s">
        <v>4774</v>
      </c>
      <c r="J3297" s="9" t="s">
        <v>25</v>
      </c>
      <c r="L3297" s="9">
        <v>1</v>
      </c>
      <c r="M3297" s="9">
        <v>4</v>
      </c>
      <c r="N3297" s="9" t="s">
        <v>12078</v>
      </c>
      <c r="O3297" s="9" t="s">
        <v>12073</v>
      </c>
      <c r="P3297" s="9" t="s">
        <v>12142</v>
      </c>
      <c r="Q3297" s="10" t="s">
        <v>12143</v>
      </c>
      <c r="S3297" s="9">
        <v>11843</v>
      </c>
      <c r="U3297" s="9" t="str">
        <f t="shared" ca="1" si="130"/>
        <v/>
      </c>
      <c r="V3297" s="9" t="str">
        <f t="shared" ca="1" si="131"/>
        <v/>
      </c>
    </row>
    <row r="3298" spans="1:33" ht="72.5">
      <c r="A3298" s="3" t="s">
        <v>3448</v>
      </c>
      <c r="D3298" s="3" t="s">
        <v>9159</v>
      </c>
      <c r="E3298" s="3" t="s">
        <v>9160</v>
      </c>
      <c r="F3298" t="s">
        <v>4774</v>
      </c>
      <c r="J3298" s="9" t="s">
        <v>12120</v>
      </c>
      <c r="Q3298" s="10"/>
      <c r="U3298" s="9" t="str">
        <f t="shared" ca="1" si="130"/>
        <v/>
      </c>
      <c r="V3298" s="9" t="str">
        <f t="shared" ca="1" si="131"/>
        <v/>
      </c>
      <c r="AB3298" s="9" t="s">
        <v>12738</v>
      </c>
      <c r="AD3298" s="9" t="s">
        <v>19</v>
      </c>
    </row>
    <row r="3299" spans="1:33" ht="29">
      <c r="A3299" s="3" t="s">
        <v>3449</v>
      </c>
      <c r="D3299" s="3" t="s">
        <v>9162</v>
      </c>
      <c r="E3299" s="3" t="s">
        <v>9161</v>
      </c>
      <c r="G3299" t="s">
        <v>19</v>
      </c>
      <c r="J3299" s="9" t="s">
        <v>12121</v>
      </c>
      <c r="Q3299" s="10"/>
      <c r="T3299" s="9">
        <f>361-5676</f>
        <v>-5315</v>
      </c>
      <c r="U3299" s="9">
        <f t="shared" ca="1" si="130"/>
        <v>5676</v>
      </c>
      <c r="V3299" s="9">
        <f t="shared" ca="1" si="131"/>
        <v>361</v>
      </c>
      <c r="AC3299" s="9" t="s">
        <v>12188</v>
      </c>
      <c r="AD3299" s="9" t="s">
        <v>19</v>
      </c>
    </row>
    <row r="3300" spans="1:33" ht="29">
      <c r="A3300" s="3" t="s">
        <v>3450</v>
      </c>
      <c r="D3300" s="3" t="s">
        <v>9164</v>
      </c>
      <c r="E3300" s="3" t="s">
        <v>9163</v>
      </c>
      <c r="J3300" s="9" t="s">
        <v>25</v>
      </c>
      <c r="L3300" s="9">
        <v>1</v>
      </c>
      <c r="M3300" s="9">
        <v>2</v>
      </c>
      <c r="N3300" s="9" t="s">
        <v>12078</v>
      </c>
      <c r="O3300" s="9" t="s">
        <v>12119</v>
      </c>
      <c r="Q3300" s="10"/>
      <c r="S3300" s="9">
        <v>11843</v>
      </c>
      <c r="U3300" s="9" t="str">
        <f t="shared" ca="1" si="130"/>
        <v/>
      </c>
      <c r="V3300" s="9" t="str">
        <f t="shared" ca="1" si="131"/>
        <v/>
      </c>
      <c r="AG3300" s="9" t="s">
        <v>20</v>
      </c>
    </row>
    <row r="3301" spans="1:33" ht="29">
      <c r="A3301" s="3" t="s">
        <v>3450</v>
      </c>
      <c r="D3301" s="3" t="s">
        <v>9165</v>
      </c>
      <c r="E3301" s="3" t="s">
        <v>9166</v>
      </c>
      <c r="J3301" s="9" t="s">
        <v>12120</v>
      </c>
      <c r="Q3301" s="10"/>
      <c r="U3301" s="9" t="str">
        <f t="shared" ca="1" si="130"/>
        <v/>
      </c>
      <c r="V3301" s="9" t="str">
        <f t="shared" ca="1" si="131"/>
        <v/>
      </c>
      <c r="AC3301" s="9" t="s">
        <v>12130</v>
      </c>
      <c r="AD3301" s="9" t="s">
        <v>19</v>
      </c>
    </row>
    <row r="3302" spans="1:33" ht="29">
      <c r="A3302" s="3" t="s">
        <v>3450</v>
      </c>
      <c r="D3302" s="3" t="s">
        <v>9168</v>
      </c>
      <c r="E3302" s="3" t="s">
        <v>9167</v>
      </c>
      <c r="J3302" s="9" t="s">
        <v>12118</v>
      </c>
      <c r="Q3302" s="10"/>
      <c r="T3302" s="9">
        <f>73-0</f>
        <v>73</v>
      </c>
      <c r="U3302" s="9">
        <f t="shared" ca="1" si="130"/>
        <v>0</v>
      </c>
      <c r="V3302" s="9">
        <f t="shared" ca="1" si="131"/>
        <v>73</v>
      </c>
      <c r="AG3302" s="9" t="s">
        <v>19</v>
      </c>
    </row>
    <row r="3303" spans="1:33" ht="29">
      <c r="A3303" s="3" t="s">
        <v>3450</v>
      </c>
      <c r="D3303" s="3" t="s">
        <v>9169</v>
      </c>
      <c r="E3303" s="3" t="s">
        <v>9170</v>
      </c>
      <c r="J3303" s="9" t="s">
        <v>12118</v>
      </c>
      <c r="Q3303" s="10"/>
      <c r="T3303" s="9" t="s">
        <v>12131</v>
      </c>
      <c r="U3303" s="9" t="str">
        <f t="shared" ca="1" si="130"/>
        <v/>
      </c>
      <c r="V3303" s="9" t="str">
        <f t="shared" ca="1" si="131"/>
        <v/>
      </c>
      <c r="AC3303" s="9" t="s">
        <v>12130</v>
      </c>
      <c r="AD3303" s="9" t="s">
        <v>19</v>
      </c>
      <c r="AE3303" s="9" t="s">
        <v>12086</v>
      </c>
    </row>
    <row r="3304" spans="1:33">
      <c r="A3304" s="3" t="s">
        <v>3451</v>
      </c>
      <c r="D3304" s="3" t="s">
        <v>9172</v>
      </c>
      <c r="E3304" s="3" t="s">
        <v>9171</v>
      </c>
      <c r="G3304" t="s">
        <v>19</v>
      </c>
      <c r="J3304" s="9" t="s">
        <v>12118</v>
      </c>
      <c r="Q3304" s="10"/>
      <c r="T3304" s="9">
        <f>4240-780</f>
        <v>3460</v>
      </c>
      <c r="U3304" s="9">
        <f t="shared" ca="1" si="130"/>
        <v>780</v>
      </c>
      <c r="V3304" s="9">
        <f t="shared" ca="1" si="131"/>
        <v>4240</v>
      </c>
    </row>
    <row r="3305" spans="1:33">
      <c r="A3305" s="3" t="s">
        <v>3451</v>
      </c>
      <c r="D3305" s="3" t="s">
        <v>9173</v>
      </c>
      <c r="E3305" s="3" t="s">
        <v>9174</v>
      </c>
      <c r="J3305" s="9" t="s">
        <v>12120</v>
      </c>
      <c r="Q3305" s="10"/>
      <c r="U3305" s="9" t="str">
        <f t="shared" ca="1" si="130"/>
        <v/>
      </c>
      <c r="V3305" s="9" t="str">
        <f t="shared" ca="1" si="131"/>
        <v/>
      </c>
      <c r="AC3305" s="9" t="s">
        <v>12144</v>
      </c>
      <c r="AD3305" s="9" t="s">
        <v>19</v>
      </c>
    </row>
    <row r="3306" spans="1:33">
      <c r="A3306" s="3" t="s">
        <v>3451</v>
      </c>
      <c r="D3306" s="3" t="s">
        <v>326</v>
      </c>
      <c r="E3306" s="5" t="s">
        <v>2111</v>
      </c>
      <c r="F3306" t="s">
        <v>16</v>
      </c>
      <c r="Q3306" s="10"/>
      <c r="U3306" s="9" t="str">
        <f t="shared" ca="1" si="130"/>
        <v/>
      </c>
      <c r="V3306" s="9" t="str">
        <f t="shared" ca="1" si="131"/>
        <v/>
      </c>
    </row>
    <row r="3307" spans="1:33">
      <c r="A3307" s="3" t="s">
        <v>3453</v>
      </c>
      <c r="D3307" s="3" t="s">
        <v>3454</v>
      </c>
      <c r="E3307" s="3" t="s">
        <v>3455</v>
      </c>
      <c r="J3307" s="9" t="s">
        <v>12118</v>
      </c>
      <c r="Q3307" s="10"/>
      <c r="T3307" s="9" t="s">
        <v>12131</v>
      </c>
      <c r="U3307" s="9" t="str">
        <f t="shared" ca="1" si="130"/>
        <v/>
      </c>
      <c r="V3307" s="9" t="str">
        <f t="shared" ca="1" si="131"/>
        <v/>
      </c>
      <c r="AC3307" s="9" t="s">
        <v>12130</v>
      </c>
      <c r="AD3307" s="9" t="s">
        <v>19</v>
      </c>
      <c r="AE3307" s="9" t="s">
        <v>12086</v>
      </c>
    </row>
    <row r="3308" spans="1:33">
      <c r="A3308" s="3" t="s">
        <v>3453</v>
      </c>
      <c r="D3308" s="3" t="s">
        <v>2017</v>
      </c>
      <c r="E3308" s="3" t="s">
        <v>3456</v>
      </c>
      <c r="J3308" s="9" t="s">
        <v>12118</v>
      </c>
      <c r="Q3308" s="10"/>
      <c r="T3308" s="9" t="s">
        <v>12131</v>
      </c>
      <c r="U3308" s="9" t="str">
        <f t="shared" ca="1" si="130"/>
        <v/>
      </c>
      <c r="V3308" s="9" t="str">
        <f t="shared" ca="1" si="131"/>
        <v/>
      </c>
      <c r="AC3308" s="9" t="s">
        <v>12130</v>
      </c>
      <c r="AD3308" s="9" t="s">
        <v>19</v>
      </c>
      <c r="AE3308" s="9" t="s">
        <v>12077</v>
      </c>
    </row>
    <row r="3309" spans="1:33">
      <c r="A3309" s="3" t="s">
        <v>3453</v>
      </c>
      <c r="D3309" s="3" t="s">
        <v>3457</v>
      </c>
      <c r="E3309" s="3" t="s">
        <v>3458</v>
      </c>
      <c r="J3309" s="9" t="s">
        <v>12120</v>
      </c>
      <c r="Q3309" s="10"/>
      <c r="U3309" s="9" t="str">
        <f t="shared" ca="1" si="130"/>
        <v/>
      </c>
      <c r="V3309" s="9" t="str">
        <f t="shared" ca="1" si="131"/>
        <v/>
      </c>
      <c r="AE3309" s="9" t="s">
        <v>12077</v>
      </c>
    </row>
    <row r="3310" spans="1:33">
      <c r="A3310" s="3" t="s">
        <v>3459</v>
      </c>
      <c r="D3310" s="3" t="s">
        <v>9176</v>
      </c>
      <c r="E3310" s="3" t="s">
        <v>9175</v>
      </c>
      <c r="J3310" s="9" t="s">
        <v>25</v>
      </c>
      <c r="L3310" s="9">
        <v>1</v>
      </c>
      <c r="M3310" s="9">
        <v>1</v>
      </c>
      <c r="N3310" s="9" t="s">
        <v>12078</v>
      </c>
      <c r="O3310" s="9" t="s">
        <v>12119</v>
      </c>
      <c r="Q3310" s="10"/>
      <c r="S3310" s="9">
        <v>11843</v>
      </c>
      <c r="U3310" s="9" t="str">
        <f t="shared" ca="1" si="130"/>
        <v/>
      </c>
      <c r="V3310" s="9" t="str">
        <f t="shared" ca="1" si="131"/>
        <v/>
      </c>
      <c r="AG3310" s="9" t="s">
        <v>20</v>
      </c>
    </row>
    <row r="3311" spans="1:33">
      <c r="A3311" s="3" t="s">
        <v>3459</v>
      </c>
      <c r="D3311" s="3" t="s">
        <v>9178</v>
      </c>
      <c r="E3311" s="3" t="s">
        <v>9177</v>
      </c>
      <c r="J3311" s="9" t="s">
        <v>24</v>
      </c>
      <c r="L3311" s="9">
        <v>1</v>
      </c>
      <c r="M3311" s="9">
        <v>3</v>
      </c>
      <c r="N3311" s="9" t="s">
        <v>12087</v>
      </c>
      <c r="O3311" s="9" t="s">
        <v>12079</v>
      </c>
      <c r="Q3311" s="10"/>
      <c r="S3311" s="9">
        <v>431</v>
      </c>
      <c r="U3311" s="9" t="str">
        <f t="shared" ca="1" si="130"/>
        <v/>
      </c>
      <c r="V3311" s="9" t="str">
        <f t="shared" ca="1" si="131"/>
        <v/>
      </c>
      <c r="AG3311" s="9" t="s">
        <v>19</v>
      </c>
    </row>
    <row r="3312" spans="1:33">
      <c r="A3312" s="3" t="s">
        <v>3460</v>
      </c>
      <c r="D3312" s="3" t="s">
        <v>9180</v>
      </c>
      <c r="E3312" s="3" t="s">
        <v>9179</v>
      </c>
      <c r="I3312" t="s">
        <v>5457</v>
      </c>
      <c r="J3312" s="9" t="s">
        <v>26</v>
      </c>
      <c r="Q3312" s="10"/>
      <c r="U3312" s="9" t="str">
        <f t="shared" ca="1" si="130"/>
        <v/>
      </c>
      <c r="V3312" s="9" t="str">
        <f t="shared" ca="1" si="131"/>
        <v/>
      </c>
      <c r="AG3312" s="9" t="s">
        <v>19</v>
      </c>
    </row>
    <row r="3313" spans="1:33">
      <c r="A3313" s="3" t="s">
        <v>3460</v>
      </c>
      <c r="D3313" s="3" t="s">
        <v>9181</v>
      </c>
      <c r="E3313" s="3" t="s">
        <v>9182</v>
      </c>
      <c r="J3313" s="9" t="s">
        <v>25</v>
      </c>
      <c r="L3313" s="9">
        <v>1</v>
      </c>
      <c r="M3313" s="9">
        <v>3</v>
      </c>
      <c r="N3313" s="9" t="s">
        <v>12084</v>
      </c>
      <c r="O3313" s="9" t="s">
        <v>12079</v>
      </c>
      <c r="Q3313" s="10"/>
      <c r="S3313" s="9">
        <v>4</v>
      </c>
      <c r="U3313" s="9" t="str">
        <f t="shared" ca="1" si="130"/>
        <v/>
      </c>
      <c r="V3313" s="9" t="str">
        <f t="shared" ca="1" si="131"/>
        <v/>
      </c>
      <c r="AG3313" s="9" t="s">
        <v>20</v>
      </c>
    </row>
    <row r="3314" spans="1:33">
      <c r="A3314" s="3" t="s">
        <v>3461</v>
      </c>
      <c r="D3314" s="3" t="s">
        <v>3462</v>
      </c>
      <c r="E3314" s="3" t="s">
        <v>3463</v>
      </c>
      <c r="J3314" s="9" t="s">
        <v>12118</v>
      </c>
      <c r="Q3314" s="10"/>
      <c r="T3314" s="9" t="s">
        <v>12131</v>
      </c>
      <c r="U3314" s="9" t="str">
        <f t="shared" ca="1" si="130"/>
        <v/>
      </c>
      <c r="V3314" s="9" t="str">
        <f t="shared" ca="1" si="131"/>
        <v/>
      </c>
      <c r="AC3314" s="9" t="s">
        <v>12130</v>
      </c>
      <c r="AD3314" s="9" t="s">
        <v>19</v>
      </c>
      <c r="AE3314" s="9" t="s">
        <v>12077</v>
      </c>
    </row>
    <row r="3315" spans="1:33">
      <c r="A3315" s="3" t="s">
        <v>3464</v>
      </c>
      <c r="D3315" s="3" t="s">
        <v>3465</v>
      </c>
      <c r="E3315" s="3" t="s">
        <v>9183</v>
      </c>
      <c r="G3315" t="s">
        <v>19</v>
      </c>
      <c r="J3315" s="9" t="s">
        <v>12120</v>
      </c>
      <c r="Q3315" s="10"/>
      <c r="U3315" s="9" t="str">
        <f t="shared" ca="1" si="130"/>
        <v/>
      </c>
      <c r="V3315" s="9" t="str">
        <f t="shared" ca="1" si="131"/>
        <v/>
      </c>
      <c r="AE3315" s="9" t="s">
        <v>12086</v>
      </c>
    </row>
    <row r="3316" spans="1:33">
      <c r="A3316" s="3" t="s">
        <v>3466</v>
      </c>
      <c r="D3316" s="3" t="s">
        <v>9184</v>
      </c>
      <c r="E3316" s="3" t="s">
        <v>9185</v>
      </c>
      <c r="J3316" s="9" t="s">
        <v>24</v>
      </c>
      <c r="L3316" s="9">
        <v>1</v>
      </c>
      <c r="M3316" s="9">
        <v>2</v>
      </c>
      <c r="N3316" s="9" t="s">
        <v>12096</v>
      </c>
      <c r="O3316" s="9" t="s">
        <v>12119</v>
      </c>
      <c r="Q3316" s="10"/>
      <c r="R3316" s="9" t="s">
        <v>12074</v>
      </c>
      <c r="S3316" s="9">
        <v>485</v>
      </c>
      <c r="U3316" s="9" t="str">
        <f t="shared" ca="1" si="130"/>
        <v/>
      </c>
      <c r="V3316" s="9" t="str">
        <f t="shared" ca="1" si="131"/>
        <v/>
      </c>
      <c r="AE3316" s="9" t="s">
        <v>12083</v>
      </c>
    </row>
    <row r="3317" spans="1:33">
      <c r="A3317" s="3" t="s">
        <v>3466</v>
      </c>
      <c r="D3317" s="3" t="s">
        <v>1008</v>
      </c>
      <c r="E3317" s="3" t="s">
        <v>1009</v>
      </c>
      <c r="J3317" s="9" t="s">
        <v>12120</v>
      </c>
      <c r="Q3317" s="10"/>
      <c r="U3317" s="9" t="str">
        <f t="shared" ca="1" si="130"/>
        <v/>
      </c>
      <c r="V3317" s="9" t="str">
        <f t="shared" ca="1" si="131"/>
        <v/>
      </c>
      <c r="AG3317" s="9" t="s">
        <v>19</v>
      </c>
    </row>
    <row r="3318" spans="1:33" ht="29">
      <c r="A3318" s="3" t="s">
        <v>3466</v>
      </c>
      <c r="D3318" s="3" t="s">
        <v>9187</v>
      </c>
      <c r="E3318" s="3" t="s">
        <v>9186</v>
      </c>
      <c r="J3318" s="9" t="s">
        <v>12120</v>
      </c>
      <c r="Q3318" s="10"/>
      <c r="U3318" s="9" t="str">
        <f t="shared" ca="1" si="130"/>
        <v/>
      </c>
      <c r="V3318" s="9" t="str">
        <f t="shared" ca="1" si="131"/>
        <v/>
      </c>
      <c r="AE3318" s="9" t="s">
        <v>12083</v>
      </c>
    </row>
    <row r="3319" spans="1:33">
      <c r="A3319" s="3" t="s">
        <v>3467</v>
      </c>
      <c r="D3319" s="3" t="s">
        <v>3468</v>
      </c>
      <c r="E3319" s="3" t="s">
        <v>3469</v>
      </c>
      <c r="F3319" t="s">
        <v>11</v>
      </c>
      <c r="Q3319" s="10"/>
      <c r="U3319" s="9" t="str">
        <f t="shared" ca="1" si="130"/>
        <v/>
      </c>
      <c r="V3319" s="9" t="str">
        <f t="shared" ca="1" si="131"/>
        <v/>
      </c>
    </row>
    <row r="3320" spans="1:33">
      <c r="A3320" s="3" t="s">
        <v>3470</v>
      </c>
      <c r="D3320" s="3" t="s">
        <v>12918</v>
      </c>
      <c r="E3320" s="3" t="s">
        <v>9188</v>
      </c>
      <c r="J3320" s="9" t="s">
        <v>12120</v>
      </c>
      <c r="Q3320" s="10"/>
      <c r="U3320" s="9" t="str">
        <f t="shared" ca="1" si="130"/>
        <v/>
      </c>
      <c r="V3320" s="9" t="str">
        <f t="shared" ca="1" si="131"/>
        <v/>
      </c>
      <c r="AG3320" s="9" t="s">
        <v>20</v>
      </c>
    </row>
    <row r="3321" spans="1:33">
      <c r="A3321" s="3" t="s">
        <v>3471</v>
      </c>
      <c r="D3321" s="3" t="s">
        <v>7492</v>
      </c>
      <c r="E3321" s="3" t="s">
        <v>7491</v>
      </c>
      <c r="J3321" s="9" t="s">
        <v>12120</v>
      </c>
      <c r="Q3321" s="10"/>
      <c r="U3321" s="9" t="str">
        <f t="shared" ca="1" si="130"/>
        <v/>
      </c>
      <c r="V3321" s="9" t="str">
        <f t="shared" ca="1" si="131"/>
        <v/>
      </c>
      <c r="AB3321" s="9" t="s">
        <v>12737</v>
      </c>
      <c r="AD3321" s="9" t="s">
        <v>19</v>
      </c>
    </row>
    <row r="3322" spans="1:33">
      <c r="A3322" s="3" t="s">
        <v>3471</v>
      </c>
      <c r="D3322" s="3" t="s">
        <v>12919</v>
      </c>
      <c r="E3322" s="3" t="s">
        <v>9189</v>
      </c>
      <c r="J3322" s="9" t="s">
        <v>25</v>
      </c>
      <c r="L3322" s="9">
        <v>1</v>
      </c>
      <c r="M3322" s="9">
        <v>2</v>
      </c>
      <c r="N3322" s="9" t="s">
        <v>12078</v>
      </c>
      <c r="O3322" s="9" t="s">
        <v>12119</v>
      </c>
      <c r="Q3322" s="10"/>
      <c r="S3322" s="9">
        <v>11843</v>
      </c>
      <c r="U3322" s="9" t="str">
        <f t="shared" ca="1" si="130"/>
        <v/>
      </c>
      <c r="V3322" s="9" t="str">
        <f t="shared" ca="1" si="131"/>
        <v/>
      </c>
      <c r="AG3322" s="9" t="s">
        <v>20</v>
      </c>
    </row>
    <row r="3323" spans="1:33">
      <c r="A3323" s="3" t="s">
        <v>3472</v>
      </c>
      <c r="D3323" s="3" t="s">
        <v>9190</v>
      </c>
      <c r="E3323" s="3" t="s">
        <v>9191</v>
      </c>
      <c r="J3323" s="9" t="s">
        <v>12120</v>
      </c>
      <c r="Q3323" s="10"/>
      <c r="U3323" s="9" t="str">
        <f t="shared" ca="1" si="130"/>
        <v/>
      </c>
      <c r="V3323" s="9" t="str">
        <f t="shared" ca="1" si="131"/>
        <v/>
      </c>
      <c r="AB3323" s="9" t="s">
        <v>12738</v>
      </c>
      <c r="AD3323" s="9" t="s">
        <v>19</v>
      </c>
    </row>
    <row r="3324" spans="1:33" ht="29">
      <c r="A3324" s="3" t="s">
        <v>3472</v>
      </c>
      <c r="D3324" s="3" t="s">
        <v>9194</v>
      </c>
      <c r="E3324" s="3" t="s">
        <v>9192</v>
      </c>
      <c r="J3324" s="9" t="s">
        <v>25</v>
      </c>
      <c r="L3324" s="9">
        <v>1</v>
      </c>
      <c r="M3324" s="9">
        <v>7</v>
      </c>
      <c r="N3324" s="9" t="s">
        <v>12098</v>
      </c>
      <c r="O3324" s="9" t="s">
        <v>12079</v>
      </c>
      <c r="Q3324" s="10"/>
      <c r="S3324" s="9">
        <v>111</v>
      </c>
      <c r="U3324" s="9" t="str">
        <f t="shared" ca="1" si="130"/>
        <v/>
      </c>
      <c r="V3324" s="9" t="str">
        <f t="shared" ca="1" si="131"/>
        <v/>
      </c>
      <c r="AG3324" s="9" t="s">
        <v>20</v>
      </c>
    </row>
    <row r="3325" spans="1:33" ht="29">
      <c r="A3325" s="3" t="s">
        <v>3472</v>
      </c>
      <c r="D3325" s="3" t="s">
        <v>9195</v>
      </c>
      <c r="E3325" s="3" t="s">
        <v>12481</v>
      </c>
      <c r="J3325" s="9" t="s">
        <v>12120</v>
      </c>
      <c r="Q3325" s="10"/>
      <c r="U3325" s="9" t="str">
        <f t="shared" ca="1" si="130"/>
        <v/>
      </c>
      <c r="V3325" s="9" t="str">
        <f t="shared" ca="1" si="131"/>
        <v/>
      </c>
      <c r="AG3325" s="9" t="s">
        <v>19</v>
      </c>
    </row>
    <row r="3326" spans="1:33" ht="29">
      <c r="A3326" s="3" t="s">
        <v>3472</v>
      </c>
      <c r="D3326" s="3" t="s">
        <v>9193</v>
      </c>
      <c r="E3326" s="3" t="s">
        <v>9196</v>
      </c>
      <c r="J3326" s="9" t="s">
        <v>24</v>
      </c>
      <c r="L3326" s="9">
        <v>1</v>
      </c>
      <c r="M3326" s="9">
        <v>5</v>
      </c>
      <c r="N3326" s="9" t="s">
        <v>12094</v>
      </c>
      <c r="O3326" s="9" t="s">
        <v>12079</v>
      </c>
      <c r="Q3326" s="10"/>
      <c r="S3326" s="9">
        <v>1741</v>
      </c>
      <c r="U3326" s="9" t="str">
        <f t="shared" ca="1" si="130"/>
        <v/>
      </c>
      <c r="V3326" s="9" t="str">
        <f t="shared" ca="1" si="131"/>
        <v/>
      </c>
      <c r="AG3326" s="9" t="s">
        <v>19</v>
      </c>
    </row>
    <row r="3327" spans="1:33">
      <c r="A3327" s="3" t="s">
        <v>3472</v>
      </c>
      <c r="D3327" s="3" t="s">
        <v>8595</v>
      </c>
      <c r="E3327" s="3" t="s">
        <v>8596</v>
      </c>
      <c r="G3327" t="s">
        <v>19</v>
      </c>
      <c r="J3327" s="9" t="s">
        <v>12120</v>
      </c>
      <c r="Q3327" s="10"/>
      <c r="U3327" s="9" t="str">
        <f t="shared" ca="1" si="130"/>
        <v/>
      </c>
      <c r="V3327" s="9" t="str">
        <f t="shared" ca="1" si="131"/>
        <v/>
      </c>
    </row>
    <row r="3328" spans="1:33">
      <c r="A3328" s="3" t="s">
        <v>3473</v>
      </c>
      <c r="D3328" s="3" t="s">
        <v>9198</v>
      </c>
      <c r="E3328" s="3" t="s">
        <v>9197</v>
      </c>
      <c r="G3328" t="s">
        <v>19</v>
      </c>
      <c r="J3328" s="9" t="s">
        <v>12120</v>
      </c>
      <c r="Q3328" s="10"/>
      <c r="U3328" s="9" t="str">
        <f t="shared" ca="1" si="130"/>
        <v/>
      </c>
      <c r="V3328" s="9" t="str">
        <f t="shared" ca="1" si="131"/>
        <v/>
      </c>
      <c r="AB3328" s="9" t="s">
        <v>12085</v>
      </c>
      <c r="AC3328" s="9" t="s">
        <v>12166</v>
      </c>
      <c r="AD3328" s="9" t="s">
        <v>19</v>
      </c>
      <c r="AE3328" s="9" t="s">
        <v>12086</v>
      </c>
    </row>
    <row r="3329" spans="1:33">
      <c r="A3329" s="3" t="s">
        <v>3473</v>
      </c>
      <c r="D3329" s="3" t="s">
        <v>9200</v>
      </c>
      <c r="E3329" s="3" t="s">
        <v>9199</v>
      </c>
      <c r="G3329" t="s">
        <v>19</v>
      </c>
      <c r="J3329" s="9" t="s">
        <v>12121</v>
      </c>
      <c r="Q3329" s="10"/>
      <c r="T3329" s="9">
        <f>40-0</f>
        <v>40</v>
      </c>
      <c r="U3329" s="9">
        <f t="shared" ca="1" si="130"/>
        <v>0</v>
      </c>
      <c r="V3329" s="9">
        <f t="shared" ca="1" si="131"/>
        <v>40</v>
      </c>
      <c r="AE3329" s="9" t="s">
        <v>12089</v>
      </c>
    </row>
    <row r="3330" spans="1:33">
      <c r="A3330" s="3" t="s">
        <v>3474</v>
      </c>
      <c r="D3330" s="3" t="s">
        <v>3475</v>
      </c>
      <c r="E3330" s="3" t="s">
        <v>3476</v>
      </c>
      <c r="J3330" s="9" t="s">
        <v>12118</v>
      </c>
      <c r="Q3330" s="10"/>
      <c r="T3330" s="9" t="s">
        <v>12131</v>
      </c>
      <c r="U3330" s="9" t="str">
        <f t="shared" ca="1" si="130"/>
        <v/>
      </c>
      <c r="V3330" s="9" t="str">
        <f t="shared" ca="1" si="131"/>
        <v/>
      </c>
      <c r="AC3330" s="9" t="s">
        <v>12742</v>
      </c>
      <c r="AD3330" s="9" t="s">
        <v>19</v>
      </c>
      <c r="AE3330" s="9" t="s">
        <v>12077</v>
      </c>
    </row>
    <row r="3331" spans="1:33">
      <c r="A3331" s="3" t="s">
        <v>3474</v>
      </c>
      <c r="D3331" s="3" t="s">
        <v>9202</v>
      </c>
      <c r="E3331" s="3" t="s">
        <v>9201</v>
      </c>
      <c r="G3331" t="s">
        <v>19</v>
      </c>
      <c r="J3331" s="9" t="s">
        <v>12120</v>
      </c>
      <c r="Q3331" s="10"/>
      <c r="U3331" s="9" t="str">
        <f t="shared" ca="1" si="130"/>
        <v/>
      </c>
      <c r="V3331" s="9" t="str">
        <f t="shared" ca="1" si="131"/>
        <v/>
      </c>
      <c r="AB3331" s="9" t="s">
        <v>12082</v>
      </c>
      <c r="AD3331" s="9" t="s">
        <v>19</v>
      </c>
    </row>
    <row r="3332" spans="1:33">
      <c r="A3332" s="3" t="s">
        <v>3474</v>
      </c>
      <c r="D3332" s="3" t="s">
        <v>9203</v>
      </c>
      <c r="E3332" s="3" t="s">
        <v>9204</v>
      </c>
      <c r="J3332" s="9" t="s">
        <v>12120</v>
      </c>
      <c r="Q3332" s="10"/>
      <c r="U3332" s="9" t="str">
        <f t="shared" ca="1" si="130"/>
        <v/>
      </c>
      <c r="V3332" s="9" t="str">
        <f t="shared" ca="1" si="131"/>
        <v/>
      </c>
      <c r="AB3332" s="9" t="s">
        <v>12082</v>
      </c>
      <c r="AD3332" s="9" t="s">
        <v>19</v>
      </c>
    </row>
    <row r="3333" spans="1:33">
      <c r="A3333" s="3" t="s">
        <v>3474</v>
      </c>
      <c r="D3333" s="3" t="s">
        <v>1460</v>
      </c>
      <c r="E3333" s="3" t="s">
        <v>1461</v>
      </c>
      <c r="J3333" s="9" t="s">
        <v>12118</v>
      </c>
      <c r="Q3333" s="10"/>
      <c r="T3333" s="9">
        <f>84-0</f>
        <v>84</v>
      </c>
      <c r="U3333" s="9">
        <f t="shared" ca="1" si="130"/>
        <v>0</v>
      </c>
      <c r="V3333" s="9">
        <f t="shared" ca="1" si="131"/>
        <v>84</v>
      </c>
      <c r="AC3333" s="9" t="s">
        <v>12130</v>
      </c>
      <c r="AD3333" s="9" t="s">
        <v>19</v>
      </c>
    </row>
    <row r="3334" spans="1:33">
      <c r="A3334" s="3" t="s">
        <v>3477</v>
      </c>
      <c r="D3334" s="3" t="s">
        <v>3478</v>
      </c>
      <c r="E3334" s="3" t="s">
        <v>3479</v>
      </c>
      <c r="J3334" s="9" t="s">
        <v>12120</v>
      </c>
      <c r="Q3334" s="10"/>
      <c r="U3334" s="9" t="str">
        <f t="shared" ca="1" si="130"/>
        <v/>
      </c>
      <c r="V3334" s="9" t="str">
        <f t="shared" ca="1" si="131"/>
        <v/>
      </c>
      <c r="AG3334" s="9" t="s">
        <v>13141</v>
      </c>
    </row>
    <row r="3335" spans="1:33">
      <c r="A3335" s="3" t="s">
        <v>3480</v>
      </c>
      <c r="D3335" s="3" t="s">
        <v>9205</v>
      </c>
      <c r="E3335" s="3" t="s">
        <v>9206</v>
      </c>
      <c r="J3335" s="9" t="s">
        <v>25</v>
      </c>
      <c r="L3335" s="9">
        <v>1</v>
      </c>
      <c r="M3335" s="9">
        <v>4</v>
      </c>
      <c r="N3335" s="9" t="s">
        <v>12078</v>
      </c>
      <c r="O3335" s="9" t="s">
        <v>12073</v>
      </c>
      <c r="P3335" s="9" t="s">
        <v>12149</v>
      </c>
      <c r="Q3335" s="10" t="s">
        <v>12143</v>
      </c>
      <c r="S3335" s="9">
        <v>11843</v>
      </c>
      <c r="U3335" s="9" t="str">
        <f t="shared" ca="1" si="130"/>
        <v/>
      </c>
      <c r="V3335" s="9" t="str">
        <f t="shared" ca="1" si="131"/>
        <v/>
      </c>
      <c r="AG3335" s="9" t="s">
        <v>19</v>
      </c>
    </row>
    <row r="3336" spans="1:33">
      <c r="A3336" s="3" t="s">
        <v>3481</v>
      </c>
      <c r="D3336" s="3" t="s">
        <v>3482</v>
      </c>
      <c r="E3336" s="3" t="s">
        <v>3208</v>
      </c>
      <c r="J3336" s="9" t="s">
        <v>12120</v>
      </c>
      <c r="Q3336" s="10"/>
      <c r="U3336" s="9" t="str">
        <f t="shared" ca="1" si="130"/>
        <v/>
      </c>
      <c r="V3336" s="9" t="str">
        <f t="shared" ca="1" si="131"/>
        <v/>
      </c>
      <c r="AC3336" s="9" t="s">
        <v>12740</v>
      </c>
      <c r="AD3336" s="9" t="s">
        <v>19</v>
      </c>
    </row>
    <row r="3337" spans="1:33">
      <c r="A3337" s="3" t="s">
        <v>3481</v>
      </c>
      <c r="D3337" s="3" t="s">
        <v>9207</v>
      </c>
      <c r="E3337" s="3" t="s">
        <v>9208</v>
      </c>
      <c r="J3337" s="9" t="s">
        <v>12120</v>
      </c>
      <c r="Q3337" s="10"/>
      <c r="U3337" s="9" t="str">
        <f t="shared" ca="1" si="130"/>
        <v/>
      </c>
      <c r="V3337" s="9" t="str">
        <f t="shared" ca="1" si="131"/>
        <v/>
      </c>
      <c r="AB3337" s="9" t="s">
        <v>12737</v>
      </c>
      <c r="AD3337" s="9" t="s">
        <v>19</v>
      </c>
    </row>
    <row r="3338" spans="1:33" ht="29">
      <c r="A3338" s="3" t="s">
        <v>3481</v>
      </c>
      <c r="D3338" s="3" t="s">
        <v>9209</v>
      </c>
      <c r="E3338" s="3" t="s">
        <v>9210</v>
      </c>
      <c r="J3338" s="9" t="s">
        <v>24</v>
      </c>
      <c r="L3338" s="9">
        <v>2</v>
      </c>
      <c r="M3338" s="9">
        <v>6</v>
      </c>
      <c r="O3338" s="9" t="s">
        <v>12073</v>
      </c>
      <c r="P3338" s="9" t="s">
        <v>12142</v>
      </c>
      <c r="Q3338" s="10" t="s">
        <v>12158</v>
      </c>
      <c r="R3338" s="9" t="s">
        <v>12074</v>
      </c>
      <c r="S3338" s="9" t="s">
        <v>12119</v>
      </c>
      <c r="U3338" s="9" t="str">
        <f t="shared" ca="1" si="130"/>
        <v/>
      </c>
      <c r="V3338" s="9" t="str">
        <f t="shared" ca="1" si="131"/>
        <v/>
      </c>
      <c r="AE3338" s="9" t="s">
        <v>12077</v>
      </c>
    </row>
    <row r="3339" spans="1:33" ht="29">
      <c r="A3339" s="3" t="s">
        <v>3481</v>
      </c>
      <c r="D3339" s="3" t="s">
        <v>9212</v>
      </c>
      <c r="E3339" s="3" t="s">
        <v>9211</v>
      </c>
      <c r="J3339" s="9" t="s">
        <v>12120</v>
      </c>
      <c r="Q3339" s="10"/>
      <c r="U3339" s="9" t="str">
        <f t="shared" ca="1" si="130"/>
        <v/>
      </c>
      <c r="V3339" s="9" t="str">
        <f t="shared" ca="1" si="131"/>
        <v/>
      </c>
      <c r="AG3339" s="9" t="s">
        <v>20</v>
      </c>
    </row>
    <row r="3340" spans="1:33">
      <c r="A3340" s="3" t="s">
        <v>3483</v>
      </c>
      <c r="D3340" s="3" t="s">
        <v>9213</v>
      </c>
      <c r="E3340" s="3" t="s">
        <v>9214</v>
      </c>
      <c r="J3340" s="9" t="s">
        <v>25</v>
      </c>
      <c r="L3340" s="9">
        <v>1</v>
      </c>
      <c r="M3340" s="9">
        <v>3</v>
      </c>
      <c r="N3340" s="9" t="s">
        <v>12087</v>
      </c>
      <c r="O3340" s="9" t="s">
        <v>12079</v>
      </c>
      <c r="Q3340" s="10"/>
      <c r="S3340" s="9">
        <v>309</v>
      </c>
      <c r="U3340" s="9" t="str">
        <f t="shared" ca="1" si="130"/>
        <v/>
      </c>
      <c r="V3340" s="9" t="str">
        <f t="shared" ca="1" si="131"/>
        <v/>
      </c>
      <c r="AG3340" s="9" t="s">
        <v>19</v>
      </c>
    </row>
    <row r="3341" spans="1:33" ht="29">
      <c r="A3341" s="3" t="s">
        <v>3483</v>
      </c>
      <c r="D3341" s="3" t="s">
        <v>9216</v>
      </c>
      <c r="E3341" s="3" t="s">
        <v>9215</v>
      </c>
      <c r="J3341" s="9" t="s">
        <v>24</v>
      </c>
      <c r="L3341" s="9">
        <v>1</v>
      </c>
      <c r="M3341" s="9">
        <v>3</v>
      </c>
      <c r="N3341" s="9" t="s">
        <v>12094</v>
      </c>
      <c r="O3341" s="9" t="s">
        <v>12073</v>
      </c>
      <c r="P3341" s="9" t="s">
        <v>12149</v>
      </c>
      <c r="Q3341" s="10" t="s">
        <v>12143</v>
      </c>
      <c r="R3341" s="9" t="s">
        <v>12074</v>
      </c>
      <c r="S3341" s="9">
        <v>1496</v>
      </c>
      <c r="U3341" s="9" t="str">
        <f t="shared" ca="1" si="130"/>
        <v/>
      </c>
      <c r="V3341" s="9" t="str">
        <f t="shared" ca="1" si="131"/>
        <v/>
      </c>
      <c r="AG3341" s="9" t="s">
        <v>19</v>
      </c>
    </row>
    <row r="3342" spans="1:33">
      <c r="A3342" s="3" t="s">
        <v>3484</v>
      </c>
      <c r="D3342" s="3" t="s">
        <v>2096</v>
      </c>
      <c r="E3342" s="3" t="s">
        <v>3485</v>
      </c>
      <c r="J3342" s="9" t="s">
        <v>12120</v>
      </c>
      <c r="Q3342" s="10"/>
      <c r="U3342" s="9" t="str">
        <f t="shared" ca="1" si="130"/>
        <v/>
      </c>
      <c r="V3342" s="9" t="str">
        <f t="shared" ca="1" si="131"/>
        <v/>
      </c>
      <c r="AG3342" s="9" t="s">
        <v>19</v>
      </c>
    </row>
    <row r="3343" spans="1:33" ht="29">
      <c r="A3343" s="3" t="s">
        <v>3484</v>
      </c>
      <c r="D3343" s="3" t="s">
        <v>13060</v>
      </c>
      <c r="E3343" s="3" t="s">
        <v>13063</v>
      </c>
      <c r="J3343" s="9" t="s">
        <v>12120</v>
      </c>
      <c r="Q3343" s="10"/>
      <c r="U3343" s="9" t="str">
        <f t="shared" ca="1" si="130"/>
        <v/>
      </c>
      <c r="V3343" s="9" t="str">
        <f t="shared" ca="1" si="131"/>
        <v/>
      </c>
      <c r="AB3343" s="9" t="s">
        <v>12737</v>
      </c>
      <c r="AD3343" s="9" t="s">
        <v>19</v>
      </c>
    </row>
    <row r="3344" spans="1:33" ht="29">
      <c r="A3344" s="3" t="s">
        <v>3484</v>
      </c>
      <c r="D3344" s="3" t="s">
        <v>13061</v>
      </c>
      <c r="E3344" s="3" t="s">
        <v>13064</v>
      </c>
      <c r="J3344" s="9" t="s">
        <v>12118</v>
      </c>
      <c r="Q3344" s="10"/>
      <c r="T3344" s="9">
        <f>264-309</f>
        <v>-45</v>
      </c>
      <c r="U3344" s="9">
        <f t="shared" ca="1" si="130"/>
        <v>309</v>
      </c>
      <c r="V3344" s="9">
        <f t="shared" ca="1" si="131"/>
        <v>264</v>
      </c>
      <c r="AG3344" s="9" t="s">
        <v>20</v>
      </c>
    </row>
    <row r="3345" spans="1:33" ht="29">
      <c r="A3345" s="3" t="s">
        <v>3484</v>
      </c>
      <c r="D3345" s="3" t="s">
        <v>13062</v>
      </c>
      <c r="E3345" s="3" t="s">
        <v>13065</v>
      </c>
      <c r="J3345" s="9" t="s">
        <v>25</v>
      </c>
      <c r="L3345" s="9">
        <v>1</v>
      </c>
      <c r="M3345" s="9">
        <v>6</v>
      </c>
      <c r="N3345" s="9" t="s">
        <v>12125</v>
      </c>
      <c r="O3345" s="9" t="s">
        <v>12079</v>
      </c>
      <c r="Q3345" s="10"/>
      <c r="S3345" s="9">
        <v>336</v>
      </c>
      <c r="U3345" s="9" t="str">
        <f t="shared" ca="1" si="130"/>
        <v/>
      </c>
      <c r="V3345" s="9" t="str">
        <f t="shared" ca="1" si="131"/>
        <v/>
      </c>
      <c r="AG3345" s="9" t="s">
        <v>20</v>
      </c>
    </row>
    <row r="3346" spans="1:33">
      <c r="A3346" s="3" t="s">
        <v>3486</v>
      </c>
      <c r="D3346" s="3" t="s">
        <v>9218</v>
      </c>
      <c r="E3346" s="3" t="s">
        <v>9217</v>
      </c>
      <c r="J3346" s="9" t="s">
        <v>25</v>
      </c>
      <c r="L3346" s="9">
        <v>1</v>
      </c>
      <c r="M3346" s="9">
        <v>3</v>
      </c>
      <c r="N3346" s="9" t="s">
        <v>12087</v>
      </c>
      <c r="O3346" s="9" t="s">
        <v>12079</v>
      </c>
      <c r="Q3346" s="10"/>
      <c r="S3346" s="9">
        <v>5676</v>
      </c>
      <c r="U3346" s="9" t="str">
        <f t="shared" ref="U3346:U3409" ca="1" si="134">IF(ISNUMBER(T3346),VALUE(MID(_xlfn.FORMULATEXT(T3346),SEARCH("-",_xlfn.FORMULATEXT(T3346))+1,LEN(_xlfn.FORMULATEXT(T3346))-SEARCH("-",_xlfn.FORMULATEXT(T3346)))), "")</f>
        <v/>
      </c>
      <c r="V3346" s="9" t="str">
        <f t="shared" ref="V3346:V3409" ca="1" si="135">IF(ISNUMBER(T3346), VALUE(MID(_xlfn.FORMULATEXT(T3346), 2, SEARCH("-", _xlfn.FORMULATEXT(T3346)) - 2)), "")</f>
        <v/>
      </c>
      <c r="AG3346" s="9" t="s">
        <v>19</v>
      </c>
    </row>
    <row r="3347" spans="1:33" ht="29">
      <c r="A3347" s="3" t="s">
        <v>3487</v>
      </c>
      <c r="D3347" s="3" t="s">
        <v>9220</v>
      </c>
      <c r="E3347" s="3" t="s">
        <v>9219</v>
      </c>
      <c r="G3347" t="s">
        <v>19</v>
      </c>
      <c r="J3347" s="9" t="s">
        <v>25</v>
      </c>
      <c r="L3347" s="9">
        <v>1</v>
      </c>
      <c r="M3347" s="9">
        <v>6</v>
      </c>
      <c r="N3347" s="9" t="s">
        <v>12092</v>
      </c>
      <c r="O3347" s="9" t="s">
        <v>12073</v>
      </c>
      <c r="P3347" s="9" t="s">
        <v>12149</v>
      </c>
      <c r="Q3347" s="10" t="s">
        <v>12158</v>
      </c>
      <c r="R3347" s="9" t="s">
        <v>12074</v>
      </c>
      <c r="S3347" s="9">
        <v>24</v>
      </c>
      <c r="U3347" s="9" t="str">
        <f t="shared" ca="1" si="134"/>
        <v/>
      </c>
      <c r="V3347" s="9" t="str">
        <f t="shared" ca="1" si="135"/>
        <v/>
      </c>
      <c r="AE3347" s="9" t="s">
        <v>12089</v>
      </c>
    </row>
    <row r="3348" spans="1:33">
      <c r="A3348" s="3" t="s">
        <v>3487</v>
      </c>
      <c r="D3348" s="3" t="s">
        <v>12920</v>
      </c>
      <c r="E3348" s="3" t="s">
        <v>9221</v>
      </c>
      <c r="J3348" s="9" t="s">
        <v>24</v>
      </c>
      <c r="L3348" s="9">
        <v>1</v>
      </c>
      <c r="M3348" s="9">
        <v>1</v>
      </c>
      <c r="N3348" s="9" t="s">
        <v>12078</v>
      </c>
      <c r="O3348" s="9" t="s">
        <v>12119</v>
      </c>
      <c r="Q3348" s="10"/>
      <c r="S3348" s="9">
        <v>11843</v>
      </c>
      <c r="U3348" s="9" t="str">
        <f t="shared" ca="1" si="134"/>
        <v/>
      </c>
      <c r="V3348" s="9" t="str">
        <f t="shared" ca="1" si="135"/>
        <v/>
      </c>
      <c r="AG3348" s="9" t="s">
        <v>19</v>
      </c>
    </row>
    <row r="3349" spans="1:33">
      <c r="A3349" s="3" t="s">
        <v>3488</v>
      </c>
      <c r="D3349" s="3" t="s">
        <v>3489</v>
      </c>
      <c r="E3349" s="3" t="s">
        <v>3490</v>
      </c>
      <c r="J3349" s="9" t="s">
        <v>12118</v>
      </c>
      <c r="Q3349" s="10"/>
      <c r="T3349" s="9">
        <f>1-1</f>
        <v>0</v>
      </c>
      <c r="U3349" s="9">
        <f t="shared" ca="1" si="134"/>
        <v>1</v>
      </c>
      <c r="V3349" s="9">
        <f t="shared" ca="1" si="135"/>
        <v>1</v>
      </c>
      <c r="AG3349" s="9" t="s">
        <v>20</v>
      </c>
    </row>
    <row r="3350" spans="1:33">
      <c r="A3350" s="3" t="s">
        <v>3488</v>
      </c>
      <c r="D3350" s="3" t="s">
        <v>9222</v>
      </c>
      <c r="E3350" s="3" t="s">
        <v>9223</v>
      </c>
      <c r="J3350" s="9" t="s">
        <v>12120</v>
      </c>
      <c r="Q3350" s="10"/>
      <c r="U3350" s="9" t="str">
        <f t="shared" ca="1" si="134"/>
        <v/>
      </c>
      <c r="V3350" s="9" t="str">
        <f t="shared" ca="1" si="135"/>
        <v/>
      </c>
      <c r="AG3350" s="9" t="s">
        <v>19</v>
      </c>
    </row>
    <row r="3351" spans="1:33">
      <c r="A3351" s="3" t="s">
        <v>3488</v>
      </c>
      <c r="D3351" s="3" t="s">
        <v>9225</v>
      </c>
      <c r="E3351" s="3" t="s">
        <v>9224</v>
      </c>
      <c r="G3351" t="s">
        <v>19</v>
      </c>
      <c r="J3351" s="9" t="s">
        <v>12120</v>
      </c>
      <c r="Q3351" s="10"/>
      <c r="U3351" s="9" t="str">
        <f t="shared" ca="1" si="134"/>
        <v/>
      </c>
      <c r="V3351" s="9" t="str">
        <f t="shared" ca="1" si="135"/>
        <v/>
      </c>
      <c r="AC3351" s="9" t="s">
        <v>12166</v>
      </c>
      <c r="AD3351" s="9" t="s">
        <v>19</v>
      </c>
    </row>
    <row r="3352" spans="1:33">
      <c r="A3352" s="3" t="s">
        <v>3488</v>
      </c>
      <c r="D3352" s="3" t="s">
        <v>1853</v>
      </c>
      <c r="E3352" s="3" t="s">
        <v>109</v>
      </c>
      <c r="J3352" s="9" t="s">
        <v>12118</v>
      </c>
      <c r="Q3352" s="10"/>
      <c r="T3352" s="9" t="s">
        <v>12119</v>
      </c>
      <c r="U3352" s="9" t="str">
        <f t="shared" ca="1" si="134"/>
        <v/>
      </c>
      <c r="V3352" s="9" t="str">
        <f t="shared" ca="1" si="135"/>
        <v/>
      </c>
      <c r="AB3352" s="9" t="s">
        <v>12124</v>
      </c>
      <c r="AD3352" s="9" t="s">
        <v>19</v>
      </c>
    </row>
    <row r="3353" spans="1:33">
      <c r="A3353" s="3" t="s">
        <v>3491</v>
      </c>
      <c r="D3353" s="3" t="s">
        <v>3492</v>
      </c>
      <c r="E3353" s="3" t="s">
        <v>3493</v>
      </c>
      <c r="J3353" s="9" t="s">
        <v>12120</v>
      </c>
      <c r="Q3353" s="10"/>
      <c r="U3353" s="9" t="str">
        <f t="shared" ca="1" si="134"/>
        <v/>
      </c>
      <c r="V3353" s="9" t="str">
        <f t="shared" ca="1" si="135"/>
        <v/>
      </c>
      <c r="AC3353" s="9" t="s">
        <v>12134</v>
      </c>
      <c r="AD3353" s="9" t="s">
        <v>19</v>
      </c>
      <c r="AE3353" s="9" t="s">
        <v>12086</v>
      </c>
    </row>
    <row r="3354" spans="1:33">
      <c r="A3354" s="3" t="s">
        <v>3494</v>
      </c>
      <c r="D3354" s="3" t="s">
        <v>9227</v>
      </c>
      <c r="E3354" s="3" t="s">
        <v>9226</v>
      </c>
      <c r="J3354" s="9" t="s">
        <v>24</v>
      </c>
      <c r="L3354" s="9">
        <v>1</v>
      </c>
      <c r="M3354" s="9">
        <v>2</v>
      </c>
      <c r="N3354" s="9" t="s">
        <v>12078</v>
      </c>
      <c r="O3354" s="9" t="s">
        <v>12119</v>
      </c>
      <c r="Q3354" s="10"/>
      <c r="S3354" s="9">
        <v>11843</v>
      </c>
      <c r="U3354" s="9" t="str">
        <f t="shared" ca="1" si="134"/>
        <v/>
      </c>
      <c r="V3354" s="9" t="str">
        <f t="shared" ca="1" si="135"/>
        <v/>
      </c>
      <c r="AG3354" s="9" t="s">
        <v>19</v>
      </c>
    </row>
    <row r="3355" spans="1:33">
      <c r="A3355" s="3" t="s">
        <v>3494</v>
      </c>
      <c r="D3355" s="3" t="s">
        <v>9228</v>
      </c>
      <c r="E3355" s="3" t="s">
        <v>9229</v>
      </c>
      <c r="J3355" s="9" t="s">
        <v>25</v>
      </c>
      <c r="L3355" s="9">
        <v>1</v>
      </c>
      <c r="M3355" s="9">
        <v>7</v>
      </c>
      <c r="N3355" s="9" t="s">
        <v>12125</v>
      </c>
      <c r="O3355" s="9" t="s">
        <v>12079</v>
      </c>
      <c r="Q3355" s="10"/>
      <c r="S3355" s="9">
        <v>320</v>
      </c>
      <c r="U3355" s="9" t="str">
        <f t="shared" ca="1" si="134"/>
        <v/>
      </c>
      <c r="V3355" s="9" t="str">
        <f t="shared" ca="1" si="135"/>
        <v/>
      </c>
      <c r="AG3355" s="9" t="s">
        <v>20</v>
      </c>
    </row>
    <row r="3356" spans="1:33">
      <c r="A3356" s="3" t="s">
        <v>3496</v>
      </c>
      <c r="D3356" s="3" t="s">
        <v>2468</v>
      </c>
      <c r="E3356" s="3" t="s">
        <v>2469</v>
      </c>
      <c r="J3356" s="9" t="s">
        <v>12118</v>
      </c>
      <c r="Q3356" s="10"/>
      <c r="T3356" s="9" t="s">
        <v>12131</v>
      </c>
      <c r="U3356" s="9" t="str">
        <f t="shared" ca="1" si="134"/>
        <v/>
      </c>
      <c r="V3356" s="9" t="str">
        <f t="shared" ca="1" si="135"/>
        <v/>
      </c>
      <c r="AB3356" s="9" t="s">
        <v>12124</v>
      </c>
      <c r="AD3356" s="9" t="s">
        <v>19</v>
      </c>
    </row>
    <row r="3357" spans="1:33">
      <c r="A3357" s="3" t="s">
        <v>3497</v>
      </c>
      <c r="D3357" s="3" t="s">
        <v>9231</v>
      </c>
      <c r="E3357" s="3" t="s">
        <v>9230</v>
      </c>
      <c r="J3357" s="9" t="s">
        <v>24</v>
      </c>
      <c r="L3357" s="9">
        <v>1</v>
      </c>
      <c r="M3357" s="9">
        <v>3</v>
      </c>
      <c r="N3357" s="9" t="s">
        <v>12087</v>
      </c>
      <c r="O3357" s="9" t="s">
        <v>12079</v>
      </c>
      <c r="Q3357" s="10"/>
      <c r="S3357" s="9">
        <v>5676</v>
      </c>
      <c r="U3357" s="9" t="str">
        <f t="shared" ca="1" si="134"/>
        <v/>
      </c>
      <c r="V3357" s="9" t="str">
        <f t="shared" ca="1" si="135"/>
        <v/>
      </c>
      <c r="AG3357" s="9" t="s">
        <v>19</v>
      </c>
    </row>
    <row r="3358" spans="1:33">
      <c r="A3358" s="3" t="s">
        <v>3497</v>
      </c>
      <c r="D3358" s="3" t="s">
        <v>3498</v>
      </c>
      <c r="E3358" s="3" t="s">
        <v>3499</v>
      </c>
      <c r="J3358" s="9" t="s">
        <v>12118</v>
      </c>
      <c r="Q3358" s="10"/>
      <c r="T3358" s="9" t="s">
        <v>12131</v>
      </c>
      <c r="U3358" s="9" t="str">
        <f t="shared" ca="1" si="134"/>
        <v/>
      </c>
      <c r="V3358" s="9" t="str">
        <f t="shared" ca="1" si="135"/>
        <v/>
      </c>
      <c r="AB3358" s="9" t="s">
        <v>12124</v>
      </c>
      <c r="AC3358" s="9" t="s">
        <v>12188</v>
      </c>
      <c r="AD3358" s="9" t="s">
        <v>19</v>
      </c>
    </row>
    <row r="3359" spans="1:33">
      <c r="A3359" s="3" t="s">
        <v>3500</v>
      </c>
      <c r="D3359" s="6" t="s">
        <v>3501</v>
      </c>
      <c r="E3359" s="3" t="s">
        <v>2444</v>
      </c>
      <c r="F3359" t="s">
        <v>11</v>
      </c>
      <c r="G3359" t="s">
        <v>19</v>
      </c>
      <c r="J3359" s="9" t="s">
        <v>12118</v>
      </c>
      <c r="Q3359" s="10"/>
      <c r="R3359" s="9" t="s">
        <v>12074</v>
      </c>
      <c r="T3359" s="9" t="s">
        <v>12131</v>
      </c>
      <c r="U3359" s="9" t="str">
        <f t="shared" ca="1" si="134"/>
        <v/>
      </c>
      <c r="V3359" s="9" t="str">
        <f t="shared" ca="1" si="135"/>
        <v/>
      </c>
      <c r="AE3359" s="9" t="s">
        <v>12086</v>
      </c>
      <c r="AF3359" s="9" t="s">
        <v>19</v>
      </c>
    </row>
    <row r="3360" spans="1:33">
      <c r="A3360" s="3" t="s">
        <v>3502</v>
      </c>
      <c r="D3360" s="3" t="s">
        <v>9233</v>
      </c>
      <c r="E3360" s="3" t="s">
        <v>9232</v>
      </c>
      <c r="I3360" t="s">
        <v>12709</v>
      </c>
      <c r="J3360" s="9" t="s">
        <v>26</v>
      </c>
      <c r="Q3360" s="10"/>
      <c r="U3360" s="9" t="str">
        <f t="shared" ca="1" si="134"/>
        <v/>
      </c>
      <c r="V3360" s="9" t="str">
        <f t="shared" ca="1" si="135"/>
        <v/>
      </c>
      <c r="W3360" s="9" t="s">
        <v>12117</v>
      </c>
      <c r="AG3360" s="9" t="s">
        <v>20</v>
      </c>
    </row>
    <row r="3361" spans="1:33">
      <c r="A3361" s="3" t="s">
        <v>3502</v>
      </c>
      <c r="D3361" s="3" t="s">
        <v>9234</v>
      </c>
      <c r="E3361" s="3" t="s">
        <v>9235</v>
      </c>
      <c r="J3361" s="9" t="s">
        <v>25</v>
      </c>
      <c r="L3361" s="9">
        <v>1</v>
      </c>
      <c r="M3361" s="9">
        <v>2</v>
      </c>
      <c r="N3361" s="9" t="s">
        <v>12123</v>
      </c>
      <c r="O3361" s="9" t="s">
        <v>12079</v>
      </c>
      <c r="Q3361" s="10"/>
      <c r="S3361" s="9">
        <v>134</v>
      </c>
      <c r="U3361" s="9" t="str">
        <f t="shared" ca="1" si="134"/>
        <v/>
      </c>
      <c r="V3361" s="9" t="str">
        <f t="shared" ca="1" si="135"/>
        <v/>
      </c>
      <c r="AG3361" s="9" t="s">
        <v>19</v>
      </c>
    </row>
    <row r="3362" spans="1:33">
      <c r="A3362" s="3" t="s">
        <v>3502</v>
      </c>
      <c r="D3362" s="3" t="s">
        <v>9236</v>
      </c>
      <c r="E3362" s="3" t="s">
        <v>9237</v>
      </c>
      <c r="G3362" t="s">
        <v>19</v>
      </c>
      <c r="J3362" s="9" t="s">
        <v>12118</v>
      </c>
      <c r="Q3362" s="10"/>
      <c r="T3362" s="9" t="s">
        <v>12131</v>
      </c>
      <c r="U3362" s="9" t="str">
        <f t="shared" ca="1" si="134"/>
        <v/>
      </c>
      <c r="V3362" s="9" t="str">
        <f t="shared" ca="1" si="135"/>
        <v/>
      </c>
      <c r="AE3362" s="9" t="s">
        <v>12086</v>
      </c>
    </row>
    <row r="3363" spans="1:33">
      <c r="A3363" s="3" t="s">
        <v>3502</v>
      </c>
      <c r="D3363" s="3" t="s">
        <v>9239</v>
      </c>
      <c r="E3363" s="3" t="s">
        <v>9238</v>
      </c>
      <c r="J3363" s="9" t="s">
        <v>12118</v>
      </c>
      <c r="Q3363" s="10"/>
      <c r="T3363" s="9">
        <f>134-148</f>
        <v>-14</v>
      </c>
      <c r="U3363" s="9">
        <f t="shared" ca="1" si="134"/>
        <v>148</v>
      </c>
      <c r="V3363" s="9">
        <f t="shared" ca="1" si="135"/>
        <v>134</v>
      </c>
      <c r="AG3363" s="9" t="s">
        <v>20</v>
      </c>
    </row>
    <row r="3364" spans="1:33">
      <c r="A3364" s="3" t="s">
        <v>3503</v>
      </c>
      <c r="D3364" s="3" t="s">
        <v>9241</v>
      </c>
      <c r="E3364" s="3" t="s">
        <v>9240</v>
      </c>
      <c r="J3364" s="9" t="s">
        <v>24</v>
      </c>
      <c r="L3364" s="9">
        <v>1</v>
      </c>
      <c r="M3364" s="9">
        <v>2</v>
      </c>
      <c r="N3364" s="9" t="s">
        <v>12087</v>
      </c>
      <c r="O3364" s="9" t="s">
        <v>12119</v>
      </c>
      <c r="Q3364" s="10"/>
      <c r="S3364" s="9">
        <v>1966</v>
      </c>
      <c r="U3364" s="9" t="str">
        <f t="shared" ca="1" si="134"/>
        <v/>
      </c>
      <c r="V3364" s="9" t="str">
        <f t="shared" ca="1" si="135"/>
        <v/>
      </c>
      <c r="AG3364" s="9" t="s">
        <v>20</v>
      </c>
    </row>
    <row r="3365" spans="1:33">
      <c r="A3365" s="3" t="s">
        <v>3504</v>
      </c>
      <c r="D3365" s="3" t="s">
        <v>9243</v>
      </c>
      <c r="E3365" s="3" t="s">
        <v>9242</v>
      </c>
      <c r="J3365" s="9" t="s">
        <v>12120</v>
      </c>
      <c r="Q3365" s="10"/>
      <c r="U3365" s="9" t="str">
        <f t="shared" ca="1" si="134"/>
        <v/>
      </c>
      <c r="V3365" s="9" t="str">
        <f t="shared" ca="1" si="135"/>
        <v/>
      </c>
      <c r="AG3365" s="9" t="s">
        <v>20</v>
      </c>
    </row>
    <row r="3366" spans="1:33">
      <c r="A3366" s="3" t="s">
        <v>3504</v>
      </c>
      <c r="D3366" s="3" t="s">
        <v>9245</v>
      </c>
      <c r="E3366" s="3" t="s">
        <v>9244</v>
      </c>
      <c r="J3366" s="9" t="s">
        <v>12118</v>
      </c>
      <c r="Q3366" s="10"/>
      <c r="T3366" s="9">
        <f>13-29</f>
        <v>-16</v>
      </c>
      <c r="U3366" s="9">
        <f t="shared" ca="1" si="134"/>
        <v>29</v>
      </c>
      <c r="V3366" s="9">
        <f t="shared" ca="1" si="135"/>
        <v>13</v>
      </c>
      <c r="AG3366" s="9" t="s">
        <v>20</v>
      </c>
    </row>
    <row r="3367" spans="1:33" ht="29">
      <c r="A3367" s="3" t="s">
        <v>3504</v>
      </c>
      <c r="D3367" s="3" t="s">
        <v>9246</v>
      </c>
      <c r="E3367" s="3" t="s">
        <v>9247</v>
      </c>
      <c r="J3367" s="9" t="s">
        <v>25</v>
      </c>
      <c r="L3367" s="9">
        <v>1</v>
      </c>
      <c r="M3367" s="9">
        <v>7</v>
      </c>
      <c r="N3367" s="9" t="s">
        <v>12098</v>
      </c>
      <c r="O3367" s="9" t="s">
        <v>12073</v>
      </c>
      <c r="P3367" s="9" t="s">
        <v>12142</v>
      </c>
      <c r="Q3367" s="10" t="s">
        <v>12143</v>
      </c>
      <c r="S3367" s="9">
        <v>2042</v>
      </c>
      <c r="U3367" s="9" t="str">
        <f t="shared" ca="1" si="134"/>
        <v/>
      </c>
      <c r="V3367" s="9" t="str">
        <f t="shared" ca="1" si="135"/>
        <v/>
      </c>
      <c r="AG3367" s="9" t="s">
        <v>19</v>
      </c>
    </row>
    <row r="3368" spans="1:33">
      <c r="A3368" s="3" t="s">
        <v>3505</v>
      </c>
      <c r="D3368" s="3" t="s">
        <v>9249</v>
      </c>
      <c r="E3368" s="3" t="s">
        <v>9248</v>
      </c>
      <c r="J3368" s="9" t="s">
        <v>24</v>
      </c>
      <c r="L3368" s="9">
        <v>1</v>
      </c>
      <c r="M3368" s="9">
        <v>3</v>
      </c>
      <c r="N3368" s="9" t="s">
        <v>12087</v>
      </c>
      <c r="O3368" s="9" t="s">
        <v>12079</v>
      </c>
      <c r="Q3368" s="10"/>
      <c r="S3368" s="9">
        <v>5676</v>
      </c>
      <c r="U3368" s="9" t="str">
        <f t="shared" ca="1" si="134"/>
        <v/>
      </c>
      <c r="V3368" s="9" t="str">
        <f t="shared" ca="1" si="135"/>
        <v/>
      </c>
      <c r="AG3368" s="9" t="s">
        <v>19</v>
      </c>
    </row>
    <row r="3369" spans="1:33">
      <c r="A3369" s="3" t="s">
        <v>3505</v>
      </c>
      <c r="D3369" s="3" t="s">
        <v>9251</v>
      </c>
      <c r="E3369" s="3" t="s">
        <v>9250</v>
      </c>
      <c r="G3369" t="s">
        <v>19</v>
      </c>
      <c r="J3369" s="9" t="s">
        <v>25</v>
      </c>
      <c r="L3369" s="9">
        <v>1</v>
      </c>
      <c r="M3369" s="9">
        <v>3</v>
      </c>
      <c r="N3369" s="9" t="s">
        <v>12087</v>
      </c>
      <c r="O3369" s="9" t="s">
        <v>12073</v>
      </c>
      <c r="P3369" s="9" t="s">
        <v>12142</v>
      </c>
      <c r="Q3369" s="10" t="s">
        <v>12143</v>
      </c>
      <c r="S3369" s="9">
        <v>810</v>
      </c>
      <c r="U3369" s="9" t="str">
        <f t="shared" ca="1" si="134"/>
        <v/>
      </c>
      <c r="V3369" s="9" t="str">
        <f t="shared" ca="1" si="135"/>
        <v/>
      </c>
    </row>
    <row r="3370" spans="1:33">
      <c r="A3370" s="3" t="s">
        <v>3506</v>
      </c>
      <c r="D3370" s="3" t="s">
        <v>12921</v>
      </c>
      <c r="E3370" s="3" t="s">
        <v>9253</v>
      </c>
      <c r="J3370" s="9" t="s">
        <v>12118</v>
      </c>
      <c r="Q3370" s="10"/>
      <c r="T3370" s="9" t="s">
        <v>12119</v>
      </c>
      <c r="U3370" s="9" t="str">
        <f t="shared" ca="1" si="134"/>
        <v/>
      </c>
      <c r="V3370" s="9" t="str">
        <f t="shared" ca="1" si="135"/>
        <v/>
      </c>
      <c r="AC3370" s="9" t="s">
        <v>12130</v>
      </c>
      <c r="AD3370" s="9" t="s">
        <v>19</v>
      </c>
      <c r="AE3370" s="9" t="s">
        <v>12086</v>
      </c>
    </row>
    <row r="3371" spans="1:33">
      <c r="A3371" s="3" t="s">
        <v>3506</v>
      </c>
      <c r="D3371" s="3" t="s">
        <v>12922</v>
      </c>
      <c r="E3371" s="3" t="s">
        <v>9254</v>
      </c>
      <c r="J3371" s="9" t="s">
        <v>24</v>
      </c>
      <c r="L3371" s="9">
        <v>1</v>
      </c>
      <c r="M3371" s="9">
        <v>1</v>
      </c>
      <c r="N3371" s="9" t="s">
        <v>12078</v>
      </c>
      <c r="O3371" s="9" t="s">
        <v>12119</v>
      </c>
      <c r="Q3371" s="10"/>
      <c r="S3371" s="9">
        <v>11843</v>
      </c>
      <c r="U3371" s="9" t="str">
        <f t="shared" ca="1" si="134"/>
        <v/>
      </c>
      <c r="V3371" s="9" t="str">
        <f t="shared" ca="1" si="135"/>
        <v/>
      </c>
      <c r="AG3371" s="9" t="s">
        <v>19</v>
      </c>
    </row>
    <row r="3372" spans="1:33">
      <c r="A3372" s="3" t="s">
        <v>3507</v>
      </c>
      <c r="D3372" s="3" t="s">
        <v>9256</v>
      </c>
      <c r="E3372" s="3" t="s">
        <v>9255</v>
      </c>
      <c r="J3372" s="9" t="s">
        <v>24</v>
      </c>
      <c r="L3372" s="9">
        <v>1</v>
      </c>
      <c r="M3372" s="9">
        <v>6</v>
      </c>
      <c r="N3372" s="9" t="s">
        <v>12094</v>
      </c>
      <c r="O3372" s="9" t="s">
        <v>12079</v>
      </c>
      <c r="Q3372" s="10"/>
      <c r="S3372" s="9">
        <v>930</v>
      </c>
      <c r="U3372" s="9" t="str">
        <f t="shared" ca="1" si="134"/>
        <v/>
      </c>
      <c r="V3372" s="9" t="str">
        <f t="shared" ca="1" si="135"/>
        <v/>
      </c>
      <c r="AG3372" s="9" t="s">
        <v>19</v>
      </c>
    </row>
    <row r="3373" spans="1:33">
      <c r="A3373" s="3" t="s">
        <v>3508</v>
      </c>
      <c r="D3373" s="3" t="s">
        <v>9258</v>
      </c>
      <c r="E3373" s="3" t="s">
        <v>9257</v>
      </c>
      <c r="J3373" s="9" t="s">
        <v>12120</v>
      </c>
      <c r="Q3373" s="10"/>
      <c r="U3373" s="9" t="str">
        <f t="shared" ca="1" si="134"/>
        <v/>
      </c>
      <c r="V3373" s="9" t="str">
        <f t="shared" ca="1" si="135"/>
        <v/>
      </c>
      <c r="AG3373" s="9" t="s">
        <v>19</v>
      </c>
    </row>
    <row r="3374" spans="1:33">
      <c r="A3374" s="3" t="s">
        <v>3509</v>
      </c>
      <c r="D3374" s="3" t="s">
        <v>9260</v>
      </c>
      <c r="E3374" s="3" t="s">
        <v>9259</v>
      </c>
      <c r="J3374" s="9" t="s">
        <v>12120</v>
      </c>
      <c r="Q3374" s="10"/>
      <c r="U3374" s="9" t="str">
        <f t="shared" ca="1" si="134"/>
        <v/>
      </c>
      <c r="V3374" s="9" t="str">
        <f t="shared" ca="1" si="135"/>
        <v/>
      </c>
      <c r="AC3374" s="9" t="s">
        <v>12144</v>
      </c>
      <c r="AD3374" s="9" t="s">
        <v>19</v>
      </c>
    </row>
    <row r="3375" spans="1:33">
      <c r="A3375" s="3" t="s">
        <v>3510</v>
      </c>
      <c r="D3375" s="3" t="s">
        <v>9262</v>
      </c>
      <c r="E3375" s="3" t="s">
        <v>9261</v>
      </c>
      <c r="J3375" s="9" t="s">
        <v>25</v>
      </c>
      <c r="L3375" s="9">
        <v>1</v>
      </c>
      <c r="M3375" s="9">
        <v>3</v>
      </c>
      <c r="N3375" s="9" t="s">
        <v>12087</v>
      </c>
      <c r="O3375" s="9" t="s">
        <v>12079</v>
      </c>
      <c r="Q3375" s="10"/>
      <c r="S3375" s="9">
        <v>356</v>
      </c>
      <c r="U3375" s="9" t="str">
        <f t="shared" ca="1" si="134"/>
        <v/>
      </c>
      <c r="V3375" s="9" t="str">
        <f t="shared" ca="1" si="135"/>
        <v/>
      </c>
      <c r="AG3375" s="9" t="s">
        <v>19</v>
      </c>
    </row>
    <row r="3376" spans="1:33">
      <c r="A3376" s="3" t="s">
        <v>3511</v>
      </c>
      <c r="D3376" s="3" t="s">
        <v>130</v>
      </c>
      <c r="E3376" s="3" t="s">
        <v>129</v>
      </c>
      <c r="J3376" s="9" t="s">
        <v>12120</v>
      </c>
      <c r="Q3376" s="10"/>
      <c r="U3376" s="9" t="str">
        <f t="shared" ca="1" si="134"/>
        <v/>
      </c>
      <c r="V3376" s="9" t="str">
        <f t="shared" ca="1" si="135"/>
        <v/>
      </c>
      <c r="AC3376" s="9" t="s">
        <v>12134</v>
      </c>
      <c r="AD3376" s="9" t="s">
        <v>19</v>
      </c>
    </row>
    <row r="3377" spans="1:33" ht="29">
      <c r="A3377" s="3" t="s">
        <v>3511</v>
      </c>
      <c r="D3377" s="3" t="s">
        <v>9264</v>
      </c>
      <c r="E3377" s="3" t="s">
        <v>9263</v>
      </c>
      <c r="I3377" t="s">
        <v>5457</v>
      </c>
      <c r="J3377" s="9" t="s">
        <v>26</v>
      </c>
      <c r="Q3377" s="10"/>
      <c r="U3377" s="9" t="str">
        <f t="shared" ca="1" si="134"/>
        <v/>
      </c>
      <c r="V3377" s="9" t="str">
        <f t="shared" ca="1" si="135"/>
        <v/>
      </c>
      <c r="AG3377" s="9" t="s">
        <v>19</v>
      </c>
    </row>
    <row r="3378" spans="1:33">
      <c r="A3378" s="3" t="s">
        <v>3511</v>
      </c>
      <c r="D3378" s="3" t="s">
        <v>9265</v>
      </c>
      <c r="E3378" s="3" t="s">
        <v>9266</v>
      </c>
      <c r="J3378" s="9" t="s">
        <v>12120</v>
      </c>
      <c r="Q3378" s="10"/>
      <c r="U3378" s="9" t="str">
        <f t="shared" ca="1" si="134"/>
        <v/>
      </c>
      <c r="V3378" s="9" t="str">
        <f t="shared" ca="1" si="135"/>
        <v/>
      </c>
      <c r="AB3378" s="9" t="s">
        <v>12082</v>
      </c>
      <c r="AD3378" s="9" t="s">
        <v>19</v>
      </c>
    </row>
    <row r="3379" spans="1:33">
      <c r="A3379" s="3" t="s">
        <v>3512</v>
      </c>
      <c r="D3379" s="3" t="s">
        <v>1900</v>
      </c>
      <c r="E3379" s="3" t="s">
        <v>1234</v>
      </c>
      <c r="J3379" s="9" t="s">
        <v>12118</v>
      </c>
      <c r="Q3379" s="10"/>
      <c r="T3379" s="9">
        <f>507-352</f>
        <v>155</v>
      </c>
      <c r="U3379" s="9">
        <f t="shared" ca="1" si="134"/>
        <v>352</v>
      </c>
      <c r="V3379" s="9">
        <f t="shared" ca="1" si="135"/>
        <v>507</v>
      </c>
      <c r="AG3379" s="9" t="s">
        <v>20</v>
      </c>
    </row>
    <row r="3380" spans="1:33">
      <c r="A3380" s="3" t="s">
        <v>3512</v>
      </c>
      <c r="D3380" s="5" t="s">
        <v>3513</v>
      </c>
      <c r="E3380" s="3" t="s">
        <v>1534</v>
      </c>
      <c r="F3380" t="s">
        <v>15</v>
      </c>
      <c r="Q3380" s="10"/>
      <c r="U3380" s="9" t="str">
        <f t="shared" ca="1" si="134"/>
        <v/>
      </c>
      <c r="V3380" s="9" t="str">
        <f t="shared" ca="1" si="135"/>
        <v/>
      </c>
    </row>
    <row r="3381" spans="1:33">
      <c r="A3381" s="3" t="s">
        <v>3514</v>
      </c>
      <c r="D3381" s="3" t="s">
        <v>722</v>
      </c>
      <c r="E3381" s="3" t="s">
        <v>723</v>
      </c>
      <c r="J3381" s="9" t="s">
        <v>12118</v>
      </c>
      <c r="Q3381" s="10"/>
      <c r="T3381" s="9" t="s">
        <v>12131</v>
      </c>
      <c r="U3381" s="9" t="str">
        <f t="shared" ca="1" si="134"/>
        <v/>
      </c>
      <c r="V3381" s="9" t="str">
        <f t="shared" ca="1" si="135"/>
        <v/>
      </c>
      <c r="AC3381" s="9" t="s">
        <v>12134</v>
      </c>
      <c r="AD3381" s="9" t="s">
        <v>19</v>
      </c>
      <c r="AE3381" s="9" t="s">
        <v>12086</v>
      </c>
    </row>
    <row r="3382" spans="1:33">
      <c r="A3382" s="3" t="s">
        <v>3515</v>
      </c>
      <c r="D3382" s="3" t="s">
        <v>9268</v>
      </c>
      <c r="E3382" s="3" t="s">
        <v>9267</v>
      </c>
      <c r="J3382" s="9" t="s">
        <v>25</v>
      </c>
      <c r="L3382" s="9">
        <v>1</v>
      </c>
      <c r="M3382" s="9">
        <v>4</v>
      </c>
      <c r="N3382" s="9" t="s">
        <v>12094</v>
      </c>
      <c r="O3382" s="9" t="s">
        <v>12079</v>
      </c>
      <c r="Q3382" s="10"/>
      <c r="S3382" s="9">
        <v>1496</v>
      </c>
      <c r="U3382" s="9" t="str">
        <f t="shared" ca="1" si="134"/>
        <v/>
      </c>
      <c r="V3382" s="9" t="str">
        <f t="shared" ca="1" si="135"/>
        <v/>
      </c>
      <c r="AG3382" s="9" t="s">
        <v>20</v>
      </c>
    </row>
    <row r="3383" spans="1:33" ht="29">
      <c r="A3383" s="3" t="s">
        <v>3516</v>
      </c>
      <c r="D3383" s="3" t="s">
        <v>9269</v>
      </c>
      <c r="E3383" s="3" t="s">
        <v>9270</v>
      </c>
      <c r="J3383" s="9" t="s">
        <v>12118</v>
      </c>
      <c r="Q3383" s="10"/>
      <c r="T3383" s="9">
        <f>810-5676</f>
        <v>-4866</v>
      </c>
      <c r="U3383" s="9">
        <f t="shared" ca="1" si="134"/>
        <v>5676</v>
      </c>
      <c r="V3383" s="9">
        <f t="shared" ca="1" si="135"/>
        <v>810</v>
      </c>
      <c r="AG3383" s="9" t="s">
        <v>19</v>
      </c>
    </row>
    <row r="3384" spans="1:33" ht="29">
      <c r="A3384" s="3" t="s">
        <v>3516</v>
      </c>
      <c r="D3384" s="3" t="s">
        <v>9272</v>
      </c>
      <c r="E3384" s="3" t="s">
        <v>9271</v>
      </c>
      <c r="J3384" s="9" t="s">
        <v>12118</v>
      </c>
      <c r="Q3384" s="10"/>
      <c r="T3384" s="9">
        <f>98-431</f>
        <v>-333</v>
      </c>
      <c r="U3384" s="9">
        <f t="shared" ca="1" si="134"/>
        <v>431</v>
      </c>
      <c r="V3384" s="9">
        <f t="shared" ca="1" si="135"/>
        <v>98</v>
      </c>
      <c r="AG3384" s="9" t="s">
        <v>19</v>
      </c>
    </row>
    <row r="3385" spans="1:33">
      <c r="A3385" s="3" t="s">
        <v>3517</v>
      </c>
      <c r="D3385" s="3" t="s">
        <v>9273</v>
      </c>
      <c r="E3385" s="3" t="s">
        <v>9274</v>
      </c>
      <c r="J3385" s="9" t="s">
        <v>25</v>
      </c>
      <c r="L3385" s="9">
        <v>1</v>
      </c>
      <c r="M3385" s="9">
        <v>3</v>
      </c>
      <c r="N3385" s="9" t="s">
        <v>12078</v>
      </c>
      <c r="O3385" s="9" t="s">
        <v>12079</v>
      </c>
      <c r="Q3385" s="10"/>
      <c r="S3385" s="9">
        <v>11843</v>
      </c>
      <c r="U3385" s="9" t="str">
        <f t="shared" ca="1" si="134"/>
        <v/>
      </c>
      <c r="V3385" s="9" t="str">
        <f t="shared" ca="1" si="135"/>
        <v/>
      </c>
      <c r="AG3385" s="9" t="s">
        <v>20</v>
      </c>
    </row>
    <row r="3386" spans="1:33">
      <c r="A3386" s="3" t="s">
        <v>3517</v>
      </c>
      <c r="D3386" s="3" t="s">
        <v>9276</v>
      </c>
      <c r="E3386" s="3" t="s">
        <v>9275</v>
      </c>
      <c r="G3386" t="s">
        <v>19</v>
      </c>
      <c r="J3386" s="9" t="s">
        <v>12120</v>
      </c>
      <c r="Q3386" s="10"/>
      <c r="U3386" s="9" t="str">
        <f t="shared" ca="1" si="134"/>
        <v/>
      </c>
      <c r="V3386" s="9" t="str">
        <f t="shared" ca="1" si="135"/>
        <v/>
      </c>
      <c r="AC3386" s="9" t="s">
        <v>12134</v>
      </c>
      <c r="AD3386" s="9" t="s">
        <v>19</v>
      </c>
    </row>
    <row r="3387" spans="1:33">
      <c r="A3387" s="3" t="s">
        <v>3517</v>
      </c>
      <c r="D3387" s="3" t="s">
        <v>9278</v>
      </c>
      <c r="E3387" s="3" t="s">
        <v>9277</v>
      </c>
      <c r="G3387" t="s">
        <v>19</v>
      </c>
      <c r="J3387" s="9" t="s">
        <v>12118</v>
      </c>
      <c r="Q3387" s="10"/>
      <c r="T3387" s="9">
        <f>27-20</f>
        <v>7</v>
      </c>
      <c r="U3387" s="9">
        <f t="shared" ca="1" si="134"/>
        <v>20</v>
      </c>
      <c r="V3387" s="9">
        <f t="shared" ca="1" si="135"/>
        <v>27</v>
      </c>
    </row>
    <row r="3388" spans="1:33">
      <c r="A3388" s="3" t="s">
        <v>3517</v>
      </c>
      <c r="D3388" s="3" t="s">
        <v>3518</v>
      </c>
      <c r="E3388" s="3" t="s">
        <v>3519</v>
      </c>
      <c r="J3388" s="9" t="s">
        <v>12120</v>
      </c>
      <c r="Q3388" s="10"/>
      <c r="U3388" s="9" t="str">
        <f t="shared" ca="1" si="134"/>
        <v/>
      </c>
      <c r="V3388" s="9" t="str">
        <f t="shared" ca="1" si="135"/>
        <v/>
      </c>
      <c r="AC3388" s="9" t="s">
        <v>12166</v>
      </c>
      <c r="AD3388" s="9" t="s">
        <v>19</v>
      </c>
    </row>
    <row r="3389" spans="1:33">
      <c r="A3389" s="3" t="s">
        <v>3520</v>
      </c>
      <c r="D3389" s="3" t="s">
        <v>9279</v>
      </c>
      <c r="E3389" s="3" t="s">
        <v>9280</v>
      </c>
      <c r="J3389" s="9" t="s">
        <v>12118</v>
      </c>
      <c r="Q3389" s="10"/>
      <c r="T3389" s="9">
        <f>810-67</f>
        <v>743</v>
      </c>
      <c r="U3389" s="9">
        <f t="shared" ca="1" si="134"/>
        <v>67</v>
      </c>
      <c r="V3389" s="9">
        <f t="shared" ca="1" si="135"/>
        <v>810</v>
      </c>
      <c r="AG3389" s="9" t="s">
        <v>20</v>
      </c>
    </row>
    <row r="3390" spans="1:33">
      <c r="A3390" s="3" t="s">
        <v>3520</v>
      </c>
      <c r="D3390" s="3" t="s">
        <v>9282</v>
      </c>
      <c r="E3390" s="3" t="s">
        <v>9281</v>
      </c>
      <c r="J3390" s="9" t="s">
        <v>25</v>
      </c>
      <c r="L3390" s="9">
        <v>1</v>
      </c>
      <c r="M3390" s="9">
        <v>3</v>
      </c>
      <c r="N3390" s="9" t="s">
        <v>12078</v>
      </c>
      <c r="O3390" s="9" t="s">
        <v>12079</v>
      </c>
      <c r="Q3390" s="10"/>
      <c r="S3390" s="9">
        <v>11843</v>
      </c>
      <c r="U3390" s="9" t="str">
        <f t="shared" ca="1" si="134"/>
        <v/>
      </c>
      <c r="V3390" s="9" t="str">
        <f t="shared" ca="1" si="135"/>
        <v/>
      </c>
      <c r="AG3390" s="9" t="s">
        <v>20</v>
      </c>
    </row>
    <row r="3391" spans="1:33">
      <c r="A3391" s="3" t="s">
        <v>3520</v>
      </c>
      <c r="D3391" s="3" t="s">
        <v>9283</v>
      </c>
      <c r="E3391" s="3" t="s">
        <v>9281</v>
      </c>
      <c r="J3391" s="9" t="s">
        <v>25</v>
      </c>
      <c r="L3391" s="9">
        <v>1</v>
      </c>
      <c r="M3391" s="9">
        <v>5</v>
      </c>
      <c r="N3391" s="9" t="s">
        <v>12094</v>
      </c>
      <c r="O3391" s="9" t="s">
        <v>12079</v>
      </c>
      <c r="Q3391" s="10"/>
      <c r="S3391" s="9">
        <v>4240</v>
      </c>
      <c r="U3391" s="9" t="str">
        <f t="shared" ca="1" si="134"/>
        <v/>
      </c>
      <c r="V3391" s="9" t="str">
        <f t="shared" ca="1" si="135"/>
        <v/>
      </c>
      <c r="AG3391" s="9" t="s">
        <v>20</v>
      </c>
    </row>
    <row r="3392" spans="1:33">
      <c r="A3392" s="3" t="s">
        <v>3521</v>
      </c>
      <c r="D3392" s="3" t="s">
        <v>9284</v>
      </c>
      <c r="E3392" s="3" t="s">
        <v>9285</v>
      </c>
      <c r="J3392" s="9" t="s">
        <v>12120</v>
      </c>
      <c r="Q3392" s="10"/>
      <c r="U3392" s="9" t="str">
        <f t="shared" ca="1" si="134"/>
        <v/>
      </c>
      <c r="V3392" s="9" t="str">
        <f t="shared" ca="1" si="135"/>
        <v/>
      </c>
      <c r="AB3392" s="9" t="s">
        <v>12738</v>
      </c>
      <c r="AD3392" s="9" t="s">
        <v>19</v>
      </c>
    </row>
    <row r="3393" spans="1:33">
      <c r="A3393" s="3" t="s">
        <v>3522</v>
      </c>
      <c r="D3393" s="3" t="s">
        <v>9287</v>
      </c>
      <c r="E3393" s="3" t="s">
        <v>9286</v>
      </c>
      <c r="J3393" s="9" t="s">
        <v>12120</v>
      </c>
      <c r="Q3393" s="10"/>
      <c r="U3393" s="9" t="str">
        <f t="shared" ca="1" si="134"/>
        <v/>
      </c>
      <c r="V3393" s="9" t="str">
        <f t="shared" ca="1" si="135"/>
        <v/>
      </c>
      <c r="AB3393" s="9" t="s">
        <v>12737</v>
      </c>
      <c r="AD3393" s="9" t="s">
        <v>19</v>
      </c>
    </row>
    <row r="3394" spans="1:33">
      <c r="A3394" s="3" t="s">
        <v>3523</v>
      </c>
      <c r="D3394" s="3" t="s">
        <v>9288</v>
      </c>
      <c r="E3394" s="3" t="s">
        <v>9289</v>
      </c>
      <c r="G3394" t="s">
        <v>19</v>
      </c>
      <c r="I3394" s="4"/>
      <c r="J3394" s="9" t="s">
        <v>24</v>
      </c>
      <c r="L3394" s="9">
        <v>1</v>
      </c>
      <c r="M3394" s="9">
        <v>3</v>
      </c>
      <c r="N3394" s="9" t="s">
        <v>12087</v>
      </c>
      <c r="O3394" s="9" t="s">
        <v>12079</v>
      </c>
      <c r="Q3394" s="10"/>
      <c r="S3394" s="9">
        <v>309</v>
      </c>
      <c r="U3394" s="9" t="str">
        <f t="shared" ca="1" si="134"/>
        <v/>
      </c>
      <c r="V3394" s="9" t="str">
        <f t="shared" ca="1" si="135"/>
        <v/>
      </c>
    </row>
    <row r="3395" spans="1:33">
      <c r="A3395" s="3" t="s">
        <v>3524</v>
      </c>
      <c r="D3395" s="3" t="s">
        <v>9291</v>
      </c>
      <c r="E3395" s="3" t="s">
        <v>9290</v>
      </c>
      <c r="I3395" t="s">
        <v>5457</v>
      </c>
      <c r="J3395" s="9" t="s">
        <v>26</v>
      </c>
      <c r="Q3395" s="10"/>
      <c r="U3395" s="9" t="str">
        <f t="shared" ca="1" si="134"/>
        <v/>
      </c>
      <c r="V3395" s="9" t="str">
        <f t="shared" ca="1" si="135"/>
        <v/>
      </c>
      <c r="AG3395" s="9" t="s">
        <v>20</v>
      </c>
    </row>
    <row r="3396" spans="1:33" ht="29">
      <c r="A3396" s="3" t="s">
        <v>3524</v>
      </c>
      <c r="D3396" s="3" t="s">
        <v>9292</v>
      </c>
      <c r="E3396" s="3" t="s">
        <v>9293</v>
      </c>
      <c r="J3396" s="9" t="s">
        <v>24</v>
      </c>
      <c r="L3396" s="9">
        <v>1</v>
      </c>
      <c r="M3396" s="9">
        <v>3</v>
      </c>
      <c r="N3396" s="9" t="s">
        <v>12094</v>
      </c>
      <c r="O3396" s="9" t="s">
        <v>12079</v>
      </c>
      <c r="Q3396" s="10"/>
      <c r="S3396" s="9">
        <v>1496</v>
      </c>
      <c r="U3396" s="9" t="str">
        <f t="shared" ca="1" si="134"/>
        <v/>
      </c>
      <c r="V3396" s="9" t="str">
        <f t="shared" ca="1" si="135"/>
        <v/>
      </c>
      <c r="AG3396" s="9" t="s">
        <v>19</v>
      </c>
    </row>
    <row r="3397" spans="1:33" ht="29">
      <c r="A3397" s="3" t="s">
        <v>3524</v>
      </c>
      <c r="D3397" s="3" t="s">
        <v>9295</v>
      </c>
      <c r="E3397" s="3" t="s">
        <v>9294</v>
      </c>
      <c r="J3397" s="9" t="s">
        <v>12120</v>
      </c>
      <c r="Q3397" s="10"/>
      <c r="U3397" s="9" t="str">
        <f t="shared" ca="1" si="134"/>
        <v/>
      </c>
      <c r="V3397" s="9" t="str">
        <f t="shared" ca="1" si="135"/>
        <v/>
      </c>
      <c r="AB3397" s="9" t="s">
        <v>12082</v>
      </c>
      <c r="AD3397" s="9" t="s">
        <v>19</v>
      </c>
    </row>
    <row r="3398" spans="1:33">
      <c r="A3398" s="3" t="s">
        <v>3524</v>
      </c>
      <c r="D3398" s="3" t="s">
        <v>9296</v>
      </c>
      <c r="E3398" s="3" t="s">
        <v>9297</v>
      </c>
      <c r="G3398" t="s">
        <v>19</v>
      </c>
      <c r="J3398" s="9" t="s">
        <v>25</v>
      </c>
      <c r="L3398" s="9">
        <v>1</v>
      </c>
      <c r="M3398" s="9">
        <v>3</v>
      </c>
      <c r="N3398" s="9" t="s">
        <v>12123</v>
      </c>
      <c r="O3398" s="9" t="s">
        <v>12079</v>
      </c>
      <c r="Q3398" s="10"/>
      <c r="S3398" s="9" t="s">
        <v>12131</v>
      </c>
      <c r="U3398" s="9" t="str">
        <f t="shared" ca="1" si="134"/>
        <v/>
      </c>
      <c r="V3398" s="9" t="str">
        <f t="shared" ca="1" si="135"/>
        <v/>
      </c>
      <c r="AE3398" s="9" t="s">
        <v>12086</v>
      </c>
    </row>
    <row r="3399" spans="1:33">
      <c r="A3399" s="3" t="s">
        <v>3525</v>
      </c>
      <c r="D3399" s="3" t="s">
        <v>9299</v>
      </c>
      <c r="E3399" s="3" t="s">
        <v>9298</v>
      </c>
      <c r="G3399" t="s">
        <v>19</v>
      </c>
      <c r="J3399" s="9" t="s">
        <v>12121</v>
      </c>
      <c r="Q3399" s="10"/>
      <c r="T3399" s="9">
        <f>1101-635</f>
        <v>466</v>
      </c>
      <c r="U3399" s="9">
        <f t="shared" ca="1" si="134"/>
        <v>635</v>
      </c>
      <c r="V3399" s="9">
        <f t="shared" ca="1" si="135"/>
        <v>1101</v>
      </c>
      <c r="AC3399" s="9" t="s">
        <v>12134</v>
      </c>
      <c r="AD3399" s="9" t="s">
        <v>19</v>
      </c>
      <c r="AE3399" s="9" t="s">
        <v>12089</v>
      </c>
    </row>
    <row r="3400" spans="1:33">
      <c r="A3400" s="3" t="s">
        <v>3525</v>
      </c>
      <c r="D3400" s="3" t="s">
        <v>9301</v>
      </c>
      <c r="E3400" s="3" t="s">
        <v>9300</v>
      </c>
      <c r="G3400" t="s">
        <v>19</v>
      </c>
      <c r="J3400" s="9" t="s">
        <v>12120</v>
      </c>
      <c r="Q3400" s="10"/>
      <c r="U3400" s="9" t="str">
        <f t="shared" ca="1" si="134"/>
        <v/>
      </c>
      <c r="V3400" s="9" t="str">
        <f t="shared" ca="1" si="135"/>
        <v/>
      </c>
    </row>
    <row r="3401" spans="1:33">
      <c r="A3401" s="3" t="s">
        <v>3526</v>
      </c>
      <c r="D3401" s="3" t="s">
        <v>12923</v>
      </c>
      <c r="E3401" s="3" t="s">
        <v>9302</v>
      </c>
      <c r="J3401" s="9" t="s">
        <v>25</v>
      </c>
      <c r="L3401" s="9">
        <v>1</v>
      </c>
      <c r="M3401" s="9">
        <v>3</v>
      </c>
      <c r="N3401" s="9" t="s">
        <v>12087</v>
      </c>
      <c r="O3401" s="9" t="s">
        <v>12079</v>
      </c>
      <c r="Q3401" s="10"/>
      <c r="S3401" s="9">
        <v>810</v>
      </c>
      <c r="U3401" s="9" t="str">
        <f t="shared" ca="1" si="134"/>
        <v/>
      </c>
      <c r="V3401" s="9" t="str">
        <f t="shared" ca="1" si="135"/>
        <v/>
      </c>
      <c r="AG3401" s="9" t="s">
        <v>20</v>
      </c>
    </row>
    <row r="3402" spans="1:33">
      <c r="A3402" s="3" t="s">
        <v>3527</v>
      </c>
      <c r="D3402" s="3" t="s">
        <v>3528</v>
      </c>
      <c r="E3402" s="3" t="s">
        <v>3529</v>
      </c>
      <c r="J3402" s="9" t="s">
        <v>12118</v>
      </c>
      <c r="Q3402" s="10"/>
      <c r="T3402" s="9" t="s">
        <v>12131</v>
      </c>
      <c r="U3402" s="9" t="str">
        <f t="shared" ca="1" si="134"/>
        <v/>
      </c>
      <c r="V3402" s="9" t="str">
        <f t="shared" ca="1" si="135"/>
        <v/>
      </c>
      <c r="AE3402" s="9" t="s">
        <v>12077</v>
      </c>
    </row>
    <row r="3403" spans="1:33">
      <c r="A3403" s="3" t="s">
        <v>3527</v>
      </c>
      <c r="D3403" s="3" t="s">
        <v>9303</v>
      </c>
      <c r="E3403" s="3" t="s">
        <v>9304</v>
      </c>
      <c r="J3403" s="9" t="s">
        <v>12120</v>
      </c>
      <c r="Q3403" s="10"/>
      <c r="U3403" s="9" t="str">
        <f t="shared" ca="1" si="134"/>
        <v/>
      </c>
      <c r="V3403" s="9" t="str">
        <f t="shared" ca="1" si="135"/>
        <v/>
      </c>
      <c r="AB3403" s="9" t="s">
        <v>12082</v>
      </c>
      <c r="AD3403" s="9" t="s">
        <v>19</v>
      </c>
    </row>
    <row r="3404" spans="1:33">
      <c r="A3404" s="3" t="s">
        <v>3530</v>
      </c>
      <c r="D3404" s="3" t="s">
        <v>9305</v>
      </c>
      <c r="E3404" s="3" t="s">
        <v>9306</v>
      </c>
      <c r="J3404" s="9" t="s">
        <v>25</v>
      </c>
      <c r="L3404" s="9">
        <v>1</v>
      </c>
      <c r="M3404" s="9">
        <v>6</v>
      </c>
      <c r="N3404" s="9" t="s">
        <v>12125</v>
      </c>
      <c r="O3404" s="9" t="s">
        <v>12079</v>
      </c>
      <c r="Q3404" s="10"/>
      <c r="S3404" s="9">
        <v>92</v>
      </c>
      <c r="U3404" s="9" t="str">
        <f t="shared" ca="1" si="134"/>
        <v/>
      </c>
      <c r="V3404" s="9" t="str">
        <f t="shared" ca="1" si="135"/>
        <v/>
      </c>
      <c r="AG3404" s="9" t="s">
        <v>20</v>
      </c>
    </row>
    <row r="3405" spans="1:33">
      <c r="A3405" s="3" t="s">
        <v>3530</v>
      </c>
      <c r="D3405" s="3" t="s">
        <v>3531</v>
      </c>
      <c r="E3405" s="3" t="s">
        <v>3532</v>
      </c>
      <c r="J3405" s="9" t="s">
        <v>12118</v>
      </c>
      <c r="Q3405" s="10"/>
      <c r="T3405" s="9" t="s">
        <v>12131</v>
      </c>
      <c r="U3405" s="9" t="str">
        <f t="shared" ca="1" si="134"/>
        <v/>
      </c>
      <c r="V3405" s="9" t="str">
        <f t="shared" ca="1" si="135"/>
        <v/>
      </c>
      <c r="AE3405" s="9" t="s">
        <v>12086</v>
      </c>
    </row>
    <row r="3406" spans="1:33" ht="29">
      <c r="A3406" s="3" t="s">
        <v>3533</v>
      </c>
      <c r="D3406" s="3" t="s">
        <v>9309</v>
      </c>
      <c r="E3406" s="3" t="s">
        <v>9310</v>
      </c>
      <c r="I3406" t="s">
        <v>5457</v>
      </c>
      <c r="J3406" s="9" t="s">
        <v>26</v>
      </c>
      <c r="Q3406" s="10"/>
      <c r="U3406" s="9" t="str">
        <f t="shared" ca="1" si="134"/>
        <v/>
      </c>
      <c r="V3406" s="9" t="str">
        <f t="shared" ca="1" si="135"/>
        <v/>
      </c>
      <c r="AG3406" s="9" t="s">
        <v>19</v>
      </c>
    </row>
    <row r="3407" spans="1:33" ht="29">
      <c r="A3407" s="3" t="s">
        <v>3533</v>
      </c>
      <c r="D3407" s="3" t="s">
        <v>9311</v>
      </c>
      <c r="E3407" s="3" t="s">
        <v>9307</v>
      </c>
      <c r="J3407" s="9" t="s">
        <v>25</v>
      </c>
      <c r="L3407" s="9">
        <v>1</v>
      </c>
      <c r="M3407" s="9">
        <v>3</v>
      </c>
      <c r="N3407" s="9" t="s">
        <v>12078</v>
      </c>
      <c r="O3407" s="9" t="s">
        <v>12073</v>
      </c>
      <c r="P3407" s="9" t="s">
        <v>12149</v>
      </c>
      <c r="Q3407" s="10" t="s">
        <v>12143</v>
      </c>
      <c r="S3407" s="9">
        <v>11843</v>
      </c>
      <c r="U3407" s="9" t="str">
        <f t="shared" ca="1" si="134"/>
        <v/>
      </c>
      <c r="V3407" s="9" t="str">
        <f t="shared" ca="1" si="135"/>
        <v/>
      </c>
      <c r="AG3407" s="9" t="s">
        <v>19</v>
      </c>
    </row>
    <row r="3408" spans="1:33" ht="29">
      <c r="A3408" s="3" t="s">
        <v>3533</v>
      </c>
      <c r="D3408" s="3" t="s">
        <v>9308</v>
      </c>
      <c r="E3408" s="3" t="s">
        <v>9312</v>
      </c>
      <c r="J3408" s="9" t="s">
        <v>24</v>
      </c>
      <c r="L3408" s="9">
        <v>1</v>
      </c>
      <c r="M3408" s="9">
        <v>3</v>
      </c>
      <c r="N3408" s="9" t="s">
        <v>12087</v>
      </c>
      <c r="O3408" s="9" t="s">
        <v>12079</v>
      </c>
      <c r="Q3408" s="10"/>
      <c r="S3408" s="9">
        <v>5676</v>
      </c>
      <c r="U3408" s="9" t="str">
        <f t="shared" ca="1" si="134"/>
        <v/>
      </c>
      <c r="V3408" s="9" t="str">
        <f t="shared" ca="1" si="135"/>
        <v/>
      </c>
      <c r="AG3408" s="9" t="s">
        <v>19</v>
      </c>
    </row>
    <row r="3409" spans="1:33" ht="29">
      <c r="A3409" s="3" t="s">
        <v>3534</v>
      </c>
      <c r="D3409" s="3" t="s">
        <v>9314</v>
      </c>
      <c r="E3409" s="3" t="s">
        <v>9313</v>
      </c>
      <c r="J3409" s="9" t="s">
        <v>25</v>
      </c>
      <c r="L3409" s="9">
        <v>1</v>
      </c>
      <c r="M3409" s="9">
        <v>2</v>
      </c>
      <c r="N3409" s="9" t="s">
        <v>12092</v>
      </c>
      <c r="O3409" s="9" t="s">
        <v>12119</v>
      </c>
      <c r="Q3409" s="10"/>
      <c r="S3409" s="9">
        <v>361</v>
      </c>
      <c r="U3409" s="9" t="str">
        <f t="shared" ca="1" si="134"/>
        <v/>
      </c>
      <c r="V3409" s="9" t="str">
        <f t="shared" ca="1" si="135"/>
        <v/>
      </c>
      <c r="AG3409" s="9" t="s">
        <v>19</v>
      </c>
    </row>
    <row r="3410" spans="1:33" ht="29">
      <c r="A3410" s="3" t="s">
        <v>3534</v>
      </c>
      <c r="D3410" s="3" t="s">
        <v>9315</v>
      </c>
      <c r="E3410" s="5" t="s">
        <v>9313</v>
      </c>
      <c r="F3410" t="s">
        <v>16</v>
      </c>
      <c r="Q3410" s="10"/>
      <c r="U3410" s="9" t="str">
        <f t="shared" ref="U3410:U3472" ca="1" si="136">IF(ISNUMBER(T3410),VALUE(MID(_xlfn.FORMULATEXT(T3410),SEARCH("-",_xlfn.FORMULATEXT(T3410))+1,LEN(_xlfn.FORMULATEXT(T3410))-SEARCH("-",_xlfn.FORMULATEXT(T3410)))), "")</f>
        <v/>
      </c>
      <c r="V3410" s="9" t="str">
        <f t="shared" ref="V3410:V3472" ca="1" si="137">IF(ISNUMBER(T3410), VALUE(MID(_xlfn.FORMULATEXT(T3410), 2, SEARCH("-", _xlfn.FORMULATEXT(T3410)) - 2)), "")</f>
        <v/>
      </c>
    </row>
    <row r="3411" spans="1:33">
      <c r="A3411" s="3" t="s">
        <v>3534</v>
      </c>
      <c r="D3411" s="3" t="s">
        <v>8908</v>
      </c>
      <c r="E3411" s="3" t="s">
        <v>9252</v>
      </c>
      <c r="J3411" s="9" t="s">
        <v>24</v>
      </c>
      <c r="L3411" s="9">
        <v>1</v>
      </c>
      <c r="M3411" s="9">
        <v>1</v>
      </c>
      <c r="N3411" s="9" t="s">
        <v>12078</v>
      </c>
      <c r="O3411" s="9" t="s">
        <v>12119</v>
      </c>
      <c r="Q3411" s="10"/>
      <c r="S3411" s="9">
        <v>11843</v>
      </c>
      <c r="U3411" s="9" t="str">
        <f t="shared" ca="1" si="136"/>
        <v/>
      </c>
      <c r="V3411" s="9" t="str">
        <f t="shared" ca="1" si="137"/>
        <v/>
      </c>
      <c r="AG3411" s="9" t="s">
        <v>19</v>
      </c>
    </row>
    <row r="3412" spans="1:33">
      <c r="A3412" s="3" t="s">
        <v>3535</v>
      </c>
      <c r="D3412" s="3" t="s">
        <v>9317</v>
      </c>
      <c r="E3412" s="3" t="s">
        <v>9316</v>
      </c>
      <c r="H3412" t="s">
        <v>19</v>
      </c>
      <c r="I3412" t="s">
        <v>12710</v>
      </c>
      <c r="J3412" s="9" t="s">
        <v>25</v>
      </c>
      <c r="L3412" s="9">
        <v>1</v>
      </c>
      <c r="M3412" s="9">
        <v>2</v>
      </c>
      <c r="N3412" s="9" t="s">
        <v>12092</v>
      </c>
      <c r="O3412" s="9" t="s">
        <v>12119</v>
      </c>
      <c r="Q3412" s="10"/>
      <c r="S3412" s="9">
        <v>361</v>
      </c>
      <c r="U3412" s="9" t="str">
        <f t="shared" ca="1" si="136"/>
        <v/>
      </c>
      <c r="V3412" s="9" t="str">
        <f t="shared" ca="1" si="137"/>
        <v/>
      </c>
      <c r="W3412" s="9" t="s">
        <v>12117</v>
      </c>
      <c r="AG3412" s="9" t="s">
        <v>20</v>
      </c>
    </row>
    <row r="3413" spans="1:33" ht="43.5">
      <c r="A3413" s="3" t="s">
        <v>3535</v>
      </c>
      <c r="D3413" s="3" t="s">
        <v>9318</v>
      </c>
      <c r="E3413" s="3" t="s">
        <v>9319</v>
      </c>
      <c r="I3413" t="s">
        <v>13120</v>
      </c>
      <c r="J3413" s="9" t="s">
        <v>24</v>
      </c>
      <c r="L3413" s="9">
        <v>3</v>
      </c>
      <c r="M3413" s="9">
        <v>12</v>
      </c>
      <c r="O3413" s="9" t="s">
        <v>12073</v>
      </c>
      <c r="P3413" s="9" t="s">
        <v>12208</v>
      </c>
      <c r="Q3413" s="10" t="s">
        <v>12482</v>
      </c>
      <c r="R3413" s="9" t="s">
        <v>12074</v>
      </c>
      <c r="S3413" s="9">
        <v>136</v>
      </c>
      <c r="U3413" s="9" t="str">
        <f t="shared" ca="1" si="136"/>
        <v/>
      </c>
      <c r="V3413" s="9" t="str">
        <f t="shared" ca="1" si="137"/>
        <v/>
      </c>
      <c r="AE3413" s="9" t="s">
        <v>12083</v>
      </c>
    </row>
    <row r="3414" spans="1:33" ht="43.5">
      <c r="A3414" s="3" t="s">
        <v>3535</v>
      </c>
      <c r="D3414" s="3" t="s">
        <v>9320</v>
      </c>
      <c r="E3414" s="3" t="s">
        <v>9321</v>
      </c>
      <c r="J3414" s="9" t="s">
        <v>12118</v>
      </c>
      <c r="Q3414" s="10"/>
      <c r="T3414" s="9" t="s">
        <v>12131</v>
      </c>
      <c r="U3414" s="9" t="str">
        <f t="shared" ca="1" si="136"/>
        <v/>
      </c>
      <c r="V3414" s="9" t="str">
        <f t="shared" ca="1" si="137"/>
        <v/>
      </c>
      <c r="AC3414" s="9" t="s">
        <v>12188</v>
      </c>
      <c r="AD3414" s="9" t="s">
        <v>19</v>
      </c>
      <c r="AE3414" s="9" t="s">
        <v>12086</v>
      </c>
    </row>
    <row r="3415" spans="1:33">
      <c r="A3415" s="3" t="s">
        <v>3536</v>
      </c>
      <c r="D3415" s="3" t="s">
        <v>12924</v>
      </c>
      <c r="E3415" s="5" t="s">
        <v>9322</v>
      </c>
      <c r="F3415" t="s">
        <v>16</v>
      </c>
      <c r="J3415" s="9" t="s">
        <v>25</v>
      </c>
      <c r="L3415" s="9">
        <v>1</v>
      </c>
      <c r="M3415" s="9">
        <v>1</v>
      </c>
      <c r="N3415" s="9" t="s">
        <v>12078</v>
      </c>
      <c r="O3415" s="9" t="s">
        <v>12119</v>
      </c>
      <c r="Q3415" s="10"/>
      <c r="S3415" s="9">
        <v>11843</v>
      </c>
      <c r="U3415" s="9" t="str">
        <f t="shared" ca="1" si="136"/>
        <v/>
      </c>
      <c r="V3415" s="9" t="str">
        <f t="shared" ca="1" si="137"/>
        <v/>
      </c>
    </row>
    <row r="3416" spans="1:33" ht="43.5">
      <c r="A3416" s="3" t="s">
        <v>3536</v>
      </c>
      <c r="D3416" s="3" t="s">
        <v>9324</v>
      </c>
      <c r="E3416" s="3" t="s">
        <v>9323</v>
      </c>
      <c r="I3416" t="s">
        <v>12291</v>
      </c>
      <c r="J3416" s="9" t="s">
        <v>26</v>
      </c>
      <c r="Q3416" s="10"/>
      <c r="U3416" s="9" t="str">
        <f t="shared" ca="1" si="136"/>
        <v/>
      </c>
      <c r="V3416" s="9" t="str">
        <f t="shared" ca="1" si="137"/>
        <v/>
      </c>
      <c r="AG3416" s="9" t="s">
        <v>20</v>
      </c>
    </row>
    <row r="3417" spans="1:33">
      <c r="A3417" s="3" t="s">
        <v>3536</v>
      </c>
      <c r="D3417" s="3" t="s">
        <v>9325</v>
      </c>
      <c r="E3417" s="3" t="s">
        <v>9326</v>
      </c>
      <c r="J3417" s="9" t="s">
        <v>12120</v>
      </c>
      <c r="Q3417" s="10"/>
      <c r="U3417" s="9" t="str">
        <f t="shared" ca="1" si="136"/>
        <v/>
      </c>
      <c r="V3417" s="9" t="str">
        <f t="shared" ca="1" si="137"/>
        <v/>
      </c>
      <c r="AB3417" s="9" t="s">
        <v>12737</v>
      </c>
      <c r="AD3417" s="9" t="s">
        <v>19</v>
      </c>
    </row>
    <row r="3418" spans="1:33">
      <c r="A3418" s="3" t="s">
        <v>3536</v>
      </c>
      <c r="D3418" s="3" t="s">
        <v>9328</v>
      </c>
      <c r="E3418" s="3" t="s">
        <v>9327</v>
      </c>
      <c r="J3418" s="9" t="s">
        <v>12120</v>
      </c>
      <c r="Q3418" s="10"/>
      <c r="U3418" s="9" t="str">
        <f t="shared" ca="1" si="136"/>
        <v/>
      </c>
      <c r="V3418" s="9" t="str">
        <f t="shared" ca="1" si="137"/>
        <v/>
      </c>
      <c r="AC3418" s="9" t="s">
        <v>12134</v>
      </c>
      <c r="AD3418" s="9" t="s">
        <v>19</v>
      </c>
      <c r="AE3418" s="9" t="s">
        <v>12077</v>
      </c>
    </row>
    <row r="3419" spans="1:33" ht="29">
      <c r="A3419" s="3" t="s">
        <v>3537</v>
      </c>
      <c r="D3419" s="3" t="s">
        <v>9331</v>
      </c>
      <c r="E3419" s="3" t="s">
        <v>9330</v>
      </c>
      <c r="J3419" s="9" t="s">
        <v>12120</v>
      </c>
      <c r="Q3419" s="10"/>
      <c r="U3419" s="9" t="str">
        <f t="shared" ca="1" si="136"/>
        <v/>
      </c>
      <c r="V3419" s="9" t="str">
        <f t="shared" ca="1" si="137"/>
        <v/>
      </c>
      <c r="AB3419" s="9" t="s">
        <v>12082</v>
      </c>
      <c r="AD3419" s="9" t="s">
        <v>19</v>
      </c>
    </row>
    <row r="3420" spans="1:33" ht="29">
      <c r="A3420" s="3" t="s">
        <v>3537</v>
      </c>
      <c r="D3420" s="3" t="s">
        <v>9329</v>
      </c>
      <c r="E3420" s="3" t="s">
        <v>9332</v>
      </c>
      <c r="J3420" s="9" t="s">
        <v>24</v>
      </c>
      <c r="L3420" s="9">
        <v>1</v>
      </c>
      <c r="M3420" s="9">
        <v>5</v>
      </c>
      <c r="N3420" s="9" t="s">
        <v>12094</v>
      </c>
      <c r="O3420" s="9" t="s">
        <v>12079</v>
      </c>
      <c r="Q3420" s="10"/>
      <c r="S3420" s="9">
        <v>4240</v>
      </c>
      <c r="U3420" s="9" t="str">
        <f t="shared" ca="1" si="136"/>
        <v/>
      </c>
      <c r="V3420" s="9" t="str">
        <f t="shared" ca="1" si="137"/>
        <v/>
      </c>
      <c r="AG3420" s="9" t="s">
        <v>19</v>
      </c>
    </row>
    <row r="3421" spans="1:33">
      <c r="A3421" s="3" t="s">
        <v>3537</v>
      </c>
      <c r="D3421" s="3" t="s">
        <v>9333</v>
      </c>
      <c r="E3421" s="3" t="s">
        <v>9334</v>
      </c>
      <c r="J3421" s="9" t="s">
        <v>12120</v>
      </c>
      <c r="Q3421" s="10"/>
      <c r="U3421" s="9" t="str">
        <f t="shared" ca="1" si="136"/>
        <v/>
      </c>
      <c r="V3421" s="9" t="str">
        <f t="shared" ca="1" si="137"/>
        <v/>
      </c>
      <c r="AC3421" s="9" t="s">
        <v>12188</v>
      </c>
      <c r="AD3421" s="9" t="s">
        <v>19</v>
      </c>
    </row>
    <row r="3422" spans="1:33" ht="29">
      <c r="A3422" s="3" t="s">
        <v>3538</v>
      </c>
      <c r="D3422" s="3" t="s">
        <v>9336</v>
      </c>
      <c r="E3422" s="3" t="s">
        <v>9335</v>
      </c>
      <c r="J3422" s="9" t="s">
        <v>25</v>
      </c>
      <c r="L3422" s="9">
        <v>1</v>
      </c>
      <c r="M3422" s="9">
        <v>8</v>
      </c>
      <c r="N3422" s="9" t="s">
        <v>12125</v>
      </c>
      <c r="O3422" s="9" t="s">
        <v>12079</v>
      </c>
      <c r="Q3422" s="10"/>
      <c r="S3422" s="9">
        <v>14</v>
      </c>
      <c r="U3422" s="9" t="str">
        <f t="shared" ca="1" si="136"/>
        <v/>
      </c>
      <c r="V3422" s="9" t="str">
        <f t="shared" ca="1" si="137"/>
        <v/>
      </c>
      <c r="AG3422" s="9" t="s">
        <v>20</v>
      </c>
    </row>
    <row r="3423" spans="1:33">
      <c r="A3423" s="3" t="s">
        <v>3539</v>
      </c>
      <c r="D3423" s="3" t="s">
        <v>3540</v>
      </c>
      <c r="E3423" s="3" t="s">
        <v>3541</v>
      </c>
      <c r="H3423" t="s">
        <v>19</v>
      </c>
      <c r="J3423" s="9" t="s">
        <v>12118</v>
      </c>
      <c r="Q3423" s="10"/>
      <c r="T3423" s="9">
        <f>0-1</f>
        <v>-1</v>
      </c>
      <c r="U3423" s="9">
        <f t="shared" ca="1" si="136"/>
        <v>1</v>
      </c>
      <c r="V3423" s="9">
        <f t="shared" ca="1" si="137"/>
        <v>0</v>
      </c>
      <c r="AE3423" s="9" t="s">
        <v>12077</v>
      </c>
    </row>
    <row r="3424" spans="1:33" ht="29">
      <c r="A3424" s="3" t="s">
        <v>3542</v>
      </c>
      <c r="D3424" s="3" t="s">
        <v>9337</v>
      </c>
      <c r="E3424" s="3" t="s">
        <v>9338</v>
      </c>
      <c r="J3424" s="9" t="s">
        <v>25</v>
      </c>
      <c r="L3424" s="9">
        <v>1</v>
      </c>
      <c r="M3424" s="9">
        <v>3</v>
      </c>
      <c r="N3424" s="9" t="s">
        <v>12087</v>
      </c>
      <c r="O3424" s="9" t="s">
        <v>12079</v>
      </c>
      <c r="Q3424" s="10"/>
      <c r="S3424" s="9">
        <v>5676</v>
      </c>
      <c r="U3424" s="9" t="str">
        <f t="shared" ca="1" si="136"/>
        <v/>
      </c>
      <c r="V3424" s="9" t="str">
        <f t="shared" ca="1" si="137"/>
        <v/>
      </c>
      <c r="AG3424" s="9" t="s">
        <v>20</v>
      </c>
    </row>
    <row r="3425" spans="1:33">
      <c r="A3425" s="3" t="s">
        <v>3543</v>
      </c>
      <c r="D3425" s="3" t="s">
        <v>9339</v>
      </c>
      <c r="E3425" s="3" t="s">
        <v>9340</v>
      </c>
      <c r="J3425" s="9" t="s">
        <v>25</v>
      </c>
      <c r="L3425" s="9">
        <v>1</v>
      </c>
      <c r="M3425" s="9">
        <v>2</v>
      </c>
      <c r="N3425" s="9" t="s">
        <v>12096</v>
      </c>
      <c r="O3425" s="9" t="s">
        <v>12119</v>
      </c>
      <c r="Q3425" s="10"/>
      <c r="S3425" s="9">
        <v>485</v>
      </c>
      <c r="U3425" s="9" t="str">
        <f t="shared" ca="1" si="136"/>
        <v/>
      </c>
      <c r="V3425" s="9" t="str">
        <f t="shared" ca="1" si="137"/>
        <v/>
      </c>
      <c r="AG3425" s="9" t="s">
        <v>19</v>
      </c>
    </row>
    <row r="3426" spans="1:33">
      <c r="A3426" s="3" t="s">
        <v>3544</v>
      </c>
      <c r="D3426" s="3" t="s">
        <v>3545</v>
      </c>
      <c r="E3426" s="3" t="s">
        <v>742</v>
      </c>
      <c r="G3426" t="s">
        <v>19</v>
      </c>
      <c r="J3426" s="9" t="s">
        <v>12118</v>
      </c>
      <c r="Q3426" s="10"/>
      <c r="T3426" s="9" t="s">
        <v>12131</v>
      </c>
      <c r="U3426" s="9" t="str">
        <f t="shared" ca="1" si="136"/>
        <v/>
      </c>
      <c r="V3426" s="9" t="str">
        <f t="shared" ca="1" si="137"/>
        <v/>
      </c>
      <c r="AB3426" s="9" t="s">
        <v>12124</v>
      </c>
      <c r="AD3426" s="9" t="s">
        <v>19</v>
      </c>
    </row>
    <row r="3427" spans="1:33" ht="29">
      <c r="A3427" s="3" t="s">
        <v>3546</v>
      </c>
      <c r="D3427" s="3" t="s">
        <v>9341</v>
      </c>
      <c r="E3427" s="3" t="s">
        <v>9342</v>
      </c>
      <c r="G3427" t="s">
        <v>20</v>
      </c>
      <c r="I3427" t="s">
        <v>9343</v>
      </c>
      <c r="Q3427" s="10"/>
      <c r="U3427" s="9" t="str">
        <f t="shared" ca="1" si="136"/>
        <v/>
      </c>
      <c r="V3427" s="9" t="str">
        <f t="shared" ca="1" si="137"/>
        <v/>
      </c>
    </row>
    <row r="3428" spans="1:33" ht="29">
      <c r="A3428" s="3" t="s">
        <v>3546</v>
      </c>
      <c r="D3428" s="3" t="s">
        <v>9344</v>
      </c>
      <c r="E3428" s="3" t="s">
        <v>9345</v>
      </c>
      <c r="G3428" t="s">
        <v>19</v>
      </c>
      <c r="J3428" s="9" t="s">
        <v>12118</v>
      </c>
      <c r="Q3428" s="10"/>
      <c r="T3428" s="9">
        <f>5676-4</f>
        <v>5672</v>
      </c>
      <c r="U3428" s="9">
        <f t="shared" ca="1" si="136"/>
        <v>4</v>
      </c>
      <c r="V3428" s="9">
        <f t="shared" ca="1" si="137"/>
        <v>5676</v>
      </c>
      <c r="AE3428" s="9" t="s">
        <v>12089</v>
      </c>
    </row>
    <row r="3429" spans="1:33" ht="29">
      <c r="A3429" s="3" t="s">
        <v>3546</v>
      </c>
      <c r="D3429" s="3" t="s">
        <v>9347</v>
      </c>
      <c r="E3429" s="3" t="s">
        <v>9346</v>
      </c>
      <c r="G3429" t="s">
        <v>19</v>
      </c>
      <c r="J3429" s="9" t="s">
        <v>12120</v>
      </c>
      <c r="Q3429" s="10"/>
      <c r="U3429" s="9" t="str">
        <f t="shared" ca="1" si="136"/>
        <v/>
      </c>
      <c r="V3429" s="9" t="str">
        <f t="shared" ca="1" si="137"/>
        <v/>
      </c>
    </row>
    <row r="3430" spans="1:33">
      <c r="A3430" s="3" t="s">
        <v>3547</v>
      </c>
      <c r="D3430" s="3" t="s">
        <v>9349</v>
      </c>
      <c r="E3430" s="3" t="s">
        <v>9348</v>
      </c>
      <c r="G3430" t="s">
        <v>19</v>
      </c>
      <c r="J3430" s="9" t="s">
        <v>12120</v>
      </c>
      <c r="Q3430" s="10"/>
      <c r="U3430" s="9" t="str">
        <f t="shared" ca="1" si="136"/>
        <v/>
      </c>
      <c r="V3430" s="9" t="str">
        <f t="shared" ca="1" si="137"/>
        <v/>
      </c>
      <c r="AC3430" s="9" t="s">
        <v>12166</v>
      </c>
      <c r="AD3430" s="9" t="s">
        <v>20</v>
      </c>
      <c r="AE3430" s="9" t="s">
        <v>12086</v>
      </c>
    </row>
    <row r="3431" spans="1:33" ht="29">
      <c r="A3431" s="3" t="s">
        <v>3548</v>
      </c>
      <c r="D3431" s="6" t="s">
        <v>9351</v>
      </c>
      <c r="E3431" s="3" t="s">
        <v>9350</v>
      </c>
      <c r="F3431" t="s">
        <v>11</v>
      </c>
      <c r="G3431" t="s">
        <v>19</v>
      </c>
      <c r="J3431" s="9" t="s">
        <v>12118</v>
      </c>
      <c r="Q3431" s="10"/>
      <c r="T3431" s="9">
        <f>635-39</f>
        <v>596</v>
      </c>
      <c r="U3431" s="9">
        <f t="shared" ca="1" si="136"/>
        <v>39</v>
      </c>
      <c r="V3431" s="9">
        <f t="shared" ca="1" si="137"/>
        <v>635</v>
      </c>
    </row>
    <row r="3432" spans="1:33">
      <c r="A3432" s="3" t="s">
        <v>3548</v>
      </c>
      <c r="D3432" s="3" t="s">
        <v>9352</v>
      </c>
      <c r="E3432" s="3" t="s">
        <v>9353</v>
      </c>
      <c r="J3432" s="9" t="s">
        <v>12120</v>
      </c>
      <c r="Q3432" s="10"/>
      <c r="U3432" s="9" t="str">
        <f t="shared" ca="1" si="136"/>
        <v/>
      </c>
      <c r="V3432" s="9" t="str">
        <f t="shared" ca="1" si="137"/>
        <v/>
      </c>
      <c r="AG3432" s="9" t="s">
        <v>19</v>
      </c>
    </row>
    <row r="3433" spans="1:33">
      <c r="A3433" s="3" t="s">
        <v>3549</v>
      </c>
      <c r="D3433" s="3" t="s">
        <v>9354</v>
      </c>
      <c r="E3433" s="3" t="s">
        <v>9355</v>
      </c>
      <c r="J3433" s="9" t="s">
        <v>25</v>
      </c>
      <c r="L3433" s="9">
        <v>1</v>
      </c>
      <c r="M3433" s="9">
        <v>3</v>
      </c>
      <c r="N3433" s="9" t="s">
        <v>12087</v>
      </c>
      <c r="O3433" s="9" t="s">
        <v>12079</v>
      </c>
      <c r="Q3433" s="10"/>
      <c r="S3433" s="9">
        <v>356</v>
      </c>
      <c r="U3433" s="9" t="str">
        <f t="shared" ca="1" si="136"/>
        <v/>
      </c>
      <c r="V3433" s="9" t="str">
        <f t="shared" ca="1" si="137"/>
        <v/>
      </c>
      <c r="AG3433" s="9" t="s">
        <v>20</v>
      </c>
    </row>
    <row r="3434" spans="1:33" ht="29">
      <c r="A3434" s="3" t="s">
        <v>3550</v>
      </c>
      <c r="D3434" s="3" t="s">
        <v>9357</v>
      </c>
      <c r="E3434" s="3" t="s">
        <v>9356</v>
      </c>
      <c r="G3434" t="s">
        <v>19</v>
      </c>
      <c r="I3434" t="s">
        <v>12483</v>
      </c>
      <c r="J3434" s="9" t="s">
        <v>25</v>
      </c>
      <c r="L3434" s="9">
        <v>3</v>
      </c>
      <c r="M3434" s="9">
        <v>6</v>
      </c>
      <c r="O3434" s="9" t="s">
        <v>12079</v>
      </c>
      <c r="Q3434" s="10"/>
      <c r="S3434" s="9">
        <v>34</v>
      </c>
      <c r="U3434" s="9" t="str">
        <f t="shared" ca="1" si="136"/>
        <v/>
      </c>
      <c r="V3434" s="9" t="str">
        <f t="shared" ca="1" si="137"/>
        <v/>
      </c>
      <c r="AE3434" s="9" t="s">
        <v>12089</v>
      </c>
    </row>
    <row r="3435" spans="1:33">
      <c r="A3435" s="3" t="s">
        <v>3551</v>
      </c>
      <c r="D3435" s="3" t="s">
        <v>3552</v>
      </c>
      <c r="E3435" s="3" t="s">
        <v>3553</v>
      </c>
      <c r="J3435" s="9" t="s">
        <v>12118</v>
      </c>
      <c r="Q3435" s="10"/>
      <c r="T3435" s="9" t="s">
        <v>12131</v>
      </c>
      <c r="U3435" s="9" t="str">
        <f t="shared" ca="1" si="136"/>
        <v/>
      </c>
      <c r="V3435" s="9" t="str">
        <f t="shared" ca="1" si="137"/>
        <v/>
      </c>
      <c r="AC3435" s="9" t="s">
        <v>12180</v>
      </c>
      <c r="AD3435" s="9" t="s">
        <v>19</v>
      </c>
      <c r="AE3435" s="9" t="s">
        <v>12086</v>
      </c>
    </row>
    <row r="3436" spans="1:33" ht="29">
      <c r="A3436" s="3" t="s">
        <v>3554</v>
      </c>
      <c r="D3436" s="3" t="s">
        <v>9359</v>
      </c>
      <c r="E3436" s="3" t="s">
        <v>9358</v>
      </c>
      <c r="G3436" t="s">
        <v>19</v>
      </c>
      <c r="J3436" s="9" t="s">
        <v>12118</v>
      </c>
      <c r="Q3436" s="10"/>
      <c r="T3436" s="9" t="s">
        <v>12131</v>
      </c>
      <c r="U3436" s="9" t="str">
        <f t="shared" ca="1" si="136"/>
        <v/>
      </c>
      <c r="V3436" s="9" t="str">
        <f t="shared" ca="1" si="137"/>
        <v/>
      </c>
      <c r="AE3436" s="9" t="s">
        <v>12086</v>
      </c>
    </row>
    <row r="3437" spans="1:33">
      <c r="A3437" s="3" t="s">
        <v>3555</v>
      </c>
      <c r="D3437" s="3" t="s">
        <v>3135</v>
      </c>
      <c r="E3437" s="3" t="s">
        <v>1714</v>
      </c>
      <c r="J3437" s="9" t="s">
        <v>12118</v>
      </c>
      <c r="Q3437" s="10"/>
      <c r="T3437" s="9" t="s">
        <v>12131</v>
      </c>
      <c r="U3437" s="9" t="str">
        <f t="shared" ca="1" si="136"/>
        <v/>
      </c>
      <c r="V3437" s="9" t="str">
        <f t="shared" ca="1" si="137"/>
        <v/>
      </c>
      <c r="AC3437" s="9" t="s">
        <v>12130</v>
      </c>
      <c r="AD3437" s="9" t="s">
        <v>19</v>
      </c>
      <c r="AE3437" s="9" t="s">
        <v>12086</v>
      </c>
    </row>
    <row r="3438" spans="1:33">
      <c r="A3438" s="3" t="s">
        <v>3555</v>
      </c>
      <c r="D3438" s="3" t="s">
        <v>9361</v>
      </c>
      <c r="E3438" s="3" t="s">
        <v>9360</v>
      </c>
      <c r="G3438" t="s">
        <v>19</v>
      </c>
      <c r="J3438" s="9" t="s">
        <v>12120</v>
      </c>
      <c r="Q3438" s="10"/>
      <c r="U3438" s="9" t="str">
        <f t="shared" ca="1" si="136"/>
        <v/>
      </c>
      <c r="V3438" s="9" t="str">
        <f t="shared" ca="1" si="137"/>
        <v/>
      </c>
    </row>
    <row r="3439" spans="1:33">
      <c r="A3439" s="3" t="s">
        <v>3555</v>
      </c>
      <c r="D3439" s="3" t="s">
        <v>9362</v>
      </c>
      <c r="E3439" s="3" t="s">
        <v>9363</v>
      </c>
      <c r="J3439" s="9" t="s">
        <v>12120</v>
      </c>
      <c r="Q3439" s="10"/>
      <c r="U3439" s="9" t="str">
        <f t="shared" ca="1" si="136"/>
        <v/>
      </c>
      <c r="V3439" s="9" t="str">
        <f t="shared" ca="1" si="137"/>
        <v/>
      </c>
      <c r="AE3439" s="9" t="s">
        <v>12077</v>
      </c>
    </row>
    <row r="3440" spans="1:33">
      <c r="A3440" s="3" t="s">
        <v>3556</v>
      </c>
      <c r="D3440" s="3" t="s">
        <v>9364</v>
      </c>
      <c r="E3440" s="3" t="s">
        <v>9365</v>
      </c>
      <c r="J3440" s="9" t="s">
        <v>12120</v>
      </c>
      <c r="Q3440" s="10"/>
      <c r="U3440" s="9" t="str">
        <f t="shared" ca="1" si="136"/>
        <v/>
      </c>
      <c r="V3440" s="9" t="str">
        <f t="shared" ca="1" si="137"/>
        <v/>
      </c>
      <c r="AE3440" s="9" t="s">
        <v>12077</v>
      </c>
    </row>
    <row r="3441" spans="1:33">
      <c r="A3441" s="3" t="s">
        <v>3556</v>
      </c>
      <c r="D3441" s="3" t="s">
        <v>9366</v>
      </c>
      <c r="E3441" s="3" t="s">
        <v>9367</v>
      </c>
      <c r="J3441" s="9" t="s">
        <v>12120</v>
      </c>
      <c r="Q3441" s="10"/>
      <c r="U3441" s="9" t="str">
        <f t="shared" ca="1" si="136"/>
        <v/>
      </c>
      <c r="V3441" s="9" t="str">
        <f t="shared" ca="1" si="137"/>
        <v/>
      </c>
      <c r="AC3441" s="9" t="s">
        <v>12130</v>
      </c>
      <c r="AD3441" s="9" t="s">
        <v>19</v>
      </c>
    </row>
    <row r="3442" spans="1:33">
      <c r="A3442" s="3" t="s">
        <v>3557</v>
      </c>
      <c r="D3442" s="3" t="s">
        <v>9368</v>
      </c>
      <c r="E3442" s="3" t="s">
        <v>9369</v>
      </c>
      <c r="J3442" s="9" t="s">
        <v>12120</v>
      </c>
      <c r="Q3442" s="10"/>
      <c r="U3442" s="9" t="str">
        <f t="shared" ca="1" si="136"/>
        <v/>
      </c>
      <c r="V3442" s="9" t="str">
        <f t="shared" ca="1" si="137"/>
        <v/>
      </c>
      <c r="AG3442" s="9" t="s">
        <v>19</v>
      </c>
    </row>
    <row r="3443" spans="1:33">
      <c r="A3443" s="3" t="s">
        <v>3557</v>
      </c>
      <c r="D3443" s="3" t="s">
        <v>9370</v>
      </c>
      <c r="E3443" s="3" t="s">
        <v>9371</v>
      </c>
      <c r="J3443" s="9" t="s">
        <v>12118</v>
      </c>
      <c r="Q3443" s="10"/>
      <c r="T3443" s="9">
        <f>0-0</f>
        <v>0</v>
      </c>
      <c r="U3443" s="9">
        <f t="shared" ca="1" si="136"/>
        <v>0</v>
      </c>
      <c r="V3443" s="9">
        <f t="shared" ca="1" si="137"/>
        <v>0</v>
      </c>
      <c r="AC3443" s="9" t="s">
        <v>12153</v>
      </c>
      <c r="AD3443" s="9" t="s">
        <v>19</v>
      </c>
    </row>
    <row r="3444" spans="1:33">
      <c r="A3444" s="3" t="s">
        <v>3558</v>
      </c>
      <c r="D3444" s="5" t="s">
        <v>9373</v>
      </c>
      <c r="E3444" s="3" t="s">
        <v>9372</v>
      </c>
      <c r="F3444" t="s">
        <v>15</v>
      </c>
      <c r="Q3444" s="10"/>
      <c r="U3444" s="9" t="str">
        <f t="shared" ca="1" si="136"/>
        <v/>
      </c>
      <c r="V3444" s="9" t="str">
        <f t="shared" ca="1" si="137"/>
        <v/>
      </c>
    </row>
    <row r="3445" spans="1:33">
      <c r="A3445" s="3" t="s">
        <v>3559</v>
      </c>
      <c r="D3445" s="3" t="s">
        <v>3560</v>
      </c>
      <c r="E3445" s="3" t="s">
        <v>3560</v>
      </c>
      <c r="G3445" t="s">
        <v>20</v>
      </c>
      <c r="I3445" t="s">
        <v>9374</v>
      </c>
      <c r="Q3445" s="10"/>
      <c r="U3445" s="9" t="str">
        <f t="shared" ca="1" si="136"/>
        <v/>
      </c>
      <c r="V3445" s="9" t="str">
        <f t="shared" ca="1" si="137"/>
        <v/>
      </c>
    </row>
    <row r="3446" spans="1:33" ht="29">
      <c r="A3446" s="3" t="s">
        <v>3559</v>
      </c>
      <c r="D3446" s="3" t="s">
        <v>9376</v>
      </c>
      <c r="E3446" s="3" t="s">
        <v>9375</v>
      </c>
      <c r="F3446" t="s">
        <v>11</v>
      </c>
      <c r="G3446" t="s">
        <v>19</v>
      </c>
      <c r="Q3446" s="10"/>
      <c r="U3446" s="9" t="str">
        <f t="shared" ca="1" si="136"/>
        <v/>
      </c>
      <c r="V3446" s="9" t="str">
        <f t="shared" ca="1" si="137"/>
        <v/>
      </c>
    </row>
    <row r="3447" spans="1:33">
      <c r="A3447" s="3" t="s">
        <v>3559</v>
      </c>
      <c r="D3447" s="3" t="s">
        <v>9377</v>
      </c>
      <c r="E3447" s="3" t="s">
        <v>9378</v>
      </c>
      <c r="J3447" s="9" t="s">
        <v>12118</v>
      </c>
      <c r="Q3447" s="10"/>
      <c r="R3447" s="9" t="s">
        <v>12074</v>
      </c>
      <c r="T3447" s="9" t="s">
        <v>12131</v>
      </c>
      <c r="U3447" s="9" t="str">
        <f t="shared" ca="1" si="136"/>
        <v/>
      </c>
      <c r="V3447" s="9" t="str">
        <f t="shared" ca="1" si="137"/>
        <v/>
      </c>
      <c r="AE3447" s="9" t="s">
        <v>12077</v>
      </c>
    </row>
    <row r="3448" spans="1:33">
      <c r="A3448" s="3" t="s">
        <v>3561</v>
      </c>
      <c r="D3448" s="3" t="s">
        <v>9379</v>
      </c>
      <c r="E3448" s="3" t="s">
        <v>9380</v>
      </c>
      <c r="J3448" s="9" t="s">
        <v>12120</v>
      </c>
      <c r="Q3448" s="10"/>
      <c r="U3448" s="9" t="str">
        <f t="shared" ca="1" si="136"/>
        <v/>
      </c>
      <c r="V3448" s="9" t="str">
        <f t="shared" ca="1" si="137"/>
        <v/>
      </c>
      <c r="AG3448" s="9" t="s">
        <v>20</v>
      </c>
    </row>
    <row r="3449" spans="1:33">
      <c r="A3449" s="3" t="s">
        <v>3561</v>
      </c>
      <c r="D3449" s="3" t="s">
        <v>9382</v>
      </c>
      <c r="E3449" s="3" t="s">
        <v>9381</v>
      </c>
      <c r="G3449" t="s">
        <v>21</v>
      </c>
      <c r="I3449" t="s">
        <v>9383</v>
      </c>
      <c r="J3449" s="9" t="s">
        <v>12118</v>
      </c>
      <c r="Q3449" s="10"/>
      <c r="T3449" s="9" t="s">
        <v>12131</v>
      </c>
      <c r="U3449" s="9" t="str">
        <f t="shared" ca="1" si="136"/>
        <v/>
      </c>
      <c r="V3449" s="9" t="str">
        <f t="shared" ca="1" si="137"/>
        <v/>
      </c>
      <c r="AE3449" s="9" t="s">
        <v>12086</v>
      </c>
    </row>
    <row r="3450" spans="1:33">
      <c r="A3450" s="3" t="s">
        <v>3562</v>
      </c>
      <c r="D3450" s="3" t="s">
        <v>9385</v>
      </c>
      <c r="E3450" s="3" t="s">
        <v>9384</v>
      </c>
      <c r="J3450" s="9" t="s">
        <v>12120</v>
      </c>
      <c r="Q3450" s="10"/>
      <c r="U3450" s="9" t="str">
        <f t="shared" ca="1" si="136"/>
        <v/>
      </c>
      <c r="V3450" s="9" t="str">
        <f t="shared" ca="1" si="137"/>
        <v/>
      </c>
      <c r="AE3450" s="9" t="s">
        <v>12086</v>
      </c>
    </row>
    <row r="3451" spans="1:33">
      <c r="A3451" s="3" t="s">
        <v>3563</v>
      </c>
      <c r="D3451" s="3" t="s">
        <v>9386</v>
      </c>
      <c r="E3451" s="3" t="s">
        <v>9387</v>
      </c>
      <c r="J3451" s="9" t="s">
        <v>25</v>
      </c>
      <c r="L3451" s="9">
        <v>1</v>
      </c>
      <c r="M3451" s="9">
        <v>3</v>
      </c>
      <c r="N3451" s="9" t="s">
        <v>12094</v>
      </c>
      <c r="O3451" s="9" t="s">
        <v>12079</v>
      </c>
      <c r="Q3451" s="10"/>
      <c r="S3451" s="9">
        <v>1496</v>
      </c>
      <c r="U3451" s="9" t="str">
        <f t="shared" ca="1" si="136"/>
        <v/>
      </c>
      <c r="V3451" s="9" t="str">
        <f t="shared" ca="1" si="137"/>
        <v/>
      </c>
      <c r="AG3451" s="9" t="s">
        <v>20</v>
      </c>
    </row>
    <row r="3452" spans="1:33">
      <c r="A3452" s="3" t="s">
        <v>3564</v>
      </c>
      <c r="D3452" s="3" t="s">
        <v>12925</v>
      </c>
      <c r="E3452" s="3" t="s">
        <v>9388</v>
      </c>
      <c r="G3452" t="s">
        <v>19</v>
      </c>
      <c r="J3452" s="9" t="s">
        <v>25</v>
      </c>
      <c r="L3452" s="9">
        <v>1</v>
      </c>
      <c r="M3452" s="9">
        <v>2</v>
      </c>
      <c r="N3452" s="9" t="s">
        <v>12078</v>
      </c>
      <c r="O3452" s="9" t="s">
        <v>12119</v>
      </c>
      <c r="Q3452" s="10"/>
      <c r="R3452" s="9" t="s">
        <v>12074</v>
      </c>
      <c r="S3452" s="9">
        <v>11843</v>
      </c>
      <c r="U3452" s="9" t="str">
        <f t="shared" ca="1" si="136"/>
        <v/>
      </c>
      <c r="V3452" s="9" t="str">
        <f t="shared" ca="1" si="137"/>
        <v/>
      </c>
      <c r="AE3452" s="9" t="s">
        <v>12089</v>
      </c>
    </row>
    <row r="3453" spans="1:33">
      <c r="A3453" s="3" t="s">
        <v>3564</v>
      </c>
      <c r="D3453" s="3" t="s">
        <v>9390</v>
      </c>
      <c r="E3453" s="3" t="s">
        <v>9389</v>
      </c>
      <c r="G3453" t="s">
        <v>20</v>
      </c>
      <c r="I3453" t="s">
        <v>9391</v>
      </c>
      <c r="J3453" s="9" t="s">
        <v>25</v>
      </c>
      <c r="L3453" s="9">
        <v>1</v>
      </c>
      <c r="M3453" s="9">
        <v>5</v>
      </c>
      <c r="N3453" s="9" t="s">
        <v>12094</v>
      </c>
      <c r="O3453" s="9" t="s">
        <v>12079</v>
      </c>
      <c r="Q3453" s="10"/>
      <c r="S3453" s="9">
        <v>4240</v>
      </c>
      <c r="U3453" s="9" t="str">
        <f t="shared" ca="1" si="136"/>
        <v/>
      </c>
      <c r="V3453" s="9" t="str">
        <f t="shared" ca="1" si="137"/>
        <v/>
      </c>
      <c r="AG3453" s="9" t="s">
        <v>20</v>
      </c>
    </row>
    <row r="3454" spans="1:33">
      <c r="A3454" s="3" t="s">
        <v>3564</v>
      </c>
      <c r="D3454" s="3" t="s">
        <v>9393</v>
      </c>
      <c r="E3454" s="3" t="s">
        <v>9392</v>
      </c>
      <c r="G3454" t="s">
        <v>19</v>
      </c>
      <c r="J3454" s="9" t="s">
        <v>12120</v>
      </c>
      <c r="Q3454" s="10"/>
      <c r="U3454" s="9" t="str">
        <f t="shared" ca="1" si="136"/>
        <v/>
      </c>
      <c r="V3454" s="9" t="str">
        <f t="shared" ca="1" si="137"/>
        <v/>
      </c>
    </row>
    <row r="3455" spans="1:33">
      <c r="A3455" s="3" t="s">
        <v>3564</v>
      </c>
      <c r="D3455" s="3" t="s">
        <v>9395</v>
      </c>
      <c r="E3455" s="3" t="s">
        <v>9394</v>
      </c>
      <c r="G3455" t="s">
        <v>19</v>
      </c>
      <c r="J3455" s="9" t="s">
        <v>12120</v>
      </c>
      <c r="Q3455" s="10"/>
      <c r="U3455" s="9" t="str">
        <f t="shared" ca="1" si="136"/>
        <v/>
      </c>
      <c r="V3455" s="9" t="str">
        <f t="shared" ca="1" si="137"/>
        <v/>
      </c>
    </row>
    <row r="3456" spans="1:33" ht="29">
      <c r="A3456" s="3" t="s">
        <v>3564</v>
      </c>
      <c r="D3456" s="3" t="s">
        <v>9396</v>
      </c>
      <c r="E3456" s="3" t="s">
        <v>9396</v>
      </c>
      <c r="G3456" t="s">
        <v>20</v>
      </c>
      <c r="I3456" t="s">
        <v>9397</v>
      </c>
      <c r="Q3456" s="10"/>
      <c r="U3456" s="9" t="str">
        <f t="shared" ca="1" si="136"/>
        <v/>
      </c>
      <c r="V3456" s="9" t="str">
        <f t="shared" ca="1" si="137"/>
        <v/>
      </c>
    </row>
    <row r="3457" spans="1:33">
      <c r="A3457" s="3" t="s">
        <v>3565</v>
      </c>
      <c r="D3457" s="3" t="s">
        <v>9398</v>
      </c>
      <c r="E3457" s="3" t="s">
        <v>9399</v>
      </c>
      <c r="J3457" s="9" t="s">
        <v>12120</v>
      </c>
      <c r="Q3457" s="10"/>
      <c r="U3457" s="9" t="str">
        <f t="shared" ca="1" si="136"/>
        <v/>
      </c>
      <c r="V3457" s="9" t="str">
        <f t="shared" ca="1" si="137"/>
        <v/>
      </c>
      <c r="AC3457" s="9" t="s">
        <v>12188</v>
      </c>
      <c r="AD3457" s="9" t="s">
        <v>19</v>
      </c>
      <c r="AE3457" s="9" t="s">
        <v>12089</v>
      </c>
    </row>
    <row r="3458" spans="1:33">
      <c r="A3458" s="3" t="s">
        <v>3566</v>
      </c>
      <c r="D3458" s="3" t="s">
        <v>3567</v>
      </c>
      <c r="E3458" s="3" t="s">
        <v>3568</v>
      </c>
      <c r="G3458" t="s">
        <v>21</v>
      </c>
      <c r="I3458" t="s">
        <v>9400</v>
      </c>
      <c r="J3458" s="9" t="s">
        <v>12118</v>
      </c>
      <c r="Q3458" s="10"/>
      <c r="T3458" s="9" t="s">
        <v>12131</v>
      </c>
      <c r="U3458" s="9" t="str">
        <f t="shared" ca="1" si="136"/>
        <v/>
      </c>
      <c r="V3458" s="9" t="str">
        <f t="shared" ca="1" si="137"/>
        <v/>
      </c>
      <c r="AE3458" s="9" t="s">
        <v>12086</v>
      </c>
    </row>
    <row r="3459" spans="1:33" ht="29">
      <c r="A3459" s="3" t="s">
        <v>3569</v>
      </c>
      <c r="D3459" s="3" t="s">
        <v>9401</v>
      </c>
      <c r="E3459" s="3" t="s">
        <v>9402</v>
      </c>
      <c r="I3459" t="s">
        <v>5457</v>
      </c>
      <c r="J3459" s="9" t="s">
        <v>26</v>
      </c>
      <c r="Q3459" s="10"/>
      <c r="U3459" s="9" t="str">
        <f t="shared" ca="1" si="136"/>
        <v/>
      </c>
      <c r="V3459" s="9" t="str">
        <f t="shared" ca="1" si="137"/>
        <v/>
      </c>
      <c r="AG3459" s="9" t="s">
        <v>19</v>
      </c>
    </row>
    <row r="3460" spans="1:33">
      <c r="A3460" s="3" t="s">
        <v>3570</v>
      </c>
      <c r="D3460" s="3" t="s">
        <v>8908</v>
      </c>
      <c r="E3460" s="3" t="s">
        <v>9252</v>
      </c>
      <c r="J3460" s="9" t="s">
        <v>24</v>
      </c>
      <c r="L3460" s="9">
        <v>1</v>
      </c>
      <c r="M3460" s="9">
        <v>1</v>
      </c>
      <c r="N3460" s="9" t="s">
        <v>12078</v>
      </c>
      <c r="O3460" s="9" t="s">
        <v>12119</v>
      </c>
      <c r="Q3460" s="10"/>
      <c r="R3460" s="9" t="s">
        <v>12074</v>
      </c>
      <c r="S3460" s="9">
        <v>11843</v>
      </c>
      <c r="U3460" s="9" t="str">
        <f t="shared" ca="1" si="136"/>
        <v/>
      </c>
      <c r="V3460" s="9" t="str">
        <f t="shared" ca="1" si="137"/>
        <v/>
      </c>
      <c r="AG3460" s="9" t="s">
        <v>19</v>
      </c>
    </row>
    <row r="3461" spans="1:33">
      <c r="A3461" s="3" t="s">
        <v>3571</v>
      </c>
      <c r="D3461" s="3" t="s">
        <v>9403</v>
      </c>
      <c r="E3461" s="3" t="s">
        <v>9404</v>
      </c>
      <c r="J3461" s="9" t="s">
        <v>12118</v>
      </c>
      <c r="Q3461" s="10"/>
      <c r="R3461" s="9" t="s">
        <v>12074</v>
      </c>
      <c r="T3461" s="9" t="s">
        <v>12119</v>
      </c>
      <c r="U3461" s="9" t="str">
        <f t="shared" ca="1" si="136"/>
        <v/>
      </c>
      <c r="V3461" s="9" t="str">
        <f t="shared" ca="1" si="137"/>
        <v/>
      </c>
      <c r="AE3461" s="9" t="s">
        <v>12077</v>
      </c>
    </row>
    <row r="3462" spans="1:33">
      <c r="A3462" s="3" t="s">
        <v>3572</v>
      </c>
      <c r="D3462" s="3" t="s">
        <v>9406</v>
      </c>
      <c r="E3462" s="3" t="s">
        <v>9405</v>
      </c>
      <c r="G3462" t="s">
        <v>19</v>
      </c>
      <c r="J3462" s="9" t="s">
        <v>12120</v>
      </c>
      <c r="Q3462" s="10"/>
      <c r="U3462" s="9" t="str">
        <f t="shared" ca="1" si="136"/>
        <v/>
      </c>
      <c r="V3462" s="9" t="str">
        <f t="shared" ca="1" si="137"/>
        <v/>
      </c>
      <c r="AE3462" s="9" t="s">
        <v>12086</v>
      </c>
    </row>
    <row r="3463" spans="1:33">
      <c r="A3463" s="3" t="s">
        <v>3573</v>
      </c>
      <c r="D3463" s="3" t="s">
        <v>9407</v>
      </c>
      <c r="E3463" s="3" t="s">
        <v>9408</v>
      </c>
      <c r="J3463" s="9" t="s">
        <v>12120</v>
      </c>
      <c r="Q3463" s="10"/>
      <c r="U3463" s="9" t="str">
        <f t="shared" ca="1" si="136"/>
        <v/>
      </c>
      <c r="V3463" s="9" t="str">
        <f t="shared" ca="1" si="137"/>
        <v/>
      </c>
      <c r="AG3463" s="9" t="s">
        <v>19</v>
      </c>
    </row>
    <row r="3464" spans="1:33">
      <c r="A3464" s="3" t="s">
        <v>3574</v>
      </c>
      <c r="D3464" s="3" t="s">
        <v>3575</v>
      </c>
      <c r="E3464" s="3" t="s">
        <v>3576</v>
      </c>
      <c r="J3464" s="9" t="s">
        <v>12118</v>
      </c>
      <c r="Q3464" s="10"/>
      <c r="T3464" s="9" t="s">
        <v>12131</v>
      </c>
      <c r="U3464" s="9" t="str">
        <f t="shared" ca="1" si="136"/>
        <v/>
      </c>
      <c r="V3464" s="9" t="str">
        <f t="shared" ca="1" si="137"/>
        <v/>
      </c>
      <c r="AC3464" s="9" t="s">
        <v>12130</v>
      </c>
      <c r="AD3464" s="9" t="s">
        <v>19</v>
      </c>
      <c r="AE3464" s="9" t="s">
        <v>12086</v>
      </c>
    </row>
    <row r="3465" spans="1:33">
      <c r="A3465" s="3" t="s">
        <v>3577</v>
      </c>
      <c r="D3465" s="3" t="s">
        <v>9410</v>
      </c>
      <c r="E3465" s="3" t="s">
        <v>9409</v>
      </c>
      <c r="F3465" t="s">
        <v>11</v>
      </c>
      <c r="G3465" t="s">
        <v>19</v>
      </c>
      <c r="Q3465" s="10"/>
      <c r="U3465" s="9" t="str">
        <f t="shared" ca="1" si="136"/>
        <v/>
      </c>
      <c r="V3465" s="9" t="str">
        <f t="shared" ca="1" si="137"/>
        <v/>
      </c>
    </row>
    <row r="3466" spans="1:33" ht="29">
      <c r="A3466" s="3" t="s">
        <v>3578</v>
      </c>
      <c r="D3466" s="3" t="s">
        <v>9411</v>
      </c>
      <c r="E3466" s="3" t="s">
        <v>9412</v>
      </c>
      <c r="J3466" s="9" t="s">
        <v>25</v>
      </c>
      <c r="L3466" s="9">
        <v>1</v>
      </c>
      <c r="M3466" s="9">
        <v>6</v>
      </c>
      <c r="N3466" s="9" t="s">
        <v>12125</v>
      </c>
      <c r="O3466" s="9" t="s">
        <v>12073</v>
      </c>
      <c r="P3466" s="9" t="s">
        <v>12142</v>
      </c>
      <c r="Q3466" s="10" t="s">
        <v>12143</v>
      </c>
      <c r="S3466" s="9">
        <v>137</v>
      </c>
      <c r="U3466" s="9" t="str">
        <f t="shared" ca="1" si="136"/>
        <v/>
      </c>
      <c r="V3466" s="9" t="str">
        <f t="shared" ca="1" si="137"/>
        <v/>
      </c>
      <c r="AG3466" s="9" t="s">
        <v>19</v>
      </c>
    </row>
    <row r="3467" spans="1:33">
      <c r="A3467" s="3" t="s">
        <v>3579</v>
      </c>
      <c r="D3467" s="3" t="s">
        <v>9413</v>
      </c>
      <c r="E3467" s="3" t="s">
        <v>9414</v>
      </c>
      <c r="J3467" s="9" t="s">
        <v>12120</v>
      </c>
      <c r="Q3467" s="10"/>
      <c r="U3467" s="9" t="str">
        <f t="shared" ca="1" si="136"/>
        <v/>
      </c>
      <c r="V3467" s="9" t="str">
        <f t="shared" ca="1" si="137"/>
        <v/>
      </c>
      <c r="AB3467" s="9" t="s">
        <v>12738</v>
      </c>
      <c r="AD3467" s="9" t="s">
        <v>19</v>
      </c>
    </row>
    <row r="3468" spans="1:33" ht="29">
      <c r="A3468" s="3" t="s">
        <v>3579</v>
      </c>
      <c r="D3468" s="3" t="s">
        <v>9415</v>
      </c>
      <c r="E3468" s="3" t="s">
        <v>9416</v>
      </c>
      <c r="J3468" s="9" t="s">
        <v>25</v>
      </c>
      <c r="L3468" s="9">
        <v>1</v>
      </c>
      <c r="M3468" s="9">
        <v>8</v>
      </c>
      <c r="N3468" s="9" t="s">
        <v>12084</v>
      </c>
      <c r="O3468" s="9" t="s">
        <v>12079</v>
      </c>
      <c r="Q3468" s="10"/>
      <c r="S3468" s="9">
        <v>8</v>
      </c>
      <c r="U3468" s="9" t="str">
        <f t="shared" ca="1" si="136"/>
        <v/>
      </c>
      <c r="V3468" s="9" t="str">
        <f t="shared" ca="1" si="137"/>
        <v/>
      </c>
      <c r="AG3468" s="9" t="s">
        <v>20</v>
      </c>
    </row>
    <row r="3469" spans="1:33">
      <c r="A3469" s="3" t="s">
        <v>3580</v>
      </c>
      <c r="D3469" s="3" t="s">
        <v>3581</v>
      </c>
      <c r="E3469" s="3" t="s">
        <v>3582</v>
      </c>
      <c r="J3469" s="9" t="s">
        <v>12118</v>
      </c>
      <c r="Q3469" s="10"/>
      <c r="T3469" s="9" t="s">
        <v>12131</v>
      </c>
      <c r="U3469" s="9" t="str">
        <f t="shared" ca="1" si="136"/>
        <v/>
      </c>
      <c r="V3469" s="9" t="str">
        <f t="shared" ca="1" si="137"/>
        <v/>
      </c>
      <c r="AE3469" s="9" t="s">
        <v>12077</v>
      </c>
    </row>
    <row r="3470" spans="1:33" ht="130.5">
      <c r="A3470" s="3" t="s">
        <v>3583</v>
      </c>
      <c r="D3470" s="3" t="s">
        <v>12484</v>
      </c>
      <c r="E3470" s="3" t="s">
        <v>12485</v>
      </c>
      <c r="G3470" t="s">
        <v>19</v>
      </c>
      <c r="I3470" t="s">
        <v>12487</v>
      </c>
      <c r="J3470" s="9" t="s">
        <v>24</v>
      </c>
      <c r="L3470" s="9">
        <v>22</v>
      </c>
      <c r="M3470" s="9">
        <v>100</v>
      </c>
      <c r="O3470" s="9" t="s">
        <v>12073</v>
      </c>
      <c r="P3470" s="9" t="s">
        <v>12140</v>
      </c>
      <c r="Q3470" s="10" t="s">
        <v>12486</v>
      </c>
      <c r="S3470" s="9">
        <v>4</v>
      </c>
      <c r="U3470" s="9" t="str">
        <f t="shared" ca="1" si="136"/>
        <v/>
      </c>
      <c r="V3470" s="9" t="str">
        <f t="shared" ca="1" si="137"/>
        <v/>
      </c>
    </row>
    <row r="3471" spans="1:33">
      <c r="A3471" s="3" t="s">
        <v>3584</v>
      </c>
      <c r="D3471" s="11" t="s">
        <v>9418</v>
      </c>
      <c r="E3471" s="11" t="s">
        <v>9417</v>
      </c>
      <c r="G3471" t="s">
        <v>19</v>
      </c>
      <c r="J3471" s="9" t="s">
        <v>25</v>
      </c>
      <c r="L3471" s="9">
        <v>1</v>
      </c>
      <c r="M3471" s="9">
        <v>3</v>
      </c>
      <c r="N3471" s="9" t="s">
        <v>12087</v>
      </c>
      <c r="O3471" s="9" t="s">
        <v>12079</v>
      </c>
      <c r="Q3471" s="10"/>
      <c r="S3471" s="9">
        <v>431</v>
      </c>
      <c r="U3471" s="9" t="str">
        <f t="shared" ca="1" si="136"/>
        <v/>
      </c>
      <c r="V3471" s="9" t="str">
        <f t="shared" ca="1" si="137"/>
        <v/>
      </c>
    </row>
    <row r="3472" spans="1:33">
      <c r="A3472" s="3" t="s">
        <v>3584</v>
      </c>
      <c r="D3472" s="3" t="s">
        <v>9419</v>
      </c>
      <c r="E3472" s="3" t="s">
        <v>9420</v>
      </c>
      <c r="G3472" t="s">
        <v>19</v>
      </c>
      <c r="J3472" s="9" t="s">
        <v>24</v>
      </c>
      <c r="L3472" s="9">
        <v>1</v>
      </c>
      <c r="M3472" s="9">
        <v>2</v>
      </c>
      <c r="N3472" s="9" t="s">
        <v>12096</v>
      </c>
      <c r="O3472" s="9" t="s">
        <v>12119</v>
      </c>
      <c r="Q3472" s="10"/>
      <c r="S3472" s="9">
        <v>1294</v>
      </c>
      <c r="U3472" s="9" t="str">
        <f t="shared" ca="1" si="136"/>
        <v/>
      </c>
      <c r="V3472" s="9" t="str">
        <f t="shared" ca="1" si="137"/>
        <v/>
      </c>
    </row>
    <row r="3473" spans="1:33">
      <c r="A3473" s="3" t="s">
        <v>3584</v>
      </c>
      <c r="D3473" s="3" t="s">
        <v>9422</v>
      </c>
      <c r="E3473" s="3" t="s">
        <v>9421</v>
      </c>
      <c r="G3473" t="s">
        <v>19</v>
      </c>
      <c r="J3473" s="9" t="s">
        <v>24</v>
      </c>
      <c r="L3473" s="9">
        <v>1</v>
      </c>
      <c r="M3473" s="9">
        <v>5</v>
      </c>
      <c r="N3473" s="9" t="s">
        <v>12094</v>
      </c>
      <c r="O3473" s="9" t="s">
        <v>12073</v>
      </c>
      <c r="P3473" s="9" t="s">
        <v>12142</v>
      </c>
      <c r="Q3473" s="10" t="s">
        <v>12143</v>
      </c>
      <c r="S3473" s="9">
        <v>156</v>
      </c>
      <c r="U3473" s="9" t="str">
        <f t="shared" ref="U3473:U3536" ca="1" si="138">IF(ISNUMBER(T3473),VALUE(MID(_xlfn.FORMULATEXT(T3473),SEARCH("-",_xlfn.FORMULATEXT(T3473))+1,LEN(_xlfn.FORMULATEXT(T3473))-SEARCH("-",_xlfn.FORMULATEXT(T3473)))), "")</f>
        <v/>
      </c>
      <c r="V3473" s="9" t="str">
        <f t="shared" ref="V3473:V3536" ca="1" si="139">IF(ISNUMBER(T3473), VALUE(MID(_xlfn.FORMULATEXT(T3473), 2, SEARCH("-", _xlfn.FORMULATEXT(T3473)) - 2)), "")</f>
        <v/>
      </c>
    </row>
    <row r="3474" spans="1:33">
      <c r="A3474" s="3" t="s">
        <v>3585</v>
      </c>
      <c r="D3474" s="3" t="s">
        <v>9424</v>
      </c>
      <c r="E3474" s="3" t="s">
        <v>9423</v>
      </c>
      <c r="F3474" t="s">
        <v>11</v>
      </c>
      <c r="G3474" t="s">
        <v>19</v>
      </c>
      <c r="I3474" t="s">
        <v>9425</v>
      </c>
      <c r="Q3474" s="10"/>
      <c r="U3474" s="9" t="str">
        <f t="shared" ca="1" si="138"/>
        <v/>
      </c>
      <c r="V3474" s="9" t="str">
        <f t="shared" ca="1" si="139"/>
        <v/>
      </c>
    </row>
    <row r="3475" spans="1:33" ht="29">
      <c r="A3475" s="3" t="s">
        <v>3585</v>
      </c>
      <c r="D3475" s="6" t="s">
        <v>9427</v>
      </c>
      <c r="E3475" s="3" t="s">
        <v>9426</v>
      </c>
      <c r="F3475" t="s">
        <v>11</v>
      </c>
      <c r="G3475" t="s">
        <v>19</v>
      </c>
      <c r="I3475" t="s">
        <v>9428</v>
      </c>
      <c r="Q3475" s="10"/>
      <c r="U3475" s="9" t="str">
        <f t="shared" ca="1" si="138"/>
        <v/>
      </c>
      <c r="V3475" s="9" t="str">
        <f t="shared" ca="1" si="139"/>
        <v/>
      </c>
    </row>
    <row r="3476" spans="1:33">
      <c r="A3476" s="3" t="s">
        <v>3586</v>
      </c>
      <c r="D3476" s="3" t="s">
        <v>9429</v>
      </c>
      <c r="E3476" s="3" t="s">
        <v>9430</v>
      </c>
      <c r="J3476" s="9" t="s">
        <v>12120</v>
      </c>
      <c r="Q3476" s="10"/>
      <c r="U3476" s="9" t="str">
        <f t="shared" ca="1" si="138"/>
        <v/>
      </c>
      <c r="V3476" s="9" t="str">
        <f t="shared" ca="1" si="139"/>
        <v/>
      </c>
      <c r="AC3476" s="9" t="s">
        <v>12144</v>
      </c>
      <c r="AD3476" s="9" t="s">
        <v>19</v>
      </c>
    </row>
    <row r="3477" spans="1:33">
      <c r="A3477" s="3" t="s">
        <v>3586</v>
      </c>
      <c r="D3477" s="3" t="s">
        <v>3587</v>
      </c>
      <c r="E3477" s="3" t="s">
        <v>3588</v>
      </c>
      <c r="J3477" s="9" t="s">
        <v>12120</v>
      </c>
      <c r="Q3477" s="10"/>
      <c r="U3477" s="9" t="str">
        <f t="shared" ca="1" si="138"/>
        <v/>
      </c>
      <c r="V3477" s="9" t="str">
        <f t="shared" ca="1" si="139"/>
        <v/>
      </c>
      <c r="AG3477" s="9" t="s">
        <v>19</v>
      </c>
    </row>
    <row r="3478" spans="1:33" ht="29">
      <c r="A3478" s="3" t="s">
        <v>3586</v>
      </c>
      <c r="D3478" s="3" t="s">
        <v>9431</v>
      </c>
      <c r="E3478" s="3" t="s">
        <v>9432</v>
      </c>
      <c r="G3478" t="s">
        <v>21</v>
      </c>
      <c r="I3478" t="s">
        <v>9433</v>
      </c>
      <c r="J3478" s="9" t="s">
        <v>24</v>
      </c>
      <c r="L3478" s="9">
        <v>1</v>
      </c>
      <c r="M3478" s="9">
        <v>5</v>
      </c>
      <c r="N3478" s="9" t="s">
        <v>12094</v>
      </c>
      <c r="O3478" s="9" t="s">
        <v>12079</v>
      </c>
      <c r="Q3478" s="10"/>
      <c r="S3478" s="9">
        <v>1741</v>
      </c>
      <c r="U3478" s="9" t="str">
        <f t="shared" ca="1" si="138"/>
        <v/>
      </c>
      <c r="V3478" s="9" t="str">
        <f t="shared" ca="1" si="139"/>
        <v/>
      </c>
    </row>
    <row r="3479" spans="1:33">
      <c r="A3479" s="3" t="s">
        <v>3589</v>
      </c>
      <c r="D3479" s="3" t="s">
        <v>9434</v>
      </c>
      <c r="E3479" s="3" t="s">
        <v>9434</v>
      </c>
      <c r="G3479" t="s">
        <v>20</v>
      </c>
      <c r="I3479" t="s">
        <v>9435</v>
      </c>
      <c r="Q3479" s="10"/>
      <c r="U3479" s="9" t="str">
        <f t="shared" ca="1" si="138"/>
        <v/>
      </c>
      <c r="V3479" s="9" t="str">
        <f t="shared" ca="1" si="139"/>
        <v/>
      </c>
    </row>
    <row r="3480" spans="1:33" ht="29">
      <c r="A3480" s="3" t="s">
        <v>3590</v>
      </c>
      <c r="D3480" s="3" t="s">
        <v>9436</v>
      </c>
      <c r="E3480" s="3" t="s">
        <v>9436</v>
      </c>
      <c r="G3480" t="s">
        <v>20</v>
      </c>
      <c r="I3480" t="s">
        <v>9437</v>
      </c>
      <c r="Q3480" s="10"/>
      <c r="U3480" s="9" t="str">
        <f t="shared" ca="1" si="138"/>
        <v/>
      </c>
      <c r="V3480" s="9" t="str">
        <f t="shared" ca="1" si="139"/>
        <v/>
      </c>
    </row>
    <row r="3481" spans="1:33">
      <c r="A3481" s="3" t="s">
        <v>3591</v>
      </c>
      <c r="D3481" s="3" t="s">
        <v>9438</v>
      </c>
      <c r="E3481" s="3" t="s">
        <v>9439</v>
      </c>
      <c r="J3481" s="9" t="s">
        <v>12118</v>
      </c>
      <c r="Q3481" s="10"/>
      <c r="R3481" s="9" t="s">
        <v>12074</v>
      </c>
      <c r="T3481" s="9" t="s">
        <v>12119</v>
      </c>
      <c r="U3481" s="9" t="str">
        <f t="shared" ca="1" si="138"/>
        <v/>
      </c>
      <c r="V3481" s="9" t="str">
        <f t="shared" ca="1" si="139"/>
        <v/>
      </c>
      <c r="AE3481" s="9" t="s">
        <v>12077</v>
      </c>
    </row>
    <row r="3482" spans="1:33">
      <c r="A3482" s="3" t="s">
        <v>3591</v>
      </c>
      <c r="D3482" s="3" t="s">
        <v>9441</v>
      </c>
      <c r="E3482" s="3" t="s">
        <v>9440</v>
      </c>
      <c r="J3482" s="9" t="s">
        <v>12118</v>
      </c>
      <c r="Q3482" s="10"/>
      <c r="T3482" s="9">
        <f xml:space="preserve"> 65-1565</f>
        <v>-1500</v>
      </c>
      <c r="U3482" s="9">
        <f t="shared" ca="1" si="138"/>
        <v>1565</v>
      </c>
      <c r="V3482" s="9">
        <f t="shared" ca="1" si="139"/>
        <v>65</v>
      </c>
      <c r="AG3482" s="9" t="s">
        <v>19</v>
      </c>
    </row>
    <row r="3483" spans="1:33">
      <c r="A3483" s="3" t="s">
        <v>3592</v>
      </c>
      <c r="D3483" s="11" t="s">
        <v>9443</v>
      </c>
      <c r="E3483" s="11" t="s">
        <v>9442</v>
      </c>
      <c r="G3483" t="s">
        <v>19</v>
      </c>
      <c r="J3483" s="9" t="s">
        <v>24</v>
      </c>
      <c r="L3483" s="9">
        <v>1</v>
      </c>
      <c r="M3483" s="9">
        <v>3</v>
      </c>
      <c r="N3483" s="9" t="s">
        <v>12094</v>
      </c>
      <c r="O3483" s="9" t="s">
        <v>12079</v>
      </c>
      <c r="Q3483" s="10"/>
      <c r="S3483" s="9">
        <v>301</v>
      </c>
      <c r="U3483" s="9" t="str">
        <f t="shared" ca="1" si="138"/>
        <v/>
      </c>
      <c r="V3483" s="9" t="str">
        <f t="shared" ca="1" si="139"/>
        <v/>
      </c>
    </row>
    <row r="3484" spans="1:33">
      <c r="A3484" s="3" t="s">
        <v>3593</v>
      </c>
      <c r="D3484" s="3" t="s">
        <v>9444</v>
      </c>
      <c r="E3484" s="3" t="s">
        <v>9444</v>
      </c>
      <c r="G3484" t="s">
        <v>20</v>
      </c>
      <c r="I3484" t="s">
        <v>9445</v>
      </c>
      <c r="Q3484" s="10"/>
      <c r="U3484" s="9" t="str">
        <f t="shared" ca="1" si="138"/>
        <v/>
      </c>
      <c r="V3484" s="9" t="str">
        <f t="shared" ca="1" si="139"/>
        <v/>
      </c>
    </row>
    <row r="3485" spans="1:33">
      <c r="A3485" s="3" t="s">
        <v>3593</v>
      </c>
      <c r="D3485" s="3" t="s">
        <v>9446</v>
      </c>
      <c r="E3485" s="3" t="s">
        <v>9446</v>
      </c>
      <c r="G3485" t="s">
        <v>20</v>
      </c>
      <c r="Q3485" s="10"/>
      <c r="U3485" s="9" t="str">
        <f t="shared" ca="1" si="138"/>
        <v/>
      </c>
      <c r="V3485" s="9" t="str">
        <f t="shared" ca="1" si="139"/>
        <v/>
      </c>
    </row>
    <row r="3486" spans="1:33">
      <c r="A3486" s="3" t="s">
        <v>3594</v>
      </c>
      <c r="D3486" s="11" t="s">
        <v>9447</v>
      </c>
      <c r="E3486" s="11" t="s">
        <v>9447</v>
      </c>
      <c r="G3486" t="s">
        <v>20</v>
      </c>
      <c r="I3486" t="s">
        <v>9448</v>
      </c>
      <c r="Q3486" s="10"/>
      <c r="U3486" s="9" t="str">
        <f t="shared" ca="1" si="138"/>
        <v/>
      </c>
      <c r="V3486" s="9" t="str">
        <f t="shared" ca="1" si="139"/>
        <v/>
      </c>
    </row>
    <row r="3487" spans="1:33">
      <c r="A3487" s="3" t="s">
        <v>3595</v>
      </c>
      <c r="D3487" s="3" t="s">
        <v>8902</v>
      </c>
      <c r="E3487" s="3" t="s">
        <v>8903</v>
      </c>
      <c r="J3487" s="9" t="s">
        <v>12120</v>
      </c>
      <c r="Q3487" s="10"/>
      <c r="U3487" s="9" t="str">
        <f t="shared" ca="1" si="138"/>
        <v/>
      </c>
      <c r="V3487" s="9" t="str">
        <f t="shared" ca="1" si="139"/>
        <v/>
      </c>
      <c r="AB3487" s="9" t="s">
        <v>12737</v>
      </c>
      <c r="AD3487" s="9" t="s">
        <v>19</v>
      </c>
    </row>
    <row r="3488" spans="1:33">
      <c r="A3488" s="3" t="s">
        <v>3596</v>
      </c>
      <c r="D3488" s="3" t="s">
        <v>3597</v>
      </c>
      <c r="E3488" s="3" t="s">
        <v>3598</v>
      </c>
      <c r="J3488" s="9" t="s">
        <v>12118</v>
      </c>
      <c r="Q3488" s="10"/>
      <c r="T3488" s="9" t="s">
        <v>12131</v>
      </c>
      <c r="U3488" s="9" t="str">
        <f t="shared" ca="1" si="138"/>
        <v/>
      </c>
      <c r="V3488" s="9" t="str">
        <f t="shared" ca="1" si="139"/>
        <v/>
      </c>
      <c r="AC3488" s="9" t="s">
        <v>12130</v>
      </c>
      <c r="AD3488" s="9" t="s">
        <v>19</v>
      </c>
      <c r="AE3488" s="9" t="s">
        <v>12086</v>
      </c>
    </row>
    <row r="3489" spans="1:33" ht="29">
      <c r="A3489" s="3" t="s">
        <v>3599</v>
      </c>
      <c r="D3489" s="3" t="s">
        <v>9450</v>
      </c>
      <c r="E3489" s="3" t="s">
        <v>9449</v>
      </c>
      <c r="G3489" t="s">
        <v>21</v>
      </c>
      <c r="I3489" t="s">
        <v>9451</v>
      </c>
      <c r="J3489" s="9" t="s">
        <v>24</v>
      </c>
      <c r="L3489" s="9">
        <v>1</v>
      </c>
      <c r="M3489" s="9">
        <v>3</v>
      </c>
      <c r="N3489" s="9" t="s">
        <v>12123</v>
      </c>
      <c r="O3489" s="9" t="s">
        <v>12079</v>
      </c>
      <c r="Q3489" s="10"/>
      <c r="S3489" s="9">
        <v>887</v>
      </c>
      <c r="U3489" s="9" t="str">
        <f t="shared" ca="1" si="138"/>
        <v/>
      </c>
      <c r="V3489" s="9" t="str">
        <f t="shared" ca="1" si="139"/>
        <v/>
      </c>
    </row>
    <row r="3490" spans="1:33">
      <c r="A3490" s="3" t="s">
        <v>3600</v>
      </c>
      <c r="D3490" s="3" t="s">
        <v>9452</v>
      </c>
      <c r="E3490" s="3" t="s">
        <v>9452</v>
      </c>
      <c r="G3490" t="s">
        <v>20</v>
      </c>
      <c r="I3490" t="s">
        <v>9453</v>
      </c>
      <c r="Q3490" s="10"/>
      <c r="U3490" s="9" t="str">
        <f t="shared" ca="1" si="138"/>
        <v/>
      </c>
      <c r="V3490" s="9" t="str">
        <f t="shared" ca="1" si="139"/>
        <v/>
      </c>
    </row>
    <row r="3491" spans="1:33" ht="29">
      <c r="A3491" s="3" t="s">
        <v>3601</v>
      </c>
      <c r="D3491" s="3" t="s">
        <v>9454</v>
      </c>
      <c r="E3491" s="3" t="s">
        <v>9454</v>
      </c>
      <c r="G3491" t="s">
        <v>20</v>
      </c>
      <c r="I3491" t="s">
        <v>9455</v>
      </c>
      <c r="Q3491" s="10"/>
      <c r="U3491" s="9" t="str">
        <f t="shared" ca="1" si="138"/>
        <v/>
      </c>
      <c r="V3491" s="9" t="str">
        <f t="shared" ca="1" si="139"/>
        <v/>
      </c>
    </row>
    <row r="3492" spans="1:33">
      <c r="A3492" s="3" t="s">
        <v>3602</v>
      </c>
      <c r="D3492" s="3" t="s">
        <v>3603</v>
      </c>
      <c r="E3492" s="3" t="s">
        <v>3603</v>
      </c>
      <c r="G3492" t="s">
        <v>20</v>
      </c>
      <c r="I3492" t="s">
        <v>9456</v>
      </c>
      <c r="Q3492" s="10"/>
      <c r="U3492" s="9" t="str">
        <f t="shared" ca="1" si="138"/>
        <v/>
      </c>
      <c r="V3492" s="9" t="str">
        <f t="shared" ca="1" si="139"/>
        <v/>
      </c>
    </row>
    <row r="3493" spans="1:33">
      <c r="A3493" s="3" t="s">
        <v>3604</v>
      </c>
      <c r="D3493" s="3" t="s">
        <v>3603</v>
      </c>
      <c r="E3493" s="5" t="s">
        <v>3603</v>
      </c>
      <c r="F3493" t="s">
        <v>32</v>
      </c>
      <c r="G3493" t="s">
        <v>19</v>
      </c>
      <c r="I3493" t="s">
        <v>12711</v>
      </c>
      <c r="J3493" s="9" t="s">
        <v>12120</v>
      </c>
      <c r="Q3493" s="10"/>
      <c r="U3493" s="9" t="str">
        <f t="shared" ca="1" si="138"/>
        <v/>
      </c>
      <c r="V3493" s="9" t="str">
        <f t="shared" ca="1" si="139"/>
        <v/>
      </c>
      <c r="W3493" s="9" t="s">
        <v>12117</v>
      </c>
    </row>
    <row r="3494" spans="1:33" ht="29">
      <c r="A3494" s="3" t="s">
        <v>3604</v>
      </c>
      <c r="D3494" s="3" t="s">
        <v>9457</v>
      </c>
      <c r="E3494" s="3" t="s">
        <v>9457</v>
      </c>
      <c r="G3494" t="s">
        <v>20</v>
      </c>
      <c r="I3494" t="s">
        <v>9458</v>
      </c>
      <c r="Q3494" s="10"/>
      <c r="U3494" s="9" t="str">
        <f t="shared" ca="1" si="138"/>
        <v/>
      </c>
      <c r="V3494" s="9" t="str">
        <f t="shared" ca="1" si="139"/>
        <v/>
      </c>
    </row>
    <row r="3495" spans="1:33" ht="29">
      <c r="A3495" s="3" t="s">
        <v>3605</v>
      </c>
      <c r="D3495" s="3" t="s">
        <v>9459</v>
      </c>
      <c r="E3495" s="3" t="s">
        <v>9460</v>
      </c>
      <c r="I3495" t="s">
        <v>12488</v>
      </c>
      <c r="J3495" s="9" t="s">
        <v>26</v>
      </c>
      <c r="Q3495" s="10"/>
      <c r="U3495" s="9" t="str">
        <f t="shared" ca="1" si="138"/>
        <v/>
      </c>
      <c r="V3495" s="9" t="str">
        <f t="shared" ca="1" si="139"/>
        <v/>
      </c>
      <c r="AG3495" s="9" t="s">
        <v>19</v>
      </c>
    </row>
    <row r="3496" spans="1:33">
      <c r="A3496" s="3" t="s">
        <v>3606</v>
      </c>
      <c r="D3496" s="3" t="s">
        <v>9462</v>
      </c>
      <c r="E3496" s="3" t="s">
        <v>9461</v>
      </c>
      <c r="G3496" t="s">
        <v>19</v>
      </c>
      <c r="J3496" s="9" t="s">
        <v>12120</v>
      </c>
      <c r="Q3496" s="10"/>
      <c r="U3496" s="9" t="str">
        <f t="shared" ca="1" si="138"/>
        <v/>
      </c>
      <c r="V3496" s="9" t="str">
        <f t="shared" ca="1" si="139"/>
        <v/>
      </c>
      <c r="AE3496" s="9" t="s">
        <v>12089</v>
      </c>
    </row>
    <row r="3497" spans="1:33">
      <c r="A3497" s="3" t="s">
        <v>3606</v>
      </c>
      <c r="D3497" s="3" t="s">
        <v>9463</v>
      </c>
      <c r="E3497" s="3" t="s">
        <v>9464</v>
      </c>
      <c r="J3497" s="9" t="s">
        <v>12120</v>
      </c>
      <c r="Q3497" s="10"/>
      <c r="U3497" s="9" t="str">
        <f t="shared" ca="1" si="138"/>
        <v/>
      </c>
      <c r="V3497" s="9" t="str">
        <f t="shared" ca="1" si="139"/>
        <v/>
      </c>
      <c r="AC3497" s="9" t="s">
        <v>12128</v>
      </c>
      <c r="AD3497" s="9" t="s">
        <v>19</v>
      </c>
      <c r="AE3497" s="9" t="s">
        <v>12089</v>
      </c>
    </row>
    <row r="3498" spans="1:33">
      <c r="A3498" s="3" t="s">
        <v>3607</v>
      </c>
      <c r="D3498" s="3" t="s">
        <v>9466</v>
      </c>
      <c r="E3498" s="3" t="s">
        <v>9465</v>
      </c>
      <c r="G3498" t="s">
        <v>19</v>
      </c>
      <c r="J3498" s="9" t="s">
        <v>24</v>
      </c>
      <c r="L3498" s="9">
        <v>1</v>
      </c>
      <c r="M3498" s="9">
        <v>4</v>
      </c>
      <c r="N3498" s="9" t="s">
        <v>12087</v>
      </c>
      <c r="O3498" s="9" t="s">
        <v>12079</v>
      </c>
      <c r="Q3498" s="10"/>
      <c r="S3498" s="9">
        <v>249</v>
      </c>
      <c r="U3498" s="9" t="str">
        <f t="shared" ca="1" si="138"/>
        <v/>
      </c>
      <c r="V3498" s="9" t="str">
        <f t="shared" ca="1" si="139"/>
        <v/>
      </c>
    </row>
    <row r="3499" spans="1:33">
      <c r="A3499" s="3" t="s">
        <v>3607</v>
      </c>
      <c r="D3499" s="3" t="s">
        <v>9467</v>
      </c>
      <c r="E3499" s="3" t="s">
        <v>9468</v>
      </c>
      <c r="G3499" t="s">
        <v>19</v>
      </c>
      <c r="J3499" s="9" t="s">
        <v>12120</v>
      </c>
      <c r="Q3499" s="10"/>
      <c r="U3499" s="9" t="str">
        <f t="shared" ca="1" si="138"/>
        <v/>
      </c>
      <c r="V3499" s="9" t="str">
        <f t="shared" ca="1" si="139"/>
        <v/>
      </c>
      <c r="AE3499" s="9" t="s">
        <v>12086</v>
      </c>
    </row>
    <row r="3500" spans="1:33">
      <c r="A3500" s="3" t="s">
        <v>3608</v>
      </c>
      <c r="D3500" s="3" t="s">
        <v>284</v>
      </c>
      <c r="E3500" s="3" t="s">
        <v>3609</v>
      </c>
      <c r="J3500" s="9" t="s">
        <v>12118</v>
      </c>
      <c r="Q3500" s="10"/>
      <c r="T3500" s="9" t="s">
        <v>12131</v>
      </c>
      <c r="U3500" s="9" t="str">
        <f t="shared" ca="1" si="138"/>
        <v/>
      </c>
      <c r="V3500" s="9" t="str">
        <f t="shared" ca="1" si="139"/>
        <v/>
      </c>
      <c r="AC3500" s="9" t="s">
        <v>12130</v>
      </c>
      <c r="AD3500" s="9" t="s">
        <v>19</v>
      </c>
      <c r="AE3500" s="9" t="s">
        <v>12086</v>
      </c>
    </row>
    <row r="3501" spans="1:33">
      <c r="A3501" s="3" t="s">
        <v>3610</v>
      </c>
      <c r="D3501" s="3" t="s">
        <v>9470</v>
      </c>
      <c r="E3501" s="3" t="s">
        <v>9469</v>
      </c>
      <c r="J3501" s="9" t="s">
        <v>24</v>
      </c>
      <c r="L3501" s="9">
        <v>1</v>
      </c>
      <c r="M3501" s="9">
        <v>3</v>
      </c>
      <c r="N3501" s="9" t="s">
        <v>12094</v>
      </c>
      <c r="O3501" s="9" t="s">
        <v>12079</v>
      </c>
      <c r="Q3501" s="10"/>
      <c r="S3501" s="9">
        <v>1496</v>
      </c>
      <c r="U3501" s="9" t="str">
        <f t="shared" ca="1" si="138"/>
        <v/>
      </c>
      <c r="V3501" s="9" t="str">
        <f t="shared" ca="1" si="139"/>
        <v/>
      </c>
      <c r="AG3501" s="9" t="s">
        <v>19</v>
      </c>
    </row>
    <row r="3502" spans="1:33">
      <c r="A3502" s="3" t="s">
        <v>3611</v>
      </c>
      <c r="D3502" s="3" t="s">
        <v>9472</v>
      </c>
      <c r="E3502" s="3" t="s">
        <v>9473</v>
      </c>
      <c r="G3502" t="s">
        <v>19</v>
      </c>
      <c r="J3502" s="9" t="s">
        <v>12120</v>
      </c>
      <c r="Q3502" s="10"/>
      <c r="U3502" s="9" t="str">
        <f t="shared" ca="1" si="138"/>
        <v/>
      </c>
      <c r="V3502" s="9" t="str">
        <f t="shared" ca="1" si="139"/>
        <v/>
      </c>
      <c r="AB3502" s="9" t="s">
        <v>12737</v>
      </c>
      <c r="AD3502" s="9" t="s">
        <v>19</v>
      </c>
    </row>
    <row r="3503" spans="1:33">
      <c r="A3503" s="3" t="s">
        <v>3611</v>
      </c>
      <c r="D3503" s="3" t="s">
        <v>9471</v>
      </c>
      <c r="E3503" s="3" t="s">
        <v>9474</v>
      </c>
      <c r="J3503" s="9" t="s">
        <v>24</v>
      </c>
      <c r="L3503" s="9">
        <v>1</v>
      </c>
      <c r="M3503" s="9">
        <v>2</v>
      </c>
      <c r="N3503" s="9" t="s">
        <v>12123</v>
      </c>
      <c r="O3503" s="9" t="s">
        <v>12119</v>
      </c>
      <c r="Q3503" s="10"/>
      <c r="S3503" s="9">
        <v>134</v>
      </c>
      <c r="U3503" s="9" t="str">
        <f t="shared" ca="1" si="138"/>
        <v/>
      </c>
      <c r="V3503" s="9" t="str">
        <f t="shared" ca="1" si="139"/>
        <v/>
      </c>
      <c r="AG3503" s="9" t="s">
        <v>19</v>
      </c>
    </row>
    <row r="3504" spans="1:33">
      <c r="A3504" s="3" t="s">
        <v>3612</v>
      </c>
      <c r="D3504" s="3" t="s">
        <v>9476</v>
      </c>
      <c r="E3504" s="3" t="s">
        <v>9475</v>
      </c>
      <c r="J3504" s="9" t="s">
        <v>25</v>
      </c>
      <c r="L3504" s="9">
        <v>1</v>
      </c>
      <c r="M3504" s="9">
        <v>1</v>
      </c>
      <c r="N3504" s="9" t="s">
        <v>12078</v>
      </c>
      <c r="O3504" s="9" t="s">
        <v>12119</v>
      </c>
      <c r="Q3504" s="10"/>
      <c r="S3504" s="9">
        <v>11843</v>
      </c>
      <c r="U3504" s="9" t="str">
        <f t="shared" ca="1" si="138"/>
        <v/>
      </c>
      <c r="V3504" s="9" t="str">
        <f t="shared" ca="1" si="139"/>
        <v/>
      </c>
      <c r="AG3504" s="9" t="s">
        <v>20</v>
      </c>
    </row>
    <row r="3505" spans="1:33">
      <c r="A3505" s="3" t="s">
        <v>3612</v>
      </c>
      <c r="D3505" s="3" t="s">
        <v>9477</v>
      </c>
      <c r="E3505" s="3" t="s">
        <v>9478</v>
      </c>
      <c r="J3505" s="9" t="s">
        <v>12118</v>
      </c>
      <c r="Q3505" s="10"/>
      <c r="T3505" s="9">
        <f xml:space="preserve"> 887-27</f>
        <v>860</v>
      </c>
      <c r="U3505" s="9">
        <f t="shared" ca="1" si="138"/>
        <v>27</v>
      </c>
      <c r="V3505" s="9">
        <f t="shared" ca="1" si="139"/>
        <v>887</v>
      </c>
      <c r="AG3505" s="9" t="s">
        <v>20</v>
      </c>
    </row>
    <row r="3506" spans="1:33" ht="43.5">
      <c r="A3506" s="3" t="s">
        <v>3613</v>
      </c>
      <c r="D3506" s="3" t="s">
        <v>9479</v>
      </c>
      <c r="E3506" s="3" t="s">
        <v>12489</v>
      </c>
      <c r="F3506" t="s">
        <v>12</v>
      </c>
      <c r="G3506" t="s">
        <v>19</v>
      </c>
      <c r="J3506" s="9" t="s">
        <v>24</v>
      </c>
      <c r="L3506" s="9">
        <v>2</v>
      </c>
      <c r="M3506" s="9">
        <v>9</v>
      </c>
      <c r="O3506" s="9" t="s">
        <v>12079</v>
      </c>
      <c r="Q3506" s="10"/>
      <c r="S3506" s="9">
        <v>356</v>
      </c>
      <c r="U3506" s="9" t="str">
        <f t="shared" ca="1" si="138"/>
        <v/>
      </c>
      <c r="V3506" s="9" t="str">
        <f t="shared" ca="1" si="139"/>
        <v/>
      </c>
    </row>
    <row r="3507" spans="1:33" ht="43.5">
      <c r="A3507" s="3" t="s">
        <v>3613</v>
      </c>
      <c r="D3507" s="3" t="s">
        <v>12490</v>
      </c>
      <c r="E3507" s="3" t="s">
        <v>12492</v>
      </c>
      <c r="I3507" t="s">
        <v>12192</v>
      </c>
      <c r="J3507" s="9" t="s">
        <v>26</v>
      </c>
      <c r="Q3507" s="10"/>
      <c r="U3507" s="9" t="str">
        <f t="shared" ca="1" si="138"/>
        <v/>
      </c>
      <c r="V3507" s="9" t="str">
        <f t="shared" ca="1" si="139"/>
        <v/>
      </c>
      <c r="AG3507" s="9" t="s">
        <v>19</v>
      </c>
    </row>
    <row r="3508" spans="1:33" ht="43.5">
      <c r="A3508" s="3" t="s">
        <v>3613</v>
      </c>
      <c r="D3508" s="3" t="s">
        <v>9479</v>
      </c>
      <c r="E3508" s="3" t="s">
        <v>12491</v>
      </c>
      <c r="J3508" s="9" t="s">
        <v>24</v>
      </c>
      <c r="L3508" s="9">
        <v>2</v>
      </c>
      <c r="M3508" s="9">
        <v>6</v>
      </c>
      <c r="O3508" s="9" t="s">
        <v>12079</v>
      </c>
      <c r="Q3508" s="10"/>
      <c r="S3508" s="9">
        <v>2042</v>
      </c>
      <c r="U3508" s="9" t="str">
        <f t="shared" ca="1" si="138"/>
        <v/>
      </c>
      <c r="V3508" s="9" t="str">
        <f t="shared" ca="1" si="139"/>
        <v/>
      </c>
      <c r="AG3508" s="9" t="s">
        <v>19</v>
      </c>
    </row>
    <row r="3509" spans="1:33" ht="29">
      <c r="A3509" s="3" t="s">
        <v>3614</v>
      </c>
      <c r="D3509" s="3" t="s">
        <v>9481</v>
      </c>
      <c r="E3509" s="3" t="s">
        <v>9482</v>
      </c>
      <c r="J3509" s="9" t="s">
        <v>24</v>
      </c>
      <c r="L3509" s="9">
        <v>1</v>
      </c>
      <c r="M3509" s="9">
        <v>3</v>
      </c>
      <c r="N3509" s="9" t="s">
        <v>12087</v>
      </c>
      <c r="O3509" s="9" t="s">
        <v>12079</v>
      </c>
      <c r="Q3509" s="10"/>
      <c r="S3509" s="9">
        <v>356</v>
      </c>
      <c r="U3509" s="9" t="str">
        <f t="shared" ca="1" si="138"/>
        <v/>
      </c>
      <c r="V3509" s="9" t="str">
        <f t="shared" ca="1" si="139"/>
        <v/>
      </c>
      <c r="AG3509" s="9" t="s">
        <v>19</v>
      </c>
    </row>
    <row r="3510" spans="1:33" ht="29">
      <c r="A3510" s="3" t="s">
        <v>3614</v>
      </c>
      <c r="D3510" s="3" t="s">
        <v>12493</v>
      </c>
      <c r="E3510" s="3" t="s">
        <v>9480</v>
      </c>
      <c r="G3510" t="s">
        <v>19</v>
      </c>
      <c r="J3510" s="9" t="s">
        <v>24</v>
      </c>
      <c r="L3510" s="9">
        <v>1</v>
      </c>
      <c r="M3510" s="9">
        <v>3</v>
      </c>
      <c r="N3510" s="9" t="s">
        <v>12087</v>
      </c>
      <c r="O3510" s="9" t="s">
        <v>12073</v>
      </c>
      <c r="P3510" s="9" t="s">
        <v>12142</v>
      </c>
      <c r="Q3510" s="10" t="s">
        <v>12143</v>
      </c>
      <c r="R3510" s="9" t="s">
        <v>12074</v>
      </c>
      <c r="S3510" s="9">
        <v>810</v>
      </c>
      <c r="U3510" s="9" t="str">
        <f t="shared" ca="1" si="138"/>
        <v/>
      </c>
      <c r="V3510" s="9" t="str">
        <f t="shared" ca="1" si="139"/>
        <v/>
      </c>
      <c r="AE3510" s="9" t="s">
        <v>12089</v>
      </c>
    </row>
    <row r="3511" spans="1:33" ht="29">
      <c r="A3511" s="3" t="s">
        <v>3615</v>
      </c>
      <c r="D3511" s="3" t="s">
        <v>9483</v>
      </c>
      <c r="E3511" s="3" t="s">
        <v>9484</v>
      </c>
      <c r="J3511" s="9" t="s">
        <v>24</v>
      </c>
      <c r="L3511" s="9">
        <v>1</v>
      </c>
      <c r="M3511" s="9">
        <v>6</v>
      </c>
      <c r="N3511" s="9" t="s">
        <v>12092</v>
      </c>
      <c r="O3511" s="9" t="s">
        <v>12073</v>
      </c>
      <c r="P3511" s="9" t="s">
        <v>12142</v>
      </c>
      <c r="Q3511" s="10" t="s">
        <v>12158</v>
      </c>
      <c r="R3511" s="9" t="s">
        <v>12074</v>
      </c>
      <c r="S3511" s="9">
        <v>94</v>
      </c>
      <c r="U3511" s="9" t="str">
        <f t="shared" ca="1" si="138"/>
        <v/>
      </c>
      <c r="V3511" s="9" t="str">
        <f t="shared" ca="1" si="139"/>
        <v/>
      </c>
      <c r="AE3511" s="9" t="s">
        <v>12083</v>
      </c>
    </row>
    <row r="3512" spans="1:33">
      <c r="A3512" s="3" t="s">
        <v>3615</v>
      </c>
      <c r="D3512" s="3" t="s">
        <v>9485</v>
      </c>
      <c r="E3512" s="3" t="s">
        <v>9486</v>
      </c>
      <c r="J3512" s="9" t="s">
        <v>12120</v>
      </c>
      <c r="Q3512" s="10"/>
      <c r="U3512" s="9" t="str">
        <f t="shared" ca="1" si="138"/>
        <v/>
      </c>
      <c r="V3512" s="9" t="str">
        <f t="shared" ca="1" si="139"/>
        <v/>
      </c>
      <c r="AB3512" s="9" t="s">
        <v>12737</v>
      </c>
      <c r="AD3512" s="9" t="s">
        <v>19</v>
      </c>
    </row>
    <row r="3513" spans="1:33">
      <c r="A3513" s="3" t="s">
        <v>3616</v>
      </c>
      <c r="D3513" s="3" t="s">
        <v>3617</v>
      </c>
      <c r="E3513" s="3" t="s">
        <v>9487</v>
      </c>
      <c r="G3513" t="s">
        <v>19</v>
      </c>
      <c r="J3513" s="9" t="s">
        <v>12120</v>
      </c>
      <c r="Q3513" s="10"/>
      <c r="U3513" s="9" t="str">
        <f t="shared" ca="1" si="138"/>
        <v/>
      </c>
      <c r="V3513" s="9" t="str">
        <f t="shared" ca="1" si="139"/>
        <v/>
      </c>
    </row>
    <row r="3514" spans="1:33">
      <c r="A3514" s="3" t="s">
        <v>3618</v>
      </c>
      <c r="D3514" s="3" t="s">
        <v>9489</v>
      </c>
      <c r="E3514" s="3" t="s">
        <v>9488</v>
      </c>
      <c r="G3514" t="s">
        <v>19</v>
      </c>
      <c r="J3514" s="9" t="s">
        <v>24</v>
      </c>
      <c r="L3514" s="9">
        <v>1</v>
      </c>
      <c r="M3514" s="9">
        <v>3</v>
      </c>
      <c r="N3514" s="9" t="s">
        <v>12087</v>
      </c>
      <c r="O3514" s="9" t="s">
        <v>12079</v>
      </c>
      <c r="Q3514" s="10"/>
      <c r="S3514" s="9">
        <v>810</v>
      </c>
      <c r="U3514" s="9" t="str">
        <f t="shared" ca="1" si="138"/>
        <v/>
      </c>
      <c r="V3514" s="9" t="str">
        <f t="shared" ca="1" si="139"/>
        <v/>
      </c>
    </row>
    <row r="3515" spans="1:33">
      <c r="A3515" s="3" t="s">
        <v>3618</v>
      </c>
      <c r="D3515" s="3" t="s">
        <v>3619</v>
      </c>
      <c r="E3515" s="3" t="s">
        <v>632</v>
      </c>
      <c r="J3515" s="9" t="s">
        <v>12120</v>
      </c>
      <c r="Q3515" s="10"/>
      <c r="U3515" s="9" t="str">
        <f t="shared" ca="1" si="138"/>
        <v/>
      </c>
      <c r="V3515" s="9" t="str">
        <f t="shared" ca="1" si="139"/>
        <v/>
      </c>
      <c r="AC3515" s="9" t="s">
        <v>12144</v>
      </c>
      <c r="AD3515" s="9" t="s">
        <v>19</v>
      </c>
    </row>
    <row r="3516" spans="1:33">
      <c r="A3516" s="3" t="s">
        <v>3620</v>
      </c>
      <c r="D3516" s="3" t="s">
        <v>9491</v>
      </c>
      <c r="E3516" s="3" t="s">
        <v>9490</v>
      </c>
      <c r="G3516" t="s">
        <v>19</v>
      </c>
      <c r="J3516" s="9" t="s">
        <v>24</v>
      </c>
      <c r="L3516" s="9">
        <v>1</v>
      </c>
      <c r="M3516" s="9">
        <v>3</v>
      </c>
      <c r="N3516" s="9" t="s">
        <v>12087</v>
      </c>
      <c r="O3516" s="9" t="s">
        <v>12079</v>
      </c>
      <c r="Q3516" s="10"/>
      <c r="S3516" s="9">
        <v>249</v>
      </c>
      <c r="U3516" s="9" t="str">
        <f t="shared" ca="1" si="138"/>
        <v/>
      </c>
      <c r="V3516" s="9" t="str">
        <f t="shared" ca="1" si="139"/>
        <v/>
      </c>
    </row>
    <row r="3517" spans="1:33" ht="29">
      <c r="A3517" s="3" t="s">
        <v>3621</v>
      </c>
      <c r="D3517" s="3" t="s">
        <v>9493</v>
      </c>
      <c r="E3517" s="3" t="s">
        <v>9492</v>
      </c>
      <c r="J3517" s="9" t="s">
        <v>12118</v>
      </c>
      <c r="Q3517" s="10"/>
      <c r="T3517" s="9">
        <f>472-308</f>
        <v>164</v>
      </c>
      <c r="U3517" s="9">
        <f t="shared" ca="1" si="138"/>
        <v>308</v>
      </c>
      <c r="V3517" s="9">
        <f t="shared" ca="1" si="139"/>
        <v>472</v>
      </c>
      <c r="AG3517" s="9" t="s">
        <v>19</v>
      </c>
    </row>
    <row r="3518" spans="1:33">
      <c r="A3518" s="3" t="s">
        <v>3622</v>
      </c>
      <c r="D3518" s="3" t="s">
        <v>9495</v>
      </c>
      <c r="E3518" s="3" t="s">
        <v>9494</v>
      </c>
      <c r="G3518" t="s">
        <v>19</v>
      </c>
      <c r="J3518" s="9" t="s">
        <v>24</v>
      </c>
      <c r="L3518" s="9">
        <v>1</v>
      </c>
      <c r="M3518" s="9">
        <v>3</v>
      </c>
      <c r="N3518" s="9" t="s">
        <v>12084</v>
      </c>
      <c r="O3518" s="9" t="s">
        <v>12079</v>
      </c>
      <c r="Q3518" s="10"/>
      <c r="S3518" s="9">
        <v>75</v>
      </c>
      <c r="U3518" s="9" t="str">
        <f t="shared" ca="1" si="138"/>
        <v/>
      </c>
      <c r="V3518" s="9" t="str">
        <f t="shared" ca="1" si="139"/>
        <v/>
      </c>
    </row>
    <row r="3519" spans="1:33">
      <c r="A3519" s="3" t="s">
        <v>3622</v>
      </c>
      <c r="D3519" s="3" t="s">
        <v>9497</v>
      </c>
      <c r="E3519" s="3" t="s">
        <v>9496</v>
      </c>
      <c r="G3519" t="s">
        <v>19</v>
      </c>
      <c r="J3519" s="9" t="s">
        <v>12118</v>
      </c>
      <c r="Q3519" s="10"/>
      <c r="T3519" s="9">
        <f>1101-635</f>
        <v>466</v>
      </c>
      <c r="U3519" s="9">
        <f t="shared" ca="1" si="138"/>
        <v>635</v>
      </c>
      <c r="V3519" s="9">
        <f t="shared" ca="1" si="139"/>
        <v>1101</v>
      </c>
      <c r="AC3519" s="9" t="s">
        <v>12134</v>
      </c>
      <c r="AD3519" s="9" t="s">
        <v>19</v>
      </c>
      <c r="AE3519" s="9" t="s">
        <v>12089</v>
      </c>
    </row>
    <row r="3520" spans="1:33">
      <c r="A3520" s="3" t="s">
        <v>3623</v>
      </c>
      <c r="D3520" s="3" t="s">
        <v>1091</v>
      </c>
      <c r="E3520" s="3" t="s">
        <v>1113</v>
      </c>
      <c r="J3520" s="9" t="s">
        <v>12120</v>
      </c>
      <c r="Q3520" s="10"/>
      <c r="U3520" s="9" t="str">
        <f t="shared" ca="1" si="138"/>
        <v/>
      </c>
      <c r="V3520" s="9" t="str">
        <f t="shared" ca="1" si="139"/>
        <v/>
      </c>
      <c r="AC3520" s="9" t="s">
        <v>12130</v>
      </c>
      <c r="AD3520" s="9" t="s">
        <v>19</v>
      </c>
      <c r="AE3520" s="9" t="s">
        <v>12086</v>
      </c>
    </row>
    <row r="3521" spans="1:33" ht="29">
      <c r="A3521" s="3" t="s">
        <v>3624</v>
      </c>
      <c r="D3521" s="3" t="s">
        <v>9499</v>
      </c>
      <c r="E3521" s="3" t="s">
        <v>9498</v>
      </c>
      <c r="J3521" s="9" t="s">
        <v>25</v>
      </c>
      <c r="L3521" s="9">
        <v>1</v>
      </c>
      <c r="M3521" s="9">
        <v>3</v>
      </c>
      <c r="N3521" s="9" t="s">
        <v>12092</v>
      </c>
      <c r="O3521" s="9" t="s">
        <v>12079</v>
      </c>
      <c r="Q3521" s="10"/>
      <c r="S3521" s="9">
        <v>60</v>
      </c>
      <c r="U3521" s="9" t="str">
        <f t="shared" ca="1" si="138"/>
        <v/>
      </c>
      <c r="V3521" s="9" t="str">
        <f t="shared" ca="1" si="139"/>
        <v/>
      </c>
      <c r="AG3521" s="9" t="s">
        <v>20</v>
      </c>
    </row>
    <row r="3522" spans="1:33" ht="29">
      <c r="A3522" s="3" t="s">
        <v>3624</v>
      </c>
      <c r="D3522" s="3" t="s">
        <v>9501</v>
      </c>
      <c r="E3522" s="3" t="s">
        <v>9500</v>
      </c>
      <c r="J3522" s="9" t="s">
        <v>12118</v>
      </c>
      <c r="Q3522" s="10"/>
      <c r="R3522" s="9" t="s">
        <v>12074</v>
      </c>
      <c r="T3522" s="9" t="s">
        <v>12131</v>
      </c>
      <c r="U3522" s="9" t="str">
        <f t="shared" ca="1" si="138"/>
        <v/>
      </c>
      <c r="V3522" s="9" t="str">
        <f t="shared" ca="1" si="139"/>
        <v/>
      </c>
      <c r="AE3522" s="9" t="s">
        <v>12077</v>
      </c>
    </row>
    <row r="3523" spans="1:33" ht="29">
      <c r="A3523" s="3" t="s">
        <v>3624</v>
      </c>
      <c r="D3523" s="3" t="s">
        <v>12926</v>
      </c>
      <c r="E3523" s="3" t="s">
        <v>9502</v>
      </c>
      <c r="G3523" t="s">
        <v>19</v>
      </c>
      <c r="J3523" s="9" t="s">
        <v>12118</v>
      </c>
      <c r="Q3523" s="10"/>
      <c r="T3523" s="9">
        <f>1101-635</f>
        <v>466</v>
      </c>
      <c r="U3523" s="9">
        <f t="shared" ca="1" si="138"/>
        <v>635</v>
      </c>
      <c r="V3523" s="9">
        <f t="shared" ca="1" si="139"/>
        <v>1101</v>
      </c>
      <c r="AC3523" s="9" t="s">
        <v>12134</v>
      </c>
      <c r="AD3523" s="9" t="s">
        <v>19</v>
      </c>
      <c r="AE3523" s="9" t="s">
        <v>12089</v>
      </c>
    </row>
    <row r="3524" spans="1:33">
      <c r="A3524" s="3" t="s">
        <v>3625</v>
      </c>
      <c r="D3524" s="3" t="s">
        <v>9504</v>
      </c>
      <c r="E3524" s="3" t="s">
        <v>9503</v>
      </c>
      <c r="I3524" t="s">
        <v>5457</v>
      </c>
      <c r="J3524" s="9" t="s">
        <v>26</v>
      </c>
      <c r="Q3524" s="10"/>
      <c r="U3524" s="9" t="str">
        <f t="shared" ca="1" si="138"/>
        <v/>
      </c>
      <c r="V3524" s="9" t="str">
        <f t="shared" ca="1" si="139"/>
        <v/>
      </c>
      <c r="AG3524" s="9" t="s">
        <v>20</v>
      </c>
    </row>
    <row r="3525" spans="1:33">
      <c r="A3525" s="3" t="s">
        <v>3625</v>
      </c>
      <c r="D3525" s="3" t="s">
        <v>9506</v>
      </c>
      <c r="E3525" s="3" t="s">
        <v>9505</v>
      </c>
      <c r="J3525" s="9" t="s">
        <v>25</v>
      </c>
      <c r="L3525" s="9">
        <v>1</v>
      </c>
      <c r="M3525" s="9">
        <v>3</v>
      </c>
      <c r="N3525" s="9" t="s">
        <v>12087</v>
      </c>
      <c r="O3525" s="9" t="s">
        <v>12079</v>
      </c>
      <c r="Q3525" s="10"/>
      <c r="S3525" s="9">
        <v>5676</v>
      </c>
      <c r="U3525" s="9" t="str">
        <f t="shared" ca="1" si="138"/>
        <v/>
      </c>
      <c r="V3525" s="9" t="str">
        <f t="shared" ca="1" si="139"/>
        <v/>
      </c>
      <c r="AG3525" s="9" t="s">
        <v>19</v>
      </c>
    </row>
    <row r="3526" spans="1:33">
      <c r="A3526" s="3" t="s">
        <v>3625</v>
      </c>
      <c r="D3526" s="3" t="s">
        <v>9507</v>
      </c>
      <c r="E3526" s="3" t="s">
        <v>9508</v>
      </c>
      <c r="J3526" s="9" t="s">
        <v>12120</v>
      </c>
      <c r="Q3526" s="10"/>
      <c r="U3526" s="9" t="str">
        <f t="shared" ca="1" si="138"/>
        <v/>
      </c>
      <c r="V3526" s="9" t="str">
        <f t="shared" ca="1" si="139"/>
        <v/>
      </c>
      <c r="AG3526" s="9" t="s">
        <v>19</v>
      </c>
    </row>
    <row r="3527" spans="1:33">
      <c r="A3527" s="3" t="s">
        <v>3626</v>
      </c>
      <c r="D3527" s="3" t="s">
        <v>9510</v>
      </c>
      <c r="E3527" s="3" t="s">
        <v>9509</v>
      </c>
      <c r="G3527" t="s">
        <v>19</v>
      </c>
      <c r="J3527" s="9" t="s">
        <v>12120</v>
      </c>
      <c r="Q3527" s="10"/>
      <c r="U3527" s="9" t="str">
        <f t="shared" ca="1" si="138"/>
        <v/>
      </c>
      <c r="V3527" s="9" t="str">
        <f t="shared" ca="1" si="139"/>
        <v/>
      </c>
      <c r="AC3527" s="9" t="s">
        <v>12144</v>
      </c>
      <c r="AD3527" s="9" t="s">
        <v>19</v>
      </c>
    </row>
    <row r="3528" spans="1:33" ht="58">
      <c r="A3528" s="3" t="s">
        <v>3626</v>
      </c>
      <c r="D3528" s="3" t="s">
        <v>9511</v>
      </c>
      <c r="E3528" s="3" t="s">
        <v>9512</v>
      </c>
      <c r="I3528" t="s">
        <v>12494</v>
      </c>
      <c r="J3528" s="9" t="s">
        <v>26</v>
      </c>
      <c r="Q3528" s="10"/>
      <c r="U3528" s="9" t="str">
        <f t="shared" ca="1" si="138"/>
        <v/>
      </c>
      <c r="V3528" s="9" t="str">
        <f t="shared" ca="1" si="139"/>
        <v/>
      </c>
      <c r="AG3528" s="9" t="s">
        <v>19</v>
      </c>
    </row>
    <row r="3529" spans="1:33" ht="58">
      <c r="A3529" s="3" t="s">
        <v>3626</v>
      </c>
      <c r="D3529" s="3" t="s">
        <v>9513</v>
      </c>
      <c r="E3529" s="3" t="s">
        <v>9514</v>
      </c>
      <c r="G3529" t="s">
        <v>20</v>
      </c>
      <c r="I3529" t="s">
        <v>9515</v>
      </c>
      <c r="Q3529" s="10"/>
      <c r="U3529" s="9" t="str">
        <f t="shared" ca="1" si="138"/>
        <v/>
      </c>
      <c r="V3529" s="9" t="str">
        <f t="shared" ca="1" si="139"/>
        <v/>
      </c>
    </row>
    <row r="3530" spans="1:33">
      <c r="A3530" s="3" t="s">
        <v>3627</v>
      </c>
      <c r="D3530" s="3" t="s">
        <v>9516</v>
      </c>
      <c r="E3530" s="3" t="s">
        <v>9517</v>
      </c>
      <c r="J3530" s="9" t="s">
        <v>25</v>
      </c>
      <c r="L3530" s="9">
        <v>1</v>
      </c>
      <c r="M3530" s="9">
        <v>3</v>
      </c>
      <c r="N3530" s="9" t="s">
        <v>12094</v>
      </c>
      <c r="O3530" s="9" t="s">
        <v>12079</v>
      </c>
      <c r="Q3530" s="10"/>
      <c r="S3530" s="9">
        <v>1741</v>
      </c>
      <c r="U3530" s="9" t="str">
        <f t="shared" ca="1" si="138"/>
        <v/>
      </c>
      <c r="V3530" s="9" t="str">
        <f t="shared" ca="1" si="139"/>
        <v/>
      </c>
      <c r="AG3530" s="9" t="s">
        <v>19</v>
      </c>
    </row>
    <row r="3531" spans="1:33">
      <c r="A3531" s="3" t="s">
        <v>3628</v>
      </c>
      <c r="D3531" s="3" t="s">
        <v>9518</v>
      </c>
      <c r="E3531" s="3" t="s">
        <v>9519</v>
      </c>
      <c r="J3531" s="9" t="s">
        <v>12120</v>
      </c>
      <c r="Q3531" s="10"/>
      <c r="U3531" s="9" t="str">
        <f t="shared" ca="1" si="138"/>
        <v/>
      </c>
      <c r="V3531" s="9" t="str">
        <f t="shared" ca="1" si="139"/>
        <v/>
      </c>
      <c r="AG3531" s="9" t="s">
        <v>19</v>
      </c>
    </row>
    <row r="3532" spans="1:33">
      <c r="A3532" s="3" t="s">
        <v>3629</v>
      </c>
      <c r="D3532" s="5" t="s">
        <v>3630</v>
      </c>
      <c r="E3532" s="3" t="s">
        <v>9520</v>
      </c>
      <c r="F3532" t="s">
        <v>15</v>
      </c>
      <c r="Q3532" s="10"/>
      <c r="U3532" s="9" t="str">
        <f t="shared" ca="1" si="138"/>
        <v/>
      </c>
      <c r="V3532" s="9" t="str">
        <f t="shared" ca="1" si="139"/>
        <v/>
      </c>
    </row>
    <row r="3533" spans="1:33">
      <c r="A3533" s="3" t="s">
        <v>3631</v>
      </c>
      <c r="D3533" s="3" t="s">
        <v>9521</v>
      </c>
      <c r="E3533" s="3" t="s">
        <v>9522</v>
      </c>
      <c r="I3533" t="s">
        <v>12189</v>
      </c>
      <c r="J3533" s="9" t="s">
        <v>26</v>
      </c>
      <c r="Q3533" s="10"/>
      <c r="U3533" s="9" t="str">
        <f t="shared" ca="1" si="138"/>
        <v/>
      </c>
      <c r="V3533" s="9" t="str">
        <f t="shared" ca="1" si="139"/>
        <v/>
      </c>
      <c r="AG3533" s="9" t="s">
        <v>20</v>
      </c>
    </row>
    <row r="3534" spans="1:33">
      <c r="A3534" s="3" t="s">
        <v>3631</v>
      </c>
      <c r="D3534" s="3" t="s">
        <v>9523</v>
      </c>
      <c r="E3534" s="3" t="s">
        <v>9524</v>
      </c>
      <c r="H3534" t="s">
        <v>19</v>
      </c>
      <c r="J3534" s="9" t="s">
        <v>12118</v>
      </c>
      <c r="Q3534" s="10"/>
      <c r="T3534" s="9">
        <f xml:space="preserve"> 780-11843</f>
        <v>-11063</v>
      </c>
      <c r="U3534" s="9">
        <f t="shared" ca="1" si="138"/>
        <v>11843</v>
      </c>
      <c r="V3534" s="9">
        <f t="shared" ca="1" si="139"/>
        <v>780</v>
      </c>
      <c r="AG3534" s="9" t="s">
        <v>20</v>
      </c>
    </row>
    <row r="3535" spans="1:33" ht="87">
      <c r="A3535" s="3" t="s">
        <v>3631</v>
      </c>
      <c r="D3535" s="3" t="s">
        <v>12495</v>
      </c>
      <c r="E3535" s="3" t="s">
        <v>12496</v>
      </c>
      <c r="I3535" t="s">
        <v>12498</v>
      </c>
      <c r="J3535" s="9" t="s">
        <v>25</v>
      </c>
      <c r="L3535" s="9">
        <v>12</v>
      </c>
      <c r="M3535" s="9">
        <v>48</v>
      </c>
      <c r="O3535" s="9" t="s">
        <v>12073</v>
      </c>
      <c r="P3535" s="9" t="s">
        <v>12140</v>
      </c>
      <c r="Q3535" s="10" t="s">
        <v>12497</v>
      </c>
      <c r="S3535" s="9">
        <v>32</v>
      </c>
      <c r="U3535" s="9" t="str">
        <f t="shared" ca="1" si="138"/>
        <v/>
      </c>
      <c r="V3535" s="9" t="str">
        <f t="shared" ca="1" si="139"/>
        <v/>
      </c>
      <c r="AG3535" s="9" t="s">
        <v>19</v>
      </c>
    </row>
    <row r="3536" spans="1:33" ht="87">
      <c r="A3536" s="3" t="s">
        <v>3631</v>
      </c>
      <c r="D3536" s="3" t="s">
        <v>9525</v>
      </c>
      <c r="E3536" s="3" t="s">
        <v>9526</v>
      </c>
      <c r="G3536" t="s">
        <v>19</v>
      </c>
      <c r="J3536" s="9" t="s">
        <v>12120</v>
      </c>
      <c r="Q3536" s="10"/>
      <c r="U3536" s="9" t="str">
        <f t="shared" ca="1" si="138"/>
        <v/>
      </c>
      <c r="V3536" s="9" t="str">
        <f t="shared" ca="1" si="139"/>
        <v/>
      </c>
    </row>
    <row r="3537" spans="1:33" ht="29">
      <c r="A3537" s="3" t="s">
        <v>3632</v>
      </c>
      <c r="D3537" s="3" t="s">
        <v>12927</v>
      </c>
      <c r="E3537" s="3" t="s">
        <v>12928</v>
      </c>
      <c r="I3537" t="s">
        <v>12712</v>
      </c>
      <c r="J3537" s="9" t="s">
        <v>24</v>
      </c>
      <c r="L3537" s="9">
        <v>3</v>
      </c>
      <c r="M3537" s="9">
        <v>9</v>
      </c>
      <c r="O3537" s="9" t="s">
        <v>12079</v>
      </c>
      <c r="Q3537" s="10"/>
      <c r="S3537" s="9">
        <v>94</v>
      </c>
      <c r="U3537" s="9" t="str">
        <f t="shared" ref="U3537:U3599" ca="1" si="140">IF(ISNUMBER(T3537),VALUE(MID(_xlfn.FORMULATEXT(T3537),SEARCH("-",_xlfn.FORMULATEXT(T3537))+1,LEN(_xlfn.FORMULATEXT(T3537))-SEARCH("-",_xlfn.FORMULATEXT(T3537)))), "")</f>
        <v/>
      </c>
      <c r="V3537" s="9" t="str">
        <f t="shared" ref="V3537:V3599" ca="1" si="141">IF(ISNUMBER(T3537), VALUE(MID(_xlfn.FORMULATEXT(T3537), 2, SEARCH("-", _xlfn.FORMULATEXT(T3537)) - 2)), "")</f>
        <v/>
      </c>
      <c r="W3537" s="9" t="s">
        <v>12117</v>
      </c>
      <c r="AG3537" s="9" t="s">
        <v>19</v>
      </c>
    </row>
    <row r="3538" spans="1:33">
      <c r="A3538" s="3" t="s">
        <v>3633</v>
      </c>
      <c r="D3538" s="3" t="s">
        <v>9528</v>
      </c>
      <c r="E3538" s="3" t="s">
        <v>9527</v>
      </c>
      <c r="I3538" t="s">
        <v>5457</v>
      </c>
      <c r="J3538" s="9" t="s">
        <v>26</v>
      </c>
      <c r="Q3538" s="10"/>
      <c r="U3538" s="9" t="str">
        <f t="shared" ca="1" si="140"/>
        <v/>
      </c>
      <c r="V3538" s="9" t="str">
        <f t="shared" ca="1" si="141"/>
        <v/>
      </c>
      <c r="AG3538" s="9" t="s">
        <v>20</v>
      </c>
    </row>
    <row r="3539" spans="1:33">
      <c r="A3539" s="3" t="s">
        <v>3634</v>
      </c>
      <c r="D3539" s="3" t="s">
        <v>3635</v>
      </c>
      <c r="E3539" s="3" t="s">
        <v>9529</v>
      </c>
      <c r="G3539" t="s">
        <v>19</v>
      </c>
      <c r="J3539" s="9" t="s">
        <v>12120</v>
      </c>
      <c r="Q3539" s="10"/>
      <c r="U3539" s="9" t="str">
        <f t="shared" ca="1" si="140"/>
        <v/>
      </c>
      <c r="V3539" s="9" t="str">
        <f t="shared" ca="1" si="141"/>
        <v/>
      </c>
    </row>
    <row r="3540" spans="1:33">
      <c r="A3540" s="3" t="s">
        <v>3636</v>
      </c>
      <c r="D3540" s="3" t="s">
        <v>256</v>
      </c>
      <c r="E3540" s="3" t="s">
        <v>255</v>
      </c>
      <c r="J3540" s="9" t="s">
        <v>12120</v>
      </c>
      <c r="Q3540" s="10"/>
      <c r="U3540" s="9" t="str">
        <f t="shared" ca="1" si="140"/>
        <v/>
      </c>
      <c r="V3540" s="9" t="str">
        <f t="shared" ca="1" si="141"/>
        <v/>
      </c>
      <c r="AC3540" s="9" t="s">
        <v>12144</v>
      </c>
      <c r="AD3540" s="9" t="s">
        <v>19</v>
      </c>
    </row>
    <row r="3541" spans="1:33">
      <c r="A3541" s="3" t="s">
        <v>3637</v>
      </c>
      <c r="D3541" s="3" t="s">
        <v>9530</v>
      </c>
      <c r="E3541" s="3" t="s">
        <v>9531</v>
      </c>
      <c r="J3541" s="9" t="s">
        <v>24</v>
      </c>
      <c r="L3541" s="9">
        <v>2</v>
      </c>
      <c r="M3541" s="9">
        <v>4</v>
      </c>
      <c r="O3541" s="9" t="s">
        <v>12079</v>
      </c>
      <c r="Q3541" s="10"/>
      <c r="S3541" s="9">
        <v>780</v>
      </c>
      <c r="U3541" s="9" t="str">
        <f t="shared" ca="1" si="140"/>
        <v/>
      </c>
      <c r="V3541" s="9" t="str">
        <f t="shared" ca="1" si="141"/>
        <v/>
      </c>
      <c r="AE3541" s="9" t="s">
        <v>12083</v>
      </c>
    </row>
    <row r="3542" spans="1:33">
      <c r="A3542" s="3" t="s">
        <v>3638</v>
      </c>
      <c r="D3542" s="3" t="s">
        <v>9532</v>
      </c>
      <c r="E3542" s="3" t="s">
        <v>9533</v>
      </c>
      <c r="J3542" s="9" t="s">
        <v>12120</v>
      </c>
      <c r="Q3542" s="10"/>
      <c r="U3542" s="9" t="str">
        <f t="shared" ca="1" si="140"/>
        <v/>
      </c>
      <c r="V3542" s="9" t="str">
        <f t="shared" ca="1" si="141"/>
        <v/>
      </c>
      <c r="AG3542" s="9" t="s">
        <v>19</v>
      </c>
    </row>
    <row r="3543" spans="1:33">
      <c r="A3543" s="3" t="s">
        <v>3639</v>
      </c>
      <c r="D3543" s="3" t="s">
        <v>9535</v>
      </c>
      <c r="E3543" s="3" t="s">
        <v>9534</v>
      </c>
      <c r="J3543" s="9" t="s">
        <v>12120</v>
      </c>
      <c r="Q3543" s="10"/>
      <c r="U3543" s="9" t="str">
        <f t="shared" ca="1" si="140"/>
        <v/>
      </c>
      <c r="V3543" s="9" t="str">
        <f t="shared" ca="1" si="141"/>
        <v/>
      </c>
      <c r="AG3543" s="9" t="s">
        <v>19</v>
      </c>
    </row>
    <row r="3544" spans="1:33">
      <c r="A3544" s="3" t="s">
        <v>3639</v>
      </c>
      <c r="D3544" s="3" t="s">
        <v>9537</v>
      </c>
      <c r="E3544" s="3" t="s">
        <v>9536</v>
      </c>
      <c r="J3544" s="9" t="s">
        <v>12120</v>
      </c>
      <c r="Q3544" s="10"/>
      <c r="U3544" s="9" t="str">
        <f t="shared" ca="1" si="140"/>
        <v/>
      </c>
      <c r="V3544" s="9" t="str">
        <f t="shared" ca="1" si="141"/>
        <v/>
      </c>
      <c r="AB3544" s="9" t="s">
        <v>12082</v>
      </c>
      <c r="AD3544" s="9" t="s">
        <v>19</v>
      </c>
    </row>
    <row r="3545" spans="1:33">
      <c r="A3545" s="3" t="s">
        <v>3640</v>
      </c>
      <c r="D3545" s="3" t="s">
        <v>9538</v>
      </c>
      <c r="E3545" s="3" t="s">
        <v>9539</v>
      </c>
      <c r="J3545" s="9" t="s">
        <v>12120</v>
      </c>
      <c r="Q3545" s="10"/>
      <c r="U3545" s="9" t="str">
        <f t="shared" ca="1" si="140"/>
        <v/>
      </c>
      <c r="V3545" s="9" t="str">
        <f t="shared" ca="1" si="141"/>
        <v/>
      </c>
      <c r="AE3545" s="9" t="s">
        <v>12086</v>
      </c>
    </row>
    <row r="3546" spans="1:33">
      <c r="A3546" s="3" t="s">
        <v>3640</v>
      </c>
      <c r="D3546" s="3" t="s">
        <v>9541</v>
      </c>
      <c r="E3546" s="3" t="s">
        <v>9540</v>
      </c>
      <c r="J3546" s="9" t="s">
        <v>25</v>
      </c>
      <c r="L3546" s="9">
        <v>1</v>
      </c>
      <c r="M3546" s="9">
        <v>2</v>
      </c>
      <c r="N3546" s="9" t="s">
        <v>12094</v>
      </c>
      <c r="O3546" s="9" t="s">
        <v>12119</v>
      </c>
      <c r="Q3546" s="10"/>
      <c r="S3546" s="9">
        <v>1741</v>
      </c>
      <c r="U3546" s="9" t="str">
        <f t="shared" ca="1" si="140"/>
        <v/>
      </c>
      <c r="V3546" s="9" t="str">
        <f t="shared" ca="1" si="141"/>
        <v/>
      </c>
      <c r="AG3546" s="9" t="s">
        <v>20</v>
      </c>
    </row>
    <row r="3547" spans="1:33" ht="29">
      <c r="A3547" s="3" t="s">
        <v>3641</v>
      </c>
      <c r="D3547" s="3" t="s">
        <v>9542</v>
      </c>
      <c r="E3547" s="3" t="s">
        <v>9543</v>
      </c>
      <c r="J3547" s="9" t="s">
        <v>25</v>
      </c>
      <c r="L3547" s="9">
        <v>3</v>
      </c>
      <c r="M3547" s="9">
        <v>12</v>
      </c>
      <c r="O3547" s="9" t="s">
        <v>12079</v>
      </c>
      <c r="Q3547" s="10"/>
      <c r="S3547" s="9">
        <v>49</v>
      </c>
      <c r="U3547" s="9" t="str">
        <f t="shared" ca="1" si="140"/>
        <v/>
      </c>
      <c r="V3547" s="9" t="str">
        <f t="shared" ca="1" si="141"/>
        <v/>
      </c>
      <c r="AG3547" s="9" t="s">
        <v>20</v>
      </c>
    </row>
    <row r="3548" spans="1:33">
      <c r="A3548" s="3" t="s">
        <v>3642</v>
      </c>
      <c r="D3548" s="3" t="s">
        <v>9544</v>
      </c>
      <c r="E3548" s="3" t="s">
        <v>9546</v>
      </c>
      <c r="H3548" t="s">
        <v>19</v>
      </c>
      <c r="J3548" s="9" t="s">
        <v>25</v>
      </c>
      <c r="L3548" s="9">
        <v>1</v>
      </c>
      <c r="M3548" s="9">
        <v>3</v>
      </c>
      <c r="N3548" s="9" t="s">
        <v>12087</v>
      </c>
      <c r="O3548" s="9" t="s">
        <v>12079</v>
      </c>
      <c r="Q3548" s="10"/>
      <c r="S3548" s="9">
        <v>5676</v>
      </c>
      <c r="U3548" s="9" t="str">
        <f t="shared" ca="1" si="140"/>
        <v/>
      </c>
      <c r="V3548" s="9" t="str">
        <f t="shared" ca="1" si="141"/>
        <v/>
      </c>
      <c r="AG3548" s="9" t="s">
        <v>20</v>
      </c>
    </row>
    <row r="3549" spans="1:33">
      <c r="A3549" s="3" t="s">
        <v>3643</v>
      </c>
      <c r="D3549" s="3" t="s">
        <v>9545</v>
      </c>
      <c r="E3549" s="3" t="s">
        <v>3644</v>
      </c>
      <c r="J3549" s="9" t="s">
        <v>12118</v>
      </c>
      <c r="Q3549" s="10"/>
      <c r="T3549" s="9" t="s">
        <v>12131</v>
      </c>
      <c r="U3549" s="9" t="str">
        <f t="shared" ca="1" si="140"/>
        <v/>
      </c>
      <c r="V3549" s="9" t="str">
        <f t="shared" ca="1" si="141"/>
        <v/>
      </c>
      <c r="AB3549" s="9" t="s">
        <v>12124</v>
      </c>
      <c r="AD3549" s="9" t="s">
        <v>19</v>
      </c>
    </row>
    <row r="3550" spans="1:33">
      <c r="A3550" s="3" t="s">
        <v>3643</v>
      </c>
      <c r="D3550" s="3" t="s">
        <v>9547</v>
      </c>
      <c r="E3550" s="3" t="s">
        <v>9548</v>
      </c>
      <c r="J3550" s="9" t="s">
        <v>12120</v>
      </c>
      <c r="Q3550" s="10"/>
      <c r="U3550" s="9" t="str">
        <f t="shared" ca="1" si="140"/>
        <v/>
      </c>
      <c r="V3550" s="9" t="str">
        <f t="shared" ca="1" si="141"/>
        <v/>
      </c>
      <c r="AC3550" s="9" t="s">
        <v>12134</v>
      </c>
      <c r="AD3550" s="9" t="s">
        <v>19</v>
      </c>
    </row>
    <row r="3551" spans="1:33">
      <c r="A3551" s="3" t="s">
        <v>3645</v>
      </c>
      <c r="D3551" s="3" t="s">
        <v>9549</v>
      </c>
      <c r="E3551" s="3" t="s">
        <v>9550</v>
      </c>
      <c r="J3551" s="9" t="s">
        <v>25</v>
      </c>
      <c r="L3551" s="9">
        <v>1</v>
      </c>
      <c r="M3551" s="9">
        <v>5</v>
      </c>
      <c r="N3551" s="9" t="s">
        <v>12098</v>
      </c>
      <c r="O3551" s="9" t="s">
        <v>12073</v>
      </c>
      <c r="P3551" s="9" t="s">
        <v>12142</v>
      </c>
      <c r="Q3551" s="10" t="s">
        <v>12143</v>
      </c>
      <c r="S3551" s="9">
        <v>2042</v>
      </c>
      <c r="U3551" s="9" t="str">
        <f t="shared" ca="1" si="140"/>
        <v/>
      </c>
      <c r="V3551" s="9" t="str">
        <f t="shared" ca="1" si="141"/>
        <v/>
      </c>
      <c r="AG3551" s="9" t="s">
        <v>19</v>
      </c>
    </row>
    <row r="3552" spans="1:33" ht="43.5">
      <c r="A3552" s="3" t="s">
        <v>3646</v>
      </c>
      <c r="D3552" s="3" t="s">
        <v>9551</v>
      </c>
      <c r="E3552" s="3" t="s">
        <v>9552</v>
      </c>
      <c r="I3552" t="s">
        <v>12177</v>
      </c>
      <c r="J3552" s="9" t="s">
        <v>26</v>
      </c>
      <c r="Q3552" s="10"/>
      <c r="U3552" s="9" t="str">
        <f t="shared" ca="1" si="140"/>
        <v/>
      </c>
      <c r="V3552" s="9" t="str">
        <f t="shared" ca="1" si="141"/>
        <v/>
      </c>
      <c r="AG3552" s="9" t="s">
        <v>20</v>
      </c>
    </row>
    <row r="3553" spans="1:33">
      <c r="A3553" s="3" t="s">
        <v>3647</v>
      </c>
      <c r="D3553" s="3" t="s">
        <v>3648</v>
      </c>
      <c r="E3553" s="3" t="s">
        <v>3000</v>
      </c>
      <c r="J3553" s="9" t="s">
        <v>12118</v>
      </c>
      <c r="Q3553" s="10"/>
      <c r="T3553" s="9" t="s">
        <v>12131</v>
      </c>
      <c r="U3553" s="9" t="str">
        <f t="shared" ca="1" si="140"/>
        <v/>
      </c>
      <c r="V3553" s="9" t="str">
        <f t="shared" ca="1" si="141"/>
        <v/>
      </c>
      <c r="AC3553" s="9" t="s">
        <v>12130</v>
      </c>
      <c r="AD3553" s="9" t="s">
        <v>19</v>
      </c>
    </row>
    <row r="3554" spans="1:33">
      <c r="A3554" s="3" t="s">
        <v>3647</v>
      </c>
      <c r="D3554" s="3" t="s">
        <v>9554</v>
      </c>
      <c r="E3554" s="3" t="s">
        <v>9553</v>
      </c>
      <c r="G3554" t="s">
        <v>21</v>
      </c>
      <c r="I3554" t="s">
        <v>9555</v>
      </c>
      <c r="J3554" s="9" t="s">
        <v>25</v>
      </c>
      <c r="L3554" s="9">
        <v>1</v>
      </c>
      <c r="M3554" s="9">
        <v>2</v>
      </c>
      <c r="N3554" s="9" t="s">
        <v>12078</v>
      </c>
      <c r="O3554" s="9" t="s">
        <v>12119</v>
      </c>
      <c r="Q3554" s="10"/>
      <c r="S3554" s="9">
        <v>11843</v>
      </c>
      <c r="U3554" s="9" t="str">
        <f t="shared" ca="1" si="140"/>
        <v/>
      </c>
      <c r="V3554" s="9" t="str">
        <f t="shared" ca="1" si="141"/>
        <v/>
      </c>
    </row>
    <row r="3555" spans="1:33" ht="29">
      <c r="A3555" s="3" t="s">
        <v>3649</v>
      </c>
      <c r="D3555" s="3" t="s">
        <v>9556</v>
      </c>
      <c r="E3555" s="3" t="s">
        <v>9557</v>
      </c>
      <c r="J3555" s="9" t="s">
        <v>24</v>
      </c>
      <c r="L3555" s="9">
        <v>1</v>
      </c>
      <c r="M3555" s="9">
        <v>5</v>
      </c>
      <c r="N3555" s="9" t="s">
        <v>12094</v>
      </c>
      <c r="O3555" s="9" t="s">
        <v>12073</v>
      </c>
      <c r="P3555" s="9" t="s">
        <v>12142</v>
      </c>
      <c r="Q3555" s="10" t="s">
        <v>12143</v>
      </c>
      <c r="S3555" s="9">
        <v>4240</v>
      </c>
      <c r="U3555" s="9" t="str">
        <f t="shared" ca="1" si="140"/>
        <v/>
      </c>
      <c r="V3555" s="9" t="str">
        <f t="shared" ca="1" si="141"/>
        <v/>
      </c>
      <c r="AG3555" s="9" t="s">
        <v>19</v>
      </c>
    </row>
    <row r="3556" spans="1:33" ht="29">
      <c r="A3556" s="3" t="s">
        <v>3649</v>
      </c>
      <c r="D3556" s="3" t="s">
        <v>9559</v>
      </c>
      <c r="E3556" s="3" t="s">
        <v>9558</v>
      </c>
      <c r="J3556" s="9" t="s">
        <v>12118</v>
      </c>
      <c r="Q3556" s="10"/>
      <c r="T3556" s="9" t="s">
        <v>12131</v>
      </c>
      <c r="U3556" s="9" t="str">
        <f t="shared" ca="1" si="140"/>
        <v/>
      </c>
      <c r="V3556" s="9" t="str">
        <f t="shared" ca="1" si="141"/>
        <v/>
      </c>
      <c r="AB3556" s="9" t="s">
        <v>12124</v>
      </c>
      <c r="AC3556" s="9" t="s">
        <v>12740</v>
      </c>
      <c r="AD3556" s="9" t="s">
        <v>19</v>
      </c>
    </row>
    <row r="3557" spans="1:33">
      <c r="A3557" s="3" t="s">
        <v>3650</v>
      </c>
      <c r="D3557" s="3" t="s">
        <v>9561</v>
      </c>
      <c r="E3557" s="3" t="s">
        <v>9560</v>
      </c>
      <c r="F3557" t="s">
        <v>11</v>
      </c>
      <c r="Q3557" s="10"/>
      <c r="U3557" s="9" t="str">
        <f t="shared" ca="1" si="140"/>
        <v/>
      </c>
      <c r="V3557" s="9" t="str">
        <f t="shared" ca="1" si="141"/>
        <v/>
      </c>
    </row>
    <row r="3558" spans="1:33" ht="29">
      <c r="A3558" s="3" t="s">
        <v>3650</v>
      </c>
      <c r="D3558" s="3" t="s">
        <v>9562</v>
      </c>
      <c r="E3558" s="3" t="s">
        <v>9563</v>
      </c>
      <c r="J3558" s="9" t="s">
        <v>12120</v>
      </c>
      <c r="Q3558" s="10"/>
      <c r="U3558" s="9" t="str">
        <f t="shared" ca="1" si="140"/>
        <v/>
      </c>
      <c r="V3558" s="9" t="str">
        <f t="shared" ca="1" si="141"/>
        <v/>
      </c>
      <c r="AE3558" s="9" t="s">
        <v>12089</v>
      </c>
    </row>
    <row r="3559" spans="1:33">
      <c r="A3559" s="3" t="s">
        <v>3651</v>
      </c>
      <c r="D3559" s="3" t="s">
        <v>9565</v>
      </c>
      <c r="E3559" s="3" t="s">
        <v>9564</v>
      </c>
      <c r="F3559" t="s">
        <v>11</v>
      </c>
      <c r="Q3559" s="10"/>
      <c r="U3559" s="9" t="str">
        <f t="shared" ca="1" si="140"/>
        <v/>
      </c>
      <c r="V3559" s="9" t="str">
        <f t="shared" ca="1" si="141"/>
        <v/>
      </c>
    </row>
    <row r="3560" spans="1:33">
      <c r="A3560" s="3" t="s">
        <v>3651</v>
      </c>
      <c r="D3560" s="3" t="s">
        <v>3652</v>
      </c>
      <c r="E3560" s="3" t="s">
        <v>3653</v>
      </c>
      <c r="J3560" s="9" t="s">
        <v>12120</v>
      </c>
      <c r="Q3560" s="10"/>
      <c r="U3560" s="9" t="str">
        <f t="shared" ca="1" si="140"/>
        <v/>
      </c>
      <c r="V3560" s="9" t="str">
        <f t="shared" ca="1" si="141"/>
        <v/>
      </c>
      <c r="AC3560" s="9" t="s">
        <v>12134</v>
      </c>
      <c r="AD3560" s="9" t="s">
        <v>19</v>
      </c>
      <c r="AE3560" s="9" t="s">
        <v>12086</v>
      </c>
    </row>
    <row r="3561" spans="1:33">
      <c r="A3561" s="3" t="s">
        <v>3655</v>
      </c>
      <c r="D3561" s="3" t="s">
        <v>3656</v>
      </c>
      <c r="E3561" s="3" t="s">
        <v>3657</v>
      </c>
      <c r="J3561" s="9" t="s">
        <v>12120</v>
      </c>
      <c r="Q3561" s="10"/>
      <c r="U3561" s="9" t="str">
        <f t="shared" ca="1" si="140"/>
        <v/>
      </c>
      <c r="V3561" s="9" t="str">
        <f t="shared" ca="1" si="141"/>
        <v/>
      </c>
      <c r="AE3561" s="9" t="s">
        <v>12086</v>
      </c>
    </row>
    <row r="3562" spans="1:33" ht="29">
      <c r="A3562" s="3" t="s">
        <v>3659</v>
      </c>
      <c r="D3562" s="3" t="s">
        <v>9566</v>
      </c>
      <c r="E3562" s="3" t="s">
        <v>9567</v>
      </c>
      <c r="J3562" s="9" t="s">
        <v>24</v>
      </c>
      <c r="L3562" s="9">
        <v>1</v>
      </c>
      <c r="M3562" s="9">
        <v>1</v>
      </c>
      <c r="N3562" s="9" t="s">
        <v>12078</v>
      </c>
      <c r="O3562" s="9" t="s">
        <v>12119</v>
      </c>
      <c r="Q3562" s="10"/>
      <c r="S3562" s="9">
        <v>11843</v>
      </c>
      <c r="U3562" s="9" t="str">
        <f t="shared" ca="1" si="140"/>
        <v/>
      </c>
      <c r="V3562" s="9" t="str">
        <f t="shared" ca="1" si="141"/>
        <v/>
      </c>
      <c r="AG3562" s="9" t="s">
        <v>19</v>
      </c>
    </row>
    <row r="3563" spans="1:33" ht="29">
      <c r="A3563" s="3" t="s">
        <v>3659</v>
      </c>
      <c r="D3563" s="3" t="s">
        <v>9568</v>
      </c>
      <c r="E3563" s="3" t="s">
        <v>9569</v>
      </c>
      <c r="J3563" s="9" t="s">
        <v>12118</v>
      </c>
      <c r="Q3563" s="10"/>
      <c r="T3563" s="9" t="s">
        <v>12131</v>
      </c>
      <c r="U3563" s="9" t="str">
        <f t="shared" ca="1" si="140"/>
        <v/>
      </c>
      <c r="V3563" s="9" t="str">
        <f t="shared" ca="1" si="141"/>
        <v/>
      </c>
      <c r="AE3563" s="9" t="s">
        <v>12086</v>
      </c>
    </row>
    <row r="3564" spans="1:33">
      <c r="A3564" s="3" t="s">
        <v>3659</v>
      </c>
      <c r="D3564" s="3" t="s">
        <v>3660</v>
      </c>
      <c r="E3564" s="3" t="s">
        <v>3325</v>
      </c>
      <c r="J3564" s="9" t="s">
        <v>12118</v>
      </c>
      <c r="Q3564" s="10"/>
      <c r="T3564" s="9" t="s">
        <v>12131</v>
      </c>
      <c r="U3564" s="9" t="str">
        <f t="shared" ca="1" si="140"/>
        <v/>
      </c>
      <c r="V3564" s="9" t="str">
        <f t="shared" ca="1" si="141"/>
        <v/>
      </c>
      <c r="AB3564" s="9" t="s">
        <v>12124</v>
      </c>
      <c r="AC3564" s="9" t="s">
        <v>12432</v>
      </c>
      <c r="AD3564" s="9" t="s">
        <v>19</v>
      </c>
    </row>
    <row r="3565" spans="1:33">
      <c r="A3565" s="3" t="s">
        <v>3659</v>
      </c>
      <c r="D3565" s="3" t="s">
        <v>9570</v>
      </c>
      <c r="E3565" s="3" t="s">
        <v>9571</v>
      </c>
      <c r="J3565" s="9" t="s">
        <v>12118</v>
      </c>
      <c r="Q3565" s="10"/>
      <c r="T3565" s="9">
        <f>1294-34</f>
        <v>1260</v>
      </c>
      <c r="U3565" s="9">
        <f t="shared" ca="1" si="140"/>
        <v>34</v>
      </c>
      <c r="V3565" s="9">
        <f t="shared" ca="1" si="141"/>
        <v>1294</v>
      </c>
      <c r="AE3565" s="9" t="s">
        <v>12089</v>
      </c>
    </row>
    <row r="3566" spans="1:33">
      <c r="A3566" s="3" t="s">
        <v>3661</v>
      </c>
      <c r="D3566" s="3" t="s">
        <v>9573</v>
      </c>
      <c r="E3566" s="3" t="s">
        <v>9572</v>
      </c>
      <c r="J3566" s="9" t="s">
        <v>12120</v>
      </c>
      <c r="Q3566" s="10"/>
      <c r="U3566" s="9" t="str">
        <f t="shared" ca="1" si="140"/>
        <v/>
      </c>
      <c r="V3566" s="9" t="str">
        <f t="shared" ca="1" si="141"/>
        <v/>
      </c>
      <c r="AC3566" s="9" t="s">
        <v>12130</v>
      </c>
      <c r="AD3566" s="9" t="s">
        <v>19</v>
      </c>
    </row>
    <row r="3567" spans="1:33">
      <c r="A3567" s="3" t="s">
        <v>3662</v>
      </c>
      <c r="D3567" s="3" t="s">
        <v>9574</v>
      </c>
      <c r="E3567" s="3" t="s">
        <v>9575</v>
      </c>
      <c r="J3567" s="9" t="s">
        <v>12120</v>
      </c>
      <c r="Q3567" s="10"/>
      <c r="U3567" s="9" t="str">
        <f t="shared" ca="1" si="140"/>
        <v/>
      </c>
      <c r="V3567" s="9" t="str">
        <f t="shared" ca="1" si="141"/>
        <v/>
      </c>
      <c r="AB3567" s="9" t="s">
        <v>12082</v>
      </c>
      <c r="AD3567" s="9" t="s">
        <v>19</v>
      </c>
    </row>
    <row r="3568" spans="1:33">
      <c r="A3568" s="3" t="s">
        <v>3663</v>
      </c>
      <c r="D3568" s="3" t="s">
        <v>3658</v>
      </c>
      <c r="E3568" s="3" t="s">
        <v>3664</v>
      </c>
      <c r="J3568" s="9" t="s">
        <v>12118</v>
      </c>
      <c r="Q3568" s="10"/>
      <c r="T3568" s="9" t="s">
        <v>12131</v>
      </c>
      <c r="U3568" s="9" t="str">
        <f t="shared" ca="1" si="140"/>
        <v/>
      </c>
      <c r="V3568" s="9" t="str">
        <f t="shared" ca="1" si="141"/>
        <v/>
      </c>
      <c r="AE3568" s="9" t="s">
        <v>12086</v>
      </c>
    </row>
    <row r="3569" spans="1:33">
      <c r="A3569" s="3" t="s">
        <v>3665</v>
      </c>
      <c r="D3569" s="3" t="s">
        <v>3666</v>
      </c>
      <c r="E3569" s="3" t="s">
        <v>3667</v>
      </c>
      <c r="J3569" s="9" t="s">
        <v>12118</v>
      </c>
      <c r="Q3569" s="10"/>
      <c r="T3569" s="9">
        <f>75-5</f>
        <v>70</v>
      </c>
      <c r="U3569" s="9">
        <f t="shared" ca="1" si="140"/>
        <v>5</v>
      </c>
      <c r="V3569" s="9">
        <f t="shared" ca="1" si="141"/>
        <v>75</v>
      </c>
      <c r="AG3569" s="9" t="s">
        <v>19</v>
      </c>
    </row>
    <row r="3570" spans="1:33">
      <c r="A3570" s="3" t="s">
        <v>3665</v>
      </c>
      <c r="D3570" s="3" t="s">
        <v>9576</v>
      </c>
      <c r="E3570" s="3" t="s">
        <v>9577</v>
      </c>
      <c r="J3570" s="9" t="s">
        <v>12118</v>
      </c>
      <c r="Q3570" s="10"/>
      <c r="T3570" s="9">
        <f>2042-336</f>
        <v>1706</v>
      </c>
      <c r="U3570" s="9">
        <f t="shared" ca="1" si="140"/>
        <v>336</v>
      </c>
      <c r="V3570" s="9">
        <f t="shared" ca="1" si="141"/>
        <v>2042</v>
      </c>
      <c r="AG3570" s="9" t="s">
        <v>20</v>
      </c>
    </row>
    <row r="3571" spans="1:33">
      <c r="A3571" s="3" t="s">
        <v>3668</v>
      </c>
      <c r="D3571" s="3" t="s">
        <v>3669</v>
      </c>
      <c r="E3571" s="3" t="s">
        <v>742</v>
      </c>
      <c r="J3571" s="9" t="s">
        <v>12120</v>
      </c>
      <c r="Q3571" s="10"/>
      <c r="U3571" s="9" t="str">
        <f t="shared" ca="1" si="140"/>
        <v/>
      </c>
      <c r="V3571" s="9" t="str">
        <f t="shared" ca="1" si="141"/>
        <v/>
      </c>
      <c r="AB3571" s="9" t="s">
        <v>12124</v>
      </c>
      <c r="AC3571" s="9" t="s">
        <v>12173</v>
      </c>
      <c r="AD3571" s="9" t="s">
        <v>19</v>
      </c>
    </row>
    <row r="3572" spans="1:33">
      <c r="A3572" s="3" t="s">
        <v>3670</v>
      </c>
      <c r="D3572" s="3" t="s">
        <v>9578</v>
      </c>
      <c r="E3572" s="3" t="s">
        <v>9579</v>
      </c>
      <c r="J3572" s="9" t="s">
        <v>24</v>
      </c>
      <c r="L3572" s="9">
        <v>1</v>
      </c>
      <c r="M3572" s="9">
        <v>3</v>
      </c>
      <c r="N3572" s="9" t="s">
        <v>12087</v>
      </c>
      <c r="O3572" s="9" t="s">
        <v>12079</v>
      </c>
      <c r="Q3572" s="10"/>
      <c r="S3572" s="9">
        <v>309</v>
      </c>
      <c r="U3572" s="9" t="str">
        <f t="shared" ca="1" si="140"/>
        <v/>
      </c>
      <c r="V3572" s="9" t="str">
        <f t="shared" ca="1" si="141"/>
        <v/>
      </c>
      <c r="AG3572" s="9" t="s">
        <v>19</v>
      </c>
    </row>
    <row r="3573" spans="1:33">
      <c r="A3573" s="3" t="s">
        <v>3671</v>
      </c>
      <c r="D3573" s="3" t="s">
        <v>141</v>
      </c>
      <c r="E3573" s="3" t="s">
        <v>586</v>
      </c>
      <c r="J3573" s="9" t="s">
        <v>12120</v>
      </c>
      <c r="Q3573" s="10"/>
      <c r="U3573" s="9" t="str">
        <f t="shared" ca="1" si="140"/>
        <v/>
      </c>
      <c r="V3573" s="9" t="str">
        <f t="shared" ca="1" si="141"/>
        <v/>
      </c>
      <c r="AC3573" s="9" t="s">
        <v>12134</v>
      </c>
      <c r="AD3573" s="9" t="s">
        <v>19</v>
      </c>
    </row>
    <row r="3574" spans="1:33">
      <c r="A3574" s="3" t="s">
        <v>3672</v>
      </c>
      <c r="D3574" s="3" t="s">
        <v>1215</v>
      </c>
      <c r="E3574" s="3" t="s">
        <v>1128</v>
      </c>
      <c r="J3574" s="9" t="s">
        <v>12120</v>
      </c>
      <c r="Q3574" s="10"/>
      <c r="U3574" s="9" t="str">
        <f t="shared" ca="1" si="140"/>
        <v/>
      </c>
      <c r="V3574" s="9" t="str">
        <f t="shared" ca="1" si="141"/>
        <v/>
      </c>
      <c r="AE3574" s="9" t="s">
        <v>12089</v>
      </c>
    </row>
    <row r="3575" spans="1:33">
      <c r="A3575" s="3" t="s">
        <v>3672</v>
      </c>
      <c r="D3575" s="3" t="s">
        <v>3673</v>
      </c>
      <c r="E3575" s="3" t="s">
        <v>1990</v>
      </c>
      <c r="J3575" s="9" t="s">
        <v>12118</v>
      </c>
      <c r="Q3575" s="10"/>
      <c r="T3575" s="9" t="s">
        <v>12131</v>
      </c>
      <c r="U3575" s="9" t="str">
        <f t="shared" ca="1" si="140"/>
        <v/>
      </c>
      <c r="V3575" s="9" t="str">
        <f t="shared" ca="1" si="141"/>
        <v/>
      </c>
      <c r="AE3575" s="9" t="s">
        <v>12086</v>
      </c>
    </row>
    <row r="3576" spans="1:33">
      <c r="A3576" s="3" t="s">
        <v>3674</v>
      </c>
      <c r="D3576" s="3" t="s">
        <v>3675</v>
      </c>
      <c r="E3576" s="3" t="s">
        <v>3676</v>
      </c>
      <c r="J3576" s="9" t="s">
        <v>12120</v>
      </c>
      <c r="Q3576" s="10"/>
      <c r="U3576" s="9" t="str">
        <f t="shared" ca="1" si="140"/>
        <v/>
      </c>
      <c r="V3576" s="9" t="str">
        <f t="shared" ca="1" si="141"/>
        <v/>
      </c>
      <c r="AC3576" s="9" t="s">
        <v>12130</v>
      </c>
      <c r="AD3576" s="9" t="s">
        <v>19</v>
      </c>
    </row>
    <row r="3577" spans="1:33">
      <c r="A3577" s="3" t="s">
        <v>3674</v>
      </c>
      <c r="D3577" s="3" t="s">
        <v>9581</v>
      </c>
      <c r="E3577" s="3" t="s">
        <v>9580</v>
      </c>
      <c r="J3577" s="9" t="s">
        <v>24</v>
      </c>
      <c r="L3577" s="9">
        <v>1</v>
      </c>
      <c r="M3577" s="9">
        <v>2</v>
      </c>
      <c r="N3577" s="9" t="s">
        <v>12078</v>
      </c>
      <c r="O3577" s="9" t="s">
        <v>12119</v>
      </c>
      <c r="Q3577" s="10"/>
      <c r="S3577" s="9">
        <v>11843</v>
      </c>
      <c r="U3577" s="9" t="str">
        <f t="shared" ca="1" si="140"/>
        <v/>
      </c>
      <c r="V3577" s="9" t="str">
        <f t="shared" ca="1" si="141"/>
        <v/>
      </c>
      <c r="AG3577" s="9" t="s">
        <v>19</v>
      </c>
    </row>
    <row r="3578" spans="1:33">
      <c r="A3578" s="3" t="s">
        <v>3677</v>
      </c>
      <c r="D3578" s="3" t="s">
        <v>9583</v>
      </c>
      <c r="E3578" s="3" t="s">
        <v>9582</v>
      </c>
      <c r="J3578" s="9" t="s">
        <v>24</v>
      </c>
      <c r="L3578" s="9">
        <v>1</v>
      </c>
      <c r="M3578" s="9">
        <v>1</v>
      </c>
      <c r="N3578" s="9" t="s">
        <v>12078</v>
      </c>
      <c r="O3578" s="9" t="s">
        <v>12119</v>
      </c>
      <c r="Q3578" s="10"/>
      <c r="S3578" s="9">
        <v>11843</v>
      </c>
      <c r="U3578" s="9" t="str">
        <f t="shared" ca="1" si="140"/>
        <v/>
      </c>
      <c r="V3578" s="9" t="str">
        <f t="shared" ca="1" si="141"/>
        <v/>
      </c>
      <c r="AG3578" s="9" t="s">
        <v>19</v>
      </c>
    </row>
    <row r="3579" spans="1:33">
      <c r="A3579" s="3" t="s">
        <v>3677</v>
      </c>
      <c r="D3579" s="3" t="s">
        <v>3678</v>
      </c>
      <c r="E3579" s="3" t="s">
        <v>3679</v>
      </c>
      <c r="J3579" s="9" t="s">
        <v>12120</v>
      </c>
      <c r="Q3579" s="10"/>
      <c r="U3579" s="9" t="str">
        <f t="shared" ca="1" si="140"/>
        <v/>
      </c>
      <c r="V3579" s="9" t="str">
        <f t="shared" ca="1" si="141"/>
        <v/>
      </c>
      <c r="AE3579" s="9" t="s">
        <v>12086</v>
      </c>
    </row>
    <row r="3580" spans="1:33">
      <c r="A3580" s="3" t="s">
        <v>3677</v>
      </c>
      <c r="D3580" s="3" t="s">
        <v>3680</v>
      </c>
      <c r="E3580" s="3" t="s">
        <v>1344</v>
      </c>
      <c r="J3580" s="9" t="s">
        <v>12120</v>
      </c>
      <c r="Q3580" s="10"/>
      <c r="U3580" s="9" t="str">
        <f t="shared" ca="1" si="140"/>
        <v/>
      </c>
      <c r="V3580" s="9" t="str">
        <f t="shared" ca="1" si="141"/>
        <v/>
      </c>
      <c r="AE3580" s="9" t="s">
        <v>12086</v>
      </c>
    </row>
    <row r="3581" spans="1:33">
      <c r="A3581" s="3" t="s">
        <v>3677</v>
      </c>
      <c r="D3581" s="3" t="s">
        <v>9584</v>
      </c>
      <c r="E3581" s="3" t="s">
        <v>9585</v>
      </c>
      <c r="J3581" s="9" t="s">
        <v>12120</v>
      </c>
      <c r="Q3581" s="10"/>
      <c r="U3581" s="9" t="str">
        <f t="shared" ca="1" si="140"/>
        <v/>
      </c>
      <c r="V3581" s="9" t="str">
        <f t="shared" ca="1" si="141"/>
        <v/>
      </c>
      <c r="AC3581" s="9" t="s">
        <v>12191</v>
      </c>
      <c r="AD3581" s="9" t="s">
        <v>19</v>
      </c>
      <c r="AE3581" s="9" t="s">
        <v>12086</v>
      </c>
    </row>
    <row r="3582" spans="1:33" ht="29">
      <c r="A3582" s="3" t="s">
        <v>3681</v>
      </c>
      <c r="D3582" s="3" t="s">
        <v>9587</v>
      </c>
      <c r="E3582" s="3" t="s">
        <v>9586</v>
      </c>
      <c r="I3582" t="s">
        <v>12189</v>
      </c>
      <c r="J3582" s="9" t="s">
        <v>26</v>
      </c>
      <c r="Q3582" s="10"/>
      <c r="U3582" s="9" t="str">
        <f t="shared" ca="1" si="140"/>
        <v/>
      </c>
      <c r="V3582" s="9" t="str">
        <f t="shared" ca="1" si="141"/>
        <v/>
      </c>
      <c r="AG3582" s="9" t="s">
        <v>20</v>
      </c>
    </row>
    <row r="3583" spans="1:33">
      <c r="A3583" s="3" t="s">
        <v>3682</v>
      </c>
      <c r="D3583" s="3" t="s">
        <v>130</v>
      </c>
      <c r="E3583" s="3" t="s">
        <v>129</v>
      </c>
      <c r="J3583" s="9" t="s">
        <v>12120</v>
      </c>
      <c r="Q3583" s="10"/>
      <c r="U3583" s="9" t="str">
        <f t="shared" ca="1" si="140"/>
        <v/>
      </c>
      <c r="V3583" s="9" t="str">
        <f t="shared" ca="1" si="141"/>
        <v/>
      </c>
      <c r="AC3583" s="9" t="s">
        <v>12134</v>
      </c>
      <c r="AD3583" s="9" t="s">
        <v>19</v>
      </c>
    </row>
    <row r="3584" spans="1:33">
      <c r="A3584" s="3" t="s">
        <v>3682</v>
      </c>
      <c r="D3584" s="3" t="s">
        <v>3684</v>
      </c>
      <c r="E3584" s="3" t="s">
        <v>3683</v>
      </c>
      <c r="J3584" s="9" t="s">
        <v>12120</v>
      </c>
      <c r="Q3584" s="10"/>
      <c r="U3584" s="9" t="str">
        <f t="shared" ca="1" si="140"/>
        <v/>
      </c>
      <c r="V3584" s="9" t="str">
        <f t="shared" ca="1" si="141"/>
        <v/>
      </c>
      <c r="AC3584" s="9" t="s">
        <v>12742</v>
      </c>
      <c r="AD3584" s="9" t="s">
        <v>19</v>
      </c>
      <c r="AE3584" s="9" t="s">
        <v>12086</v>
      </c>
    </row>
    <row r="3585" spans="1:33">
      <c r="A3585" s="3" t="s">
        <v>3685</v>
      </c>
      <c r="D3585" s="3" t="s">
        <v>9588</v>
      </c>
      <c r="E3585" s="3" t="s">
        <v>9589</v>
      </c>
      <c r="J3585" s="9" t="s">
        <v>12121</v>
      </c>
      <c r="Q3585" s="10"/>
      <c r="T3585" s="9">
        <f>810-23</f>
        <v>787</v>
      </c>
      <c r="U3585" s="9">
        <f t="shared" ca="1" si="140"/>
        <v>23</v>
      </c>
      <c r="V3585" s="9">
        <f t="shared" ca="1" si="141"/>
        <v>810</v>
      </c>
      <c r="AC3585" s="9" t="s">
        <v>12173</v>
      </c>
      <c r="AD3585" s="9" t="s">
        <v>19</v>
      </c>
    </row>
    <row r="3586" spans="1:33">
      <c r="A3586" s="3" t="s">
        <v>3685</v>
      </c>
      <c r="D3586" s="3" t="s">
        <v>9590</v>
      </c>
      <c r="E3586" s="3" t="s">
        <v>9591</v>
      </c>
      <c r="J3586" s="9" t="s">
        <v>12118</v>
      </c>
      <c r="Q3586" s="10"/>
      <c r="R3586" s="9" t="s">
        <v>12074</v>
      </c>
      <c r="T3586" s="9" t="s">
        <v>12131</v>
      </c>
      <c r="U3586" s="9" t="str">
        <f t="shared" ca="1" si="140"/>
        <v/>
      </c>
      <c r="V3586" s="9" t="str">
        <f t="shared" ca="1" si="141"/>
        <v/>
      </c>
      <c r="AE3586" s="9" t="s">
        <v>12077</v>
      </c>
    </row>
    <row r="3587" spans="1:33">
      <c r="A3587" s="3" t="s">
        <v>3686</v>
      </c>
      <c r="D3587" s="3" t="s">
        <v>9592</v>
      </c>
      <c r="E3587" s="3" t="s">
        <v>9593</v>
      </c>
      <c r="J3587" s="9" t="s">
        <v>12120</v>
      </c>
      <c r="Q3587" s="10"/>
      <c r="U3587" s="9" t="str">
        <f t="shared" ca="1" si="140"/>
        <v/>
      </c>
      <c r="V3587" s="9" t="str">
        <f t="shared" ca="1" si="141"/>
        <v/>
      </c>
      <c r="AC3587" s="9" t="s">
        <v>12188</v>
      </c>
      <c r="AD3587" s="9" t="s">
        <v>19</v>
      </c>
      <c r="AE3587" s="9" t="s">
        <v>12086</v>
      </c>
    </row>
    <row r="3588" spans="1:33">
      <c r="A3588" s="3" t="s">
        <v>3687</v>
      </c>
      <c r="D3588" s="3" t="s">
        <v>3688</v>
      </c>
      <c r="E3588" s="3" t="s">
        <v>3113</v>
      </c>
      <c r="G3588" t="s">
        <v>19</v>
      </c>
      <c r="J3588" s="9" t="s">
        <v>12120</v>
      </c>
      <c r="Q3588" s="10"/>
      <c r="U3588" s="9" t="str">
        <f t="shared" ca="1" si="140"/>
        <v/>
      </c>
      <c r="V3588" s="9" t="str">
        <f t="shared" ca="1" si="141"/>
        <v/>
      </c>
      <c r="AC3588" s="9" t="s">
        <v>12134</v>
      </c>
      <c r="AD3588" s="9" t="s">
        <v>19</v>
      </c>
    </row>
    <row r="3589" spans="1:33">
      <c r="A3589" s="3" t="s">
        <v>3689</v>
      </c>
      <c r="D3589" s="3" t="s">
        <v>9594</v>
      </c>
      <c r="E3589" s="3" t="s">
        <v>9595</v>
      </c>
      <c r="J3589" s="9" t="s">
        <v>12120</v>
      </c>
      <c r="Q3589" s="10"/>
      <c r="U3589" s="9" t="str">
        <f t="shared" ca="1" si="140"/>
        <v/>
      </c>
      <c r="V3589" s="9" t="str">
        <f t="shared" ca="1" si="141"/>
        <v/>
      </c>
      <c r="AC3589" s="9" t="s">
        <v>12153</v>
      </c>
      <c r="AD3589" s="9" t="s">
        <v>19</v>
      </c>
      <c r="AE3589" s="9" t="s">
        <v>12086</v>
      </c>
    </row>
    <row r="3590" spans="1:33">
      <c r="A3590" s="3" t="s">
        <v>3689</v>
      </c>
      <c r="D3590" s="3" t="s">
        <v>12499</v>
      </c>
      <c r="E3590" s="3" t="s">
        <v>6429</v>
      </c>
      <c r="J3590" s="9" t="s">
        <v>12120</v>
      </c>
      <c r="Q3590" s="10"/>
      <c r="U3590" s="9" t="str">
        <f t="shared" ca="1" si="140"/>
        <v/>
      </c>
      <c r="V3590" s="9" t="str">
        <f t="shared" ca="1" si="141"/>
        <v/>
      </c>
      <c r="AC3590" s="9" t="s">
        <v>12173</v>
      </c>
      <c r="AD3590" s="9" t="s">
        <v>19</v>
      </c>
      <c r="AE3590" s="9" t="s">
        <v>12089</v>
      </c>
    </row>
    <row r="3591" spans="1:33">
      <c r="A3591" s="3" t="s">
        <v>3690</v>
      </c>
      <c r="D3591" s="3" t="s">
        <v>1215</v>
      </c>
      <c r="E3591" s="3" t="s">
        <v>1128</v>
      </c>
      <c r="J3591" s="9" t="s">
        <v>12120</v>
      </c>
      <c r="Q3591" s="10"/>
      <c r="U3591" s="9" t="str">
        <f t="shared" ca="1" si="140"/>
        <v/>
      </c>
      <c r="V3591" s="9" t="str">
        <f t="shared" ca="1" si="141"/>
        <v/>
      </c>
      <c r="AE3591" s="9" t="s">
        <v>12089</v>
      </c>
    </row>
    <row r="3592" spans="1:33">
      <c r="A3592" s="3" t="s">
        <v>3690</v>
      </c>
      <c r="D3592" s="3" t="s">
        <v>9597</v>
      </c>
      <c r="E3592" s="3" t="s">
        <v>9596</v>
      </c>
      <c r="J3592" s="9" t="s">
        <v>12120</v>
      </c>
      <c r="Q3592" s="10"/>
      <c r="U3592" s="9" t="str">
        <f t="shared" ca="1" si="140"/>
        <v/>
      </c>
      <c r="V3592" s="9" t="str">
        <f t="shared" ca="1" si="141"/>
        <v/>
      </c>
      <c r="AC3592" s="9" t="s">
        <v>12173</v>
      </c>
      <c r="AD3592" s="9" t="s">
        <v>19</v>
      </c>
      <c r="AE3592" s="9" t="s">
        <v>12089</v>
      </c>
    </row>
    <row r="3593" spans="1:33">
      <c r="A3593" s="3" t="s">
        <v>3690</v>
      </c>
      <c r="D3593" s="3" t="s">
        <v>9599</v>
      </c>
      <c r="E3593" s="3" t="s">
        <v>9598</v>
      </c>
      <c r="H3593" t="s">
        <v>19</v>
      </c>
      <c r="J3593" s="9" t="s">
        <v>25</v>
      </c>
      <c r="L3593" s="9">
        <v>1</v>
      </c>
      <c r="M3593" s="9">
        <v>2</v>
      </c>
      <c r="N3593" s="9" t="s">
        <v>12078</v>
      </c>
      <c r="O3593" s="9" t="s">
        <v>12119</v>
      </c>
      <c r="Q3593" s="10"/>
      <c r="S3593" s="9">
        <v>11843</v>
      </c>
      <c r="U3593" s="9" t="str">
        <f t="shared" ca="1" si="140"/>
        <v/>
      </c>
      <c r="V3593" s="9" t="str">
        <f t="shared" ca="1" si="141"/>
        <v/>
      </c>
      <c r="AG3593" s="9" t="s">
        <v>20</v>
      </c>
    </row>
    <row r="3594" spans="1:33">
      <c r="A3594" s="3" t="s">
        <v>3691</v>
      </c>
      <c r="D3594" s="3" t="s">
        <v>9600</v>
      </c>
      <c r="E3594" s="3" t="s">
        <v>9601</v>
      </c>
      <c r="J3594" s="9" t="s">
        <v>12120</v>
      </c>
      <c r="Q3594" s="10"/>
      <c r="U3594" s="9" t="str">
        <f t="shared" ca="1" si="140"/>
        <v/>
      </c>
      <c r="V3594" s="9" t="str">
        <f t="shared" ca="1" si="141"/>
        <v/>
      </c>
      <c r="AC3594" s="9" t="s">
        <v>12745</v>
      </c>
      <c r="AD3594" s="9" t="s">
        <v>19</v>
      </c>
    </row>
    <row r="3595" spans="1:33" ht="58">
      <c r="A3595" s="3" t="s">
        <v>3692</v>
      </c>
      <c r="D3595" s="3" t="s">
        <v>9603</v>
      </c>
      <c r="E3595" s="3" t="s">
        <v>9602</v>
      </c>
      <c r="I3595" t="s">
        <v>12500</v>
      </c>
      <c r="J3595" s="9" t="s">
        <v>25</v>
      </c>
      <c r="L3595" s="9">
        <v>7</v>
      </c>
      <c r="M3595" s="9">
        <v>36</v>
      </c>
      <c r="O3595" s="9" t="s">
        <v>12079</v>
      </c>
      <c r="Q3595" s="10"/>
      <c r="S3595" s="9">
        <v>3</v>
      </c>
      <c r="U3595" s="9" t="str">
        <f t="shared" ca="1" si="140"/>
        <v/>
      </c>
      <c r="V3595" s="9" t="str">
        <f t="shared" ca="1" si="141"/>
        <v/>
      </c>
      <c r="AG3595" s="9" t="s">
        <v>20</v>
      </c>
    </row>
    <row r="3596" spans="1:33">
      <c r="A3596" s="3" t="s">
        <v>3693</v>
      </c>
      <c r="D3596" s="3" t="s">
        <v>9604</v>
      </c>
      <c r="E3596" s="3" t="s">
        <v>9605</v>
      </c>
      <c r="J3596" s="9" t="s">
        <v>12118</v>
      </c>
      <c r="Q3596" s="10"/>
      <c r="T3596" s="9" t="s">
        <v>12131</v>
      </c>
      <c r="U3596" s="9" t="str">
        <f t="shared" ca="1" si="140"/>
        <v/>
      </c>
      <c r="V3596" s="9" t="str">
        <f t="shared" ca="1" si="141"/>
        <v/>
      </c>
      <c r="AC3596" s="9" t="s">
        <v>12166</v>
      </c>
      <c r="AD3596" s="9" t="s">
        <v>19</v>
      </c>
      <c r="AE3596" s="9" t="s">
        <v>12086</v>
      </c>
    </row>
    <row r="3597" spans="1:33">
      <c r="A3597" s="3" t="s">
        <v>3694</v>
      </c>
      <c r="D3597" s="3" t="s">
        <v>9606</v>
      </c>
      <c r="E3597" s="3" t="s">
        <v>3695</v>
      </c>
      <c r="J3597" s="9" t="s">
        <v>12120</v>
      </c>
      <c r="Q3597" s="10"/>
      <c r="U3597" s="9" t="str">
        <f t="shared" ca="1" si="140"/>
        <v/>
      </c>
      <c r="V3597" s="9" t="str">
        <f t="shared" ca="1" si="141"/>
        <v/>
      </c>
      <c r="AG3597" s="9" t="s">
        <v>19</v>
      </c>
    </row>
    <row r="3598" spans="1:33">
      <c r="A3598" s="3" t="s">
        <v>3696</v>
      </c>
      <c r="D3598" s="3" t="s">
        <v>3698</v>
      </c>
      <c r="E3598" s="3" t="s">
        <v>3697</v>
      </c>
      <c r="J3598" s="9" t="s">
        <v>12118</v>
      </c>
      <c r="Q3598" s="10"/>
      <c r="T3598" s="9">
        <f>37-1</f>
        <v>36</v>
      </c>
      <c r="U3598" s="9">
        <f t="shared" ca="1" si="140"/>
        <v>1</v>
      </c>
      <c r="V3598" s="9">
        <f t="shared" ca="1" si="141"/>
        <v>37</v>
      </c>
      <c r="AG3598" s="9" t="s">
        <v>20</v>
      </c>
    </row>
    <row r="3599" spans="1:33">
      <c r="A3599" s="3" t="s">
        <v>3699</v>
      </c>
      <c r="D3599" s="3" t="s">
        <v>3700</v>
      </c>
      <c r="E3599" s="3" t="s">
        <v>1621</v>
      </c>
      <c r="J3599" s="9" t="s">
        <v>12120</v>
      </c>
      <c r="Q3599" s="10"/>
      <c r="U3599" s="9" t="str">
        <f t="shared" ca="1" si="140"/>
        <v/>
      </c>
      <c r="V3599" s="9" t="str">
        <f t="shared" ca="1" si="141"/>
        <v/>
      </c>
      <c r="AC3599" s="9" t="s">
        <v>12144</v>
      </c>
      <c r="AD3599" s="9" t="s">
        <v>19</v>
      </c>
    </row>
    <row r="3600" spans="1:33">
      <c r="A3600" s="3" t="s">
        <v>3701</v>
      </c>
      <c r="D3600" s="3" t="s">
        <v>9607</v>
      </c>
      <c r="E3600" s="3" t="s">
        <v>9608</v>
      </c>
      <c r="J3600" s="9" t="s">
        <v>12118</v>
      </c>
      <c r="Q3600" s="10"/>
      <c r="T3600" s="9" t="s">
        <v>12131</v>
      </c>
      <c r="U3600" s="9" t="str">
        <f t="shared" ref="U3600:U3663" ca="1" si="142">IF(ISNUMBER(T3600),VALUE(MID(_xlfn.FORMULATEXT(T3600),SEARCH("-",_xlfn.FORMULATEXT(T3600))+1,LEN(_xlfn.FORMULATEXT(T3600))-SEARCH("-",_xlfn.FORMULATEXT(T3600)))), "")</f>
        <v/>
      </c>
      <c r="V3600" s="9" t="str">
        <f t="shared" ref="V3600:V3663" ca="1" si="143">IF(ISNUMBER(T3600), VALUE(MID(_xlfn.FORMULATEXT(T3600), 2, SEARCH("-", _xlfn.FORMULATEXT(T3600)) - 2)), "")</f>
        <v/>
      </c>
      <c r="AE3600" s="9" t="s">
        <v>12086</v>
      </c>
    </row>
    <row r="3601" spans="1:33">
      <c r="A3601" s="3" t="s">
        <v>3702</v>
      </c>
      <c r="D3601" s="3" t="s">
        <v>9609</v>
      </c>
      <c r="E3601" s="3" t="s">
        <v>9610</v>
      </c>
      <c r="G3601" t="s">
        <v>19</v>
      </c>
      <c r="J3601" s="9" t="s">
        <v>12120</v>
      </c>
      <c r="Q3601" s="10"/>
      <c r="U3601" s="9" t="str">
        <f t="shared" ca="1" si="142"/>
        <v/>
      </c>
      <c r="V3601" s="9" t="str">
        <f t="shared" ca="1" si="143"/>
        <v/>
      </c>
      <c r="AE3601" s="9" t="s">
        <v>12089</v>
      </c>
    </row>
    <row r="3602" spans="1:33" ht="29">
      <c r="A3602" s="3" t="s">
        <v>3702</v>
      </c>
      <c r="D3602" s="3" t="s">
        <v>9611</v>
      </c>
      <c r="E3602" s="3" t="s">
        <v>9612</v>
      </c>
      <c r="J3602" s="9" t="s">
        <v>24</v>
      </c>
      <c r="L3602" s="9">
        <v>1</v>
      </c>
      <c r="M3602" s="9">
        <v>11</v>
      </c>
      <c r="N3602" s="9" t="s">
        <v>12098</v>
      </c>
      <c r="O3602" s="9" t="s">
        <v>12073</v>
      </c>
      <c r="P3602" s="9" t="s">
        <v>12142</v>
      </c>
      <c r="Q3602" s="10" t="s">
        <v>12434</v>
      </c>
      <c r="R3602" s="9" t="s">
        <v>12074</v>
      </c>
      <c r="S3602" s="9">
        <v>74</v>
      </c>
      <c r="U3602" s="9" t="str">
        <f t="shared" ca="1" si="142"/>
        <v/>
      </c>
      <c r="V3602" s="9" t="str">
        <f t="shared" ca="1" si="143"/>
        <v/>
      </c>
      <c r="AE3602" s="9" t="s">
        <v>12083</v>
      </c>
    </row>
    <row r="3603" spans="1:33">
      <c r="A3603" s="3" t="s">
        <v>3703</v>
      </c>
      <c r="D3603" s="3" t="s">
        <v>9613</v>
      </c>
      <c r="E3603" s="3" t="s">
        <v>9614</v>
      </c>
      <c r="J3603" s="9" t="s">
        <v>12118</v>
      </c>
      <c r="Q3603" s="10"/>
      <c r="T3603" s="9">
        <f>356-887</f>
        <v>-531</v>
      </c>
      <c r="U3603" s="9">
        <f t="shared" ca="1" si="142"/>
        <v>887</v>
      </c>
      <c r="V3603" s="9">
        <f t="shared" ca="1" si="143"/>
        <v>356</v>
      </c>
      <c r="AG3603" s="9" t="s">
        <v>19</v>
      </c>
    </row>
    <row r="3604" spans="1:33">
      <c r="A3604" s="3" t="s">
        <v>3703</v>
      </c>
      <c r="D3604" s="3" t="s">
        <v>9616</v>
      </c>
      <c r="E3604" s="3" t="s">
        <v>9615</v>
      </c>
      <c r="G3604" t="s">
        <v>19</v>
      </c>
      <c r="J3604" s="9" t="s">
        <v>12120</v>
      </c>
      <c r="Q3604" s="10"/>
      <c r="U3604" s="9" t="str">
        <f t="shared" ca="1" si="142"/>
        <v/>
      </c>
      <c r="V3604" s="9" t="str">
        <f t="shared" ca="1" si="143"/>
        <v/>
      </c>
    </row>
    <row r="3605" spans="1:33">
      <c r="A3605" s="3" t="s">
        <v>3704</v>
      </c>
      <c r="D3605" s="3" t="s">
        <v>9618</v>
      </c>
      <c r="E3605" s="3" t="s">
        <v>9617</v>
      </c>
      <c r="J3605" s="9" t="s">
        <v>12118</v>
      </c>
      <c r="Q3605" s="10"/>
      <c r="T3605" s="9" t="s">
        <v>12131</v>
      </c>
      <c r="U3605" s="9" t="str">
        <f t="shared" ca="1" si="142"/>
        <v/>
      </c>
      <c r="V3605" s="9" t="str">
        <f t="shared" ca="1" si="143"/>
        <v/>
      </c>
      <c r="AC3605" s="9" t="s">
        <v>12166</v>
      </c>
      <c r="AD3605" s="9" t="s">
        <v>19</v>
      </c>
      <c r="AE3605" s="9" t="s">
        <v>12086</v>
      </c>
    </row>
    <row r="3606" spans="1:33">
      <c r="A3606" s="3" t="s">
        <v>3705</v>
      </c>
      <c r="D3606" s="3" t="s">
        <v>9619</v>
      </c>
      <c r="E3606" s="3" t="s">
        <v>9620</v>
      </c>
      <c r="I3606" t="s">
        <v>12501</v>
      </c>
      <c r="J3606" s="9" t="s">
        <v>12118</v>
      </c>
      <c r="Q3606" s="10"/>
      <c r="T3606" s="9">
        <f>11843-0</f>
        <v>11843</v>
      </c>
      <c r="U3606" s="9">
        <f t="shared" ca="1" si="142"/>
        <v>0</v>
      </c>
      <c r="V3606" s="9">
        <f t="shared" ca="1" si="143"/>
        <v>11843</v>
      </c>
      <c r="AC3606" s="9" t="s">
        <v>12153</v>
      </c>
      <c r="AD3606" s="9" t="s">
        <v>19</v>
      </c>
    </row>
    <row r="3607" spans="1:33">
      <c r="A3607" s="3" t="s">
        <v>3705</v>
      </c>
      <c r="D3607" s="3" t="s">
        <v>9621</v>
      </c>
      <c r="E3607" s="3" t="s">
        <v>9622</v>
      </c>
      <c r="J3607" s="9" t="s">
        <v>12120</v>
      </c>
      <c r="Q3607" s="10"/>
      <c r="U3607" s="9" t="str">
        <f t="shared" ca="1" si="142"/>
        <v/>
      </c>
      <c r="V3607" s="9" t="str">
        <f t="shared" ca="1" si="143"/>
        <v/>
      </c>
      <c r="AC3607" s="9" t="s">
        <v>12134</v>
      </c>
      <c r="AD3607" s="9" t="s">
        <v>19</v>
      </c>
    </row>
    <row r="3608" spans="1:33">
      <c r="A3608" s="3" t="s">
        <v>3706</v>
      </c>
      <c r="D3608" s="3" t="s">
        <v>9624</v>
      </c>
      <c r="E3608" s="3" t="s">
        <v>9623</v>
      </c>
      <c r="G3608" t="s">
        <v>19</v>
      </c>
      <c r="J3608" s="9" t="s">
        <v>24</v>
      </c>
      <c r="L3608" s="9">
        <v>1</v>
      </c>
      <c r="M3608" s="9">
        <v>1</v>
      </c>
      <c r="N3608" s="9" t="s">
        <v>12078</v>
      </c>
      <c r="O3608" s="9" t="s">
        <v>12119</v>
      </c>
      <c r="Q3608" s="10"/>
      <c r="S3608" s="9">
        <v>11843</v>
      </c>
      <c r="U3608" s="9" t="str">
        <f t="shared" ca="1" si="142"/>
        <v/>
      </c>
      <c r="V3608" s="9" t="str">
        <f t="shared" ca="1" si="143"/>
        <v/>
      </c>
    </row>
    <row r="3609" spans="1:33">
      <c r="A3609" s="3" t="s">
        <v>3707</v>
      </c>
      <c r="D3609" s="3" t="s">
        <v>9626</v>
      </c>
      <c r="E3609" s="3" t="s">
        <v>9625</v>
      </c>
      <c r="G3609" t="s">
        <v>19</v>
      </c>
      <c r="J3609" s="9" t="s">
        <v>12120</v>
      </c>
      <c r="Q3609" s="10"/>
      <c r="U3609" s="9" t="str">
        <f t="shared" ca="1" si="142"/>
        <v/>
      </c>
      <c r="V3609" s="9" t="str">
        <f t="shared" ca="1" si="143"/>
        <v/>
      </c>
      <c r="AC3609" s="9" t="s">
        <v>12130</v>
      </c>
      <c r="AD3609" s="9" t="s">
        <v>19</v>
      </c>
    </row>
    <row r="3610" spans="1:33">
      <c r="A3610" s="3" t="s">
        <v>3708</v>
      </c>
      <c r="D3610" s="3" t="s">
        <v>9627</v>
      </c>
      <c r="E3610" s="3" t="s">
        <v>9628</v>
      </c>
      <c r="J3610" s="9" t="s">
        <v>12118</v>
      </c>
      <c r="Q3610" s="10"/>
      <c r="T3610" s="9" t="s">
        <v>12131</v>
      </c>
      <c r="U3610" s="9" t="str">
        <f t="shared" ca="1" si="142"/>
        <v/>
      </c>
      <c r="V3610" s="9" t="str">
        <f t="shared" ca="1" si="143"/>
        <v/>
      </c>
      <c r="AE3610" s="9" t="s">
        <v>12086</v>
      </c>
    </row>
    <row r="3611" spans="1:33">
      <c r="A3611" s="3" t="s">
        <v>3709</v>
      </c>
      <c r="D3611" s="3" t="s">
        <v>3711</v>
      </c>
      <c r="E3611" s="3" t="s">
        <v>3710</v>
      </c>
      <c r="H3611" t="s">
        <v>19</v>
      </c>
      <c r="J3611" s="9" t="s">
        <v>12118</v>
      </c>
      <c r="Q3611" s="10"/>
      <c r="T3611" s="9">
        <f>2-27</f>
        <v>-25</v>
      </c>
      <c r="U3611" s="9">
        <f t="shared" ca="1" si="142"/>
        <v>27</v>
      </c>
      <c r="V3611" s="9">
        <f t="shared" ca="1" si="143"/>
        <v>2</v>
      </c>
      <c r="AG3611" s="9" t="s">
        <v>20</v>
      </c>
    </row>
    <row r="3612" spans="1:33">
      <c r="A3612" s="3" t="s">
        <v>3712</v>
      </c>
      <c r="D3612" s="3" t="s">
        <v>9629</v>
      </c>
      <c r="E3612" s="3" t="s">
        <v>9630</v>
      </c>
      <c r="J3612" s="9" t="s">
        <v>12120</v>
      </c>
      <c r="Q3612" s="10"/>
      <c r="U3612" s="9" t="str">
        <f t="shared" ca="1" si="142"/>
        <v/>
      </c>
      <c r="V3612" s="9" t="str">
        <f t="shared" ca="1" si="143"/>
        <v/>
      </c>
      <c r="AE3612" s="9" t="s">
        <v>12086</v>
      </c>
    </row>
    <row r="3613" spans="1:33">
      <c r="A3613" s="3" t="s">
        <v>3712</v>
      </c>
      <c r="D3613" s="3" t="s">
        <v>9631</v>
      </c>
      <c r="E3613" s="3" t="s">
        <v>9632</v>
      </c>
      <c r="J3613" s="9" t="s">
        <v>12120</v>
      </c>
      <c r="Q3613" s="10"/>
      <c r="U3613" s="9" t="str">
        <f t="shared" ca="1" si="142"/>
        <v/>
      </c>
      <c r="V3613" s="9" t="str">
        <f t="shared" ca="1" si="143"/>
        <v/>
      </c>
      <c r="AC3613" s="9" t="s">
        <v>12191</v>
      </c>
      <c r="AD3613" s="9" t="s">
        <v>19</v>
      </c>
    </row>
    <row r="3614" spans="1:33">
      <c r="A3614" s="3" t="s">
        <v>3712</v>
      </c>
      <c r="D3614" s="3" t="s">
        <v>9633</v>
      </c>
      <c r="E3614" s="3" t="s">
        <v>3713</v>
      </c>
      <c r="J3614" s="9" t="s">
        <v>12118</v>
      </c>
      <c r="Q3614" s="10"/>
      <c r="T3614" s="9" t="s">
        <v>12131</v>
      </c>
      <c r="U3614" s="9" t="str">
        <f t="shared" ca="1" si="142"/>
        <v/>
      </c>
      <c r="V3614" s="9" t="str">
        <f t="shared" ca="1" si="143"/>
        <v/>
      </c>
      <c r="AE3614" s="9" t="s">
        <v>12077</v>
      </c>
    </row>
    <row r="3615" spans="1:33">
      <c r="A3615" s="3" t="s">
        <v>3714</v>
      </c>
      <c r="D3615" s="3" t="s">
        <v>9634</v>
      </c>
      <c r="E3615" s="3" t="s">
        <v>9635</v>
      </c>
      <c r="J3615" s="9" t="s">
        <v>12120</v>
      </c>
      <c r="Q3615" s="10"/>
      <c r="U3615" s="9" t="str">
        <f t="shared" ca="1" si="142"/>
        <v/>
      </c>
      <c r="V3615" s="9" t="str">
        <f t="shared" ca="1" si="143"/>
        <v/>
      </c>
      <c r="AC3615" s="9" t="s">
        <v>12134</v>
      </c>
      <c r="AD3615" s="9" t="s">
        <v>19</v>
      </c>
    </row>
    <row r="3616" spans="1:33">
      <c r="A3616" s="3" t="s">
        <v>3715</v>
      </c>
      <c r="D3616" s="3" t="s">
        <v>9636</v>
      </c>
      <c r="E3616" s="3" t="s">
        <v>9637</v>
      </c>
      <c r="J3616" s="9" t="s">
        <v>12120</v>
      </c>
      <c r="Q3616" s="10"/>
      <c r="U3616" s="9" t="str">
        <f t="shared" ca="1" si="142"/>
        <v/>
      </c>
      <c r="V3616" s="9" t="str">
        <f t="shared" ca="1" si="143"/>
        <v/>
      </c>
      <c r="AB3616" s="9" t="s">
        <v>12737</v>
      </c>
      <c r="AD3616" s="9" t="s">
        <v>19</v>
      </c>
    </row>
    <row r="3617" spans="1:33">
      <c r="A3617" s="3" t="s">
        <v>3716</v>
      </c>
      <c r="D3617" s="3" t="s">
        <v>9639</v>
      </c>
      <c r="E3617" s="3" t="s">
        <v>9638</v>
      </c>
      <c r="J3617" s="9" t="s">
        <v>25</v>
      </c>
      <c r="L3617" s="9">
        <v>1</v>
      </c>
      <c r="M3617" s="9">
        <v>1</v>
      </c>
      <c r="N3617" s="9" t="s">
        <v>12094</v>
      </c>
      <c r="O3617" s="9" t="s">
        <v>12119</v>
      </c>
      <c r="Q3617" s="10"/>
      <c r="S3617" s="9">
        <v>780</v>
      </c>
      <c r="U3617" s="9" t="str">
        <f t="shared" ca="1" si="142"/>
        <v/>
      </c>
      <c r="V3617" s="9" t="str">
        <f t="shared" ca="1" si="143"/>
        <v/>
      </c>
      <c r="AG3617" s="9" t="s">
        <v>20</v>
      </c>
    </row>
    <row r="3618" spans="1:33">
      <c r="A3618" s="3" t="s">
        <v>3716</v>
      </c>
      <c r="D3618" s="3" t="s">
        <v>9641</v>
      </c>
      <c r="E3618" s="3" t="s">
        <v>9640</v>
      </c>
      <c r="J3618" s="9" t="s">
        <v>12120</v>
      </c>
      <c r="Q3618" s="10"/>
      <c r="U3618" s="9" t="str">
        <f t="shared" ca="1" si="142"/>
        <v/>
      </c>
      <c r="V3618" s="9" t="str">
        <f t="shared" ca="1" si="143"/>
        <v/>
      </c>
      <c r="AC3618" s="9" t="s">
        <v>12166</v>
      </c>
      <c r="AD3618" s="9" t="s">
        <v>19</v>
      </c>
    </row>
    <row r="3619" spans="1:33" ht="29">
      <c r="A3619" s="3" t="s">
        <v>3717</v>
      </c>
      <c r="D3619" s="3" t="s">
        <v>9642</v>
      </c>
      <c r="E3619" s="3" t="s">
        <v>9643</v>
      </c>
      <c r="J3619" s="9" t="s">
        <v>24</v>
      </c>
      <c r="L3619" s="9">
        <v>1</v>
      </c>
      <c r="M3619" s="9">
        <v>7</v>
      </c>
      <c r="N3619" s="9" t="s">
        <v>12125</v>
      </c>
      <c r="O3619" s="9" t="s">
        <v>12073</v>
      </c>
      <c r="P3619" s="9" t="s">
        <v>12142</v>
      </c>
      <c r="Q3619" s="10" t="s">
        <v>12156</v>
      </c>
      <c r="R3619" s="9" t="s">
        <v>12074</v>
      </c>
      <c r="S3619" s="9">
        <v>336</v>
      </c>
      <c r="U3619" s="9" t="str">
        <f t="shared" ca="1" si="142"/>
        <v/>
      </c>
      <c r="V3619" s="9" t="str">
        <f t="shared" ca="1" si="143"/>
        <v/>
      </c>
      <c r="AG3619" s="9" t="s">
        <v>20</v>
      </c>
    </row>
    <row r="3620" spans="1:33">
      <c r="A3620" s="3" t="s">
        <v>3718</v>
      </c>
      <c r="D3620" s="3" t="s">
        <v>9645</v>
      </c>
      <c r="E3620" s="3" t="s">
        <v>9644</v>
      </c>
      <c r="J3620" s="9" t="s">
        <v>12120</v>
      </c>
      <c r="Q3620" s="10"/>
      <c r="U3620" s="9" t="str">
        <f t="shared" ca="1" si="142"/>
        <v/>
      </c>
      <c r="V3620" s="9" t="str">
        <f t="shared" ca="1" si="143"/>
        <v/>
      </c>
      <c r="AB3620" s="9" t="s">
        <v>12082</v>
      </c>
      <c r="AD3620" s="9" t="s">
        <v>19</v>
      </c>
    </row>
    <row r="3621" spans="1:33">
      <c r="A3621" s="3" t="s">
        <v>3718</v>
      </c>
      <c r="D3621" s="3" t="s">
        <v>9647</v>
      </c>
      <c r="E3621" s="3" t="s">
        <v>9646</v>
      </c>
      <c r="J3621" s="9" t="s">
        <v>24</v>
      </c>
      <c r="L3621" s="9">
        <v>1</v>
      </c>
      <c r="M3621" s="9">
        <v>1</v>
      </c>
      <c r="N3621" s="9" t="s">
        <v>12078</v>
      </c>
      <c r="O3621" s="9" t="s">
        <v>12119</v>
      </c>
      <c r="Q3621" s="10"/>
      <c r="S3621" s="9">
        <v>11843</v>
      </c>
      <c r="U3621" s="9" t="str">
        <f t="shared" ca="1" si="142"/>
        <v/>
      </c>
      <c r="V3621" s="9" t="str">
        <f t="shared" ca="1" si="143"/>
        <v/>
      </c>
      <c r="AG3621" s="9" t="s">
        <v>19</v>
      </c>
    </row>
    <row r="3622" spans="1:33">
      <c r="A3622" s="3" t="s">
        <v>3718</v>
      </c>
      <c r="D3622" s="3" t="s">
        <v>3719</v>
      </c>
      <c r="E3622" s="3" t="s">
        <v>3720</v>
      </c>
      <c r="J3622" s="9" t="s">
        <v>12118</v>
      </c>
      <c r="Q3622" s="10"/>
      <c r="T3622" s="9" t="s">
        <v>12131</v>
      </c>
      <c r="U3622" s="9" t="str">
        <f t="shared" ca="1" si="142"/>
        <v/>
      </c>
      <c r="V3622" s="9" t="str">
        <f t="shared" ca="1" si="143"/>
        <v/>
      </c>
      <c r="AB3622" s="9" t="s">
        <v>12124</v>
      </c>
      <c r="AC3622" s="9" t="s">
        <v>12180</v>
      </c>
      <c r="AD3622" s="9" t="s">
        <v>19</v>
      </c>
    </row>
    <row r="3623" spans="1:33">
      <c r="A3623" s="3" t="s">
        <v>3721</v>
      </c>
      <c r="D3623" s="3" t="s">
        <v>9648</v>
      </c>
      <c r="E3623" s="3" t="s">
        <v>9649</v>
      </c>
      <c r="J3623" s="9" t="s">
        <v>12118</v>
      </c>
      <c r="Q3623" s="10"/>
      <c r="T3623" s="9" t="s">
        <v>12131</v>
      </c>
      <c r="U3623" s="9" t="str">
        <f t="shared" ca="1" si="142"/>
        <v/>
      </c>
      <c r="V3623" s="9" t="str">
        <f t="shared" ca="1" si="143"/>
        <v/>
      </c>
      <c r="AB3623" s="9" t="s">
        <v>12124</v>
      </c>
      <c r="AD3623" s="9" t="s">
        <v>19</v>
      </c>
    </row>
    <row r="3624" spans="1:33">
      <c r="A3624" s="3" t="s">
        <v>3721</v>
      </c>
      <c r="D3624" s="3" t="s">
        <v>9650</v>
      </c>
      <c r="E3624" s="3" t="s">
        <v>9651</v>
      </c>
      <c r="J3624" s="9" t="s">
        <v>12118</v>
      </c>
      <c r="Q3624" s="10"/>
      <c r="T3624" s="9">
        <f>19-207</f>
        <v>-188</v>
      </c>
      <c r="U3624" s="9">
        <f t="shared" ca="1" si="142"/>
        <v>207</v>
      </c>
      <c r="V3624" s="9">
        <f t="shared" ca="1" si="143"/>
        <v>19</v>
      </c>
      <c r="AG3624" s="9" t="s">
        <v>19</v>
      </c>
    </row>
    <row r="3625" spans="1:33">
      <c r="A3625" s="3" t="s">
        <v>3722</v>
      </c>
      <c r="D3625" s="3" t="s">
        <v>9653</v>
      </c>
      <c r="E3625" s="3" t="s">
        <v>9652</v>
      </c>
      <c r="J3625" s="9" t="s">
        <v>24</v>
      </c>
      <c r="L3625" s="9">
        <v>1</v>
      </c>
      <c r="M3625" s="9">
        <v>2</v>
      </c>
      <c r="N3625" s="9" t="s">
        <v>12078</v>
      </c>
      <c r="O3625" s="9" t="s">
        <v>12119</v>
      </c>
      <c r="Q3625" s="10"/>
      <c r="S3625" s="9">
        <v>11843</v>
      </c>
      <c r="U3625" s="9" t="str">
        <f t="shared" ca="1" si="142"/>
        <v/>
      </c>
      <c r="V3625" s="9" t="str">
        <f t="shared" ca="1" si="143"/>
        <v/>
      </c>
      <c r="AG3625" s="9" t="s">
        <v>19</v>
      </c>
    </row>
    <row r="3626" spans="1:33">
      <c r="A3626" s="3" t="s">
        <v>3722</v>
      </c>
      <c r="D3626" s="3" t="s">
        <v>9654</v>
      </c>
      <c r="E3626" s="3" t="s">
        <v>9655</v>
      </c>
      <c r="J3626" s="9" t="s">
        <v>12118</v>
      </c>
      <c r="Q3626" s="10"/>
      <c r="R3626" s="9" t="s">
        <v>12074</v>
      </c>
      <c r="T3626" s="9" t="s">
        <v>12131</v>
      </c>
      <c r="U3626" s="9" t="str">
        <f t="shared" ca="1" si="142"/>
        <v/>
      </c>
      <c r="V3626" s="9" t="str">
        <f t="shared" ca="1" si="143"/>
        <v/>
      </c>
      <c r="AE3626" s="9" t="s">
        <v>12086</v>
      </c>
    </row>
    <row r="3627" spans="1:33">
      <c r="A3627" s="3" t="s">
        <v>3723</v>
      </c>
      <c r="D3627" s="3" t="s">
        <v>9656</v>
      </c>
      <c r="E3627" s="3" t="s">
        <v>9657</v>
      </c>
      <c r="J3627" s="9" t="s">
        <v>12120</v>
      </c>
      <c r="Q3627" s="10"/>
      <c r="U3627" s="9" t="str">
        <f t="shared" ca="1" si="142"/>
        <v/>
      </c>
      <c r="V3627" s="9" t="str">
        <f t="shared" ca="1" si="143"/>
        <v/>
      </c>
      <c r="AC3627" s="9" t="s">
        <v>12153</v>
      </c>
      <c r="AD3627" s="9" t="s">
        <v>19</v>
      </c>
      <c r="AE3627" s="9" t="s">
        <v>12086</v>
      </c>
    </row>
    <row r="3628" spans="1:33">
      <c r="A3628" s="3" t="s">
        <v>3724</v>
      </c>
      <c r="D3628" s="3" t="s">
        <v>3725</v>
      </c>
      <c r="E3628" s="3" t="s">
        <v>3726</v>
      </c>
      <c r="J3628" s="9" t="s">
        <v>12118</v>
      </c>
      <c r="Q3628" s="10"/>
      <c r="T3628" s="9" t="s">
        <v>12131</v>
      </c>
      <c r="U3628" s="9" t="str">
        <f t="shared" ca="1" si="142"/>
        <v/>
      </c>
      <c r="V3628" s="9" t="str">
        <f t="shared" ca="1" si="143"/>
        <v/>
      </c>
      <c r="AC3628" s="9" t="s">
        <v>12134</v>
      </c>
      <c r="AD3628" s="9" t="s">
        <v>19</v>
      </c>
      <c r="AE3628" s="9" t="s">
        <v>12086</v>
      </c>
    </row>
    <row r="3629" spans="1:33">
      <c r="A3629" s="3" t="s">
        <v>3727</v>
      </c>
      <c r="D3629" s="3" t="s">
        <v>3728</v>
      </c>
      <c r="E3629" s="3" t="s">
        <v>3729</v>
      </c>
      <c r="J3629" s="9" t="s">
        <v>12120</v>
      </c>
      <c r="Q3629" s="10"/>
      <c r="U3629" s="9" t="str">
        <f t="shared" ca="1" si="142"/>
        <v/>
      </c>
      <c r="V3629" s="9" t="str">
        <f t="shared" ca="1" si="143"/>
        <v/>
      </c>
      <c r="AC3629" s="9" t="s">
        <v>12130</v>
      </c>
      <c r="AD3629" s="9" t="s">
        <v>19</v>
      </c>
      <c r="AE3629" s="9" t="s">
        <v>12077</v>
      </c>
    </row>
    <row r="3630" spans="1:33">
      <c r="A3630" s="3" t="s">
        <v>3727</v>
      </c>
      <c r="D3630" s="3" t="s">
        <v>3725</v>
      </c>
      <c r="E3630" s="3" t="s">
        <v>3726</v>
      </c>
      <c r="J3630" s="9" t="s">
        <v>12118</v>
      </c>
      <c r="Q3630" s="10"/>
      <c r="T3630" s="9" t="s">
        <v>12131</v>
      </c>
      <c r="U3630" s="9" t="str">
        <f t="shared" ca="1" si="142"/>
        <v/>
      </c>
      <c r="V3630" s="9" t="str">
        <f t="shared" ca="1" si="143"/>
        <v/>
      </c>
      <c r="AC3630" s="9" t="s">
        <v>12134</v>
      </c>
      <c r="AD3630" s="9" t="s">
        <v>19</v>
      </c>
      <c r="AE3630" s="9" t="s">
        <v>12086</v>
      </c>
    </row>
    <row r="3631" spans="1:33">
      <c r="A3631" s="3" t="s">
        <v>3730</v>
      </c>
      <c r="D3631" s="3" t="s">
        <v>3731</v>
      </c>
      <c r="E3631" s="3" t="s">
        <v>2120</v>
      </c>
      <c r="J3631" s="9" t="s">
        <v>12118</v>
      </c>
      <c r="Q3631" s="10"/>
      <c r="T3631" s="9" t="s">
        <v>12131</v>
      </c>
      <c r="U3631" s="9" t="str">
        <f t="shared" ca="1" si="142"/>
        <v/>
      </c>
      <c r="V3631" s="9" t="str">
        <f t="shared" ca="1" si="143"/>
        <v/>
      </c>
      <c r="AC3631" s="9" t="s">
        <v>12134</v>
      </c>
      <c r="AD3631" s="9" t="s">
        <v>19</v>
      </c>
      <c r="AE3631" s="9" t="s">
        <v>12086</v>
      </c>
    </row>
    <row r="3632" spans="1:33">
      <c r="A3632" s="3" t="s">
        <v>3732</v>
      </c>
      <c r="D3632" s="3" t="s">
        <v>9658</v>
      </c>
      <c r="E3632" s="5" t="s">
        <v>9658</v>
      </c>
      <c r="F3632" t="s">
        <v>32</v>
      </c>
      <c r="G3632" t="s">
        <v>19</v>
      </c>
      <c r="I3632" t="s">
        <v>9659</v>
      </c>
      <c r="J3632" s="9" t="s">
        <v>24</v>
      </c>
      <c r="L3632" s="9">
        <v>1</v>
      </c>
      <c r="M3632" s="9">
        <v>3</v>
      </c>
      <c r="N3632" s="9" t="s">
        <v>12096</v>
      </c>
      <c r="O3632" s="9" t="s">
        <v>12079</v>
      </c>
      <c r="Q3632" s="10"/>
      <c r="S3632" s="9">
        <v>1101</v>
      </c>
      <c r="U3632" s="9" t="str">
        <f t="shared" ca="1" si="142"/>
        <v/>
      </c>
      <c r="V3632" s="9" t="str">
        <f t="shared" ca="1" si="143"/>
        <v/>
      </c>
      <c r="AE3632" s="9" t="s">
        <v>12089</v>
      </c>
    </row>
    <row r="3633" spans="1:33">
      <c r="A3633" s="3" t="s">
        <v>3732</v>
      </c>
      <c r="D3633" s="3" t="s">
        <v>9660</v>
      </c>
      <c r="E3633" s="3" t="s">
        <v>9661</v>
      </c>
      <c r="J3633" s="9" t="s">
        <v>12120</v>
      </c>
      <c r="Q3633" s="10"/>
      <c r="U3633" s="9" t="str">
        <f t="shared" ca="1" si="142"/>
        <v/>
      </c>
      <c r="V3633" s="9" t="str">
        <f t="shared" ca="1" si="143"/>
        <v/>
      </c>
      <c r="AC3633" s="9" t="s">
        <v>12134</v>
      </c>
      <c r="AD3633" s="9" t="s">
        <v>19</v>
      </c>
    </row>
    <row r="3634" spans="1:33">
      <c r="A3634" s="3" t="s">
        <v>3733</v>
      </c>
      <c r="D3634" s="3" t="s">
        <v>9662</v>
      </c>
      <c r="E3634" s="3" t="s">
        <v>9663</v>
      </c>
      <c r="J3634" s="9" t="s">
        <v>12118</v>
      </c>
      <c r="Q3634" s="10"/>
      <c r="T3634" s="9">
        <f>810-23</f>
        <v>787</v>
      </c>
      <c r="U3634" s="9">
        <f t="shared" ca="1" si="142"/>
        <v>23</v>
      </c>
      <c r="V3634" s="9">
        <f t="shared" ca="1" si="143"/>
        <v>810</v>
      </c>
      <c r="AC3634" s="9" t="s">
        <v>12173</v>
      </c>
      <c r="AD3634" s="9" t="s">
        <v>19</v>
      </c>
    </row>
    <row r="3635" spans="1:33" ht="29">
      <c r="A3635" s="3" t="s">
        <v>3734</v>
      </c>
      <c r="D3635" s="3" t="s">
        <v>9664</v>
      </c>
      <c r="E3635" s="3" t="s">
        <v>9665</v>
      </c>
      <c r="J3635" s="9" t="s">
        <v>12120</v>
      </c>
      <c r="Q3635" s="10"/>
      <c r="U3635" s="9" t="str">
        <f t="shared" ca="1" si="142"/>
        <v/>
      </c>
      <c r="V3635" s="9" t="str">
        <f t="shared" ca="1" si="143"/>
        <v/>
      </c>
      <c r="AE3635" s="9" t="s">
        <v>12089</v>
      </c>
    </row>
    <row r="3636" spans="1:33">
      <c r="A3636" s="3" t="s">
        <v>3735</v>
      </c>
      <c r="D3636" s="3" t="s">
        <v>9666</v>
      </c>
      <c r="E3636" s="3" t="s">
        <v>3736</v>
      </c>
      <c r="J3636" s="9" t="s">
        <v>12120</v>
      </c>
      <c r="Q3636" s="10"/>
      <c r="U3636" s="9" t="str">
        <f t="shared" ca="1" si="142"/>
        <v/>
      </c>
      <c r="V3636" s="9" t="str">
        <f t="shared" ca="1" si="143"/>
        <v/>
      </c>
      <c r="AE3636" s="9" t="s">
        <v>12086</v>
      </c>
    </row>
    <row r="3637" spans="1:33">
      <c r="A3637" s="3" t="s">
        <v>3737</v>
      </c>
      <c r="D3637" s="3" t="s">
        <v>3728</v>
      </c>
      <c r="E3637" s="3" t="s">
        <v>3729</v>
      </c>
      <c r="J3637" s="9" t="s">
        <v>12120</v>
      </c>
      <c r="Q3637" s="10"/>
      <c r="U3637" s="9" t="str">
        <f t="shared" ca="1" si="142"/>
        <v/>
      </c>
      <c r="V3637" s="9" t="str">
        <f t="shared" ca="1" si="143"/>
        <v/>
      </c>
      <c r="AC3637" s="9" t="s">
        <v>12130</v>
      </c>
      <c r="AD3637" s="9" t="s">
        <v>19</v>
      </c>
    </row>
    <row r="3638" spans="1:33">
      <c r="A3638" s="3" t="s">
        <v>3738</v>
      </c>
      <c r="D3638" s="3" t="s">
        <v>520</v>
      </c>
      <c r="E3638" s="3" t="s">
        <v>9667</v>
      </c>
      <c r="J3638" s="9" t="s">
        <v>12120</v>
      </c>
      <c r="Q3638" s="10"/>
      <c r="U3638" s="9" t="str">
        <f t="shared" ca="1" si="142"/>
        <v/>
      </c>
      <c r="V3638" s="9" t="str">
        <f t="shared" ca="1" si="143"/>
        <v/>
      </c>
      <c r="AE3638" s="9" t="s">
        <v>12077</v>
      </c>
    </row>
    <row r="3639" spans="1:33">
      <c r="A3639" s="3" t="s">
        <v>3738</v>
      </c>
      <c r="D3639" s="3" t="s">
        <v>9668</v>
      </c>
      <c r="E3639" s="3" t="s">
        <v>9669</v>
      </c>
      <c r="J3639" s="9" t="s">
        <v>12120</v>
      </c>
      <c r="Q3639" s="10"/>
      <c r="U3639" s="9" t="str">
        <f t="shared" ca="1" si="142"/>
        <v/>
      </c>
      <c r="V3639" s="9" t="str">
        <f t="shared" ca="1" si="143"/>
        <v/>
      </c>
      <c r="AG3639" s="9" t="s">
        <v>20</v>
      </c>
    </row>
    <row r="3640" spans="1:33">
      <c r="A3640" s="3" t="s">
        <v>3739</v>
      </c>
      <c r="D3640" s="3" t="s">
        <v>12929</v>
      </c>
      <c r="E3640" s="3" t="s">
        <v>9670</v>
      </c>
      <c r="J3640" s="9" t="s">
        <v>24</v>
      </c>
      <c r="L3640" s="9">
        <v>1</v>
      </c>
      <c r="M3640" s="9">
        <v>1</v>
      </c>
      <c r="N3640" s="9" t="s">
        <v>12078</v>
      </c>
      <c r="O3640" s="9" t="s">
        <v>12119</v>
      </c>
      <c r="Q3640" s="10"/>
      <c r="S3640" s="9">
        <v>11843</v>
      </c>
      <c r="U3640" s="9" t="str">
        <f t="shared" ca="1" si="142"/>
        <v/>
      </c>
      <c r="V3640" s="9" t="str">
        <f t="shared" ca="1" si="143"/>
        <v/>
      </c>
      <c r="AG3640" s="9" t="s">
        <v>19</v>
      </c>
    </row>
    <row r="3641" spans="1:33" ht="29">
      <c r="A3641" s="3" t="s">
        <v>3740</v>
      </c>
      <c r="D3641" s="3" t="s">
        <v>9672</v>
      </c>
      <c r="E3641" s="3" t="s">
        <v>9671</v>
      </c>
      <c r="J3641" s="9" t="s">
        <v>24</v>
      </c>
      <c r="L3641" s="9">
        <v>1</v>
      </c>
      <c r="M3641" s="9">
        <v>10</v>
      </c>
      <c r="N3641" s="9" t="s">
        <v>12098</v>
      </c>
      <c r="O3641" s="9" t="s">
        <v>12079</v>
      </c>
      <c r="Q3641" s="10"/>
      <c r="S3641" s="9">
        <v>53</v>
      </c>
      <c r="U3641" s="9" t="str">
        <f t="shared" ca="1" si="142"/>
        <v/>
      </c>
      <c r="V3641" s="9" t="str">
        <f t="shared" ca="1" si="143"/>
        <v/>
      </c>
      <c r="AG3641" s="9" t="s">
        <v>19</v>
      </c>
    </row>
    <row r="3642" spans="1:33">
      <c r="A3642" s="3" t="s">
        <v>3741</v>
      </c>
      <c r="D3642" s="3" t="s">
        <v>9673</v>
      </c>
      <c r="E3642" s="3" t="s">
        <v>9673</v>
      </c>
      <c r="G3642" t="s">
        <v>20</v>
      </c>
      <c r="I3642" t="s">
        <v>9674</v>
      </c>
      <c r="Q3642" s="10"/>
      <c r="U3642" s="9" t="str">
        <f t="shared" ca="1" si="142"/>
        <v/>
      </c>
      <c r="V3642" s="9" t="str">
        <f t="shared" ca="1" si="143"/>
        <v/>
      </c>
    </row>
    <row r="3643" spans="1:33">
      <c r="A3643" s="3" t="s">
        <v>3742</v>
      </c>
      <c r="D3643" s="3" t="s">
        <v>9676</v>
      </c>
      <c r="E3643" s="3" t="s">
        <v>9675</v>
      </c>
      <c r="J3643" s="9" t="s">
        <v>12118</v>
      </c>
      <c r="Q3643" s="10"/>
      <c r="T3643" s="9">
        <f>134-148</f>
        <v>-14</v>
      </c>
      <c r="U3643" s="9">
        <f t="shared" ca="1" si="142"/>
        <v>148</v>
      </c>
      <c r="V3643" s="9">
        <f t="shared" ca="1" si="143"/>
        <v>134</v>
      </c>
      <c r="AG3643" s="9" t="s">
        <v>19</v>
      </c>
    </row>
    <row r="3644" spans="1:33" ht="29">
      <c r="A3644" s="3" t="s">
        <v>3742</v>
      </c>
      <c r="D3644" s="3" t="s">
        <v>9678</v>
      </c>
      <c r="E3644" s="3" t="s">
        <v>9677</v>
      </c>
      <c r="G3644" t="s">
        <v>20</v>
      </c>
      <c r="I3644" t="s">
        <v>9679</v>
      </c>
      <c r="J3644" s="9" t="s">
        <v>12120</v>
      </c>
      <c r="Q3644" s="10"/>
      <c r="U3644" s="9" t="str">
        <f t="shared" ca="1" si="142"/>
        <v/>
      </c>
      <c r="V3644" s="9" t="str">
        <f t="shared" ca="1" si="143"/>
        <v/>
      </c>
      <c r="AG3644" s="9" t="s">
        <v>19</v>
      </c>
    </row>
    <row r="3645" spans="1:33" ht="29">
      <c r="A3645" s="3" t="s">
        <v>3743</v>
      </c>
      <c r="D3645" s="3" t="s">
        <v>9681</v>
      </c>
      <c r="E3645" s="3" t="s">
        <v>9680</v>
      </c>
      <c r="I3645" t="s">
        <v>12502</v>
      </c>
      <c r="J3645" s="9" t="s">
        <v>25</v>
      </c>
      <c r="L3645" s="9">
        <v>3</v>
      </c>
      <c r="M3645" s="9">
        <v>12</v>
      </c>
      <c r="O3645" s="9" t="s">
        <v>12079</v>
      </c>
      <c r="Q3645" s="10"/>
      <c r="S3645" s="9">
        <v>169</v>
      </c>
      <c r="U3645" s="9" t="str">
        <f t="shared" ca="1" si="142"/>
        <v/>
      </c>
      <c r="V3645" s="9" t="str">
        <f t="shared" ca="1" si="143"/>
        <v/>
      </c>
      <c r="AE3645" s="9" t="s">
        <v>12083</v>
      </c>
    </row>
    <row r="3646" spans="1:33">
      <c r="A3646" s="3" t="s">
        <v>3744</v>
      </c>
      <c r="D3646" s="3" t="s">
        <v>9683</v>
      </c>
      <c r="E3646" s="3" t="s">
        <v>9682</v>
      </c>
      <c r="J3646" s="9" t="s">
        <v>25</v>
      </c>
      <c r="L3646" s="9">
        <v>1</v>
      </c>
      <c r="M3646" s="9">
        <v>1</v>
      </c>
      <c r="N3646" s="9" t="s">
        <v>12078</v>
      </c>
      <c r="O3646" s="9" t="s">
        <v>12119</v>
      </c>
      <c r="Q3646" s="10"/>
      <c r="S3646" s="9">
        <v>11843</v>
      </c>
      <c r="U3646" s="9" t="str">
        <f t="shared" ca="1" si="142"/>
        <v/>
      </c>
      <c r="V3646" s="9" t="str">
        <f t="shared" ca="1" si="143"/>
        <v/>
      </c>
      <c r="AG3646" s="9" t="s">
        <v>19</v>
      </c>
    </row>
    <row r="3647" spans="1:33">
      <c r="A3647" s="3" t="s">
        <v>3745</v>
      </c>
      <c r="D3647" s="3" t="s">
        <v>9685</v>
      </c>
      <c r="E3647" s="3" t="s">
        <v>9686</v>
      </c>
      <c r="G3647" t="s">
        <v>19</v>
      </c>
      <c r="J3647" s="9" t="s">
        <v>24</v>
      </c>
      <c r="L3647" s="9">
        <v>1</v>
      </c>
      <c r="M3647" s="9">
        <v>3</v>
      </c>
      <c r="N3647" s="9" t="s">
        <v>12094</v>
      </c>
      <c r="O3647" s="9" t="s">
        <v>12079</v>
      </c>
      <c r="Q3647" s="10"/>
      <c r="S3647" s="9">
        <v>1496</v>
      </c>
      <c r="U3647" s="9" t="str">
        <f t="shared" ca="1" si="142"/>
        <v/>
      </c>
      <c r="V3647" s="9" t="str">
        <f t="shared" ca="1" si="143"/>
        <v/>
      </c>
    </row>
    <row r="3648" spans="1:33">
      <c r="A3648" s="3" t="s">
        <v>3745</v>
      </c>
      <c r="D3648" s="3" t="s">
        <v>9687</v>
      </c>
      <c r="E3648" s="3" t="s">
        <v>9684</v>
      </c>
      <c r="J3648" s="9" t="s">
        <v>25</v>
      </c>
      <c r="L3648" s="9">
        <v>1</v>
      </c>
      <c r="M3648" s="9">
        <v>1</v>
      </c>
      <c r="N3648" s="9" t="s">
        <v>12078</v>
      </c>
      <c r="O3648" s="9" t="s">
        <v>12119</v>
      </c>
      <c r="Q3648" s="10"/>
      <c r="S3648" s="9">
        <v>11843</v>
      </c>
      <c r="U3648" s="9" t="str">
        <f t="shared" ca="1" si="142"/>
        <v/>
      </c>
      <c r="V3648" s="9" t="str">
        <f t="shared" ca="1" si="143"/>
        <v/>
      </c>
      <c r="AG3648" s="9" t="s">
        <v>19</v>
      </c>
    </row>
    <row r="3649" spans="1:33">
      <c r="A3649" s="3" t="s">
        <v>3746</v>
      </c>
      <c r="D3649" s="3" t="s">
        <v>2919</v>
      </c>
      <c r="E3649" s="3" t="s">
        <v>3747</v>
      </c>
      <c r="J3649" s="9" t="s">
        <v>12118</v>
      </c>
      <c r="Q3649" s="10"/>
      <c r="T3649" s="9">
        <f>7-7</f>
        <v>0</v>
      </c>
      <c r="U3649" s="9">
        <f t="shared" ca="1" si="142"/>
        <v>7</v>
      </c>
      <c r="V3649" s="9">
        <f t="shared" ca="1" si="143"/>
        <v>7</v>
      </c>
      <c r="AG3649" s="9" t="s">
        <v>19</v>
      </c>
    </row>
    <row r="3650" spans="1:33">
      <c r="A3650" s="3" t="s">
        <v>3748</v>
      </c>
      <c r="D3650" s="3" t="s">
        <v>9688</v>
      </c>
      <c r="E3650" s="3" t="s">
        <v>9689</v>
      </c>
      <c r="J3650" s="9" t="s">
        <v>24</v>
      </c>
      <c r="L3650" s="9">
        <v>1</v>
      </c>
      <c r="M3650" s="9">
        <v>2</v>
      </c>
      <c r="N3650" s="9" t="s">
        <v>12087</v>
      </c>
      <c r="O3650" s="9" t="s">
        <v>12119</v>
      </c>
      <c r="Q3650" s="10"/>
      <c r="R3650" s="9" t="s">
        <v>12074</v>
      </c>
      <c r="S3650" s="9">
        <v>1966</v>
      </c>
      <c r="U3650" s="9" t="str">
        <f t="shared" ca="1" si="142"/>
        <v/>
      </c>
      <c r="V3650" s="9" t="str">
        <f t="shared" ca="1" si="143"/>
        <v/>
      </c>
      <c r="AE3650" s="9" t="s">
        <v>12083</v>
      </c>
    </row>
    <row r="3651" spans="1:33">
      <c r="A3651" s="3" t="s">
        <v>3748</v>
      </c>
      <c r="D3651" s="3" t="s">
        <v>9691</v>
      </c>
      <c r="E3651" s="3" t="s">
        <v>9690</v>
      </c>
      <c r="J3651" s="9" t="s">
        <v>12120</v>
      </c>
      <c r="Q3651" s="10"/>
      <c r="U3651" s="9" t="str">
        <f t="shared" ca="1" si="142"/>
        <v/>
      </c>
      <c r="V3651" s="9" t="str">
        <f t="shared" ca="1" si="143"/>
        <v/>
      </c>
      <c r="AE3651" s="9" t="s">
        <v>12086</v>
      </c>
    </row>
    <row r="3652" spans="1:33">
      <c r="A3652" s="3" t="s">
        <v>3748</v>
      </c>
      <c r="D3652" s="3" t="s">
        <v>9693</v>
      </c>
      <c r="E3652" s="3" t="s">
        <v>9692</v>
      </c>
      <c r="J3652" s="9" t="s">
        <v>24</v>
      </c>
      <c r="L3652" s="9">
        <v>1</v>
      </c>
      <c r="M3652" s="9">
        <v>1</v>
      </c>
      <c r="N3652" s="9" t="s">
        <v>12078</v>
      </c>
      <c r="O3652" s="9" t="s">
        <v>12119</v>
      </c>
      <c r="Q3652" s="10"/>
      <c r="S3652" s="9">
        <v>11843</v>
      </c>
      <c r="U3652" s="9" t="str">
        <f t="shared" ca="1" si="142"/>
        <v/>
      </c>
      <c r="V3652" s="9" t="str">
        <f t="shared" ca="1" si="143"/>
        <v/>
      </c>
      <c r="AG3652" s="9" t="s">
        <v>19</v>
      </c>
    </row>
    <row r="3653" spans="1:33">
      <c r="A3653" s="3" t="s">
        <v>3749</v>
      </c>
      <c r="D3653" s="3" t="s">
        <v>9695</v>
      </c>
      <c r="E3653" s="3" t="s">
        <v>9694</v>
      </c>
      <c r="G3653" t="s">
        <v>19</v>
      </c>
      <c r="J3653" s="9" t="s">
        <v>25</v>
      </c>
      <c r="L3653" s="9">
        <v>1</v>
      </c>
      <c r="M3653" s="9">
        <v>3</v>
      </c>
      <c r="N3653" s="9" t="s">
        <v>12078</v>
      </c>
      <c r="O3653" s="9" t="s">
        <v>12073</v>
      </c>
      <c r="P3653" s="9" t="s">
        <v>12142</v>
      </c>
      <c r="Q3653" s="10" t="s">
        <v>12143</v>
      </c>
      <c r="R3653" s="9" t="s">
        <v>12074</v>
      </c>
      <c r="S3653" s="9">
        <v>11843</v>
      </c>
      <c r="U3653" s="9" t="str">
        <f t="shared" ca="1" si="142"/>
        <v/>
      </c>
      <c r="V3653" s="9" t="str">
        <f t="shared" ca="1" si="143"/>
        <v/>
      </c>
      <c r="AE3653" s="9" t="s">
        <v>12089</v>
      </c>
    </row>
    <row r="3654" spans="1:33">
      <c r="A3654" s="3" t="s">
        <v>3750</v>
      </c>
      <c r="D3654" s="3" t="s">
        <v>9697</v>
      </c>
      <c r="E3654" s="3" t="s">
        <v>9696</v>
      </c>
      <c r="J3654" s="9" t="s">
        <v>24</v>
      </c>
      <c r="L3654" s="9">
        <v>1</v>
      </c>
      <c r="M3654" s="9">
        <v>1</v>
      </c>
      <c r="N3654" s="9" t="s">
        <v>12078</v>
      </c>
      <c r="O3654" s="9" t="s">
        <v>12119</v>
      </c>
      <c r="Q3654" s="10"/>
      <c r="S3654" s="9">
        <v>11843</v>
      </c>
      <c r="U3654" s="9" t="str">
        <f t="shared" ca="1" si="142"/>
        <v/>
      </c>
      <c r="V3654" s="9" t="str">
        <f t="shared" ca="1" si="143"/>
        <v/>
      </c>
      <c r="AG3654" s="9" t="s">
        <v>19</v>
      </c>
    </row>
    <row r="3655" spans="1:33">
      <c r="A3655" s="3" t="s">
        <v>3750</v>
      </c>
      <c r="D3655" s="3" t="s">
        <v>3751</v>
      </c>
      <c r="E3655" s="3" t="s">
        <v>3752</v>
      </c>
      <c r="J3655" s="9" t="s">
        <v>12118</v>
      </c>
      <c r="Q3655" s="10"/>
      <c r="T3655" s="9" t="s">
        <v>12119</v>
      </c>
      <c r="U3655" s="9" t="str">
        <f t="shared" ca="1" si="142"/>
        <v/>
      </c>
      <c r="V3655" s="9" t="str">
        <f t="shared" ca="1" si="143"/>
        <v/>
      </c>
      <c r="AE3655" s="9" t="s">
        <v>12077</v>
      </c>
    </row>
    <row r="3656" spans="1:33">
      <c r="A3656" s="3" t="s">
        <v>3750</v>
      </c>
      <c r="D3656" s="3" t="s">
        <v>9698</v>
      </c>
      <c r="E3656" s="3" t="s">
        <v>9699</v>
      </c>
      <c r="J3656" s="9" t="s">
        <v>25</v>
      </c>
      <c r="L3656" s="9">
        <v>1</v>
      </c>
      <c r="M3656" s="9">
        <v>2</v>
      </c>
      <c r="N3656" s="9" t="s">
        <v>12078</v>
      </c>
      <c r="O3656" s="9" t="s">
        <v>12119</v>
      </c>
      <c r="Q3656" s="10"/>
      <c r="S3656" s="9">
        <v>11843</v>
      </c>
      <c r="U3656" s="9" t="str">
        <f t="shared" ca="1" si="142"/>
        <v/>
      </c>
      <c r="V3656" s="9" t="str">
        <f t="shared" ca="1" si="143"/>
        <v/>
      </c>
      <c r="AG3656" s="9" t="s">
        <v>20</v>
      </c>
    </row>
    <row r="3657" spans="1:33">
      <c r="A3657" s="3" t="s">
        <v>3753</v>
      </c>
      <c r="D3657" s="3" t="s">
        <v>9701</v>
      </c>
      <c r="E3657" s="3" t="s">
        <v>9700</v>
      </c>
      <c r="G3657" t="s">
        <v>19</v>
      </c>
      <c r="J3657" s="9" t="s">
        <v>12118</v>
      </c>
      <c r="Q3657" s="10"/>
      <c r="T3657" s="9">
        <f xml:space="preserve"> 356-887</f>
        <v>-531</v>
      </c>
      <c r="U3657" s="9">
        <f t="shared" ca="1" si="142"/>
        <v>887</v>
      </c>
      <c r="V3657" s="9">
        <f t="shared" ca="1" si="143"/>
        <v>356</v>
      </c>
    </row>
    <row r="3658" spans="1:33" ht="58">
      <c r="A3658" s="3" t="s">
        <v>3754</v>
      </c>
      <c r="D3658" s="3" t="s">
        <v>12503</v>
      </c>
      <c r="E3658" s="3" t="s">
        <v>12504</v>
      </c>
      <c r="I3658" t="s">
        <v>12505</v>
      </c>
      <c r="J3658" s="9" t="s">
        <v>25</v>
      </c>
      <c r="L3658" s="9">
        <v>9</v>
      </c>
      <c r="M3658" s="9">
        <v>36</v>
      </c>
      <c r="O3658" s="9" t="s">
        <v>12073</v>
      </c>
      <c r="P3658" s="9" t="s">
        <v>12140</v>
      </c>
      <c r="Q3658" s="10" t="s">
        <v>12417</v>
      </c>
      <c r="S3658" s="9">
        <v>75</v>
      </c>
      <c r="U3658" s="9" t="str">
        <f t="shared" ca="1" si="142"/>
        <v/>
      </c>
      <c r="V3658" s="9" t="str">
        <f t="shared" ca="1" si="143"/>
        <v/>
      </c>
      <c r="AG3658" s="9" t="s">
        <v>20</v>
      </c>
    </row>
    <row r="3659" spans="1:33">
      <c r="A3659" s="3" t="s">
        <v>3754</v>
      </c>
      <c r="D3659" s="3" t="s">
        <v>9703</v>
      </c>
      <c r="E3659" s="3" t="s">
        <v>9702</v>
      </c>
      <c r="G3659" t="s">
        <v>19</v>
      </c>
      <c r="J3659" s="9" t="s">
        <v>12118</v>
      </c>
      <c r="Q3659" s="10"/>
      <c r="T3659" s="9" t="s">
        <v>12131</v>
      </c>
      <c r="U3659" s="9" t="str">
        <f t="shared" ca="1" si="142"/>
        <v/>
      </c>
      <c r="V3659" s="9" t="str">
        <f t="shared" ca="1" si="143"/>
        <v/>
      </c>
      <c r="AC3659" s="9" t="s">
        <v>12740</v>
      </c>
      <c r="AD3659" s="9" t="s">
        <v>19</v>
      </c>
      <c r="AE3659" s="9" t="s">
        <v>12077</v>
      </c>
    </row>
    <row r="3660" spans="1:33">
      <c r="A3660" s="3" t="s">
        <v>3755</v>
      </c>
      <c r="D3660" s="3" t="s">
        <v>3756</v>
      </c>
      <c r="E3660" s="3" t="s">
        <v>742</v>
      </c>
      <c r="G3660" t="s">
        <v>19</v>
      </c>
      <c r="J3660" s="9" t="s">
        <v>12118</v>
      </c>
      <c r="Q3660" s="10"/>
      <c r="T3660" s="9" t="s">
        <v>12131</v>
      </c>
      <c r="U3660" s="9" t="str">
        <f t="shared" ca="1" si="142"/>
        <v/>
      </c>
      <c r="V3660" s="9" t="str">
        <f t="shared" ca="1" si="143"/>
        <v/>
      </c>
      <c r="AB3660" s="9" t="s">
        <v>12124</v>
      </c>
      <c r="AD3660" s="9" t="s">
        <v>19</v>
      </c>
      <c r="AE3660" s="9" t="s">
        <v>12086</v>
      </c>
    </row>
    <row r="3661" spans="1:33" ht="43.5">
      <c r="A3661" s="3" t="s">
        <v>3755</v>
      </c>
      <c r="D3661" s="3" t="s">
        <v>9704</v>
      </c>
      <c r="E3661" s="3" t="s">
        <v>9705</v>
      </c>
      <c r="I3661" t="s">
        <v>9706</v>
      </c>
      <c r="J3661" s="9" t="s">
        <v>26</v>
      </c>
      <c r="Q3661" s="10"/>
      <c r="U3661" s="9" t="str">
        <f t="shared" ca="1" si="142"/>
        <v/>
      </c>
      <c r="V3661" s="9" t="str">
        <f t="shared" ca="1" si="143"/>
        <v/>
      </c>
      <c r="AG3661" s="9" t="s">
        <v>20</v>
      </c>
    </row>
    <row r="3662" spans="1:33" ht="43.5">
      <c r="A3662" s="3" t="s">
        <v>3755</v>
      </c>
      <c r="D3662" s="3" t="s">
        <v>9707</v>
      </c>
      <c r="E3662" s="3" t="s">
        <v>9708</v>
      </c>
      <c r="G3662" t="s">
        <v>19</v>
      </c>
      <c r="J3662" s="9" t="s">
        <v>12120</v>
      </c>
      <c r="Q3662" s="10"/>
      <c r="U3662" s="9" t="str">
        <f t="shared" ca="1" si="142"/>
        <v/>
      </c>
      <c r="V3662" s="9" t="str">
        <f t="shared" ca="1" si="143"/>
        <v/>
      </c>
      <c r="AE3662" s="9" t="s">
        <v>12086</v>
      </c>
    </row>
    <row r="3663" spans="1:33">
      <c r="A3663" s="3" t="s">
        <v>3757</v>
      </c>
      <c r="D3663" s="3" t="s">
        <v>1383</v>
      </c>
      <c r="E3663" s="3" t="s">
        <v>634</v>
      </c>
      <c r="J3663" s="9" t="s">
        <v>12118</v>
      </c>
      <c r="Q3663" s="10"/>
      <c r="T3663" s="9" t="s">
        <v>12131</v>
      </c>
      <c r="U3663" s="9" t="str">
        <f t="shared" ca="1" si="142"/>
        <v/>
      </c>
      <c r="V3663" s="9" t="str">
        <f t="shared" ca="1" si="143"/>
        <v/>
      </c>
      <c r="AB3663" s="9" t="s">
        <v>12124</v>
      </c>
      <c r="AC3663" s="9" t="s">
        <v>12740</v>
      </c>
      <c r="AD3663" s="9" t="s">
        <v>19</v>
      </c>
    </row>
    <row r="3664" spans="1:33" ht="29">
      <c r="A3664" s="3" t="s">
        <v>3758</v>
      </c>
      <c r="D3664" s="3" t="s">
        <v>9709</v>
      </c>
      <c r="E3664" s="3" t="s">
        <v>9710</v>
      </c>
      <c r="J3664" s="9" t="s">
        <v>24</v>
      </c>
      <c r="L3664" s="9">
        <v>1</v>
      </c>
      <c r="M3664" s="9">
        <v>3</v>
      </c>
      <c r="N3664" s="9" t="s">
        <v>12094</v>
      </c>
      <c r="O3664" s="9" t="s">
        <v>12079</v>
      </c>
      <c r="Q3664" s="10"/>
      <c r="S3664" s="9">
        <v>1496</v>
      </c>
      <c r="U3664" s="9" t="str">
        <f t="shared" ref="U3664:U3725" ca="1" si="144">IF(ISNUMBER(T3664),VALUE(MID(_xlfn.FORMULATEXT(T3664),SEARCH("-",_xlfn.FORMULATEXT(T3664))+1,LEN(_xlfn.FORMULATEXT(T3664))-SEARCH("-",_xlfn.FORMULATEXT(T3664)))), "")</f>
        <v/>
      </c>
      <c r="V3664" s="9" t="str">
        <f t="shared" ref="V3664:V3725" ca="1" si="145">IF(ISNUMBER(T3664), VALUE(MID(_xlfn.FORMULATEXT(T3664), 2, SEARCH("-", _xlfn.FORMULATEXT(T3664)) - 2)), "")</f>
        <v/>
      </c>
      <c r="AE3664" s="9" t="s">
        <v>12083</v>
      </c>
    </row>
    <row r="3665" spans="1:33">
      <c r="A3665" s="3" t="s">
        <v>3759</v>
      </c>
      <c r="D3665" s="3" t="s">
        <v>1383</v>
      </c>
      <c r="E3665" s="3" t="s">
        <v>634</v>
      </c>
      <c r="J3665" s="9" t="s">
        <v>12118</v>
      </c>
      <c r="Q3665" s="10"/>
      <c r="T3665" s="9" t="s">
        <v>12131</v>
      </c>
      <c r="U3665" s="9" t="str">
        <f t="shared" ca="1" si="144"/>
        <v/>
      </c>
      <c r="V3665" s="9" t="str">
        <f t="shared" ca="1" si="145"/>
        <v/>
      </c>
      <c r="AB3665" s="9" t="s">
        <v>12124</v>
      </c>
      <c r="AC3665" s="9" t="s">
        <v>12740</v>
      </c>
      <c r="AD3665" s="9" t="s">
        <v>19</v>
      </c>
    </row>
    <row r="3666" spans="1:33">
      <c r="A3666" s="3" t="s">
        <v>3759</v>
      </c>
      <c r="D3666" s="3" t="s">
        <v>9712</v>
      </c>
      <c r="E3666" s="3" t="s">
        <v>9711</v>
      </c>
      <c r="G3666" t="s">
        <v>19</v>
      </c>
      <c r="J3666" s="9" t="s">
        <v>24</v>
      </c>
      <c r="L3666" s="9">
        <v>2</v>
      </c>
      <c r="M3666" s="9">
        <v>8</v>
      </c>
      <c r="O3666" s="9" t="s">
        <v>12079</v>
      </c>
      <c r="Q3666" s="10"/>
      <c r="S3666" s="9">
        <v>28</v>
      </c>
      <c r="U3666" s="9" t="str">
        <f t="shared" ca="1" si="144"/>
        <v/>
      </c>
      <c r="V3666" s="9" t="str">
        <f t="shared" ca="1" si="145"/>
        <v/>
      </c>
    </row>
    <row r="3667" spans="1:33">
      <c r="A3667" s="3" t="s">
        <v>3760</v>
      </c>
      <c r="D3667" s="3" t="s">
        <v>9714</v>
      </c>
      <c r="E3667" s="3" t="s">
        <v>9713</v>
      </c>
      <c r="G3667" t="s">
        <v>19</v>
      </c>
      <c r="J3667" s="9" t="s">
        <v>12118</v>
      </c>
      <c r="Q3667" s="10"/>
      <c r="T3667" s="9" t="s">
        <v>12131</v>
      </c>
      <c r="U3667" s="9" t="str">
        <f t="shared" ca="1" si="144"/>
        <v/>
      </c>
      <c r="V3667" s="9" t="str">
        <f t="shared" ca="1" si="145"/>
        <v/>
      </c>
      <c r="AC3667" s="9" t="s">
        <v>12134</v>
      </c>
      <c r="AD3667" s="9" t="s">
        <v>19</v>
      </c>
      <c r="AE3667" s="9" t="s">
        <v>12086</v>
      </c>
    </row>
    <row r="3668" spans="1:33">
      <c r="A3668" s="3" t="s">
        <v>3760</v>
      </c>
      <c r="D3668" s="3" t="s">
        <v>9716</v>
      </c>
      <c r="E3668" s="3" t="s">
        <v>9715</v>
      </c>
      <c r="F3668" t="s">
        <v>11</v>
      </c>
      <c r="Q3668" s="10"/>
      <c r="U3668" s="9" t="str">
        <f t="shared" ca="1" si="144"/>
        <v/>
      </c>
      <c r="V3668" s="9" t="str">
        <f t="shared" ca="1" si="145"/>
        <v/>
      </c>
    </row>
    <row r="3669" spans="1:33">
      <c r="A3669" s="3" t="s">
        <v>3760</v>
      </c>
      <c r="D3669" s="3" t="s">
        <v>9718</v>
      </c>
      <c r="E3669" s="3" t="s">
        <v>9717</v>
      </c>
      <c r="G3669" t="s">
        <v>19</v>
      </c>
      <c r="J3669" s="9" t="s">
        <v>24</v>
      </c>
      <c r="L3669" s="9">
        <v>1</v>
      </c>
      <c r="M3669" s="9">
        <v>2</v>
      </c>
      <c r="N3669" s="9" t="s">
        <v>12123</v>
      </c>
      <c r="O3669" s="9" t="s">
        <v>12119</v>
      </c>
      <c r="Q3669" s="10"/>
      <c r="S3669" s="9">
        <v>887</v>
      </c>
      <c r="U3669" s="9" t="str">
        <f t="shared" ca="1" si="144"/>
        <v/>
      </c>
      <c r="V3669" s="9" t="str">
        <f t="shared" ca="1" si="145"/>
        <v/>
      </c>
    </row>
    <row r="3670" spans="1:33">
      <c r="A3670" s="3" t="s">
        <v>3761</v>
      </c>
      <c r="D3670" s="3" t="s">
        <v>5421</v>
      </c>
      <c r="E3670" s="3" t="s">
        <v>5422</v>
      </c>
      <c r="J3670" s="9" t="s">
        <v>25</v>
      </c>
      <c r="L3670" s="9">
        <v>1</v>
      </c>
      <c r="M3670" s="9">
        <v>5</v>
      </c>
      <c r="N3670" s="9" t="s">
        <v>12094</v>
      </c>
      <c r="O3670" s="9" t="s">
        <v>12079</v>
      </c>
      <c r="Q3670" s="10"/>
      <c r="S3670" s="9">
        <v>4240</v>
      </c>
      <c r="U3670" s="9" t="str">
        <f t="shared" ca="1" si="144"/>
        <v/>
      </c>
      <c r="V3670" s="9" t="str">
        <f t="shared" ca="1" si="145"/>
        <v/>
      </c>
      <c r="AG3670" s="9" t="s">
        <v>19</v>
      </c>
    </row>
    <row r="3671" spans="1:33">
      <c r="A3671" s="3" t="s">
        <v>3762</v>
      </c>
      <c r="D3671" s="3" t="s">
        <v>9719</v>
      </c>
      <c r="E3671" s="3" t="s">
        <v>9720</v>
      </c>
      <c r="J3671" s="9" t="s">
        <v>12120</v>
      </c>
      <c r="Q3671" s="10"/>
      <c r="U3671" s="9" t="str">
        <f t="shared" ca="1" si="144"/>
        <v/>
      </c>
      <c r="V3671" s="9" t="str">
        <f t="shared" ca="1" si="145"/>
        <v/>
      </c>
      <c r="AG3671" s="9" t="s">
        <v>20</v>
      </c>
    </row>
    <row r="3672" spans="1:33">
      <c r="A3672" s="3" t="s">
        <v>3762</v>
      </c>
      <c r="D3672" s="3" t="s">
        <v>9721</v>
      </c>
      <c r="E3672" s="3" t="s">
        <v>9599</v>
      </c>
      <c r="G3672" t="s">
        <v>19</v>
      </c>
      <c r="J3672" s="9" t="s">
        <v>12118</v>
      </c>
      <c r="Q3672" s="10"/>
      <c r="T3672" s="9">
        <f>11843-4240</f>
        <v>7603</v>
      </c>
      <c r="U3672" s="9">
        <f t="shared" ca="1" si="144"/>
        <v>4240</v>
      </c>
      <c r="V3672" s="9">
        <f t="shared" ca="1" si="145"/>
        <v>11843</v>
      </c>
    </row>
    <row r="3673" spans="1:33">
      <c r="A3673" s="3" t="s">
        <v>3763</v>
      </c>
      <c r="D3673" s="3" t="s">
        <v>9723</v>
      </c>
      <c r="E3673" s="3" t="s">
        <v>9722</v>
      </c>
      <c r="J3673" s="9" t="s">
        <v>12120</v>
      </c>
      <c r="Q3673" s="10"/>
      <c r="U3673" s="9" t="str">
        <f t="shared" ca="1" si="144"/>
        <v/>
      </c>
      <c r="V3673" s="9" t="str">
        <f t="shared" ca="1" si="145"/>
        <v/>
      </c>
      <c r="AC3673" s="9" t="s">
        <v>12166</v>
      </c>
      <c r="AD3673" s="9" t="s">
        <v>19</v>
      </c>
    </row>
    <row r="3674" spans="1:33">
      <c r="A3674" s="3" t="s">
        <v>3763</v>
      </c>
      <c r="D3674" s="3" t="s">
        <v>9724</v>
      </c>
      <c r="E3674" s="3" t="s">
        <v>9725</v>
      </c>
      <c r="J3674" s="9" t="s">
        <v>12120</v>
      </c>
      <c r="Q3674" s="10"/>
      <c r="U3674" s="9" t="str">
        <f t="shared" ca="1" si="144"/>
        <v/>
      </c>
      <c r="V3674" s="9" t="str">
        <f t="shared" ca="1" si="145"/>
        <v/>
      </c>
      <c r="AG3674" s="9" t="s">
        <v>19</v>
      </c>
    </row>
    <row r="3675" spans="1:33">
      <c r="A3675" s="3" t="s">
        <v>3763</v>
      </c>
      <c r="D3675" s="3" t="s">
        <v>9727</v>
      </c>
      <c r="E3675" s="3" t="s">
        <v>9726</v>
      </c>
      <c r="J3675" s="9" t="s">
        <v>12120</v>
      </c>
      <c r="Q3675" s="10"/>
      <c r="U3675" s="9" t="str">
        <f t="shared" ca="1" si="144"/>
        <v/>
      </c>
      <c r="V3675" s="9" t="str">
        <f t="shared" ca="1" si="145"/>
        <v/>
      </c>
      <c r="AB3675" s="9" t="s">
        <v>12737</v>
      </c>
      <c r="AD3675" s="9" t="s">
        <v>19</v>
      </c>
    </row>
    <row r="3676" spans="1:33">
      <c r="A3676" s="3" t="s">
        <v>3763</v>
      </c>
      <c r="D3676" s="3" t="s">
        <v>9729</v>
      </c>
      <c r="E3676" s="3" t="s">
        <v>9728</v>
      </c>
      <c r="I3676" t="s">
        <v>12713</v>
      </c>
      <c r="J3676" s="9" t="s">
        <v>24</v>
      </c>
      <c r="L3676" s="9">
        <v>1</v>
      </c>
      <c r="M3676" s="9">
        <v>2</v>
      </c>
      <c r="N3676" s="9" t="s">
        <v>12094</v>
      </c>
      <c r="O3676" s="9" t="s">
        <v>12119</v>
      </c>
      <c r="Q3676" s="10"/>
      <c r="S3676" s="9">
        <v>412</v>
      </c>
      <c r="U3676" s="9" t="str">
        <f t="shared" ca="1" si="144"/>
        <v/>
      </c>
      <c r="V3676" s="9" t="str">
        <f t="shared" ca="1" si="145"/>
        <v/>
      </c>
      <c r="W3676" s="9" t="s">
        <v>4</v>
      </c>
      <c r="AG3676" s="9" t="s">
        <v>19</v>
      </c>
    </row>
    <row r="3677" spans="1:33">
      <c r="A3677" s="3" t="s">
        <v>3764</v>
      </c>
      <c r="D3677" s="3" t="s">
        <v>9731</v>
      </c>
      <c r="E3677" s="3" t="s">
        <v>9730</v>
      </c>
      <c r="G3677" t="s">
        <v>19</v>
      </c>
      <c r="J3677" s="9" t="s">
        <v>12118</v>
      </c>
      <c r="Q3677" s="10"/>
      <c r="T3677" s="9" t="s">
        <v>12131</v>
      </c>
      <c r="U3677" s="9" t="str">
        <f t="shared" ca="1" si="144"/>
        <v/>
      </c>
      <c r="V3677" s="9" t="str">
        <f t="shared" ca="1" si="145"/>
        <v/>
      </c>
      <c r="AE3677" s="9" t="s">
        <v>12086</v>
      </c>
    </row>
    <row r="3678" spans="1:33">
      <c r="A3678" s="3" t="s">
        <v>3765</v>
      </c>
      <c r="D3678" s="11" t="s">
        <v>9733</v>
      </c>
      <c r="E3678" s="11" t="s">
        <v>9732</v>
      </c>
      <c r="I3678" s="4"/>
      <c r="J3678" s="9" t="s">
        <v>24</v>
      </c>
      <c r="L3678" s="9">
        <v>1</v>
      </c>
      <c r="M3678" s="9">
        <v>4</v>
      </c>
      <c r="N3678" s="9" t="s">
        <v>12099</v>
      </c>
      <c r="O3678" s="9" t="s">
        <v>12079</v>
      </c>
      <c r="Q3678" s="10"/>
      <c r="S3678" s="9">
        <v>101</v>
      </c>
      <c r="U3678" s="9" t="str">
        <f t="shared" ca="1" si="144"/>
        <v/>
      </c>
      <c r="V3678" s="9" t="str">
        <f t="shared" ca="1" si="145"/>
        <v/>
      </c>
      <c r="AG3678" s="9" t="s">
        <v>19</v>
      </c>
    </row>
    <row r="3679" spans="1:33">
      <c r="A3679" s="3" t="s">
        <v>3766</v>
      </c>
      <c r="D3679" s="3" t="s">
        <v>3767</v>
      </c>
      <c r="E3679" s="3" t="s">
        <v>3768</v>
      </c>
      <c r="F3679" t="s">
        <v>17</v>
      </c>
      <c r="Q3679" s="10"/>
      <c r="U3679" s="9" t="str">
        <f t="shared" ca="1" si="144"/>
        <v/>
      </c>
      <c r="V3679" s="9" t="str">
        <f t="shared" ca="1" si="145"/>
        <v/>
      </c>
    </row>
    <row r="3680" spans="1:33">
      <c r="A3680" s="3" t="s">
        <v>3769</v>
      </c>
      <c r="D3680" s="3" t="s">
        <v>3770</v>
      </c>
      <c r="E3680" s="3" t="s">
        <v>3771</v>
      </c>
      <c r="J3680" s="9" t="s">
        <v>12118</v>
      </c>
      <c r="Q3680" s="10"/>
      <c r="T3680" s="9" t="s">
        <v>12131</v>
      </c>
      <c r="U3680" s="9" t="str">
        <f t="shared" ca="1" si="144"/>
        <v/>
      </c>
      <c r="V3680" s="9" t="str">
        <f t="shared" ca="1" si="145"/>
        <v/>
      </c>
      <c r="AC3680" s="9" t="s">
        <v>12144</v>
      </c>
      <c r="AD3680" s="9" t="s">
        <v>19</v>
      </c>
      <c r="AE3680" s="9" t="s">
        <v>12077</v>
      </c>
    </row>
    <row r="3681" spans="1:33" ht="58">
      <c r="A3681" s="3" t="s">
        <v>3772</v>
      </c>
      <c r="D3681" s="3" t="s">
        <v>9734</v>
      </c>
      <c r="E3681" s="3" t="s">
        <v>9735</v>
      </c>
      <c r="G3681" t="s">
        <v>21</v>
      </c>
      <c r="I3681" t="s">
        <v>9738</v>
      </c>
      <c r="J3681" s="9" t="s">
        <v>24</v>
      </c>
      <c r="L3681" s="9">
        <v>1</v>
      </c>
      <c r="M3681" s="9">
        <v>3</v>
      </c>
      <c r="N3681" s="9" t="s">
        <v>12096</v>
      </c>
      <c r="O3681" s="9" t="s">
        <v>12079</v>
      </c>
      <c r="Q3681" s="10"/>
      <c r="S3681" s="9">
        <v>264</v>
      </c>
      <c r="U3681" s="9" t="str">
        <f t="shared" ca="1" si="144"/>
        <v/>
      </c>
      <c r="V3681" s="9" t="str">
        <f t="shared" ca="1" si="145"/>
        <v/>
      </c>
    </row>
    <row r="3682" spans="1:33" ht="58">
      <c r="A3682" s="3" t="s">
        <v>3772</v>
      </c>
      <c r="D3682" s="3" t="s">
        <v>9736</v>
      </c>
      <c r="E3682" s="3" t="s">
        <v>9737</v>
      </c>
      <c r="G3682" t="s">
        <v>19</v>
      </c>
      <c r="J3682" s="9" t="s">
        <v>12120</v>
      </c>
      <c r="Q3682" s="10"/>
      <c r="U3682" s="9" t="str">
        <f t="shared" ca="1" si="144"/>
        <v/>
      </c>
      <c r="V3682" s="9" t="str">
        <f t="shared" ca="1" si="145"/>
        <v/>
      </c>
    </row>
    <row r="3683" spans="1:33">
      <c r="A3683" s="3" t="s">
        <v>3772</v>
      </c>
      <c r="D3683" s="3" t="s">
        <v>9740</v>
      </c>
      <c r="E3683" s="3" t="s">
        <v>9739</v>
      </c>
      <c r="G3683" t="s">
        <v>19</v>
      </c>
      <c r="J3683" s="9" t="s">
        <v>12120</v>
      </c>
      <c r="Q3683" s="10"/>
      <c r="U3683" s="9" t="str">
        <f t="shared" ca="1" si="144"/>
        <v/>
      </c>
      <c r="V3683" s="9" t="str">
        <f t="shared" ca="1" si="145"/>
        <v/>
      </c>
      <c r="AE3683" s="9" t="s">
        <v>12089</v>
      </c>
    </row>
    <row r="3684" spans="1:33">
      <c r="A3684" s="3" t="s">
        <v>3773</v>
      </c>
      <c r="D3684" s="3" t="s">
        <v>3774</v>
      </c>
      <c r="E3684" s="3" t="s">
        <v>9741</v>
      </c>
      <c r="G3684" t="s">
        <v>19</v>
      </c>
      <c r="J3684" s="9" t="s">
        <v>12120</v>
      </c>
      <c r="Q3684" s="10"/>
      <c r="U3684" s="9" t="str">
        <f t="shared" ca="1" si="144"/>
        <v/>
      </c>
      <c r="V3684" s="9" t="str">
        <f t="shared" ca="1" si="145"/>
        <v/>
      </c>
    </row>
    <row r="3685" spans="1:33">
      <c r="A3685" s="3" t="s">
        <v>3773</v>
      </c>
      <c r="D3685" s="3" t="s">
        <v>4310</v>
      </c>
      <c r="E3685" s="3" t="s">
        <v>4311</v>
      </c>
      <c r="J3685" s="9" t="s">
        <v>12118</v>
      </c>
      <c r="Q3685" s="10"/>
      <c r="T3685" s="9" t="s">
        <v>12131</v>
      </c>
      <c r="U3685" s="9" t="str">
        <f t="shared" ca="1" si="144"/>
        <v/>
      </c>
      <c r="V3685" s="9" t="str">
        <f t="shared" ca="1" si="145"/>
        <v/>
      </c>
      <c r="AC3685" s="9" t="s">
        <v>12130</v>
      </c>
      <c r="AD3685" s="9" t="s">
        <v>19</v>
      </c>
      <c r="AE3685" s="9" t="s">
        <v>12086</v>
      </c>
    </row>
    <row r="3686" spans="1:33" ht="29">
      <c r="A3686" s="3" t="s">
        <v>3773</v>
      </c>
      <c r="D3686" s="3" t="s">
        <v>9742</v>
      </c>
      <c r="E3686" s="3" t="s">
        <v>9743</v>
      </c>
      <c r="G3686" t="s">
        <v>19</v>
      </c>
      <c r="J3686" s="9" t="s">
        <v>12120</v>
      </c>
      <c r="Q3686" s="10"/>
      <c r="U3686" s="9" t="str">
        <f t="shared" ca="1" si="144"/>
        <v/>
      </c>
      <c r="V3686" s="9" t="str">
        <f t="shared" ca="1" si="145"/>
        <v/>
      </c>
    </row>
    <row r="3687" spans="1:33" ht="29">
      <c r="A3687" s="3" t="s">
        <v>3773</v>
      </c>
      <c r="D3687" s="3" t="s">
        <v>9744</v>
      </c>
      <c r="E3687" s="3" t="s">
        <v>9745</v>
      </c>
      <c r="G3687" t="s">
        <v>20</v>
      </c>
      <c r="I3687" t="s">
        <v>9746</v>
      </c>
      <c r="Q3687" s="10"/>
      <c r="U3687" s="9" t="str">
        <f t="shared" ca="1" si="144"/>
        <v/>
      </c>
      <c r="V3687" s="9" t="str">
        <f t="shared" ca="1" si="145"/>
        <v/>
      </c>
    </row>
    <row r="3688" spans="1:33">
      <c r="A3688" s="3" t="s">
        <v>3775</v>
      </c>
      <c r="D3688" s="3" t="s">
        <v>117</v>
      </c>
      <c r="E3688" s="3" t="s">
        <v>118</v>
      </c>
      <c r="J3688" s="9" t="s">
        <v>12118</v>
      </c>
      <c r="Q3688" s="10"/>
      <c r="T3688" s="9" t="s">
        <v>12131</v>
      </c>
      <c r="U3688" s="9" t="str">
        <f t="shared" ca="1" si="144"/>
        <v/>
      </c>
      <c r="V3688" s="9" t="str">
        <f t="shared" ca="1" si="145"/>
        <v/>
      </c>
      <c r="AB3688" s="9" t="s">
        <v>12124</v>
      </c>
      <c r="AC3688" s="9" t="s">
        <v>12740</v>
      </c>
      <c r="AD3688" s="9" t="s">
        <v>19</v>
      </c>
    </row>
    <row r="3689" spans="1:33">
      <c r="A3689" s="3" t="s">
        <v>3775</v>
      </c>
      <c r="D3689" s="3" t="s">
        <v>9748</v>
      </c>
      <c r="E3689" s="3" t="s">
        <v>9747</v>
      </c>
      <c r="J3689" s="9" t="s">
        <v>24</v>
      </c>
      <c r="L3689" s="9">
        <v>1</v>
      </c>
      <c r="M3689" s="9">
        <v>2</v>
      </c>
      <c r="N3689" s="9" t="s">
        <v>12096</v>
      </c>
      <c r="O3689" s="9" t="s">
        <v>12119</v>
      </c>
      <c r="Q3689" s="10"/>
      <c r="R3689" s="9" t="s">
        <v>12074</v>
      </c>
      <c r="S3689" s="9">
        <v>1294</v>
      </c>
      <c r="U3689" s="9" t="str">
        <f t="shared" ca="1" si="144"/>
        <v/>
      </c>
      <c r="V3689" s="9" t="str">
        <f t="shared" ca="1" si="145"/>
        <v/>
      </c>
      <c r="AG3689" s="9" t="s">
        <v>20</v>
      </c>
    </row>
    <row r="3690" spans="1:33" ht="43.5">
      <c r="A3690" s="3" t="s">
        <v>3775</v>
      </c>
      <c r="D3690" s="3" t="s">
        <v>9749</v>
      </c>
      <c r="E3690" s="3" t="s">
        <v>9749</v>
      </c>
      <c r="G3690" t="s">
        <v>20</v>
      </c>
      <c r="I3690" t="s">
        <v>9750</v>
      </c>
      <c r="Q3690" s="10"/>
      <c r="U3690" s="9" t="str">
        <f t="shared" ca="1" si="144"/>
        <v/>
      </c>
      <c r="V3690" s="9" t="str">
        <f t="shared" ca="1" si="145"/>
        <v/>
      </c>
    </row>
    <row r="3691" spans="1:33" ht="43.5">
      <c r="A3691" s="3" t="s">
        <v>3775</v>
      </c>
      <c r="D3691" s="3" t="s">
        <v>9751</v>
      </c>
      <c r="E3691" s="3" t="s">
        <v>9752</v>
      </c>
      <c r="J3691" s="9" t="s">
        <v>12118</v>
      </c>
      <c r="Q3691" s="10"/>
      <c r="T3691" s="9">
        <f>11843-930</f>
        <v>10913</v>
      </c>
      <c r="U3691" s="9">
        <f t="shared" ca="1" si="144"/>
        <v>930</v>
      </c>
      <c r="V3691" s="9">
        <f t="shared" ca="1" si="145"/>
        <v>11843</v>
      </c>
      <c r="AG3691" s="9" t="s">
        <v>20</v>
      </c>
    </row>
    <row r="3692" spans="1:33" ht="43.5">
      <c r="A3692" s="3" t="s">
        <v>3775</v>
      </c>
      <c r="D3692" s="3" t="s">
        <v>9753</v>
      </c>
      <c r="E3692" s="3" t="s">
        <v>9754</v>
      </c>
      <c r="G3692" t="s">
        <v>20</v>
      </c>
      <c r="I3692" t="s">
        <v>9750</v>
      </c>
      <c r="Q3692" s="10"/>
      <c r="U3692" s="9" t="str">
        <f t="shared" ca="1" si="144"/>
        <v/>
      </c>
      <c r="V3692" s="9" t="str">
        <f t="shared" ca="1" si="145"/>
        <v/>
      </c>
    </row>
    <row r="3693" spans="1:33" ht="29">
      <c r="A3693" s="3" t="s">
        <v>3776</v>
      </c>
      <c r="D3693" s="3" t="s">
        <v>9756</v>
      </c>
      <c r="E3693" s="3" t="s">
        <v>9755</v>
      </c>
      <c r="G3693" t="s">
        <v>19</v>
      </c>
      <c r="J3693" s="9" t="s">
        <v>25</v>
      </c>
      <c r="L3693" s="9">
        <v>1</v>
      </c>
      <c r="M3693" s="9">
        <v>3</v>
      </c>
      <c r="N3693" s="9" t="s">
        <v>12096</v>
      </c>
      <c r="O3693" s="9" t="s">
        <v>12073</v>
      </c>
      <c r="P3693" s="9" t="s">
        <v>12142</v>
      </c>
      <c r="Q3693" s="10" t="s">
        <v>12143</v>
      </c>
      <c r="R3693" s="9" t="s">
        <v>12074</v>
      </c>
      <c r="S3693" s="9">
        <v>1101</v>
      </c>
      <c r="U3693" s="9" t="str">
        <f t="shared" ca="1" si="144"/>
        <v/>
      </c>
      <c r="V3693" s="9" t="str">
        <f t="shared" ca="1" si="145"/>
        <v/>
      </c>
    </row>
    <row r="3694" spans="1:33" ht="29">
      <c r="A3694" s="3" t="s">
        <v>3776</v>
      </c>
      <c r="D3694" s="3" t="s">
        <v>9757</v>
      </c>
      <c r="E3694" s="3" t="s">
        <v>9758</v>
      </c>
      <c r="G3694" t="s">
        <v>20</v>
      </c>
      <c r="I3694" t="s">
        <v>9759</v>
      </c>
      <c r="Q3694" s="10"/>
      <c r="U3694" s="9" t="str">
        <f t="shared" ca="1" si="144"/>
        <v/>
      </c>
      <c r="V3694" s="9" t="str">
        <f t="shared" ca="1" si="145"/>
        <v/>
      </c>
    </row>
    <row r="3695" spans="1:33">
      <c r="A3695" s="3" t="s">
        <v>3777</v>
      </c>
      <c r="D3695" s="3" t="s">
        <v>9760</v>
      </c>
      <c r="E3695" s="3" t="s">
        <v>9761</v>
      </c>
      <c r="J3695" s="9" t="s">
        <v>12120</v>
      </c>
      <c r="Q3695" s="10"/>
      <c r="U3695" s="9" t="str">
        <f t="shared" ca="1" si="144"/>
        <v/>
      </c>
      <c r="V3695" s="9" t="str">
        <f t="shared" ca="1" si="145"/>
        <v/>
      </c>
      <c r="AG3695" s="9" t="s">
        <v>20</v>
      </c>
    </row>
    <row r="3696" spans="1:33" ht="29">
      <c r="A3696" s="3" t="s">
        <v>3778</v>
      </c>
      <c r="D3696" s="3" t="s">
        <v>9762</v>
      </c>
      <c r="E3696" s="3" t="s">
        <v>12506</v>
      </c>
      <c r="J3696" s="9" t="s">
        <v>12118</v>
      </c>
      <c r="Q3696" s="10"/>
      <c r="T3696" s="9">
        <f>930-0</f>
        <v>930</v>
      </c>
      <c r="U3696" s="9">
        <f t="shared" ca="1" si="144"/>
        <v>0</v>
      </c>
      <c r="V3696" s="9">
        <f t="shared" ca="1" si="145"/>
        <v>930</v>
      </c>
      <c r="AG3696" s="9" t="s">
        <v>20</v>
      </c>
    </row>
    <row r="3697" spans="1:33">
      <c r="A3697" s="3" t="s">
        <v>3778</v>
      </c>
      <c r="D3697" s="3" t="s">
        <v>3779</v>
      </c>
      <c r="E3697" s="3" t="s">
        <v>3780</v>
      </c>
      <c r="J3697" s="9" t="s">
        <v>12118</v>
      </c>
      <c r="Q3697" s="10"/>
      <c r="T3697" s="9">
        <f>4-1</f>
        <v>3</v>
      </c>
      <c r="U3697" s="9">
        <f t="shared" ca="1" si="144"/>
        <v>1</v>
      </c>
      <c r="V3697" s="9">
        <f t="shared" ca="1" si="145"/>
        <v>4</v>
      </c>
      <c r="AG3697" s="9" t="s">
        <v>19</v>
      </c>
    </row>
    <row r="3698" spans="1:33">
      <c r="A3698" s="3" t="s">
        <v>3778</v>
      </c>
      <c r="D3698" s="3" t="s">
        <v>3781</v>
      </c>
      <c r="E3698" s="3" t="s">
        <v>3781</v>
      </c>
      <c r="G3698" t="s">
        <v>20</v>
      </c>
      <c r="I3698" t="s">
        <v>9763</v>
      </c>
      <c r="Q3698" s="10"/>
      <c r="U3698" s="9" t="str">
        <f t="shared" ca="1" si="144"/>
        <v/>
      </c>
      <c r="V3698" s="9" t="str">
        <f t="shared" ca="1" si="145"/>
        <v/>
      </c>
    </row>
    <row r="3699" spans="1:33">
      <c r="A3699" s="3" t="s">
        <v>3778</v>
      </c>
      <c r="D3699" s="3" t="s">
        <v>8161</v>
      </c>
      <c r="E3699" s="3" t="s">
        <v>8160</v>
      </c>
      <c r="G3699" t="s">
        <v>19</v>
      </c>
      <c r="J3699" s="9" t="s">
        <v>24</v>
      </c>
      <c r="L3699" s="9">
        <v>1</v>
      </c>
      <c r="M3699" s="9">
        <v>3</v>
      </c>
      <c r="N3699" s="9" t="s">
        <v>12078</v>
      </c>
      <c r="O3699" s="9" t="s">
        <v>12079</v>
      </c>
      <c r="Q3699" s="10"/>
      <c r="S3699" s="9">
        <v>11843</v>
      </c>
      <c r="U3699" s="9" t="str">
        <f t="shared" ca="1" si="144"/>
        <v/>
      </c>
      <c r="V3699" s="9" t="str">
        <f t="shared" ca="1" si="145"/>
        <v/>
      </c>
    </row>
    <row r="3700" spans="1:33" ht="29">
      <c r="A3700" s="3" t="s">
        <v>3782</v>
      </c>
      <c r="D3700" s="3" t="s">
        <v>9765</v>
      </c>
      <c r="E3700" s="3" t="s">
        <v>9764</v>
      </c>
      <c r="J3700" s="9" t="s">
        <v>25</v>
      </c>
      <c r="L3700" s="9">
        <v>1</v>
      </c>
      <c r="M3700" s="9">
        <v>5</v>
      </c>
      <c r="N3700" s="9" t="s">
        <v>12094</v>
      </c>
      <c r="O3700" s="9" t="s">
        <v>12073</v>
      </c>
      <c r="P3700" s="9" t="s">
        <v>12142</v>
      </c>
      <c r="Q3700" s="10" t="s">
        <v>12143</v>
      </c>
      <c r="S3700" s="9">
        <v>4240</v>
      </c>
      <c r="U3700" s="9" t="str">
        <f t="shared" ca="1" si="144"/>
        <v/>
      </c>
      <c r="V3700" s="9" t="str">
        <f t="shared" ca="1" si="145"/>
        <v/>
      </c>
      <c r="AG3700" s="9" t="s">
        <v>20</v>
      </c>
    </row>
    <row r="3701" spans="1:33" ht="29">
      <c r="A3701" s="3" t="s">
        <v>3782</v>
      </c>
      <c r="D3701" s="3" t="s">
        <v>9767</v>
      </c>
      <c r="E3701" s="3" t="s">
        <v>9766</v>
      </c>
      <c r="J3701" s="9" t="s">
        <v>12120</v>
      </c>
      <c r="Q3701" s="10"/>
      <c r="U3701" s="9" t="str">
        <f t="shared" ca="1" si="144"/>
        <v/>
      </c>
      <c r="V3701" s="9" t="str">
        <f t="shared" ca="1" si="145"/>
        <v/>
      </c>
      <c r="AC3701" s="9" t="s">
        <v>12134</v>
      </c>
      <c r="AD3701" s="9" t="s">
        <v>19</v>
      </c>
    </row>
    <row r="3702" spans="1:33">
      <c r="A3702" s="3" t="s">
        <v>3782</v>
      </c>
      <c r="D3702" s="3" t="s">
        <v>12930</v>
      </c>
      <c r="E3702" s="3" t="s">
        <v>3783</v>
      </c>
      <c r="J3702" s="9" t="s">
        <v>12118</v>
      </c>
      <c r="Q3702" s="10"/>
      <c r="T3702" s="9" t="s">
        <v>12131</v>
      </c>
      <c r="U3702" s="9" t="str">
        <f t="shared" ca="1" si="144"/>
        <v/>
      </c>
      <c r="V3702" s="9" t="str">
        <f t="shared" ca="1" si="145"/>
        <v/>
      </c>
      <c r="AE3702" s="9" t="s">
        <v>12077</v>
      </c>
    </row>
    <row r="3703" spans="1:33">
      <c r="A3703" s="3" t="s">
        <v>3784</v>
      </c>
      <c r="D3703" s="3" t="s">
        <v>3785</v>
      </c>
      <c r="E3703" s="3" t="s">
        <v>3786</v>
      </c>
      <c r="J3703" s="9" t="s">
        <v>12120</v>
      </c>
      <c r="Q3703" s="10"/>
      <c r="U3703" s="9" t="str">
        <f t="shared" ca="1" si="144"/>
        <v/>
      </c>
      <c r="V3703" s="9" t="str">
        <f t="shared" ca="1" si="145"/>
        <v/>
      </c>
      <c r="AE3703" s="9" t="s">
        <v>12086</v>
      </c>
    </row>
    <row r="3704" spans="1:33" ht="29">
      <c r="A3704" s="3" t="s">
        <v>3787</v>
      </c>
      <c r="D3704" s="3" t="s">
        <v>9769</v>
      </c>
      <c r="E3704" s="3" t="s">
        <v>9768</v>
      </c>
      <c r="G3704" t="s">
        <v>19</v>
      </c>
      <c r="J3704" s="9" t="s">
        <v>12118</v>
      </c>
      <c r="Q3704" s="10"/>
      <c r="T3704" s="9">
        <f>1101-227</f>
        <v>874</v>
      </c>
      <c r="U3704" s="9">
        <f t="shared" ca="1" si="144"/>
        <v>227</v>
      </c>
      <c r="V3704" s="9">
        <f t="shared" ca="1" si="145"/>
        <v>1101</v>
      </c>
      <c r="AE3704" s="9" t="s">
        <v>12089</v>
      </c>
    </row>
    <row r="3705" spans="1:33">
      <c r="A3705" s="3" t="s">
        <v>3787</v>
      </c>
      <c r="D3705" s="3" t="s">
        <v>117</v>
      </c>
      <c r="E3705" s="3" t="s">
        <v>118</v>
      </c>
      <c r="J3705" s="9" t="s">
        <v>12118</v>
      </c>
      <c r="Q3705" s="10"/>
      <c r="T3705" s="9" t="s">
        <v>12131</v>
      </c>
      <c r="U3705" s="9" t="str">
        <f t="shared" ca="1" si="144"/>
        <v/>
      </c>
      <c r="V3705" s="9" t="str">
        <f t="shared" ca="1" si="145"/>
        <v/>
      </c>
      <c r="AB3705" s="9" t="s">
        <v>12124</v>
      </c>
      <c r="AC3705" s="9" t="s">
        <v>12740</v>
      </c>
      <c r="AD3705" s="9" t="s">
        <v>19</v>
      </c>
    </row>
    <row r="3706" spans="1:33">
      <c r="A3706" s="3" t="s">
        <v>3787</v>
      </c>
      <c r="D3706" s="3" t="s">
        <v>341</v>
      </c>
      <c r="E3706" s="3" t="s">
        <v>342</v>
      </c>
      <c r="J3706" s="9" t="s">
        <v>12118</v>
      </c>
      <c r="Q3706" s="10"/>
      <c r="T3706" s="9" t="s">
        <v>12131</v>
      </c>
      <c r="U3706" s="9" t="str">
        <f t="shared" ca="1" si="144"/>
        <v/>
      </c>
      <c r="V3706" s="9" t="str">
        <f t="shared" ca="1" si="145"/>
        <v/>
      </c>
      <c r="AB3706" s="9" t="s">
        <v>12124</v>
      </c>
      <c r="AC3706" s="9" t="s">
        <v>12742</v>
      </c>
      <c r="AD3706" s="9" t="s">
        <v>19</v>
      </c>
    </row>
    <row r="3707" spans="1:33">
      <c r="A3707" s="3" t="s">
        <v>3787</v>
      </c>
      <c r="D3707" s="3" t="s">
        <v>9771</v>
      </c>
      <c r="E3707" s="3" t="s">
        <v>9770</v>
      </c>
      <c r="Q3707" s="10"/>
      <c r="U3707" s="9" t="str">
        <f t="shared" ca="1" si="144"/>
        <v/>
      </c>
      <c r="V3707" s="9" t="str">
        <f t="shared" ca="1" si="145"/>
        <v/>
      </c>
    </row>
    <row r="3708" spans="1:33">
      <c r="A3708" s="3" t="s">
        <v>3788</v>
      </c>
      <c r="D3708" s="3" t="s">
        <v>3789</v>
      </c>
      <c r="E3708" s="3" t="s">
        <v>3790</v>
      </c>
      <c r="J3708" s="9" t="s">
        <v>12118</v>
      </c>
      <c r="Q3708" s="10"/>
      <c r="T3708" s="9" t="s">
        <v>12131</v>
      </c>
      <c r="U3708" s="9" t="str">
        <f t="shared" ca="1" si="144"/>
        <v/>
      </c>
      <c r="V3708" s="9" t="str">
        <f t="shared" ca="1" si="145"/>
        <v/>
      </c>
      <c r="AE3708" s="9" t="s">
        <v>12077</v>
      </c>
    </row>
    <row r="3709" spans="1:33" ht="29">
      <c r="A3709" s="3" t="s">
        <v>3788</v>
      </c>
      <c r="D3709" s="3" t="s">
        <v>9772</v>
      </c>
      <c r="E3709" s="3" t="s">
        <v>9773</v>
      </c>
      <c r="J3709" s="9" t="s">
        <v>24</v>
      </c>
      <c r="L3709" s="9">
        <v>1</v>
      </c>
      <c r="M3709" s="9">
        <v>3</v>
      </c>
      <c r="N3709" s="9" t="s">
        <v>12087</v>
      </c>
      <c r="O3709" s="9" t="s">
        <v>12079</v>
      </c>
      <c r="Q3709" s="10"/>
      <c r="S3709" s="9">
        <v>5676</v>
      </c>
      <c r="U3709" s="9" t="str">
        <f t="shared" ca="1" si="144"/>
        <v/>
      </c>
      <c r="V3709" s="9" t="str">
        <f t="shared" ca="1" si="145"/>
        <v/>
      </c>
      <c r="AG3709" s="9" t="s">
        <v>19</v>
      </c>
    </row>
    <row r="3710" spans="1:33" ht="29">
      <c r="A3710" s="3" t="s">
        <v>3788</v>
      </c>
      <c r="D3710" s="3" t="s">
        <v>9775</v>
      </c>
      <c r="E3710" s="3" t="s">
        <v>9774</v>
      </c>
      <c r="G3710" t="s">
        <v>20</v>
      </c>
      <c r="I3710" t="s">
        <v>9776</v>
      </c>
      <c r="Q3710" s="10"/>
      <c r="U3710" s="9" t="str">
        <f t="shared" ca="1" si="144"/>
        <v/>
      </c>
      <c r="V3710" s="9" t="str">
        <f t="shared" ca="1" si="145"/>
        <v/>
      </c>
    </row>
    <row r="3711" spans="1:33">
      <c r="A3711" s="3" t="s">
        <v>3788</v>
      </c>
      <c r="D3711" s="3" t="s">
        <v>9778</v>
      </c>
      <c r="E3711" s="3" t="s">
        <v>9777</v>
      </c>
      <c r="G3711" t="s">
        <v>19</v>
      </c>
      <c r="J3711" s="9" t="s">
        <v>24</v>
      </c>
      <c r="L3711" s="9">
        <v>1</v>
      </c>
      <c r="M3711" s="9">
        <v>2</v>
      </c>
      <c r="N3711" s="9" t="s">
        <v>12078</v>
      </c>
      <c r="O3711" s="9" t="s">
        <v>12119</v>
      </c>
      <c r="Q3711" s="10"/>
      <c r="S3711" s="9">
        <v>11843</v>
      </c>
      <c r="U3711" s="9" t="str">
        <f t="shared" ca="1" si="144"/>
        <v/>
      </c>
      <c r="V3711" s="9" t="str">
        <f t="shared" ca="1" si="145"/>
        <v/>
      </c>
    </row>
    <row r="3712" spans="1:33">
      <c r="A3712" s="3" t="s">
        <v>3791</v>
      </c>
      <c r="D3712" s="3" t="s">
        <v>9779</v>
      </c>
      <c r="E3712" s="3" t="s">
        <v>9780</v>
      </c>
      <c r="J3712" s="9" t="s">
        <v>24</v>
      </c>
      <c r="L3712" s="9">
        <v>1</v>
      </c>
      <c r="M3712" s="9">
        <v>2</v>
      </c>
      <c r="N3712" s="9" t="s">
        <v>12096</v>
      </c>
      <c r="O3712" s="9" t="s">
        <v>12119</v>
      </c>
      <c r="Q3712" s="10"/>
      <c r="R3712" s="9" t="s">
        <v>12074</v>
      </c>
      <c r="S3712" s="9">
        <v>1294</v>
      </c>
      <c r="U3712" s="9" t="str">
        <f t="shared" ca="1" si="144"/>
        <v/>
      </c>
      <c r="V3712" s="9" t="str">
        <f t="shared" ca="1" si="145"/>
        <v/>
      </c>
      <c r="AE3712" s="9" t="s">
        <v>12083</v>
      </c>
    </row>
    <row r="3713" spans="1:33">
      <c r="A3713" s="3" t="s">
        <v>3791</v>
      </c>
      <c r="D3713" s="3" t="s">
        <v>9782</v>
      </c>
      <c r="E3713" s="3" t="s">
        <v>9781</v>
      </c>
      <c r="G3713" t="s">
        <v>19</v>
      </c>
      <c r="J3713" s="9" t="s">
        <v>12118</v>
      </c>
      <c r="Q3713" s="10"/>
      <c r="T3713" s="9">
        <f>1966-431</f>
        <v>1535</v>
      </c>
      <c r="U3713" s="9">
        <f t="shared" ca="1" si="144"/>
        <v>431</v>
      </c>
      <c r="V3713" s="9">
        <f t="shared" ca="1" si="145"/>
        <v>1966</v>
      </c>
    </row>
    <row r="3714" spans="1:33" ht="29">
      <c r="A3714" s="3" t="s">
        <v>3792</v>
      </c>
      <c r="D3714" s="3" t="s">
        <v>9784</v>
      </c>
      <c r="E3714" s="3" t="s">
        <v>9783</v>
      </c>
      <c r="G3714" t="s">
        <v>19</v>
      </c>
      <c r="J3714" s="9" t="s">
        <v>12120</v>
      </c>
      <c r="Q3714" s="10"/>
      <c r="U3714" s="9" t="str">
        <f t="shared" ca="1" si="144"/>
        <v/>
      </c>
      <c r="V3714" s="9" t="str">
        <f t="shared" ca="1" si="145"/>
        <v/>
      </c>
    </row>
    <row r="3715" spans="1:33" ht="29">
      <c r="A3715" s="3" t="s">
        <v>3793</v>
      </c>
      <c r="D3715" s="3" t="s">
        <v>9785</v>
      </c>
      <c r="E3715" s="3" t="s">
        <v>9786</v>
      </c>
      <c r="J3715" s="9" t="s">
        <v>12120</v>
      </c>
      <c r="Q3715" s="10"/>
      <c r="U3715" s="9" t="str">
        <f t="shared" ca="1" si="144"/>
        <v/>
      </c>
      <c r="V3715" s="9" t="str">
        <f t="shared" ca="1" si="145"/>
        <v/>
      </c>
      <c r="AC3715" s="9" t="s">
        <v>12134</v>
      </c>
      <c r="AD3715" s="9" t="s">
        <v>19</v>
      </c>
    </row>
    <row r="3716" spans="1:33" ht="29">
      <c r="A3716" s="3" t="s">
        <v>3793</v>
      </c>
      <c r="D3716" s="3" t="s">
        <v>9788</v>
      </c>
      <c r="E3716" s="3" t="s">
        <v>9787</v>
      </c>
      <c r="G3716" t="s">
        <v>19</v>
      </c>
      <c r="J3716" s="9" t="s">
        <v>12121</v>
      </c>
      <c r="Q3716" s="10"/>
      <c r="T3716" s="9">
        <f>5676-780</f>
        <v>4896</v>
      </c>
      <c r="U3716" s="9">
        <f t="shared" ca="1" si="144"/>
        <v>780</v>
      </c>
      <c r="V3716" s="9">
        <f t="shared" ca="1" si="145"/>
        <v>5676</v>
      </c>
    </row>
    <row r="3717" spans="1:33" ht="29">
      <c r="A3717" s="3" t="s">
        <v>3793</v>
      </c>
      <c r="D3717" s="3" t="s">
        <v>9789</v>
      </c>
      <c r="E3717" s="3" t="s">
        <v>9790</v>
      </c>
      <c r="G3717" t="s">
        <v>19</v>
      </c>
      <c r="J3717" s="9" t="s">
        <v>12120</v>
      </c>
      <c r="Q3717" s="10"/>
      <c r="U3717" s="9" t="str">
        <f t="shared" ca="1" si="144"/>
        <v/>
      </c>
      <c r="V3717" s="9" t="str">
        <f t="shared" ca="1" si="145"/>
        <v/>
      </c>
      <c r="AB3717" s="9" t="s">
        <v>12082</v>
      </c>
      <c r="AD3717" s="9" t="s">
        <v>19</v>
      </c>
    </row>
    <row r="3718" spans="1:33">
      <c r="A3718" s="3" t="s">
        <v>3794</v>
      </c>
      <c r="D3718" s="3" t="s">
        <v>3795</v>
      </c>
      <c r="E3718" s="3" t="s">
        <v>3796</v>
      </c>
      <c r="J3718" s="9" t="s">
        <v>12118</v>
      </c>
      <c r="Q3718" s="10"/>
      <c r="T3718" s="9" t="s">
        <v>12131</v>
      </c>
      <c r="U3718" s="9" t="str">
        <f t="shared" ca="1" si="144"/>
        <v/>
      </c>
      <c r="V3718" s="9" t="str">
        <f t="shared" ca="1" si="145"/>
        <v/>
      </c>
      <c r="AC3718" s="9" t="s">
        <v>12744</v>
      </c>
      <c r="AD3718" s="9" t="s">
        <v>19</v>
      </c>
      <c r="AE3718" s="9" t="s">
        <v>12086</v>
      </c>
    </row>
    <row r="3719" spans="1:33">
      <c r="A3719" s="3" t="s">
        <v>3797</v>
      </c>
      <c r="D3719" s="3" t="s">
        <v>9792</v>
      </c>
      <c r="E3719" s="3" t="s">
        <v>9791</v>
      </c>
      <c r="J3719" s="9" t="s">
        <v>12118</v>
      </c>
      <c r="Q3719" s="10"/>
      <c r="T3719" s="9">
        <f>1966-5676</f>
        <v>-3710</v>
      </c>
      <c r="U3719" s="9">
        <f t="shared" ca="1" si="144"/>
        <v>5676</v>
      </c>
      <c r="V3719" s="9">
        <f t="shared" ca="1" si="145"/>
        <v>1966</v>
      </c>
      <c r="AG3719" s="9" t="s">
        <v>20</v>
      </c>
    </row>
    <row r="3720" spans="1:33">
      <c r="A3720" s="3" t="s">
        <v>3797</v>
      </c>
      <c r="D3720" s="3" t="s">
        <v>9793</v>
      </c>
      <c r="E3720" s="3" t="s">
        <v>9794</v>
      </c>
      <c r="J3720" s="9" t="s">
        <v>12118</v>
      </c>
      <c r="Q3720" s="10"/>
      <c r="T3720" s="9" t="s">
        <v>12131</v>
      </c>
      <c r="U3720" s="9" t="str">
        <f t="shared" ca="1" si="144"/>
        <v/>
      </c>
      <c r="V3720" s="9" t="str">
        <f t="shared" ca="1" si="145"/>
        <v/>
      </c>
      <c r="AB3720" s="9" t="s">
        <v>12124</v>
      </c>
      <c r="AD3720" s="9" t="s">
        <v>19</v>
      </c>
    </row>
    <row r="3721" spans="1:33">
      <c r="A3721" s="3" t="s">
        <v>3798</v>
      </c>
      <c r="D3721" s="3" t="s">
        <v>1350</v>
      </c>
      <c r="E3721" s="3" t="s">
        <v>1707</v>
      </c>
      <c r="J3721" s="9" t="s">
        <v>12120</v>
      </c>
      <c r="Q3721" s="10"/>
      <c r="U3721" s="9" t="str">
        <f t="shared" ca="1" si="144"/>
        <v/>
      </c>
      <c r="V3721" s="9" t="str">
        <f t="shared" ca="1" si="145"/>
        <v/>
      </c>
      <c r="AE3721" s="9" t="s">
        <v>12077</v>
      </c>
    </row>
    <row r="3722" spans="1:33">
      <c r="A3722" s="3" t="s">
        <v>3798</v>
      </c>
      <c r="D3722" s="3" t="s">
        <v>9796</v>
      </c>
      <c r="E3722" s="3" t="s">
        <v>9795</v>
      </c>
      <c r="G3722" t="s">
        <v>19</v>
      </c>
      <c r="J3722" s="9" t="s">
        <v>12120</v>
      </c>
      <c r="Q3722" s="10"/>
      <c r="U3722" s="9" t="str">
        <f t="shared" ca="1" si="144"/>
        <v/>
      </c>
      <c r="V3722" s="9" t="str">
        <f t="shared" ca="1" si="145"/>
        <v/>
      </c>
      <c r="AE3722" s="9" t="s">
        <v>12086</v>
      </c>
    </row>
    <row r="3723" spans="1:33">
      <c r="A3723" s="3" t="s">
        <v>3798</v>
      </c>
      <c r="D3723" s="3" t="s">
        <v>9798</v>
      </c>
      <c r="E3723" s="3" t="s">
        <v>9797</v>
      </c>
      <c r="G3723" t="s">
        <v>19</v>
      </c>
      <c r="J3723" s="9" t="s">
        <v>12120</v>
      </c>
      <c r="Q3723" s="10"/>
      <c r="U3723" s="9" t="str">
        <f t="shared" ca="1" si="144"/>
        <v/>
      </c>
      <c r="V3723" s="9" t="str">
        <f t="shared" ca="1" si="145"/>
        <v/>
      </c>
    </row>
    <row r="3724" spans="1:33">
      <c r="A3724" s="3" t="s">
        <v>3799</v>
      </c>
      <c r="D3724" s="3" t="s">
        <v>9800</v>
      </c>
      <c r="E3724" s="3" t="s">
        <v>9799</v>
      </c>
      <c r="J3724" s="9" t="s">
        <v>24</v>
      </c>
      <c r="L3724" s="9">
        <v>1</v>
      </c>
      <c r="M3724" s="9">
        <v>3</v>
      </c>
      <c r="N3724" s="9" t="s">
        <v>12078</v>
      </c>
      <c r="O3724" s="9" t="s">
        <v>12073</v>
      </c>
      <c r="P3724" s="9" t="s">
        <v>12142</v>
      </c>
      <c r="Q3724" s="10" t="s">
        <v>12143</v>
      </c>
      <c r="R3724" s="9" t="s">
        <v>12074</v>
      </c>
      <c r="S3724" s="9">
        <v>11843</v>
      </c>
      <c r="U3724" s="9" t="str">
        <f t="shared" ca="1" si="144"/>
        <v/>
      </c>
      <c r="V3724" s="9" t="str">
        <f t="shared" ca="1" si="145"/>
        <v/>
      </c>
      <c r="AE3724" s="9" t="s">
        <v>12083</v>
      </c>
    </row>
    <row r="3725" spans="1:33">
      <c r="A3725" s="3" t="s">
        <v>3799</v>
      </c>
      <c r="D3725" s="3" t="s">
        <v>9802</v>
      </c>
      <c r="E3725" s="3" t="s">
        <v>9801</v>
      </c>
      <c r="J3725" s="9" t="s">
        <v>25</v>
      </c>
      <c r="L3725" s="9">
        <v>1</v>
      </c>
      <c r="M3725" s="9">
        <v>3</v>
      </c>
      <c r="N3725" s="9" t="s">
        <v>12092</v>
      </c>
      <c r="O3725" s="9" t="s">
        <v>12079</v>
      </c>
      <c r="Q3725" s="10"/>
      <c r="S3725" s="9">
        <v>79</v>
      </c>
      <c r="U3725" s="9" t="str">
        <f t="shared" ca="1" si="144"/>
        <v/>
      </c>
      <c r="V3725" s="9" t="str">
        <f t="shared" ca="1" si="145"/>
        <v/>
      </c>
      <c r="AG3725" s="9" t="s">
        <v>19</v>
      </c>
    </row>
    <row r="3726" spans="1:33">
      <c r="A3726" s="3" t="s">
        <v>3800</v>
      </c>
      <c r="D3726" s="3" t="s">
        <v>1383</v>
      </c>
      <c r="E3726" s="3" t="s">
        <v>634</v>
      </c>
      <c r="G3726" t="s">
        <v>19</v>
      </c>
      <c r="J3726" s="9" t="s">
        <v>12118</v>
      </c>
      <c r="Q3726" s="10"/>
      <c r="T3726" s="9" t="s">
        <v>12131</v>
      </c>
      <c r="U3726" s="9" t="str">
        <f t="shared" ref="U3726:U3789" ca="1" si="146">IF(ISNUMBER(T3726),VALUE(MID(_xlfn.FORMULATEXT(T3726),SEARCH("-",_xlfn.FORMULATEXT(T3726))+1,LEN(_xlfn.FORMULATEXT(T3726))-SEARCH("-",_xlfn.FORMULATEXT(T3726)))), "")</f>
        <v/>
      </c>
      <c r="V3726" s="9" t="str">
        <f t="shared" ref="V3726:V3789" ca="1" si="147">IF(ISNUMBER(T3726), VALUE(MID(_xlfn.FORMULATEXT(T3726), 2, SEARCH("-", _xlfn.FORMULATEXT(T3726)) - 2)), "")</f>
        <v/>
      </c>
      <c r="AB3726" s="9" t="s">
        <v>12124</v>
      </c>
      <c r="AC3726" s="9" t="s">
        <v>12740</v>
      </c>
      <c r="AD3726" s="9" t="s">
        <v>19</v>
      </c>
    </row>
    <row r="3727" spans="1:33" ht="29">
      <c r="A3727" s="3" t="s">
        <v>3801</v>
      </c>
      <c r="D3727" s="3" t="s">
        <v>9803</v>
      </c>
      <c r="E3727" s="3" t="s">
        <v>9804</v>
      </c>
      <c r="G3727" t="s">
        <v>19</v>
      </c>
      <c r="J3727" s="9" t="s">
        <v>12120</v>
      </c>
      <c r="Q3727" s="10"/>
      <c r="U3727" s="9" t="str">
        <f t="shared" ca="1" si="146"/>
        <v/>
      </c>
      <c r="V3727" s="9" t="str">
        <f t="shared" ca="1" si="147"/>
        <v/>
      </c>
    </row>
    <row r="3728" spans="1:33" ht="29">
      <c r="A3728" s="3" t="s">
        <v>3801</v>
      </c>
      <c r="D3728" s="3" t="s">
        <v>9806</v>
      </c>
      <c r="E3728" s="3" t="s">
        <v>9805</v>
      </c>
      <c r="J3728" s="9" t="s">
        <v>12118</v>
      </c>
      <c r="Q3728" s="10"/>
      <c r="T3728" s="9">
        <f>0-113</f>
        <v>-113</v>
      </c>
      <c r="U3728" s="9">
        <f t="shared" ca="1" si="146"/>
        <v>113</v>
      </c>
      <c r="V3728" s="9">
        <f t="shared" ca="1" si="147"/>
        <v>0</v>
      </c>
      <c r="AC3728" s="9" t="s">
        <v>12166</v>
      </c>
      <c r="AD3728" s="9" t="s">
        <v>19</v>
      </c>
      <c r="AE3728" s="9" t="s">
        <v>12083</v>
      </c>
    </row>
    <row r="3729" spans="1:33">
      <c r="A3729" s="3" t="s">
        <v>3801</v>
      </c>
      <c r="D3729" s="3" t="s">
        <v>3803</v>
      </c>
      <c r="E3729" s="3" t="s">
        <v>3804</v>
      </c>
      <c r="J3729" s="9" t="s">
        <v>12118</v>
      </c>
      <c r="Q3729" s="10"/>
      <c r="T3729" s="9" t="s">
        <v>12131</v>
      </c>
      <c r="U3729" s="9" t="str">
        <f t="shared" ca="1" si="146"/>
        <v/>
      </c>
      <c r="V3729" s="9" t="str">
        <f t="shared" ca="1" si="147"/>
        <v/>
      </c>
      <c r="AB3729" s="9" t="s">
        <v>12124</v>
      </c>
      <c r="AC3729" s="9" t="s">
        <v>12742</v>
      </c>
      <c r="AD3729" s="9" t="s">
        <v>19</v>
      </c>
    </row>
    <row r="3730" spans="1:33" ht="29">
      <c r="A3730" s="3" t="s">
        <v>3805</v>
      </c>
      <c r="D3730" s="3" t="s">
        <v>9808</v>
      </c>
      <c r="E3730" s="3" t="s">
        <v>9807</v>
      </c>
      <c r="F3730" t="s">
        <v>12</v>
      </c>
      <c r="J3730" s="9" t="s">
        <v>25</v>
      </c>
      <c r="L3730" s="9">
        <v>2</v>
      </c>
      <c r="M3730" s="9">
        <v>9</v>
      </c>
      <c r="O3730" s="9" t="s">
        <v>12079</v>
      </c>
      <c r="Q3730" s="10"/>
      <c r="S3730" s="9">
        <v>17</v>
      </c>
      <c r="U3730" s="9" t="str">
        <f t="shared" ca="1" si="146"/>
        <v/>
      </c>
      <c r="V3730" s="9" t="str">
        <f t="shared" ca="1" si="147"/>
        <v/>
      </c>
      <c r="AG3730" s="9" t="s">
        <v>19</v>
      </c>
    </row>
    <row r="3731" spans="1:33" ht="29">
      <c r="A3731" s="3" t="s">
        <v>3805</v>
      </c>
      <c r="D3731" s="3" t="s">
        <v>9810</v>
      </c>
      <c r="E3731" s="3" t="s">
        <v>9812</v>
      </c>
      <c r="G3731" t="s">
        <v>19</v>
      </c>
      <c r="I3731" t="s">
        <v>9811</v>
      </c>
      <c r="J3731" s="9" t="s">
        <v>24</v>
      </c>
      <c r="L3731" s="9">
        <v>1</v>
      </c>
      <c r="M3731" s="9">
        <v>3</v>
      </c>
      <c r="N3731" s="9" t="s">
        <v>12072</v>
      </c>
      <c r="O3731" s="9" t="s">
        <v>12079</v>
      </c>
      <c r="Q3731" s="10"/>
      <c r="S3731" s="9">
        <v>214</v>
      </c>
      <c r="U3731" s="9" t="str">
        <f t="shared" ca="1" si="146"/>
        <v/>
      </c>
      <c r="V3731" s="9" t="str">
        <f t="shared" ca="1" si="147"/>
        <v/>
      </c>
    </row>
    <row r="3732" spans="1:33" ht="43.5">
      <c r="A3732" s="3" t="s">
        <v>3806</v>
      </c>
      <c r="D3732" s="3" t="s">
        <v>9813</v>
      </c>
      <c r="E3732" s="3" t="s">
        <v>9814</v>
      </c>
      <c r="G3732" t="s">
        <v>19</v>
      </c>
      <c r="J3732" s="9" t="s">
        <v>12118</v>
      </c>
      <c r="Q3732" s="10"/>
      <c r="T3732" s="9">
        <f>169-9</f>
        <v>160</v>
      </c>
      <c r="U3732" s="9">
        <f t="shared" ca="1" si="146"/>
        <v>9</v>
      </c>
      <c r="V3732" s="9">
        <f t="shared" ca="1" si="147"/>
        <v>169</v>
      </c>
    </row>
    <row r="3733" spans="1:33" ht="29">
      <c r="A3733" s="3" t="s">
        <v>3806</v>
      </c>
      <c r="D3733" s="5" t="s">
        <v>9815</v>
      </c>
      <c r="E3733" s="3" t="s">
        <v>9809</v>
      </c>
      <c r="F3733" t="s">
        <v>15</v>
      </c>
      <c r="G3733" t="s">
        <v>19</v>
      </c>
      <c r="I3733" t="s">
        <v>9816</v>
      </c>
      <c r="Q3733" s="10"/>
      <c r="U3733" s="9" t="str">
        <f t="shared" ca="1" si="146"/>
        <v/>
      </c>
      <c r="V3733" s="9" t="str">
        <f t="shared" ca="1" si="147"/>
        <v/>
      </c>
    </row>
    <row r="3734" spans="1:33" ht="29">
      <c r="A3734" s="3" t="s">
        <v>3807</v>
      </c>
      <c r="D3734" s="3" t="s">
        <v>9817</v>
      </c>
      <c r="E3734" s="3" t="s">
        <v>9817</v>
      </c>
      <c r="G3734" t="s">
        <v>20</v>
      </c>
      <c r="I3734" t="s">
        <v>9818</v>
      </c>
      <c r="Q3734" s="10"/>
      <c r="U3734" s="9" t="str">
        <f t="shared" ca="1" si="146"/>
        <v/>
      </c>
      <c r="V3734" s="9" t="str">
        <f t="shared" ca="1" si="147"/>
        <v/>
      </c>
    </row>
    <row r="3735" spans="1:33">
      <c r="A3735" s="3" t="s">
        <v>3807</v>
      </c>
      <c r="D3735" s="3" t="s">
        <v>9820</v>
      </c>
      <c r="E3735" s="3" t="s">
        <v>9819</v>
      </c>
      <c r="G3735" t="s">
        <v>19</v>
      </c>
      <c r="J3735" s="9" t="s">
        <v>24</v>
      </c>
      <c r="L3735" s="9">
        <v>1</v>
      </c>
      <c r="M3735" s="9">
        <v>1</v>
      </c>
      <c r="N3735" s="9" t="s">
        <v>12078</v>
      </c>
      <c r="O3735" s="9" t="s">
        <v>12119</v>
      </c>
      <c r="Q3735" s="10"/>
      <c r="S3735" s="9">
        <v>11843</v>
      </c>
      <c r="U3735" s="9" t="str">
        <f t="shared" ca="1" si="146"/>
        <v/>
      </c>
      <c r="V3735" s="9" t="str">
        <f t="shared" ca="1" si="147"/>
        <v/>
      </c>
    </row>
    <row r="3736" spans="1:33">
      <c r="A3736" s="3" t="s">
        <v>3807</v>
      </c>
      <c r="D3736" s="3" t="s">
        <v>3803</v>
      </c>
      <c r="E3736" s="3" t="s">
        <v>3804</v>
      </c>
      <c r="J3736" s="9" t="s">
        <v>12118</v>
      </c>
      <c r="Q3736" s="10"/>
      <c r="T3736" s="9" t="s">
        <v>12131</v>
      </c>
      <c r="U3736" s="9" t="str">
        <f t="shared" ca="1" si="146"/>
        <v/>
      </c>
      <c r="V3736" s="9" t="str">
        <f t="shared" ca="1" si="147"/>
        <v/>
      </c>
      <c r="AB3736" s="9" t="s">
        <v>12124</v>
      </c>
      <c r="AC3736" s="9" t="s">
        <v>12742</v>
      </c>
      <c r="AD3736" s="9" t="s">
        <v>19</v>
      </c>
    </row>
    <row r="3737" spans="1:33">
      <c r="A3737" s="3" t="s">
        <v>3807</v>
      </c>
      <c r="D3737" s="3" t="s">
        <v>3808</v>
      </c>
      <c r="E3737" s="3" t="s">
        <v>3809</v>
      </c>
      <c r="G3737" t="s">
        <v>21</v>
      </c>
      <c r="I3737" t="s">
        <v>13121</v>
      </c>
      <c r="J3737" s="9" t="s">
        <v>12120</v>
      </c>
      <c r="Q3737" s="10"/>
      <c r="U3737" s="9" t="str">
        <f t="shared" ca="1" si="146"/>
        <v/>
      </c>
      <c r="V3737" s="9" t="str">
        <f t="shared" ca="1" si="147"/>
        <v/>
      </c>
      <c r="AE3737" s="9" t="s">
        <v>12077</v>
      </c>
    </row>
    <row r="3738" spans="1:33">
      <c r="A3738" s="3" t="s">
        <v>3810</v>
      </c>
      <c r="D3738" s="3" t="s">
        <v>3811</v>
      </c>
      <c r="E3738" s="3" t="s">
        <v>3812</v>
      </c>
      <c r="J3738" s="9" t="s">
        <v>12120</v>
      </c>
      <c r="Q3738" s="10"/>
      <c r="U3738" s="9" t="str">
        <f t="shared" ca="1" si="146"/>
        <v/>
      </c>
      <c r="V3738" s="9" t="str">
        <f t="shared" ca="1" si="147"/>
        <v/>
      </c>
      <c r="AB3738" s="9" t="s">
        <v>12738</v>
      </c>
      <c r="AD3738" s="9" t="s">
        <v>19</v>
      </c>
    </row>
    <row r="3739" spans="1:33">
      <c r="A3739" s="3" t="s">
        <v>3813</v>
      </c>
      <c r="D3739" s="3" t="s">
        <v>9822</v>
      </c>
      <c r="E3739" s="3" t="s">
        <v>9821</v>
      </c>
      <c r="G3739" t="s">
        <v>19</v>
      </c>
      <c r="J3739" s="9" t="s">
        <v>25</v>
      </c>
      <c r="L3739" s="9">
        <v>1</v>
      </c>
      <c r="M3739" s="9">
        <v>3</v>
      </c>
      <c r="N3739" s="9" t="s">
        <v>12087</v>
      </c>
      <c r="O3739" s="9" t="s">
        <v>12079</v>
      </c>
      <c r="Q3739" s="10"/>
      <c r="S3739" s="9">
        <v>5676</v>
      </c>
      <c r="U3739" s="9" t="str">
        <f t="shared" ca="1" si="146"/>
        <v/>
      </c>
      <c r="V3739" s="9" t="str">
        <f t="shared" ca="1" si="147"/>
        <v/>
      </c>
    </row>
    <row r="3740" spans="1:33">
      <c r="A3740" s="3" t="s">
        <v>3814</v>
      </c>
      <c r="D3740" s="3" t="s">
        <v>2370</v>
      </c>
      <c r="E3740" s="11" t="s">
        <v>1430</v>
      </c>
      <c r="G3740" t="s">
        <v>19</v>
      </c>
      <c r="J3740" s="9" t="s">
        <v>12120</v>
      </c>
      <c r="Q3740" s="10"/>
      <c r="U3740" s="9" t="str">
        <f t="shared" ca="1" si="146"/>
        <v/>
      </c>
      <c r="V3740" s="9" t="str">
        <f t="shared" ca="1" si="147"/>
        <v/>
      </c>
      <c r="AE3740" s="9" t="s">
        <v>12089</v>
      </c>
    </row>
    <row r="3741" spans="1:33">
      <c r="A3741" s="3" t="s">
        <v>3815</v>
      </c>
      <c r="D3741" s="3" t="s">
        <v>9823</v>
      </c>
      <c r="E3741" s="3" t="s">
        <v>9824</v>
      </c>
      <c r="J3741" s="9" t="s">
        <v>12118</v>
      </c>
      <c r="Q3741" s="10"/>
      <c r="R3741" s="9" t="s">
        <v>12074</v>
      </c>
      <c r="T3741" s="9" t="s">
        <v>12131</v>
      </c>
      <c r="U3741" s="9" t="str">
        <f t="shared" ca="1" si="146"/>
        <v/>
      </c>
      <c r="V3741" s="9" t="str">
        <f t="shared" ca="1" si="147"/>
        <v/>
      </c>
      <c r="AE3741" s="9" t="s">
        <v>12077</v>
      </c>
    </row>
    <row r="3742" spans="1:33">
      <c r="A3742" s="3" t="s">
        <v>3816</v>
      </c>
      <c r="D3742" s="3" t="s">
        <v>9825</v>
      </c>
      <c r="E3742" s="3" t="s">
        <v>9826</v>
      </c>
      <c r="J3742" s="9" t="s">
        <v>12120</v>
      </c>
      <c r="Q3742" s="10"/>
      <c r="U3742" s="9" t="str">
        <f t="shared" ca="1" si="146"/>
        <v/>
      </c>
      <c r="V3742" s="9" t="str">
        <f t="shared" ca="1" si="147"/>
        <v/>
      </c>
      <c r="AB3742" s="9" t="s">
        <v>12082</v>
      </c>
      <c r="AD3742" s="9" t="s">
        <v>19</v>
      </c>
    </row>
    <row r="3743" spans="1:33">
      <c r="A3743" s="3" t="s">
        <v>3817</v>
      </c>
      <c r="D3743" s="3" t="s">
        <v>9827</v>
      </c>
      <c r="E3743" s="3" t="s">
        <v>9828</v>
      </c>
      <c r="J3743" s="9" t="s">
        <v>12120</v>
      </c>
      <c r="Q3743" s="10"/>
      <c r="U3743" s="9" t="str">
        <f t="shared" ca="1" si="146"/>
        <v/>
      </c>
      <c r="V3743" s="9" t="str">
        <f t="shared" ca="1" si="147"/>
        <v/>
      </c>
      <c r="AB3743" s="9" t="s">
        <v>12738</v>
      </c>
      <c r="AD3743" s="9" t="s">
        <v>19</v>
      </c>
    </row>
    <row r="3744" spans="1:33">
      <c r="A3744" s="3" t="s">
        <v>3817</v>
      </c>
      <c r="D3744" s="3" t="s">
        <v>9829</v>
      </c>
      <c r="E3744" s="3" t="s">
        <v>9830</v>
      </c>
      <c r="J3744" s="9" t="s">
        <v>12118</v>
      </c>
      <c r="Q3744" s="10"/>
      <c r="T3744" s="9">
        <f>591-31</f>
        <v>560</v>
      </c>
      <c r="U3744" s="9">
        <f t="shared" ca="1" si="146"/>
        <v>31</v>
      </c>
      <c r="V3744" s="9">
        <f t="shared" ca="1" si="147"/>
        <v>591</v>
      </c>
      <c r="AG3744" s="9" t="s">
        <v>19</v>
      </c>
    </row>
    <row r="3745" spans="1:33" ht="43.5">
      <c r="A3745" s="3" t="s">
        <v>3818</v>
      </c>
      <c r="D3745" s="3" t="s">
        <v>9832</v>
      </c>
      <c r="E3745" s="3" t="s">
        <v>9833</v>
      </c>
      <c r="G3745" t="s">
        <v>19</v>
      </c>
      <c r="J3745" s="9" t="s">
        <v>12120</v>
      </c>
      <c r="Q3745" s="10"/>
      <c r="U3745" s="9" t="str">
        <f t="shared" ca="1" si="146"/>
        <v/>
      </c>
      <c r="V3745" s="9" t="str">
        <f t="shared" ca="1" si="147"/>
        <v/>
      </c>
    </row>
    <row r="3746" spans="1:33" ht="43.5">
      <c r="A3746" s="3" t="s">
        <v>3818</v>
      </c>
      <c r="D3746" s="3" t="s">
        <v>9831</v>
      </c>
      <c r="E3746" s="3" t="s">
        <v>9834</v>
      </c>
      <c r="G3746" t="s">
        <v>19</v>
      </c>
      <c r="J3746" s="9" t="s">
        <v>24</v>
      </c>
      <c r="L3746" s="9">
        <v>1</v>
      </c>
      <c r="M3746" s="9">
        <v>4</v>
      </c>
      <c r="N3746" s="9" t="s">
        <v>12072</v>
      </c>
      <c r="O3746" s="9" t="s">
        <v>12079</v>
      </c>
      <c r="Q3746" s="10"/>
      <c r="S3746" s="9">
        <v>55</v>
      </c>
      <c r="U3746" s="9" t="str">
        <f t="shared" ca="1" si="146"/>
        <v/>
      </c>
      <c r="V3746" s="9" t="str">
        <f t="shared" ca="1" si="147"/>
        <v/>
      </c>
    </row>
    <row r="3747" spans="1:33" ht="43.5">
      <c r="A3747" s="3" t="s">
        <v>3818</v>
      </c>
      <c r="D3747" s="3" t="s">
        <v>9831</v>
      </c>
      <c r="E3747" s="5" t="s">
        <v>9835</v>
      </c>
      <c r="F3747" t="s">
        <v>16</v>
      </c>
      <c r="Q3747" s="10"/>
      <c r="U3747" s="9" t="str">
        <f t="shared" ca="1" si="146"/>
        <v/>
      </c>
      <c r="V3747" s="9" t="str">
        <f t="shared" ca="1" si="147"/>
        <v/>
      </c>
    </row>
    <row r="3748" spans="1:33" ht="29">
      <c r="A3748" s="3" t="s">
        <v>3819</v>
      </c>
      <c r="D3748" s="3" t="s">
        <v>9837</v>
      </c>
      <c r="E3748" s="3" t="s">
        <v>9838</v>
      </c>
      <c r="J3748" s="9" t="s">
        <v>12118</v>
      </c>
      <c r="Q3748" s="10"/>
      <c r="T3748" s="9" t="s">
        <v>12131</v>
      </c>
      <c r="U3748" s="9" t="str">
        <f t="shared" ca="1" si="146"/>
        <v/>
      </c>
      <c r="V3748" s="9" t="str">
        <f t="shared" ca="1" si="147"/>
        <v/>
      </c>
      <c r="AB3748" s="9" t="s">
        <v>12124</v>
      </c>
      <c r="AC3748" s="9" t="s">
        <v>12130</v>
      </c>
      <c r="AD3748" s="9" t="s">
        <v>19</v>
      </c>
    </row>
    <row r="3749" spans="1:33" ht="29">
      <c r="A3749" s="3" t="s">
        <v>3819</v>
      </c>
      <c r="D3749" s="3" t="s">
        <v>9836</v>
      </c>
      <c r="E3749" s="3" t="s">
        <v>9839</v>
      </c>
      <c r="G3749" t="s">
        <v>19</v>
      </c>
      <c r="J3749" s="9" t="s">
        <v>24</v>
      </c>
      <c r="L3749" s="9">
        <v>1</v>
      </c>
      <c r="M3749" s="9">
        <v>3</v>
      </c>
      <c r="N3749" s="9" t="s">
        <v>12087</v>
      </c>
      <c r="O3749" s="9" t="s">
        <v>12079</v>
      </c>
      <c r="Q3749" s="10"/>
      <c r="S3749" s="9">
        <v>5676</v>
      </c>
      <c r="U3749" s="9" t="str">
        <f t="shared" ca="1" si="146"/>
        <v/>
      </c>
      <c r="V3749" s="9" t="str">
        <f t="shared" ca="1" si="147"/>
        <v/>
      </c>
    </row>
    <row r="3750" spans="1:33" ht="29">
      <c r="A3750" s="3" t="s">
        <v>3819</v>
      </c>
      <c r="D3750" s="3" t="s">
        <v>9841</v>
      </c>
      <c r="E3750" s="3" t="s">
        <v>9840</v>
      </c>
      <c r="G3750" t="s">
        <v>19</v>
      </c>
      <c r="J3750" s="9" t="s">
        <v>24</v>
      </c>
      <c r="L3750" s="9">
        <v>1</v>
      </c>
      <c r="M3750" s="9">
        <v>2</v>
      </c>
      <c r="N3750" s="9" t="s">
        <v>12087</v>
      </c>
      <c r="O3750" s="9" t="s">
        <v>12119</v>
      </c>
      <c r="Q3750" s="10"/>
      <c r="S3750" s="9">
        <v>166</v>
      </c>
      <c r="U3750" s="9" t="str">
        <f t="shared" ca="1" si="146"/>
        <v/>
      </c>
      <c r="V3750" s="9" t="str">
        <f t="shared" ca="1" si="147"/>
        <v/>
      </c>
    </row>
    <row r="3751" spans="1:33" ht="43.5">
      <c r="A3751" s="3" t="s">
        <v>3820</v>
      </c>
      <c r="D3751" s="3" t="s">
        <v>9842</v>
      </c>
      <c r="E3751" s="3" t="s">
        <v>9843</v>
      </c>
      <c r="J3751" s="9" t="s">
        <v>24</v>
      </c>
      <c r="L3751" s="9">
        <v>1</v>
      </c>
      <c r="M3751" s="9">
        <v>2</v>
      </c>
      <c r="N3751" s="9" t="s">
        <v>12087</v>
      </c>
      <c r="O3751" s="9" t="s">
        <v>12119</v>
      </c>
      <c r="Q3751" s="10"/>
      <c r="S3751" s="9">
        <v>166</v>
      </c>
      <c r="U3751" s="9" t="str">
        <f t="shared" ca="1" si="146"/>
        <v/>
      </c>
      <c r="V3751" s="9" t="str">
        <f t="shared" ca="1" si="147"/>
        <v/>
      </c>
      <c r="AG3751" s="9" t="s">
        <v>19</v>
      </c>
    </row>
    <row r="3752" spans="1:33" ht="43.5">
      <c r="A3752" s="3" t="s">
        <v>3820</v>
      </c>
      <c r="D3752" s="3" t="s">
        <v>9845</v>
      </c>
      <c r="E3752" s="3" t="s">
        <v>9844</v>
      </c>
      <c r="J3752" s="9" t="s">
        <v>12118</v>
      </c>
      <c r="Q3752" s="10"/>
      <c r="T3752" s="9" t="s">
        <v>12131</v>
      </c>
      <c r="U3752" s="9" t="str">
        <f t="shared" ca="1" si="146"/>
        <v/>
      </c>
      <c r="V3752" s="9" t="str">
        <f t="shared" ca="1" si="147"/>
        <v/>
      </c>
      <c r="AB3752" s="9" t="s">
        <v>12124</v>
      </c>
      <c r="AD3752" s="9" t="s">
        <v>19</v>
      </c>
    </row>
    <row r="3753" spans="1:33" ht="43.5">
      <c r="A3753" s="3" t="s">
        <v>3820</v>
      </c>
      <c r="D3753" s="3" t="s">
        <v>9846</v>
      </c>
      <c r="E3753" s="3" t="s">
        <v>9847</v>
      </c>
      <c r="J3753" s="9" t="s">
        <v>12118</v>
      </c>
      <c r="Q3753" s="10"/>
      <c r="T3753" s="9" t="s">
        <v>12131</v>
      </c>
      <c r="U3753" s="9" t="str">
        <f t="shared" ca="1" si="146"/>
        <v/>
      </c>
      <c r="V3753" s="9" t="str">
        <f t="shared" ca="1" si="147"/>
        <v/>
      </c>
      <c r="AB3753" s="9" t="s">
        <v>12124</v>
      </c>
      <c r="AD3753" s="9" t="s">
        <v>19</v>
      </c>
    </row>
    <row r="3754" spans="1:33">
      <c r="A3754" s="3" t="s">
        <v>3820</v>
      </c>
      <c r="D3754" s="3" t="s">
        <v>9849</v>
      </c>
      <c r="E3754" s="3" t="s">
        <v>9848</v>
      </c>
      <c r="G3754" t="s">
        <v>19</v>
      </c>
      <c r="J3754" s="9" t="s">
        <v>12118</v>
      </c>
      <c r="Q3754" s="10"/>
      <c r="T3754" s="9" t="s">
        <v>12131</v>
      </c>
      <c r="U3754" s="9" t="str">
        <f t="shared" ca="1" si="146"/>
        <v/>
      </c>
      <c r="V3754" s="9" t="str">
        <f t="shared" ca="1" si="147"/>
        <v/>
      </c>
      <c r="AB3754" s="9" t="s">
        <v>12124</v>
      </c>
      <c r="AD3754" s="9" t="s">
        <v>19</v>
      </c>
    </row>
    <row r="3755" spans="1:33">
      <c r="A3755" s="3" t="s">
        <v>3821</v>
      </c>
      <c r="D3755" s="3" t="s">
        <v>3822</v>
      </c>
      <c r="E3755" s="3" t="s">
        <v>9850</v>
      </c>
      <c r="G3755" t="s">
        <v>19</v>
      </c>
      <c r="J3755" s="9" t="s">
        <v>12118</v>
      </c>
      <c r="Q3755" s="10"/>
      <c r="T3755" s="9" t="s">
        <v>12131</v>
      </c>
      <c r="U3755" s="9" t="str">
        <f t="shared" ca="1" si="146"/>
        <v/>
      </c>
      <c r="V3755" s="9" t="str">
        <f t="shared" ca="1" si="147"/>
        <v/>
      </c>
      <c r="AB3755" s="9" t="s">
        <v>12124</v>
      </c>
      <c r="AD3755" s="9" t="s">
        <v>19</v>
      </c>
    </row>
    <row r="3756" spans="1:33">
      <c r="A3756" s="3" t="s">
        <v>3821</v>
      </c>
      <c r="D3756" s="3" t="s">
        <v>3823</v>
      </c>
      <c r="E3756" s="3" t="s">
        <v>9851</v>
      </c>
      <c r="G3756" t="s">
        <v>19</v>
      </c>
      <c r="J3756" s="9" t="s">
        <v>12118</v>
      </c>
      <c r="Q3756" s="10"/>
      <c r="T3756" s="9" t="s">
        <v>12131</v>
      </c>
      <c r="U3756" s="9" t="str">
        <f t="shared" ca="1" si="146"/>
        <v/>
      </c>
      <c r="V3756" s="9" t="str">
        <f t="shared" ca="1" si="147"/>
        <v/>
      </c>
      <c r="AB3756" s="9" t="s">
        <v>12124</v>
      </c>
      <c r="AD3756" s="9" t="s">
        <v>19</v>
      </c>
    </row>
    <row r="3757" spans="1:33">
      <c r="A3757" s="3" t="s">
        <v>3824</v>
      </c>
      <c r="D3757" s="3" t="s">
        <v>9853</v>
      </c>
      <c r="E3757" s="3" t="s">
        <v>9852</v>
      </c>
      <c r="J3757" s="9" t="s">
        <v>25</v>
      </c>
      <c r="L3757" s="9">
        <v>1</v>
      </c>
      <c r="M3757" s="9">
        <v>3</v>
      </c>
      <c r="N3757" s="9" t="s">
        <v>12087</v>
      </c>
      <c r="O3757" s="9" t="s">
        <v>12079</v>
      </c>
      <c r="Q3757" s="10"/>
      <c r="S3757" s="9">
        <v>5676</v>
      </c>
      <c r="U3757" s="9" t="str">
        <f t="shared" ca="1" si="146"/>
        <v/>
      </c>
      <c r="V3757" s="9" t="str">
        <f t="shared" ca="1" si="147"/>
        <v/>
      </c>
      <c r="AG3757" s="9" t="s">
        <v>19</v>
      </c>
    </row>
    <row r="3758" spans="1:33" ht="29">
      <c r="A3758" s="3" t="s">
        <v>3825</v>
      </c>
      <c r="D3758" s="3" t="s">
        <v>12714</v>
      </c>
      <c r="E3758" s="3" t="s">
        <v>12715</v>
      </c>
      <c r="G3758" t="s">
        <v>19</v>
      </c>
      <c r="J3758" s="9" t="s">
        <v>12120</v>
      </c>
      <c r="Q3758" s="10"/>
      <c r="U3758" s="9" t="str">
        <f t="shared" ca="1" si="146"/>
        <v/>
      </c>
      <c r="V3758" s="9" t="str">
        <f t="shared" ca="1" si="147"/>
        <v/>
      </c>
    </row>
    <row r="3759" spans="1:33" ht="29">
      <c r="A3759" s="3" t="s">
        <v>3825</v>
      </c>
      <c r="D3759" s="3" t="s">
        <v>12716</v>
      </c>
      <c r="E3759" s="3" t="s">
        <v>12717</v>
      </c>
      <c r="G3759" t="s">
        <v>19</v>
      </c>
      <c r="J3759" s="9" t="s">
        <v>12120</v>
      </c>
      <c r="Q3759" s="10"/>
      <c r="U3759" s="9" t="str">
        <f t="shared" ca="1" si="146"/>
        <v/>
      </c>
      <c r="V3759" s="9" t="str">
        <f t="shared" ca="1" si="147"/>
        <v/>
      </c>
    </row>
    <row r="3760" spans="1:33">
      <c r="A3760" s="3" t="s">
        <v>3826</v>
      </c>
      <c r="D3760" s="3" t="s">
        <v>9855</v>
      </c>
      <c r="E3760" s="3" t="s">
        <v>9854</v>
      </c>
      <c r="G3760" t="s">
        <v>19</v>
      </c>
      <c r="J3760" s="9" t="s">
        <v>25</v>
      </c>
      <c r="L3760" s="9">
        <v>1</v>
      </c>
      <c r="M3760" s="9">
        <v>4</v>
      </c>
      <c r="N3760" s="9" t="s">
        <v>12087</v>
      </c>
      <c r="O3760" s="9" t="s">
        <v>12079</v>
      </c>
      <c r="Q3760" s="10"/>
      <c r="S3760" s="9">
        <v>142</v>
      </c>
      <c r="U3760" s="9" t="str">
        <f t="shared" ca="1" si="146"/>
        <v/>
      </c>
      <c r="V3760" s="9" t="str">
        <f t="shared" ca="1" si="147"/>
        <v/>
      </c>
    </row>
    <row r="3761" spans="1:33">
      <c r="A3761" s="3" t="s">
        <v>3826</v>
      </c>
      <c r="D3761" s="3" t="s">
        <v>9856</v>
      </c>
      <c r="E3761" s="5" t="s">
        <v>9857</v>
      </c>
      <c r="F3761" t="s">
        <v>16</v>
      </c>
      <c r="Q3761" s="10"/>
      <c r="U3761" s="9" t="str">
        <f t="shared" ca="1" si="146"/>
        <v/>
      </c>
      <c r="V3761" s="9" t="str">
        <f t="shared" ca="1" si="147"/>
        <v/>
      </c>
    </row>
    <row r="3762" spans="1:33" ht="43.5">
      <c r="A3762" s="3" t="s">
        <v>3826</v>
      </c>
      <c r="D3762" s="3" t="s">
        <v>9859</v>
      </c>
      <c r="E3762" s="3" t="s">
        <v>9858</v>
      </c>
      <c r="G3762" t="s">
        <v>19</v>
      </c>
      <c r="J3762" s="9" t="s">
        <v>12118</v>
      </c>
      <c r="Q3762" s="10"/>
      <c r="T3762" s="9">
        <f>6-16</f>
        <v>-10</v>
      </c>
      <c r="U3762" s="9">
        <f t="shared" ca="1" si="146"/>
        <v>16</v>
      </c>
      <c r="V3762" s="9">
        <f t="shared" ca="1" si="147"/>
        <v>6</v>
      </c>
    </row>
    <row r="3763" spans="1:33" ht="43.5">
      <c r="A3763" s="3" t="s">
        <v>3826</v>
      </c>
      <c r="D3763" s="3" t="s">
        <v>9861</v>
      </c>
      <c r="E3763" s="3" t="s">
        <v>9862</v>
      </c>
      <c r="I3763" t="s">
        <v>5457</v>
      </c>
      <c r="J3763" s="9" t="s">
        <v>26</v>
      </c>
      <c r="Q3763" s="10"/>
      <c r="U3763" s="9" t="str">
        <f t="shared" ca="1" si="146"/>
        <v/>
      </c>
      <c r="V3763" s="9" t="str">
        <f t="shared" ca="1" si="147"/>
        <v/>
      </c>
      <c r="AG3763" s="9" t="s">
        <v>20</v>
      </c>
    </row>
    <row r="3764" spans="1:33" ht="43.5">
      <c r="A3764" s="3" t="s">
        <v>3826</v>
      </c>
      <c r="D3764" s="3" t="s">
        <v>9863</v>
      </c>
      <c r="E3764" s="3" t="s">
        <v>9860</v>
      </c>
      <c r="G3764" t="s">
        <v>19</v>
      </c>
      <c r="J3764" s="9" t="s">
        <v>25</v>
      </c>
      <c r="L3764" s="9">
        <v>1</v>
      </c>
      <c r="M3764" s="9">
        <v>6</v>
      </c>
      <c r="N3764" s="9" t="s">
        <v>12072</v>
      </c>
      <c r="O3764" s="9" t="s">
        <v>12079</v>
      </c>
      <c r="Q3764" s="10"/>
      <c r="S3764" s="9">
        <v>92</v>
      </c>
      <c r="U3764" s="9" t="str">
        <f t="shared" ca="1" si="146"/>
        <v/>
      </c>
      <c r="V3764" s="9" t="str">
        <f t="shared" ca="1" si="147"/>
        <v/>
      </c>
    </row>
    <row r="3765" spans="1:33">
      <c r="A3765" s="3" t="s">
        <v>3826</v>
      </c>
      <c r="D3765" s="3" t="s">
        <v>1080</v>
      </c>
      <c r="E3765" s="3" t="s">
        <v>3827</v>
      </c>
      <c r="J3765" s="9" t="s">
        <v>12118</v>
      </c>
      <c r="Q3765" s="10"/>
      <c r="T3765" s="9" t="s">
        <v>12131</v>
      </c>
      <c r="U3765" s="9" t="str">
        <f t="shared" ca="1" si="146"/>
        <v/>
      </c>
      <c r="V3765" s="9" t="str">
        <f t="shared" ca="1" si="147"/>
        <v/>
      </c>
      <c r="AB3765" s="9" t="s">
        <v>12124</v>
      </c>
      <c r="AD3765" s="9" t="s">
        <v>19</v>
      </c>
    </row>
    <row r="3766" spans="1:33">
      <c r="A3766" s="3" t="s">
        <v>3826</v>
      </c>
      <c r="D3766" s="3" t="s">
        <v>9865</v>
      </c>
      <c r="E3766" s="3" t="s">
        <v>9864</v>
      </c>
      <c r="G3766" t="s">
        <v>19</v>
      </c>
      <c r="J3766" s="9" t="s">
        <v>12118</v>
      </c>
      <c r="Q3766" s="10"/>
      <c r="T3766" s="9">
        <f>1741-1496</f>
        <v>245</v>
      </c>
      <c r="U3766" s="9">
        <f t="shared" ca="1" si="146"/>
        <v>1496</v>
      </c>
      <c r="V3766" s="9">
        <f t="shared" ca="1" si="147"/>
        <v>1741</v>
      </c>
    </row>
    <row r="3767" spans="1:33">
      <c r="A3767" s="3" t="s">
        <v>3826</v>
      </c>
      <c r="D3767" s="3" t="s">
        <v>3828</v>
      </c>
      <c r="E3767" s="3" t="s">
        <v>3829</v>
      </c>
      <c r="G3767" t="s">
        <v>21</v>
      </c>
      <c r="I3767" t="s">
        <v>9866</v>
      </c>
      <c r="J3767" s="9" t="s">
        <v>12120</v>
      </c>
      <c r="Q3767" s="10"/>
      <c r="U3767" s="9" t="str">
        <f t="shared" ca="1" si="146"/>
        <v/>
      </c>
      <c r="V3767" s="9" t="str">
        <f t="shared" ca="1" si="147"/>
        <v/>
      </c>
    </row>
    <row r="3768" spans="1:33" ht="43.5">
      <c r="A3768" s="3" t="s">
        <v>3830</v>
      </c>
      <c r="D3768" s="3" t="s">
        <v>9867</v>
      </c>
      <c r="E3768" s="3" t="s">
        <v>12508</v>
      </c>
      <c r="J3768" s="9" t="s">
        <v>12120</v>
      </c>
      <c r="Q3768" s="10"/>
      <c r="U3768" s="9" t="str">
        <f t="shared" ca="1" si="146"/>
        <v/>
      </c>
      <c r="V3768" s="9" t="str">
        <f t="shared" ca="1" si="147"/>
        <v/>
      </c>
      <c r="AG3768" s="9" t="s">
        <v>19</v>
      </c>
    </row>
    <row r="3769" spans="1:33" ht="43.5">
      <c r="A3769" s="3" t="s">
        <v>3830</v>
      </c>
      <c r="D3769" s="3" t="s">
        <v>12507</v>
      </c>
      <c r="E3769" s="3" t="s">
        <v>12509</v>
      </c>
      <c r="J3769" s="9" t="s">
        <v>24</v>
      </c>
      <c r="L3769" s="9">
        <v>1</v>
      </c>
      <c r="M3769" s="9">
        <v>3</v>
      </c>
      <c r="N3769" s="9" t="s">
        <v>12087</v>
      </c>
      <c r="O3769" s="9" t="s">
        <v>12079</v>
      </c>
      <c r="Q3769" s="10"/>
      <c r="S3769" s="9">
        <v>431</v>
      </c>
      <c r="U3769" s="9" t="str">
        <f t="shared" ca="1" si="146"/>
        <v/>
      </c>
      <c r="V3769" s="9" t="str">
        <f t="shared" ca="1" si="147"/>
        <v/>
      </c>
      <c r="AG3769" s="9" t="s">
        <v>19</v>
      </c>
    </row>
    <row r="3770" spans="1:33" ht="43.5">
      <c r="A3770" s="3" t="s">
        <v>3830</v>
      </c>
      <c r="D3770" s="3" t="s">
        <v>9868</v>
      </c>
      <c r="E3770" s="3" t="s">
        <v>9869</v>
      </c>
      <c r="I3770" t="s">
        <v>12192</v>
      </c>
      <c r="J3770" s="9" t="s">
        <v>26</v>
      </c>
      <c r="Q3770" s="10"/>
      <c r="U3770" s="9" t="str">
        <f t="shared" ca="1" si="146"/>
        <v/>
      </c>
      <c r="V3770" s="9" t="str">
        <f t="shared" ca="1" si="147"/>
        <v/>
      </c>
      <c r="AG3770" s="9" t="s">
        <v>19</v>
      </c>
    </row>
    <row r="3771" spans="1:33" ht="29">
      <c r="A3771" s="3" t="s">
        <v>3831</v>
      </c>
      <c r="D3771" s="3" t="s">
        <v>9871</v>
      </c>
      <c r="E3771" s="3" t="s">
        <v>9870</v>
      </c>
      <c r="J3771" s="9" t="s">
        <v>24</v>
      </c>
      <c r="L3771" s="9">
        <v>1</v>
      </c>
      <c r="M3771" s="9">
        <v>4</v>
      </c>
      <c r="N3771" s="9" t="s">
        <v>12092</v>
      </c>
      <c r="O3771" s="9" t="s">
        <v>12079</v>
      </c>
      <c r="Q3771" s="10"/>
      <c r="S3771" s="9">
        <v>1</v>
      </c>
      <c r="U3771" s="9" t="str">
        <f t="shared" ca="1" si="146"/>
        <v/>
      </c>
      <c r="V3771" s="9" t="str">
        <f t="shared" ca="1" si="147"/>
        <v/>
      </c>
      <c r="AG3771" s="9" t="s">
        <v>19</v>
      </c>
    </row>
    <row r="3772" spans="1:33">
      <c r="A3772" s="3" t="s">
        <v>3832</v>
      </c>
      <c r="D3772" s="3" t="s">
        <v>12510</v>
      </c>
      <c r="E3772" s="3" t="s">
        <v>12511</v>
      </c>
      <c r="J3772" s="9" t="s">
        <v>12118</v>
      </c>
      <c r="Q3772" s="10"/>
      <c r="T3772" s="9">
        <f>472-361</f>
        <v>111</v>
      </c>
      <c r="U3772" s="9">
        <f t="shared" ca="1" si="146"/>
        <v>361</v>
      </c>
      <c r="V3772" s="9">
        <f t="shared" ca="1" si="147"/>
        <v>472</v>
      </c>
      <c r="AG3772" s="9" t="s">
        <v>19</v>
      </c>
    </row>
    <row r="3773" spans="1:33">
      <c r="A3773" s="3" t="s">
        <v>3832</v>
      </c>
      <c r="D3773" s="3" t="s">
        <v>9872</v>
      </c>
      <c r="E3773" s="3" t="s">
        <v>12512</v>
      </c>
      <c r="J3773" s="9" t="s">
        <v>24</v>
      </c>
      <c r="L3773" s="9">
        <v>1</v>
      </c>
      <c r="M3773" s="9">
        <v>1</v>
      </c>
      <c r="N3773" s="9" t="s">
        <v>12078</v>
      </c>
      <c r="O3773" s="9" t="s">
        <v>12119</v>
      </c>
      <c r="Q3773" s="10"/>
      <c r="S3773" s="9">
        <v>11843</v>
      </c>
      <c r="U3773" s="9" t="str">
        <f t="shared" ca="1" si="146"/>
        <v/>
      </c>
      <c r="V3773" s="9" t="str">
        <f t="shared" ca="1" si="147"/>
        <v/>
      </c>
      <c r="AG3773" s="9" t="s">
        <v>19</v>
      </c>
    </row>
    <row r="3774" spans="1:33">
      <c r="A3774" s="3" t="s">
        <v>3832</v>
      </c>
      <c r="D3774" s="3" t="s">
        <v>9874</v>
      </c>
      <c r="E3774" s="3" t="s">
        <v>9873</v>
      </c>
      <c r="G3774" t="s">
        <v>19</v>
      </c>
      <c r="J3774" s="9" t="s">
        <v>12120</v>
      </c>
      <c r="Q3774" s="10"/>
      <c r="U3774" s="9" t="str">
        <f t="shared" ca="1" si="146"/>
        <v/>
      </c>
      <c r="V3774" s="9" t="str">
        <f t="shared" ca="1" si="147"/>
        <v/>
      </c>
    </row>
    <row r="3775" spans="1:33">
      <c r="A3775" s="3" t="s">
        <v>3832</v>
      </c>
      <c r="D3775" s="3" t="s">
        <v>3833</v>
      </c>
      <c r="E3775" s="3" t="s">
        <v>3834</v>
      </c>
      <c r="J3775" s="9" t="s">
        <v>12120</v>
      </c>
      <c r="Q3775" s="10"/>
      <c r="U3775" s="9" t="str">
        <f t="shared" ca="1" si="146"/>
        <v/>
      </c>
      <c r="V3775" s="9" t="str">
        <f t="shared" ca="1" si="147"/>
        <v/>
      </c>
      <c r="AG3775" s="9" t="s">
        <v>20</v>
      </c>
    </row>
    <row r="3776" spans="1:33">
      <c r="A3776" s="3" t="s">
        <v>3832</v>
      </c>
      <c r="D3776" s="3" t="s">
        <v>9876</v>
      </c>
      <c r="E3776" s="3" t="s">
        <v>9875</v>
      </c>
      <c r="J3776" s="9" t="s">
        <v>24</v>
      </c>
      <c r="L3776" s="9">
        <v>1</v>
      </c>
      <c r="M3776" s="9">
        <v>2</v>
      </c>
      <c r="N3776" s="9" t="s">
        <v>12078</v>
      </c>
      <c r="O3776" s="9" t="s">
        <v>12119</v>
      </c>
      <c r="Q3776" s="10"/>
      <c r="R3776" s="9" t="s">
        <v>12074</v>
      </c>
      <c r="S3776" s="9">
        <v>11843</v>
      </c>
      <c r="U3776" s="9" t="str">
        <f t="shared" ca="1" si="146"/>
        <v/>
      </c>
      <c r="V3776" s="9" t="str">
        <f t="shared" ca="1" si="147"/>
        <v/>
      </c>
      <c r="AG3776" s="9" t="s">
        <v>19</v>
      </c>
    </row>
    <row r="3777" spans="1:33">
      <c r="A3777" s="3" t="s">
        <v>3832</v>
      </c>
      <c r="D3777" s="3" t="s">
        <v>9877</v>
      </c>
      <c r="E3777" s="3" t="s">
        <v>9878</v>
      </c>
      <c r="G3777" t="s">
        <v>19</v>
      </c>
      <c r="J3777" s="9" t="s">
        <v>12120</v>
      </c>
      <c r="Q3777" s="10"/>
      <c r="U3777" s="9" t="str">
        <f t="shared" ca="1" si="146"/>
        <v/>
      </c>
      <c r="V3777" s="9" t="str">
        <f t="shared" ca="1" si="147"/>
        <v/>
      </c>
    </row>
    <row r="3778" spans="1:33" ht="29">
      <c r="A3778" s="3" t="s">
        <v>3832</v>
      </c>
      <c r="D3778" s="3" t="s">
        <v>9880</v>
      </c>
      <c r="E3778" s="3" t="s">
        <v>9879</v>
      </c>
      <c r="G3778" t="s">
        <v>19</v>
      </c>
      <c r="J3778" s="9" t="s">
        <v>24</v>
      </c>
      <c r="L3778" s="9">
        <v>1</v>
      </c>
      <c r="M3778" s="9">
        <v>9</v>
      </c>
      <c r="N3778" s="9" t="s">
        <v>12092</v>
      </c>
      <c r="O3778" s="9" t="s">
        <v>12073</v>
      </c>
      <c r="P3778" s="9" t="s">
        <v>12203</v>
      </c>
      <c r="Q3778" s="10" t="s">
        <v>12513</v>
      </c>
      <c r="S3778" s="9">
        <v>1</v>
      </c>
      <c r="U3778" s="9" t="str">
        <f t="shared" ca="1" si="146"/>
        <v/>
      </c>
      <c r="V3778" s="9" t="str">
        <f t="shared" ca="1" si="147"/>
        <v/>
      </c>
    </row>
    <row r="3779" spans="1:33">
      <c r="A3779" s="3" t="s">
        <v>3835</v>
      </c>
      <c r="D3779" s="3" t="s">
        <v>9882</v>
      </c>
      <c r="E3779" s="3" t="s">
        <v>9881</v>
      </c>
      <c r="G3779" t="s">
        <v>19</v>
      </c>
      <c r="J3779" s="9" t="s">
        <v>12118</v>
      </c>
      <c r="Q3779" s="10"/>
      <c r="T3779" s="9">
        <f>16-1496</f>
        <v>-1480</v>
      </c>
      <c r="U3779" s="9">
        <f t="shared" ca="1" si="146"/>
        <v>1496</v>
      </c>
      <c r="V3779" s="9">
        <f t="shared" ca="1" si="147"/>
        <v>16</v>
      </c>
    </row>
    <row r="3780" spans="1:33">
      <c r="A3780" s="3" t="s">
        <v>3835</v>
      </c>
      <c r="D3780" s="3" t="s">
        <v>9884</v>
      </c>
      <c r="E3780" s="3" t="s">
        <v>9883</v>
      </c>
      <c r="F3780" t="s">
        <v>11</v>
      </c>
      <c r="G3780" t="s">
        <v>19</v>
      </c>
      <c r="Q3780" s="10"/>
      <c r="U3780" s="9" t="str">
        <f t="shared" ca="1" si="146"/>
        <v/>
      </c>
      <c r="V3780" s="9" t="str">
        <f t="shared" ca="1" si="147"/>
        <v/>
      </c>
    </row>
    <row r="3781" spans="1:33">
      <c r="A3781" s="3" t="s">
        <v>3836</v>
      </c>
      <c r="D3781" s="3" t="s">
        <v>3837</v>
      </c>
      <c r="E3781" s="3" t="s">
        <v>9885</v>
      </c>
      <c r="F3781" t="s">
        <v>11</v>
      </c>
      <c r="G3781" t="s">
        <v>19</v>
      </c>
      <c r="Q3781" s="10"/>
      <c r="U3781" s="9" t="str">
        <f t="shared" ca="1" si="146"/>
        <v/>
      </c>
      <c r="V3781" s="9" t="str">
        <f t="shared" ca="1" si="147"/>
        <v/>
      </c>
    </row>
    <row r="3782" spans="1:33">
      <c r="A3782" s="3" t="s">
        <v>3836</v>
      </c>
      <c r="D3782" s="3" t="s">
        <v>9886</v>
      </c>
      <c r="E3782" s="3" t="s">
        <v>9887</v>
      </c>
      <c r="F3782" t="s">
        <v>11</v>
      </c>
      <c r="Q3782" s="10"/>
      <c r="U3782" s="9" t="str">
        <f t="shared" ca="1" si="146"/>
        <v/>
      </c>
      <c r="V3782" s="9" t="str">
        <f t="shared" ca="1" si="147"/>
        <v/>
      </c>
    </row>
    <row r="3783" spans="1:33">
      <c r="A3783" s="3" t="s">
        <v>3836</v>
      </c>
      <c r="D3783" s="3" t="s">
        <v>9889</v>
      </c>
      <c r="E3783" s="3" t="s">
        <v>9888</v>
      </c>
      <c r="J3783" s="9" t="s">
        <v>24</v>
      </c>
      <c r="L3783" s="9">
        <v>1</v>
      </c>
      <c r="M3783" s="9">
        <v>1</v>
      </c>
      <c r="N3783" s="9" t="s">
        <v>12123</v>
      </c>
      <c r="O3783" s="9" t="s">
        <v>12119</v>
      </c>
      <c r="Q3783" s="10"/>
      <c r="S3783" s="9">
        <v>193</v>
      </c>
      <c r="U3783" s="9" t="str">
        <f t="shared" ca="1" si="146"/>
        <v/>
      </c>
      <c r="V3783" s="9" t="str">
        <f t="shared" ca="1" si="147"/>
        <v/>
      </c>
      <c r="AG3783" s="9" t="s">
        <v>19</v>
      </c>
    </row>
    <row r="3784" spans="1:33">
      <c r="A3784" s="3" t="s">
        <v>3838</v>
      </c>
      <c r="D3784" s="3" t="s">
        <v>9891</v>
      </c>
      <c r="E3784" s="3" t="s">
        <v>9890</v>
      </c>
      <c r="G3784" t="s">
        <v>19</v>
      </c>
      <c r="J3784" s="9" t="s">
        <v>25</v>
      </c>
      <c r="L3784" s="9">
        <v>1</v>
      </c>
      <c r="M3784" s="9">
        <v>3</v>
      </c>
      <c r="N3784" s="9" t="s">
        <v>12078</v>
      </c>
      <c r="O3784" s="9" t="s">
        <v>12079</v>
      </c>
      <c r="Q3784" s="10"/>
      <c r="S3784" s="9">
        <v>11843</v>
      </c>
      <c r="U3784" s="9" t="str">
        <f t="shared" ca="1" si="146"/>
        <v/>
      </c>
      <c r="V3784" s="9" t="str">
        <f t="shared" ca="1" si="147"/>
        <v/>
      </c>
    </row>
    <row r="3785" spans="1:33">
      <c r="A3785" s="3" t="s">
        <v>3839</v>
      </c>
      <c r="D3785" s="3" t="s">
        <v>3840</v>
      </c>
      <c r="E3785" s="3" t="s">
        <v>3841</v>
      </c>
      <c r="J3785" s="9" t="s">
        <v>12118</v>
      </c>
      <c r="Q3785" s="10"/>
      <c r="T3785" s="9" t="s">
        <v>12131</v>
      </c>
      <c r="U3785" s="9" t="str">
        <f t="shared" ca="1" si="146"/>
        <v/>
      </c>
      <c r="V3785" s="9" t="str">
        <f t="shared" ca="1" si="147"/>
        <v/>
      </c>
      <c r="AB3785" s="9" t="s">
        <v>12124</v>
      </c>
      <c r="AC3785" s="9" t="s">
        <v>12130</v>
      </c>
      <c r="AD3785" s="9" t="s">
        <v>19</v>
      </c>
    </row>
    <row r="3786" spans="1:33" ht="58">
      <c r="A3786" s="3" t="s">
        <v>3839</v>
      </c>
      <c r="D3786" s="3" t="s">
        <v>9892</v>
      </c>
      <c r="E3786" s="3" t="s">
        <v>9893</v>
      </c>
      <c r="G3786" t="s">
        <v>19</v>
      </c>
      <c r="J3786" s="9" t="s">
        <v>12118</v>
      </c>
      <c r="Q3786" s="10"/>
      <c r="T3786" s="9" t="s">
        <v>12131</v>
      </c>
      <c r="U3786" s="9" t="str">
        <f t="shared" ca="1" si="146"/>
        <v/>
      </c>
      <c r="V3786" s="9" t="str">
        <f t="shared" ca="1" si="147"/>
        <v/>
      </c>
      <c r="AB3786" s="9" t="s">
        <v>12124</v>
      </c>
      <c r="AC3786" s="9" t="s">
        <v>12166</v>
      </c>
      <c r="AD3786" s="9" t="s">
        <v>19</v>
      </c>
    </row>
    <row r="3787" spans="1:33" ht="58">
      <c r="A3787" s="3" t="s">
        <v>3839</v>
      </c>
      <c r="D3787" s="3" t="s">
        <v>9894</v>
      </c>
      <c r="E3787" s="3" t="s">
        <v>9895</v>
      </c>
      <c r="F3787" t="s">
        <v>11</v>
      </c>
      <c r="G3787" t="s">
        <v>19</v>
      </c>
      <c r="Q3787" s="10"/>
      <c r="U3787" s="9" t="str">
        <f t="shared" ca="1" si="146"/>
        <v/>
      </c>
      <c r="V3787" s="9" t="str">
        <f t="shared" ca="1" si="147"/>
        <v/>
      </c>
    </row>
    <row r="3788" spans="1:33" ht="58">
      <c r="A3788" s="3" t="s">
        <v>3839</v>
      </c>
      <c r="D3788" s="3" t="s">
        <v>9896</v>
      </c>
      <c r="E3788" s="3" t="s">
        <v>9897</v>
      </c>
      <c r="G3788" t="s">
        <v>19</v>
      </c>
      <c r="J3788" s="9" t="s">
        <v>12118</v>
      </c>
      <c r="Q3788" s="10"/>
      <c r="T3788" s="9">
        <f>1741-1496</f>
        <v>245</v>
      </c>
      <c r="U3788" s="9">
        <f t="shared" ca="1" si="146"/>
        <v>1496</v>
      </c>
      <c r="V3788" s="9">
        <f t="shared" ca="1" si="147"/>
        <v>1741</v>
      </c>
    </row>
    <row r="3789" spans="1:33">
      <c r="A3789" s="3" t="s">
        <v>3839</v>
      </c>
      <c r="D3789" s="3" t="s">
        <v>9899</v>
      </c>
      <c r="E3789" s="3" t="s">
        <v>9898</v>
      </c>
      <c r="F3789" t="s">
        <v>11</v>
      </c>
      <c r="G3789" t="s">
        <v>19</v>
      </c>
      <c r="J3789" s="9" t="s">
        <v>12121</v>
      </c>
      <c r="Q3789" s="10"/>
      <c r="T3789" s="9">
        <f>780-66</f>
        <v>714</v>
      </c>
      <c r="U3789" s="9">
        <f t="shared" ca="1" si="146"/>
        <v>66</v>
      </c>
      <c r="V3789" s="9">
        <f t="shared" ca="1" si="147"/>
        <v>780</v>
      </c>
    </row>
    <row r="3790" spans="1:33">
      <c r="A3790" s="3" t="s">
        <v>3842</v>
      </c>
      <c r="D3790" s="3" t="s">
        <v>12931</v>
      </c>
      <c r="E3790" s="3" t="s">
        <v>9900</v>
      </c>
      <c r="H3790" t="s">
        <v>19</v>
      </c>
      <c r="J3790" s="9" t="s">
        <v>24</v>
      </c>
      <c r="L3790" s="9">
        <v>1</v>
      </c>
      <c r="M3790" s="9">
        <v>2</v>
      </c>
      <c r="N3790" s="9" t="s">
        <v>12078</v>
      </c>
      <c r="O3790" s="9" t="s">
        <v>12119</v>
      </c>
      <c r="Q3790" s="10"/>
      <c r="S3790" s="9">
        <v>11843</v>
      </c>
      <c r="U3790" s="9" t="str">
        <f t="shared" ref="U3790:U3852" ca="1" si="148">IF(ISNUMBER(T3790),VALUE(MID(_xlfn.FORMULATEXT(T3790),SEARCH("-",_xlfn.FORMULATEXT(T3790))+1,LEN(_xlfn.FORMULATEXT(T3790))-SEARCH("-",_xlfn.FORMULATEXT(T3790)))), "")</f>
        <v/>
      </c>
      <c r="V3790" s="9" t="str">
        <f t="shared" ref="V3790:V3852" ca="1" si="149">IF(ISNUMBER(T3790), VALUE(MID(_xlfn.FORMULATEXT(T3790), 2, SEARCH("-", _xlfn.FORMULATEXT(T3790)) - 2)), "")</f>
        <v/>
      </c>
      <c r="AG3790" s="9" t="s">
        <v>20</v>
      </c>
    </row>
    <row r="3791" spans="1:33">
      <c r="A3791" s="3" t="s">
        <v>3843</v>
      </c>
      <c r="D3791" s="3" t="s">
        <v>9902</v>
      </c>
      <c r="E3791" s="3" t="s">
        <v>9901</v>
      </c>
      <c r="F3791" t="s">
        <v>11</v>
      </c>
      <c r="G3791" t="s">
        <v>19</v>
      </c>
      <c r="Q3791" s="10"/>
      <c r="U3791" s="9" t="str">
        <f t="shared" ca="1" si="148"/>
        <v/>
      </c>
      <c r="V3791" s="9" t="str">
        <f t="shared" ca="1" si="149"/>
        <v/>
      </c>
    </row>
    <row r="3792" spans="1:33">
      <c r="A3792" s="3" t="s">
        <v>3843</v>
      </c>
      <c r="D3792" s="3" t="s">
        <v>3844</v>
      </c>
      <c r="E3792" s="3" t="s">
        <v>3845</v>
      </c>
      <c r="J3792" s="9" t="s">
        <v>12120</v>
      </c>
      <c r="Q3792" s="10"/>
      <c r="U3792" s="9" t="str">
        <f t="shared" ca="1" si="148"/>
        <v/>
      </c>
      <c r="V3792" s="9" t="str">
        <f t="shared" ca="1" si="149"/>
        <v/>
      </c>
      <c r="AC3792" s="9" t="s">
        <v>12166</v>
      </c>
      <c r="AD3792" s="9" t="s">
        <v>19</v>
      </c>
    </row>
    <row r="3793" spans="1:33">
      <c r="A3793" s="3" t="s">
        <v>3843</v>
      </c>
      <c r="D3793" s="3" t="s">
        <v>9904</v>
      </c>
      <c r="E3793" s="3" t="s">
        <v>9903</v>
      </c>
      <c r="G3793" t="s">
        <v>19</v>
      </c>
      <c r="J3793" s="9" t="s">
        <v>12118</v>
      </c>
      <c r="Q3793" s="10"/>
      <c r="T3793" s="9">
        <f>485-34</f>
        <v>451</v>
      </c>
      <c r="U3793" s="9">
        <f t="shared" ca="1" si="148"/>
        <v>34</v>
      </c>
      <c r="V3793" s="9">
        <f t="shared" ca="1" si="149"/>
        <v>485</v>
      </c>
    </row>
    <row r="3794" spans="1:33">
      <c r="A3794" s="3" t="s">
        <v>3846</v>
      </c>
      <c r="D3794" s="3" t="s">
        <v>9905</v>
      </c>
      <c r="E3794" s="3" t="s">
        <v>9906</v>
      </c>
      <c r="J3794" s="9" t="s">
        <v>12120</v>
      </c>
      <c r="Q3794" s="10"/>
      <c r="U3794" s="9" t="str">
        <f t="shared" ca="1" si="148"/>
        <v/>
      </c>
      <c r="V3794" s="9" t="str">
        <f t="shared" ca="1" si="149"/>
        <v/>
      </c>
      <c r="AC3794" s="9" t="s">
        <v>12144</v>
      </c>
      <c r="AD3794" s="9" t="s">
        <v>19</v>
      </c>
    </row>
    <row r="3795" spans="1:33" ht="43.5">
      <c r="A3795" s="3" t="s">
        <v>3846</v>
      </c>
      <c r="D3795" s="3" t="s">
        <v>9908</v>
      </c>
      <c r="E3795" s="3" t="s">
        <v>9907</v>
      </c>
      <c r="J3795" s="9" t="s">
        <v>25</v>
      </c>
      <c r="L3795" s="9">
        <v>1</v>
      </c>
      <c r="M3795" s="9">
        <v>2</v>
      </c>
      <c r="N3795" s="9" t="s">
        <v>12125</v>
      </c>
      <c r="O3795" s="9" t="s">
        <v>12079</v>
      </c>
      <c r="Q3795" s="10"/>
      <c r="S3795" s="9">
        <v>4</v>
      </c>
      <c r="U3795" s="9" t="str">
        <f t="shared" ca="1" si="148"/>
        <v/>
      </c>
      <c r="V3795" s="9" t="str">
        <f t="shared" ca="1" si="149"/>
        <v/>
      </c>
      <c r="AG3795" s="9" t="s">
        <v>20</v>
      </c>
    </row>
    <row r="3796" spans="1:33">
      <c r="A3796" s="3" t="s">
        <v>3847</v>
      </c>
      <c r="D3796" s="3" t="s">
        <v>3848</v>
      </c>
      <c r="E3796" s="3" t="s">
        <v>3849</v>
      </c>
      <c r="J3796" s="9" t="s">
        <v>12120</v>
      </c>
      <c r="Q3796" s="10"/>
      <c r="U3796" s="9" t="str">
        <f t="shared" ca="1" si="148"/>
        <v/>
      </c>
      <c r="V3796" s="9" t="str">
        <f t="shared" ca="1" si="149"/>
        <v/>
      </c>
      <c r="AC3796" s="9" t="s">
        <v>12744</v>
      </c>
      <c r="AD3796" s="9" t="s">
        <v>19</v>
      </c>
    </row>
    <row r="3797" spans="1:33">
      <c r="A3797" s="3" t="s">
        <v>3847</v>
      </c>
      <c r="D3797" s="3" t="s">
        <v>9910</v>
      </c>
      <c r="E3797" s="3" t="s">
        <v>9909</v>
      </c>
      <c r="G3797" t="s">
        <v>19</v>
      </c>
      <c r="J3797" s="9" t="s">
        <v>12120</v>
      </c>
      <c r="Q3797" s="10"/>
      <c r="U3797" s="9" t="str">
        <f t="shared" ca="1" si="148"/>
        <v/>
      </c>
      <c r="V3797" s="9" t="str">
        <f t="shared" ca="1" si="149"/>
        <v/>
      </c>
      <c r="AC3797" s="9" t="s">
        <v>12134</v>
      </c>
      <c r="AD3797" s="9" t="s">
        <v>19</v>
      </c>
    </row>
    <row r="3798" spans="1:33" ht="29">
      <c r="A3798" s="3" t="s">
        <v>3850</v>
      </c>
      <c r="D3798" s="3" t="s">
        <v>9912</v>
      </c>
      <c r="E3798" s="3" t="s">
        <v>9911</v>
      </c>
      <c r="J3798" s="9" t="s">
        <v>12120</v>
      </c>
      <c r="Q3798" s="10"/>
      <c r="U3798" s="9" t="str">
        <f t="shared" ca="1" si="148"/>
        <v/>
      </c>
      <c r="V3798" s="9" t="str">
        <f t="shared" ca="1" si="149"/>
        <v/>
      </c>
      <c r="AG3798" s="9" t="s">
        <v>19</v>
      </c>
    </row>
    <row r="3799" spans="1:33">
      <c r="A3799" s="3" t="s">
        <v>3851</v>
      </c>
      <c r="D3799" s="3" t="s">
        <v>9913</v>
      </c>
      <c r="E3799" s="3" t="s">
        <v>9914</v>
      </c>
      <c r="J3799" s="9" t="s">
        <v>12118</v>
      </c>
      <c r="Q3799" s="10"/>
      <c r="T3799" s="9">
        <f>7-40</f>
        <v>-33</v>
      </c>
      <c r="U3799" s="9">
        <f t="shared" ca="1" si="148"/>
        <v>40</v>
      </c>
      <c r="V3799" s="9">
        <f t="shared" ca="1" si="149"/>
        <v>7</v>
      </c>
      <c r="AG3799" s="9" t="s">
        <v>19</v>
      </c>
    </row>
    <row r="3800" spans="1:33">
      <c r="A3800" s="3" t="s">
        <v>3851</v>
      </c>
      <c r="D3800" s="3" t="s">
        <v>9915</v>
      </c>
      <c r="E3800" s="3" t="s">
        <v>9916</v>
      </c>
      <c r="J3800" s="9" t="s">
        <v>12120</v>
      </c>
      <c r="Q3800" s="10"/>
      <c r="U3800" s="9" t="str">
        <f t="shared" ca="1" si="148"/>
        <v/>
      </c>
      <c r="V3800" s="9" t="str">
        <f t="shared" ca="1" si="149"/>
        <v/>
      </c>
      <c r="AC3800" s="9" t="s">
        <v>12134</v>
      </c>
      <c r="AD3800" s="9" t="s">
        <v>19</v>
      </c>
    </row>
    <row r="3801" spans="1:33">
      <c r="A3801" s="3" t="s">
        <v>3851</v>
      </c>
      <c r="D3801" s="3" t="s">
        <v>9917</v>
      </c>
      <c r="E3801" s="3" t="s">
        <v>9918</v>
      </c>
      <c r="J3801" s="9" t="s">
        <v>12118</v>
      </c>
      <c r="Q3801" s="10"/>
      <c r="T3801" s="9">
        <f>6-21</f>
        <v>-15</v>
      </c>
      <c r="U3801" s="9">
        <f t="shared" ca="1" si="148"/>
        <v>21</v>
      </c>
      <c r="V3801" s="9">
        <f t="shared" ca="1" si="149"/>
        <v>6</v>
      </c>
      <c r="AG3801" s="9" t="s">
        <v>20</v>
      </c>
    </row>
    <row r="3802" spans="1:33">
      <c r="A3802" s="3" t="s">
        <v>3852</v>
      </c>
      <c r="D3802" s="3" t="s">
        <v>9920</v>
      </c>
      <c r="E3802" s="3" t="s">
        <v>9919</v>
      </c>
      <c r="G3802" t="s">
        <v>19</v>
      </c>
      <c r="J3802" s="9" t="s">
        <v>12118</v>
      </c>
      <c r="Q3802" s="10"/>
      <c r="T3802" s="9">
        <f>173-336</f>
        <v>-163</v>
      </c>
      <c r="U3802" s="9">
        <f t="shared" ca="1" si="148"/>
        <v>336</v>
      </c>
      <c r="V3802" s="9">
        <f t="shared" ca="1" si="149"/>
        <v>173</v>
      </c>
    </row>
    <row r="3803" spans="1:33">
      <c r="A3803" s="3" t="s">
        <v>3852</v>
      </c>
      <c r="D3803" s="3" t="s">
        <v>9922</v>
      </c>
      <c r="E3803" s="3" t="s">
        <v>9921</v>
      </c>
      <c r="G3803" t="s">
        <v>19</v>
      </c>
      <c r="J3803" s="9" t="s">
        <v>12118</v>
      </c>
      <c r="Q3803" s="10"/>
      <c r="T3803" s="9" t="s">
        <v>12131</v>
      </c>
      <c r="U3803" s="9" t="str">
        <f t="shared" ca="1" si="148"/>
        <v/>
      </c>
      <c r="V3803" s="9" t="str">
        <f t="shared" ca="1" si="149"/>
        <v/>
      </c>
      <c r="AE3803" s="9" t="s">
        <v>12086</v>
      </c>
    </row>
    <row r="3804" spans="1:33" ht="43.5">
      <c r="A3804" s="3" t="s">
        <v>3852</v>
      </c>
      <c r="D3804" s="3" t="s">
        <v>12932</v>
      </c>
      <c r="E3804" s="3" t="s">
        <v>9923</v>
      </c>
      <c r="F3804" t="s">
        <v>12</v>
      </c>
      <c r="G3804" t="s">
        <v>19</v>
      </c>
      <c r="J3804" s="9" t="s">
        <v>12118</v>
      </c>
      <c r="Q3804" s="10"/>
      <c r="T3804" s="9">
        <f>4-76</f>
        <v>-72</v>
      </c>
      <c r="U3804" s="9">
        <f t="shared" ca="1" si="148"/>
        <v>76</v>
      </c>
      <c r="V3804" s="9">
        <f t="shared" ca="1" si="149"/>
        <v>4</v>
      </c>
    </row>
    <row r="3805" spans="1:33" ht="58">
      <c r="A3805" s="3" t="s">
        <v>3852</v>
      </c>
      <c r="D3805" s="3" t="s">
        <v>9926</v>
      </c>
      <c r="E3805" s="3" t="s">
        <v>9924</v>
      </c>
      <c r="G3805" t="s">
        <v>20</v>
      </c>
      <c r="I3805" t="s">
        <v>9925</v>
      </c>
      <c r="Q3805" s="10"/>
      <c r="U3805" s="9" t="str">
        <f t="shared" ca="1" si="148"/>
        <v/>
      </c>
      <c r="V3805" s="9" t="str">
        <f t="shared" ca="1" si="149"/>
        <v/>
      </c>
    </row>
    <row r="3806" spans="1:33" ht="43.5">
      <c r="A3806" s="3" t="s">
        <v>3852</v>
      </c>
      <c r="D3806" s="3" t="s">
        <v>9927</v>
      </c>
      <c r="E3806" s="3" t="s">
        <v>9928</v>
      </c>
      <c r="J3806" s="9" t="s">
        <v>12120</v>
      </c>
      <c r="Q3806" s="10"/>
      <c r="U3806" s="9" t="str">
        <f t="shared" ca="1" si="148"/>
        <v/>
      </c>
      <c r="V3806" s="9" t="str">
        <f t="shared" ca="1" si="149"/>
        <v/>
      </c>
      <c r="AG3806" s="9" t="s">
        <v>19</v>
      </c>
    </row>
    <row r="3807" spans="1:33" ht="43.5">
      <c r="A3807" s="3" t="s">
        <v>3853</v>
      </c>
      <c r="D3807" s="3" t="s">
        <v>9929</v>
      </c>
      <c r="E3807" s="3" t="s">
        <v>9930</v>
      </c>
      <c r="G3807" t="s">
        <v>19</v>
      </c>
      <c r="I3807" t="s">
        <v>12514</v>
      </c>
      <c r="J3807" s="9" t="s">
        <v>24</v>
      </c>
      <c r="L3807" s="9">
        <v>4</v>
      </c>
      <c r="M3807" s="9">
        <v>23</v>
      </c>
      <c r="O3807" s="9" t="s">
        <v>12079</v>
      </c>
      <c r="Q3807" s="10"/>
      <c r="S3807" s="9">
        <v>3</v>
      </c>
      <c r="U3807" s="9" t="str">
        <f t="shared" ca="1" si="148"/>
        <v/>
      </c>
      <c r="V3807" s="9" t="str">
        <f t="shared" ca="1" si="149"/>
        <v/>
      </c>
      <c r="AE3807" s="9" t="s">
        <v>12089</v>
      </c>
    </row>
    <row r="3808" spans="1:33">
      <c r="A3808" s="3" t="s">
        <v>3853</v>
      </c>
      <c r="D3808" s="3" t="s">
        <v>3854</v>
      </c>
      <c r="E3808" s="3" t="s">
        <v>3855</v>
      </c>
      <c r="G3808" t="s">
        <v>19</v>
      </c>
      <c r="J3808" s="9" t="s">
        <v>12120</v>
      </c>
      <c r="Q3808" s="10"/>
      <c r="U3808" s="9" t="str">
        <f t="shared" ca="1" si="148"/>
        <v/>
      </c>
      <c r="V3808" s="9" t="str">
        <f t="shared" ca="1" si="149"/>
        <v/>
      </c>
      <c r="AC3808" s="9" t="s">
        <v>12744</v>
      </c>
      <c r="AD3808" s="9" t="s">
        <v>19</v>
      </c>
    </row>
    <row r="3809" spans="1:33">
      <c r="A3809" s="3" t="s">
        <v>3853</v>
      </c>
      <c r="D3809" s="3" t="s">
        <v>9931</v>
      </c>
      <c r="E3809" s="3" t="s">
        <v>9932</v>
      </c>
      <c r="J3809" s="9" t="s">
        <v>12118</v>
      </c>
      <c r="Q3809" s="10"/>
      <c r="T3809" s="9">
        <f>87-37</f>
        <v>50</v>
      </c>
      <c r="U3809" s="9">
        <f t="shared" ca="1" si="148"/>
        <v>37</v>
      </c>
      <c r="V3809" s="9">
        <f t="shared" ca="1" si="149"/>
        <v>87</v>
      </c>
      <c r="AG3809" s="9" t="s">
        <v>19</v>
      </c>
    </row>
    <row r="3810" spans="1:33">
      <c r="A3810" s="3" t="s">
        <v>3856</v>
      </c>
      <c r="D3810" s="3" t="s">
        <v>9933</v>
      </c>
      <c r="E3810" s="3" t="s">
        <v>9934</v>
      </c>
      <c r="G3810" t="s">
        <v>19</v>
      </c>
      <c r="J3810" s="9" t="s">
        <v>12121</v>
      </c>
      <c r="Q3810" s="10"/>
      <c r="T3810" s="9">
        <f>11843-356</f>
        <v>11487</v>
      </c>
      <c r="U3810" s="9">
        <f t="shared" ca="1" si="148"/>
        <v>356</v>
      </c>
      <c r="V3810" s="9">
        <f t="shared" ca="1" si="149"/>
        <v>11843</v>
      </c>
    </row>
    <row r="3811" spans="1:33" ht="29">
      <c r="A3811" s="3" t="s">
        <v>3857</v>
      </c>
      <c r="D3811" s="3" t="s">
        <v>9936</v>
      </c>
      <c r="E3811" s="3" t="s">
        <v>9935</v>
      </c>
      <c r="F3811" t="s">
        <v>11</v>
      </c>
      <c r="G3811" t="s">
        <v>19</v>
      </c>
      <c r="Q3811" s="10"/>
      <c r="U3811" s="9" t="str">
        <f t="shared" ca="1" si="148"/>
        <v/>
      </c>
      <c r="V3811" s="9" t="str">
        <f t="shared" ca="1" si="149"/>
        <v/>
      </c>
    </row>
    <row r="3812" spans="1:33" ht="29">
      <c r="A3812" s="3" t="s">
        <v>3858</v>
      </c>
      <c r="D3812" s="3" t="s">
        <v>9940</v>
      </c>
      <c r="E3812" s="3" t="s">
        <v>9937</v>
      </c>
      <c r="G3812" t="s">
        <v>19</v>
      </c>
      <c r="J3812" s="9" t="s">
        <v>24</v>
      </c>
      <c r="L3812" s="9">
        <v>1</v>
      </c>
      <c r="M3812" s="9">
        <v>2</v>
      </c>
      <c r="N3812" s="9" t="s">
        <v>12123</v>
      </c>
      <c r="O3812" s="9" t="s">
        <v>12119</v>
      </c>
      <c r="Q3812" s="10"/>
      <c r="S3812" s="9">
        <v>134</v>
      </c>
      <c r="U3812" s="9" t="str">
        <f t="shared" ca="1" si="148"/>
        <v/>
      </c>
      <c r="V3812" s="9" t="str">
        <f t="shared" ca="1" si="149"/>
        <v/>
      </c>
    </row>
    <row r="3813" spans="1:33" ht="29">
      <c r="A3813" s="3" t="s">
        <v>3858</v>
      </c>
      <c r="D3813" s="3" t="s">
        <v>9941</v>
      </c>
      <c r="E3813" s="3" t="s">
        <v>9938</v>
      </c>
      <c r="G3813" t="s">
        <v>19</v>
      </c>
      <c r="J3813" s="9" t="s">
        <v>12120</v>
      </c>
      <c r="Q3813" s="10"/>
      <c r="U3813" s="9" t="str">
        <f t="shared" ca="1" si="148"/>
        <v/>
      </c>
      <c r="V3813" s="9" t="str">
        <f t="shared" ca="1" si="149"/>
        <v/>
      </c>
      <c r="AE3813" s="9" t="s">
        <v>12089</v>
      </c>
    </row>
    <row r="3814" spans="1:33" ht="29">
      <c r="A3814" s="3" t="s">
        <v>3858</v>
      </c>
      <c r="D3814" s="3" t="s">
        <v>9942</v>
      </c>
      <c r="E3814" s="3" t="s">
        <v>9939</v>
      </c>
      <c r="J3814" s="9" t="s">
        <v>12118</v>
      </c>
      <c r="Q3814" s="10"/>
      <c r="T3814" s="9" t="s">
        <v>12131</v>
      </c>
      <c r="U3814" s="9" t="str">
        <f t="shared" ca="1" si="148"/>
        <v/>
      </c>
      <c r="V3814" s="9" t="str">
        <f t="shared" ca="1" si="149"/>
        <v/>
      </c>
      <c r="AC3814" s="9" t="s">
        <v>12742</v>
      </c>
      <c r="AD3814" s="9" t="s">
        <v>19</v>
      </c>
    </row>
    <row r="3815" spans="1:33" ht="29">
      <c r="A3815" s="3" t="s">
        <v>3858</v>
      </c>
      <c r="D3815" s="3" t="s">
        <v>9943</v>
      </c>
      <c r="E3815" s="3" t="s">
        <v>9944</v>
      </c>
      <c r="J3815" s="9" t="s">
        <v>12118</v>
      </c>
      <c r="Q3815" s="10"/>
      <c r="T3815" s="9">
        <f>1496-1741</f>
        <v>-245</v>
      </c>
      <c r="U3815" s="9">
        <f t="shared" ca="1" si="148"/>
        <v>1741</v>
      </c>
      <c r="V3815" s="9">
        <f t="shared" ca="1" si="149"/>
        <v>1496</v>
      </c>
      <c r="AG3815" s="9" t="s">
        <v>20</v>
      </c>
    </row>
    <row r="3816" spans="1:33" ht="29">
      <c r="A3816" s="3" t="s">
        <v>3859</v>
      </c>
      <c r="D3816" s="3" t="s">
        <v>9946</v>
      </c>
      <c r="E3816" s="3" t="s">
        <v>9945</v>
      </c>
      <c r="J3816" s="9" t="s">
        <v>25</v>
      </c>
      <c r="L3816" s="9">
        <v>1</v>
      </c>
      <c r="M3816" s="9">
        <v>3</v>
      </c>
      <c r="N3816" s="9" t="s">
        <v>12087</v>
      </c>
      <c r="O3816" s="9" t="s">
        <v>12079</v>
      </c>
      <c r="Q3816" s="10"/>
      <c r="S3816" s="9">
        <v>356</v>
      </c>
      <c r="U3816" s="9" t="str">
        <f t="shared" ca="1" si="148"/>
        <v/>
      </c>
      <c r="V3816" s="9" t="str">
        <f t="shared" ca="1" si="149"/>
        <v/>
      </c>
      <c r="AG3816" s="9" t="s">
        <v>20</v>
      </c>
    </row>
    <row r="3817" spans="1:33" ht="29">
      <c r="A3817" s="3" t="s">
        <v>3859</v>
      </c>
      <c r="D3817" s="3" t="s">
        <v>9948</v>
      </c>
      <c r="E3817" s="5" t="s">
        <v>9949</v>
      </c>
      <c r="F3817" t="s">
        <v>16</v>
      </c>
      <c r="Q3817" s="10"/>
      <c r="U3817" s="9" t="str">
        <f t="shared" ca="1" si="148"/>
        <v/>
      </c>
      <c r="V3817" s="9" t="str">
        <f t="shared" ca="1" si="149"/>
        <v/>
      </c>
    </row>
    <row r="3818" spans="1:33" ht="29">
      <c r="A3818" s="3" t="s">
        <v>3859</v>
      </c>
      <c r="D3818" s="3" t="s">
        <v>9947</v>
      </c>
      <c r="E3818" s="3" t="s">
        <v>9950</v>
      </c>
      <c r="G3818" t="s">
        <v>21</v>
      </c>
      <c r="I3818" t="s">
        <v>9951</v>
      </c>
      <c r="J3818" s="9" t="s">
        <v>24</v>
      </c>
      <c r="L3818" s="9">
        <v>1</v>
      </c>
      <c r="M3818" s="9">
        <v>5</v>
      </c>
      <c r="N3818" s="9" t="s">
        <v>12094</v>
      </c>
      <c r="O3818" s="9" t="s">
        <v>12073</v>
      </c>
      <c r="P3818" s="9" t="s">
        <v>12142</v>
      </c>
      <c r="Q3818" s="10" t="s">
        <v>12143</v>
      </c>
      <c r="S3818" s="9">
        <v>4240</v>
      </c>
      <c r="U3818" s="9" t="str">
        <f t="shared" ca="1" si="148"/>
        <v/>
      </c>
      <c r="V3818" s="9" t="str">
        <f t="shared" ca="1" si="149"/>
        <v/>
      </c>
    </row>
    <row r="3819" spans="1:33">
      <c r="A3819" s="3" t="s">
        <v>3859</v>
      </c>
      <c r="D3819" s="3" t="s">
        <v>9952</v>
      </c>
      <c r="E3819" s="3" t="s">
        <v>9934</v>
      </c>
      <c r="G3819" t="s">
        <v>19</v>
      </c>
      <c r="J3819" s="9" t="s">
        <v>24</v>
      </c>
      <c r="L3819" s="9">
        <v>1</v>
      </c>
      <c r="M3819" s="9">
        <v>3</v>
      </c>
      <c r="N3819" s="9" t="s">
        <v>12078</v>
      </c>
      <c r="O3819" s="9" t="s">
        <v>12073</v>
      </c>
      <c r="P3819" s="9" t="s">
        <v>12142</v>
      </c>
      <c r="Q3819" s="10" t="s">
        <v>12143</v>
      </c>
      <c r="R3819" s="9" t="s">
        <v>12074</v>
      </c>
      <c r="S3819" s="9">
        <v>11843</v>
      </c>
      <c r="U3819" s="9" t="str">
        <f t="shared" ca="1" si="148"/>
        <v/>
      </c>
      <c r="V3819" s="9" t="str">
        <f t="shared" ca="1" si="149"/>
        <v/>
      </c>
    </row>
    <row r="3820" spans="1:33" ht="58">
      <c r="A3820" s="3" t="s">
        <v>3860</v>
      </c>
      <c r="D3820" s="3" t="s">
        <v>9954</v>
      </c>
      <c r="E3820" s="3" t="s">
        <v>9953</v>
      </c>
      <c r="I3820" t="s">
        <v>12515</v>
      </c>
      <c r="J3820" s="9" t="s">
        <v>25</v>
      </c>
      <c r="L3820" s="9">
        <v>5</v>
      </c>
      <c r="M3820" s="9">
        <v>26</v>
      </c>
      <c r="O3820" s="9" t="s">
        <v>12079</v>
      </c>
      <c r="Q3820" s="10"/>
      <c r="S3820" s="9">
        <v>23</v>
      </c>
      <c r="U3820" s="9" t="str">
        <f t="shared" ca="1" si="148"/>
        <v/>
      </c>
      <c r="V3820" s="9" t="str">
        <f t="shared" ca="1" si="149"/>
        <v/>
      </c>
      <c r="AG3820" s="9" t="s">
        <v>19</v>
      </c>
    </row>
    <row r="3821" spans="1:33" ht="29">
      <c r="A3821" s="3" t="s">
        <v>3860</v>
      </c>
      <c r="D3821" s="3" t="s">
        <v>9956</v>
      </c>
      <c r="E3821" s="3" t="s">
        <v>9955</v>
      </c>
      <c r="F3821" t="s">
        <v>11</v>
      </c>
      <c r="Q3821" s="10"/>
      <c r="U3821" s="9" t="str">
        <f t="shared" ca="1" si="148"/>
        <v/>
      </c>
      <c r="V3821" s="9" t="str">
        <f t="shared" ca="1" si="149"/>
        <v/>
      </c>
    </row>
    <row r="3822" spans="1:33" ht="43.5">
      <c r="A3822" s="3" t="s">
        <v>3860</v>
      </c>
      <c r="D3822" s="3" t="s">
        <v>9958</v>
      </c>
      <c r="E3822" s="3" t="s">
        <v>9957</v>
      </c>
      <c r="I3822" t="s">
        <v>12516</v>
      </c>
      <c r="J3822" s="9" t="s">
        <v>25</v>
      </c>
      <c r="L3822" s="9">
        <v>4</v>
      </c>
      <c r="M3822" s="9">
        <v>15</v>
      </c>
      <c r="O3822" s="9" t="s">
        <v>12079</v>
      </c>
      <c r="Q3822" s="10"/>
      <c r="S3822" s="9">
        <v>301</v>
      </c>
      <c r="U3822" s="9" t="str">
        <f t="shared" ca="1" si="148"/>
        <v/>
      </c>
      <c r="V3822" s="9" t="str">
        <f t="shared" ca="1" si="149"/>
        <v/>
      </c>
      <c r="AG3822" s="9" t="s">
        <v>19</v>
      </c>
    </row>
    <row r="3823" spans="1:33" ht="43.5">
      <c r="A3823" s="3" t="s">
        <v>3860</v>
      </c>
      <c r="D3823" s="3" t="s">
        <v>9959</v>
      </c>
      <c r="E3823" s="3" t="s">
        <v>9960</v>
      </c>
      <c r="F3823" t="s">
        <v>11</v>
      </c>
      <c r="Q3823" s="10"/>
      <c r="U3823" s="9" t="str">
        <f t="shared" ca="1" si="148"/>
        <v/>
      </c>
      <c r="V3823" s="9" t="str">
        <f t="shared" ca="1" si="149"/>
        <v/>
      </c>
    </row>
    <row r="3824" spans="1:33" ht="29">
      <c r="A3824" s="3" t="s">
        <v>3860</v>
      </c>
      <c r="D3824" s="3" t="s">
        <v>9962</v>
      </c>
      <c r="E3824" s="3" t="s">
        <v>9961</v>
      </c>
      <c r="F3824" t="s">
        <v>11</v>
      </c>
      <c r="J3824" s="9" t="s">
        <v>24</v>
      </c>
      <c r="L3824" s="9">
        <v>1</v>
      </c>
      <c r="M3824" s="9">
        <v>7</v>
      </c>
      <c r="N3824" s="9" t="s">
        <v>12072</v>
      </c>
      <c r="O3824" s="9" t="s">
        <v>12073</v>
      </c>
      <c r="P3824" s="9" t="s">
        <v>12203</v>
      </c>
      <c r="Q3824" s="10" t="s">
        <v>12517</v>
      </c>
      <c r="S3824" s="9">
        <v>19</v>
      </c>
      <c r="U3824" s="9" t="str">
        <f t="shared" ca="1" si="148"/>
        <v/>
      </c>
      <c r="V3824" s="9" t="str">
        <f t="shared" ca="1" si="149"/>
        <v/>
      </c>
    </row>
    <row r="3825" spans="1:33">
      <c r="A3825" s="3" t="s">
        <v>3860</v>
      </c>
      <c r="D3825" s="3" t="s">
        <v>3861</v>
      </c>
      <c r="E3825" s="3" t="s">
        <v>2184</v>
      </c>
      <c r="J3825" s="9" t="s">
        <v>12120</v>
      </c>
      <c r="Q3825" s="10"/>
      <c r="U3825" s="9" t="str">
        <f t="shared" ca="1" si="148"/>
        <v/>
      </c>
      <c r="V3825" s="9" t="str">
        <f t="shared" ca="1" si="149"/>
        <v/>
      </c>
      <c r="AC3825" s="9" t="s">
        <v>12166</v>
      </c>
      <c r="AD3825" s="9" t="s">
        <v>19</v>
      </c>
    </row>
    <row r="3826" spans="1:33" ht="29">
      <c r="A3826" s="3" t="s">
        <v>3860</v>
      </c>
      <c r="D3826" s="3" t="s">
        <v>9964</v>
      </c>
      <c r="E3826" s="3" t="s">
        <v>9963</v>
      </c>
      <c r="J3826" s="9" t="s">
        <v>25</v>
      </c>
      <c r="L3826" s="9">
        <v>2</v>
      </c>
      <c r="M3826" s="9">
        <v>15</v>
      </c>
      <c r="O3826" s="9" t="s">
        <v>12079</v>
      </c>
      <c r="Q3826" s="10"/>
      <c r="S3826" s="9">
        <v>6</v>
      </c>
      <c r="U3826" s="9" t="str">
        <f t="shared" ca="1" si="148"/>
        <v/>
      </c>
      <c r="V3826" s="9" t="str">
        <f t="shared" ca="1" si="149"/>
        <v/>
      </c>
      <c r="AG3826" s="9" t="s">
        <v>19</v>
      </c>
    </row>
    <row r="3827" spans="1:33">
      <c r="A3827" s="3" t="s">
        <v>3862</v>
      </c>
      <c r="D3827" s="3" t="s">
        <v>9966</v>
      </c>
      <c r="E3827" s="3" t="s">
        <v>9965</v>
      </c>
      <c r="J3827" s="9" t="s">
        <v>12118</v>
      </c>
      <c r="Q3827" s="10"/>
      <c r="T3827" s="9">
        <f>560-1294</f>
        <v>-734</v>
      </c>
      <c r="U3827" s="9">
        <f t="shared" ca="1" si="148"/>
        <v>1294</v>
      </c>
      <c r="V3827" s="9">
        <f t="shared" ca="1" si="149"/>
        <v>560</v>
      </c>
      <c r="AG3827" s="9" t="s">
        <v>19</v>
      </c>
    </row>
    <row r="3828" spans="1:33">
      <c r="A3828" s="3" t="s">
        <v>3863</v>
      </c>
      <c r="D3828" s="3" t="s">
        <v>9968</v>
      </c>
      <c r="E3828" s="3" t="s">
        <v>9967</v>
      </c>
      <c r="G3828" t="s">
        <v>19</v>
      </c>
      <c r="J3828" s="9" t="s">
        <v>12120</v>
      </c>
      <c r="Q3828" s="10"/>
      <c r="U3828" s="9" t="str">
        <f t="shared" ca="1" si="148"/>
        <v/>
      </c>
      <c r="V3828" s="9" t="str">
        <f t="shared" ca="1" si="149"/>
        <v/>
      </c>
      <c r="AE3828" s="9" t="s">
        <v>12089</v>
      </c>
    </row>
    <row r="3829" spans="1:33">
      <c r="A3829" s="3" t="s">
        <v>3864</v>
      </c>
      <c r="D3829" s="3" t="s">
        <v>3865</v>
      </c>
      <c r="E3829" s="3" t="s">
        <v>3866</v>
      </c>
      <c r="J3829" s="9" t="s">
        <v>12120</v>
      </c>
      <c r="Q3829" s="10"/>
      <c r="U3829" s="9" t="str">
        <f t="shared" ca="1" si="148"/>
        <v/>
      </c>
      <c r="V3829" s="9" t="str">
        <f t="shared" ca="1" si="149"/>
        <v/>
      </c>
      <c r="AG3829" s="9" t="s">
        <v>19</v>
      </c>
    </row>
    <row r="3830" spans="1:33">
      <c r="A3830" s="3" t="s">
        <v>3867</v>
      </c>
      <c r="D3830" s="3" t="s">
        <v>3868</v>
      </c>
      <c r="E3830" s="3" t="s">
        <v>3869</v>
      </c>
      <c r="F3830" t="s">
        <v>12</v>
      </c>
      <c r="J3830" s="9" t="s">
        <v>12120</v>
      </c>
      <c r="Q3830" s="10"/>
      <c r="U3830" s="9" t="str">
        <f t="shared" ca="1" si="148"/>
        <v/>
      </c>
      <c r="V3830" s="9" t="str">
        <f t="shared" ca="1" si="149"/>
        <v/>
      </c>
      <c r="AC3830" s="9" t="s">
        <v>12134</v>
      </c>
      <c r="AD3830" s="9" t="s">
        <v>19</v>
      </c>
    </row>
    <row r="3831" spans="1:33" ht="29">
      <c r="A3831" s="3" t="s">
        <v>3870</v>
      </c>
      <c r="D3831" s="3" t="s">
        <v>9970</v>
      </c>
      <c r="E3831" s="3" t="s">
        <v>9969</v>
      </c>
      <c r="J3831" s="9" t="s">
        <v>25</v>
      </c>
      <c r="L3831" s="9">
        <v>1</v>
      </c>
      <c r="M3831" s="9">
        <v>3</v>
      </c>
      <c r="N3831" s="9" t="s">
        <v>12087</v>
      </c>
      <c r="O3831" s="9" t="s">
        <v>12079</v>
      </c>
      <c r="Q3831" s="10"/>
      <c r="S3831" s="9">
        <v>5676</v>
      </c>
      <c r="U3831" s="9" t="str">
        <f t="shared" ca="1" si="148"/>
        <v/>
      </c>
      <c r="V3831" s="9" t="str">
        <f t="shared" ca="1" si="149"/>
        <v/>
      </c>
      <c r="AG3831" s="9" t="s">
        <v>20</v>
      </c>
    </row>
    <row r="3832" spans="1:33">
      <c r="A3832" s="3" t="s">
        <v>3870</v>
      </c>
      <c r="D3832" s="3" t="s">
        <v>9972</v>
      </c>
      <c r="E3832" s="3" t="s">
        <v>9971</v>
      </c>
      <c r="G3832" t="s">
        <v>19</v>
      </c>
      <c r="J3832" s="9" t="s">
        <v>24</v>
      </c>
      <c r="L3832" s="9">
        <v>1</v>
      </c>
      <c r="M3832" s="9">
        <v>3</v>
      </c>
      <c r="N3832" s="9" t="s">
        <v>12087</v>
      </c>
      <c r="O3832" s="9" t="s">
        <v>12079</v>
      </c>
      <c r="Q3832" s="10"/>
      <c r="S3832" s="9">
        <v>5676</v>
      </c>
      <c r="U3832" s="9" t="str">
        <f t="shared" ca="1" si="148"/>
        <v/>
      </c>
      <c r="V3832" s="9" t="str">
        <f t="shared" ca="1" si="149"/>
        <v/>
      </c>
    </row>
    <row r="3833" spans="1:33">
      <c r="A3833" s="3" t="s">
        <v>3870</v>
      </c>
      <c r="D3833" s="3" t="s">
        <v>3871</v>
      </c>
      <c r="E3833" s="3" t="s">
        <v>3872</v>
      </c>
      <c r="J3833" s="9" t="s">
        <v>12118</v>
      </c>
      <c r="Q3833" s="10"/>
      <c r="T3833" s="9" t="s">
        <v>12131</v>
      </c>
      <c r="U3833" s="9" t="str">
        <f t="shared" ca="1" si="148"/>
        <v/>
      </c>
      <c r="V3833" s="9" t="str">
        <f t="shared" ca="1" si="149"/>
        <v/>
      </c>
      <c r="AE3833" s="9" t="s">
        <v>12077</v>
      </c>
    </row>
    <row r="3834" spans="1:33">
      <c r="A3834" s="3" t="s">
        <v>3873</v>
      </c>
      <c r="D3834" s="11" t="s">
        <v>9974</v>
      </c>
      <c r="E3834" s="11" t="s">
        <v>9973</v>
      </c>
      <c r="G3834" t="s">
        <v>19</v>
      </c>
      <c r="J3834" s="9" t="s">
        <v>24</v>
      </c>
      <c r="L3834" s="9">
        <v>1</v>
      </c>
      <c r="M3834" s="9">
        <v>2</v>
      </c>
      <c r="N3834" s="9" t="s">
        <v>12087</v>
      </c>
      <c r="O3834" s="9" t="s">
        <v>12119</v>
      </c>
      <c r="Q3834" s="10"/>
      <c r="R3834" s="9" t="s">
        <v>12074</v>
      </c>
      <c r="S3834" s="9">
        <v>166</v>
      </c>
      <c r="U3834" s="9" t="str">
        <f t="shared" ca="1" si="148"/>
        <v/>
      </c>
      <c r="V3834" s="9" t="str">
        <f t="shared" ca="1" si="149"/>
        <v/>
      </c>
    </row>
    <row r="3835" spans="1:33" ht="29">
      <c r="A3835" s="3" t="s">
        <v>3874</v>
      </c>
      <c r="D3835" s="3" t="s">
        <v>9975</v>
      </c>
      <c r="E3835" s="3" t="s">
        <v>9976</v>
      </c>
      <c r="J3835" s="9" t="s">
        <v>25</v>
      </c>
      <c r="L3835" s="9">
        <v>1</v>
      </c>
      <c r="M3835" s="9">
        <v>4</v>
      </c>
      <c r="N3835" s="9" t="s">
        <v>12094</v>
      </c>
      <c r="O3835" s="9" t="s">
        <v>12079</v>
      </c>
      <c r="Q3835" s="10"/>
      <c r="S3835" s="9">
        <v>4240</v>
      </c>
      <c r="U3835" s="9" t="str">
        <f t="shared" ca="1" si="148"/>
        <v/>
      </c>
      <c r="V3835" s="9" t="str">
        <f t="shared" ca="1" si="149"/>
        <v/>
      </c>
      <c r="AG3835" s="9" t="s">
        <v>20</v>
      </c>
    </row>
    <row r="3836" spans="1:33">
      <c r="A3836" s="3" t="s">
        <v>3874</v>
      </c>
      <c r="D3836" s="11" t="s">
        <v>9978</v>
      </c>
      <c r="E3836" s="11" t="s">
        <v>9977</v>
      </c>
      <c r="G3836" t="s">
        <v>19</v>
      </c>
      <c r="J3836" s="9" t="s">
        <v>12121</v>
      </c>
      <c r="Q3836" s="10"/>
      <c r="T3836" s="9">
        <f>6-11843</f>
        <v>-11837</v>
      </c>
      <c r="U3836" s="9">
        <f t="shared" ca="1" si="148"/>
        <v>11843</v>
      </c>
      <c r="V3836" s="9">
        <f t="shared" ca="1" si="149"/>
        <v>6</v>
      </c>
      <c r="AE3836" s="9" t="s">
        <v>12089</v>
      </c>
    </row>
    <row r="3837" spans="1:33" ht="29">
      <c r="A3837" s="3" t="s">
        <v>3875</v>
      </c>
      <c r="D3837" s="3" t="s">
        <v>9980</v>
      </c>
      <c r="E3837" s="3" t="s">
        <v>9979</v>
      </c>
      <c r="G3837" t="s">
        <v>19</v>
      </c>
      <c r="I3837" t="s">
        <v>12518</v>
      </c>
      <c r="J3837" s="9" t="s">
        <v>24</v>
      </c>
      <c r="L3837" s="9">
        <v>2</v>
      </c>
      <c r="M3837" s="9">
        <v>9</v>
      </c>
      <c r="O3837" s="9" t="s">
        <v>12079</v>
      </c>
      <c r="Q3837" s="10"/>
      <c r="S3837" s="9">
        <v>207</v>
      </c>
      <c r="U3837" s="9" t="str">
        <f t="shared" ca="1" si="148"/>
        <v/>
      </c>
      <c r="V3837" s="9" t="str">
        <f t="shared" ca="1" si="149"/>
        <v/>
      </c>
    </row>
    <row r="3838" spans="1:33">
      <c r="A3838" s="3" t="s">
        <v>3875</v>
      </c>
      <c r="D3838" s="3" t="s">
        <v>3876</v>
      </c>
      <c r="E3838" s="3" t="s">
        <v>3877</v>
      </c>
      <c r="G3838" t="s">
        <v>20</v>
      </c>
      <c r="I3838" t="s">
        <v>9981</v>
      </c>
      <c r="J3838" s="9" t="s">
        <v>12120</v>
      </c>
      <c r="Q3838" s="10"/>
      <c r="U3838" s="9" t="str">
        <f t="shared" ca="1" si="148"/>
        <v/>
      </c>
      <c r="V3838" s="9" t="str">
        <f t="shared" ca="1" si="149"/>
        <v/>
      </c>
      <c r="AG3838" s="9" t="s">
        <v>20</v>
      </c>
    </row>
    <row r="3839" spans="1:33">
      <c r="A3839" s="3" t="s">
        <v>3878</v>
      </c>
      <c r="D3839" s="6" t="s">
        <v>9983</v>
      </c>
      <c r="E3839" s="3" t="s">
        <v>9982</v>
      </c>
      <c r="F3839" t="s">
        <v>31</v>
      </c>
      <c r="J3839" s="9" t="s">
        <v>30</v>
      </c>
      <c r="Q3839" s="10"/>
      <c r="U3839" s="9" t="str">
        <f t="shared" ca="1" si="148"/>
        <v/>
      </c>
      <c r="V3839" s="9" t="str">
        <f t="shared" ca="1" si="149"/>
        <v/>
      </c>
    </row>
    <row r="3840" spans="1:33">
      <c r="A3840" s="3" t="s">
        <v>3879</v>
      </c>
      <c r="D3840" s="3" t="s">
        <v>117</v>
      </c>
      <c r="E3840" s="3" t="s">
        <v>118</v>
      </c>
      <c r="J3840" s="9" t="s">
        <v>12118</v>
      </c>
      <c r="Q3840" s="10"/>
      <c r="T3840" s="9" t="s">
        <v>12131</v>
      </c>
      <c r="U3840" s="9" t="str">
        <f t="shared" ca="1" si="148"/>
        <v/>
      </c>
      <c r="V3840" s="9" t="str">
        <f t="shared" ca="1" si="149"/>
        <v/>
      </c>
      <c r="AB3840" s="9" t="s">
        <v>12124</v>
      </c>
      <c r="AC3840" s="9" t="s">
        <v>12740</v>
      </c>
      <c r="AD3840" s="9" t="s">
        <v>19</v>
      </c>
    </row>
    <row r="3841" spans="1:33">
      <c r="A3841" s="3" t="s">
        <v>3879</v>
      </c>
      <c r="D3841" s="3" t="s">
        <v>3880</v>
      </c>
      <c r="E3841" s="3" t="s">
        <v>3881</v>
      </c>
      <c r="J3841" s="9" t="s">
        <v>12118</v>
      </c>
      <c r="Q3841" s="10"/>
      <c r="T3841" s="9" t="s">
        <v>12131</v>
      </c>
      <c r="U3841" s="9" t="str">
        <f t="shared" ca="1" si="148"/>
        <v/>
      </c>
      <c r="V3841" s="9" t="str">
        <f t="shared" ca="1" si="149"/>
        <v/>
      </c>
      <c r="AC3841" s="9" t="s">
        <v>12130</v>
      </c>
      <c r="AD3841" s="9" t="s">
        <v>19</v>
      </c>
      <c r="AE3841" s="9" t="s">
        <v>12086</v>
      </c>
    </row>
    <row r="3842" spans="1:33" ht="43.5">
      <c r="A3842" s="3" t="s">
        <v>3879</v>
      </c>
      <c r="D3842" s="3" t="s">
        <v>9984</v>
      </c>
      <c r="E3842" s="3" t="s">
        <v>9985</v>
      </c>
      <c r="G3842" t="s">
        <v>19</v>
      </c>
      <c r="I3842" s="4"/>
      <c r="J3842" s="9" t="s">
        <v>12120</v>
      </c>
      <c r="Q3842" s="10"/>
      <c r="U3842" s="9" t="str">
        <f t="shared" ca="1" si="148"/>
        <v/>
      </c>
      <c r="V3842" s="9" t="str">
        <f t="shared" ca="1" si="149"/>
        <v/>
      </c>
      <c r="AC3842" s="9" t="s">
        <v>12740</v>
      </c>
      <c r="AD3842" s="9" t="s">
        <v>20</v>
      </c>
    </row>
    <row r="3843" spans="1:33" ht="43.5">
      <c r="A3843" s="3" t="s">
        <v>3879</v>
      </c>
      <c r="D3843" s="3" t="s">
        <v>9986</v>
      </c>
      <c r="E3843" s="3" t="s">
        <v>9987</v>
      </c>
      <c r="G3843" t="s">
        <v>19</v>
      </c>
      <c r="J3843" s="9" t="s">
        <v>12120</v>
      </c>
      <c r="Q3843" s="10"/>
      <c r="U3843" s="9" t="str">
        <f t="shared" ca="1" si="148"/>
        <v/>
      </c>
      <c r="V3843" s="9" t="str">
        <f t="shared" ca="1" si="149"/>
        <v/>
      </c>
    </row>
    <row r="3844" spans="1:33" ht="43.5">
      <c r="A3844" s="3" t="s">
        <v>3879</v>
      </c>
      <c r="D3844" s="3" t="s">
        <v>9988</v>
      </c>
      <c r="E3844" s="3" t="s">
        <v>9989</v>
      </c>
      <c r="G3844" t="s">
        <v>20</v>
      </c>
      <c r="Q3844" s="10"/>
      <c r="U3844" s="9" t="str">
        <f t="shared" ca="1" si="148"/>
        <v/>
      </c>
      <c r="V3844" s="9" t="str">
        <f t="shared" ca="1" si="149"/>
        <v/>
      </c>
    </row>
    <row r="3845" spans="1:33" ht="43.5">
      <c r="A3845" s="3" t="s">
        <v>3882</v>
      </c>
      <c r="D3845" s="3" t="s">
        <v>9990</v>
      </c>
      <c r="E3845" s="3" t="s">
        <v>9991</v>
      </c>
      <c r="G3845" t="s">
        <v>20</v>
      </c>
      <c r="I3845" t="s">
        <v>9992</v>
      </c>
      <c r="Q3845" s="10"/>
      <c r="U3845" s="9" t="str">
        <f t="shared" ca="1" si="148"/>
        <v/>
      </c>
      <c r="V3845" s="9" t="str">
        <f t="shared" ca="1" si="149"/>
        <v/>
      </c>
    </row>
    <row r="3846" spans="1:33" ht="58">
      <c r="A3846" s="3" t="s">
        <v>3882</v>
      </c>
      <c r="D3846" s="3" t="s">
        <v>9993</v>
      </c>
      <c r="E3846" s="3" t="s">
        <v>9994</v>
      </c>
      <c r="J3846" s="9" t="s">
        <v>12118</v>
      </c>
      <c r="Q3846" s="10"/>
      <c r="T3846" s="9">
        <f>11843-4240</f>
        <v>7603</v>
      </c>
      <c r="U3846" s="9">
        <f t="shared" ca="1" si="148"/>
        <v>4240</v>
      </c>
      <c r="V3846" s="9">
        <f t="shared" ca="1" si="149"/>
        <v>11843</v>
      </c>
      <c r="AG3846" s="9" t="s">
        <v>19</v>
      </c>
    </row>
    <row r="3847" spans="1:33" ht="43.5">
      <c r="A3847" s="3" t="s">
        <v>3882</v>
      </c>
      <c r="D3847" s="3" t="s">
        <v>9995</v>
      </c>
      <c r="E3847" s="3" t="s">
        <v>9996</v>
      </c>
      <c r="G3847" t="s">
        <v>20</v>
      </c>
      <c r="I3847" t="s">
        <v>9992</v>
      </c>
      <c r="Q3847" s="10"/>
      <c r="U3847" s="9" t="str">
        <f t="shared" ca="1" si="148"/>
        <v/>
      </c>
      <c r="V3847" s="9" t="str">
        <f t="shared" ca="1" si="149"/>
        <v/>
      </c>
    </row>
    <row r="3848" spans="1:33" ht="58">
      <c r="A3848" s="3" t="s">
        <v>3883</v>
      </c>
      <c r="D3848" s="3" t="s">
        <v>9998</v>
      </c>
      <c r="E3848" s="3" t="s">
        <v>9997</v>
      </c>
      <c r="I3848" t="s">
        <v>9999</v>
      </c>
      <c r="J3848" s="9" t="s">
        <v>25</v>
      </c>
      <c r="L3848" s="9">
        <v>5</v>
      </c>
      <c r="M3848" s="9">
        <v>31</v>
      </c>
      <c r="O3848" s="9" t="s">
        <v>12079</v>
      </c>
      <c r="Q3848" s="10"/>
      <c r="U3848" s="9" t="str">
        <f t="shared" ca="1" si="148"/>
        <v/>
      </c>
      <c r="V3848" s="9" t="str">
        <f t="shared" ca="1" si="149"/>
        <v/>
      </c>
      <c r="AG3848" s="9" t="s">
        <v>19</v>
      </c>
    </row>
    <row r="3849" spans="1:33" ht="58">
      <c r="A3849" s="3" t="s">
        <v>3883</v>
      </c>
      <c r="D3849" s="3" t="s">
        <v>10000</v>
      </c>
      <c r="E3849" s="3" t="s">
        <v>10001</v>
      </c>
      <c r="G3849" t="s">
        <v>20</v>
      </c>
      <c r="I3849" t="s">
        <v>10002</v>
      </c>
      <c r="Q3849" s="10"/>
      <c r="U3849" s="9" t="str">
        <f t="shared" ca="1" si="148"/>
        <v/>
      </c>
      <c r="V3849" s="9" t="str">
        <f t="shared" ca="1" si="149"/>
        <v/>
      </c>
    </row>
    <row r="3850" spans="1:33">
      <c r="A3850" s="3" t="s">
        <v>3883</v>
      </c>
      <c r="D3850" s="3" t="s">
        <v>738</v>
      </c>
      <c r="E3850" s="3" t="s">
        <v>737</v>
      </c>
      <c r="J3850" s="9" t="s">
        <v>12118</v>
      </c>
      <c r="Q3850" s="10"/>
      <c r="T3850" s="9" t="s">
        <v>12131</v>
      </c>
      <c r="U3850" s="9" t="str">
        <f t="shared" ca="1" si="148"/>
        <v/>
      </c>
      <c r="V3850" s="9" t="str">
        <f t="shared" ca="1" si="149"/>
        <v/>
      </c>
      <c r="AB3850" s="9" t="s">
        <v>12124</v>
      </c>
      <c r="AC3850" s="9" t="s">
        <v>12740</v>
      </c>
      <c r="AD3850" s="9" t="s">
        <v>19</v>
      </c>
    </row>
    <row r="3851" spans="1:33">
      <c r="A3851" s="3" t="s">
        <v>3883</v>
      </c>
      <c r="D3851" s="11" t="s">
        <v>10004</v>
      </c>
      <c r="E3851" s="11" t="s">
        <v>10003</v>
      </c>
      <c r="G3851" t="s">
        <v>19</v>
      </c>
      <c r="J3851" s="9" t="s">
        <v>12118</v>
      </c>
      <c r="Q3851" s="10"/>
      <c r="T3851" s="9">
        <f>3-1565</f>
        <v>-1562</v>
      </c>
      <c r="U3851" s="9">
        <f t="shared" ca="1" si="148"/>
        <v>1565</v>
      </c>
      <c r="V3851" s="9">
        <f t="shared" ca="1" si="149"/>
        <v>3</v>
      </c>
      <c r="AE3851" s="9" t="s">
        <v>12077</v>
      </c>
    </row>
    <row r="3852" spans="1:33" ht="29">
      <c r="A3852" s="3" t="s">
        <v>3885</v>
      </c>
      <c r="D3852" s="3" t="s">
        <v>10006</v>
      </c>
      <c r="E3852" s="3" t="s">
        <v>10005</v>
      </c>
      <c r="J3852" s="9" t="s">
        <v>25</v>
      </c>
      <c r="L3852" s="9">
        <v>2</v>
      </c>
      <c r="M3852" s="9">
        <v>10</v>
      </c>
      <c r="O3852" s="9" t="s">
        <v>12079</v>
      </c>
      <c r="Q3852" s="10"/>
      <c r="S3852" s="9">
        <v>12</v>
      </c>
      <c r="U3852" s="9" t="str">
        <f t="shared" ca="1" si="148"/>
        <v/>
      </c>
      <c r="V3852" s="9" t="str">
        <f t="shared" ca="1" si="149"/>
        <v/>
      </c>
      <c r="AG3852" s="9" t="s">
        <v>20</v>
      </c>
    </row>
    <row r="3853" spans="1:33" ht="29">
      <c r="A3853" s="3" t="s">
        <v>3885</v>
      </c>
      <c r="D3853" s="3" t="s">
        <v>10007</v>
      </c>
      <c r="E3853" s="3" t="s">
        <v>10009</v>
      </c>
      <c r="G3853" t="s">
        <v>21</v>
      </c>
      <c r="I3853" t="s">
        <v>13122</v>
      </c>
      <c r="J3853" s="9" t="s">
        <v>12121</v>
      </c>
      <c r="Q3853" s="10"/>
      <c r="T3853" s="9" t="s">
        <v>12131</v>
      </c>
      <c r="U3853" s="9" t="str">
        <f t="shared" ref="U3853:U3915" ca="1" si="150">IF(ISNUMBER(T3853),VALUE(MID(_xlfn.FORMULATEXT(T3853),SEARCH("-",_xlfn.FORMULATEXT(T3853))+1,LEN(_xlfn.FORMULATEXT(T3853))-SEARCH("-",_xlfn.FORMULATEXT(T3853)))), "")</f>
        <v/>
      </c>
      <c r="V3853" s="9" t="str">
        <f t="shared" ref="V3853:V3915" ca="1" si="151">IF(ISNUMBER(T3853), VALUE(MID(_xlfn.FORMULATEXT(T3853), 2, SEARCH("-", _xlfn.FORMULATEXT(T3853)) - 2)), "")</f>
        <v/>
      </c>
      <c r="AB3853" s="9" t="s">
        <v>12124</v>
      </c>
      <c r="AC3853" s="9" t="s">
        <v>12740</v>
      </c>
      <c r="AD3853" s="9" t="s">
        <v>19</v>
      </c>
    </row>
    <row r="3854" spans="1:33" ht="29">
      <c r="A3854" s="3" t="s">
        <v>3885</v>
      </c>
      <c r="D3854" s="3" t="s">
        <v>10008</v>
      </c>
      <c r="E3854" s="3" t="s">
        <v>10010</v>
      </c>
      <c r="G3854" t="s">
        <v>19</v>
      </c>
      <c r="J3854" s="9" t="s">
        <v>25</v>
      </c>
      <c r="L3854" s="9">
        <v>1</v>
      </c>
      <c r="M3854" s="9">
        <v>3</v>
      </c>
      <c r="N3854" s="9" t="s">
        <v>12087</v>
      </c>
      <c r="O3854" s="9" t="s">
        <v>12079</v>
      </c>
      <c r="Q3854" s="10"/>
      <c r="S3854" s="9">
        <v>5676</v>
      </c>
      <c r="U3854" s="9" t="str">
        <f t="shared" ca="1" si="150"/>
        <v/>
      </c>
      <c r="V3854" s="9" t="str">
        <f t="shared" ca="1" si="151"/>
        <v/>
      </c>
    </row>
    <row r="3855" spans="1:33" ht="29">
      <c r="A3855" s="3" t="s">
        <v>3885</v>
      </c>
      <c r="D3855" s="3" t="s">
        <v>10011</v>
      </c>
      <c r="E3855" s="3" t="s">
        <v>10012</v>
      </c>
      <c r="J3855" s="9" t="s">
        <v>12118</v>
      </c>
      <c r="Q3855" s="10"/>
      <c r="T3855" s="9">
        <f>12-12</f>
        <v>0</v>
      </c>
      <c r="U3855" s="9">
        <f t="shared" ca="1" si="150"/>
        <v>12</v>
      </c>
      <c r="V3855" s="9">
        <f t="shared" ca="1" si="151"/>
        <v>12</v>
      </c>
      <c r="AG3855" s="9" t="s">
        <v>20</v>
      </c>
    </row>
    <row r="3856" spans="1:33">
      <c r="A3856" s="3" t="s">
        <v>3886</v>
      </c>
      <c r="D3856" s="3" t="s">
        <v>10013</v>
      </c>
      <c r="E3856" s="3" t="s">
        <v>10014</v>
      </c>
      <c r="J3856" s="9" t="s">
        <v>12120</v>
      </c>
      <c r="Q3856" s="10"/>
      <c r="U3856" s="9" t="str">
        <f t="shared" ca="1" si="150"/>
        <v/>
      </c>
      <c r="V3856" s="9" t="str">
        <f t="shared" ca="1" si="151"/>
        <v/>
      </c>
      <c r="AE3856" s="9" t="s">
        <v>12077</v>
      </c>
    </row>
    <row r="3857" spans="1:33">
      <c r="A3857" s="3" t="s">
        <v>3888</v>
      </c>
      <c r="D3857" s="3" t="s">
        <v>12933</v>
      </c>
      <c r="E3857" s="3" t="s">
        <v>10015</v>
      </c>
      <c r="J3857" s="9" t="s">
        <v>12120</v>
      </c>
      <c r="Q3857" s="10"/>
      <c r="U3857" s="9" t="str">
        <f t="shared" ca="1" si="150"/>
        <v/>
      </c>
      <c r="V3857" s="9" t="str">
        <f t="shared" ca="1" si="151"/>
        <v/>
      </c>
      <c r="AB3857" s="9" t="s">
        <v>12738</v>
      </c>
      <c r="AD3857" s="9" t="s">
        <v>19</v>
      </c>
    </row>
    <row r="3858" spans="1:33">
      <c r="A3858" s="3" t="s">
        <v>3888</v>
      </c>
      <c r="D3858" s="3" t="s">
        <v>10017</v>
      </c>
      <c r="E3858" s="3" t="s">
        <v>10016</v>
      </c>
      <c r="J3858" s="9" t="s">
        <v>24</v>
      </c>
      <c r="L3858" s="9">
        <v>1</v>
      </c>
      <c r="M3858" s="9">
        <v>3</v>
      </c>
      <c r="N3858" s="9" t="s">
        <v>12094</v>
      </c>
      <c r="O3858" s="9" t="s">
        <v>12079</v>
      </c>
      <c r="Q3858" s="10"/>
      <c r="S3858" s="9">
        <v>1741</v>
      </c>
      <c r="U3858" s="9" t="str">
        <f t="shared" ca="1" si="150"/>
        <v/>
      </c>
      <c r="V3858" s="9" t="str">
        <f t="shared" ca="1" si="151"/>
        <v/>
      </c>
      <c r="AG3858" s="9" t="s">
        <v>20</v>
      </c>
    </row>
    <row r="3859" spans="1:33" ht="29">
      <c r="A3859" s="3" t="s">
        <v>3888</v>
      </c>
      <c r="D3859" s="3" t="s">
        <v>10018</v>
      </c>
      <c r="E3859" s="3" t="s">
        <v>10019</v>
      </c>
      <c r="H3859" t="s">
        <v>19</v>
      </c>
      <c r="J3859" s="9" t="s">
        <v>24</v>
      </c>
      <c r="L3859" s="9">
        <v>2</v>
      </c>
      <c r="M3859" s="9">
        <v>9</v>
      </c>
      <c r="O3859" s="9" t="s">
        <v>12073</v>
      </c>
      <c r="P3859" s="9" t="s">
        <v>12135</v>
      </c>
      <c r="Q3859" s="10" t="s">
        <v>12136</v>
      </c>
      <c r="S3859" s="9">
        <v>111</v>
      </c>
      <c r="U3859" s="9" t="str">
        <f t="shared" ca="1" si="150"/>
        <v/>
      </c>
      <c r="V3859" s="9" t="str">
        <f t="shared" ca="1" si="151"/>
        <v/>
      </c>
      <c r="AG3859" s="9" t="s">
        <v>13141</v>
      </c>
    </row>
    <row r="3860" spans="1:33" ht="29">
      <c r="A3860" s="3" t="s">
        <v>3889</v>
      </c>
      <c r="D3860" s="3" t="s">
        <v>10021</v>
      </c>
      <c r="E3860" s="3" t="s">
        <v>10020</v>
      </c>
      <c r="J3860" s="9" t="s">
        <v>25</v>
      </c>
      <c r="L3860" s="9">
        <v>1</v>
      </c>
      <c r="M3860" s="9">
        <v>10</v>
      </c>
      <c r="N3860" s="9" t="s">
        <v>12098</v>
      </c>
      <c r="O3860" s="9" t="s">
        <v>12079</v>
      </c>
      <c r="Q3860" s="10"/>
      <c r="S3860" s="9">
        <v>36</v>
      </c>
      <c r="U3860" s="9" t="str">
        <f t="shared" ca="1" si="150"/>
        <v/>
      </c>
      <c r="V3860" s="9" t="str">
        <f t="shared" ca="1" si="151"/>
        <v/>
      </c>
      <c r="AG3860" s="9" t="s">
        <v>19</v>
      </c>
    </row>
    <row r="3861" spans="1:33" ht="29">
      <c r="A3861" s="3" t="s">
        <v>3889</v>
      </c>
      <c r="D3861" s="3" t="s">
        <v>10022</v>
      </c>
      <c r="E3861" s="3" t="s">
        <v>10023</v>
      </c>
      <c r="J3861" s="9" t="s">
        <v>12120</v>
      </c>
      <c r="Q3861" s="10"/>
      <c r="U3861" s="9" t="str">
        <f t="shared" ca="1" si="150"/>
        <v/>
      </c>
      <c r="V3861" s="9" t="str">
        <f t="shared" ca="1" si="151"/>
        <v/>
      </c>
      <c r="AE3861" s="9" t="s">
        <v>12083</v>
      </c>
    </row>
    <row r="3862" spans="1:33">
      <c r="A3862" s="3" t="s">
        <v>3890</v>
      </c>
      <c r="D3862" s="3" t="s">
        <v>3892</v>
      </c>
      <c r="E3862" s="3" t="s">
        <v>3893</v>
      </c>
      <c r="J3862" s="9" t="s">
        <v>12118</v>
      </c>
      <c r="Q3862" s="10"/>
      <c r="T3862" s="9">
        <f>7-0</f>
        <v>7</v>
      </c>
      <c r="U3862" s="9">
        <f t="shared" ca="1" si="150"/>
        <v>0</v>
      </c>
      <c r="V3862" s="9">
        <f t="shared" ca="1" si="151"/>
        <v>7</v>
      </c>
      <c r="AG3862" s="9" t="s">
        <v>19</v>
      </c>
    </row>
    <row r="3863" spans="1:33">
      <c r="A3863" s="3" t="s">
        <v>3894</v>
      </c>
      <c r="D3863" s="3" t="s">
        <v>1383</v>
      </c>
      <c r="E3863" s="3" t="s">
        <v>634</v>
      </c>
      <c r="J3863" s="9" t="s">
        <v>12118</v>
      </c>
      <c r="Q3863" s="10"/>
      <c r="T3863" s="9" t="s">
        <v>12131</v>
      </c>
      <c r="U3863" s="9" t="str">
        <f t="shared" ca="1" si="150"/>
        <v/>
      </c>
      <c r="V3863" s="9" t="str">
        <f t="shared" ca="1" si="151"/>
        <v/>
      </c>
      <c r="AB3863" s="9" t="s">
        <v>12124</v>
      </c>
      <c r="AC3863" s="9" t="s">
        <v>12740</v>
      </c>
      <c r="AD3863" s="9" t="s">
        <v>19</v>
      </c>
    </row>
    <row r="3864" spans="1:33" ht="43.5">
      <c r="A3864" s="3" t="s">
        <v>3894</v>
      </c>
      <c r="D3864" s="3" t="s">
        <v>10026</v>
      </c>
      <c r="E3864" s="3" t="s">
        <v>10025</v>
      </c>
      <c r="G3864" t="s">
        <v>19</v>
      </c>
      <c r="J3864" s="9" t="s">
        <v>12120</v>
      </c>
      <c r="Q3864" s="10"/>
      <c r="U3864" s="9" t="str">
        <f t="shared" ca="1" si="150"/>
        <v/>
      </c>
      <c r="V3864" s="9" t="str">
        <f t="shared" ca="1" si="151"/>
        <v/>
      </c>
    </row>
    <row r="3865" spans="1:33" ht="43.5">
      <c r="A3865" s="3" t="s">
        <v>3894</v>
      </c>
      <c r="D3865" s="3" t="s">
        <v>10027</v>
      </c>
      <c r="E3865" s="3" t="s">
        <v>10028</v>
      </c>
      <c r="J3865" s="9" t="s">
        <v>12120</v>
      </c>
      <c r="Q3865" s="10"/>
      <c r="U3865" s="9" t="str">
        <f t="shared" ca="1" si="150"/>
        <v/>
      </c>
      <c r="V3865" s="9" t="str">
        <f t="shared" ca="1" si="151"/>
        <v/>
      </c>
      <c r="AB3865" s="9" t="s">
        <v>12124</v>
      </c>
      <c r="AD3865" s="9" t="s">
        <v>19</v>
      </c>
    </row>
    <row r="3866" spans="1:33" ht="43.5">
      <c r="A3866" s="3" t="s">
        <v>3894</v>
      </c>
      <c r="D3866" s="3" t="s">
        <v>10029</v>
      </c>
      <c r="E3866" s="3" t="s">
        <v>10024</v>
      </c>
      <c r="J3866" s="9" t="s">
        <v>25</v>
      </c>
      <c r="L3866" s="9">
        <v>1</v>
      </c>
      <c r="M3866" s="9">
        <v>8</v>
      </c>
      <c r="N3866" s="9" t="s">
        <v>12072</v>
      </c>
      <c r="O3866" s="9" t="s">
        <v>12073</v>
      </c>
      <c r="P3866" s="9" t="s">
        <v>12149</v>
      </c>
      <c r="Q3866" s="10" t="s">
        <v>12143</v>
      </c>
      <c r="S3866" s="9">
        <v>1</v>
      </c>
      <c r="U3866" s="9" t="str">
        <f t="shared" ca="1" si="150"/>
        <v/>
      </c>
      <c r="V3866" s="9" t="str">
        <f t="shared" ca="1" si="151"/>
        <v/>
      </c>
      <c r="AG3866" s="9" t="s">
        <v>20</v>
      </c>
    </row>
    <row r="3867" spans="1:33">
      <c r="A3867" s="3" t="s">
        <v>3895</v>
      </c>
      <c r="D3867" s="3" t="s">
        <v>3274</v>
      </c>
      <c r="E3867" s="3" t="s">
        <v>3896</v>
      </c>
      <c r="J3867" s="9" t="s">
        <v>12118</v>
      </c>
      <c r="Q3867" s="10"/>
      <c r="T3867" s="9" t="s">
        <v>12131</v>
      </c>
      <c r="U3867" s="9" t="str">
        <f t="shared" ca="1" si="150"/>
        <v/>
      </c>
      <c r="V3867" s="9" t="str">
        <f t="shared" ca="1" si="151"/>
        <v/>
      </c>
      <c r="AE3867" s="9" t="s">
        <v>12077</v>
      </c>
    </row>
    <row r="3868" spans="1:33">
      <c r="A3868" s="3" t="s">
        <v>3895</v>
      </c>
      <c r="D3868" s="3" t="s">
        <v>2052</v>
      </c>
      <c r="E3868" s="3" t="s">
        <v>1698</v>
      </c>
      <c r="J3868" s="9" t="s">
        <v>12120</v>
      </c>
      <c r="Q3868" s="10"/>
      <c r="U3868" s="9" t="str">
        <f t="shared" ca="1" si="150"/>
        <v/>
      </c>
      <c r="V3868" s="9" t="str">
        <f t="shared" ca="1" si="151"/>
        <v/>
      </c>
      <c r="AC3868" s="9" t="s">
        <v>12134</v>
      </c>
      <c r="AD3868" s="9" t="s">
        <v>19</v>
      </c>
    </row>
    <row r="3869" spans="1:33" ht="29">
      <c r="A3869" s="3" t="s">
        <v>3895</v>
      </c>
      <c r="D3869" s="3" t="s">
        <v>10031</v>
      </c>
      <c r="E3869" s="3" t="s">
        <v>10030</v>
      </c>
      <c r="G3869" t="s">
        <v>20</v>
      </c>
      <c r="I3869" t="s">
        <v>10032</v>
      </c>
      <c r="Q3869" s="10"/>
      <c r="U3869" s="9" t="str">
        <f t="shared" ca="1" si="150"/>
        <v/>
      </c>
      <c r="V3869" s="9" t="str">
        <f t="shared" ca="1" si="151"/>
        <v/>
      </c>
    </row>
    <row r="3870" spans="1:33">
      <c r="A3870" s="3" t="s">
        <v>3897</v>
      </c>
      <c r="D3870" s="3" t="s">
        <v>10033</v>
      </c>
      <c r="E3870" s="3" t="s">
        <v>10034</v>
      </c>
      <c r="J3870" s="9" t="s">
        <v>24</v>
      </c>
      <c r="L3870" s="9">
        <v>2</v>
      </c>
      <c r="M3870" s="9">
        <v>5</v>
      </c>
      <c r="O3870" s="9" t="s">
        <v>12073</v>
      </c>
      <c r="P3870" s="9" t="s">
        <v>12142</v>
      </c>
      <c r="Q3870" s="10" t="s">
        <v>12170</v>
      </c>
      <c r="R3870" s="9" t="s">
        <v>12074</v>
      </c>
      <c r="S3870" s="9">
        <v>472</v>
      </c>
      <c r="U3870" s="9" t="str">
        <f t="shared" ca="1" si="150"/>
        <v/>
      </c>
      <c r="V3870" s="9" t="str">
        <f t="shared" ca="1" si="151"/>
        <v/>
      </c>
      <c r="AG3870" s="9" t="s">
        <v>20</v>
      </c>
    </row>
    <row r="3871" spans="1:33">
      <c r="A3871" s="3" t="s">
        <v>3897</v>
      </c>
      <c r="D3871" s="3" t="s">
        <v>12934</v>
      </c>
      <c r="E3871" s="3" t="s">
        <v>10035</v>
      </c>
      <c r="J3871" s="9" t="s">
        <v>25</v>
      </c>
      <c r="L3871" s="9">
        <v>1</v>
      </c>
      <c r="M3871" s="9">
        <v>2</v>
      </c>
      <c r="N3871" s="9" t="s">
        <v>12092</v>
      </c>
      <c r="O3871" s="9" t="s">
        <v>12119</v>
      </c>
      <c r="Q3871" s="10"/>
      <c r="S3871" s="9">
        <v>472</v>
      </c>
      <c r="U3871" s="9" t="str">
        <f t="shared" ca="1" si="150"/>
        <v/>
      </c>
      <c r="V3871" s="9" t="str">
        <f t="shared" ca="1" si="151"/>
        <v/>
      </c>
      <c r="AG3871" s="9" t="s">
        <v>19</v>
      </c>
    </row>
    <row r="3872" spans="1:33">
      <c r="A3872" s="3" t="s">
        <v>3897</v>
      </c>
      <c r="D3872" s="3" t="s">
        <v>10466</v>
      </c>
      <c r="E3872" s="3" t="s">
        <v>12935</v>
      </c>
      <c r="J3872" s="9" t="s">
        <v>12120</v>
      </c>
      <c r="Q3872" s="10"/>
      <c r="U3872" s="9" t="str">
        <f t="shared" ref="U3872" ca="1" si="152">IF(ISNUMBER(T3872),VALUE(MID(_xlfn.FORMULATEXT(T3872),SEARCH("-",_xlfn.FORMULATEXT(T3872))+1,LEN(_xlfn.FORMULATEXT(T3872))-SEARCH("-",_xlfn.FORMULATEXT(T3872)))), "")</f>
        <v/>
      </c>
      <c r="V3872" s="9" t="str">
        <f t="shared" ref="V3872" ca="1" si="153">IF(ISNUMBER(T3872), VALUE(MID(_xlfn.FORMULATEXT(T3872), 2, SEARCH("-", _xlfn.FORMULATEXT(T3872)) - 2)), "")</f>
        <v/>
      </c>
      <c r="AB3872" s="9" t="s">
        <v>12124</v>
      </c>
      <c r="AC3872" s="9" t="s">
        <v>12740</v>
      </c>
      <c r="AD3872" s="9" t="s">
        <v>19</v>
      </c>
    </row>
    <row r="3873" spans="1:33">
      <c r="A3873" s="3" t="s">
        <v>3897</v>
      </c>
      <c r="D3873" s="3" t="s">
        <v>10037</v>
      </c>
      <c r="E3873" s="3" t="s">
        <v>10036</v>
      </c>
      <c r="J3873" s="9" t="s">
        <v>12118</v>
      </c>
      <c r="Q3873" s="10"/>
      <c r="T3873" s="9">
        <f>1741-1496</f>
        <v>245</v>
      </c>
      <c r="U3873" s="9">
        <f t="shared" ca="1" si="150"/>
        <v>1496</v>
      </c>
      <c r="V3873" s="9">
        <f t="shared" ca="1" si="151"/>
        <v>1741</v>
      </c>
      <c r="AG3873" s="9" t="s">
        <v>19</v>
      </c>
    </row>
    <row r="3874" spans="1:33">
      <c r="A3874" s="3" t="s">
        <v>3897</v>
      </c>
      <c r="D3874" s="3" t="s">
        <v>3898</v>
      </c>
      <c r="E3874" s="3" t="s">
        <v>3899</v>
      </c>
      <c r="J3874" s="9" t="s">
        <v>12120</v>
      </c>
      <c r="Q3874" s="10"/>
      <c r="U3874" s="9" t="str">
        <f t="shared" ca="1" si="150"/>
        <v/>
      </c>
      <c r="V3874" s="9" t="str">
        <f t="shared" ca="1" si="151"/>
        <v/>
      </c>
      <c r="AE3874" s="9" t="s">
        <v>12077</v>
      </c>
    </row>
    <row r="3875" spans="1:33" ht="29">
      <c r="A3875" s="3" t="s">
        <v>3897</v>
      </c>
      <c r="D3875" s="3" t="s">
        <v>10038</v>
      </c>
      <c r="E3875" s="3" t="s">
        <v>10038</v>
      </c>
      <c r="G3875" t="s">
        <v>20</v>
      </c>
      <c r="I3875" t="s">
        <v>10039</v>
      </c>
      <c r="Q3875" s="10"/>
      <c r="U3875" s="9" t="str">
        <f t="shared" ca="1" si="150"/>
        <v/>
      </c>
      <c r="V3875" s="9" t="str">
        <f t="shared" ca="1" si="151"/>
        <v/>
      </c>
    </row>
    <row r="3876" spans="1:33" ht="29">
      <c r="A3876" s="3" t="s">
        <v>3897</v>
      </c>
      <c r="D3876" s="3" t="s">
        <v>10040</v>
      </c>
      <c r="E3876" s="3" t="s">
        <v>10040</v>
      </c>
      <c r="G3876" t="s">
        <v>20</v>
      </c>
      <c r="I3876" t="s">
        <v>10041</v>
      </c>
      <c r="Q3876" s="10"/>
      <c r="U3876" s="9" t="str">
        <f t="shared" ca="1" si="150"/>
        <v/>
      </c>
      <c r="V3876" s="9" t="str">
        <f t="shared" ca="1" si="151"/>
        <v/>
      </c>
    </row>
    <row r="3877" spans="1:33">
      <c r="A3877" s="3" t="s">
        <v>3900</v>
      </c>
      <c r="D3877" s="3" t="s">
        <v>129</v>
      </c>
      <c r="E3877" s="3" t="s">
        <v>130</v>
      </c>
      <c r="J3877" s="9" t="s">
        <v>12120</v>
      </c>
      <c r="Q3877" s="10"/>
      <c r="U3877" s="9" t="str">
        <f t="shared" ca="1" si="150"/>
        <v/>
      </c>
      <c r="V3877" s="9" t="str">
        <f t="shared" ca="1" si="151"/>
        <v/>
      </c>
      <c r="AC3877" s="9" t="s">
        <v>12130</v>
      </c>
      <c r="AD3877" s="9" t="s">
        <v>19</v>
      </c>
    </row>
    <row r="3878" spans="1:33">
      <c r="A3878" s="3" t="s">
        <v>3901</v>
      </c>
      <c r="D3878" s="3" t="s">
        <v>10043</v>
      </c>
      <c r="E3878" s="3" t="s">
        <v>10042</v>
      </c>
      <c r="G3878" t="s">
        <v>19</v>
      </c>
      <c r="J3878" s="9" t="s">
        <v>12118</v>
      </c>
      <c r="Q3878" s="10"/>
      <c r="T3878" s="9">
        <f>1496-1741</f>
        <v>-245</v>
      </c>
      <c r="U3878" s="9">
        <f t="shared" ca="1" si="150"/>
        <v>1741</v>
      </c>
      <c r="V3878" s="9">
        <f t="shared" ca="1" si="151"/>
        <v>1496</v>
      </c>
    </row>
    <row r="3879" spans="1:33">
      <c r="A3879" s="3" t="s">
        <v>3902</v>
      </c>
      <c r="D3879" s="3" t="s">
        <v>10045</v>
      </c>
      <c r="E3879" s="3" t="s">
        <v>10044</v>
      </c>
      <c r="G3879" t="s">
        <v>19</v>
      </c>
      <c r="J3879" s="9" t="s">
        <v>24</v>
      </c>
      <c r="L3879" s="9">
        <v>1</v>
      </c>
      <c r="M3879" s="9">
        <v>2</v>
      </c>
      <c r="N3879" s="9" t="s">
        <v>12094</v>
      </c>
      <c r="O3879" s="9" t="s">
        <v>12119</v>
      </c>
      <c r="Q3879" s="10"/>
      <c r="R3879" s="9" t="s">
        <v>12074</v>
      </c>
      <c r="S3879" s="9">
        <v>780</v>
      </c>
      <c r="U3879" s="9" t="str">
        <f t="shared" ca="1" si="150"/>
        <v/>
      </c>
      <c r="V3879" s="9" t="str">
        <f t="shared" ca="1" si="151"/>
        <v/>
      </c>
    </row>
    <row r="3880" spans="1:33">
      <c r="A3880" s="3" t="s">
        <v>3902</v>
      </c>
      <c r="D3880" s="3" t="s">
        <v>10047</v>
      </c>
      <c r="E3880" s="3" t="s">
        <v>10046</v>
      </c>
      <c r="G3880" t="s">
        <v>19</v>
      </c>
      <c r="J3880" s="9" t="s">
        <v>25</v>
      </c>
      <c r="L3880" s="9">
        <v>1</v>
      </c>
      <c r="M3880" s="9">
        <v>3</v>
      </c>
      <c r="N3880" s="9" t="s">
        <v>12087</v>
      </c>
      <c r="O3880" s="9" t="s">
        <v>12079</v>
      </c>
      <c r="Q3880" s="10"/>
      <c r="S3880" s="9">
        <v>810</v>
      </c>
      <c r="U3880" s="9" t="str">
        <f t="shared" ca="1" si="150"/>
        <v/>
      </c>
      <c r="V3880" s="9" t="str">
        <f t="shared" ca="1" si="151"/>
        <v/>
      </c>
    </row>
    <row r="3881" spans="1:33">
      <c r="A3881" s="3" t="s">
        <v>3903</v>
      </c>
      <c r="D3881" s="3" t="s">
        <v>10048</v>
      </c>
      <c r="E3881" s="3" t="s">
        <v>10049</v>
      </c>
      <c r="J3881" s="9" t="s">
        <v>25</v>
      </c>
      <c r="L3881" s="9">
        <v>1</v>
      </c>
      <c r="M3881" s="9">
        <v>6</v>
      </c>
      <c r="N3881" s="9" t="s">
        <v>12092</v>
      </c>
      <c r="O3881" s="9" t="s">
        <v>12073</v>
      </c>
      <c r="P3881" s="9" t="s">
        <v>12149</v>
      </c>
      <c r="Q3881" s="10" t="s">
        <v>12143</v>
      </c>
      <c r="S3881" s="9">
        <v>147</v>
      </c>
      <c r="U3881" s="9" t="str">
        <f t="shared" ca="1" si="150"/>
        <v/>
      </c>
      <c r="V3881" s="9" t="str">
        <f t="shared" ca="1" si="151"/>
        <v/>
      </c>
      <c r="AG3881" s="9" t="s">
        <v>19</v>
      </c>
    </row>
    <row r="3882" spans="1:33" ht="29">
      <c r="A3882" s="3" t="s">
        <v>3903</v>
      </c>
      <c r="D3882" s="3" t="s">
        <v>10050</v>
      </c>
      <c r="E3882" s="3" t="s">
        <v>10052</v>
      </c>
      <c r="G3882" t="s">
        <v>19</v>
      </c>
      <c r="J3882" s="9" t="s">
        <v>25</v>
      </c>
      <c r="L3882" s="9">
        <v>1</v>
      </c>
      <c r="M3882" s="9">
        <v>2</v>
      </c>
      <c r="N3882" s="9" t="s">
        <v>12078</v>
      </c>
      <c r="O3882" s="9" t="s">
        <v>12119</v>
      </c>
      <c r="Q3882" s="10"/>
      <c r="S3882" s="9">
        <v>11843</v>
      </c>
      <c r="U3882" s="9" t="str">
        <f t="shared" ca="1" si="150"/>
        <v/>
      </c>
      <c r="V3882" s="9" t="str">
        <f t="shared" ca="1" si="151"/>
        <v/>
      </c>
    </row>
    <row r="3883" spans="1:33" ht="29">
      <c r="A3883" s="3" t="s">
        <v>3903</v>
      </c>
      <c r="D3883" s="3" t="s">
        <v>10053</v>
      </c>
      <c r="E3883" s="3" t="s">
        <v>10051</v>
      </c>
      <c r="J3883" s="9" t="s">
        <v>25</v>
      </c>
      <c r="L3883" s="9">
        <v>1</v>
      </c>
      <c r="M3883" s="9">
        <v>5</v>
      </c>
      <c r="N3883" s="9" t="s">
        <v>12084</v>
      </c>
      <c r="O3883" s="9" t="s">
        <v>12079</v>
      </c>
      <c r="Q3883" s="10"/>
      <c r="S3883" s="9">
        <v>17</v>
      </c>
      <c r="U3883" s="9" t="str">
        <f t="shared" ca="1" si="150"/>
        <v/>
      </c>
      <c r="V3883" s="9" t="str">
        <f t="shared" ca="1" si="151"/>
        <v/>
      </c>
      <c r="AG3883" s="9" t="s">
        <v>20</v>
      </c>
    </row>
    <row r="3884" spans="1:33">
      <c r="A3884" s="3" t="s">
        <v>3904</v>
      </c>
      <c r="D3884" s="3" t="s">
        <v>130</v>
      </c>
      <c r="E3884" s="3" t="s">
        <v>129</v>
      </c>
      <c r="J3884" s="9" t="s">
        <v>12120</v>
      </c>
      <c r="Q3884" s="10"/>
      <c r="U3884" s="9" t="str">
        <f t="shared" ca="1" si="150"/>
        <v/>
      </c>
      <c r="V3884" s="9" t="str">
        <f t="shared" ca="1" si="151"/>
        <v/>
      </c>
      <c r="AC3884" s="9" t="s">
        <v>12134</v>
      </c>
      <c r="AD3884" s="9" t="s">
        <v>19</v>
      </c>
    </row>
    <row r="3885" spans="1:33" ht="29">
      <c r="A3885" s="3" t="s">
        <v>3905</v>
      </c>
      <c r="D3885" s="3" t="s">
        <v>10055</v>
      </c>
      <c r="E3885" s="3" t="s">
        <v>10054</v>
      </c>
      <c r="G3885" t="s">
        <v>19</v>
      </c>
      <c r="J3885" s="9" t="s">
        <v>12120</v>
      </c>
      <c r="Q3885" s="10"/>
      <c r="U3885" s="9" t="str">
        <f t="shared" ca="1" si="150"/>
        <v/>
      </c>
      <c r="V3885" s="9" t="str">
        <f t="shared" ca="1" si="151"/>
        <v/>
      </c>
      <c r="AC3885" s="9" t="s">
        <v>12166</v>
      </c>
      <c r="AD3885" s="9" t="s">
        <v>19</v>
      </c>
      <c r="AE3885" s="9" t="s">
        <v>12089</v>
      </c>
    </row>
    <row r="3886" spans="1:33">
      <c r="A3886" s="3" t="s">
        <v>3905</v>
      </c>
      <c r="D3886" s="3" t="s">
        <v>10057</v>
      </c>
      <c r="E3886" s="3" t="s">
        <v>10056</v>
      </c>
      <c r="G3886" t="s">
        <v>19</v>
      </c>
      <c r="J3886" s="9" t="s">
        <v>25</v>
      </c>
      <c r="L3886" s="9">
        <v>1</v>
      </c>
      <c r="M3886" s="9">
        <v>3</v>
      </c>
      <c r="N3886" s="9" t="s">
        <v>12078</v>
      </c>
      <c r="O3886" s="9" t="s">
        <v>12073</v>
      </c>
      <c r="P3886" s="9" t="s">
        <v>12149</v>
      </c>
      <c r="Q3886" s="10" t="s">
        <v>12143</v>
      </c>
      <c r="R3886" s="9" t="s">
        <v>12074</v>
      </c>
      <c r="S3886" s="9">
        <v>11843</v>
      </c>
      <c r="U3886" s="9" t="str">
        <f t="shared" ca="1" si="150"/>
        <v/>
      </c>
      <c r="V3886" s="9" t="str">
        <f t="shared" ca="1" si="151"/>
        <v/>
      </c>
    </row>
    <row r="3887" spans="1:33">
      <c r="A3887" s="3" t="s">
        <v>3906</v>
      </c>
      <c r="D3887" s="3" t="s">
        <v>10058</v>
      </c>
      <c r="E3887" s="3" t="s">
        <v>10059</v>
      </c>
      <c r="G3887" t="s">
        <v>19</v>
      </c>
      <c r="J3887" s="9" t="s">
        <v>12120</v>
      </c>
      <c r="Q3887" s="10"/>
      <c r="U3887" s="9" t="str">
        <f t="shared" ca="1" si="150"/>
        <v/>
      </c>
      <c r="V3887" s="9" t="str">
        <f t="shared" ca="1" si="151"/>
        <v/>
      </c>
      <c r="AE3887" s="9" t="s">
        <v>12089</v>
      </c>
    </row>
    <row r="3888" spans="1:33">
      <c r="A3888" s="3" t="s">
        <v>3906</v>
      </c>
      <c r="D3888" s="3" t="s">
        <v>12936</v>
      </c>
      <c r="E3888" s="3" t="s">
        <v>10060</v>
      </c>
      <c r="J3888" s="9" t="s">
        <v>12118</v>
      </c>
      <c r="Q3888" s="10"/>
      <c r="T3888" s="9">
        <f>1496-1741</f>
        <v>-245</v>
      </c>
      <c r="U3888" s="9">
        <f t="shared" ca="1" si="150"/>
        <v>1741</v>
      </c>
      <c r="V3888" s="9">
        <f t="shared" ca="1" si="151"/>
        <v>1496</v>
      </c>
      <c r="AG3888" s="9" t="s">
        <v>20</v>
      </c>
    </row>
    <row r="3889" spans="1:33">
      <c r="A3889" s="3" t="s">
        <v>3906</v>
      </c>
      <c r="D3889" s="3" t="s">
        <v>10062</v>
      </c>
      <c r="E3889" s="3" t="s">
        <v>10061</v>
      </c>
      <c r="G3889" t="s">
        <v>19</v>
      </c>
      <c r="J3889" s="9" t="s">
        <v>12120</v>
      </c>
      <c r="Q3889" s="10"/>
      <c r="U3889" s="9" t="str">
        <f t="shared" ca="1" si="150"/>
        <v/>
      </c>
      <c r="V3889" s="9" t="str">
        <f t="shared" ca="1" si="151"/>
        <v/>
      </c>
    </row>
    <row r="3890" spans="1:33" ht="29">
      <c r="A3890" s="3" t="s">
        <v>3907</v>
      </c>
      <c r="D3890" s="3" t="s">
        <v>10063</v>
      </c>
      <c r="E3890" s="3" t="s">
        <v>10064</v>
      </c>
      <c r="J3890" s="9" t="s">
        <v>12120</v>
      </c>
      <c r="Q3890" s="10"/>
      <c r="U3890" s="9" t="str">
        <f t="shared" ca="1" si="150"/>
        <v/>
      </c>
      <c r="V3890" s="9" t="str">
        <f t="shared" ca="1" si="151"/>
        <v/>
      </c>
      <c r="AB3890" s="9" t="s">
        <v>12738</v>
      </c>
      <c r="AD3890" s="9" t="s">
        <v>19</v>
      </c>
    </row>
    <row r="3891" spans="1:33" ht="29">
      <c r="A3891" s="3" t="s">
        <v>3907</v>
      </c>
      <c r="D3891" s="3" t="s">
        <v>10066</v>
      </c>
      <c r="E3891" s="3" t="s">
        <v>10065</v>
      </c>
      <c r="G3891" t="s">
        <v>19</v>
      </c>
      <c r="J3891" s="9" t="s">
        <v>12120</v>
      </c>
      <c r="Q3891" s="10"/>
      <c r="U3891" s="9" t="str">
        <f t="shared" ca="1" si="150"/>
        <v/>
      </c>
      <c r="V3891" s="9" t="str">
        <f t="shared" ca="1" si="151"/>
        <v/>
      </c>
    </row>
    <row r="3892" spans="1:33" ht="29">
      <c r="A3892" s="3" t="s">
        <v>3907</v>
      </c>
      <c r="D3892" s="3" t="s">
        <v>10067</v>
      </c>
      <c r="E3892" s="3" t="s">
        <v>10068</v>
      </c>
      <c r="F3892" t="s">
        <v>11</v>
      </c>
      <c r="G3892" t="s">
        <v>19</v>
      </c>
      <c r="Q3892" s="10"/>
      <c r="U3892" s="9" t="str">
        <f t="shared" ca="1" si="150"/>
        <v/>
      </c>
      <c r="V3892" s="9" t="str">
        <f t="shared" ca="1" si="151"/>
        <v/>
      </c>
    </row>
    <row r="3893" spans="1:33" ht="29">
      <c r="A3893" s="3" t="s">
        <v>3907</v>
      </c>
      <c r="D3893" s="3" t="s">
        <v>10069</v>
      </c>
      <c r="E3893" s="3" t="s">
        <v>10070</v>
      </c>
      <c r="J3893" s="9" t="s">
        <v>12118</v>
      </c>
      <c r="Q3893" s="10"/>
      <c r="T3893" s="9" t="s">
        <v>12131</v>
      </c>
      <c r="U3893" s="9" t="str">
        <f t="shared" ca="1" si="150"/>
        <v/>
      </c>
      <c r="V3893" s="9" t="str">
        <f t="shared" ca="1" si="151"/>
        <v/>
      </c>
      <c r="AC3893" s="9" t="s">
        <v>12744</v>
      </c>
      <c r="AD3893" s="9" t="s">
        <v>19</v>
      </c>
      <c r="AE3893" s="9" t="s">
        <v>12086</v>
      </c>
    </row>
    <row r="3894" spans="1:33" ht="29">
      <c r="A3894" s="3" t="s">
        <v>3907</v>
      </c>
      <c r="D3894" s="3" t="s">
        <v>10071</v>
      </c>
      <c r="E3894" s="3" t="s">
        <v>10072</v>
      </c>
      <c r="G3894" t="s">
        <v>19</v>
      </c>
      <c r="J3894" s="9" t="s">
        <v>12118</v>
      </c>
      <c r="Q3894" s="10"/>
      <c r="T3894" s="9">
        <f>11843-0</f>
        <v>11843</v>
      </c>
      <c r="U3894" s="9">
        <f t="shared" ca="1" si="150"/>
        <v>0</v>
      </c>
      <c r="V3894" s="9">
        <f t="shared" ca="1" si="151"/>
        <v>11843</v>
      </c>
      <c r="AE3894" s="9" t="s">
        <v>12089</v>
      </c>
    </row>
    <row r="3895" spans="1:33">
      <c r="A3895" s="3" t="s">
        <v>3910</v>
      </c>
      <c r="D3895" s="3" t="s">
        <v>12937</v>
      </c>
      <c r="E3895" s="3" t="s">
        <v>10073</v>
      </c>
      <c r="G3895" t="s">
        <v>19</v>
      </c>
      <c r="J3895" s="9" t="s">
        <v>12120</v>
      </c>
      <c r="Q3895" s="10"/>
      <c r="U3895" s="9" t="str">
        <f t="shared" ca="1" si="150"/>
        <v/>
      </c>
      <c r="V3895" s="9" t="str">
        <f t="shared" ca="1" si="151"/>
        <v/>
      </c>
    </row>
    <row r="3896" spans="1:33" ht="43.5">
      <c r="A3896" s="3" t="s">
        <v>3911</v>
      </c>
      <c r="D3896" s="3" t="s">
        <v>10074</v>
      </c>
      <c r="E3896" s="3" t="s">
        <v>10075</v>
      </c>
      <c r="J3896" s="9" t="s">
        <v>12118</v>
      </c>
      <c r="Q3896" s="10"/>
      <c r="T3896" s="9">
        <f>11843-166</f>
        <v>11677</v>
      </c>
      <c r="U3896" s="9">
        <f t="shared" ca="1" si="150"/>
        <v>166</v>
      </c>
      <c r="V3896" s="9">
        <f t="shared" ca="1" si="151"/>
        <v>11843</v>
      </c>
      <c r="AG3896" s="9" t="s">
        <v>19</v>
      </c>
    </row>
    <row r="3897" spans="1:33" ht="43.5">
      <c r="A3897" s="3" t="s">
        <v>3911</v>
      </c>
      <c r="D3897" s="3" t="s">
        <v>10076</v>
      </c>
      <c r="E3897" s="3" t="s">
        <v>10077</v>
      </c>
      <c r="G3897" t="s">
        <v>20</v>
      </c>
      <c r="I3897" t="s">
        <v>10080</v>
      </c>
      <c r="J3897" s="9" t="s">
        <v>30</v>
      </c>
      <c r="Q3897" s="10"/>
      <c r="U3897" s="9" t="str">
        <f t="shared" ca="1" si="150"/>
        <v/>
      </c>
      <c r="V3897" s="9" t="str">
        <f t="shared" ca="1" si="151"/>
        <v/>
      </c>
    </row>
    <row r="3898" spans="1:33" ht="43.5">
      <c r="A3898" s="3" t="s">
        <v>3911</v>
      </c>
      <c r="D3898" s="3" t="s">
        <v>10078</v>
      </c>
      <c r="E3898" s="5" t="s">
        <v>10079</v>
      </c>
      <c r="F3898" t="s">
        <v>32</v>
      </c>
      <c r="G3898" t="s">
        <v>19</v>
      </c>
      <c r="I3898" t="s">
        <v>13066</v>
      </c>
      <c r="J3898" s="9" t="s">
        <v>12118</v>
      </c>
      <c r="Q3898" s="10"/>
      <c r="T3898" s="9">
        <f>4-52</f>
        <v>-48</v>
      </c>
      <c r="U3898" s="9">
        <v>52</v>
      </c>
      <c r="V3898" s="9">
        <v>4</v>
      </c>
    </row>
    <row r="3899" spans="1:33" ht="29">
      <c r="A3899" s="3" t="s">
        <v>3912</v>
      </c>
      <c r="D3899" s="3" t="s">
        <v>10082</v>
      </c>
      <c r="E3899" s="3" t="s">
        <v>10081</v>
      </c>
      <c r="G3899" t="s">
        <v>19</v>
      </c>
      <c r="J3899" s="9" t="s">
        <v>12118</v>
      </c>
      <c r="Q3899" s="10"/>
      <c r="T3899" s="9">
        <f>1-0</f>
        <v>1</v>
      </c>
      <c r="U3899" s="9">
        <f t="shared" ca="1" si="150"/>
        <v>0</v>
      </c>
      <c r="V3899" s="9">
        <f t="shared" ca="1" si="151"/>
        <v>1</v>
      </c>
    </row>
    <row r="3900" spans="1:33" ht="29">
      <c r="A3900" s="3" t="s">
        <v>3913</v>
      </c>
      <c r="D3900" s="3" t="s">
        <v>10083</v>
      </c>
      <c r="E3900" s="3" t="s">
        <v>10084</v>
      </c>
      <c r="J3900" s="9" t="s">
        <v>24</v>
      </c>
      <c r="L3900" s="9">
        <v>1</v>
      </c>
      <c r="M3900" s="9">
        <v>3</v>
      </c>
      <c r="N3900" s="9" t="s">
        <v>12087</v>
      </c>
      <c r="O3900" s="9" t="s">
        <v>12073</v>
      </c>
      <c r="P3900" s="9" t="s">
        <v>12142</v>
      </c>
      <c r="Q3900" s="10" t="s">
        <v>12143</v>
      </c>
      <c r="R3900" s="9" t="s">
        <v>12074</v>
      </c>
      <c r="S3900" s="9">
        <v>5676</v>
      </c>
      <c r="U3900" s="9" t="str">
        <f t="shared" ca="1" si="150"/>
        <v/>
      </c>
      <c r="V3900" s="9" t="str">
        <f t="shared" ca="1" si="151"/>
        <v/>
      </c>
      <c r="AE3900" s="9" t="s">
        <v>12083</v>
      </c>
    </row>
    <row r="3901" spans="1:33" ht="29">
      <c r="A3901" s="3" t="s">
        <v>3913</v>
      </c>
      <c r="D3901" s="3" t="s">
        <v>10086</v>
      </c>
      <c r="E3901" s="3" t="s">
        <v>10085</v>
      </c>
      <c r="G3901" t="s">
        <v>20</v>
      </c>
      <c r="Q3901" s="10"/>
      <c r="U3901" s="9" t="str">
        <f t="shared" ca="1" si="150"/>
        <v/>
      </c>
      <c r="V3901" s="9" t="str">
        <f t="shared" ca="1" si="151"/>
        <v/>
      </c>
    </row>
    <row r="3902" spans="1:33">
      <c r="A3902" s="3" t="s">
        <v>3913</v>
      </c>
      <c r="D3902" s="3" t="s">
        <v>10087</v>
      </c>
      <c r="E3902" s="3" t="s">
        <v>10087</v>
      </c>
      <c r="G3902" t="s">
        <v>20</v>
      </c>
      <c r="I3902" t="s">
        <v>10088</v>
      </c>
      <c r="Q3902" s="10"/>
      <c r="U3902" s="9" t="str">
        <f t="shared" ca="1" si="150"/>
        <v/>
      </c>
      <c r="V3902" s="9" t="str">
        <f t="shared" ca="1" si="151"/>
        <v/>
      </c>
    </row>
    <row r="3903" spans="1:33">
      <c r="A3903" s="3" t="s">
        <v>3914</v>
      </c>
      <c r="D3903" s="3" t="s">
        <v>10089</v>
      </c>
      <c r="E3903" s="3" t="s">
        <v>10089</v>
      </c>
      <c r="G3903" t="s">
        <v>20</v>
      </c>
      <c r="I3903" t="s">
        <v>10090</v>
      </c>
      <c r="Q3903" s="10"/>
      <c r="U3903" s="9" t="str">
        <f t="shared" ca="1" si="150"/>
        <v/>
      </c>
      <c r="V3903" s="9" t="str">
        <f t="shared" ca="1" si="151"/>
        <v/>
      </c>
    </row>
    <row r="3904" spans="1:33">
      <c r="A3904" s="3" t="s">
        <v>3914</v>
      </c>
      <c r="D3904" s="3" t="s">
        <v>10091</v>
      </c>
      <c r="E3904" s="3" t="s">
        <v>10092</v>
      </c>
      <c r="J3904" s="9" t="s">
        <v>12118</v>
      </c>
      <c r="Q3904" s="10"/>
      <c r="T3904" s="9">
        <f>19-207</f>
        <v>-188</v>
      </c>
      <c r="U3904" s="9">
        <f t="shared" ca="1" si="150"/>
        <v>207</v>
      </c>
      <c r="V3904" s="9">
        <f t="shared" ca="1" si="151"/>
        <v>19</v>
      </c>
      <c r="AG3904" s="9" t="s">
        <v>19</v>
      </c>
    </row>
    <row r="3905" spans="1:33" ht="29">
      <c r="A3905" s="3" t="s">
        <v>3915</v>
      </c>
      <c r="D3905" s="3" t="s">
        <v>10093</v>
      </c>
      <c r="E3905" s="3" t="s">
        <v>10093</v>
      </c>
      <c r="G3905" t="s">
        <v>20</v>
      </c>
      <c r="I3905" t="s">
        <v>10094</v>
      </c>
      <c r="Q3905" s="10"/>
      <c r="U3905" s="9" t="str">
        <f t="shared" ca="1" si="150"/>
        <v/>
      </c>
      <c r="V3905" s="9" t="str">
        <f t="shared" ca="1" si="151"/>
        <v/>
      </c>
    </row>
    <row r="3906" spans="1:33">
      <c r="A3906" s="3" t="s">
        <v>3915</v>
      </c>
      <c r="D3906" s="3" t="s">
        <v>10095</v>
      </c>
      <c r="E3906" s="3" t="s">
        <v>10096</v>
      </c>
      <c r="J3906" s="9" t="s">
        <v>12120</v>
      </c>
      <c r="Q3906" s="10"/>
      <c r="U3906" s="9" t="str">
        <f t="shared" ca="1" si="150"/>
        <v/>
      </c>
      <c r="V3906" s="9" t="str">
        <f t="shared" ca="1" si="151"/>
        <v/>
      </c>
      <c r="AE3906" s="9" t="s">
        <v>12083</v>
      </c>
    </row>
    <row r="3907" spans="1:33">
      <c r="A3907" s="3" t="s">
        <v>3916</v>
      </c>
      <c r="D3907" s="3" t="s">
        <v>2052</v>
      </c>
      <c r="E3907" s="3" t="s">
        <v>1698</v>
      </c>
      <c r="J3907" s="9" t="s">
        <v>12120</v>
      </c>
      <c r="Q3907" s="10"/>
      <c r="U3907" s="9" t="str">
        <f t="shared" ca="1" si="150"/>
        <v/>
      </c>
      <c r="V3907" s="9" t="str">
        <f t="shared" ca="1" si="151"/>
        <v/>
      </c>
      <c r="AC3907" s="9" t="s">
        <v>12134</v>
      </c>
      <c r="AD3907" s="9" t="s">
        <v>19</v>
      </c>
    </row>
    <row r="3908" spans="1:33">
      <c r="A3908" s="3" t="s">
        <v>3917</v>
      </c>
      <c r="D3908" s="3" t="s">
        <v>3918</v>
      </c>
      <c r="E3908" s="3" t="s">
        <v>3919</v>
      </c>
      <c r="J3908" s="9" t="s">
        <v>12118</v>
      </c>
      <c r="Q3908" s="10"/>
      <c r="T3908" s="9" t="s">
        <v>12131</v>
      </c>
      <c r="U3908" s="9" t="str">
        <f t="shared" ca="1" si="150"/>
        <v/>
      </c>
      <c r="V3908" s="9" t="str">
        <f t="shared" ca="1" si="151"/>
        <v/>
      </c>
      <c r="AC3908" s="9" t="s">
        <v>12130</v>
      </c>
      <c r="AD3908" s="9" t="s">
        <v>19</v>
      </c>
      <c r="AE3908" s="9" t="s">
        <v>12086</v>
      </c>
    </row>
    <row r="3909" spans="1:33">
      <c r="A3909" s="3" t="s">
        <v>3920</v>
      </c>
      <c r="D3909" s="3" t="s">
        <v>10098</v>
      </c>
      <c r="E3909" s="3" t="s">
        <v>10097</v>
      </c>
      <c r="G3909" t="s">
        <v>19</v>
      </c>
      <c r="J3909" s="9" t="s">
        <v>12121</v>
      </c>
      <c r="Q3909" s="10"/>
      <c r="T3909" s="9">
        <f>14-133</f>
        <v>-119</v>
      </c>
      <c r="U3909" s="9">
        <f t="shared" ca="1" si="150"/>
        <v>133</v>
      </c>
      <c r="V3909" s="9">
        <f t="shared" ca="1" si="151"/>
        <v>14</v>
      </c>
      <c r="AE3909" s="9" t="s">
        <v>12089</v>
      </c>
    </row>
    <row r="3910" spans="1:33">
      <c r="A3910" s="3" t="s">
        <v>3921</v>
      </c>
      <c r="D3910" s="3" t="s">
        <v>10099</v>
      </c>
      <c r="E3910" s="3" t="s">
        <v>10100</v>
      </c>
      <c r="J3910" s="9" t="s">
        <v>12118</v>
      </c>
      <c r="Q3910" s="10"/>
      <c r="T3910" s="9">
        <f>1741-1496</f>
        <v>245</v>
      </c>
      <c r="U3910" s="9">
        <f t="shared" ca="1" si="150"/>
        <v>1496</v>
      </c>
      <c r="V3910" s="9">
        <f t="shared" ca="1" si="151"/>
        <v>1741</v>
      </c>
      <c r="AG3910" s="9" t="s">
        <v>19</v>
      </c>
    </row>
    <row r="3911" spans="1:33">
      <c r="A3911" s="3" t="s">
        <v>3922</v>
      </c>
      <c r="D3911" s="3" t="s">
        <v>12718</v>
      </c>
      <c r="E3911" s="3" t="s">
        <v>12719</v>
      </c>
      <c r="G3911" t="s">
        <v>21</v>
      </c>
      <c r="I3911" t="s">
        <v>10101</v>
      </c>
      <c r="J3911" s="9" t="s">
        <v>25</v>
      </c>
      <c r="L3911" s="9">
        <v>1</v>
      </c>
      <c r="M3911" s="9">
        <v>1</v>
      </c>
      <c r="N3911" s="9" t="s">
        <v>12078</v>
      </c>
      <c r="O3911" s="9" t="s">
        <v>12119</v>
      </c>
      <c r="Q3911" s="10"/>
      <c r="S3911" s="9">
        <v>11843</v>
      </c>
      <c r="U3911" s="9" t="str">
        <f t="shared" ca="1" si="150"/>
        <v/>
      </c>
      <c r="V3911" s="9" t="str">
        <f t="shared" ca="1" si="151"/>
        <v/>
      </c>
    </row>
    <row r="3912" spans="1:33">
      <c r="A3912" s="3" t="s">
        <v>3922</v>
      </c>
      <c r="D3912" s="3" t="s">
        <v>10102</v>
      </c>
      <c r="E3912" s="3" t="s">
        <v>10103</v>
      </c>
      <c r="J3912" s="9" t="s">
        <v>12120</v>
      </c>
      <c r="Q3912" s="10"/>
      <c r="U3912" s="9" t="str">
        <f t="shared" ca="1" si="150"/>
        <v/>
      </c>
      <c r="V3912" s="9" t="str">
        <f t="shared" ca="1" si="151"/>
        <v/>
      </c>
      <c r="AG3912" s="9" t="s">
        <v>20</v>
      </c>
    </row>
    <row r="3913" spans="1:33">
      <c r="A3913" s="3" t="s">
        <v>3923</v>
      </c>
      <c r="D3913" s="3" t="s">
        <v>1383</v>
      </c>
      <c r="E3913" s="3" t="s">
        <v>634</v>
      </c>
      <c r="J3913" s="9" t="s">
        <v>12118</v>
      </c>
      <c r="Q3913" s="10"/>
      <c r="T3913" s="9" t="s">
        <v>12131</v>
      </c>
      <c r="U3913" s="9" t="str">
        <f t="shared" ca="1" si="150"/>
        <v/>
      </c>
      <c r="V3913" s="9" t="str">
        <f t="shared" ca="1" si="151"/>
        <v/>
      </c>
      <c r="AB3913" s="9" t="s">
        <v>12124</v>
      </c>
      <c r="AC3913" s="9" t="s">
        <v>12740</v>
      </c>
      <c r="AD3913" s="9" t="s">
        <v>19</v>
      </c>
    </row>
    <row r="3914" spans="1:33">
      <c r="A3914" s="3" t="s">
        <v>3923</v>
      </c>
      <c r="D3914" s="3" t="s">
        <v>3891</v>
      </c>
      <c r="E3914" s="3" t="s">
        <v>3924</v>
      </c>
      <c r="J3914" s="9" t="s">
        <v>12120</v>
      </c>
      <c r="Q3914" s="10"/>
      <c r="U3914" s="9" t="str">
        <f t="shared" ca="1" si="150"/>
        <v/>
      </c>
      <c r="V3914" s="9" t="str">
        <f t="shared" ca="1" si="151"/>
        <v/>
      </c>
      <c r="AC3914" s="9" t="s">
        <v>12130</v>
      </c>
      <c r="AD3914" s="9" t="s">
        <v>19</v>
      </c>
    </row>
    <row r="3915" spans="1:33">
      <c r="A3915" s="3" t="s">
        <v>3925</v>
      </c>
      <c r="D3915" s="3" t="s">
        <v>10105</v>
      </c>
      <c r="E3915" s="3" t="s">
        <v>10104</v>
      </c>
      <c r="G3915" t="s">
        <v>21</v>
      </c>
      <c r="I3915" t="s">
        <v>10106</v>
      </c>
      <c r="J3915" s="9" t="s">
        <v>24</v>
      </c>
      <c r="L3915" s="9">
        <v>1</v>
      </c>
      <c r="M3915" s="9">
        <v>2</v>
      </c>
      <c r="N3915" s="9" t="s">
        <v>12087</v>
      </c>
      <c r="O3915" s="9" t="s">
        <v>12119</v>
      </c>
      <c r="Q3915" s="10"/>
      <c r="S3915" s="9">
        <v>1966</v>
      </c>
      <c r="U3915" s="9" t="str">
        <f t="shared" ca="1" si="150"/>
        <v/>
      </c>
      <c r="V3915" s="9" t="str">
        <f t="shared" ca="1" si="151"/>
        <v/>
      </c>
    </row>
    <row r="3916" spans="1:33">
      <c r="A3916" s="3" t="s">
        <v>3925</v>
      </c>
      <c r="D3916" s="3" t="s">
        <v>10108</v>
      </c>
      <c r="E3916" s="3" t="s">
        <v>10107</v>
      </c>
      <c r="G3916" t="s">
        <v>19</v>
      </c>
      <c r="J3916" s="9" t="s">
        <v>12120</v>
      </c>
      <c r="Q3916" s="10"/>
      <c r="U3916" s="9" t="str">
        <f t="shared" ref="U3916:U3979" ca="1" si="154">IF(ISNUMBER(T3916),VALUE(MID(_xlfn.FORMULATEXT(T3916),SEARCH("-",_xlfn.FORMULATEXT(T3916))+1,LEN(_xlfn.FORMULATEXT(T3916))-SEARCH("-",_xlfn.FORMULATEXT(T3916)))), "")</f>
        <v/>
      </c>
      <c r="V3916" s="9" t="str">
        <f t="shared" ref="V3916:V3979" ca="1" si="155">IF(ISNUMBER(T3916), VALUE(MID(_xlfn.FORMULATEXT(T3916), 2, SEARCH("-", _xlfn.FORMULATEXT(T3916)) - 2)), "")</f>
        <v/>
      </c>
      <c r="AE3916" s="9" t="s">
        <v>12089</v>
      </c>
    </row>
    <row r="3917" spans="1:33">
      <c r="A3917" s="3" t="s">
        <v>3925</v>
      </c>
      <c r="D3917" s="3" t="s">
        <v>3926</v>
      </c>
      <c r="E3917" s="3" t="s">
        <v>3927</v>
      </c>
      <c r="J3917" s="9" t="s">
        <v>12118</v>
      </c>
      <c r="Q3917" s="10"/>
      <c r="T3917" s="9" t="s">
        <v>12131</v>
      </c>
      <c r="U3917" s="9" t="str">
        <f t="shared" ca="1" si="154"/>
        <v/>
      </c>
      <c r="V3917" s="9" t="str">
        <f t="shared" ca="1" si="155"/>
        <v/>
      </c>
      <c r="AC3917" s="9" t="s">
        <v>12134</v>
      </c>
      <c r="AD3917" s="9" t="s">
        <v>19</v>
      </c>
      <c r="AE3917" s="9" t="s">
        <v>12086</v>
      </c>
    </row>
    <row r="3918" spans="1:33">
      <c r="A3918" s="3" t="s">
        <v>3928</v>
      </c>
      <c r="D3918" s="3" t="s">
        <v>12721</v>
      </c>
      <c r="E3918" s="3" t="s">
        <v>12722</v>
      </c>
      <c r="J3918" s="9" t="s">
        <v>12118</v>
      </c>
      <c r="Q3918" s="10"/>
      <c r="T3918" s="9" t="s">
        <v>12131</v>
      </c>
      <c r="U3918" s="9" t="str">
        <f t="shared" ca="1" si="154"/>
        <v/>
      </c>
      <c r="V3918" s="9" t="str">
        <f t="shared" ca="1" si="155"/>
        <v/>
      </c>
      <c r="AC3918" s="9" t="s">
        <v>12188</v>
      </c>
      <c r="AD3918" s="9" t="s">
        <v>19</v>
      </c>
      <c r="AE3918" s="9" t="s">
        <v>12086</v>
      </c>
    </row>
    <row r="3919" spans="1:33">
      <c r="A3919" s="3" t="s">
        <v>3928</v>
      </c>
      <c r="D3919" s="3" t="s">
        <v>12720</v>
      </c>
      <c r="E3919" s="3" t="s">
        <v>12723</v>
      </c>
      <c r="J3919" s="9" t="s">
        <v>24</v>
      </c>
      <c r="L3919" s="9">
        <v>1</v>
      </c>
      <c r="M3919" s="9">
        <v>2</v>
      </c>
      <c r="N3919" s="9" t="s">
        <v>12087</v>
      </c>
      <c r="O3919" s="9" t="s">
        <v>12119</v>
      </c>
      <c r="Q3919" s="10"/>
      <c r="S3919" s="9">
        <v>1966</v>
      </c>
      <c r="U3919" s="9" t="str">
        <f t="shared" ca="1" si="154"/>
        <v/>
      </c>
      <c r="V3919" s="9" t="str">
        <f t="shared" ca="1" si="155"/>
        <v/>
      </c>
      <c r="AG3919" s="9" t="s">
        <v>19</v>
      </c>
    </row>
    <row r="3920" spans="1:33">
      <c r="A3920" s="3" t="s">
        <v>3929</v>
      </c>
      <c r="D3920" s="3" t="s">
        <v>3861</v>
      </c>
      <c r="E3920" s="3" t="s">
        <v>3930</v>
      </c>
      <c r="J3920" s="9" t="s">
        <v>12120</v>
      </c>
      <c r="Q3920" s="10"/>
      <c r="U3920" s="9" t="str">
        <f t="shared" ca="1" si="154"/>
        <v/>
      </c>
      <c r="V3920" s="9" t="str">
        <f t="shared" ca="1" si="155"/>
        <v/>
      </c>
      <c r="AE3920" s="9" t="s">
        <v>12077</v>
      </c>
    </row>
    <row r="3921" spans="1:33" ht="29">
      <c r="A3921" s="3" t="s">
        <v>3929</v>
      </c>
      <c r="D3921" s="3" t="s">
        <v>10109</v>
      </c>
      <c r="E3921" s="3" t="s">
        <v>10110</v>
      </c>
      <c r="G3921" t="s">
        <v>19</v>
      </c>
      <c r="J3921" s="9" t="s">
        <v>12120</v>
      </c>
      <c r="Q3921" s="10"/>
      <c r="U3921" s="9" t="str">
        <f t="shared" ca="1" si="154"/>
        <v/>
      </c>
      <c r="V3921" s="9" t="str">
        <f t="shared" ca="1" si="155"/>
        <v/>
      </c>
    </row>
    <row r="3922" spans="1:33" ht="29">
      <c r="A3922" s="3" t="s">
        <v>3929</v>
      </c>
      <c r="D3922" s="3" t="s">
        <v>10112</v>
      </c>
      <c r="E3922" s="3" t="s">
        <v>10111</v>
      </c>
      <c r="G3922" t="s">
        <v>19</v>
      </c>
      <c r="J3922" s="9" t="s">
        <v>12120</v>
      </c>
      <c r="Q3922" s="10"/>
      <c r="U3922" s="9" t="str">
        <f t="shared" ca="1" si="154"/>
        <v/>
      </c>
      <c r="V3922" s="9" t="str">
        <f t="shared" ca="1" si="155"/>
        <v/>
      </c>
    </row>
    <row r="3923" spans="1:33">
      <c r="A3923" s="3" t="s">
        <v>3929</v>
      </c>
      <c r="D3923" s="3" t="s">
        <v>3931</v>
      </c>
      <c r="E3923" s="3" t="s">
        <v>3932</v>
      </c>
      <c r="J3923" s="9" t="s">
        <v>12120</v>
      </c>
      <c r="Q3923" s="10"/>
      <c r="U3923" s="9" t="str">
        <f t="shared" ca="1" si="154"/>
        <v/>
      </c>
      <c r="V3923" s="9" t="str">
        <f t="shared" ca="1" si="155"/>
        <v/>
      </c>
      <c r="AC3923" s="9" t="s">
        <v>12166</v>
      </c>
      <c r="AD3923" s="9" t="s">
        <v>19</v>
      </c>
      <c r="AE3923" s="9" t="s">
        <v>12086</v>
      </c>
    </row>
    <row r="3924" spans="1:33">
      <c r="A3924" s="3" t="s">
        <v>3933</v>
      </c>
      <c r="D3924" s="3" t="s">
        <v>3934</v>
      </c>
      <c r="E3924" s="3" t="s">
        <v>3935</v>
      </c>
      <c r="J3924" s="9" t="s">
        <v>12118</v>
      </c>
      <c r="Q3924" s="10"/>
      <c r="T3924" s="9" t="s">
        <v>12131</v>
      </c>
      <c r="U3924" s="9" t="str">
        <f t="shared" ca="1" si="154"/>
        <v/>
      </c>
      <c r="V3924" s="9" t="str">
        <f t="shared" ca="1" si="155"/>
        <v/>
      </c>
      <c r="AC3924" s="9" t="s">
        <v>12144</v>
      </c>
      <c r="AD3924" s="9" t="s">
        <v>19</v>
      </c>
      <c r="AE3924" s="9" t="s">
        <v>12077</v>
      </c>
    </row>
    <row r="3925" spans="1:33" ht="43.5">
      <c r="A3925" s="3" t="s">
        <v>3933</v>
      </c>
      <c r="D3925" s="3" t="s">
        <v>10113</v>
      </c>
      <c r="E3925" s="3" t="s">
        <v>10115</v>
      </c>
      <c r="J3925" s="9" t="s">
        <v>24</v>
      </c>
      <c r="L3925" s="9">
        <v>1</v>
      </c>
      <c r="M3925" s="9">
        <v>6</v>
      </c>
      <c r="N3925" s="9" t="s">
        <v>12125</v>
      </c>
      <c r="O3925" s="9" t="s">
        <v>12073</v>
      </c>
      <c r="P3925" s="9" t="s">
        <v>12149</v>
      </c>
      <c r="Q3925" s="10" t="s">
        <v>12158</v>
      </c>
      <c r="R3925" s="9" t="s">
        <v>12074</v>
      </c>
      <c r="S3925" s="9">
        <v>1</v>
      </c>
      <c r="U3925" s="9" t="str">
        <f t="shared" ca="1" si="154"/>
        <v/>
      </c>
      <c r="V3925" s="9" t="str">
        <f t="shared" ca="1" si="155"/>
        <v/>
      </c>
      <c r="AG3925" s="9" t="s">
        <v>19</v>
      </c>
    </row>
    <row r="3926" spans="1:33" ht="43.5">
      <c r="A3926" s="3" t="s">
        <v>3933</v>
      </c>
      <c r="D3926" s="3" t="s">
        <v>10116</v>
      </c>
      <c r="E3926" s="3" t="s">
        <v>10117</v>
      </c>
      <c r="G3926" t="s">
        <v>21</v>
      </c>
      <c r="J3926" s="9" t="s">
        <v>12118</v>
      </c>
      <c r="Q3926" s="10"/>
      <c r="T3926" s="9">
        <f xml:space="preserve"> 1-3</f>
        <v>-2</v>
      </c>
      <c r="U3926" s="9">
        <f t="shared" ca="1" si="154"/>
        <v>3</v>
      </c>
      <c r="V3926" s="9">
        <f t="shared" ca="1" si="155"/>
        <v>1</v>
      </c>
    </row>
    <row r="3927" spans="1:33" ht="43.5">
      <c r="A3927" s="3" t="s">
        <v>3933</v>
      </c>
      <c r="D3927" s="3" t="s">
        <v>10118</v>
      </c>
      <c r="E3927" s="3" t="s">
        <v>10114</v>
      </c>
      <c r="J3927" s="9" t="s">
        <v>25</v>
      </c>
      <c r="L3927" s="9">
        <v>1</v>
      </c>
      <c r="M3927" s="9">
        <v>3</v>
      </c>
      <c r="N3927" s="9" t="s">
        <v>12087</v>
      </c>
      <c r="O3927" s="9" t="s">
        <v>12079</v>
      </c>
      <c r="Q3927" s="10"/>
      <c r="S3927" s="9">
        <v>356</v>
      </c>
      <c r="U3927" s="9" t="str">
        <f t="shared" ca="1" si="154"/>
        <v/>
      </c>
      <c r="V3927" s="9" t="str">
        <f t="shared" ca="1" si="155"/>
        <v/>
      </c>
      <c r="AG3927" s="9" t="s">
        <v>19</v>
      </c>
    </row>
    <row r="3928" spans="1:33" ht="43.5">
      <c r="A3928" s="3" t="s">
        <v>3933</v>
      </c>
      <c r="D3928" s="3" t="s">
        <v>10119</v>
      </c>
      <c r="E3928" s="3" t="s">
        <v>10120</v>
      </c>
      <c r="J3928" s="9" t="s">
        <v>12118</v>
      </c>
      <c r="Q3928" s="10"/>
      <c r="T3928" s="9">
        <f>4240-930</f>
        <v>3310</v>
      </c>
      <c r="U3928" s="9">
        <f t="shared" ca="1" si="154"/>
        <v>930</v>
      </c>
      <c r="V3928" s="9">
        <f t="shared" ca="1" si="155"/>
        <v>4240</v>
      </c>
      <c r="AE3928" s="9" t="s">
        <v>12086</v>
      </c>
    </row>
    <row r="3929" spans="1:33">
      <c r="A3929" s="3" t="s">
        <v>3936</v>
      </c>
      <c r="D3929" s="3" t="s">
        <v>3937</v>
      </c>
      <c r="E3929" s="3" t="s">
        <v>3938</v>
      </c>
      <c r="J3929" s="9" t="s">
        <v>12118</v>
      </c>
      <c r="Q3929" s="10"/>
      <c r="T3929" s="9" t="s">
        <v>12131</v>
      </c>
      <c r="U3929" s="9" t="str">
        <f t="shared" ca="1" si="154"/>
        <v/>
      </c>
      <c r="V3929" s="9" t="str">
        <f t="shared" ca="1" si="155"/>
        <v/>
      </c>
      <c r="AC3929" s="9" t="s">
        <v>12134</v>
      </c>
      <c r="AD3929" s="9" t="s">
        <v>19</v>
      </c>
      <c r="AE3929" s="9" t="s">
        <v>12077</v>
      </c>
    </row>
    <row r="3930" spans="1:33" ht="58">
      <c r="A3930" s="3" t="s">
        <v>3936</v>
      </c>
      <c r="D3930" s="3" t="s">
        <v>10123</v>
      </c>
      <c r="E3930" s="3" t="s">
        <v>10124</v>
      </c>
      <c r="I3930" t="s">
        <v>12192</v>
      </c>
      <c r="J3930" s="9" t="s">
        <v>26</v>
      </c>
      <c r="Q3930" s="10"/>
      <c r="U3930" s="9" t="str">
        <f t="shared" ca="1" si="154"/>
        <v/>
      </c>
      <c r="V3930" s="9" t="str">
        <f t="shared" ca="1" si="155"/>
        <v/>
      </c>
      <c r="AG3930" s="9" t="s">
        <v>20</v>
      </c>
    </row>
    <row r="3931" spans="1:33" ht="58">
      <c r="A3931" s="3" t="s">
        <v>3936</v>
      </c>
      <c r="D3931" s="3" t="s">
        <v>10122</v>
      </c>
      <c r="E3931" s="3" t="s">
        <v>10125</v>
      </c>
      <c r="J3931" s="9" t="s">
        <v>24</v>
      </c>
      <c r="L3931" s="9">
        <v>1</v>
      </c>
      <c r="M3931" s="9">
        <v>6</v>
      </c>
      <c r="N3931" s="9" t="s">
        <v>12094</v>
      </c>
      <c r="O3931" s="9" t="s">
        <v>12073</v>
      </c>
      <c r="P3931" s="9" t="s">
        <v>12203</v>
      </c>
      <c r="Q3931" s="10" t="s">
        <v>12204</v>
      </c>
      <c r="S3931" s="9">
        <v>4240</v>
      </c>
      <c r="U3931" s="9" t="str">
        <f t="shared" ca="1" si="154"/>
        <v/>
      </c>
      <c r="V3931" s="9" t="str">
        <f t="shared" ca="1" si="155"/>
        <v/>
      </c>
      <c r="AG3931" s="9" t="s">
        <v>19</v>
      </c>
    </row>
    <row r="3932" spans="1:33" ht="58">
      <c r="A3932" s="3" t="s">
        <v>3936</v>
      </c>
      <c r="D3932" s="3" t="s">
        <v>10126</v>
      </c>
      <c r="E3932" s="3" t="s">
        <v>10121</v>
      </c>
      <c r="J3932" s="9" t="s">
        <v>25</v>
      </c>
      <c r="L3932" s="9">
        <v>1</v>
      </c>
      <c r="M3932" s="9">
        <v>4</v>
      </c>
      <c r="N3932" s="9" t="s">
        <v>12096</v>
      </c>
      <c r="O3932" s="9" t="s">
        <v>12079</v>
      </c>
      <c r="Q3932" s="10"/>
      <c r="S3932" s="9">
        <v>207</v>
      </c>
      <c r="U3932" s="9" t="str">
        <f t="shared" ca="1" si="154"/>
        <v/>
      </c>
      <c r="V3932" s="9" t="str">
        <f t="shared" ca="1" si="155"/>
        <v/>
      </c>
      <c r="AG3932" s="9" t="s">
        <v>20</v>
      </c>
    </row>
    <row r="3933" spans="1:33">
      <c r="A3933" s="3" t="s">
        <v>3939</v>
      </c>
      <c r="D3933" s="3" t="s">
        <v>430</v>
      </c>
      <c r="E3933" s="3" t="s">
        <v>431</v>
      </c>
      <c r="J3933" s="9" t="s">
        <v>12118</v>
      </c>
      <c r="Q3933" s="10"/>
      <c r="T3933" s="9" t="s">
        <v>12119</v>
      </c>
      <c r="U3933" s="9" t="str">
        <f t="shared" ca="1" si="154"/>
        <v/>
      </c>
      <c r="V3933" s="9" t="str">
        <f t="shared" ca="1" si="155"/>
        <v/>
      </c>
      <c r="AC3933" s="9" t="s">
        <v>12130</v>
      </c>
      <c r="AD3933" s="9" t="s">
        <v>19</v>
      </c>
      <c r="AE3933" s="9" t="s">
        <v>12086</v>
      </c>
    </row>
    <row r="3934" spans="1:33">
      <c r="A3934" s="3" t="s">
        <v>3939</v>
      </c>
      <c r="D3934" s="3" t="s">
        <v>117</v>
      </c>
      <c r="E3934" s="3" t="s">
        <v>118</v>
      </c>
      <c r="J3934" s="9" t="s">
        <v>12118</v>
      </c>
      <c r="Q3934" s="10"/>
      <c r="T3934" s="9" t="s">
        <v>12131</v>
      </c>
      <c r="U3934" s="9" t="str">
        <f t="shared" ca="1" si="154"/>
        <v/>
      </c>
      <c r="V3934" s="9" t="str">
        <f t="shared" ca="1" si="155"/>
        <v/>
      </c>
      <c r="AB3934" s="9" t="s">
        <v>12124</v>
      </c>
      <c r="AC3934" s="9" t="s">
        <v>12740</v>
      </c>
      <c r="AD3934" s="9" t="s">
        <v>19</v>
      </c>
    </row>
    <row r="3935" spans="1:33">
      <c r="A3935" s="3" t="s">
        <v>3940</v>
      </c>
      <c r="D3935" s="3" t="s">
        <v>3941</v>
      </c>
      <c r="E3935" s="3" t="s">
        <v>3942</v>
      </c>
      <c r="J3935" s="9" t="s">
        <v>12120</v>
      </c>
      <c r="Q3935" s="10"/>
      <c r="U3935" s="9" t="str">
        <f t="shared" ca="1" si="154"/>
        <v/>
      </c>
      <c r="V3935" s="9" t="str">
        <f t="shared" ca="1" si="155"/>
        <v/>
      </c>
      <c r="AG3935" s="9" t="s">
        <v>19</v>
      </c>
    </row>
    <row r="3936" spans="1:33" ht="29">
      <c r="A3936" s="3" t="s">
        <v>3940</v>
      </c>
      <c r="D3936" s="3" t="s">
        <v>10127</v>
      </c>
      <c r="E3936" s="3" t="s">
        <v>10128</v>
      </c>
      <c r="G3936" t="s">
        <v>19</v>
      </c>
      <c r="J3936" s="9" t="s">
        <v>24</v>
      </c>
      <c r="L3936" s="9">
        <v>1</v>
      </c>
      <c r="M3936" s="9">
        <v>2</v>
      </c>
      <c r="N3936" s="9" t="s">
        <v>12123</v>
      </c>
      <c r="O3936" s="9" t="s">
        <v>12119</v>
      </c>
      <c r="Q3936" s="10"/>
      <c r="S3936" s="9">
        <v>526</v>
      </c>
      <c r="U3936" s="9" t="str">
        <f t="shared" ca="1" si="154"/>
        <v/>
      </c>
      <c r="V3936" s="9" t="str">
        <f t="shared" ca="1" si="155"/>
        <v/>
      </c>
    </row>
    <row r="3937" spans="1:33" ht="29">
      <c r="A3937" s="3" t="s">
        <v>3940</v>
      </c>
      <c r="D3937" s="3" t="s">
        <v>10129</v>
      </c>
      <c r="E3937" s="3" t="s">
        <v>10130</v>
      </c>
      <c r="J3937" s="9" t="s">
        <v>12118</v>
      </c>
      <c r="Q3937" s="10"/>
      <c r="R3937" s="9" t="s">
        <v>12074</v>
      </c>
      <c r="T3937" s="9" t="s">
        <v>12131</v>
      </c>
      <c r="U3937" s="9" t="str">
        <f t="shared" ca="1" si="154"/>
        <v/>
      </c>
      <c r="V3937" s="9" t="str">
        <f t="shared" ca="1" si="155"/>
        <v/>
      </c>
      <c r="AE3937" s="9" t="s">
        <v>12077</v>
      </c>
    </row>
    <row r="3938" spans="1:33" ht="29">
      <c r="A3938" s="3" t="s">
        <v>3943</v>
      </c>
      <c r="D3938" s="3" t="s">
        <v>10131</v>
      </c>
      <c r="E3938" s="3" t="s">
        <v>10132</v>
      </c>
      <c r="J3938" s="9" t="s">
        <v>12118</v>
      </c>
      <c r="Q3938" s="10"/>
      <c r="T3938" s="9">
        <f>40-74</f>
        <v>-34</v>
      </c>
      <c r="U3938" s="9">
        <f t="shared" ca="1" si="154"/>
        <v>74</v>
      </c>
      <c r="V3938" s="9">
        <f t="shared" ca="1" si="155"/>
        <v>40</v>
      </c>
      <c r="AG3938" s="9" t="s">
        <v>20</v>
      </c>
    </row>
    <row r="3939" spans="1:33">
      <c r="A3939" s="3" t="s">
        <v>3944</v>
      </c>
      <c r="D3939" s="3" t="s">
        <v>12724</v>
      </c>
      <c r="E3939" s="3" t="s">
        <v>12725</v>
      </c>
      <c r="F3939" t="s">
        <v>12</v>
      </c>
      <c r="G3939" t="s">
        <v>19</v>
      </c>
      <c r="J3939" s="9" t="s">
        <v>25</v>
      </c>
      <c r="L3939" s="9">
        <v>1</v>
      </c>
      <c r="M3939" s="9">
        <v>2</v>
      </c>
      <c r="N3939" s="9" t="s">
        <v>12125</v>
      </c>
      <c r="O3939" s="9" t="s">
        <v>12119</v>
      </c>
      <c r="Q3939" s="10"/>
      <c r="S3939" s="9">
        <v>1565</v>
      </c>
      <c r="U3939" s="9" t="str">
        <f t="shared" ca="1" si="154"/>
        <v/>
      </c>
      <c r="V3939" s="9" t="str">
        <f t="shared" ca="1" si="155"/>
        <v/>
      </c>
    </row>
    <row r="3940" spans="1:33">
      <c r="A3940" s="3" t="s">
        <v>3944</v>
      </c>
      <c r="D3940" s="3" t="s">
        <v>10133</v>
      </c>
      <c r="E3940" s="3" t="s">
        <v>10134</v>
      </c>
      <c r="J3940" s="9" t="s">
        <v>12118</v>
      </c>
      <c r="Q3940" s="10"/>
      <c r="T3940" s="9" t="s">
        <v>12131</v>
      </c>
      <c r="U3940" s="9" t="str">
        <f t="shared" ca="1" si="154"/>
        <v/>
      </c>
      <c r="V3940" s="9" t="str">
        <f t="shared" ca="1" si="155"/>
        <v/>
      </c>
      <c r="AC3940" s="9" t="s">
        <v>12130</v>
      </c>
      <c r="AD3940" s="9" t="s">
        <v>19</v>
      </c>
      <c r="AE3940" s="9" t="s">
        <v>12086</v>
      </c>
    </row>
    <row r="3941" spans="1:33" ht="29">
      <c r="A3941" s="3" t="s">
        <v>3945</v>
      </c>
      <c r="D3941" s="3" t="s">
        <v>12519</v>
      </c>
      <c r="E3941" s="3" t="s">
        <v>10135</v>
      </c>
      <c r="J3941" s="9" t="s">
        <v>25</v>
      </c>
      <c r="L3941" s="9">
        <v>1</v>
      </c>
      <c r="M3941" s="9">
        <v>3</v>
      </c>
      <c r="N3941" s="9" t="s">
        <v>12096</v>
      </c>
      <c r="O3941" s="9" t="s">
        <v>12079</v>
      </c>
      <c r="Q3941" s="10"/>
      <c r="S3941" s="9">
        <v>264</v>
      </c>
      <c r="U3941" s="9" t="str">
        <f t="shared" ca="1" si="154"/>
        <v/>
      </c>
      <c r="V3941" s="9" t="str">
        <f t="shared" ca="1" si="155"/>
        <v/>
      </c>
      <c r="AG3941" s="9" t="s">
        <v>20</v>
      </c>
    </row>
    <row r="3942" spans="1:33" ht="29">
      <c r="A3942" s="3" t="s">
        <v>3945</v>
      </c>
      <c r="D3942" s="3" t="s">
        <v>12520</v>
      </c>
      <c r="E3942" s="3" t="s">
        <v>12521</v>
      </c>
      <c r="I3942" t="s">
        <v>5457</v>
      </c>
      <c r="J3942" s="9" t="s">
        <v>26</v>
      </c>
      <c r="Q3942" s="10"/>
      <c r="U3942" s="9" t="str">
        <f t="shared" ca="1" si="154"/>
        <v/>
      </c>
      <c r="V3942" s="9" t="str">
        <f t="shared" ca="1" si="155"/>
        <v/>
      </c>
      <c r="AG3942" s="9" t="s">
        <v>20</v>
      </c>
    </row>
    <row r="3943" spans="1:33" ht="43.5">
      <c r="A3943" s="3" t="s">
        <v>3945</v>
      </c>
      <c r="D3943" s="3" t="s">
        <v>10136</v>
      </c>
      <c r="E3943" s="3" t="s">
        <v>12522</v>
      </c>
      <c r="I3943" t="s">
        <v>5457</v>
      </c>
      <c r="J3943" s="9" t="s">
        <v>26</v>
      </c>
      <c r="Q3943" s="10"/>
      <c r="U3943" s="9" t="str">
        <f t="shared" ca="1" si="154"/>
        <v/>
      </c>
      <c r="V3943" s="9" t="str">
        <f t="shared" ca="1" si="155"/>
        <v/>
      </c>
      <c r="AG3943" s="9" t="s">
        <v>20</v>
      </c>
    </row>
    <row r="3944" spans="1:33" ht="29">
      <c r="A3944" s="3" t="s">
        <v>3945</v>
      </c>
      <c r="D3944" s="3" t="s">
        <v>10137</v>
      </c>
      <c r="E3944" s="3" t="s">
        <v>10138</v>
      </c>
      <c r="J3944" s="9" t="s">
        <v>12118</v>
      </c>
      <c r="Q3944" s="10"/>
      <c r="T3944" s="9" t="s">
        <v>12131</v>
      </c>
      <c r="U3944" s="9" t="str">
        <f t="shared" ca="1" si="154"/>
        <v/>
      </c>
      <c r="V3944" s="9" t="str">
        <f t="shared" ca="1" si="155"/>
        <v/>
      </c>
      <c r="AB3944" s="9" t="s">
        <v>12124</v>
      </c>
      <c r="AD3944" s="9" t="s">
        <v>19</v>
      </c>
    </row>
    <row r="3945" spans="1:33">
      <c r="A3945" s="3" t="s">
        <v>3945</v>
      </c>
      <c r="D3945" s="3" t="s">
        <v>3946</v>
      </c>
      <c r="E3945" s="3" t="s">
        <v>3947</v>
      </c>
      <c r="G3945" t="s">
        <v>21</v>
      </c>
      <c r="I3945" t="s">
        <v>10139</v>
      </c>
      <c r="J3945" s="9" t="s">
        <v>12118</v>
      </c>
      <c r="Q3945" s="10"/>
      <c r="T3945" s="9">
        <f>5-18</f>
        <v>-13</v>
      </c>
      <c r="U3945" s="9">
        <f t="shared" ca="1" si="154"/>
        <v>18</v>
      </c>
      <c r="V3945" s="9">
        <f t="shared" ca="1" si="155"/>
        <v>5</v>
      </c>
    </row>
    <row r="3946" spans="1:33">
      <c r="A3946" s="3" t="s">
        <v>3948</v>
      </c>
      <c r="D3946" s="3" t="s">
        <v>3949</v>
      </c>
      <c r="E3946" s="3" t="s">
        <v>3950</v>
      </c>
      <c r="J3946" s="9" t="s">
        <v>12118</v>
      </c>
      <c r="Q3946" s="10"/>
      <c r="T3946" s="9" t="s">
        <v>12131</v>
      </c>
      <c r="U3946" s="9" t="str">
        <f t="shared" ca="1" si="154"/>
        <v/>
      </c>
      <c r="V3946" s="9" t="str">
        <f t="shared" ca="1" si="155"/>
        <v/>
      </c>
      <c r="AC3946" s="9" t="s">
        <v>12130</v>
      </c>
      <c r="AD3946" s="9" t="s">
        <v>19</v>
      </c>
      <c r="AE3946" s="9" t="s">
        <v>12086</v>
      </c>
    </row>
    <row r="3947" spans="1:33">
      <c r="A3947" s="3" t="s">
        <v>3951</v>
      </c>
      <c r="D3947" s="3" t="s">
        <v>3952</v>
      </c>
      <c r="E3947" s="3" t="s">
        <v>3953</v>
      </c>
      <c r="J3947" s="9" t="s">
        <v>12120</v>
      </c>
      <c r="Q3947" s="10"/>
      <c r="U3947" s="9" t="str">
        <f t="shared" ca="1" si="154"/>
        <v/>
      </c>
      <c r="V3947" s="9" t="str">
        <f t="shared" ca="1" si="155"/>
        <v/>
      </c>
      <c r="AB3947" s="9" t="s">
        <v>12738</v>
      </c>
      <c r="AD3947" s="9" t="s">
        <v>19</v>
      </c>
    </row>
    <row r="3948" spans="1:33">
      <c r="A3948" s="3" t="s">
        <v>3951</v>
      </c>
      <c r="D3948" s="3" t="s">
        <v>10141</v>
      </c>
      <c r="E3948" s="3" t="s">
        <v>10140</v>
      </c>
      <c r="G3948" t="s">
        <v>21</v>
      </c>
      <c r="I3948" t="s">
        <v>10142</v>
      </c>
      <c r="J3948" s="9" t="s">
        <v>12118</v>
      </c>
      <c r="Q3948" s="10"/>
      <c r="T3948" s="9">
        <f>2-95</f>
        <v>-93</v>
      </c>
      <c r="U3948" s="9">
        <f t="shared" ca="1" si="154"/>
        <v>95</v>
      </c>
      <c r="V3948" s="9">
        <f t="shared" ca="1" si="155"/>
        <v>2</v>
      </c>
    </row>
    <row r="3949" spans="1:33">
      <c r="A3949" s="3" t="s">
        <v>3954</v>
      </c>
      <c r="D3949" s="3" t="s">
        <v>10144</v>
      </c>
      <c r="E3949" s="3" t="s">
        <v>10143</v>
      </c>
      <c r="G3949" t="s">
        <v>19</v>
      </c>
      <c r="J3949" s="9" t="s">
        <v>12118</v>
      </c>
      <c r="Q3949" s="10"/>
      <c r="T3949" s="9">
        <f>3-635</f>
        <v>-632</v>
      </c>
      <c r="U3949" s="9">
        <f t="shared" ca="1" si="154"/>
        <v>635</v>
      </c>
      <c r="V3949" s="9">
        <f t="shared" ca="1" si="155"/>
        <v>3</v>
      </c>
      <c r="AC3949" s="9" t="s">
        <v>12134</v>
      </c>
      <c r="AD3949" s="9" t="s">
        <v>19</v>
      </c>
    </row>
    <row r="3950" spans="1:33">
      <c r="A3950" s="3" t="s">
        <v>3954</v>
      </c>
      <c r="D3950" s="3" t="s">
        <v>1088</v>
      </c>
      <c r="E3950" s="3" t="s">
        <v>1088</v>
      </c>
      <c r="G3950" t="s">
        <v>20</v>
      </c>
      <c r="I3950" t="s">
        <v>10145</v>
      </c>
      <c r="Q3950" s="10"/>
      <c r="U3950" s="9" t="str">
        <f t="shared" ca="1" si="154"/>
        <v/>
      </c>
      <c r="V3950" s="9" t="str">
        <f t="shared" ca="1" si="155"/>
        <v/>
      </c>
    </row>
    <row r="3951" spans="1:33" ht="29">
      <c r="A3951" s="3" t="s">
        <v>3955</v>
      </c>
      <c r="D3951" s="3" t="s">
        <v>10146</v>
      </c>
      <c r="E3951" s="3" t="s">
        <v>10147</v>
      </c>
      <c r="I3951" t="s">
        <v>5457</v>
      </c>
      <c r="J3951" s="9" t="s">
        <v>26</v>
      </c>
      <c r="Q3951" s="10"/>
      <c r="U3951" s="9" t="str">
        <f t="shared" ca="1" si="154"/>
        <v/>
      </c>
      <c r="V3951" s="9" t="str">
        <f t="shared" ca="1" si="155"/>
        <v/>
      </c>
      <c r="AG3951" s="9" t="s">
        <v>20</v>
      </c>
    </row>
    <row r="3952" spans="1:33">
      <c r="A3952" s="3" t="s">
        <v>3956</v>
      </c>
      <c r="D3952" s="3" t="s">
        <v>10149</v>
      </c>
      <c r="E3952" s="3" t="s">
        <v>10148</v>
      </c>
      <c r="G3952" t="s">
        <v>19</v>
      </c>
      <c r="J3952" s="9" t="s">
        <v>24</v>
      </c>
      <c r="L3952" s="9">
        <v>1</v>
      </c>
      <c r="M3952" s="9">
        <v>1</v>
      </c>
      <c r="N3952" s="9" t="s">
        <v>12078</v>
      </c>
      <c r="O3952" s="9" t="s">
        <v>12119</v>
      </c>
      <c r="Q3952" s="10"/>
      <c r="S3952" s="9">
        <v>11843</v>
      </c>
      <c r="U3952" s="9" t="str">
        <f t="shared" ca="1" si="154"/>
        <v/>
      </c>
      <c r="V3952" s="9" t="str">
        <f t="shared" ca="1" si="155"/>
        <v/>
      </c>
    </row>
    <row r="3953" spans="1:33">
      <c r="A3953" s="3" t="s">
        <v>3956</v>
      </c>
      <c r="D3953" s="3" t="s">
        <v>10151</v>
      </c>
      <c r="E3953" s="3" t="s">
        <v>10150</v>
      </c>
      <c r="J3953" s="9" t="s">
        <v>25</v>
      </c>
      <c r="L3953" s="9">
        <v>1</v>
      </c>
      <c r="M3953" s="9">
        <v>3</v>
      </c>
      <c r="N3953" s="9" t="s">
        <v>12123</v>
      </c>
      <c r="O3953" s="9" t="s">
        <v>12079</v>
      </c>
      <c r="Q3953" s="10"/>
      <c r="S3953" s="9">
        <v>887</v>
      </c>
      <c r="U3953" s="9" t="str">
        <f t="shared" ca="1" si="154"/>
        <v/>
      </c>
      <c r="V3953" s="9" t="str">
        <f t="shared" ca="1" si="155"/>
        <v/>
      </c>
      <c r="AG3953" s="9" t="s">
        <v>19</v>
      </c>
    </row>
    <row r="3954" spans="1:33" ht="43.5">
      <c r="A3954" s="3" t="s">
        <v>3956</v>
      </c>
      <c r="D3954" s="3" t="s">
        <v>10152</v>
      </c>
      <c r="E3954" s="3" t="s">
        <v>10153</v>
      </c>
      <c r="J3954" s="9" t="s">
        <v>12120</v>
      </c>
      <c r="Q3954" s="10"/>
      <c r="U3954" s="9" t="str">
        <f t="shared" ca="1" si="154"/>
        <v/>
      </c>
      <c r="V3954" s="9" t="str">
        <f t="shared" ca="1" si="155"/>
        <v/>
      </c>
      <c r="AG3954" s="9" t="s">
        <v>19</v>
      </c>
    </row>
    <row r="3955" spans="1:33" ht="43.5">
      <c r="A3955" s="3" t="s">
        <v>3956</v>
      </c>
      <c r="D3955" s="3" t="s">
        <v>10154</v>
      </c>
      <c r="E3955" s="3" t="s">
        <v>10155</v>
      </c>
      <c r="J3955" s="9" t="s">
        <v>12120</v>
      </c>
      <c r="Q3955" s="10"/>
      <c r="U3955" s="9" t="str">
        <f t="shared" ca="1" si="154"/>
        <v/>
      </c>
      <c r="V3955" s="9" t="str">
        <f t="shared" ca="1" si="155"/>
        <v/>
      </c>
      <c r="AG3955" s="9" t="s">
        <v>19</v>
      </c>
    </row>
    <row r="3956" spans="1:33">
      <c r="A3956" s="3" t="s">
        <v>3956</v>
      </c>
      <c r="D3956" s="3" t="s">
        <v>10156</v>
      </c>
      <c r="E3956" s="3" t="s">
        <v>10157</v>
      </c>
      <c r="J3956" s="9" t="s">
        <v>12120</v>
      </c>
      <c r="Q3956" s="10"/>
      <c r="U3956" s="9" t="str">
        <f t="shared" ca="1" si="154"/>
        <v/>
      </c>
      <c r="V3956" s="9" t="str">
        <f t="shared" ca="1" si="155"/>
        <v/>
      </c>
      <c r="AB3956" s="9" t="s">
        <v>12737</v>
      </c>
      <c r="AD3956" s="9" t="s">
        <v>19</v>
      </c>
    </row>
    <row r="3957" spans="1:33" ht="29">
      <c r="A3957" s="3" t="s">
        <v>3957</v>
      </c>
      <c r="D3957" s="3" t="s">
        <v>10158</v>
      </c>
      <c r="E3957" s="3" t="s">
        <v>10159</v>
      </c>
      <c r="I3957" t="s">
        <v>5457</v>
      </c>
      <c r="J3957" s="9" t="s">
        <v>26</v>
      </c>
      <c r="Q3957" s="10"/>
      <c r="U3957" s="9" t="str">
        <f t="shared" ca="1" si="154"/>
        <v/>
      </c>
      <c r="V3957" s="9" t="str">
        <f t="shared" ca="1" si="155"/>
        <v/>
      </c>
      <c r="AG3957" s="9" t="s">
        <v>20</v>
      </c>
    </row>
    <row r="3958" spans="1:33" ht="29">
      <c r="A3958" s="3" t="s">
        <v>3957</v>
      </c>
      <c r="D3958" s="3" t="s">
        <v>10160</v>
      </c>
      <c r="E3958" s="3" t="s">
        <v>10161</v>
      </c>
      <c r="J3958" s="9" t="s">
        <v>12118</v>
      </c>
      <c r="Q3958" s="10"/>
      <c r="T3958" s="9" t="s">
        <v>12131</v>
      </c>
      <c r="U3958" s="9" t="str">
        <f t="shared" ca="1" si="154"/>
        <v/>
      </c>
      <c r="V3958" s="9" t="str">
        <f t="shared" ca="1" si="155"/>
        <v/>
      </c>
      <c r="AC3958" s="9" t="s">
        <v>12134</v>
      </c>
      <c r="AD3958" s="9" t="s">
        <v>19</v>
      </c>
      <c r="AE3958" s="9" t="s">
        <v>12077</v>
      </c>
    </row>
    <row r="3959" spans="1:33" ht="43.5">
      <c r="A3959" s="3" t="s">
        <v>3957</v>
      </c>
      <c r="D3959" s="3" t="s">
        <v>10163</v>
      </c>
      <c r="E3959" s="3" t="s">
        <v>10162</v>
      </c>
      <c r="G3959" t="s">
        <v>19</v>
      </c>
      <c r="J3959" s="9" t="s">
        <v>25</v>
      </c>
      <c r="L3959" s="9">
        <v>1</v>
      </c>
      <c r="M3959" s="9">
        <v>7</v>
      </c>
      <c r="N3959" s="9" t="s">
        <v>12125</v>
      </c>
      <c r="O3959" s="9" t="s">
        <v>12073</v>
      </c>
      <c r="P3959" s="9" t="s">
        <v>12149</v>
      </c>
      <c r="Q3959" s="10" t="s">
        <v>12143</v>
      </c>
      <c r="S3959" s="9">
        <v>43</v>
      </c>
      <c r="U3959" s="9" t="str">
        <f t="shared" ca="1" si="154"/>
        <v/>
      </c>
      <c r="V3959" s="9" t="str">
        <f t="shared" ca="1" si="155"/>
        <v/>
      </c>
    </row>
    <row r="3960" spans="1:33" ht="43.5">
      <c r="A3960" s="3" t="s">
        <v>3957</v>
      </c>
      <c r="D3960" s="3" t="s">
        <v>10164</v>
      </c>
      <c r="E3960" s="3" t="s">
        <v>10162</v>
      </c>
      <c r="F3960" t="s">
        <v>12</v>
      </c>
      <c r="G3960" t="s">
        <v>19</v>
      </c>
      <c r="I3960" s="4"/>
      <c r="J3960" s="9" t="s">
        <v>25</v>
      </c>
      <c r="L3960" s="9">
        <v>1</v>
      </c>
      <c r="M3960" s="9">
        <v>1</v>
      </c>
      <c r="N3960" s="9" t="s">
        <v>12087</v>
      </c>
      <c r="O3960" s="9" t="s">
        <v>12079</v>
      </c>
      <c r="Q3960" s="10"/>
      <c r="S3960" s="9">
        <v>5676</v>
      </c>
      <c r="U3960" s="9" t="str">
        <f t="shared" ca="1" si="154"/>
        <v/>
      </c>
      <c r="V3960" s="9" t="str">
        <f t="shared" ca="1" si="155"/>
        <v/>
      </c>
    </row>
    <row r="3961" spans="1:33" ht="43.5">
      <c r="A3961" s="3" t="s">
        <v>3957</v>
      </c>
      <c r="D3961" s="3" t="s">
        <v>10165</v>
      </c>
      <c r="E3961" s="3" t="s">
        <v>10166</v>
      </c>
      <c r="G3961" t="s">
        <v>19</v>
      </c>
      <c r="J3961" s="9" t="s">
        <v>12120</v>
      </c>
      <c r="Q3961" s="10"/>
      <c r="U3961" s="9" t="str">
        <f t="shared" ca="1" si="154"/>
        <v/>
      </c>
      <c r="V3961" s="9" t="str">
        <f t="shared" ca="1" si="155"/>
        <v/>
      </c>
      <c r="AE3961" s="9" t="s">
        <v>12077</v>
      </c>
    </row>
    <row r="3962" spans="1:33" ht="43.5">
      <c r="A3962" s="3" t="s">
        <v>3957</v>
      </c>
      <c r="D3962" s="3" t="s">
        <v>10167</v>
      </c>
      <c r="E3962" s="3" t="s">
        <v>10168</v>
      </c>
      <c r="J3962" s="9" t="s">
        <v>12118</v>
      </c>
      <c r="Q3962" s="10"/>
      <c r="T3962" s="9" t="s">
        <v>12131</v>
      </c>
      <c r="U3962" s="9" t="str">
        <f t="shared" ca="1" si="154"/>
        <v/>
      </c>
      <c r="V3962" s="9" t="str">
        <f t="shared" ca="1" si="155"/>
        <v/>
      </c>
      <c r="AC3962" s="9" t="s">
        <v>12130</v>
      </c>
      <c r="AD3962" s="9" t="s">
        <v>19</v>
      </c>
      <c r="AE3962" s="9" t="s">
        <v>12086</v>
      </c>
    </row>
    <row r="3963" spans="1:33">
      <c r="A3963" s="3" t="s">
        <v>3957</v>
      </c>
      <c r="D3963" s="3" t="s">
        <v>10170</v>
      </c>
      <c r="E3963" s="3" t="s">
        <v>10169</v>
      </c>
      <c r="F3963" t="s">
        <v>11</v>
      </c>
      <c r="G3963" t="s">
        <v>19</v>
      </c>
      <c r="Q3963" s="10"/>
      <c r="U3963" s="9" t="str">
        <f t="shared" ca="1" si="154"/>
        <v/>
      </c>
      <c r="V3963" s="9" t="str">
        <f t="shared" ca="1" si="155"/>
        <v/>
      </c>
    </row>
    <row r="3964" spans="1:33">
      <c r="A3964" s="3" t="s">
        <v>3958</v>
      </c>
      <c r="D3964" s="3" t="s">
        <v>3959</v>
      </c>
      <c r="E3964" s="3" t="s">
        <v>3960</v>
      </c>
      <c r="J3964" s="9" t="s">
        <v>12120</v>
      </c>
      <c r="Q3964" s="10"/>
      <c r="U3964" s="9" t="str">
        <f t="shared" ca="1" si="154"/>
        <v/>
      </c>
      <c r="V3964" s="9" t="str">
        <f t="shared" ca="1" si="155"/>
        <v/>
      </c>
      <c r="AG3964" s="9" t="s">
        <v>19</v>
      </c>
    </row>
    <row r="3965" spans="1:33">
      <c r="A3965" s="3" t="s">
        <v>3961</v>
      </c>
      <c r="D3965" s="3" t="s">
        <v>3962</v>
      </c>
      <c r="E3965" s="3" t="s">
        <v>3963</v>
      </c>
      <c r="J3965" s="9" t="s">
        <v>12118</v>
      </c>
      <c r="Q3965" s="10"/>
      <c r="T3965" s="9" t="s">
        <v>12131</v>
      </c>
      <c r="U3965" s="9" t="str">
        <f t="shared" ca="1" si="154"/>
        <v/>
      </c>
      <c r="V3965" s="9" t="str">
        <f t="shared" ca="1" si="155"/>
        <v/>
      </c>
      <c r="AC3965" s="9" t="s">
        <v>12130</v>
      </c>
      <c r="AD3965" s="9" t="s">
        <v>19</v>
      </c>
    </row>
    <row r="3966" spans="1:33" ht="29">
      <c r="A3966" s="3" t="s">
        <v>3964</v>
      </c>
      <c r="D3966" s="3" t="s">
        <v>10171</v>
      </c>
      <c r="E3966" s="3" t="s">
        <v>10172</v>
      </c>
      <c r="G3966" t="s">
        <v>19</v>
      </c>
      <c r="J3966" s="9" t="s">
        <v>12120</v>
      </c>
      <c r="Q3966" s="10"/>
      <c r="U3966" s="9" t="str">
        <f t="shared" ca="1" si="154"/>
        <v/>
      </c>
      <c r="V3966" s="9" t="str">
        <f t="shared" ca="1" si="155"/>
        <v/>
      </c>
    </row>
    <row r="3967" spans="1:33" ht="29">
      <c r="A3967" s="3" t="s">
        <v>3964</v>
      </c>
      <c r="D3967" s="3" t="s">
        <v>10174</v>
      </c>
      <c r="E3967" s="3" t="s">
        <v>10173</v>
      </c>
      <c r="G3967" t="s">
        <v>19</v>
      </c>
      <c r="J3967" s="9" t="s">
        <v>12120</v>
      </c>
      <c r="Q3967" s="10"/>
      <c r="U3967" s="9" t="str">
        <f t="shared" ca="1" si="154"/>
        <v/>
      </c>
      <c r="V3967" s="9" t="str">
        <f t="shared" ca="1" si="155"/>
        <v/>
      </c>
      <c r="AB3967" s="9" t="s">
        <v>12082</v>
      </c>
      <c r="AD3967" s="9" t="s">
        <v>19</v>
      </c>
    </row>
    <row r="3968" spans="1:33">
      <c r="A3968" s="3" t="s">
        <v>3965</v>
      </c>
      <c r="D3968" s="3" t="s">
        <v>3966</v>
      </c>
      <c r="E3968" s="3" t="s">
        <v>3967</v>
      </c>
      <c r="G3968" t="s">
        <v>21</v>
      </c>
      <c r="I3968" t="s">
        <v>10175</v>
      </c>
      <c r="J3968" s="9" t="s">
        <v>12118</v>
      </c>
      <c r="Q3968" s="10"/>
      <c r="T3968" s="9" t="s">
        <v>12131</v>
      </c>
      <c r="U3968" s="9" t="str">
        <f t="shared" ca="1" si="154"/>
        <v/>
      </c>
      <c r="V3968" s="9" t="str">
        <f t="shared" ca="1" si="155"/>
        <v/>
      </c>
      <c r="AB3968" s="9" t="s">
        <v>12124</v>
      </c>
      <c r="AD3968" s="9" t="s">
        <v>19</v>
      </c>
    </row>
    <row r="3969" spans="1:33">
      <c r="A3969" s="3" t="s">
        <v>3968</v>
      </c>
      <c r="D3969" s="3" t="s">
        <v>3969</v>
      </c>
      <c r="E3969" s="3" t="s">
        <v>870</v>
      </c>
      <c r="J3969" s="9" t="s">
        <v>12118</v>
      </c>
      <c r="Q3969" s="10"/>
      <c r="R3969" s="9" t="s">
        <v>12074</v>
      </c>
      <c r="T3969" s="9" t="s">
        <v>12131</v>
      </c>
      <c r="U3969" s="9" t="str">
        <f t="shared" ca="1" si="154"/>
        <v/>
      </c>
      <c r="V3969" s="9" t="str">
        <f t="shared" ca="1" si="155"/>
        <v/>
      </c>
      <c r="AE3969" s="9" t="s">
        <v>12086</v>
      </c>
    </row>
    <row r="3970" spans="1:33" ht="29">
      <c r="A3970" s="3" t="s">
        <v>3970</v>
      </c>
      <c r="D3970" s="3" t="s">
        <v>10177</v>
      </c>
      <c r="E3970" s="3" t="s">
        <v>10176</v>
      </c>
      <c r="F3970" t="s">
        <v>11</v>
      </c>
      <c r="G3970" t="s">
        <v>19</v>
      </c>
      <c r="Q3970" s="10"/>
      <c r="U3970" s="9" t="str">
        <f t="shared" ca="1" si="154"/>
        <v/>
      </c>
      <c r="V3970" s="9" t="str">
        <f t="shared" ca="1" si="155"/>
        <v/>
      </c>
    </row>
    <row r="3971" spans="1:33">
      <c r="A3971" s="3" t="s">
        <v>3970</v>
      </c>
      <c r="D3971" s="3" t="s">
        <v>3971</v>
      </c>
      <c r="E3971" s="3" t="s">
        <v>3972</v>
      </c>
      <c r="J3971" s="9" t="s">
        <v>12120</v>
      </c>
      <c r="Q3971" s="10"/>
      <c r="U3971" s="9" t="str">
        <f t="shared" ca="1" si="154"/>
        <v/>
      </c>
      <c r="V3971" s="9" t="str">
        <f t="shared" ca="1" si="155"/>
        <v/>
      </c>
      <c r="AG3971" s="9" t="s">
        <v>20</v>
      </c>
    </row>
    <row r="3972" spans="1:33">
      <c r="A3972" s="3" t="s">
        <v>3970</v>
      </c>
      <c r="D3972" s="3" t="s">
        <v>3973</v>
      </c>
      <c r="E3972" s="3" t="s">
        <v>3974</v>
      </c>
      <c r="J3972" s="9" t="s">
        <v>12118</v>
      </c>
      <c r="Q3972" s="10"/>
      <c r="T3972" s="9" t="s">
        <v>12131</v>
      </c>
      <c r="U3972" s="9" t="str">
        <f t="shared" ca="1" si="154"/>
        <v/>
      </c>
      <c r="V3972" s="9" t="str">
        <f t="shared" ca="1" si="155"/>
        <v/>
      </c>
      <c r="AC3972" s="9" t="s">
        <v>12130</v>
      </c>
      <c r="AD3972" s="9" t="s">
        <v>19</v>
      </c>
      <c r="AE3972" s="9" t="s">
        <v>12086</v>
      </c>
    </row>
    <row r="3973" spans="1:33">
      <c r="A3973" s="3" t="s">
        <v>3975</v>
      </c>
      <c r="D3973" s="3" t="s">
        <v>10178</v>
      </c>
      <c r="E3973" s="3" t="s">
        <v>10179</v>
      </c>
      <c r="F3973" t="s">
        <v>11</v>
      </c>
      <c r="G3973" t="s">
        <v>19</v>
      </c>
      <c r="Q3973" s="10"/>
      <c r="U3973" s="9" t="str">
        <f t="shared" ca="1" si="154"/>
        <v/>
      </c>
      <c r="V3973" s="9" t="str">
        <f t="shared" ca="1" si="155"/>
        <v/>
      </c>
    </row>
    <row r="3974" spans="1:33">
      <c r="A3974" s="3" t="s">
        <v>3975</v>
      </c>
      <c r="D3974" s="3" t="s">
        <v>10181</v>
      </c>
      <c r="E3974" s="3" t="s">
        <v>10180</v>
      </c>
      <c r="J3974" s="9" t="s">
        <v>24</v>
      </c>
      <c r="L3974" s="9">
        <v>1</v>
      </c>
      <c r="M3974" s="9">
        <v>2</v>
      </c>
      <c r="N3974" s="9" t="s">
        <v>12094</v>
      </c>
      <c r="O3974" s="9" t="s">
        <v>12119</v>
      </c>
      <c r="Q3974" s="10"/>
      <c r="S3974" s="9">
        <v>1741</v>
      </c>
      <c r="U3974" s="9" t="str">
        <f t="shared" ca="1" si="154"/>
        <v/>
      </c>
      <c r="V3974" s="9" t="str">
        <f t="shared" ca="1" si="155"/>
        <v/>
      </c>
      <c r="AG3974" s="9" t="s">
        <v>19</v>
      </c>
    </row>
    <row r="3975" spans="1:33">
      <c r="A3975" s="3" t="s">
        <v>3975</v>
      </c>
      <c r="D3975" s="3" t="s">
        <v>10183</v>
      </c>
      <c r="E3975" s="3" t="s">
        <v>10182</v>
      </c>
      <c r="G3975" t="s">
        <v>19</v>
      </c>
      <c r="J3975" s="9" t="s">
        <v>24</v>
      </c>
      <c r="L3975" s="9">
        <v>1</v>
      </c>
      <c r="M3975" s="9">
        <v>2</v>
      </c>
      <c r="N3975" s="9" t="s">
        <v>12078</v>
      </c>
      <c r="O3975" s="9" t="s">
        <v>12119</v>
      </c>
      <c r="Q3975" s="10"/>
      <c r="S3975" s="9">
        <v>11843</v>
      </c>
      <c r="U3975" s="9" t="str">
        <f t="shared" ca="1" si="154"/>
        <v/>
      </c>
      <c r="V3975" s="9" t="str">
        <f t="shared" ca="1" si="155"/>
        <v/>
      </c>
    </row>
    <row r="3976" spans="1:33">
      <c r="A3976" s="3" t="s">
        <v>3975</v>
      </c>
      <c r="D3976" s="3" t="s">
        <v>10184</v>
      </c>
      <c r="E3976" s="3" t="s">
        <v>10185</v>
      </c>
      <c r="J3976" s="9" t="s">
        <v>12120</v>
      </c>
      <c r="Q3976" s="10"/>
      <c r="U3976" s="9" t="str">
        <f t="shared" ca="1" si="154"/>
        <v/>
      </c>
      <c r="V3976" s="9" t="str">
        <f t="shared" ca="1" si="155"/>
        <v/>
      </c>
      <c r="AE3976" s="9" t="s">
        <v>12086</v>
      </c>
    </row>
    <row r="3977" spans="1:33">
      <c r="A3977" s="3" t="s">
        <v>3976</v>
      </c>
      <c r="D3977" s="3" t="s">
        <v>3977</v>
      </c>
      <c r="E3977" s="3" t="s">
        <v>3978</v>
      </c>
      <c r="J3977" s="9" t="s">
        <v>12118</v>
      </c>
      <c r="Q3977" s="10"/>
      <c r="T3977" s="9" t="s">
        <v>12131</v>
      </c>
      <c r="U3977" s="9" t="str">
        <f t="shared" ca="1" si="154"/>
        <v/>
      </c>
      <c r="V3977" s="9" t="str">
        <f t="shared" ca="1" si="155"/>
        <v/>
      </c>
      <c r="AC3977" s="9" t="s">
        <v>12134</v>
      </c>
      <c r="AD3977" s="9" t="s">
        <v>19</v>
      </c>
      <c r="AE3977" s="9" t="s">
        <v>12086</v>
      </c>
    </row>
    <row r="3978" spans="1:33">
      <c r="A3978" s="3" t="s">
        <v>3979</v>
      </c>
      <c r="D3978" s="3" t="s">
        <v>10186</v>
      </c>
      <c r="E3978" s="3" t="s">
        <v>10187</v>
      </c>
      <c r="J3978" s="9" t="s">
        <v>12120</v>
      </c>
      <c r="Q3978" s="10"/>
      <c r="U3978" s="9" t="str">
        <f t="shared" ca="1" si="154"/>
        <v/>
      </c>
      <c r="V3978" s="9" t="str">
        <f t="shared" ca="1" si="155"/>
        <v/>
      </c>
      <c r="AC3978" s="9" t="s">
        <v>12134</v>
      </c>
      <c r="AD3978" s="9" t="s">
        <v>19</v>
      </c>
    </row>
    <row r="3979" spans="1:33" ht="29">
      <c r="A3979" s="3" t="s">
        <v>3980</v>
      </c>
      <c r="D3979" s="3" t="s">
        <v>10188</v>
      </c>
      <c r="E3979" s="3" t="s">
        <v>10189</v>
      </c>
      <c r="J3979" s="9" t="s">
        <v>12120</v>
      </c>
      <c r="Q3979" s="10"/>
      <c r="U3979" s="9" t="str">
        <f t="shared" ca="1" si="154"/>
        <v/>
      </c>
      <c r="V3979" s="9" t="str">
        <f t="shared" ca="1" si="155"/>
        <v/>
      </c>
      <c r="AC3979" s="9" t="s">
        <v>12153</v>
      </c>
      <c r="AD3979" s="9" t="s">
        <v>19</v>
      </c>
      <c r="AE3979" s="9" t="s">
        <v>12077</v>
      </c>
    </row>
    <row r="3980" spans="1:33" ht="29">
      <c r="A3980" s="3" t="s">
        <v>3980</v>
      </c>
      <c r="D3980" s="3" t="s">
        <v>10191</v>
      </c>
      <c r="E3980" s="3" t="s">
        <v>10190</v>
      </c>
      <c r="G3980" t="s">
        <v>19</v>
      </c>
      <c r="J3980" s="9" t="s">
        <v>12118</v>
      </c>
      <c r="Q3980" s="10"/>
      <c r="T3980" s="9">
        <f>1966-4</f>
        <v>1962</v>
      </c>
      <c r="U3980" s="9">
        <f t="shared" ref="U3980:U4043" ca="1" si="156">IF(ISNUMBER(T3980),VALUE(MID(_xlfn.FORMULATEXT(T3980),SEARCH("-",_xlfn.FORMULATEXT(T3980))+1,LEN(_xlfn.FORMULATEXT(T3980))-SEARCH("-",_xlfn.FORMULATEXT(T3980)))), "")</f>
        <v>4</v>
      </c>
      <c r="V3980" s="9">
        <f t="shared" ref="V3980:V4043" ca="1" si="157">IF(ISNUMBER(T3980), VALUE(MID(_xlfn.FORMULATEXT(T3980), 2, SEARCH("-", _xlfn.FORMULATEXT(T3980)) - 2)), "")</f>
        <v>1966</v>
      </c>
      <c r="AC3980" s="9" t="s">
        <v>12144</v>
      </c>
      <c r="AD3980" s="9" t="s">
        <v>19</v>
      </c>
    </row>
    <row r="3981" spans="1:33" ht="29">
      <c r="A3981" s="3" t="s">
        <v>3980</v>
      </c>
      <c r="D3981" s="3" t="s">
        <v>10192</v>
      </c>
      <c r="E3981" s="3" t="s">
        <v>10193</v>
      </c>
      <c r="J3981" s="9" t="s">
        <v>12120</v>
      </c>
      <c r="Q3981" s="10"/>
      <c r="U3981" s="9" t="str">
        <f t="shared" ca="1" si="156"/>
        <v/>
      </c>
      <c r="V3981" s="9" t="str">
        <f t="shared" ca="1" si="157"/>
        <v/>
      </c>
      <c r="AB3981" s="9" t="s">
        <v>12082</v>
      </c>
      <c r="AD3981" s="9" t="s">
        <v>19</v>
      </c>
    </row>
    <row r="3982" spans="1:33">
      <c r="A3982" s="3" t="s">
        <v>3981</v>
      </c>
      <c r="D3982" s="3" t="s">
        <v>10195</v>
      </c>
      <c r="E3982" s="3" t="s">
        <v>10194</v>
      </c>
      <c r="G3982" t="s">
        <v>19</v>
      </c>
      <c r="J3982" s="9" t="s">
        <v>24</v>
      </c>
      <c r="L3982" s="9">
        <v>1</v>
      </c>
      <c r="M3982" s="9">
        <v>4</v>
      </c>
      <c r="N3982" s="9" t="s">
        <v>12096</v>
      </c>
      <c r="O3982" s="9" t="s">
        <v>12073</v>
      </c>
      <c r="P3982" s="9" t="s">
        <v>12142</v>
      </c>
      <c r="Q3982" s="10" t="s">
        <v>12160</v>
      </c>
      <c r="S3982" s="9">
        <v>508</v>
      </c>
      <c r="U3982" s="9" t="str">
        <f t="shared" ca="1" si="156"/>
        <v/>
      </c>
      <c r="V3982" s="9" t="str">
        <f t="shared" ca="1" si="157"/>
        <v/>
      </c>
      <c r="AE3982" s="9" t="s">
        <v>12089</v>
      </c>
    </row>
    <row r="3983" spans="1:33">
      <c r="A3983" s="3" t="s">
        <v>3982</v>
      </c>
      <c r="D3983" s="3" t="s">
        <v>3983</v>
      </c>
      <c r="E3983" s="3" t="s">
        <v>3984</v>
      </c>
      <c r="J3983" s="9" t="s">
        <v>12120</v>
      </c>
      <c r="Q3983" s="10"/>
      <c r="U3983" s="9" t="str">
        <f t="shared" ca="1" si="156"/>
        <v/>
      </c>
      <c r="V3983" s="9" t="str">
        <f t="shared" ca="1" si="157"/>
        <v/>
      </c>
      <c r="AE3983" s="9" t="s">
        <v>12077</v>
      </c>
    </row>
    <row r="3984" spans="1:33">
      <c r="A3984" s="3" t="s">
        <v>3982</v>
      </c>
      <c r="D3984" s="3" t="s">
        <v>3985</v>
      </c>
      <c r="E3984" s="3" t="s">
        <v>3986</v>
      </c>
      <c r="J3984" s="9" t="s">
        <v>12120</v>
      </c>
      <c r="Q3984" s="10"/>
      <c r="U3984" s="9" t="str">
        <f t="shared" ca="1" si="156"/>
        <v/>
      </c>
      <c r="V3984" s="9" t="str">
        <f t="shared" ca="1" si="157"/>
        <v/>
      </c>
      <c r="AC3984" s="9" t="s">
        <v>12144</v>
      </c>
      <c r="AD3984" s="9" t="s">
        <v>19</v>
      </c>
    </row>
    <row r="3985" spans="1:33">
      <c r="A3985" s="3" t="s">
        <v>3987</v>
      </c>
      <c r="D3985" s="3" t="s">
        <v>1327</v>
      </c>
      <c r="E3985" s="3" t="s">
        <v>3988</v>
      </c>
      <c r="J3985" s="9" t="s">
        <v>12120</v>
      </c>
      <c r="Q3985" s="10"/>
      <c r="U3985" s="9" t="str">
        <f t="shared" ca="1" si="156"/>
        <v/>
      </c>
      <c r="V3985" s="9" t="str">
        <f t="shared" ca="1" si="157"/>
        <v/>
      </c>
      <c r="AC3985" s="9" t="s">
        <v>12739</v>
      </c>
      <c r="AD3985" s="9" t="s">
        <v>19</v>
      </c>
    </row>
    <row r="3986" spans="1:33">
      <c r="A3986" s="3" t="s">
        <v>3987</v>
      </c>
      <c r="D3986" s="3" t="s">
        <v>3789</v>
      </c>
      <c r="E3986" s="3" t="s">
        <v>3790</v>
      </c>
      <c r="J3986" s="9" t="s">
        <v>12118</v>
      </c>
      <c r="Q3986" s="10"/>
      <c r="T3986" s="9" t="s">
        <v>12131</v>
      </c>
      <c r="U3986" s="9" t="str">
        <f t="shared" ca="1" si="156"/>
        <v/>
      </c>
      <c r="V3986" s="9" t="str">
        <f t="shared" ca="1" si="157"/>
        <v/>
      </c>
      <c r="AE3986" s="9" t="s">
        <v>12077</v>
      </c>
    </row>
    <row r="3987" spans="1:33" ht="29">
      <c r="A3987" s="3" t="s">
        <v>3987</v>
      </c>
      <c r="D3987" s="3" t="s">
        <v>10197</v>
      </c>
      <c r="E3987" s="3" t="s">
        <v>10196</v>
      </c>
      <c r="J3987" s="9" t="s">
        <v>25</v>
      </c>
      <c r="L3987" s="9">
        <v>1</v>
      </c>
      <c r="M3987" s="9">
        <v>2</v>
      </c>
      <c r="N3987" s="9" t="s">
        <v>12078</v>
      </c>
      <c r="O3987" s="9" t="s">
        <v>12119</v>
      </c>
      <c r="Q3987" s="10"/>
      <c r="S3987" s="9">
        <v>11843</v>
      </c>
      <c r="U3987" s="9" t="str">
        <f t="shared" ca="1" si="156"/>
        <v/>
      </c>
      <c r="V3987" s="9" t="str">
        <f t="shared" ca="1" si="157"/>
        <v/>
      </c>
      <c r="AG3987" s="9" t="s">
        <v>19</v>
      </c>
    </row>
    <row r="3988" spans="1:33" ht="29">
      <c r="A3988" s="3" t="s">
        <v>3987</v>
      </c>
      <c r="D3988" s="3" t="s">
        <v>10198</v>
      </c>
      <c r="E3988" s="3" t="s">
        <v>10199</v>
      </c>
      <c r="J3988" s="9" t="s">
        <v>12120</v>
      </c>
      <c r="Q3988" s="10"/>
      <c r="U3988" s="9" t="str">
        <f t="shared" ca="1" si="156"/>
        <v/>
      </c>
      <c r="V3988" s="9" t="str">
        <f t="shared" ca="1" si="157"/>
        <v/>
      </c>
      <c r="AB3988" s="9" t="s">
        <v>12124</v>
      </c>
      <c r="AD3988" s="9" t="s">
        <v>19</v>
      </c>
    </row>
    <row r="3989" spans="1:33">
      <c r="A3989" s="3" t="s">
        <v>3989</v>
      </c>
      <c r="D3989" s="3" t="s">
        <v>10201</v>
      </c>
      <c r="E3989" s="3" t="s">
        <v>10200</v>
      </c>
      <c r="G3989" t="s">
        <v>19</v>
      </c>
      <c r="J3989" s="9" t="s">
        <v>12120</v>
      </c>
      <c r="Q3989" s="10"/>
      <c r="U3989" s="9" t="str">
        <f t="shared" ca="1" si="156"/>
        <v/>
      </c>
      <c r="V3989" s="9" t="str">
        <f t="shared" ca="1" si="157"/>
        <v/>
      </c>
      <c r="AC3989" s="9" t="s">
        <v>12191</v>
      </c>
      <c r="AD3989" s="9" t="s">
        <v>19</v>
      </c>
      <c r="AE3989" s="9" t="s">
        <v>12086</v>
      </c>
    </row>
    <row r="3990" spans="1:33">
      <c r="A3990" s="3" t="s">
        <v>3990</v>
      </c>
      <c r="D3990" s="3" t="s">
        <v>10203</v>
      </c>
      <c r="E3990" s="3" t="s">
        <v>10202</v>
      </c>
      <c r="G3990" t="s">
        <v>21</v>
      </c>
      <c r="I3990" t="s">
        <v>10204</v>
      </c>
      <c r="J3990" s="9" t="s">
        <v>24</v>
      </c>
      <c r="L3990" s="9">
        <v>1</v>
      </c>
      <c r="M3990" s="9">
        <v>3</v>
      </c>
      <c r="N3990" s="9" t="s">
        <v>12078</v>
      </c>
      <c r="O3990" s="9" t="s">
        <v>12073</v>
      </c>
      <c r="P3990" s="9" t="s">
        <v>12149</v>
      </c>
      <c r="Q3990" s="10" t="s">
        <v>12143</v>
      </c>
      <c r="S3990" s="9">
        <v>11843</v>
      </c>
      <c r="U3990" s="9" t="str">
        <f t="shared" ca="1" si="156"/>
        <v/>
      </c>
      <c r="V3990" s="9" t="str">
        <f t="shared" ca="1" si="157"/>
        <v/>
      </c>
    </row>
    <row r="3991" spans="1:33">
      <c r="A3991" s="3" t="s">
        <v>3990</v>
      </c>
      <c r="D3991" s="3" t="s">
        <v>3991</v>
      </c>
      <c r="E3991" s="3" t="s">
        <v>3992</v>
      </c>
      <c r="J3991" s="9" t="s">
        <v>12120</v>
      </c>
      <c r="Q3991" s="10"/>
      <c r="U3991" s="9" t="str">
        <f t="shared" ca="1" si="156"/>
        <v/>
      </c>
      <c r="V3991" s="9" t="str">
        <f t="shared" ca="1" si="157"/>
        <v/>
      </c>
      <c r="AC3991" s="9" t="s">
        <v>12740</v>
      </c>
      <c r="AD3991" s="9" t="s">
        <v>19</v>
      </c>
    </row>
    <row r="3992" spans="1:33">
      <c r="A3992" s="3" t="s">
        <v>3990</v>
      </c>
      <c r="D3992" s="3" t="s">
        <v>3993</v>
      </c>
      <c r="E3992" s="3" t="s">
        <v>3994</v>
      </c>
      <c r="J3992" s="9" t="s">
        <v>12120</v>
      </c>
      <c r="Q3992" s="10"/>
      <c r="U3992" s="9" t="str">
        <f t="shared" ca="1" si="156"/>
        <v/>
      </c>
      <c r="V3992" s="9" t="str">
        <f t="shared" ca="1" si="157"/>
        <v/>
      </c>
      <c r="AC3992" s="9" t="s">
        <v>12134</v>
      </c>
      <c r="AD3992" s="9" t="s">
        <v>19</v>
      </c>
    </row>
    <row r="3993" spans="1:33">
      <c r="A3993" s="3" t="s">
        <v>3995</v>
      </c>
      <c r="D3993" s="3" t="s">
        <v>8383</v>
      </c>
      <c r="E3993" s="3" t="s">
        <v>10205</v>
      </c>
      <c r="G3993" t="s">
        <v>19</v>
      </c>
      <c r="J3993" s="9" t="s">
        <v>24</v>
      </c>
      <c r="L3993" s="9">
        <v>1</v>
      </c>
      <c r="M3993" s="9">
        <v>3</v>
      </c>
      <c r="N3993" s="9" t="s">
        <v>12087</v>
      </c>
      <c r="O3993" s="9" t="s">
        <v>12079</v>
      </c>
      <c r="Q3993" s="10"/>
      <c r="S3993" s="9">
        <v>5676</v>
      </c>
      <c r="U3993" s="9" t="str">
        <f t="shared" ca="1" si="156"/>
        <v/>
      </c>
      <c r="V3993" s="9" t="str">
        <f t="shared" ca="1" si="157"/>
        <v/>
      </c>
    </row>
    <row r="3994" spans="1:33">
      <c r="A3994" s="3" t="s">
        <v>3995</v>
      </c>
      <c r="D3994" s="3" t="s">
        <v>10207</v>
      </c>
      <c r="E3994" s="3" t="s">
        <v>10206</v>
      </c>
      <c r="G3994" t="s">
        <v>19</v>
      </c>
      <c r="J3994" s="9" t="s">
        <v>12118</v>
      </c>
      <c r="Q3994" s="10"/>
      <c r="T3994" s="9">
        <f>0-235</f>
        <v>-235</v>
      </c>
      <c r="U3994" s="9">
        <f t="shared" ca="1" si="156"/>
        <v>235</v>
      </c>
      <c r="V3994" s="9">
        <f t="shared" ca="1" si="157"/>
        <v>0</v>
      </c>
    </row>
    <row r="3995" spans="1:33" ht="29">
      <c r="A3995" s="3" t="s">
        <v>3995</v>
      </c>
      <c r="D3995" s="3" t="s">
        <v>10208</v>
      </c>
      <c r="E3995" s="3" t="s">
        <v>10209</v>
      </c>
      <c r="J3995" s="9" t="s">
        <v>12118</v>
      </c>
      <c r="Q3995" s="10"/>
      <c r="T3995" s="9">
        <f>114-444</f>
        <v>-330</v>
      </c>
      <c r="U3995" s="9">
        <f t="shared" ca="1" si="156"/>
        <v>444</v>
      </c>
      <c r="V3995" s="9">
        <f t="shared" ca="1" si="157"/>
        <v>114</v>
      </c>
      <c r="AG3995" s="9" t="s">
        <v>19</v>
      </c>
    </row>
    <row r="3996" spans="1:33">
      <c r="A3996" s="3" t="s">
        <v>3995</v>
      </c>
      <c r="D3996" s="3" t="s">
        <v>10210</v>
      </c>
      <c r="E3996" s="3" t="s">
        <v>10211</v>
      </c>
      <c r="J3996" s="9" t="s">
        <v>12120</v>
      </c>
      <c r="Q3996" s="10"/>
      <c r="U3996" s="9" t="str">
        <f t="shared" ca="1" si="156"/>
        <v/>
      </c>
      <c r="V3996" s="9" t="str">
        <f t="shared" ca="1" si="157"/>
        <v/>
      </c>
      <c r="AC3996" s="9" t="s">
        <v>12130</v>
      </c>
      <c r="AD3996" s="9" t="s">
        <v>19</v>
      </c>
    </row>
    <row r="3997" spans="1:33" ht="29">
      <c r="A3997" s="3" t="s">
        <v>3996</v>
      </c>
      <c r="D3997" s="3" t="s">
        <v>12523</v>
      </c>
      <c r="E3997" s="3" t="s">
        <v>10212</v>
      </c>
      <c r="J3997" s="9" t="s">
        <v>12118</v>
      </c>
      <c r="Q3997" s="10"/>
      <c r="T3997" s="9">
        <f>0-24</f>
        <v>-24</v>
      </c>
      <c r="U3997" s="9">
        <f t="shared" ca="1" si="156"/>
        <v>24</v>
      </c>
      <c r="V3997" s="9">
        <f t="shared" ca="1" si="157"/>
        <v>0</v>
      </c>
      <c r="AG3997" s="9" t="s">
        <v>20</v>
      </c>
    </row>
    <row r="3998" spans="1:33">
      <c r="A3998" s="3" t="s">
        <v>3997</v>
      </c>
      <c r="D3998" s="3" t="s">
        <v>10214</v>
      </c>
      <c r="E3998" s="3" t="s">
        <v>10213</v>
      </c>
      <c r="J3998" s="9" t="s">
        <v>12120</v>
      </c>
      <c r="Q3998" s="10"/>
      <c r="U3998" s="9" t="str">
        <f t="shared" ca="1" si="156"/>
        <v/>
      </c>
      <c r="V3998" s="9" t="str">
        <f t="shared" ca="1" si="157"/>
        <v/>
      </c>
      <c r="AC3998" s="9" t="s">
        <v>12144</v>
      </c>
      <c r="AD3998" s="9" t="s">
        <v>19</v>
      </c>
      <c r="AE3998" s="9" t="s">
        <v>12086</v>
      </c>
    </row>
    <row r="3999" spans="1:33">
      <c r="A3999" s="3" t="s">
        <v>3998</v>
      </c>
      <c r="D3999" s="3" t="s">
        <v>3999</v>
      </c>
      <c r="E3999" s="3" t="s">
        <v>10215</v>
      </c>
      <c r="F3999" t="s">
        <v>11</v>
      </c>
      <c r="Q3999" s="10"/>
      <c r="U3999" s="9" t="str">
        <f t="shared" ca="1" si="156"/>
        <v/>
      </c>
      <c r="V3999" s="9" t="str">
        <f t="shared" ca="1" si="157"/>
        <v/>
      </c>
    </row>
    <row r="4000" spans="1:33">
      <c r="A4000" s="3" t="s">
        <v>3998</v>
      </c>
      <c r="D4000" s="3" t="s">
        <v>10217</v>
      </c>
      <c r="E4000" s="3" t="s">
        <v>10216</v>
      </c>
      <c r="J4000" s="9" t="s">
        <v>12120</v>
      </c>
      <c r="Q4000" s="10"/>
      <c r="U4000" s="9" t="str">
        <f t="shared" ca="1" si="156"/>
        <v/>
      </c>
      <c r="V4000" s="9" t="str">
        <f t="shared" ca="1" si="157"/>
        <v/>
      </c>
      <c r="AB4000" s="9" t="s">
        <v>12082</v>
      </c>
      <c r="AD4000" s="9" t="s">
        <v>19</v>
      </c>
    </row>
    <row r="4001" spans="1:33" ht="29">
      <c r="A4001" s="3" t="s">
        <v>4000</v>
      </c>
      <c r="D4001" s="3" t="s">
        <v>10218</v>
      </c>
      <c r="E4001" s="3" t="s">
        <v>10219</v>
      </c>
      <c r="J4001" s="9" t="s">
        <v>12120</v>
      </c>
      <c r="Q4001" s="10"/>
      <c r="U4001" s="9" t="str">
        <f t="shared" ca="1" si="156"/>
        <v/>
      </c>
      <c r="V4001" s="9" t="str">
        <f t="shared" ca="1" si="157"/>
        <v/>
      </c>
      <c r="AC4001" s="9" t="s">
        <v>12153</v>
      </c>
      <c r="AD4001" s="9" t="s">
        <v>19</v>
      </c>
      <c r="AE4001" s="9" t="s">
        <v>12077</v>
      </c>
    </row>
    <row r="4002" spans="1:33" ht="29">
      <c r="A4002" s="3" t="s">
        <v>4000</v>
      </c>
      <c r="D4002" s="3" t="s">
        <v>10220</v>
      </c>
      <c r="E4002" s="3" t="s">
        <v>10221</v>
      </c>
      <c r="J4002" s="9" t="s">
        <v>12120</v>
      </c>
      <c r="Q4002" s="10"/>
      <c r="U4002" s="9" t="str">
        <f t="shared" ca="1" si="156"/>
        <v/>
      </c>
      <c r="V4002" s="9" t="str">
        <f t="shared" ca="1" si="157"/>
        <v/>
      </c>
      <c r="AC4002" s="9" t="s">
        <v>12166</v>
      </c>
      <c r="AD4002" s="9" t="s">
        <v>19</v>
      </c>
    </row>
    <row r="4003" spans="1:33">
      <c r="A4003" s="3" t="s">
        <v>4001</v>
      </c>
      <c r="D4003" s="3" t="s">
        <v>10222</v>
      </c>
      <c r="E4003" s="3" t="s">
        <v>10223</v>
      </c>
      <c r="J4003" s="9" t="s">
        <v>12120</v>
      </c>
      <c r="Q4003" s="10"/>
      <c r="U4003" s="9" t="str">
        <f t="shared" ca="1" si="156"/>
        <v/>
      </c>
      <c r="V4003" s="9" t="str">
        <f t="shared" ca="1" si="157"/>
        <v/>
      </c>
      <c r="AB4003" s="9" t="s">
        <v>12738</v>
      </c>
      <c r="AD4003" s="9" t="s">
        <v>19</v>
      </c>
    </row>
    <row r="4004" spans="1:33" ht="29">
      <c r="A4004" s="3" t="s">
        <v>4001</v>
      </c>
      <c r="D4004" s="3" t="s">
        <v>10225</v>
      </c>
      <c r="E4004" s="3" t="s">
        <v>10224</v>
      </c>
      <c r="H4004" t="s">
        <v>19</v>
      </c>
      <c r="J4004" s="9" t="s">
        <v>12118</v>
      </c>
      <c r="Q4004" s="10"/>
      <c r="T4004" s="9">
        <f>1966-5676</f>
        <v>-3710</v>
      </c>
      <c r="U4004" s="9">
        <f t="shared" ca="1" si="156"/>
        <v>5676</v>
      </c>
      <c r="V4004" s="9">
        <f t="shared" ca="1" si="157"/>
        <v>1966</v>
      </c>
      <c r="AG4004" s="9" t="s">
        <v>19</v>
      </c>
    </row>
    <row r="4005" spans="1:33">
      <c r="A4005" s="3" t="s">
        <v>4002</v>
      </c>
      <c r="D4005" s="3" t="s">
        <v>10227</v>
      </c>
      <c r="E4005" s="3" t="s">
        <v>10226</v>
      </c>
      <c r="J4005" s="9" t="s">
        <v>24</v>
      </c>
      <c r="L4005" s="9">
        <v>1</v>
      </c>
      <c r="M4005" s="9">
        <v>3</v>
      </c>
      <c r="N4005" s="9" t="s">
        <v>12123</v>
      </c>
      <c r="O4005" s="9" t="s">
        <v>12079</v>
      </c>
      <c r="Q4005" s="10"/>
      <c r="S4005" s="9">
        <v>92</v>
      </c>
      <c r="U4005" s="9" t="str">
        <f t="shared" ca="1" si="156"/>
        <v/>
      </c>
      <c r="V4005" s="9" t="str">
        <f t="shared" ca="1" si="157"/>
        <v/>
      </c>
      <c r="AG4005" s="9" t="s">
        <v>19</v>
      </c>
    </row>
    <row r="4006" spans="1:33" ht="29">
      <c r="A4006" s="3" t="s">
        <v>4002</v>
      </c>
      <c r="D4006" s="3" t="s">
        <v>10229</v>
      </c>
      <c r="E4006" s="3" t="s">
        <v>10228</v>
      </c>
      <c r="F4006" t="s">
        <v>11</v>
      </c>
      <c r="Q4006" s="10"/>
      <c r="U4006" s="9" t="str">
        <f t="shared" ca="1" si="156"/>
        <v/>
      </c>
      <c r="V4006" s="9" t="str">
        <f t="shared" ca="1" si="157"/>
        <v/>
      </c>
    </row>
    <row r="4007" spans="1:33">
      <c r="A4007" s="3" t="s">
        <v>4002</v>
      </c>
      <c r="D4007" s="3" t="s">
        <v>4003</v>
      </c>
      <c r="E4007" s="3" t="s">
        <v>4004</v>
      </c>
      <c r="J4007" s="9" t="s">
        <v>12120</v>
      </c>
      <c r="Q4007" s="10"/>
      <c r="U4007" s="9" t="str">
        <f t="shared" ca="1" si="156"/>
        <v/>
      </c>
      <c r="V4007" s="9" t="str">
        <f t="shared" ca="1" si="157"/>
        <v/>
      </c>
      <c r="AC4007" s="9" t="s">
        <v>12134</v>
      </c>
      <c r="AD4007" s="9" t="s">
        <v>19</v>
      </c>
    </row>
    <row r="4008" spans="1:33">
      <c r="A4008" s="3" t="s">
        <v>4005</v>
      </c>
      <c r="D4008" s="3" t="s">
        <v>10231</v>
      </c>
      <c r="E4008" s="3" t="s">
        <v>10230</v>
      </c>
      <c r="G4008" t="s">
        <v>19</v>
      </c>
      <c r="J4008" s="9" t="s">
        <v>12120</v>
      </c>
      <c r="Q4008" s="10"/>
      <c r="U4008" s="9" t="str">
        <f t="shared" ca="1" si="156"/>
        <v/>
      </c>
      <c r="V4008" s="9" t="str">
        <f t="shared" ca="1" si="157"/>
        <v/>
      </c>
    </row>
    <row r="4009" spans="1:33" ht="29">
      <c r="A4009" s="3" t="s">
        <v>4006</v>
      </c>
      <c r="D4009" s="3" t="s">
        <v>10233</v>
      </c>
      <c r="E4009" s="3" t="s">
        <v>10232</v>
      </c>
      <c r="J4009" s="9" t="s">
        <v>24</v>
      </c>
      <c r="L4009" s="9">
        <v>1</v>
      </c>
      <c r="M4009" s="9">
        <v>5</v>
      </c>
      <c r="N4009" s="9" t="s">
        <v>12098</v>
      </c>
      <c r="O4009" s="9" t="s">
        <v>12079</v>
      </c>
      <c r="Q4009" s="10"/>
      <c r="S4009" s="9">
        <v>2042</v>
      </c>
      <c r="U4009" s="9" t="str">
        <f t="shared" ca="1" si="156"/>
        <v/>
      </c>
      <c r="V4009" s="9" t="str">
        <f t="shared" ca="1" si="157"/>
        <v/>
      </c>
      <c r="AG4009" s="9" t="s">
        <v>19</v>
      </c>
    </row>
    <row r="4010" spans="1:33">
      <c r="A4010" s="3" t="s">
        <v>4006</v>
      </c>
      <c r="D4010" s="3" t="s">
        <v>10234</v>
      </c>
      <c r="E4010" s="3" t="s">
        <v>10235</v>
      </c>
      <c r="J4010" s="9" t="s">
        <v>12120</v>
      </c>
      <c r="Q4010" s="10"/>
      <c r="U4010" s="9" t="str">
        <f t="shared" ca="1" si="156"/>
        <v/>
      </c>
      <c r="V4010" s="9" t="str">
        <f t="shared" ca="1" si="157"/>
        <v/>
      </c>
      <c r="AC4010" s="9" t="s">
        <v>12134</v>
      </c>
      <c r="AD4010" s="9" t="s">
        <v>19</v>
      </c>
    </row>
    <row r="4011" spans="1:33" ht="29">
      <c r="A4011" s="3" t="s">
        <v>4007</v>
      </c>
      <c r="D4011" s="3" t="s">
        <v>10237</v>
      </c>
      <c r="E4011" s="3" t="s">
        <v>10238</v>
      </c>
      <c r="G4011" t="s">
        <v>20</v>
      </c>
      <c r="J4011" s="9" t="s">
        <v>12120</v>
      </c>
      <c r="Q4011" s="10"/>
      <c r="U4011" s="9" t="str">
        <f t="shared" ca="1" si="156"/>
        <v/>
      </c>
      <c r="V4011" s="9" t="str">
        <f t="shared" ca="1" si="157"/>
        <v/>
      </c>
      <c r="AF4011" s="9" t="s">
        <v>19</v>
      </c>
      <c r="AG4011" s="9" t="s">
        <v>19</v>
      </c>
    </row>
    <row r="4012" spans="1:33" ht="29">
      <c r="A4012" s="3" t="s">
        <v>4007</v>
      </c>
      <c r="D4012" s="3" t="s">
        <v>10236</v>
      </c>
      <c r="E4012" s="3" t="s">
        <v>10239</v>
      </c>
      <c r="G4012" t="s">
        <v>19</v>
      </c>
      <c r="J4012" s="9" t="s">
        <v>24</v>
      </c>
      <c r="L4012" s="9">
        <v>1</v>
      </c>
      <c r="M4012" s="9">
        <v>2</v>
      </c>
      <c r="N4012" s="9" t="s">
        <v>12123</v>
      </c>
      <c r="O4012" s="9" t="s">
        <v>12119</v>
      </c>
      <c r="Q4012" s="10"/>
      <c r="S4012" s="9">
        <v>887</v>
      </c>
      <c r="U4012" s="9" t="str">
        <f t="shared" ca="1" si="156"/>
        <v/>
      </c>
      <c r="V4012" s="9" t="str">
        <f t="shared" ca="1" si="157"/>
        <v/>
      </c>
    </row>
    <row r="4013" spans="1:33" ht="29">
      <c r="A4013" s="3" t="s">
        <v>4007</v>
      </c>
      <c r="D4013" s="3" t="s">
        <v>10242</v>
      </c>
      <c r="E4013" s="3" t="s">
        <v>10241</v>
      </c>
      <c r="J4013" s="9" t="s">
        <v>25</v>
      </c>
      <c r="L4013" s="9">
        <v>1</v>
      </c>
      <c r="M4013" s="9">
        <v>3</v>
      </c>
      <c r="N4013" s="9" t="s">
        <v>12087</v>
      </c>
      <c r="O4013" s="9" t="s">
        <v>12079</v>
      </c>
      <c r="Q4013" s="10"/>
      <c r="S4013" s="9">
        <v>431</v>
      </c>
      <c r="U4013" s="9" t="str">
        <f t="shared" ca="1" si="156"/>
        <v/>
      </c>
      <c r="V4013" s="9" t="str">
        <f t="shared" ca="1" si="157"/>
        <v/>
      </c>
      <c r="AG4013" s="9" t="s">
        <v>20</v>
      </c>
    </row>
    <row r="4014" spans="1:33" ht="29">
      <c r="A4014" s="3" t="s">
        <v>4007</v>
      </c>
      <c r="D4014" s="3" t="s">
        <v>10240</v>
      </c>
      <c r="E4014" s="3" t="s">
        <v>10243</v>
      </c>
      <c r="J4014" s="9" t="s">
        <v>24</v>
      </c>
      <c r="L4014" s="9">
        <v>1</v>
      </c>
      <c r="M4014" s="9">
        <v>3</v>
      </c>
      <c r="N4014" s="9" t="s">
        <v>12087</v>
      </c>
      <c r="O4014" s="9" t="s">
        <v>12079</v>
      </c>
      <c r="Q4014" s="10"/>
      <c r="S4014" s="9">
        <v>309</v>
      </c>
      <c r="U4014" s="9" t="str">
        <f t="shared" ca="1" si="156"/>
        <v/>
      </c>
      <c r="V4014" s="9" t="str">
        <f t="shared" ca="1" si="157"/>
        <v/>
      </c>
      <c r="AG4014" s="9" t="s">
        <v>19</v>
      </c>
    </row>
    <row r="4015" spans="1:33">
      <c r="A4015" s="3" t="s">
        <v>4008</v>
      </c>
      <c r="D4015" s="3" t="s">
        <v>10245</v>
      </c>
      <c r="E4015" s="3" t="s">
        <v>10244</v>
      </c>
      <c r="J4015" s="9" t="s">
        <v>12118</v>
      </c>
      <c r="Q4015" s="10"/>
      <c r="T4015" s="9">
        <f>105-14</f>
        <v>91</v>
      </c>
      <c r="U4015" s="9">
        <f t="shared" ca="1" si="156"/>
        <v>14</v>
      </c>
      <c r="V4015" s="9">
        <f t="shared" ca="1" si="157"/>
        <v>105</v>
      </c>
      <c r="AG4015" s="9" t="s">
        <v>19</v>
      </c>
    </row>
    <row r="4016" spans="1:33">
      <c r="A4016" s="3" t="s">
        <v>4009</v>
      </c>
      <c r="D4016" s="3" t="s">
        <v>10247</v>
      </c>
      <c r="E4016" s="3" t="s">
        <v>10246</v>
      </c>
      <c r="G4016" t="s">
        <v>19</v>
      </c>
      <c r="J4016" s="9" t="s">
        <v>24</v>
      </c>
      <c r="L4016" s="9">
        <v>1</v>
      </c>
      <c r="M4016" s="9">
        <v>3</v>
      </c>
      <c r="N4016" s="9" t="s">
        <v>12087</v>
      </c>
      <c r="O4016" s="9" t="s">
        <v>12079</v>
      </c>
      <c r="Q4016" s="10"/>
      <c r="S4016" s="9">
        <v>5676</v>
      </c>
      <c r="U4016" s="9" t="str">
        <f t="shared" ca="1" si="156"/>
        <v/>
      </c>
      <c r="V4016" s="9" t="str">
        <f t="shared" ca="1" si="157"/>
        <v/>
      </c>
    </row>
    <row r="4017" spans="1:32" ht="29">
      <c r="A4017" s="3" t="s">
        <v>4009</v>
      </c>
      <c r="D4017" s="3" t="s">
        <v>10248</v>
      </c>
      <c r="E4017" s="3" t="s">
        <v>10249</v>
      </c>
      <c r="J4017" s="9" t="s">
        <v>12120</v>
      </c>
      <c r="Q4017" s="10"/>
      <c r="U4017" s="9" t="str">
        <f t="shared" ca="1" si="156"/>
        <v/>
      </c>
      <c r="V4017" s="9" t="str">
        <f t="shared" ca="1" si="157"/>
        <v/>
      </c>
      <c r="AC4017" s="9" t="s">
        <v>12188</v>
      </c>
      <c r="AD4017" s="9" t="s">
        <v>19</v>
      </c>
    </row>
    <row r="4018" spans="1:32" ht="29">
      <c r="A4018" s="3" t="s">
        <v>4009</v>
      </c>
      <c r="D4018" s="3" t="s">
        <v>10250</v>
      </c>
      <c r="E4018" s="3" t="s">
        <v>10251</v>
      </c>
      <c r="G4018" t="s">
        <v>19</v>
      </c>
      <c r="J4018" s="9" t="s">
        <v>12120</v>
      </c>
      <c r="Q4018" s="10"/>
      <c r="U4018" s="9" t="str">
        <f t="shared" ca="1" si="156"/>
        <v/>
      </c>
      <c r="V4018" s="9" t="str">
        <f t="shared" ca="1" si="157"/>
        <v/>
      </c>
      <c r="AB4018" s="9" t="s">
        <v>12738</v>
      </c>
      <c r="AD4018" s="9" t="s">
        <v>19</v>
      </c>
    </row>
    <row r="4019" spans="1:32" ht="87">
      <c r="A4019" s="3" t="s">
        <v>4009</v>
      </c>
      <c r="D4019" s="3" t="s">
        <v>10252</v>
      </c>
      <c r="E4019" s="3" t="s">
        <v>10253</v>
      </c>
      <c r="G4019" t="s">
        <v>19</v>
      </c>
      <c r="J4019" s="9" t="s">
        <v>12118</v>
      </c>
      <c r="Q4019" s="10"/>
      <c r="T4019" s="9">
        <f>930-202</f>
        <v>728</v>
      </c>
      <c r="U4019" s="9">
        <f t="shared" ca="1" si="156"/>
        <v>202</v>
      </c>
      <c r="V4019" s="9">
        <f t="shared" ca="1" si="157"/>
        <v>930</v>
      </c>
    </row>
    <row r="4020" spans="1:32" ht="87">
      <c r="A4020" s="3" t="s">
        <v>4010</v>
      </c>
      <c r="D4020" s="3" t="s">
        <v>10254</v>
      </c>
      <c r="E4020" s="3" t="s">
        <v>10255</v>
      </c>
      <c r="G4020" t="s">
        <v>20</v>
      </c>
      <c r="I4020" t="s">
        <v>10256</v>
      </c>
      <c r="Q4020" s="10"/>
      <c r="U4020" s="9" t="str">
        <f t="shared" ca="1" si="156"/>
        <v/>
      </c>
      <c r="V4020" s="9" t="str">
        <f t="shared" ca="1" si="157"/>
        <v/>
      </c>
    </row>
    <row r="4021" spans="1:32">
      <c r="A4021" s="3" t="s">
        <v>4011</v>
      </c>
      <c r="D4021" s="3" t="s">
        <v>10258</v>
      </c>
      <c r="E4021" s="3" t="s">
        <v>10257</v>
      </c>
      <c r="G4021" t="s">
        <v>19</v>
      </c>
      <c r="J4021" s="9" t="s">
        <v>12118</v>
      </c>
      <c r="Q4021" s="10"/>
      <c r="T4021" s="9">
        <f>34-46</f>
        <v>-12</v>
      </c>
      <c r="U4021" s="9">
        <f t="shared" ca="1" si="156"/>
        <v>46</v>
      </c>
      <c r="V4021" s="9">
        <f t="shared" ca="1" si="157"/>
        <v>34</v>
      </c>
    </row>
    <row r="4022" spans="1:32" ht="29">
      <c r="A4022" s="3" t="s">
        <v>4011</v>
      </c>
      <c r="D4022" s="3" t="s">
        <v>10259</v>
      </c>
      <c r="E4022" s="3" t="s">
        <v>10260</v>
      </c>
      <c r="G4022" t="s">
        <v>19</v>
      </c>
      <c r="J4022" s="9" t="s">
        <v>24</v>
      </c>
      <c r="L4022" s="9">
        <v>1</v>
      </c>
      <c r="M4022" s="9">
        <v>3</v>
      </c>
      <c r="N4022" s="9" t="s">
        <v>12078</v>
      </c>
      <c r="O4022" s="9" t="s">
        <v>12073</v>
      </c>
      <c r="P4022" s="9" t="s">
        <v>12149</v>
      </c>
      <c r="Q4022" s="10" t="s">
        <v>12143</v>
      </c>
      <c r="S4022" s="9">
        <v>11843</v>
      </c>
      <c r="U4022" s="9" t="str">
        <f t="shared" ca="1" si="156"/>
        <v/>
      </c>
      <c r="V4022" s="9" t="str">
        <f t="shared" ca="1" si="157"/>
        <v/>
      </c>
    </row>
    <row r="4023" spans="1:32" ht="29">
      <c r="A4023" s="3" t="s">
        <v>4011</v>
      </c>
      <c r="D4023" s="3" t="s">
        <v>10261</v>
      </c>
      <c r="E4023" s="3" t="s">
        <v>10262</v>
      </c>
      <c r="G4023" t="s">
        <v>20</v>
      </c>
      <c r="I4023" t="s">
        <v>10263</v>
      </c>
      <c r="Q4023" s="10"/>
      <c r="U4023" s="9" t="str">
        <f t="shared" ca="1" si="156"/>
        <v/>
      </c>
      <c r="V4023" s="9" t="str">
        <f t="shared" ca="1" si="157"/>
        <v/>
      </c>
    </row>
    <row r="4024" spans="1:32" ht="29">
      <c r="A4024" s="3" t="s">
        <v>4012</v>
      </c>
      <c r="D4024" s="3" t="s">
        <v>10264</v>
      </c>
      <c r="E4024" s="3" t="s">
        <v>10265</v>
      </c>
      <c r="G4024" t="s">
        <v>19</v>
      </c>
      <c r="J4024" s="9" t="s">
        <v>24</v>
      </c>
      <c r="L4024" s="9">
        <v>1</v>
      </c>
      <c r="M4024" s="9">
        <v>5</v>
      </c>
      <c r="N4024" s="9" t="s">
        <v>12094</v>
      </c>
      <c r="O4024" s="9" t="s">
        <v>12073</v>
      </c>
      <c r="P4024" s="9" t="s">
        <v>12149</v>
      </c>
      <c r="Q4024" s="10" t="s">
        <v>12143</v>
      </c>
      <c r="S4024" s="9">
        <v>4240</v>
      </c>
      <c r="U4024" s="9" t="str">
        <f t="shared" ca="1" si="156"/>
        <v/>
      </c>
      <c r="V4024" s="9" t="str">
        <f t="shared" ca="1" si="157"/>
        <v/>
      </c>
    </row>
    <row r="4025" spans="1:32" ht="29">
      <c r="A4025" s="3" t="s">
        <v>4012</v>
      </c>
      <c r="D4025" s="3" t="s">
        <v>10266</v>
      </c>
      <c r="E4025" s="3" t="s">
        <v>10267</v>
      </c>
      <c r="G4025" t="s">
        <v>20</v>
      </c>
      <c r="I4025" s="4"/>
      <c r="Q4025" s="10"/>
      <c r="U4025" s="9" t="str">
        <f t="shared" ca="1" si="156"/>
        <v/>
      </c>
      <c r="V4025" s="9" t="str">
        <f t="shared" ca="1" si="157"/>
        <v/>
      </c>
      <c r="AF4025" s="9" t="s">
        <v>19</v>
      </c>
    </row>
    <row r="4026" spans="1:32" ht="29">
      <c r="A4026" s="3" t="s">
        <v>4012</v>
      </c>
      <c r="D4026" s="3" t="s">
        <v>10268</v>
      </c>
      <c r="E4026" s="3" t="s">
        <v>10269</v>
      </c>
      <c r="G4026" t="s">
        <v>19</v>
      </c>
      <c r="J4026" s="9" t="s">
        <v>24</v>
      </c>
      <c r="L4026" s="9">
        <v>1</v>
      </c>
      <c r="M4026" s="9">
        <v>2</v>
      </c>
      <c r="N4026" s="9" t="s">
        <v>12087</v>
      </c>
      <c r="O4026" s="9" t="s">
        <v>12119</v>
      </c>
      <c r="Q4026" s="10"/>
      <c r="S4026" s="9">
        <v>1966</v>
      </c>
      <c r="U4026" s="9" t="str">
        <f t="shared" ca="1" si="156"/>
        <v/>
      </c>
      <c r="V4026" s="9" t="str">
        <f t="shared" ca="1" si="157"/>
        <v/>
      </c>
    </row>
    <row r="4027" spans="1:32" ht="29">
      <c r="A4027" s="3" t="s">
        <v>4012</v>
      </c>
      <c r="D4027" s="3" t="s">
        <v>10270</v>
      </c>
      <c r="E4027" s="3" t="s">
        <v>10271</v>
      </c>
      <c r="G4027" t="s">
        <v>19</v>
      </c>
      <c r="J4027" s="9" t="s">
        <v>12120</v>
      </c>
      <c r="Q4027" s="10"/>
      <c r="U4027" s="9" t="str">
        <f t="shared" ca="1" si="156"/>
        <v/>
      </c>
      <c r="V4027" s="9" t="str">
        <f t="shared" ca="1" si="157"/>
        <v/>
      </c>
    </row>
    <row r="4028" spans="1:32">
      <c r="A4028" s="3" t="s">
        <v>4012</v>
      </c>
      <c r="D4028" s="3" t="s">
        <v>4013</v>
      </c>
      <c r="E4028" s="3" t="s">
        <v>4014</v>
      </c>
      <c r="J4028" s="9" t="s">
        <v>12118</v>
      </c>
      <c r="Q4028" s="10"/>
      <c r="T4028" s="9" t="s">
        <v>12131</v>
      </c>
      <c r="U4028" s="9" t="str">
        <f t="shared" ca="1" si="156"/>
        <v/>
      </c>
      <c r="V4028" s="9" t="str">
        <f t="shared" ca="1" si="157"/>
        <v/>
      </c>
      <c r="AC4028" s="9" t="s">
        <v>12134</v>
      </c>
      <c r="AD4028" s="9" t="s">
        <v>19</v>
      </c>
      <c r="AE4028" s="9" t="s">
        <v>12086</v>
      </c>
    </row>
    <row r="4029" spans="1:32">
      <c r="A4029" s="3" t="s">
        <v>4015</v>
      </c>
      <c r="D4029" s="3" t="s">
        <v>3840</v>
      </c>
      <c r="E4029" s="3" t="s">
        <v>3841</v>
      </c>
      <c r="J4029" s="9" t="s">
        <v>12118</v>
      </c>
      <c r="Q4029" s="10"/>
      <c r="T4029" s="9" t="s">
        <v>12131</v>
      </c>
      <c r="U4029" s="9" t="str">
        <f t="shared" ca="1" si="156"/>
        <v/>
      </c>
      <c r="V4029" s="9" t="str">
        <f t="shared" ca="1" si="157"/>
        <v/>
      </c>
      <c r="AB4029" s="9" t="s">
        <v>12124</v>
      </c>
      <c r="AC4029" s="9" t="s">
        <v>12130</v>
      </c>
      <c r="AD4029" s="9" t="s">
        <v>19</v>
      </c>
    </row>
    <row r="4030" spans="1:32">
      <c r="A4030" s="3" t="s">
        <v>4015</v>
      </c>
      <c r="D4030" s="3" t="s">
        <v>10273</v>
      </c>
      <c r="E4030" s="3" t="s">
        <v>10272</v>
      </c>
      <c r="G4030" t="s">
        <v>19</v>
      </c>
      <c r="J4030" s="9" t="s">
        <v>12120</v>
      </c>
      <c r="Q4030" s="10"/>
      <c r="U4030" s="9" t="str">
        <f t="shared" ca="1" si="156"/>
        <v/>
      </c>
      <c r="V4030" s="9" t="str">
        <f t="shared" ca="1" si="157"/>
        <v/>
      </c>
    </row>
    <row r="4031" spans="1:32">
      <c r="A4031" s="3" t="s">
        <v>4015</v>
      </c>
      <c r="D4031" s="3" t="s">
        <v>10274</v>
      </c>
      <c r="E4031" s="3" t="s">
        <v>10275</v>
      </c>
      <c r="J4031" s="9" t="s">
        <v>12120</v>
      </c>
      <c r="Q4031" s="10"/>
      <c r="U4031" s="9" t="str">
        <f t="shared" ca="1" si="156"/>
        <v/>
      </c>
      <c r="V4031" s="9" t="str">
        <f t="shared" ca="1" si="157"/>
        <v/>
      </c>
      <c r="AC4031" s="9" t="s">
        <v>12188</v>
      </c>
      <c r="AD4031" s="9" t="s">
        <v>19</v>
      </c>
      <c r="AE4031" s="9" t="s">
        <v>12089</v>
      </c>
    </row>
    <row r="4032" spans="1:32" ht="29">
      <c r="A4032" s="3" t="s">
        <v>4016</v>
      </c>
      <c r="D4032" s="3" t="s">
        <v>10277</v>
      </c>
      <c r="E4032" s="3" t="s">
        <v>10276</v>
      </c>
      <c r="G4032" t="s">
        <v>19</v>
      </c>
      <c r="J4032" s="9" t="s">
        <v>12120</v>
      </c>
      <c r="Q4032" s="10"/>
      <c r="U4032" s="9" t="str">
        <f t="shared" ca="1" si="156"/>
        <v/>
      </c>
      <c r="V4032" s="9" t="str">
        <f t="shared" ca="1" si="157"/>
        <v/>
      </c>
    </row>
    <row r="4033" spans="1:33" ht="43.5">
      <c r="A4033" s="3" t="s">
        <v>4016</v>
      </c>
      <c r="D4033" s="3" t="s">
        <v>10278</v>
      </c>
      <c r="E4033" s="3" t="s">
        <v>10279</v>
      </c>
      <c r="J4033" s="9" t="s">
        <v>12118</v>
      </c>
      <c r="Q4033" s="10"/>
      <c r="T4033" s="9">
        <f>19-207</f>
        <v>-188</v>
      </c>
      <c r="U4033" s="9">
        <f t="shared" ca="1" si="156"/>
        <v>207</v>
      </c>
      <c r="V4033" s="9">
        <f t="shared" ca="1" si="157"/>
        <v>19</v>
      </c>
      <c r="AG4033" s="9" t="s">
        <v>19</v>
      </c>
    </row>
    <row r="4034" spans="1:33" ht="43.5">
      <c r="A4034" s="3" t="s">
        <v>4016</v>
      </c>
      <c r="D4034" s="3" t="s">
        <v>10280</v>
      </c>
      <c r="E4034" s="3" t="s">
        <v>10281</v>
      </c>
      <c r="J4034" s="9" t="s">
        <v>12118</v>
      </c>
      <c r="Q4034" s="10"/>
      <c r="T4034" s="9">
        <f>207-780</f>
        <v>-573</v>
      </c>
      <c r="U4034" s="9">
        <f t="shared" ca="1" si="156"/>
        <v>780</v>
      </c>
      <c r="V4034" s="9">
        <f t="shared" ca="1" si="157"/>
        <v>207</v>
      </c>
      <c r="AC4034" s="9" t="s">
        <v>12166</v>
      </c>
      <c r="AD4034" s="9" t="s">
        <v>19</v>
      </c>
    </row>
    <row r="4035" spans="1:33" ht="43.5">
      <c r="A4035" s="3" t="s">
        <v>4016</v>
      </c>
      <c r="D4035" s="3" t="s">
        <v>10282</v>
      </c>
      <c r="E4035" s="3" t="s">
        <v>10283</v>
      </c>
      <c r="G4035" t="s">
        <v>19</v>
      </c>
      <c r="J4035" s="9" t="s">
        <v>12118</v>
      </c>
      <c r="Q4035" s="10"/>
      <c r="T4035" s="9">
        <f>1-22</f>
        <v>-21</v>
      </c>
      <c r="U4035" s="9">
        <f t="shared" ca="1" si="156"/>
        <v>22</v>
      </c>
      <c r="V4035" s="9">
        <f t="shared" ca="1" si="157"/>
        <v>1</v>
      </c>
    </row>
    <row r="4036" spans="1:33">
      <c r="A4036" s="3" t="s">
        <v>4016</v>
      </c>
      <c r="D4036" s="3" t="s">
        <v>4017</v>
      </c>
      <c r="E4036" s="3" t="s">
        <v>4018</v>
      </c>
      <c r="J4036" s="9" t="s">
        <v>12120</v>
      </c>
      <c r="Q4036" s="10"/>
      <c r="U4036" s="9" t="str">
        <f t="shared" ca="1" si="156"/>
        <v/>
      </c>
      <c r="V4036" s="9" t="str">
        <f t="shared" ca="1" si="157"/>
        <v/>
      </c>
      <c r="AC4036" s="9" t="s">
        <v>12134</v>
      </c>
      <c r="AD4036" s="9" t="s">
        <v>19</v>
      </c>
    </row>
    <row r="4037" spans="1:33" ht="29">
      <c r="A4037" s="3" t="s">
        <v>4016</v>
      </c>
      <c r="D4037" s="3" t="s">
        <v>10285</v>
      </c>
      <c r="E4037" s="3" t="s">
        <v>10284</v>
      </c>
      <c r="G4037" t="s">
        <v>19</v>
      </c>
      <c r="J4037" s="9" t="s">
        <v>24</v>
      </c>
      <c r="L4037" s="9">
        <v>1</v>
      </c>
      <c r="M4037" s="9">
        <v>10</v>
      </c>
      <c r="N4037" s="9" t="s">
        <v>12125</v>
      </c>
      <c r="O4037" s="9" t="s">
        <v>12079</v>
      </c>
      <c r="Q4037" s="10"/>
      <c r="S4037" s="9">
        <v>22</v>
      </c>
      <c r="U4037" s="9" t="str">
        <f t="shared" ca="1" si="156"/>
        <v/>
      </c>
      <c r="V4037" s="9" t="str">
        <f t="shared" ca="1" si="157"/>
        <v/>
      </c>
    </row>
    <row r="4038" spans="1:33" ht="29">
      <c r="A4038" s="3" t="s">
        <v>4016</v>
      </c>
      <c r="D4038" s="3" t="s">
        <v>10286</v>
      </c>
      <c r="E4038" s="3" t="s">
        <v>10287</v>
      </c>
      <c r="J4038" s="9" t="s">
        <v>12118</v>
      </c>
      <c r="Q4038" s="10"/>
      <c r="T4038" s="9">
        <f>156-5</f>
        <v>151</v>
      </c>
      <c r="U4038" s="9">
        <f t="shared" ca="1" si="156"/>
        <v>5</v>
      </c>
      <c r="V4038" s="9">
        <f t="shared" ca="1" si="157"/>
        <v>156</v>
      </c>
      <c r="AG4038" s="9" t="s">
        <v>19</v>
      </c>
    </row>
    <row r="4039" spans="1:33">
      <c r="A4039" s="3" t="s">
        <v>4019</v>
      </c>
      <c r="D4039" s="3" t="s">
        <v>4017</v>
      </c>
      <c r="E4039" s="3" t="s">
        <v>4018</v>
      </c>
      <c r="J4039" s="9" t="s">
        <v>12120</v>
      </c>
      <c r="Q4039" s="10"/>
      <c r="U4039" s="9" t="str">
        <f t="shared" ca="1" si="156"/>
        <v/>
      </c>
      <c r="V4039" s="9" t="str">
        <f t="shared" ca="1" si="157"/>
        <v/>
      </c>
      <c r="AC4039" s="9" t="s">
        <v>12134</v>
      </c>
      <c r="AD4039" s="9" t="s">
        <v>19</v>
      </c>
    </row>
    <row r="4040" spans="1:33">
      <c r="A4040" s="3" t="s">
        <v>4020</v>
      </c>
      <c r="D4040" s="3" t="s">
        <v>10288</v>
      </c>
      <c r="E4040" s="3" t="s">
        <v>10288</v>
      </c>
      <c r="G4040" t="s">
        <v>20</v>
      </c>
      <c r="I4040" t="s">
        <v>10289</v>
      </c>
      <c r="Q4040" s="10"/>
      <c r="U4040" s="9" t="str">
        <f t="shared" ca="1" si="156"/>
        <v/>
      </c>
      <c r="V4040" s="9" t="str">
        <f t="shared" ca="1" si="157"/>
        <v/>
      </c>
    </row>
    <row r="4041" spans="1:33">
      <c r="A4041" s="3" t="s">
        <v>4020</v>
      </c>
      <c r="D4041" s="3" t="s">
        <v>4021</v>
      </c>
      <c r="E4041" s="3" t="s">
        <v>4022</v>
      </c>
      <c r="J4041" s="9" t="s">
        <v>12118</v>
      </c>
      <c r="Q4041" s="10"/>
      <c r="R4041" s="9" t="s">
        <v>12074</v>
      </c>
      <c r="T4041" s="9" t="s">
        <v>12131</v>
      </c>
      <c r="U4041" s="9" t="str">
        <f t="shared" ca="1" si="156"/>
        <v/>
      </c>
      <c r="V4041" s="9" t="str">
        <f t="shared" ca="1" si="157"/>
        <v/>
      </c>
      <c r="AE4041" s="9" t="s">
        <v>12077</v>
      </c>
    </row>
    <row r="4042" spans="1:33" ht="29">
      <c r="A4042" s="3" t="s">
        <v>4023</v>
      </c>
      <c r="D4042" s="3" t="s">
        <v>10290</v>
      </c>
      <c r="E4042" s="3" t="s">
        <v>10291</v>
      </c>
      <c r="J4042" s="9" t="s">
        <v>25</v>
      </c>
      <c r="L4042" s="9">
        <v>1</v>
      </c>
      <c r="M4042" s="9">
        <v>2</v>
      </c>
      <c r="N4042" s="9" t="s">
        <v>12087</v>
      </c>
      <c r="O4042" s="9" t="s">
        <v>12119</v>
      </c>
      <c r="Q4042" s="10"/>
      <c r="S4042" s="9">
        <v>1966</v>
      </c>
      <c r="U4042" s="9" t="str">
        <f t="shared" ca="1" si="156"/>
        <v/>
      </c>
      <c r="V4042" s="9" t="str">
        <f t="shared" ca="1" si="157"/>
        <v/>
      </c>
      <c r="AG4042" s="9" t="s">
        <v>20</v>
      </c>
    </row>
    <row r="4043" spans="1:33" ht="29">
      <c r="A4043" s="3" t="s">
        <v>4023</v>
      </c>
      <c r="D4043" s="3" t="s">
        <v>10292</v>
      </c>
      <c r="E4043" s="3" t="s">
        <v>10291</v>
      </c>
      <c r="J4043" s="9" t="s">
        <v>25</v>
      </c>
      <c r="L4043" s="9">
        <v>1</v>
      </c>
      <c r="M4043" s="9">
        <v>5</v>
      </c>
      <c r="N4043" s="9" t="s">
        <v>12125</v>
      </c>
      <c r="O4043" s="9" t="s">
        <v>12079</v>
      </c>
      <c r="Q4043" s="10"/>
      <c r="S4043" s="9">
        <v>1565</v>
      </c>
      <c r="U4043" s="9" t="str">
        <f t="shared" ca="1" si="156"/>
        <v/>
      </c>
      <c r="V4043" s="9" t="str">
        <f t="shared" ca="1" si="157"/>
        <v/>
      </c>
      <c r="AG4043" s="9" t="s">
        <v>20</v>
      </c>
    </row>
    <row r="4044" spans="1:33" ht="29">
      <c r="A4044" s="3" t="s">
        <v>4023</v>
      </c>
      <c r="D4044" s="3" t="s">
        <v>10293</v>
      </c>
      <c r="E4044" s="3" t="s">
        <v>10294</v>
      </c>
      <c r="J4044" s="9" t="s">
        <v>12118</v>
      </c>
      <c r="Q4044" s="10"/>
      <c r="T4044" s="9" t="s">
        <v>12131</v>
      </c>
      <c r="U4044" s="9" t="str">
        <f t="shared" ref="U4044:U4107" ca="1" si="158">IF(ISNUMBER(T4044),VALUE(MID(_xlfn.FORMULATEXT(T4044),SEARCH("-",_xlfn.FORMULATEXT(T4044))+1,LEN(_xlfn.FORMULATEXT(T4044))-SEARCH("-",_xlfn.FORMULATEXT(T4044)))), "")</f>
        <v/>
      </c>
      <c r="V4044" s="9" t="str">
        <f t="shared" ref="V4044:V4107" ca="1" si="159">IF(ISNUMBER(T4044), VALUE(MID(_xlfn.FORMULATEXT(T4044), 2, SEARCH("-", _xlfn.FORMULATEXT(T4044)) - 2)), "")</f>
        <v/>
      </c>
      <c r="AE4044" s="9" t="s">
        <v>12086</v>
      </c>
    </row>
    <row r="4045" spans="1:33">
      <c r="A4045" s="3" t="s">
        <v>4023</v>
      </c>
      <c r="D4045" s="3" t="s">
        <v>10295</v>
      </c>
      <c r="E4045" s="3" t="s">
        <v>10295</v>
      </c>
      <c r="G4045" t="s">
        <v>20</v>
      </c>
      <c r="I4045" t="s">
        <v>10296</v>
      </c>
      <c r="Q4045" s="10"/>
      <c r="U4045" s="9" t="str">
        <f t="shared" ca="1" si="158"/>
        <v/>
      </c>
      <c r="V4045" s="9" t="str">
        <f t="shared" ca="1" si="159"/>
        <v/>
      </c>
    </row>
    <row r="4046" spans="1:33">
      <c r="A4046" s="3" t="s">
        <v>4024</v>
      </c>
      <c r="D4046" s="3" t="s">
        <v>10297</v>
      </c>
      <c r="E4046" s="3" t="s">
        <v>10298</v>
      </c>
      <c r="F4046" t="s">
        <v>11</v>
      </c>
      <c r="G4046" t="s">
        <v>19</v>
      </c>
      <c r="Q4046" s="10"/>
      <c r="U4046" s="9" t="str">
        <f t="shared" ca="1" si="158"/>
        <v/>
      </c>
      <c r="V4046" s="9" t="str">
        <f t="shared" ca="1" si="159"/>
        <v/>
      </c>
    </row>
    <row r="4047" spans="1:33" ht="43.5">
      <c r="A4047" s="3" t="s">
        <v>4024</v>
      </c>
      <c r="D4047" s="3" t="s">
        <v>10300</v>
      </c>
      <c r="E4047" s="3" t="s">
        <v>10299</v>
      </c>
      <c r="F4047" t="s">
        <v>11</v>
      </c>
      <c r="G4047" t="s">
        <v>19</v>
      </c>
      <c r="J4047" s="9" t="s">
        <v>25</v>
      </c>
      <c r="L4047" s="9">
        <v>2</v>
      </c>
      <c r="M4047" s="9">
        <v>18</v>
      </c>
      <c r="O4047" s="9" t="s">
        <v>12073</v>
      </c>
      <c r="P4047" s="9" t="s">
        <v>12140</v>
      </c>
      <c r="Q4047" s="10" t="s">
        <v>12138</v>
      </c>
      <c r="S4047" s="9">
        <v>28</v>
      </c>
      <c r="U4047" s="9" t="str">
        <f t="shared" ca="1" si="158"/>
        <v/>
      </c>
      <c r="V4047" s="9" t="str">
        <f t="shared" ca="1" si="159"/>
        <v/>
      </c>
    </row>
    <row r="4048" spans="1:33">
      <c r="A4048" s="3" t="s">
        <v>4024</v>
      </c>
      <c r="D4048" s="3" t="s">
        <v>10301</v>
      </c>
      <c r="E4048" s="3" t="s">
        <v>10302</v>
      </c>
      <c r="J4048" s="9" t="s">
        <v>12118</v>
      </c>
      <c r="Q4048" s="10"/>
      <c r="T4048" s="9">
        <f xml:space="preserve"> 560-7</f>
        <v>553</v>
      </c>
      <c r="U4048" s="9">
        <f t="shared" ca="1" si="158"/>
        <v>7</v>
      </c>
      <c r="V4048" s="9">
        <f t="shared" ca="1" si="159"/>
        <v>560</v>
      </c>
      <c r="AC4048" s="9" t="s">
        <v>12130</v>
      </c>
      <c r="AD4048" s="9" t="s">
        <v>19</v>
      </c>
      <c r="AE4048" s="9" t="s">
        <v>12089</v>
      </c>
    </row>
    <row r="4049" spans="1:33">
      <c r="A4049" s="3" t="s">
        <v>4025</v>
      </c>
      <c r="D4049" s="3" t="s">
        <v>10303</v>
      </c>
      <c r="E4049" s="3" t="s">
        <v>10304</v>
      </c>
      <c r="J4049" s="9" t="s">
        <v>12118</v>
      </c>
      <c r="Q4049" s="10"/>
      <c r="T4049" s="9">
        <f>166-1966</f>
        <v>-1800</v>
      </c>
      <c r="U4049" s="9">
        <f t="shared" ca="1" si="158"/>
        <v>1966</v>
      </c>
      <c r="V4049" s="9">
        <f t="shared" ca="1" si="159"/>
        <v>166</v>
      </c>
      <c r="AG4049" s="9" t="s">
        <v>19</v>
      </c>
    </row>
    <row r="4050" spans="1:33" ht="43.5">
      <c r="A4050" s="3" t="s">
        <v>4025</v>
      </c>
      <c r="D4050" s="3" t="s">
        <v>10307</v>
      </c>
      <c r="E4050" s="3" t="s">
        <v>10305</v>
      </c>
      <c r="J4050" s="9" t="s">
        <v>25</v>
      </c>
      <c r="L4050" s="9">
        <v>2</v>
      </c>
      <c r="M4050" s="9">
        <v>5</v>
      </c>
      <c r="O4050" s="9" t="s">
        <v>12079</v>
      </c>
      <c r="Q4050" s="10"/>
      <c r="S4050" s="9">
        <v>361</v>
      </c>
      <c r="U4050" s="9" t="str">
        <f t="shared" ca="1" si="158"/>
        <v/>
      </c>
      <c r="V4050" s="9" t="str">
        <f t="shared" ca="1" si="159"/>
        <v/>
      </c>
      <c r="AG4050" s="9" t="s">
        <v>19</v>
      </c>
    </row>
    <row r="4051" spans="1:33" ht="43.5">
      <c r="A4051" s="3" t="s">
        <v>4025</v>
      </c>
      <c r="D4051" s="3" t="s">
        <v>10306</v>
      </c>
      <c r="E4051" s="3" t="s">
        <v>10308</v>
      </c>
      <c r="J4051" s="9" t="s">
        <v>24</v>
      </c>
      <c r="L4051" s="9">
        <v>1</v>
      </c>
      <c r="M4051" s="9">
        <v>3</v>
      </c>
      <c r="N4051" s="9" t="s">
        <v>12078</v>
      </c>
      <c r="O4051" s="9" t="s">
        <v>12079</v>
      </c>
      <c r="Q4051" s="10"/>
      <c r="S4051" s="9">
        <v>11843</v>
      </c>
      <c r="U4051" s="9" t="str">
        <f t="shared" ca="1" si="158"/>
        <v/>
      </c>
      <c r="V4051" s="9" t="str">
        <f t="shared" ca="1" si="159"/>
        <v/>
      </c>
      <c r="AG4051" s="9" t="s">
        <v>19</v>
      </c>
    </row>
    <row r="4052" spans="1:33">
      <c r="A4052" s="3" t="s">
        <v>4026</v>
      </c>
      <c r="D4052" s="3" t="s">
        <v>10310</v>
      </c>
      <c r="E4052" s="3" t="s">
        <v>10309</v>
      </c>
      <c r="J4052" s="9" t="s">
        <v>25</v>
      </c>
      <c r="L4052" s="9">
        <v>1</v>
      </c>
      <c r="M4052" s="9">
        <v>4</v>
      </c>
      <c r="N4052" s="9" t="s">
        <v>12078</v>
      </c>
      <c r="O4052" s="9" t="s">
        <v>12073</v>
      </c>
      <c r="P4052" s="9" t="s">
        <v>12142</v>
      </c>
      <c r="Q4052" s="10" t="s">
        <v>12160</v>
      </c>
      <c r="R4052" s="9" t="s">
        <v>12074</v>
      </c>
      <c r="S4052" s="9">
        <v>11843</v>
      </c>
      <c r="U4052" s="9" t="str">
        <f t="shared" ca="1" si="158"/>
        <v/>
      </c>
      <c r="V4052" s="9" t="str">
        <f t="shared" ca="1" si="159"/>
        <v/>
      </c>
      <c r="AG4052" s="9" t="s">
        <v>20</v>
      </c>
    </row>
    <row r="4053" spans="1:33" ht="101.5">
      <c r="A4053" s="3" t="s">
        <v>4026</v>
      </c>
      <c r="D4053" s="3" t="s">
        <v>12938</v>
      </c>
      <c r="E4053" s="3" t="s">
        <v>10311</v>
      </c>
      <c r="G4053" t="s">
        <v>19</v>
      </c>
      <c r="J4053" s="9" t="s">
        <v>24</v>
      </c>
      <c r="L4053" s="9">
        <v>1</v>
      </c>
      <c r="M4053" s="9">
        <v>2</v>
      </c>
      <c r="N4053" s="9" t="s">
        <v>12078</v>
      </c>
      <c r="O4053" s="9" t="s">
        <v>12119</v>
      </c>
      <c r="Q4053" s="10"/>
      <c r="S4053" s="9">
        <v>11843</v>
      </c>
      <c r="U4053" s="9" t="str">
        <f t="shared" ca="1" si="158"/>
        <v/>
      </c>
      <c r="V4053" s="9" t="str">
        <f t="shared" ca="1" si="159"/>
        <v/>
      </c>
    </row>
    <row r="4054" spans="1:33" ht="101.5">
      <c r="A4054" s="3" t="s">
        <v>4026</v>
      </c>
      <c r="D4054" s="3" t="s">
        <v>12939</v>
      </c>
      <c r="E4054" s="3" t="s">
        <v>10312</v>
      </c>
      <c r="G4054" t="s">
        <v>20</v>
      </c>
      <c r="I4054" t="s">
        <v>9746</v>
      </c>
      <c r="Q4054" s="10"/>
      <c r="U4054" s="9" t="str">
        <f t="shared" ca="1" si="158"/>
        <v/>
      </c>
      <c r="V4054" s="9" t="str">
        <f t="shared" ca="1" si="159"/>
        <v/>
      </c>
    </row>
    <row r="4055" spans="1:33" ht="101.5">
      <c r="A4055" s="3" t="s">
        <v>4027</v>
      </c>
      <c r="D4055" s="3" t="s">
        <v>12938</v>
      </c>
      <c r="E4055" s="3" t="s">
        <v>10313</v>
      </c>
      <c r="G4055" t="s">
        <v>19</v>
      </c>
      <c r="J4055" s="9" t="s">
        <v>24</v>
      </c>
      <c r="L4055" s="9">
        <v>1</v>
      </c>
      <c r="M4055" s="9">
        <v>2</v>
      </c>
      <c r="N4055" s="9" t="s">
        <v>12087</v>
      </c>
      <c r="O4055" s="9" t="s">
        <v>12079</v>
      </c>
      <c r="Q4055" s="10"/>
      <c r="S4055" s="9">
        <v>1966</v>
      </c>
      <c r="U4055" s="9" t="str">
        <f t="shared" ca="1" si="158"/>
        <v/>
      </c>
      <c r="V4055" s="9" t="str">
        <f t="shared" ca="1" si="159"/>
        <v/>
      </c>
    </row>
    <row r="4056" spans="1:33">
      <c r="A4056" s="3" t="s">
        <v>4028</v>
      </c>
      <c r="D4056" s="3" t="s">
        <v>10314</v>
      </c>
      <c r="E4056" s="3" t="s">
        <v>10315</v>
      </c>
      <c r="J4056" s="9" t="s">
        <v>12118</v>
      </c>
      <c r="Q4056" s="10"/>
      <c r="T4056" s="9" t="s">
        <v>12131</v>
      </c>
      <c r="U4056" s="9" t="str">
        <f t="shared" ca="1" si="158"/>
        <v/>
      </c>
      <c r="V4056" s="9" t="str">
        <f t="shared" ca="1" si="159"/>
        <v/>
      </c>
      <c r="AC4056" s="9" t="s">
        <v>12134</v>
      </c>
      <c r="AD4056" s="9" t="s">
        <v>19</v>
      </c>
      <c r="AE4056" s="9" t="s">
        <v>12086</v>
      </c>
    </row>
    <row r="4057" spans="1:33">
      <c r="A4057" s="3" t="s">
        <v>4028</v>
      </c>
      <c r="D4057" s="3" t="s">
        <v>10316</v>
      </c>
      <c r="E4057" s="3" t="s">
        <v>10317</v>
      </c>
      <c r="G4057" t="s">
        <v>19</v>
      </c>
      <c r="J4057" s="9" t="s">
        <v>12118</v>
      </c>
      <c r="Q4057" s="10"/>
      <c r="T4057" s="9">
        <f>930-11843</f>
        <v>-10913</v>
      </c>
      <c r="U4057" s="9">
        <f t="shared" ca="1" si="158"/>
        <v>11843</v>
      </c>
      <c r="V4057" s="9">
        <f t="shared" ca="1" si="159"/>
        <v>930</v>
      </c>
    </row>
    <row r="4058" spans="1:33">
      <c r="A4058" s="3" t="s">
        <v>4029</v>
      </c>
      <c r="D4058" s="3" t="s">
        <v>4030</v>
      </c>
      <c r="E4058" s="3" t="s">
        <v>4031</v>
      </c>
      <c r="J4058" s="9" t="s">
        <v>12120</v>
      </c>
      <c r="Q4058" s="10"/>
      <c r="U4058" s="9" t="str">
        <f t="shared" ca="1" si="158"/>
        <v/>
      </c>
      <c r="V4058" s="9" t="str">
        <f t="shared" ca="1" si="159"/>
        <v/>
      </c>
      <c r="AG4058" s="9" t="s">
        <v>20</v>
      </c>
    </row>
    <row r="4059" spans="1:33">
      <c r="A4059" s="3" t="s">
        <v>4029</v>
      </c>
      <c r="D4059" s="3" t="s">
        <v>10318</v>
      </c>
      <c r="E4059" s="3" t="s">
        <v>10319</v>
      </c>
      <c r="J4059" s="9" t="s">
        <v>12120</v>
      </c>
      <c r="Q4059" s="10"/>
      <c r="U4059" s="9" t="str">
        <f t="shared" ca="1" si="158"/>
        <v/>
      </c>
      <c r="V4059" s="9" t="str">
        <f t="shared" ca="1" si="159"/>
        <v/>
      </c>
      <c r="AG4059" s="9" t="s">
        <v>19</v>
      </c>
    </row>
    <row r="4060" spans="1:33">
      <c r="A4060" s="3" t="s">
        <v>4029</v>
      </c>
      <c r="D4060" s="3" t="s">
        <v>4032</v>
      </c>
      <c r="E4060" s="3" t="s">
        <v>4033</v>
      </c>
      <c r="J4060" s="9" t="s">
        <v>12118</v>
      </c>
      <c r="Q4060" s="10"/>
      <c r="T4060" s="9" t="s">
        <v>12131</v>
      </c>
      <c r="U4060" s="9" t="str">
        <f t="shared" ca="1" si="158"/>
        <v/>
      </c>
      <c r="V4060" s="9" t="str">
        <f t="shared" ca="1" si="159"/>
        <v/>
      </c>
      <c r="AB4060" s="9" t="s">
        <v>12124</v>
      </c>
      <c r="AD4060" s="9" t="s">
        <v>19</v>
      </c>
    </row>
    <row r="4061" spans="1:33">
      <c r="A4061" s="3" t="s">
        <v>4029</v>
      </c>
      <c r="D4061" s="3" t="s">
        <v>4034</v>
      </c>
      <c r="E4061" s="3" t="s">
        <v>4035</v>
      </c>
      <c r="J4061" s="9" t="s">
        <v>12118</v>
      </c>
      <c r="Q4061" s="10"/>
      <c r="T4061" s="9" t="s">
        <v>12131</v>
      </c>
      <c r="U4061" s="9" t="str">
        <f t="shared" ca="1" si="158"/>
        <v/>
      </c>
      <c r="V4061" s="9" t="str">
        <f t="shared" ca="1" si="159"/>
        <v/>
      </c>
      <c r="AB4061" s="9" t="s">
        <v>12124</v>
      </c>
      <c r="AC4061" s="9" t="s">
        <v>12130</v>
      </c>
      <c r="AD4061" s="9" t="s">
        <v>19</v>
      </c>
    </row>
    <row r="4062" spans="1:33" ht="29">
      <c r="A4062" s="3" t="s">
        <v>4029</v>
      </c>
      <c r="D4062" s="3" t="s">
        <v>10321</v>
      </c>
      <c r="E4062" s="3" t="s">
        <v>10320</v>
      </c>
      <c r="G4062" t="s">
        <v>19</v>
      </c>
      <c r="J4062" s="9" t="s">
        <v>12120</v>
      </c>
      <c r="Q4062" s="10"/>
      <c r="U4062" s="9" t="str">
        <f t="shared" ca="1" si="158"/>
        <v/>
      </c>
      <c r="V4062" s="9" t="str">
        <f t="shared" ca="1" si="159"/>
        <v/>
      </c>
      <c r="AB4062" s="9" t="s">
        <v>12124</v>
      </c>
      <c r="AD4062" s="9" t="s">
        <v>19</v>
      </c>
    </row>
    <row r="4063" spans="1:33">
      <c r="A4063" s="3" t="s">
        <v>4036</v>
      </c>
      <c r="D4063" s="3" t="s">
        <v>10323</v>
      </c>
      <c r="E4063" s="3" t="s">
        <v>10322</v>
      </c>
      <c r="J4063" s="9" t="s">
        <v>12118</v>
      </c>
      <c r="Q4063" s="10"/>
      <c r="T4063" s="9">
        <f xml:space="preserve"> 472-364</f>
        <v>108</v>
      </c>
      <c r="U4063" s="9">
        <f t="shared" ca="1" si="158"/>
        <v>364</v>
      </c>
      <c r="V4063" s="9">
        <f t="shared" ca="1" si="159"/>
        <v>472</v>
      </c>
      <c r="AG4063" s="9" t="s">
        <v>19</v>
      </c>
    </row>
    <row r="4064" spans="1:33">
      <c r="A4064" s="3" t="s">
        <v>4036</v>
      </c>
      <c r="D4064" s="3" t="s">
        <v>10325</v>
      </c>
      <c r="E4064" s="3" t="s">
        <v>10324</v>
      </c>
      <c r="F4064" t="s">
        <v>11</v>
      </c>
      <c r="G4064" t="s">
        <v>19</v>
      </c>
      <c r="Q4064" s="10"/>
      <c r="U4064" s="9" t="str">
        <f t="shared" ca="1" si="158"/>
        <v/>
      </c>
      <c r="V4064" s="9" t="str">
        <f t="shared" ca="1" si="159"/>
        <v/>
      </c>
    </row>
    <row r="4065" spans="1:33">
      <c r="A4065" s="3" t="s">
        <v>4036</v>
      </c>
      <c r="D4065" s="3" t="s">
        <v>10326</v>
      </c>
      <c r="E4065" s="3" t="s">
        <v>10327</v>
      </c>
      <c r="J4065" s="9" t="s">
        <v>12120</v>
      </c>
      <c r="Q4065" s="10"/>
      <c r="U4065" s="9" t="str">
        <f t="shared" ca="1" si="158"/>
        <v/>
      </c>
      <c r="V4065" s="9" t="str">
        <f t="shared" ca="1" si="159"/>
        <v/>
      </c>
      <c r="AC4065" s="9" t="s">
        <v>12134</v>
      </c>
      <c r="AD4065" s="9" t="s">
        <v>19</v>
      </c>
    </row>
    <row r="4066" spans="1:33">
      <c r="A4066" s="3" t="s">
        <v>4037</v>
      </c>
      <c r="D4066" s="3" t="s">
        <v>4038</v>
      </c>
      <c r="E4066" s="3" t="s">
        <v>10328</v>
      </c>
      <c r="G4066" t="s">
        <v>19</v>
      </c>
      <c r="J4066" s="9" t="s">
        <v>12120</v>
      </c>
      <c r="Q4066" s="10"/>
      <c r="U4066" s="9" t="str">
        <f t="shared" ca="1" si="158"/>
        <v/>
      </c>
      <c r="V4066" s="9" t="str">
        <f t="shared" ca="1" si="159"/>
        <v/>
      </c>
      <c r="AE4066" s="9" t="s">
        <v>12086</v>
      </c>
    </row>
    <row r="4067" spans="1:33">
      <c r="A4067" s="3" t="s">
        <v>4037</v>
      </c>
      <c r="D4067" s="3" t="s">
        <v>4039</v>
      </c>
      <c r="E4067" s="3" t="s">
        <v>4040</v>
      </c>
      <c r="J4067" s="9" t="s">
        <v>12118</v>
      </c>
      <c r="Q4067" s="10"/>
      <c r="T4067" s="9" t="s">
        <v>12131</v>
      </c>
      <c r="U4067" s="9" t="str">
        <f t="shared" ca="1" si="158"/>
        <v/>
      </c>
      <c r="V4067" s="9" t="str">
        <f t="shared" ca="1" si="159"/>
        <v/>
      </c>
      <c r="AB4067" s="9" t="s">
        <v>12124</v>
      </c>
      <c r="AC4067" s="9" t="s">
        <v>12130</v>
      </c>
      <c r="AD4067" s="9" t="s">
        <v>19</v>
      </c>
    </row>
    <row r="4068" spans="1:33">
      <c r="A4068" s="3" t="s">
        <v>4037</v>
      </c>
      <c r="D4068" s="3" t="s">
        <v>4041</v>
      </c>
      <c r="E4068" s="3" t="s">
        <v>4042</v>
      </c>
      <c r="J4068" s="9" t="s">
        <v>12120</v>
      </c>
      <c r="Q4068" s="10"/>
      <c r="U4068" s="9" t="str">
        <f t="shared" ca="1" si="158"/>
        <v/>
      </c>
      <c r="V4068" s="9" t="str">
        <f t="shared" ca="1" si="159"/>
        <v/>
      </c>
      <c r="AB4068" s="9" t="s">
        <v>12124</v>
      </c>
      <c r="AC4068" s="9" t="s">
        <v>12128</v>
      </c>
      <c r="AD4068" s="9" t="s">
        <v>19</v>
      </c>
    </row>
    <row r="4069" spans="1:33" ht="29">
      <c r="A4069" s="3" t="s">
        <v>4037</v>
      </c>
      <c r="D4069" s="3" t="s">
        <v>10329</v>
      </c>
      <c r="E4069" s="3" t="s">
        <v>10330</v>
      </c>
      <c r="J4069" s="9" t="s">
        <v>24</v>
      </c>
      <c r="L4069" s="9">
        <v>1</v>
      </c>
      <c r="M4069" s="9">
        <v>3</v>
      </c>
      <c r="N4069" s="9" t="s">
        <v>12078</v>
      </c>
      <c r="O4069" s="9" t="s">
        <v>12079</v>
      </c>
      <c r="Q4069" s="10"/>
      <c r="S4069" s="9">
        <v>11843</v>
      </c>
      <c r="U4069" s="9" t="str">
        <f t="shared" ca="1" si="158"/>
        <v/>
      </c>
      <c r="V4069" s="9" t="str">
        <f t="shared" ca="1" si="159"/>
        <v/>
      </c>
      <c r="AG4069" s="9" t="s">
        <v>20</v>
      </c>
    </row>
    <row r="4070" spans="1:33" ht="29">
      <c r="A4070" s="3" t="s">
        <v>4037</v>
      </c>
      <c r="D4070" s="3" t="s">
        <v>10329</v>
      </c>
      <c r="E4070" s="3" t="s">
        <v>10331</v>
      </c>
      <c r="G4070" t="s">
        <v>19</v>
      </c>
      <c r="J4070" s="9" t="s">
        <v>24</v>
      </c>
      <c r="L4070" s="9">
        <v>2</v>
      </c>
      <c r="M4070" s="9">
        <v>8</v>
      </c>
      <c r="O4070" s="9" t="s">
        <v>12073</v>
      </c>
      <c r="P4070" s="9" t="s">
        <v>12140</v>
      </c>
      <c r="Q4070" s="10" t="s">
        <v>12136</v>
      </c>
      <c r="S4070" s="9">
        <v>12</v>
      </c>
      <c r="U4070" s="9" t="str">
        <f t="shared" ca="1" si="158"/>
        <v/>
      </c>
      <c r="V4070" s="9" t="str">
        <f t="shared" ca="1" si="159"/>
        <v/>
      </c>
    </row>
    <row r="4071" spans="1:33">
      <c r="A4071" s="3" t="s">
        <v>4043</v>
      </c>
      <c r="D4071" s="3" t="s">
        <v>10332</v>
      </c>
      <c r="E4071" s="3" t="s">
        <v>10333</v>
      </c>
      <c r="J4071" s="9" t="s">
        <v>12118</v>
      </c>
      <c r="Q4071" s="10"/>
      <c r="T4071" s="9">
        <f>11843-780</f>
        <v>11063</v>
      </c>
      <c r="U4071" s="9">
        <f t="shared" ca="1" si="158"/>
        <v>780</v>
      </c>
      <c r="V4071" s="9">
        <f t="shared" ca="1" si="159"/>
        <v>11843</v>
      </c>
      <c r="AG4071" s="9" t="s">
        <v>20</v>
      </c>
    </row>
    <row r="4072" spans="1:33" ht="101.5">
      <c r="A4072" s="3" t="s">
        <v>4043</v>
      </c>
      <c r="D4072" s="3" t="s">
        <v>10335</v>
      </c>
      <c r="E4072" s="3" t="s">
        <v>10336</v>
      </c>
      <c r="G4072" t="s">
        <v>19</v>
      </c>
      <c r="J4072" s="9" t="s">
        <v>12118</v>
      </c>
      <c r="Q4072" s="10"/>
      <c r="T4072" s="9">
        <f xml:space="preserve"> 114-560</f>
        <v>-446</v>
      </c>
      <c r="U4072" s="9">
        <f t="shared" ca="1" si="158"/>
        <v>560</v>
      </c>
      <c r="V4072" s="9">
        <f t="shared" ca="1" si="159"/>
        <v>114</v>
      </c>
    </row>
    <row r="4073" spans="1:33" ht="101.5">
      <c r="A4073" s="3" t="s">
        <v>4043</v>
      </c>
      <c r="D4073" s="3" t="s">
        <v>10337</v>
      </c>
      <c r="E4073" s="3" t="s">
        <v>10334</v>
      </c>
      <c r="I4073" t="s">
        <v>12524</v>
      </c>
      <c r="J4073" s="9" t="s">
        <v>25</v>
      </c>
      <c r="L4073" s="9">
        <v>9</v>
      </c>
      <c r="M4073" s="9">
        <v>52</v>
      </c>
      <c r="O4073" s="9" t="s">
        <v>12079</v>
      </c>
      <c r="Q4073" s="10"/>
      <c r="S4073" s="9">
        <v>0</v>
      </c>
      <c r="U4073" s="9" t="str">
        <f t="shared" ca="1" si="158"/>
        <v/>
      </c>
      <c r="V4073" s="9" t="str">
        <f t="shared" ca="1" si="159"/>
        <v/>
      </c>
      <c r="AG4073" s="9" t="s">
        <v>13141</v>
      </c>
    </row>
    <row r="4074" spans="1:33" ht="101.5">
      <c r="A4074" s="3" t="s">
        <v>4044</v>
      </c>
      <c r="D4074" s="3" t="s">
        <v>10338</v>
      </c>
      <c r="E4074" s="3" t="s">
        <v>10339</v>
      </c>
      <c r="J4074" s="9" t="s">
        <v>12120</v>
      </c>
      <c r="Q4074" s="10"/>
      <c r="U4074" s="9" t="str">
        <f t="shared" ca="1" si="158"/>
        <v/>
      </c>
      <c r="V4074" s="9" t="str">
        <f t="shared" ca="1" si="159"/>
        <v/>
      </c>
      <c r="AG4074" s="9" t="s">
        <v>20</v>
      </c>
    </row>
    <row r="4075" spans="1:33">
      <c r="A4075" s="3" t="s">
        <v>4044</v>
      </c>
      <c r="D4075" s="3" t="s">
        <v>296</v>
      </c>
      <c r="E4075" s="3" t="s">
        <v>4462</v>
      </c>
      <c r="F4075" t="s">
        <v>11</v>
      </c>
      <c r="G4075" t="s">
        <v>19</v>
      </c>
      <c r="Q4075" s="10"/>
      <c r="U4075" s="9" t="str">
        <f t="shared" ca="1" si="158"/>
        <v/>
      </c>
      <c r="V4075" s="9" t="str">
        <f t="shared" ca="1" si="159"/>
        <v/>
      </c>
    </row>
    <row r="4076" spans="1:33">
      <c r="A4076" s="3" t="s">
        <v>4045</v>
      </c>
      <c r="D4076" s="3" t="s">
        <v>10341</v>
      </c>
      <c r="E4076" s="3" t="s">
        <v>10340</v>
      </c>
      <c r="G4076" t="s">
        <v>21</v>
      </c>
      <c r="I4076" t="s">
        <v>10342</v>
      </c>
      <c r="J4076" s="9" t="s">
        <v>12120</v>
      </c>
      <c r="Q4076" s="10"/>
      <c r="U4076" s="9" t="str">
        <f t="shared" ca="1" si="158"/>
        <v/>
      </c>
      <c r="V4076" s="9" t="str">
        <f t="shared" ca="1" si="159"/>
        <v/>
      </c>
      <c r="AB4076" s="9" t="s">
        <v>12738</v>
      </c>
      <c r="AD4076" s="9" t="s">
        <v>19</v>
      </c>
    </row>
    <row r="4077" spans="1:33">
      <c r="A4077" s="3" t="s">
        <v>4045</v>
      </c>
      <c r="D4077" s="3" t="s">
        <v>10343</v>
      </c>
      <c r="E4077" s="3" t="s">
        <v>10344</v>
      </c>
      <c r="J4077" s="9" t="s">
        <v>24</v>
      </c>
      <c r="L4077" s="9">
        <v>1</v>
      </c>
      <c r="M4077" s="9">
        <v>6</v>
      </c>
      <c r="N4077" s="9" t="s">
        <v>12072</v>
      </c>
      <c r="O4077" s="9" t="s">
        <v>12079</v>
      </c>
      <c r="Q4077" s="10"/>
      <c r="S4077" s="9">
        <v>930</v>
      </c>
      <c r="U4077" s="9" t="str">
        <f t="shared" ca="1" si="158"/>
        <v/>
      </c>
      <c r="V4077" s="9" t="str">
        <f t="shared" ca="1" si="159"/>
        <v/>
      </c>
      <c r="AG4077" s="9" t="s">
        <v>19</v>
      </c>
    </row>
    <row r="4078" spans="1:33">
      <c r="A4078" s="3" t="s">
        <v>4046</v>
      </c>
      <c r="D4078" s="3" t="s">
        <v>10346</v>
      </c>
      <c r="E4078" s="3" t="s">
        <v>10345</v>
      </c>
      <c r="G4078" t="s">
        <v>19</v>
      </c>
      <c r="J4078" s="9" t="s">
        <v>12118</v>
      </c>
      <c r="Q4078" s="10"/>
      <c r="T4078" s="9" t="s">
        <v>12131</v>
      </c>
      <c r="U4078" s="9" t="str">
        <f t="shared" ca="1" si="158"/>
        <v/>
      </c>
      <c r="V4078" s="9" t="str">
        <f t="shared" ca="1" si="159"/>
        <v/>
      </c>
      <c r="AB4078" s="9" t="s">
        <v>12124</v>
      </c>
      <c r="AC4078" s="9" t="s">
        <v>12166</v>
      </c>
      <c r="AD4078" s="9" t="s">
        <v>19</v>
      </c>
    </row>
    <row r="4079" spans="1:33">
      <c r="A4079" s="3" t="s">
        <v>4046</v>
      </c>
      <c r="D4079" s="3" t="s">
        <v>10347</v>
      </c>
      <c r="E4079" s="3" t="s">
        <v>10348</v>
      </c>
      <c r="J4079" s="9" t="s">
        <v>12118</v>
      </c>
      <c r="Q4079" s="10"/>
      <c r="T4079" s="9">
        <f>1741-1496</f>
        <v>245</v>
      </c>
      <c r="U4079" s="9">
        <f t="shared" ca="1" si="158"/>
        <v>1496</v>
      </c>
      <c r="V4079" s="9">
        <f t="shared" ca="1" si="159"/>
        <v>1741</v>
      </c>
      <c r="AG4079" s="9" t="s">
        <v>20</v>
      </c>
    </row>
    <row r="4080" spans="1:33" ht="43.5">
      <c r="A4080" s="3" t="s">
        <v>4047</v>
      </c>
      <c r="D4080" s="3" t="s">
        <v>10349</v>
      </c>
      <c r="E4080" s="3" t="s">
        <v>10350</v>
      </c>
      <c r="F4080" t="s">
        <v>11</v>
      </c>
      <c r="G4080" t="s">
        <v>19</v>
      </c>
      <c r="Q4080" s="10"/>
      <c r="U4080" s="9" t="str">
        <f t="shared" ca="1" si="158"/>
        <v/>
      </c>
      <c r="V4080" s="9" t="str">
        <f t="shared" ca="1" si="159"/>
        <v/>
      </c>
    </row>
    <row r="4081" spans="1:33" ht="43.5">
      <c r="A4081" s="3" t="s">
        <v>4047</v>
      </c>
      <c r="D4081" s="3" t="s">
        <v>10351</v>
      </c>
      <c r="E4081" s="3" t="s">
        <v>10352</v>
      </c>
      <c r="G4081" t="s">
        <v>19</v>
      </c>
      <c r="J4081" s="9" t="s">
        <v>12118</v>
      </c>
      <c r="Q4081" s="10"/>
      <c r="T4081" s="9">
        <f>31-591</f>
        <v>-560</v>
      </c>
      <c r="U4081" s="9">
        <f t="shared" ca="1" si="158"/>
        <v>591</v>
      </c>
      <c r="V4081" s="9">
        <f t="shared" ca="1" si="159"/>
        <v>31</v>
      </c>
    </row>
    <row r="4082" spans="1:33">
      <c r="A4082" s="3" t="s">
        <v>4047</v>
      </c>
      <c r="D4082" s="3" t="s">
        <v>10354</v>
      </c>
      <c r="E4082" s="3" t="s">
        <v>10353</v>
      </c>
      <c r="J4082" s="9" t="s">
        <v>25</v>
      </c>
      <c r="L4082" s="9">
        <v>1</v>
      </c>
      <c r="M4082" s="9">
        <v>3</v>
      </c>
      <c r="N4082" s="9" t="s">
        <v>12087</v>
      </c>
      <c r="O4082" s="9" t="s">
        <v>12079</v>
      </c>
      <c r="Q4082" s="10"/>
      <c r="S4082" s="9">
        <v>5676</v>
      </c>
      <c r="U4082" s="9" t="str">
        <f t="shared" ca="1" si="158"/>
        <v/>
      </c>
      <c r="V4082" s="9" t="str">
        <f t="shared" ca="1" si="159"/>
        <v/>
      </c>
      <c r="AG4082" s="9" t="s">
        <v>19</v>
      </c>
    </row>
    <row r="4083" spans="1:33">
      <c r="A4083" s="3" t="s">
        <v>4047</v>
      </c>
      <c r="D4083" s="3" t="s">
        <v>10355</v>
      </c>
      <c r="E4083" s="3" t="s">
        <v>10356</v>
      </c>
      <c r="J4083" s="9" t="s">
        <v>12120</v>
      </c>
      <c r="Q4083" s="10"/>
      <c r="U4083" s="9" t="str">
        <f t="shared" ca="1" si="158"/>
        <v/>
      </c>
      <c r="V4083" s="9" t="str">
        <f t="shared" ca="1" si="159"/>
        <v/>
      </c>
      <c r="AE4083" s="9" t="s">
        <v>12077</v>
      </c>
    </row>
    <row r="4084" spans="1:33">
      <c r="A4084" s="3" t="s">
        <v>4048</v>
      </c>
      <c r="D4084" s="3" t="s">
        <v>10358</v>
      </c>
      <c r="E4084" s="3" t="s">
        <v>10357</v>
      </c>
      <c r="J4084" s="9" t="s">
        <v>12120</v>
      </c>
      <c r="Q4084" s="10"/>
      <c r="U4084" s="9" t="str">
        <f t="shared" ca="1" si="158"/>
        <v/>
      </c>
      <c r="V4084" s="9" t="str">
        <f t="shared" ca="1" si="159"/>
        <v/>
      </c>
      <c r="AB4084" s="9" t="s">
        <v>12082</v>
      </c>
      <c r="AD4084" s="9" t="s">
        <v>19</v>
      </c>
    </row>
    <row r="4085" spans="1:33">
      <c r="A4085" s="3" t="s">
        <v>4049</v>
      </c>
      <c r="D4085" s="3" t="s">
        <v>10360</v>
      </c>
      <c r="E4085" s="3" t="s">
        <v>10359</v>
      </c>
      <c r="G4085" t="s">
        <v>19</v>
      </c>
      <c r="J4085" s="9" t="s">
        <v>12120</v>
      </c>
      <c r="Q4085" s="10"/>
      <c r="U4085" s="9" t="str">
        <f t="shared" ca="1" si="158"/>
        <v/>
      </c>
      <c r="V4085" s="9" t="str">
        <f t="shared" ca="1" si="159"/>
        <v/>
      </c>
    </row>
    <row r="4086" spans="1:33">
      <c r="A4086" s="3" t="s">
        <v>4049</v>
      </c>
      <c r="D4086" s="3" t="s">
        <v>4050</v>
      </c>
      <c r="E4086" s="3" t="s">
        <v>4051</v>
      </c>
      <c r="J4086" s="9" t="s">
        <v>12118</v>
      </c>
      <c r="Q4086" s="10"/>
      <c r="T4086" s="9" t="s">
        <v>12131</v>
      </c>
      <c r="U4086" s="9" t="str">
        <f t="shared" ca="1" si="158"/>
        <v/>
      </c>
      <c r="V4086" s="9" t="str">
        <f t="shared" ca="1" si="159"/>
        <v/>
      </c>
      <c r="AB4086" s="9" t="s">
        <v>12124</v>
      </c>
      <c r="AC4086" s="9" t="s">
        <v>12740</v>
      </c>
      <c r="AD4086" s="9" t="s">
        <v>19</v>
      </c>
    </row>
    <row r="4087" spans="1:33">
      <c r="A4087" s="3" t="s">
        <v>4052</v>
      </c>
      <c r="D4087" s="3" t="s">
        <v>10361</v>
      </c>
      <c r="E4087" s="3" t="s">
        <v>10362</v>
      </c>
      <c r="G4087" t="s">
        <v>19</v>
      </c>
      <c r="J4087" s="9" t="s">
        <v>12120</v>
      </c>
      <c r="Q4087" s="10"/>
      <c r="U4087" s="9" t="str">
        <f t="shared" ca="1" si="158"/>
        <v/>
      </c>
      <c r="V4087" s="9" t="str">
        <f t="shared" ca="1" si="159"/>
        <v/>
      </c>
      <c r="AC4087" s="9" t="s">
        <v>12144</v>
      </c>
      <c r="AD4087" s="9" t="s">
        <v>19</v>
      </c>
    </row>
    <row r="4088" spans="1:33">
      <c r="A4088" s="3" t="s">
        <v>4052</v>
      </c>
      <c r="D4088" s="3" t="s">
        <v>10364</v>
      </c>
      <c r="E4088" s="3" t="s">
        <v>10363</v>
      </c>
      <c r="G4088" t="s">
        <v>19</v>
      </c>
      <c r="J4088" s="9" t="s">
        <v>12118</v>
      </c>
      <c r="Q4088" s="10"/>
      <c r="T4088" s="9">
        <f>485-444</f>
        <v>41</v>
      </c>
      <c r="U4088" s="9">
        <f t="shared" ca="1" si="158"/>
        <v>444</v>
      </c>
      <c r="V4088" s="9">
        <f t="shared" ca="1" si="159"/>
        <v>485</v>
      </c>
    </row>
    <row r="4089" spans="1:33">
      <c r="A4089" s="3" t="s">
        <v>4052</v>
      </c>
      <c r="D4089" s="3" t="s">
        <v>10365</v>
      </c>
      <c r="E4089" s="3" t="s">
        <v>10366</v>
      </c>
      <c r="J4089" s="9" t="s">
        <v>24</v>
      </c>
      <c r="L4089" s="9">
        <v>1</v>
      </c>
      <c r="M4089" s="9">
        <v>2</v>
      </c>
      <c r="N4089" s="9" t="s">
        <v>12096</v>
      </c>
      <c r="O4089" s="9" t="s">
        <v>12079</v>
      </c>
      <c r="Q4089" s="10"/>
      <c r="S4089" s="9">
        <v>485</v>
      </c>
      <c r="U4089" s="9" t="str">
        <f t="shared" ca="1" si="158"/>
        <v/>
      </c>
      <c r="V4089" s="9" t="str">
        <f t="shared" ca="1" si="159"/>
        <v/>
      </c>
      <c r="AG4089" s="9" t="s">
        <v>19</v>
      </c>
    </row>
    <row r="4090" spans="1:33">
      <c r="A4090" s="3" t="s">
        <v>4052</v>
      </c>
      <c r="D4090" s="3" t="s">
        <v>10368</v>
      </c>
      <c r="E4090" s="3" t="s">
        <v>10367</v>
      </c>
      <c r="J4090" s="9" t="s">
        <v>12120</v>
      </c>
      <c r="Q4090" s="10"/>
      <c r="U4090" s="9" t="str">
        <f t="shared" ca="1" si="158"/>
        <v/>
      </c>
      <c r="V4090" s="9" t="str">
        <f t="shared" ca="1" si="159"/>
        <v/>
      </c>
      <c r="AC4090" s="9" t="s">
        <v>12744</v>
      </c>
      <c r="AD4090" s="9" t="s">
        <v>19</v>
      </c>
      <c r="AE4090" s="9" t="s">
        <v>12086</v>
      </c>
    </row>
    <row r="4091" spans="1:33">
      <c r="A4091" s="3" t="s">
        <v>4052</v>
      </c>
      <c r="D4091" s="3" t="s">
        <v>10370</v>
      </c>
      <c r="E4091" s="3" t="s">
        <v>10369</v>
      </c>
      <c r="G4091" t="s">
        <v>19</v>
      </c>
      <c r="I4091" t="s">
        <v>10371</v>
      </c>
      <c r="J4091" s="9" t="s">
        <v>25</v>
      </c>
      <c r="L4091" s="9">
        <v>1</v>
      </c>
      <c r="M4091" s="9">
        <v>2</v>
      </c>
      <c r="N4091" s="9" t="s">
        <v>12087</v>
      </c>
      <c r="O4091" s="9" t="s">
        <v>12119</v>
      </c>
      <c r="Q4091" s="10"/>
      <c r="R4091" s="9" t="s">
        <v>12074</v>
      </c>
      <c r="S4091" s="9">
        <v>227</v>
      </c>
      <c r="U4091" s="9" t="str">
        <f t="shared" ca="1" si="158"/>
        <v/>
      </c>
      <c r="V4091" s="9" t="str">
        <f t="shared" ca="1" si="159"/>
        <v/>
      </c>
      <c r="AE4091" s="9" t="s">
        <v>12089</v>
      </c>
    </row>
    <row r="4092" spans="1:33">
      <c r="A4092" s="3" t="s">
        <v>4052</v>
      </c>
      <c r="D4092" s="3" t="s">
        <v>12940</v>
      </c>
      <c r="E4092" s="3" t="s">
        <v>10369</v>
      </c>
      <c r="J4092" s="9" t="s">
        <v>25</v>
      </c>
      <c r="L4092" s="9">
        <v>1</v>
      </c>
      <c r="M4092" s="9">
        <v>3</v>
      </c>
      <c r="N4092" s="9" t="s">
        <v>12078</v>
      </c>
      <c r="O4092" s="9" t="s">
        <v>12079</v>
      </c>
      <c r="Q4092" s="10"/>
      <c r="S4092" s="9">
        <v>11843</v>
      </c>
      <c r="U4092" s="9" t="str">
        <f t="shared" ca="1" si="158"/>
        <v/>
      </c>
      <c r="V4092" s="9" t="str">
        <f t="shared" ca="1" si="159"/>
        <v/>
      </c>
      <c r="AG4092" s="9" t="s">
        <v>19</v>
      </c>
    </row>
    <row r="4093" spans="1:33" ht="29">
      <c r="A4093" s="3" t="s">
        <v>4053</v>
      </c>
      <c r="D4093" s="3" t="s">
        <v>10373</v>
      </c>
      <c r="E4093" s="3" t="s">
        <v>10372</v>
      </c>
      <c r="G4093" t="s">
        <v>19</v>
      </c>
      <c r="J4093" s="9" t="s">
        <v>25</v>
      </c>
      <c r="L4093" s="9">
        <v>1</v>
      </c>
      <c r="M4093" s="9">
        <v>3</v>
      </c>
      <c r="N4093" s="9" t="s">
        <v>12087</v>
      </c>
      <c r="O4093" s="9" t="s">
        <v>12079</v>
      </c>
      <c r="Q4093" s="10"/>
      <c r="S4093" s="9">
        <v>5676</v>
      </c>
      <c r="U4093" s="9" t="str">
        <f t="shared" ca="1" si="158"/>
        <v/>
      </c>
      <c r="V4093" s="9" t="str">
        <f t="shared" ca="1" si="159"/>
        <v/>
      </c>
    </row>
    <row r="4094" spans="1:33" ht="29">
      <c r="A4094" s="3" t="s">
        <v>4053</v>
      </c>
      <c r="D4094" s="3" t="s">
        <v>10374</v>
      </c>
      <c r="E4094" s="3" t="s">
        <v>10375</v>
      </c>
      <c r="G4094" t="s">
        <v>19</v>
      </c>
      <c r="J4094" s="9" t="s">
        <v>12120</v>
      </c>
      <c r="Q4094" s="10"/>
      <c r="U4094" s="9" t="str">
        <f t="shared" ca="1" si="158"/>
        <v/>
      </c>
      <c r="V4094" s="9" t="str">
        <f t="shared" ca="1" si="159"/>
        <v/>
      </c>
      <c r="AC4094" s="9" t="s">
        <v>12144</v>
      </c>
      <c r="AD4094" s="9" t="s">
        <v>19</v>
      </c>
      <c r="AE4094" s="9" t="s">
        <v>12077</v>
      </c>
    </row>
    <row r="4095" spans="1:33">
      <c r="A4095" s="3" t="s">
        <v>4053</v>
      </c>
      <c r="D4095" s="3" t="s">
        <v>10377</v>
      </c>
      <c r="E4095" s="3" t="s">
        <v>10376</v>
      </c>
      <c r="G4095" t="s">
        <v>19</v>
      </c>
      <c r="J4095" s="9" t="s">
        <v>12118</v>
      </c>
      <c r="Q4095" s="10"/>
      <c r="T4095" s="9">
        <f>10-10</f>
        <v>0</v>
      </c>
      <c r="U4095" s="9">
        <f t="shared" ca="1" si="158"/>
        <v>10</v>
      </c>
      <c r="V4095" s="9">
        <f t="shared" ca="1" si="159"/>
        <v>10</v>
      </c>
    </row>
    <row r="4096" spans="1:33" ht="29">
      <c r="A4096" s="3" t="s">
        <v>4053</v>
      </c>
      <c r="D4096" s="3" t="s">
        <v>10378</v>
      </c>
      <c r="E4096" s="3" t="s">
        <v>10379</v>
      </c>
      <c r="G4096" t="s">
        <v>20</v>
      </c>
      <c r="Q4096" s="10"/>
      <c r="U4096" s="9" t="str">
        <f t="shared" ca="1" si="158"/>
        <v/>
      </c>
      <c r="V4096" s="9" t="str">
        <f t="shared" ca="1" si="159"/>
        <v/>
      </c>
    </row>
    <row r="4097" spans="1:33" ht="29">
      <c r="A4097" s="3" t="s">
        <v>4053</v>
      </c>
      <c r="D4097" s="3" t="s">
        <v>10380</v>
      </c>
      <c r="E4097" s="3" t="s">
        <v>10381</v>
      </c>
      <c r="G4097" t="s">
        <v>20</v>
      </c>
      <c r="I4097" t="s">
        <v>10382</v>
      </c>
      <c r="J4097" s="9" t="s">
        <v>12118</v>
      </c>
      <c r="Q4097" s="10"/>
      <c r="T4097" s="9">
        <f>2-0</f>
        <v>2</v>
      </c>
      <c r="U4097" s="9">
        <f t="shared" ca="1" si="158"/>
        <v>0</v>
      </c>
      <c r="V4097" s="9">
        <f t="shared" ca="1" si="159"/>
        <v>2</v>
      </c>
      <c r="AC4097" s="9" t="s">
        <v>12432</v>
      </c>
      <c r="AD4097" s="9" t="s">
        <v>19</v>
      </c>
    </row>
    <row r="4098" spans="1:33">
      <c r="A4098" s="3" t="s">
        <v>4053</v>
      </c>
      <c r="D4098" s="3" t="s">
        <v>10383</v>
      </c>
      <c r="E4098" s="3" t="s">
        <v>10384</v>
      </c>
      <c r="J4098" s="9" t="s">
        <v>12120</v>
      </c>
      <c r="Q4098" s="10"/>
      <c r="U4098" s="9" t="str">
        <f t="shared" ca="1" si="158"/>
        <v/>
      </c>
      <c r="V4098" s="9" t="str">
        <f t="shared" ca="1" si="159"/>
        <v/>
      </c>
      <c r="AC4098" s="9" t="s">
        <v>12188</v>
      </c>
      <c r="AD4098" s="9" t="s">
        <v>19</v>
      </c>
      <c r="AE4098" s="9" t="s">
        <v>12089</v>
      </c>
    </row>
    <row r="4099" spans="1:33">
      <c r="A4099" s="3" t="s">
        <v>4055</v>
      </c>
      <c r="D4099" s="3" t="s">
        <v>3316</v>
      </c>
      <c r="E4099" s="3" t="s">
        <v>3315</v>
      </c>
      <c r="J4099" s="9" t="s">
        <v>12118</v>
      </c>
      <c r="Q4099" s="10"/>
      <c r="T4099" s="9" t="s">
        <v>12131</v>
      </c>
      <c r="U4099" s="9" t="str">
        <f t="shared" ca="1" si="158"/>
        <v/>
      </c>
      <c r="V4099" s="9" t="str">
        <f t="shared" ca="1" si="159"/>
        <v/>
      </c>
      <c r="AC4099" s="9" t="s">
        <v>12134</v>
      </c>
      <c r="AD4099" s="9" t="s">
        <v>19</v>
      </c>
      <c r="AE4099" s="9" t="s">
        <v>12077</v>
      </c>
    </row>
    <row r="4100" spans="1:33">
      <c r="A4100" s="3" t="s">
        <v>4056</v>
      </c>
      <c r="D4100" s="3" t="s">
        <v>10385</v>
      </c>
      <c r="E4100" s="3" t="s">
        <v>10386</v>
      </c>
      <c r="J4100" s="9" t="s">
        <v>12120</v>
      </c>
      <c r="Q4100" s="10"/>
      <c r="U4100" s="9" t="str">
        <f t="shared" ca="1" si="158"/>
        <v/>
      </c>
      <c r="V4100" s="9" t="str">
        <f t="shared" ca="1" si="159"/>
        <v/>
      </c>
      <c r="AB4100" s="9" t="s">
        <v>12738</v>
      </c>
      <c r="AD4100" s="9" t="s">
        <v>19</v>
      </c>
    </row>
    <row r="4101" spans="1:33">
      <c r="A4101" s="3" t="s">
        <v>4056</v>
      </c>
      <c r="D4101" s="3" t="s">
        <v>10387</v>
      </c>
      <c r="E4101" s="3" t="s">
        <v>10388</v>
      </c>
      <c r="J4101" s="9" t="s">
        <v>12118</v>
      </c>
      <c r="Q4101" s="10"/>
      <c r="T4101" s="9" t="s">
        <v>12131</v>
      </c>
      <c r="U4101" s="9" t="str">
        <f t="shared" ca="1" si="158"/>
        <v/>
      </c>
      <c r="V4101" s="9" t="str">
        <f t="shared" ca="1" si="159"/>
        <v/>
      </c>
      <c r="AB4101" s="9" t="s">
        <v>12124</v>
      </c>
      <c r="AD4101" s="9" t="s">
        <v>19</v>
      </c>
    </row>
    <row r="4102" spans="1:33">
      <c r="A4102" s="3" t="s">
        <v>4056</v>
      </c>
      <c r="D4102" s="3" t="s">
        <v>10389</v>
      </c>
      <c r="E4102" s="5" t="s">
        <v>10390</v>
      </c>
      <c r="F4102" t="s">
        <v>16</v>
      </c>
      <c r="Q4102" s="10"/>
      <c r="U4102" s="9" t="str">
        <f t="shared" ca="1" si="158"/>
        <v/>
      </c>
      <c r="V4102" s="9" t="str">
        <f t="shared" ca="1" si="159"/>
        <v/>
      </c>
    </row>
    <row r="4103" spans="1:33">
      <c r="A4103" s="3" t="s">
        <v>4056</v>
      </c>
      <c r="D4103" s="3" t="s">
        <v>10392</v>
      </c>
      <c r="E4103" s="3" t="s">
        <v>10391</v>
      </c>
      <c r="G4103" t="s">
        <v>19</v>
      </c>
      <c r="J4103" s="9" t="s">
        <v>24</v>
      </c>
      <c r="L4103" s="9">
        <v>1</v>
      </c>
      <c r="M4103" s="9">
        <v>1</v>
      </c>
      <c r="N4103" s="9" t="s">
        <v>12078</v>
      </c>
      <c r="O4103" s="9" t="s">
        <v>12119</v>
      </c>
      <c r="Q4103" s="10"/>
      <c r="S4103" s="9">
        <v>11843</v>
      </c>
      <c r="U4103" s="9" t="str">
        <f t="shared" ca="1" si="158"/>
        <v/>
      </c>
      <c r="V4103" s="9" t="str">
        <f t="shared" ca="1" si="159"/>
        <v/>
      </c>
    </row>
    <row r="4104" spans="1:33">
      <c r="A4104" s="3" t="s">
        <v>4056</v>
      </c>
      <c r="D4104" s="3" t="s">
        <v>10393</v>
      </c>
      <c r="E4104" s="3" t="s">
        <v>10394</v>
      </c>
      <c r="J4104" s="9" t="s">
        <v>12118</v>
      </c>
      <c r="Q4104" s="10"/>
      <c r="T4104" s="9">
        <f>0-3</f>
        <v>-3</v>
      </c>
      <c r="U4104" s="9">
        <f t="shared" ca="1" si="158"/>
        <v>3</v>
      </c>
      <c r="V4104" s="9">
        <f t="shared" ca="1" si="159"/>
        <v>0</v>
      </c>
      <c r="AE4104" s="9" t="s">
        <v>12077</v>
      </c>
    </row>
    <row r="4105" spans="1:33">
      <c r="A4105" s="3" t="s">
        <v>4057</v>
      </c>
      <c r="D4105" s="3" t="s">
        <v>4058</v>
      </c>
      <c r="E4105" s="3" t="s">
        <v>4059</v>
      </c>
      <c r="J4105" s="9" t="s">
        <v>12120</v>
      </c>
      <c r="Q4105" s="10"/>
      <c r="U4105" s="9" t="str">
        <f t="shared" ca="1" si="158"/>
        <v/>
      </c>
      <c r="V4105" s="9" t="str">
        <f t="shared" ca="1" si="159"/>
        <v/>
      </c>
      <c r="AC4105" s="9" t="s">
        <v>12134</v>
      </c>
      <c r="AD4105" s="9" t="s">
        <v>19</v>
      </c>
      <c r="AE4105" s="9" t="s">
        <v>12086</v>
      </c>
    </row>
    <row r="4106" spans="1:33">
      <c r="A4106" s="3" t="s">
        <v>4060</v>
      </c>
      <c r="D4106" s="3" t="s">
        <v>4061</v>
      </c>
      <c r="E4106" s="3" t="s">
        <v>4062</v>
      </c>
      <c r="J4106" s="9" t="s">
        <v>12118</v>
      </c>
      <c r="Q4106" s="10"/>
      <c r="T4106" s="9" t="s">
        <v>12131</v>
      </c>
      <c r="U4106" s="9" t="str">
        <f t="shared" ca="1" si="158"/>
        <v/>
      </c>
      <c r="V4106" s="9" t="str">
        <f t="shared" ca="1" si="159"/>
        <v/>
      </c>
      <c r="AC4106" s="9" t="s">
        <v>12130</v>
      </c>
      <c r="AD4106" s="9" t="s">
        <v>19</v>
      </c>
      <c r="AE4106" s="9" t="s">
        <v>12086</v>
      </c>
    </row>
    <row r="4107" spans="1:33">
      <c r="A4107" s="3" t="s">
        <v>4060</v>
      </c>
      <c r="D4107" s="3" t="s">
        <v>10396</v>
      </c>
      <c r="E4107" s="3" t="s">
        <v>10395</v>
      </c>
      <c r="G4107" t="s">
        <v>19</v>
      </c>
      <c r="J4107" s="9" t="s">
        <v>24</v>
      </c>
      <c r="L4107" s="9">
        <v>1</v>
      </c>
      <c r="M4107" s="9">
        <v>3</v>
      </c>
      <c r="N4107" s="9" t="s">
        <v>12092</v>
      </c>
      <c r="O4107" s="9" t="s">
        <v>12079</v>
      </c>
      <c r="Q4107" s="10"/>
      <c r="S4107" s="9">
        <v>133</v>
      </c>
      <c r="U4107" s="9" t="str">
        <f t="shared" ca="1" si="158"/>
        <v/>
      </c>
      <c r="V4107" s="9" t="str">
        <f t="shared" ca="1" si="159"/>
        <v/>
      </c>
    </row>
    <row r="4108" spans="1:33">
      <c r="A4108" s="3" t="s">
        <v>4060</v>
      </c>
      <c r="D4108" s="3" t="s">
        <v>4064</v>
      </c>
      <c r="E4108" s="3" t="s">
        <v>1104</v>
      </c>
      <c r="J4108" s="9" t="s">
        <v>12121</v>
      </c>
      <c r="Q4108" s="10"/>
      <c r="T4108" s="9" t="s">
        <v>12131</v>
      </c>
      <c r="U4108" s="9" t="str">
        <f t="shared" ref="U4108:U4171" ca="1" si="160">IF(ISNUMBER(T4108),VALUE(MID(_xlfn.FORMULATEXT(T4108),SEARCH("-",_xlfn.FORMULATEXT(T4108))+1,LEN(_xlfn.FORMULATEXT(T4108))-SEARCH("-",_xlfn.FORMULATEXT(T4108)))), "")</f>
        <v/>
      </c>
      <c r="V4108" s="9" t="str">
        <f t="shared" ref="V4108:V4171" ca="1" si="161">IF(ISNUMBER(T4108), VALUE(MID(_xlfn.FORMULATEXT(T4108), 2, SEARCH("-", _xlfn.FORMULATEXT(T4108)) - 2)), "")</f>
        <v/>
      </c>
      <c r="AC4108" s="9" t="s">
        <v>12130</v>
      </c>
      <c r="AD4108" s="9" t="s">
        <v>19</v>
      </c>
      <c r="AE4108" s="9" t="s">
        <v>12086</v>
      </c>
    </row>
    <row r="4109" spans="1:33" ht="43.5">
      <c r="A4109" s="3" t="s">
        <v>4065</v>
      </c>
      <c r="D4109" s="3" t="s">
        <v>10398</v>
      </c>
      <c r="E4109" s="3" t="s">
        <v>10397</v>
      </c>
      <c r="I4109" t="s">
        <v>10402</v>
      </c>
      <c r="J4109" s="9" t="s">
        <v>26</v>
      </c>
      <c r="Q4109" s="10"/>
      <c r="U4109" s="9" t="str">
        <f t="shared" ca="1" si="160"/>
        <v/>
      </c>
      <c r="V4109" s="9" t="str">
        <f t="shared" ca="1" si="161"/>
        <v/>
      </c>
      <c r="AG4109" s="9" t="s">
        <v>20</v>
      </c>
    </row>
    <row r="4110" spans="1:33">
      <c r="A4110" s="3" t="s">
        <v>4066</v>
      </c>
      <c r="D4110" s="3" t="s">
        <v>10400</v>
      </c>
      <c r="E4110" s="3" t="s">
        <v>10399</v>
      </c>
      <c r="J4110" s="9" t="s">
        <v>12120</v>
      </c>
      <c r="Q4110" s="10"/>
      <c r="U4110" s="9" t="str">
        <f t="shared" ca="1" si="160"/>
        <v/>
      </c>
      <c r="V4110" s="9" t="str">
        <f t="shared" ca="1" si="161"/>
        <v/>
      </c>
      <c r="AG4110" s="9" t="s">
        <v>19</v>
      </c>
    </row>
    <row r="4111" spans="1:33">
      <c r="A4111" s="3" t="s">
        <v>4067</v>
      </c>
      <c r="D4111" s="3" t="s">
        <v>4068</v>
      </c>
      <c r="E4111" s="3" t="s">
        <v>4069</v>
      </c>
      <c r="J4111" s="9" t="s">
        <v>12118</v>
      </c>
      <c r="Q4111" s="10"/>
      <c r="T4111" s="9" t="s">
        <v>12131</v>
      </c>
      <c r="U4111" s="9" t="str">
        <f t="shared" ca="1" si="160"/>
        <v/>
      </c>
      <c r="V4111" s="9" t="str">
        <f t="shared" ca="1" si="161"/>
        <v/>
      </c>
      <c r="AC4111" s="9" t="s">
        <v>12744</v>
      </c>
      <c r="AD4111" s="9" t="s">
        <v>19</v>
      </c>
      <c r="AE4111" s="9" t="s">
        <v>12086</v>
      </c>
    </row>
    <row r="4112" spans="1:33" ht="58">
      <c r="A4112" s="3" t="s">
        <v>4067</v>
      </c>
      <c r="D4112" s="3" t="s">
        <v>12941</v>
      </c>
      <c r="E4112" s="3" t="s">
        <v>10401</v>
      </c>
      <c r="I4112" t="s">
        <v>10402</v>
      </c>
      <c r="J4112" s="9" t="s">
        <v>26</v>
      </c>
      <c r="Q4112" s="10"/>
      <c r="U4112" s="9" t="str">
        <f t="shared" ca="1" si="160"/>
        <v/>
      </c>
      <c r="V4112" s="9" t="str">
        <f t="shared" ca="1" si="161"/>
        <v/>
      </c>
      <c r="AG4112" s="9" t="s">
        <v>19</v>
      </c>
    </row>
    <row r="4113" spans="1:33" ht="58">
      <c r="A4113" s="3" t="s">
        <v>4070</v>
      </c>
      <c r="D4113" s="3" t="s">
        <v>10403</v>
      </c>
      <c r="E4113" s="3" t="s">
        <v>10404</v>
      </c>
      <c r="J4113" s="9" t="s">
        <v>12120</v>
      </c>
      <c r="Q4113" s="10"/>
      <c r="U4113" s="9" t="str">
        <f t="shared" ca="1" si="160"/>
        <v/>
      </c>
      <c r="V4113" s="9" t="str">
        <f t="shared" ca="1" si="161"/>
        <v/>
      </c>
      <c r="AG4113" s="9" t="s">
        <v>20</v>
      </c>
    </row>
    <row r="4114" spans="1:33">
      <c r="A4114" s="3" t="s">
        <v>4071</v>
      </c>
      <c r="D4114" s="3" t="s">
        <v>10405</v>
      </c>
      <c r="E4114" s="3" t="s">
        <v>10406</v>
      </c>
      <c r="J4114" s="9" t="s">
        <v>12118</v>
      </c>
      <c r="Q4114" s="10"/>
      <c r="T4114" s="9">
        <f>156-7</f>
        <v>149</v>
      </c>
      <c r="U4114" s="9">
        <f t="shared" ca="1" si="160"/>
        <v>7</v>
      </c>
      <c r="V4114" s="9">
        <f t="shared" ca="1" si="161"/>
        <v>156</v>
      </c>
      <c r="AG4114" s="9" t="s">
        <v>20</v>
      </c>
    </row>
    <row r="4115" spans="1:33">
      <c r="A4115" s="3" t="s">
        <v>4071</v>
      </c>
      <c r="D4115" s="3" t="s">
        <v>10408</v>
      </c>
      <c r="E4115" s="3" t="s">
        <v>10407</v>
      </c>
      <c r="J4115" s="9" t="s">
        <v>12120</v>
      </c>
      <c r="Q4115" s="10"/>
      <c r="U4115" s="9" t="str">
        <f t="shared" ca="1" si="160"/>
        <v/>
      </c>
      <c r="V4115" s="9" t="str">
        <f t="shared" ca="1" si="161"/>
        <v/>
      </c>
      <c r="AC4115" s="9" t="s">
        <v>12173</v>
      </c>
      <c r="AD4115" s="9" t="s">
        <v>19</v>
      </c>
    </row>
    <row r="4116" spans="1:33">
      <c r="A4116" s="3" t="s">
        <v>4071</v>
      </c>
      <c r="D4116" s="3" t="s">
        <v>3973</v>
      </c>
      <c r="E4116" s="3" t="s">
        <v>3974</v>
      </c>
      <c r="J4116" s="9" t="s">
        <v>12118</v>
      </c>
      <c r="Q4116" s="10"/>
      <c r="T4116" s="9" t="s">
        <v>12131</v>
      </c>
      <c r="U4116" s="9" t="str">
        <f t="shared" ca="1" si="160"/>
        <v/>
      </c>
      <c r="V4116" s="9" t="str">
        <f t="shared" ca="1" si="161"/>
        <v/>
      </c>
      <c r="AC4116" s="9" t="s">
        <v>12130</v>
      </c>
      <c r="AD4116" s="9" t="s">
        <v>19</v>
      </c>
      <c r="AE4116" s="9" t="s">
        <v>12086</v>
      </c>
    </row>
    <row r="4117" spans="1:33" ht="29">
      <c r="A4117" s="3" t="s">
        <v>4072</v>
      </c>
      <c r="D4117" s="3" t="s">
        <v>10409</v>
      </c>
      <c r="E4117" s="3" t="s">
        <v>10410</v>
      </c>
      <c r="J4117" s="9" t="s">
        <v>12118</v>
      </c>
      <c r="Q4117" s="10"/>
      <c r="T4117" s="9" t="s">
        <v>12131</v>
      </c>
      <c r="U4117" s="9" t="str">
        <f t="shared" ca="1" si="160"/>
        <v/>
      </c>
      <c r="V4117" s="9" t="str">
        <f t="shared" ca="1" si="161"/>
        <v/>
      </c>
      <c r="AB4117" s="9" t="s">
        <v>12124</v>
      </c>
      <c r="AC4117" s="9" t="s">
        <v>12128</v>
      </c>
      <c r="AD4117" s="9" t="s">
        <v>19</v>
      </c>
    </row>
    <row r="4118" spans="1:33" ht="29">
      <c r="A4118" s="3" t="s">
        <v>4073</v>
      </c>
      <c r="D4118" s="3" t="s">
        <v>10411</v>
      </c>
      <c r="E4118" s="3" t="s">
        <v>10412</v>
      </c>
      <c r="J4118" s="9" t="s">
        <v>12120</v>
      </c>
      <c r="Q4118" s="10"/>
      <c r="U4118" s="9" t="str">
        <f t="shared" ca="1" si="160"/>
        <v/>
      </c>
      <c r="V4118" s="9" t="str">
        <f t="shared" ca="1" si="161"/>
        <v/>
      </c>
      <c r="AB4118" s="9" t="s">
        <v>12738</v>
      </c>
      <c r="AD4118" s="9" t="s">
        <v>19</v>
      </c>
    </row>
    <row r="4119" spans="1:33">
      <c r="A4119" s="3" t="s">
        <v>4073</v>
      </c>
      <c r="D4119" s="3" t="s">
        <v>10413</v>
      </c>
      <c r="E4119" s="3" t="s">
        <v>10414</v>
      </c>
      <c r="J4119" s="9" t="s">
        <v>12120</v>
      </c>
      <c r="Q4119" s="10"/>
      <c r="U4119" s="9" t="str">
        <f t="shared" ca="1" si="160"/>
        <v/>
      </c>
      <c r="V4119" s="9" t="str">
        <f t="shared" ca="1" si="161"/>
        <v/>
      </c>
      <c r="AG4119" s="9" t="s">
        <v>19</v>
      </c>
    </row>
    <row r="4120" spans="1:33" ht="43.5">
      <c r="A4120" s="3" t="s">
        <v>4074</v>
      </c>
      <c r="D4120" s="3" t="s">
        <v>10416</v>
      </c>
      <c r="E4120" s="3" t="s">
        <v>10415</v>
      </c>
      <c r="I4120" t="s">
        <v>12525</v>
      </c>
      <c r="J4120" s="9" t="s">
        <v>25</v>
      </c>
      <c r="L4120" s="9">
        <v>3</v>
      </c>
      <c r="M4120" s="9">
        <v>19</v>
      </c>
      <c r="O4120" s="9" t="s">
        <v>12079</v>
      </c>
      <c r="Q4120" s="10"/>
      <c r="S4120" s="9">
        <v>5</v>
      </c>
      <c r="U4120" s="9" t="str">
        <f t="shared" ca="1" si="160"/>
        <v/>
      </c>
      <c r="V4120" s="9" t="str">
        <f t="shared" ca="1" si="161"/>
        <v/>
      </c>
      <c r="AG4120" s="9" t="s">
        <v>20</v>
      </c>
    </row>
    <row r="4121" spans="1:33">
      <c r="A4121" s="3" t="s">
        <v>4075</v>
      </c>
      <c r="D4121" s="3" t="s">
        <v>77</v>
      </c>
      <c r="E4121" s="3" t="s">
        <v>2903</v>
      </c>
      <c r="J4121" s="9" t="s">
        <v>12118</v>
      </c>
      <c r="Q4121" s="10"/>
      <c r="T4121" s="9">
        <f>437-75</f>
        <v>362</v>
      </c>
      <c r="U4121" s="9">
        <f t="shared" ca="1" si="160"/>
        <v>75</v>
      </c>
      <c r="V4121" s="9">
        <f t="shared" ca="1" si="161"/>
        <v>437</v>
      </c>
      <c r="AC4121" s="9" t="s">
        <v>12740</v>
      </c>
      <c r="AD4121" s="9" t="s">
        <v>19</v>
      </c>
    </row>
    <row r="4122" spans="1:33">
      <c r="A4122" s="3" t="s">
        <v>4076</v>
      </c>
      <c r="D4122" s="3" t="s">
        <v>4077</v>
      </c>
      <c r="E4122" s="3" t="s">
        <v>4078</v>
      </c>
      <c r="J4122" s="9" t="s">
        <v>12120</v>
      </c>
      <c r="Q4122" s="10"/>
      <c r="U4122" s="9" t="str">
        <f t="shared" ca="1" si="160"/>
        <v/>
      </c>
      <c r="V4122" s="9" t="str">
        <f t="shared" ca="1" si="161"/>
        <v/>
      </c>
      <c r="AG4122" s="9" t="s">
        <v>19</v>
      </c>
    </row>
    <row r="4123" spans="1:33" ht="29">
      <c r="A4123" s="3" t="s">
        <v>4076</v>
      </c>
      <c r="D4123" s="3" t="s">
        <v>10417</v>
      </c>
      <c r="E4123" s="3" t="s">
        <v>10418</v>
      </c>
      <c r="G4123" t="s">
        <v>19</v>
      </c>
      <c r="J4123" s="9" t="s">
        <v>24</v>
      </c>
      <c r="L4123" s="9">
        <v>1</v>
      </c>
      <c r="M4123" s="9">
        <v>3</v>
      </c>
      <c r="N4123" s="9" t="s">
        <v>12087</v>
      </c>
      <c r="O4123" s="9" t="s">
        <v>12079</v>
      </c>
      <c r="Q4123" s="10"/>
      <c r="S4123" s="9">
        <v>5676</v>
      </c>
      <c r="U4123" s="9" t="str">
        <f t="shared" ca="1" si="160"/>
        <v/>
      </c>
      <c r="V4123" s="9" t="str">
        <f t="shared" ca="1" si="161"/>
        <v/>
      </c>
    </row>
    <row r="4124" spans="1:33" ht="29">
      <c r="A4124" s="3" t="s">
        <v>4076</v>
      </c>
      <c r="D4124" s="3" t="s">
        <v>10417</v>
      </c>
      <c r="E4124" s="3" t="s">
        <v>12526</v>
      </c>
      <c r="G4124" t="s">
        <v>19</v>
      </c>
      <c r="J4124" s="9" t="s">
        <v>24</v>
      </c>
      <c r="L4124" s="9">
        <v>1</v>
      </c>
      <c r="M4124" s="9">
        <v>5</v>
      </c>
      <c r="N4124" s="9" t="s">
        <v>12094</v>
      </c>
      <c r="O4124" s="9" t="s">
        <v>12073</v>
      </c>
      <c r="P4124" s="9" t="s">
        <v>12203</v>
      </c>
      <c r="Q4124" s="10" t="s">
        <v>12204</v>
      </c>
      <c r="S4124" s="9">
        <v>4240</v>
      </c>
      <c r="U4124" s="9" t="str">
        <f t="shared" ca="1" si="160"/>
        <v/>
      </c>
      <c r="V4124" s="9" t="str">
        <f t="shared" ca="1" si="161"/>
        <v/>
      </c>
    </row>
    <row r="4125" spans="1:33" ht="29">
      <c r="A4125" s="3" t="s">
        <v>4076</v>
      </c>
      <c r="D4125" s="3" t="s">
        <v>12527</v>
      </c>
      <c r="E4125" s="3" t="s">
        <v>12528</v>
      </c>
      <c r="J4125" s="9" t="s">
        <v>12118</v>
      </c>
      <c r="Q4125" s="10"/>
      <c r="T4125" s="9">
        <f xml:space="preserve"> 160-4240</f>
        <v>-4080</v>
      </c>
      <c r="U4125" s="9">
        <f t="shared" ca="1" si="160"/>
        <v>4240</v>
      </c>
      <c r="V4125" s="9">
        <f t="shared" ca="1" si="161"/>
        <v>160</v>
      </c>
      <c r="AG4125" s="9" t="s">
        <v>19</v>
      </c>
    </row>
    <row r="4126" spans="1:33" ht="29">
      <c r="A4126" s="3" t="s">
        <v>4079</v>
      </c>
      <c r="D4126" s="3" t="s">
        <v>12529</v>
      </c>
      <c r="E4126" s="3" t="s">
        <v>12530</v>
      </c>
      <c r="G4126" t="s">
        <v>19</v>
      </c>
      <c r="J4126" s="9" t="s">
        <v>12120</v>
      </c>
      <c r="Q4126" s="10"/>
      <c r="U4126" s="9" t="str">
        <f t="shared" ca="1" si="160"/>
        <v/>
      </c>
      <c r="V4126" s="9" t="str">
        <f t="shared" ca="1" si="161"/>
        <v/>
      </c>
    </row>
    <row r="4127" spans="1:33" ht="29">
      <c r="A4127" s="3" t="s">
        <v>4079</v>
      </c>
      <c r="D4127" s="3" t="s">
        <v>12531</v>
      </c>
      <c r="E4127" s="3" t="s">
        <v>10419</v>
      </c>
      <c r="J4127" s="9" t="s">
        <v>25</v>
      </c>
      <c r="L4127" s="9">
        <v>1</v>
      </c>
      <c r="M4127" s="9">
        <v>3</v>
      </c>
      <c r="N4127" s="9" t="s">
        <v>12078</v>
      </c>
      <c r="O4127" s="9" t="s">
        <v>12079</v>
      </c>
      <c r="Q4127" s="10"/>
      <c r="S4127" s="9">
        <v>11843</v>
      </c>
      <c r="U4127" s="9" t="str">
        <f t="shared" ca="1" si="160"/>
        <v/>
      </c>
      <c r="V4127" s="9" t="str">
        <f t="shared" ca="1" si="161"/>
        <v/>
      </c>
      <c r="AG4127" s="9" t="s">
        <v>19</v>
      </c>
    </row>
    <row r="4128" spans="1:33">
      <c r="A4128" s="3" t="s">
        <v>4079</v>
      </c>
      <c r="D4128" s="3" t="s">
        <v>10420</v>
      </c>
      <c r="E4128" s="3" t="s">
        <v>10421</v>
      </c>
      <c r="J4128" s="9" t="s">
        <v>12118</v>
      </c>
      <c r="Q4128" s="10"/>
      <c r="T4128" s="9">
        <f>1966-166</f>
        <v>1800</v>
      </c>
      <c r="U4128" s="9">
        <f t="shared" ca="1" si="160"/>
        <v>166</v>
      </c>
      <c r="V4128" s="9">
        <f t="shared" ca="1" si="161"/>
        <v>1966</v>
      </c>
      <c r="AG4128" s="9" t="s">
        <v>19</v>
      </c>
    </row>
    <row r="4129" spans="1:33">
      <c r="A4129" s="3" t="s">
        <v>4080</v>
      </c>
      <c r="D4129" s="3" t="s">
        <v>10423</v>
      </c>
      <c r="E4129" s="3" t="s">
        <v>10422</v>
      </c>
      <c r="J4129" s="9" t="s">
        <v>25</v>
      </c>
      <c r="L4129" s="9">
        <v>1</v>
      </c>
      <c r="M4129" s="9">
        <v>1</v>
      </c>
      <c r="N4129" s="9" t="s">
        <v>12072</v>
      </c>
      <c r="O4129" s="9" t="s">
        <v>12119</v>
      </c>
      <c r="Q4129" s="10"/>
      <c r="S4129" s="9">
        <v>13</v>
      </c>
      <c r="U4129" s="9" t="str">
        <f t="shared" ca="1" si="160"/>
        <v/>
      </c>
      <c r="V4129" s="9" t="str">
        <f t="shared" ca="1" si="161"/>
        <v/>
      </c>
      <c r="AG4129" s="9" t="s">
        <v>13141</v>
      </c>
    </row>
    <row r="4130" spans="1:33">
      <c r="A4130" s="3" t="s">
        <v>4081</v>
      </c>
      <c r="D4130" s="3" t="s">
        <v>10424</v>
      </c>
      <c r="E4130" s="3" t="s">
        <v>10425</v>
      </c>
      <c r="J4130" s="9" t="s">
        <v>24</v>
      </c>
      <c r="L4130" s="9">
        <v>1</v>
      </c>
      <c r="M4130" s="9">
        <v>4</v>
      </c>
      <c r="N4130" s="9" t="s">
        <v>12098</v>
      </c>
      <c r="O4130" s="9" t="s">
        <v>12073</v>
      </c>
      <c r="P4130" s="9" t="s">
        <v>12142</v>
      </c>
      <c r="Q4130" s="10" t="s">
        <v>12160</v>
      </c>
      <c r="R4130" s="9" t="s">
        <v>12074</v>
      </c>
      <c r="S4130" s="9">
        <v>336</v>
      </c>
      <c r="U4130" s="9" t="str">
        <f t="shared" ca="1" si="160"/>
        <v/>
      </c>
      <c r="V4130" s="9" t="str">
        <f t="shared" ca="1" si="161"/>
        <v/>
      </c>
      <c r="AE4130" s="9" t="s">
        <v>12083</v>
      </c>
    </row>
    <row r="4131" spans="1:33">
      <c r="A4131" s="3" t="s">
        <v>4081</v>
      </c>
      <c r="D4131" s="3" t="s">
        <v>10427</v>
      </c>
      <c r="E4131" s="3" t="s">
        <v>10426</v>
      </c>
      <c r="G4131" t="s">
        <v>19</v>
      </c>
      <c r="J4131" s="9" t="s">
        <v>12120</v>
      </c>
      <c r="Q4131" s="10"/>
      <c r="U4131" s="9" t="str">
        <f t="shared" ca="1" si="160"/>
        <v/>
      </c>
      <c r="V4131" s="9" t="str">
        <f t="shared" ca="1" si="161"/>
        <v/>
      </c>
    </row>
    <row r="4132" spans="1:33" ht="29">
      <c r="A4132" s="3" t="s">
        <v>4082</v>
      </c>
      <c r="D4132" s="3" t="s">
        <v>10429</v>
      </c>
      <c r="E4132" s="3" t="s">
        <v>10428</v>
      </c>
      <c r="H4132" t="s">
        <v>19</v>
      </c>
      <c r="J4132" s="9" t="s">
        <v>25</v>
      </c>
      <c r="L4132" s="9">
        <v>2</v>
      </c>
      <c r="M4132" s="9">
        <v>10</v>
      </c>
      <c r="O4132" s="9" t="s">
        <v>12073</v>
      </c>
      <c r="P4132" s="9" t="s">
        <v>12135</v>
      </c>
      <c r="Q4132" s="10" t="s">
        <v>12136</v>
      </c>
      <c r="S4132" s="9">
        <v>12</v>
      </c>
      <c r="U4132" s="9" t="str">
        <f t="shared" ca="1" si="160"/>
        <v/>
      </c>
      <c r="V4132" s="9" t="str">
        <f t="shared" ca="1" si="161"/>
        <v/>
      </c>
      <c r="AG4132" s="9" t="s">
        <v>20</v>
      </c>
    </row>
    <row r="4133" spans="1:33">
      <c r="A4133" s="3" t="s">
        <v>4082</v>
      </c>
      <c r="D4133" s="3" t="s">
        <v>4083</v>
      </c>
      <c r="E4133" s="3" t="s">
        <v>4084</v>
      </c>
      <c r="J4133" s="9" t="s">
        <v>12120</v>
      </c>
      <c r="Q4133" s="10"/>
      <c r="U4133" s="9" t="str">
        <f t="shared" ca="1" si="160"/>
        <v/>
      </c>
      <c r="V4133" s="9" t="str">
        <f t="shared" ca="1" si="161"/>
        <v/>
      </c>
      <c r="AG4133" s="9" t="s">
        <v>20</v>
      </c>
    </row>
    <row r="4134" spans="1:33">
      <c r="A4134" s="3" t="s">
        <v>4082</v>
      </c>
      <c r="D4134" s="3" t="s">
        <v>10430</v>
      </c>
      <c r="E4134" s="5" t="s">
        <v>10430</v>
      </c>
      <c r="F4134" t="s">
        <v>32</v>
      </c>
      <c r="G4134" t="s">
        <v>19</v>
      </c>
      <c r="I4134" t="s">
        <v>10431</v>
      </c>
      <c r="J4134" s="9" t="s">
        <v>24</v>
      </c>
      <c r="L4134" s="9">
        <v>1</v>
      </c>
      <c r="M4134" s="9">
        <v>2</v>
      </c>
      <c r="N4134" s="9" t="s">
        <v>12123</v>
      </c>
      <c r="O4134" s="9" t="s">
        <v>12119</v>
      </c>
      <c r="Q4134" s="10"/>
      <c r="S4134" s="9">
        <v>887</v>
      </c>
      <c r="U4134" s="9" t="str">
        <f t="shared" ca="1" si="160"/>
        <v/>
      </c>
      <c r="V4134" s="9" t="str">
        <f t="shared" ca="1" si="161"/>
        <v/>
      </c>
    </row>
    <row r="4135" spans="1:33">
      <c r="A4135" s="3" t="s">
        <v>4085</v>
      </c>
      <c r="D4135" s="3" t="s">
        <v>10433</v>
      </c>
      <c r="E4135" s="3" t="s">
        <v>10432</v>
      </c>
      <c r="F4135" t="s">
        <v>11</v>
      </c>
      <c r="G4135" t="s">
        <v>19</v>
      </c>
      <c r="Q4135" s="10"/>
      <c r="U4135" s="9" t="str">
        <f t="shared" ca="1" si="160"/>
        <v/>
      </c>
      <c r="V4135" s="9" t="str">
        <f t="shared" ca="1" si="161"/>
        <v/>
      </c>
    </row>
    <row r="4136" spans="1:33" ht="58">
      <c r="A4136" s="3" t="s">
        <v>4085</v>
      </c>
      <c r="D4136" s="3" t="s">
        <v>10434</v>
      </c>
      <c r="E4136" s="3" t="s">
        <v>10435</v>
      </c>
      <c r="G4136" t="s">
        <v>19</v>
      </c>
      <c r="J4136" s="9" t="s">
        <v>12120</v>
      </c>
      <c r="Q4136" s="10"/>
      <c r="U4136" s="9" t="str">
        <f t="shared" ca="1" si="160"/>
        <v/>
      </c>
      <c r="V4136" s="9" t="str">
        <f t="shared" ca="1" si="161"/>
        <v/>
      </c>
      <c r="AE4136" s="9" t="s">
        <v>12089</v>
      </c>
    </row>
    <row r="4137" spans="1:33" ht="58">
      <c r="A4137" s="3" t="s">
        <v>4085</v>
      </c>
      <c r="D4137" s="3" t="s">
        <v>10436</v>
      </c>
      <c r="E4137" s="3" t="s">
        <v>10437</v>
      </c>
      <c r="J4137" s="9" t="s">
        <v>12120</v>
      </c>
      <c r="Q4137" s="10"/>
      <c r="U4137" s="9" t="str">
        <f t="shared" ca="1" si="160"/>
        <v/>
      </c>
      <c r="V4137" s="9" t="str">
        <f t="shared" ca="1" si="161"/>
        <v/>
      </c>
      <c r="AC4137" s="9" t="s">
        <v>12130</v>
      </c>
      <c r="AD4137" s="9" t="s">
        <v>19</v>
      </c>
    </row>
    <row r="4138" spans="1:33" ht="58">
      <c r="A4138" s="3" t="s">
        <v>4085</v>
      </c>
      <c r="D4138" s="3" t="s">
        <v>10438</v>
      </c>
      <c r="E4138" s="3" t="s">
        <v>10439</v>
      </c>
      <c r="G4138" t="s">
        <v>20</v>
      </c>
      <c r="I4138" t="s">
        <v>9925</v>
      </c>
      <c r="Q4138" s="10"/>
      <c r="U4138" s="9" t="str">
        <f t="shared" ca="1" si="160"/>
        <v/>
      </c>
      <c r="V4138" s="9" t="str">
        <f t="shared" ca="1" si="161"/>
        <v/>
      </c>
    </row>
    <row r="4139" spans="1:33" ht="58">
      <c r="A4139" s="3" t="s">
        <v>4085</v>
      </c>
      <c r="D4139" s="3" t="s">
        <v>10440</v>
      </c>
      <c r="E4139" s="3" t="s">
        <v>10441</v>
      </c>
      <c r="J4139" s="9" t="s">
        <v>12120</v>
      </c>
      <c r="Q4139" s="10"/>
      <c r="U4139" s="9" t="str">
        <f t="shared" ca="1" si="160"/>
        <v/>
      </c>
      <c r="V4139" s="9" t="str">
        <f t="shared" ca="1" si="161"/>
        <v/>
      </c>
      <c r="AC4139" s="9" t="s">
        <v>12740</v>
      </c>
      <c r="AD4139" s="9" t="s">
        <v>19</v>
      </c>
    </row>
    <row r="4140" spans="1:33">
      <c r="A4140" s="3" t="s">
        <v>4085</v>
      </c>
      <c r="D4140" s="3" t="s">
        <v>10443</v>
      </c>
      <c r="E4140" s="3" t="s">
        <v>10444</v>
      </c>
      <c r="J4140" s="9" t="s">
        <v>12121</v>
      </c>
      <c r="Q4140" s="10"/>
      <c r="T4140" s="9" t="s">
        <v>12131</v>
      </c>
      <c r="U4140" s="9" t="str">
        <f t="shared" ca="1" si="160"/>
        <v/>
      </c>
      <c r="V4140" s="9" t="str">
        <f t="shared" ca="1" si="161"/>
        <v/>
      </c>
      <c r="AC4140" s="9" t="s">
        <v>12532</v>
      </c>
      <c r="AD4140" s="9" t="s">
        <v>19</v>
      </c>
      <c r="AE4140" s="9" t="s">
        <v>12086</v>
      </c>
    </row>
    <row r="4141" spans="1:33">
      <c r="A4141" s="3" t="s">
        <v>4085</v>
      </c>
      <c r="D4141" s="3" t="s">
        <v>10445</v>
      </c>
      <c r="E4141" s="3" t="s">
        <v>10442</v>
      </c>
      <c r="G4141" t="s">
        <v>19</v>
      </c>
      <c r="J4141" s="9" t="s">
        <v>25</v>
      </c>
      <c r="L4141" s="9">
        <v>1</v>
      </c>
      <c r="M4141" s="9">
        <v>3</v>
      </c>
      <c r="N4141" s="9" t="s">
        <v>12096</v>
      </c>
      <c r="O4141" s="9" t="s">
        <v>12079</v>
      </c>
      <c r="Q4141" s="10"/>
      <c r="S4141" s="9">
        <v>1101</v>
      </c>
      <c r="U4141" s="9" t="str">
        <f t="shared" ca="1" si="160"/>
        <v/>
      </c>
      <c r="V4141" s="9" t="str">
        <f t="shared" ca="1" si="161"/>
        <v/>
      </c>
    </row>
    <row r="4142" spans="1:33" ht="43.5">
      <c r="A4142" s="3" t="s">
        <v>4086</v>
      </c>
      <c r="D4142" s="3" t="s">
        <v>10447</v>
      </c>
      <c r="E4142" s="3" t="s">
        <v>10446</v>
      </c>
      <c r="F4142" t="s">
        <v>11</v>
      </c>
      <c r="G4142" t="s">
        <v>19</v>
      </c>
      <c r="Q4142" s="10"/>
      <c r="U4142" s="9" t="str">
        <f t="shared" ca="1" si="160"/>
        <v/>
      </c>
      <c r="V4142" s="9" t="str">
        <f t="shared" ca="1" si="161"/>
        <v/>
      </c>
    </row>
    <row r="4143" spans="1:33">
      <c r="A4143" s="3" t="s">
        <v>4086</v>
      </c>
      <c r="D4143" s="3" t="s">
        <v>975</v>
      </c>
      <c r="E4143" s="3" t="s">
        <v>975</v>
      </c>
      <c r="G4143" t="s">
        <v>20</v>
      </c>
      <c r="I4143" t="s">
        <v>10448</v>
      </c>
      <c r="Q4143" s="10"/>
      <c r="U4143" s="9" t="str">
        <f t="shared" ca="1" si="160"/>
        <v/>
      </c>
      <c r="V4143" s="9" t="str">
        <f t="shared" ca="1" si="161"/>
        <v/>
      </c>
    </row>
    <row r="4144" spans="1:33" ht="29">
      <c r="A4144" s="3" t="s">
        <v>4087</v>
      </c>
      <c r="D4144" s="3" t="s">
        <v>10450</v>
      </c>
      <c r="E4144" s="3" t="s">
        <v>10451</v>
      </c>
      <c r="G4144" t="s">
        <v>19</v>
      </c>
      <c r="J4144" s="9" t="s">
        <v>12118</v>
      </c>
      <c r="Q4144" s="10"/>
      <c r="T4144" s="9">
        <f>58-24</f>
        <v>34</v>
      </c>
      <c r="U4144" s="9">
        <f t="shared" ca="1" si="160"/>
        <v>24</v>
      </c>
      <c r="V4144" s="9">
        <f t="shared" ca="1" si="161"/>
        <v>58</v>
      </c>
    </row>
    <row r="4145" spans="1:33" ht="29">
      <c r="A4145" s="3" t="s">
        <v>4087</v>
      </c>
      <c r="D4145" s="3" t="s">
        <v>10452</v>
      </c>
      <c r="E4145" s="3" t="s">
        <v>10449</v>
      </c>
      <c r="F4145" t="s">
        <v>11</v>
      </c>
      <c r="G4145" t="s">
        <v>19</v>
      </c>
      <c r="Q4145" s="10"/>
      <c r="U4145" s="9" t="str">
        <f t="shared" ca="1" si="160"/>
        <v/>
      </c>
      <c r="V4145" s="9" t="str">
        <f t="shared" ca="1" si="161"/>
        <v/>
      </c>
    </row>
    <row r="4146" spans="1:33" ht="29">
      <c r="A4146" s="3" t="s">
        <v>4087</v>
      </c>
      <c r="D4146" s="3" t="s">
        <v>10453</v>
      </c>
      <c r="E4146" s="3" t="s">
        <v>10454</v>
      </c>
      <c r="F4146" t="s">
        <v>11</v>
      </c>
      <c r="G4146" t="s">
        <v>19</v>
      </c>
      <c r="Q4146" s="10"/>
      <c r="U4146" s="9" t="str">
        <f t="shared" ca="1" si="160"/>
        <v/>
      </c>
      <c r="V4146" s="9" t="str">
        <f t="shared" ca="1" si="161"/>
        <v/>
      </c>
    </row>
    <row r="4147" spans="1:33" ht="29">
      <c r="A4147" s="3" t="s">
        <v>4087</v>
      </c>
      <c r="D4147" s="3" t="s">
        <v>10455</v>
      </c>
      <c r="E4147" s="3" t="s">
        <v>10456</v>
      </c>
      <c r="G4147" t="s">
        <v>19</v>
      </c>
      <c r="J4147" s="9" t="s">
        <v>12120</v>
      </c>
      <c r="Q4147" s="10"/>
      <c r="U4147" s="9" t="str">
        <f t="shared" ca="1" si="160"/>
        <v/>
      </c>
      <c r="V4147" s="9" t="str">
        <f t="shared" ca="1" si="161"/>
        <v/>
      </c>
    </row>
    <row r="4148" spans="1:33" ht="29">
      <c r="A4148" s="3" t="s">
        <v>4087</v>
      </c>
      <c r="D4148" s="3" t="s">
        <v>10457</v>
      </c>
      <c r="E4148" s="3" t="s">
        <v>10458</v>
      </c>
      <c r="J4148" s="9" t="s">
        <v>12118</v>
      </c>
      <c r="Q4148" s="10"/>
      <c r="T4148" s="9" t="s">
        <v>12131</v>
      </c>
      <c r="U4148" s="9" t="str">
        <f t="shared" ca="1" si="160"/>
        <v/>
      </c>
      <c r="V4148" s="9" t="str">
        <f t="shared" ca="1" si="161"/>
        <v/>
      </c>
      <c r="AE4148" s="9" t="s">
        <v>12077</v>
      </c>
    </row>
    <row r="4149" spans="1:33">
      <c r="A4149" s="3" t="s">
        <v>4089</v>
      </c>
      <c r="D4149" s="3" t="s">
        <v>10459</v>
      </c>
      <c r="E4149" s="3" t="s">
        <v>10460</v>
      </c>
      <c r="J4149" s="9" t="s">
        <v>12120</v>
      </c>
      <c r="Q4149" s="10"/>
      <c r="U4149" s="9" t="str">
        <f t="shared" ca="1" si="160"/>
        <v/>
      </c>
      <c r="V4149" s="9" t="str">
        <f t="shared" ca="1" si="161"/>
        <v/>
      </c>
      <c r="AC4149" s="9" t="s">
        <v>12130</v>
      </c>
      <c r="AD4149" s="9" t="s">
        <v>19</v>
      </c>
    </row>
    <row r="4150" spans="1:33">
      <c r="A4150" s="3" t="s">
        <v>4089</v>
      </c>
      <c r="D4150" s="3" t="s">
        <v>4090</v>
      </c>
      <c r="E4150" s="3" t="s">
        <v>4091</v>
      </c>
      <c r="J4150" s="9" t="s">
        <v>12120</v>
      </c>
      <c r="Q4150" s="10"/>
      <c r="U4150" s="9" t="str">
        <f t="shared" ca="1" si="160"/>
        <v/>
      </c>
      <c r="V4150" s="9" t="str">
        <f t="shared" ca="1" si="161"/>
        <v/>
      </c>
      <c r="AG4150" s="9" t="s">
        <v>19</v>
      </c>
    </row>
    <row r="4151" spans="1:33">
      <c r="A4151" s="3" t="s">
        <v>4089</v>
      </c>
      <c r="D4151" s="3" t="s">
        <v>10462</v>
      </c>
      <c r="E4151" s="3" t="s">
        <v>10461</v>
      </c>
      <c r="G4151" t="s">
        <v>19</v>
      </c>
      <c r="J4151" s="9" t="s">
        <v>25</v>
      </c>
      <c r="L4151" s="9">
        <v>1</v>
      </c>
      <c r="M4151" s="9">
        <v>3</v>
      </c>
      <c r="N4151" s="9" t="s">
        <v>12087</v>
      </c>
      <c r="O4151" s="9" t="s">
        <v>12073</v>
      </c>
      <c r="P4151" s="9" t="s">
        <v>12149</v>
      </c>
      <c r="Q4151" s="10" t="s">
        <v>12143</v>
      </c>
      <c r="S4151" s="9">
        <v>5676</v>
      </c>
      <c r="U4151" s="9" t="str">
        <f t="shared" ca="1" si="160"/>
        <v/>
      </c>
      <c r="V4151" s="9" t="str">
        <f t="shared" ca="1" si="161"/>
        <v/>
      </c>
    </row>
    <row r="4152" spans="1:33">
      <c r="A4152" s="3" t="s">
        <v>4092</v>
      </c>
      <c r="D4152" s="3" t="s">
        <v>10463</v>
      </c>
      <c r="E4152" s="3" t="s">
        <v>10464</v>
      </c>
      <c r="J4152" s="9" t="s">
        <v>24</v>
      </c>
      <c r="L4152" s="9">
        <v>1</v>
      </c>
      <c r="M4152" s="9">
        <v>1</v>
      </c>
      <c r="N4152" s="9" t="s">
        <v>12078</v>
      </c>
      <c r="O4152" s="9" t="s">
        <v>12119</v>
      </c>
      <c r="Q4152" s="10"/>
      <c r="S4152" s="9">
        <v>11843</v>
      </c>
      <c r="U4152" s="9" t="str">
        <f t="shared" ca="1" si="160"/>
        <v/>
      </c>
      <c r="V4152" s="9" t="str">
        <f t="shared" ca="1" si="161"/>
        <v/>
      </c>
      <c r="AG4152" s="9" t="s">
        <v>19</v>
      </c>
    </row>
    <row r="4153" spans="1:33">
      <c r="A4153" s="3" t="s">
        <v>4092</v>
      </c>
      <c r="D4153" s="3" t="s">
        <v>10466</v>
      </c>
      <c r="E4153" s="3" t="s">
        <v>10465</v>
      </c>
      <c r="J4153" s="9" t="s">
        <v>12118</v>
      </c>
      <c r="Q4153" s="10"/>
      <c r="T4153" s="9" t="s">
        <v>12119</v>
      </c>
      <c r="U4153" s="9" t="str">
        <f t="shared" ca="1" si="160"/>
        <v/>
      </c>
      <c r="V4153" s="9" t="str">
        <f t="shared" ca="1" si="161"/>
        <v/>
      </c>
      <c r="AB4153" s="9" t="s">
        <v>12124</v>
      </c>
      <c r="AD4153" s="9" t="s">
        <v>19</v>
      </c>
    </row>
    <row r="4154" spans="1:33" ht="29">
      <c r="A4154" s="3" t="s">
        <v>4093</v>
      </c>
      <c r="D4154" s="3" t="s">
        <v>10467</v>
      </c>
      <c r="E4154" s="3" t="s">
        <v>10467</v>
      </c>
      <c r="F4154" t="s">
        <v>11</v>
      </c>
      <c r="G4154" t="s">
        <v>20</v>
      </c>
      <c r="I4154" t="s">
        <v>10468</v>
      </c>
      <c r="Q4154" s="10"/>
      <c r="U4154" s="9" t="str">
        <f t="shared" ca="1" si="160"/>
        <v/>
      </c>
      <c r="V4154" s="9" t="str">
        <f t="shared" ca="1" si="161"/>
        <v/>
      </c>
    </row>
    <row r="4155" spans="1:33">
      <c r="A4155" s="3" t="s">
        <v>4093</v>
      </c>
      <c r="D4155" s="3" t="s">
        <v>10470</v>
      </c>
      <c r="E4155" s="3" t="s">
        <v>10469</v>
      </c>
      <c r="G4155" t="s">
        <v>21</v>
      </c>
      <c r="I4155" t="s">
        <v>10471</v>
      </c>
      <c r="J4155" s="9" t="s">
        <v>24</v>
      </c>
      <c r="L4155" s="9">
        <v>1</v>
      </c>
      <c r="M4155" s="9">
        <v>2</v>
      </c>
      <c r="N4155" s="9" t="s">
        <v>12096</v>
      </c>
      <c r="O4155" s="9" t="s">
        <v>12119</v>
      </c>
      <c r="Q4155" s="10"/>
      <c r="S4155" s="9">
        <v>1294</v>
      </c>
      <c r="U4155" s="9" t="str">
        <f t="shared" ca="1" si="160"/>
        <v/>
      </c>
      <c r="V4155" s="9" t="str">
        <f t="shared" ca="1" si="161"/>
        <v/>
      </c>
    </row>
    <row r="4156" spans="1:33" ht="29">
      <c r="A4156" s="3" t="s">
        <v>4094</v>
      </c>
      <c r="D4156" s="3" t="s">
        <v>10473</v>
      </c>
      <c r="E4156" s="3" t="s">
        <v>10472</v>
      </c>
      <c r="G4156" t="s">
        <v>19</v>
      </c>
      <c r="J4156" s="9" t="s">
        <v>25</v>
      </c>
      <c r="L4156" s="9">
        <v>1</v>
      </c>
      <c r="M4156" s="9">
        <v>3</v>
      </c>
      <c r="N4156" s="9" t="s">
        <v>12087</v>
      </c>
      <c r="O4156" s="9" t="s">
        <v>12079</v>
      </c>
      <c r="Q4156" s="10"/>
      <c r="S4156" s="9">
        <v>5676</v>
      </c>
      <c r="U4156" s="9" t="str">
        <f t="shared" ca="1" si="160"/>
        <v/>
      </c>
      <c r="V4156" s="9" t="str">
        <f t="shared" ca="1" si="161"/>
        <v/>
      </c>
    </row>
    <row r="4157" spans="1:33" ht="29">
      <c r="A4157" s="3" t="s">
        <v>4094</v>
      </c>
      <c r="D4157" s="3" t="s">
        <v>10474</v>
      </c>
      <c r="E4157" s="3" t="s">
        <v>10472</v>
      </c>
      <c r="G4157" t="s">
        <v>19</v>
      </c>
      <c r="J4157" s="9" t="s">
        <v>25</v>
      </c>
      <c r="L4157" s="9">
        <v>1</v>
      </c>
      <c r="M4157" s="9">
        <v>3</v>
      </c>
      <c r="N4157" s="9" t="s">
        <v>12087</v>
      </c>
      <c r="O4157" s="9" t="s">
        <v>12079</v>
      </c>
      <c r="Q4157" s="10"/>
      <c r="S4157" s="9">
        <v>431</v>
      </c>
      <c r="U4157" s="9" t="str">
        <f t="shared" ca="1" si="160"/>
        <v/>
      </c>
      <c r="V4157" s="9" t="str">
        <f t="shared" ca="1" si="161"/>
        <v/>
      </c>
    </row>
    <row r="4158" spans="1:33" ht="29">
      <c r="A4158" s="3" t="s">
        <v>4094</v>
      </c>
      <c r="D4158" s="3" t="s">
        <v>10475</v>
      </c>
      <c r="E4158" s="3" t="s">
        <v>10476</v>
      </c>
      <c r="J4158" s="9" t="s">
        <v>12120</v>
      </c>
      <c r="Q4158" s="10"/>
      <c r="U4158" s="9" t="str">
        <f t="shared" ca="1" si="160"/>
        <v/>
      </c>
      <c r="V4158" s="9" t="str">
        <f t="shared" ca="1" si="161"/>
        <v/>
      </c>
      <c r="AC4158" s="9" t="s">
        <v>12130</v>
      </c>
      <c r="AD4158" s="9" t="s">
        <v>19</v>
      </c>
    </row>
    <row r="4159" spans="1:33">
      <c r="A4159" s="3" t="s">
        <v>4094</v>
      </c>
      <c r="D4159" s="6" t="s">
        <v>10477</v>
      </c>
      <c r="E4159" s="3" t="s">
        <v>10478</v>
      </c>
      <c r="G4159" t="s">
        <v>20</v>
      </c>
      <c r="I4159" t="s">
        <v>13123</v>
      </c>
      <c r="Q4159" s="10"/>
      <c r="U4159" s="9" t="str">
        <f t="shared" ca="1" si="160"/>
        <v/>
      </c>
      <c r="V4159" s="9" t="str">
        <f t="shared" ca="1" si="161"/>
        <v/>
      </c>
      <c r="AF4159" s="9" t="s">
        <v>19</v>
      </c>
    </row>
    <row r="4160" spans="1:33">
      <c r="A4160" s="3" t="s">
        <v>4094</v>
      </c>
      <c r="D4160" s="6" t="s">
        <v>10480</v>
      </c>
      <c r="E4160" s="3" t="s">
        <v>10479</v>
      </c>
      <c r="G4160" t="s">
        <v>19</v>
      </c>
      <c r="J4160" s="9" t="s">
        <v>12118</v>
      </c>
      <c r="Q4160" s="10"/>
      <c r="T4160" s="9" t="s">
        <v>12119</v>
      </c>
      <c r="U4160" s="9" t="str">
        <f t="shared" ca="1" si="160"/>
        <v/>
      </c>
      <c r="V4160" s="9" t="str">
        <f t="shared" ca="1" si="161"/>
        <v/>
      </c>
      <c r="AB4160" s="9" t="s">
        <v>12124</v>
      </c>
      <c r="AC4160" s="9" t="s">
        <v>12128</v>
      </c>
      <c r="AD4160" s="9" t="s">
        <v>19</v>
      </c>
    </row>
    <row r="4161" spans="1:33">
      <c r="A4161" s="3" t="s">
        <v>4094</v>
      </c>
      <c r="D4161" s="3" t="s">
        <v>4095</v>
      </c>
      <c r="E4161" s="3" t="s">
        <v>2604</v>
      </c>
      <c r="J4161" s="9" t="s">
        <v>12120</v>
      </c>
      <c r="Q4161" s="10"/>
      <c r="U4161" s="9" t="str">
        <f t="shared" ca="1" si="160"/>
        <v/>
      </c>
      <c r="V4161" s="9" t="str">
        <f t="shared" ca="1" si="161"/>
        <v/>
      </c>
      <c r="AC4161" s="9" t="s">
        <v>12739</v>
      </c>
      <c r="AD4161" s="9" t="s">
        <v>19</v>
      </c>
    </row>
    <row r="4162" spans="1:33" ht="29">
      <c r="A4162" s="3" t="s">
        <v>4096</v>
      </c>
      <c r="D4162" s="3" t="s">
        <v>10482</v>
      </c>
      <c r="E4162" s="3" t="s">
        <v>10481</v>
      </c>
      <c r="I4162" t="s">
        <v>12726</v>
      </c>
      <c r="J4162" s="9" t="s">
        <v>25</v>
      </c>
      <c r="L4162" s="9">
        <v>2</v>
      </c>
      <c r="M4162" s="9">
        <v>6</v>
      </c>
      <c r="O4162" s="9" t="s">
        <v>12079</v>
      </c>
      <c r="Q4162" s="10"/>
      <c r="S4162" s="9">
        <v>560</v>
      </c>
      <c r="U4162" s="9" t="str">
        <f t="shared" ca="1" si="160"/>
        <v/>
      </c>
      <c r="V4162" s="9" t="str">
        <f t="shared" ca="1" si="161"/>
        <v/>
      </c>
      <c r="W4162" s="9" t="s">
        <v>12117</v>
      </c>
      <c r="AG4162" s="9" t="s">
        <v>19</v>
      </c>
    </row>
    <row r="4163" spans="1:33">
      <c r="A4163" s="3" t="s">
        <v>4096</v>
      </c>
      <c r="D4163" s="3" t="s">
        <v>10484</v>
      </c>
      <c r="E4163" s="5" t="s">
        <v>10483</v>
      </c>
      <c r="F4163" t="s">
        <v>16</v>
      </c>
      <c r="J4163" s="9" t="s">
        <v>25</v>
      </c>
      <c r="L4163" s="9">
        <v>1</v>
      </c>
      <c r="M4163" s="9">
        <v>3</v>
      </c>
      <c r="N4163" s="9" t="s">
        <v>12087</v>
      </c>
      <c r="O4163" s="9" t="s">
        <v>12079</v>
      </c>
      <c r="Q4163" s="10"/>
      <c r="S4163" s="9">
        <v>5676</v>
      </c>
      <c r="U4163" s="9" t="str">
        <f t="shared" ca="1" si="160"/>
        <v/>
      </c>
      <c r="V4163" s="9" t="str">
        <f t="shared" ca="1" si="161"/>
        <v/>
      </c>
    </row>
    <row r="4164" spans="1:33">
      <c r="A4164" s="3" t="s">
        <v>4097</v>
      </c>
      <c r="D4164" s="3" t="s">
        <v>10486</v>
      </c>
      <c r="E4164" s="3" t="s">
        <v>10485</v>
      </c>
      <c r="G4164" t="s">
        <v>19</v>
      </c>
      <c r="J4164" s="9" t="s">
        <v>25</v>
      </c>
      <c r="L4164" s="9">
        <v>1</v>
      </c>
      <c r="M4164" s="9">
        <v>1</v>
      </c>
      <c r="N4164" s="9" t="s">
        <v>12078</v>
      </c>
      <c r="O4164" s="9" t="s">
        <v>12119</v>
      </c>
      <c r="Q4164" s="10"/>
      <c r="S4164" s="9">
        <v>11843</v>
      </c>
      <c r="U4164" s="9" t="str">
        <f t="shared" ca="1" si="160"/>
        <v/>
      </c>
      <c r="V4164" s="9" t="str">
        <f t="shared" ca="1" si="161"/>
        <v/>
      </c>
    </row>
    <row r="4165" spans="1:33">
      <c r="A4165" s="3" t="s">
        <v>4097</v>
      </c>
      <c r="D4165" s="3" t="s">
        <v>10487</v>
      </c>
      <c r="E4165" s="3" t="s">
        <v>10488</v>
      </c>
      <c r="H4165" t="s">
        <v>19</v>
      </c>
      <c r="J4165" s="9" t="s">
        <v>25</v>
      </c>
      <c r="L4165" s="9">
        <v>1</v>
      </c>
      <c r="M4165" s="9">
        <v>2</v>
      </c>
      <c r="N4165" s="9" t="s">
        <v>12092</v>
      </c>
      <c r="O4165" s="9" t="s">
        <v>12119</v>
      </c>
      <c r="Q4165" s="10"/>
      <c r="S4165" s="9">
        <v>133</v>
      </c>
      <c r="U4165" s="9" t="str">
        <f t="shared" ca="1" si="160"/>
        <v/>
      </c>
      <c r="V4165" s="9" t="str">
        <f t="shared" ca="1" si="161"/>
        <v/>
      </c>
      <c r="AG4165" s="9" t="s">
        <v>20</v>
      </c>
    </row>
    <row r="4166" spans="1:33">
      <c r="A4166" s="3" t="s">
        <v>4097</v>
      </c>
      <c r="D4166" s="3" t="s">
        <v>4098</v>
      </c>
      <c r="E4166" s="3" t="s">
        <v>4099</v>
      </c>
      <c r="J4166" s="9" t="s">
        <v>12118</v>
      </c>
      <c r="Q4166" s="10"/>
      <c r="T4166" s="9" t="s">
        <v>12131</v>
      </c>
      <c r="U4166" s="9" t="str">
        <f t="shared" ca="1" si="160"/>
        <v/>
      </c>
      <c r="V4166" s="9" t="str">
        <f t="shared" ca="1" si="161"/>
        <v/>
      </c>
      <c r="AB4166" s="9" t="s">
        <v>12124</v>
      </c>
      <c r="AD4166" s="9" t="s">
        <v>19</v>
      </c>
    </row>
    <row r="4167" spans="1:33">
      <c r="A4167" s="3" t="s">
        <v>4100</v>
      </c>
      <c r="D4167" s="3" t="s">
        <v>10490</v>
      </c>
      <c r="E4167" s="3" t="s">
        <v>10489</v>
      </c>
      <c r="J4167" s="9" t="s">
        <v>24</v>
      </c>
      <c r="L4167" s="9">
        <v>1</v>
      </c>
      <c r="M4167" s="9">
        <v>1</v>
      </c>
      <c r="N4167" s="9" t="s">
        <v>12078</v>
      </c>
      <c r="O4167" s="9" t="s">
        <v>12119</v>
      </c>
      <c r="Q4167" s="10"/>
      <c r="S4167" s="9">
        <v>11843</v>
      </c>
      <c r="U4167" s="9" t="str">
        <f t="shared" ca="1" si="160"/>
        <v/>
      </c>
      <c r="V4167" s="9" t="str">
        <f t="shared" ca="1" si="161"/>
        <v/>
      </c>
      <c r="AG4167" s="9" t="s">
        <v>19</v>
      </c>
    </row>
    <row r="4168" spans="1:33" ht="29">
      <c r="A4168" s="3" t="s">
        <v>4100</v>
      </c>
      <c r="D4168" s="3" t="s">
        <v>10491</v>
      </c>
      <c r="E4168" s="3" t="s">
        <v>10492</v>
      </c>
      <c r="J4168" s="9" t="s">
        <v>24</v>
      </c>
      <c r="L4168" s="9">
        <v>1</v>
      </c>
      <c r="M4168" s="9">
        <v>6</v>
      </c>
      <c r="N4168" s="9" t="s">
        <v>12092</v>
      </c>
      <c r="O4168" s="9" t="s">
        <v>12079</v>
      </c>
      <c r="Q4168" s="10"/>
      <c r="S4168" s="9">
        <v>361</v>
      </c>
      <c r="U4168" s="9" t="str">
        <f t="shared" ca="1" si="160"/>
        <v/>
      </c>
      <c r="V4168" s="9" t="str">
        <f t="shared" ca="1" si="161"/>
        <v/>
      </c>
      <c r="AG4168" s="9" t="s">
        <v>19</v>
      </c>
    </row>
    <row r="4169" spans="1:33" ht="29">
      <c r="A4169" s="3" t="s">
        <v>4100</v>
      </c>
      <c r="D4169" s="3" t="s">
        <v>10491</v>
      </c>
      <c r="E4169" s="3" t="s">
        <v>10493</v>
      </c>
      <c r="J4169" s="9" t="s">
        <v>24</v>
      </c>
      <c r="L4169" s="9">
        <v>1</v>
      </c>
      <c r="M4169" s="9">
        <v>4</v>
      </c>
      <c r="N4169" s="9" t="s">
        <v>12094</v>
      </c>
      <c r="O4169" s="9" t="s">
        <v>12079</v>
      </c>
      <c r="Q4169" s="10"/>
      <c r="S4169" s="9">
        <v>1741</v>
      </c>
      <c r="U4169" s="9" t="str">
        <f t="shared" ca="1" si="160"/>
        <v/>
      </c>
      <c r="V4169" s="9" t="str">
        <f t="shared" ca="1" si="161"/>
        <v/>
      </c>
      <c r="AG4169" s="9" t="s">
        <v>19</v>
      </c>
    </row>
    <row r="4170" spans="1:33" ht="29">
      <c r="A4170" s="3" t="s">
        <v>4100</v>
      </c>
      <c r="D4170" s="3" t="s">
        <v>10494</v>
      </c>
      <c r="E4170" s="3" t="s">
        <v>10495</v>
      </c>
      <c r="G4170" t="s">
        <v>19</v>
      </c>
      <c r="J4170" s="9" t="s">
        <v>12118</v>
      </c>
      <c r="Q4170" s="10"/>
      <c r="T4170" s="9">
        <f>207-19</f>
        <v>188</v>
      </c>
      <c r="U4170" s="9">
        <f t="shared" ca="1" si="160"/>
        <v>19</v>
      </c>
      <c r="V4170" s="9">
        <f t="shared" ca="1" si="161"/>
        <v>207</v>
      </c>
    </row>
    <row r="4171" spans="1:33" ht="29">
      <c r="A4171" s="3" t="s">
        <v>4100</v>
      </c>
      <c r="D4171" s="3" t="s">
        <v>10496</v>
      </c>
      <c r="E4171" s="3" t="s">
        <v>10497</v>
      </c>
      <c r="G4171" t="s">
        <v>19</v>
      </c>
      <c r="J4171" s="9" t="s">
        <v>12120</v>
      </c>
      <c r="Q4171" s="10"/>
      <c r="U4171" s="9" t="str">
        <f t="shared" ca="1" si="160"/>
        <v/>
      </c>
      <c r="V4171" s="9" t="str">
        <f t="shared" ca="1" si="161"/>
        <v/>
      </c>
    </row>
    <row r="4172" spans="1:33">
      <c r="A4172" s="3" t="s">
        <v>4101</v>
      </c>
      <c r="D4172" s="3" t="s">
        <v>10499</v>
      </c>
      <c r="E4172" s="3" t="s">
        <v>10498</v>
      </c>
      <c r="G4172" t="s">
        <v>19</v>
      </c>
      <c r="J4172" s="9" t="s">
        <v>24</v>
      </c>
      <c r="L4172" s="9">
        <v>1</v>
      </c>
      <c r="M4172" s="9">
        <v>3</v>
      </c>
      <c r="N4172" s="9" t="s">
        <v>12078</v>
      </c>
      <c r="O4172" s="9" t="s">
        <v>12079</v>
      </c>
      <c r="Q4172" s="10"/>
      <c r="S4172" s="9">
        <v>11843</v>
      </c>
      <c r="U4172" s="9" t="str">
        <f t="shared" ref="U4172:U4236" ca="1" si="162">IF(ISNUMBER(T4172),VALUE(MID(_xlfn.FORMULATEXT(T4172),SEARCH("-",_xlfn.FORMULATEXT(T4172))+1,LEN(_xlfn.FORMULATEXT(T4172))-SEARCH("-",_xlfn.FORMULATEXT(T4172)))), "")</f>
        <v/>
      </c>
      <c r="V4172" s="9" t="str">
        <f t="shared" ref="V4172:V4236" ca="1" si="163">IF(ISNUMBER(T4172), VALUE(MID(_xlfn.FORMULATEXT(T4172), 2, SEARCH("-", _xlfn.FORMULATEXT(T4172)) - 2)), "")</f>
        <v/>
      </c>
    </row>
    <row r="4173" spans="1:33">
      <c r="A4173" s="3" t="s">
        <v>4101</v>
      </c>
      <c r="D4173" s="3" t="s">
        <v>4088</v>
      </c>
      <c r="E4173" s="3" t="s">
        <v>4102</v>
      </c>
      <c r="J4173" s="9" t="s">
        <v>12118</v>
      </c>
      <c r="Q4173" s="10"/>
      <c r="T4173" s="9" t="s">
        <v>12131</v>
      </c>
      <c r="U4173" s="9" t="str">
        <f t="shared" ca="1" si="162"/>
        <v/>
      </c>
      <c r="V4173" s="9" t="str">
        <f t="shared" ca="1" si="163"/>
        <v/>
      </c>
      <c r="AB4173" s="9" t="s">
        <v>12124</v>
      </c>
      <c r="AC4173" s="9" t="s">
        <v>12130</v>
      </c>
      <c r="AD4173" s="9" t="s">
        <v>19</v>
      </c>
    </row>
    <row r="4174" spans="1:33">
      <c r="A4174" s="3" t="s">
        <v>4101</v>
      </c>
      <c r="D4174" s="3" t="s">
        <v>842</v>
      </c>
      <c r="E4174" s="3" t="s">
        <v>4103</v>
      </c>
      <c r="J4174" s="9" t="s">
        <v>12120</v>
      </c>
      <c r="Q4174" s="10"/>
      <c r="U4174" s="9" t="str">
        <f t="shared" ca="1" si="162"/>
        <v/>
      </c>
      <c r="V4174" s="9" t="str">
        <f t="shared" ca="1" si="163"/>
        <v/>
      </c>
      <c r="AC4174" s="9" t="s">
        <v>12740</v>
      </c>
      <c r="AD4174" s="9" t="s">
        <v>19</v>
      </c>
      <c r="AE4174" s="9" t="s">
        <v>12077</v>
      </c>
    </row>
    <row r="4175" spans="1:33">
      <c r="A4175" s="3" t="s">
        <v>4101</v>
      </c>
      <c r="D4175" s="3" t="s">
        <v>141</v>
      </c>
      <c r="E4175" s="3" t="s">
        <v>586</v>
      </c>
      <c r="J4175" s="9" t="s">
        <v>12120</v>
      </c>
      <c r="Q4175" s="10"/>
      <c r="U4175" s="9" t="str">
        <f t="shared" ca="1" si="162"/>
        <v/>
      </c>
      <c r="V4175" s="9" t="str">
        <f t="shared" ca="1" si="163"/>
        <v/>
      </c>
      <c r="AC4175" s="9" t="s">
        <v>12134</v>
      </c>
      <c r="AD4175" s="9" t="s">
        <v>19</v>
      </c>
    </row>
    <row r="4176" spans="1:33">
      <c r="A4176" s="3" t="s">
        <v>4104</v>
      </c>
      <c r="D4176" s="3" t="s">
        <v>10500</v>
      </c>
      <c r="E4176" s="3" t="s">
        <v>10501</v>
      </c>
      <c r="J4176" s="9" t="s">
        <v>12120</v>
      </c>
      <c r="Q4176" s="10"/>
      <c r="U4176" s="9" t="str">
        <f t="shared" ca="1" si="162"/>
        <v/>
      </c>
      <c r="V4176" s="9" t="str">
        <f t="shared" ca="1" si="163"/>
        <v/>
      </c>
      <c r="AE4176" s="9" t="s">
        <v>12077</v>
      </c>
    </row>
    <row r="4177" spans="1:33" ht="29">
      <c r="A4177" s="3" t="s">
        <v>4104</v>
      </c>
      <c r="D4177" s="3" t="s">
        <v>10502</v>
      </c>
      <c r="E4177" s="3" t="s">
        <v>10503</v>
      </c>
      <c r="J4177" s="9" t="s">
        <v>24</v>
      </c>
      <c r="L4177" s="9">
        <v>1</v>
      </c>
      <c r="M4177" s="9">
        <v>5</v>
      </c>
      <c r="N4177" s="9" t="s">
        <v>12094</v>
      </c>
      <c r="O4177" s="9" t="s">
        <v>12079</v>
      </c>
      <c r="Q4177" s="10"/>
      <c r="S4177" s="9">
        <v>4240</v>
      </c>
      <c r="U4177" s="9" t="str">
        <f t="shared" ca="1" si="162"/>
        <v/>
      </c>
      <c r="V4177" s="9" t="str">
        <f t="shared" ca="1" si="163"/>
        <v/>
      </c>
      <c r="AE4177" s="9" t="s">
        <v>12083</v>
      </c>
    </row>
    <row r="4178" spans="1:33">
      <c r="A4178" s="3" t="s">
        <v>4105</v>
      </c>
      <c r="D4178" s="3" t="s">
        <v>10505</v>
      </c>
      <c r="E4178" s="3" t="s">
        <v>10504</v>
      </c>
      <c r="F4178" t="s">
        <v>11</v>
      </c>
      <c r="G4178" t="s">
        <v>19</v>
      </c>
      <c r="J4178" s="9" t="s">
        <v>12121</v>
      </c>
      <c r="Q4178" s="10"/>
      <c r="T4178" s="9">
        <f>21-14</f>
        <v>7</v>
      </c>
      <c r="U4178" s="9">
        <f t="shared" ca="1" si="162"/>
        <v>14</v>
      </c>
      <c r="V4178" s="9">
        <f t="shared" ca="1" si="163"/>
        <v>21</v>
      </c>
    </row>
    <row r="4179" spans="1:33">
      <c r="A4179" s="3" t="s">
        <v>4105</v>
      </c>
      <c r="D4179" s="3" t="s">
        <v>10506</v>
      </c>
      <c r="E4179" s="3" t="s">
        <v>10507</v>
      </c>
      <c r="J4179" s="9" t="s">
        <v>12120</v>
      </c>
      <c r="Q4179" s="10"/>
      <c r="U4179" s="9" t="str">
        <f t="shared" ca="1" si="162"/>
        <v/>
      </c>
      <c r="V4179" s="9" t="str">
        <f t="shared" ca="1" si="163"/>
        <v/>
      </c>
      <c r="AC4179" s="9" t="s">
        <v>12144</v>
      </c>
      <c r="AD4179" s="9" t="s">
        <v>19</v>
      </c>
      <c r="AE4179" s="9" t="s">
        <v>12086</v>
      </c>
    </row>
    <row r="4180" spans="1:33">
      <c r="A4180" s="3" t="s">
        <v>4106</v>
      </c>
      <c r="D4180" s="3" t="s">
        <v>4107</v>
      </c>
      <c r="E4180" s="3" t="s">
        <v>4108</v>
      </c>
      <c r="J4180" s="9" t="s">
        <v>12118</v>
      </c>
      <c r="Q4180" s="10"/>
      <c r="T4180" s="9">
        <f>2-0</f>
        <v>2</v>
      </c>
      <c r="U4180" s="9">
        <f t="shared" ca="1" si="162"/>
        <v>0</v>
      </c>
      <c r="V4180" s="9">
        <f t="shared" ca="1" si="163"/>
        <v>2</v>
      </c>
      <c r="AC4180" s="9" t="s">
        <v>12130</v>
      </c>
      <c r="AD4180" s="9" t="s">
        <v>19</v>
      </c>
    </row>
    <row r="4181" spans="1:33">
      <c r="A4181" s="3" t="s">
        <v>4106</v>
      </c>
      <c r="D4181" s="3" t="s">
        <v>10508</v>
      </c>
      <c r="E4181" s="3" t="s">
        <v>10509</v>
      </c>
      <c r="J4181" s="9" t="s">
        <v>24</v>
      </c>
      <c r="L4181" s="9">
        <v>1</v>
      </c>
      <c r="M4181" s="9">
        <v>3</v>
      </c>
      <c r="N4181" s="9" t="s">
        <v>12078</v>
      </c>
      <c r="O4181" s="9" t="s">
        <v>12073</v>
      </c>
      <c r="P4181" s="9" t="s">
        <v>12149</v>
      </c>
      <c r="Q4181" s="10" t="s">
        <v>12143</v>
      </c>
      <c r="S4181" s="9">
        <v>11843</v>
      </c>
      <c r="U4181" s="9" t="str">
        <f t="shared" ca="1" si="162"/>
        <v/>
      </c>
      <c r="V4181" s="9" t="str">
        <f t="shared" ca="1" si="163"/>
        <v/>
      </c>
      <c r="AG4181" s="9" t="s">
        <v>19</v>
      </c>
    </row>
    <row r="4182" spans="1:33" ht="29">
      <c r="A4182" s="3" t="s">
        <v>4109</v>
      </c>
      <c r="D4182" s="3" t="s">
        <v>10511</v>
      </c>
      <c r="E4182" s="3" t="s">
        <v>10510</v>
      </c>
      <c r="F4182" t="s">
        <v>11</v>
      </c>
      <c r="G4182" t="s">
        <v>19</v>
      </c>
      <c r="Q4182" s="10"/>
      <c r="U4182" s="9" t="str">
        <f t="shared" ca="1" si="162"/>
        <v/>
      </c>
      <c r="V4182" s="9" t="str">
        <f t="shared" ca="1" si="163"/>
        <v/>
      </c>
    </row>
    <row r="4183" spans="1:33" ht="29">
      <c r="A4183" s="3" t="s">
        <v>4110</v>
      </c>
      <c r="D4183" s="3" t="s">
        <v>10512</v>
      </c>
      <c r="E4183" s="3" t="s">
        <v>10513</v>
      </c>
      <c r="G4183" t="s">
        <v>20</v>
      </c>
      <c r="I4183" t="s">
        <v>10516</v>
      </c>
      <c r="Q4183" s="10"/>
      <c r="U4183" s="9" t="str">
        <f t="shared" ca="1" si="162"/>
        <v/>
      </c>
      <c r="V4183" s="9" t="str">
        <f t="shared" ca="1" si="163"/>
        <v/>
      </c>
    </row>
    <row r="4184" spans="1:33" ht="29">
      <c r="A4184" s="3" t="s">
        <v>4110</v>
      </c>
      <c r="D4184" s="3" t="s">
        <v>10514</v>
      </c>
      <c r="E4184" s="3" t="s">
        <v>10515</v>
      </c>
      <c r="G4184" t="s">
        <v>19</v>
      </c>
      <c r="J4184" s="9" t="s">
        <v>12120</v>
      </c>
      <c r="Q4184" s="10"/>
      <c r="U4184" s="9" t="str">
        <f t="shared" ca="1" si="162"/>
        <v/>
      </c>
      <c r="V4184" s="9" t="str">
        <f t="shared" ca="1" si="163"/>
        <v/>
      </c>
      <c r="AE4184" s="9" t="s">
        <v>12086</v>
      </c>
    </row>
    <row r="4185" spans="1:33">
      <c r="A4185" s="3" t="s">
        <v>4110</v>
      </c>
      <c r="D4185" s="3" t="s">
        <v>10517</v>
      </c>
      <c r="E4185" s="3" t="s">
        <v>10518</v>
      </c>
      <c r="G4185" t="s">
        <v>20</v>
      </c>
      <c r="I4185" t="s">
        <v>10519</v>
      </c>
      <c r="J4185" s="9" t="s">
        <v>12120</v>
      </c>
      <c r="Q4185" s="10"/>
      <c r="U4185" s="9" t="str">
        <f t="shared" ca="1" si="162"/>
        <v/>
      </c>
      <c r="V4185" s="9" t="str">
        <f t="shared" ca="1" si="163"/>
        <v/>
      </c>
      <c r="AB4185" s="9" t="s">
        <v>12124</v>
      </c>
      <c r="AC4185" s="9" t="s">
        <v>12191</v>
      </c>
      <c r="AD4185" s="9" t="s">
        <v>19</v>
      </c>
    </row>
    <row r="4186" spans="1:33" ht="29">
      <c r="A4186" s="3" t="s">
        <v>4110</v>
      </c>
      <c r="D4186" s="3" t="s">
        <v>10520</v>
      </c>
      <c r="E4186" s="3" t="s">
        <v>10521</v>
      </c>
      <c r="F4186" t="s">
        <v>11</v>
      </c>
      <c r="Q4186" s="10"/>
      <c r="U4186" s="9" t="str">
        <f t="shared" ca="1" si="162"/>
        <v/>
      </c>
      <c r="V4186" s="9" t="str">
        <f t="shared" ca="1" si="163"/>
        <v/>
      </c>
    </row>
    <row r="4187" spans="1:33" ht="29">
      <c r="A4187" s="3" t="s">
        <v>4110</v>
      </c>
      <c r="D4187" s="3" t="s">
        <v>10523</v>
      </c>
      <c r="E4187" s="3" t="s">
        <v>10522</v>
      </c>
      <c r="J4187" s="9" t="s">
        <v>12120</v>
      </c>
      <c r="Q4187" s="10"/>
      <c r="U4187" s="9" t="str">
        <f t="shared" ca="1" si="162"/>
        <v/>
      </c>
      <c r="V4187" s="9" t="str">
        <f t="shared" ca="1" si="163"/>
        <v/>
      </c>
      <c r="AG4187" s="9" t="s">
        <v>19</v>
      </c>
    </row>
    <row r="4188" spans="1:33">
      <c r="A4188" s="3" t="s">
        <v>4111</v>
      </c>
      <c r="D4188" s="3" t="s">
        <v>10525</v>
      </c>
      <c r="E4188" s="3" t="s">
        <v>10524</v>
      </c>
      <c r="G4188" t="s">
        <v>19</v>
      </c>
      <c r="J4188" s="9" t="s">
        <v>12120</v>
      </c>
      <c r="Q4188" s="10"/>
      <c r="U4188" s="9" t="str">
        <f t="shared" ca="1" si="162"/>
        <v/>
      </c>
      <c r="V4188" s="9" t="str">
        <f t="shared" ca="1" si="163"/>
        <v/>
      </c>
      <c r="AB4188" s="9" t="s">
        <v>12124</v>
      </c>
      <c r="AD4188" s="9" t="s">
        <v>19</v>
      </c>
    </row>
    <row r="4189" spans="1:33">
      <c r="A4189" s="3" t="s">
        <v>4111</v>
      </c>
      <c r="D4189" s="3" t="s">
        <v>322</v>
      </c>
      <c r="E4189" s="3" t="s">
        <v>323</v>
      </c>
      <c r="J4189" s="9" t="s">
        <v>12118</v>
      </c>
      <c r="Q4189" s="10"/>
      <c r="T4189" s="9" t="s">
        <v>12131</v>
      </c>
      <c r="U4189" s="9" t="str">
        <f t="shared" ca="1" si="162"/>
        <v/>
      </c>
      <c r="V4189" s="9" t="str">
        <f t="shared" ca="1" si="163"/>
        <v/>
      </c>
      <c r="AB4189" s="9" t="s">
        <v>12124</v>
      </c>
      <c r="AD4189" s="9" t="s">
        <v>19</v>
      </c>
    </row>
    <row r="4190" spans="1:33">
      <c r="A4190" s="3" t="s">
        <v>4112</v>
      </c>
      <c r="D4190" s="3" t="s">
        <v>10526</v>
      </c>
      <c r="E4190" s="3" t="s">
        <v>10526</v>
      </c>
      <c r="G4190" t="s">
        <v>20</v>
      </c>
      <c r="I4190" t="s">
        <v>10527</v>
      </c>
      <c r="Q4190" s="10"/>
      <c r="U4190" s="9" t="str">
        <f t="shared" ca="1" si="162"/>
        <v/>
      </c>
      <c r="V4190" s="9" t="str">
        <f t="shared" ca="1" si="163"/>
        <v/>
      </c>
    </row>
    <row r="4191" spans="1:33">
      <c r="A4191" s="3" t="s">
        <v>4112</v>
      </c>
      <c r="D4191" s="3" t="s">
        <v>10528</v>
      </c>
      <c r="E4191" s="3" t="s">
        <v>12533</v>
      </c>
      <c r="J4191" s="9" t="s">
        <v>25</v>
      </c>
      <c r="L4191" s="9">
        <v>1</v>
      </c>
      <c r="M4191" s="9">
        <v>2</v>
      </c>
      <c r="N4191" s="9" t="s">
        <v>12078</v>
      </c>
      <c r="O4191" s="9" t="s">
        <v>12119</v>
      </c>
      <c r="Q4191" s="10"/>
      <c r="S4191" s="9">
        <v>11843</v>
      </c>
      <c r="U4191" s="9" t="str">
        <f t="shared" ca="1" si="162"/>
        <v/>
      </c>
      <c r="V4191" s="9" t="str">
        <f t="shared" ca="1" si="163"/>
        <v/>
      </c>
      <c r="AG4191" s="9" t="s">
        <v>20</v>
      </c>
    </row>
    <row r="4192" spans="1:33" ht="29">
      <c r="A4192" s="3" t="s">
        <v>4113</v>
      </c>
      <c r="D4192" s="3" t="s">
        <v>10529</v>
      </c>
      <c r="E4192" s="3" t="s">
        <v>10530</v>
      </c>
      <c r="J4192" s="9" t="s">
        <v>12118</v>
      </c>
      <c r="Q4192" s="10"/>
      <c r="T4192" s="9">
        <f>21-207</f>
        <v>-186</v>
      </c>
      <c r="U4192" s="9">
        <f t="shared" ca="1" si="162"/>
        <v>207</v>
      </c>
      <c r="V4192" s="9">
        <f t="shared" ca="1" si="163"/>
        <v>21</v>
      </c>
      <c r="AG4192" s="9" t="s">
        <v>20</v>
      </c>
    </row>
    <row r="4193" spans="1:33">
      <c r="A4193" s="3" t="s">
        <v>4114</v>
      </c>
      <c r="D4193" s="3" t="s">
        <v>10532</v>
      </c>
      <c r="E4193" s="3" t="s">
        <v>10531</v>
      </c>
      <c r="G4193" t="s">
        <v>19</v>
      </c>
      <c r="J4193" s="9" t="s">
        <v>12120</v>
      </c>
      <c r="Q4193" s="10"/>
      <c r="U4193" s="9" t="str">
        <f t="shared" ca="1" si="162"/>
        <v/>
      </c>
      <c r="V4193" s="9" t="str">
        <f t="shared" ca="1" si="163"/>
        <v/>
      </c>
    </row>
    <row r="4194" spans="1:33" ht="29">
      <c r="A4194" s="3" t="s">
        <v>4114</v>
      </c>
      <c r="D4194" s="3" t="s">
        <v>10533</v>
      </c>
      <c r="E4194" s="3" t="s">
        <v>10534</v>
      </c>
      <c r="H4194" t="s">
        <v>19</v>
      </c>
      <c r="J4194" s="9" t="s">
        <v>25</v>
      </c>
      <c r="L4194" s="9">
        <v>1</v>
      </c>
      <c r="M4194" s="9">
        <v>5</v>
      </c>
      <c r="N4194" s="9" t="s">
        <v>12125</v>
      </c>
      <c r="O4194" s="9" t="s">
        <v>12079</v>
      </c>
      <c r="Q4194" s="10"/>
      <c r="S4194" s="9">
        <v>1565</v>
      </c>
      <c r="U4194" s="9" t="str">
        <f t="shared" ca="1" si="162"/>
        <v/>
      </c>
      <c r="V4194" s="9" t="str">
        <f t="shared" ca="1" si="163"/>
        <v/>
      </c>
      <c r="AG4194" s="9" t="s">
        <v>19</v>
      </c>
    </row>
    <row r="4195" spans="1:33">
      <c r="A4195" s="3" t="s">
        <v>4115</v>
      </c>
      <c r="D4195" s="3" t="s">
        <v>4116</v>
      </c>
      <c r="E4195" s="3" t="s">
        <v>4117</v>
      </c>
      <c r="J4195" s="9" t="s">
        <v>12120</v>
      </c>
      <c r="Q4195" s="10"/>
      <c r="U4195" s="9" t="str">
        <f t="shared" ca="1" si="162"/>
        <v/>
      </c>
      <c r="V4195" s="9" t="str">
        <f t="shared" ca="1" si="163"/>
        <v/>
      </c>
      <c r="AC4195" s="9" t="s">
        <v>12188</v>
      </c>
      <c r="AD4195" s="9" t="s">
        <v>19</v>
      </c>
      <c r="AE4195" s="9" t="s">
        <v>12089</v>
      </c>
    </row>
    <row r="4196" spans="1:33">
      <c r="A4196" s="3" t="s">
        <v>4115</v>
      </c>
      <c r="D4196" s="3" t="s">
        <v>10535</v>
      </c>
      <c r="E4196" s="3" t="s">
        <v>10535</v>
      </c>
      <c r="G4196" t="s">
        <v>20</v>
      </c>
      <c r="I4196" t="s">
        <v>6639</v>
      </c>
      <c r="Q4196" s="10"/>
      <c r="U4196" s="9" t="str">
        <f t="shared" ca="1" si="162"/>
        <v/>
      </c>
      <c r="V4196" s="9" t="str">
        <f t="shared" ca="1" si="163"/>
        <v/>
      </c>
    </row>
    <row r="4197" spans="1:33" ht="29">
      <c r="A4197" s="3" t="s">
        <v>4118</v>
      </c>
      <c r="D4197" s="3" t="s">
        <v>10537</v>
      </c>
      <c r="E4197" s="3" t="s">
        <v>10536</v>
      </c>
      <c r="G4197" t="s">
        <v>19</v>
      </c>
      <c r="I4197" t="s">
        <v>12534</v>
      </c>
      <c r="J4197" s="9" t="s">
        <v>12118</v>
      </c>
      <c r="Q4197" s="10"/>
      <c r="T4197" s="9">
        <f>308-202</f>
        <v>106</v>
      </c>
      <c r="U4197" s="9">
        <f t="shared" ca="1" si="162"/>
        <v>202</v>
      </c>
      <c r="V4197" s="9">
        <f t="shared" ca="1" si="163"/>
        <v>308</v>
      </c>
    </row>
    <row r="4198" spans="1:33">
      <c r="A4198" s="3" t="s">
        <v>4118</v>
      </c>
      <c r="D4198" s="3" t="s">
        <v>4119</v>
      </c>
      <c r="E4198" s="3" t="s">
        <v>4120</v>
      </c>
      <c r="J4198" s="9" t="s">
        <v>12120</v>
      </c>
      <c r="Q4198" s="10"/>
      <c r="U4198" s="9" t="str">
        <f t="shared" ca="1" si="162"/>
        <v/>
      </c>
      <c r="V4198" s="9" t="str">
        <f t="shared" ca="1" si="163"/>
        <v/>
      </c>
      <c r="AG4198" s="9" t="s">
        <v>19</v>
      </c>
    </row>
    <row r="4199" spans="1:33">
      <c r="A4199" s="3" t="s">
        <v>4118</v>
      </c>
      <c r="D4199" s="3" t="s">
        <v>10539</v>
      </c>
      <c r="E4199" s="3" t="s">
        <v>10538</v>
      </c>
      <c r="G4199" t="s">
        <v>19</v>
      </c>
      <c r="J4199" s="9" t="s">
        <v>24</v>
      </c>
      <c r="L4199" s="9">
        <v>1</v>
      </c>
      <c r="M4199" s="9">
        <v>3</v>
      </c>
      <c r="N4199" s="9" t="s">
        <v>12078</v>
      </c>
      <c r="O4199" s="9" t="s">
        <v>12079</v>
      </c>
      <c r="Q4199" s="10"/>
      <c r="S4199" s="9">
        <v>11843</v>
      </c>
      <c r="U4199" s="9" t="str">
        <f t="shared" ca="1" si="162"/>
        <v/>
      </c>
      <c r="V4199" s="9" t="str">
        <f t="shared" ca="1" si="163"/>
        <v/>
      </c>
    </row>
    <row r="4200" spans="1:33">
      <c r="A4200" s="3" t="s">
        <v>4121</v>
      </c>
      <c r="D4200" s="3" t="s">
        <v>10541</v>
      </c>
      <c r="E4200" s="3" t="s">
        <v>10540</v>
      </c>
      <c r="F4200" t="s">
        <v>11</v>
      </c>
      <c r="G4200" t="s">
        <v>19</v>
      </c>
      <c r="J4200" s="9" t="s">
        <v>12118</v>
      </c>
      <c r="Q4200" s="10"/>
      <c r="T4200" s="9" t="s">
        <v>12131</v>
      </c>
      <c r="U4200" s="9" t="str">
        <f t="shared" ca="1" si="162"/>
        <v/>
      </c>
      <c r="V4200" s="9" t="str">
        <f t="shared" ca="1" si="163"/>
        <v/>
      </c>
      <c r="AE4200" s="9" t="s">
        <v>12086</v>
      </c>
    </row>
    <row r="4201" spans="1:33" ht="29">
      <c r="A4201" s="3" t="s">
        <v>4122</v>
      </c>
      <c r="D4201" s="3" t="s">
        <v>10543</v>
      </c>
      <c r="E4201" s="3" t="s">
        <v>10542</v>
      </c>
      <c r="G4201" t="s">
        <v>20</v>
      </c>
      <c r="I4201" t="s">
        <v>10544</v>
      </c>
      <c r="J4201" s="9" t="s">
        <v>12120</v>
      </c>
      <c r="Q4201" s="10"/>
      <c r="U4201" s="9" t="str">
        <f t="shared" ca="1" si="162"/>
        <v/>
      </c>
      <c r="V4201" s="9" t="str">
        <f t="shared" ca="1" si="163"/>
        <v/>
      </c>
      <c r="AG4201" s="9" t="s">
        <v>19</v>
      </c>
    </row>
    <row r="4202" spans="1:33">
      <c r="A4202" s="3" t="s">
        <v>4123</v>
      </c>
      <c r="D4202" s="3" t="s">
        <v>3887</v>
      </c>
      <c r="E4202" s="3" t="s">
        <v>3884</v>
      </c>
      <c r="J4202" s="9" t="s">
        <v>12118</v>
      </c>
      <c r="Q4202" s="10"/>
      <c r="T4202" s="9" t="s">
        <v>12131</v>
      </c>
      <c r="U4202" s="9" t="str">
        <f t="shared" ca="1" si="162"/>
        <v/>
      </c>
      <c r="V4202" s="9" t="str">
        <f t="shared" ca="1" si="163"/>
        <v/>
      </c>
      <c r="AC4202" s="9" t="s">
        <v>12130</v>
      </c>
      <c r="AD4202" s="9" t="s">
        <v>19</v>
      </c>
      <c r="AE4202" s="9" t="s">
        <v>12086</v>
      </c>
    </row>
    <row r="4203" spans="1:33">
      <c r="A4203" s="3" t="s">
        <v>4123</v>
      </c>
      <c r="D4203" s="3" t="s">
        <v>10545</v>
      </c>
      <c r="E4203" s="3" t="s">
        <v>10545</v>
      </c>
      <c r="G4203" t="s">
        <v>20</v>
      </c>
      <c r="I4203" t="s">
        <v>10546</v>
      </c>
      <c r="Q4203" s="10"/>
      <c r="U4203" s="9" t="str">
        <f t="shared" ca="1" si="162"/>
        <v/>
      </c>
      <c r="V4203" s="9" t="str">
        <f t="shared" ca="1" si="163"/>
        <v/>
      </c>
    </row>
    <row r="4204" spans="1:33">
      <c r="A4204" s="3" t="s">
        <v>4124</v>
      </c>
      <c r="D4204" s="3" t="s">
        <v>10548</v>
      </c>
      <c r="E4204" s="3" t="s">
        <v>10547</v>
      </c>
      <c r="G4204" t="s">
        <v>19</v>
      </c>
      <c r="J4204" s="9" t="s">
        <v>12120</v>
      </c>
      <c r="Q4204" s="10"/>
      <c r="U4204" s="9" t="str">
        <f t="shared" ca="1" si="162"/>
        <v/>
      </c>
      <c r="V4204" s="9" t="str">
        <f t="shared" ca="1" si="163"/>
        <v/>
      </c>
    </row>
    <row r="4205" spans="1:33" ht="29">
      <c r="A4205" s="3" t="s">
        <v>4125</v>
      </c>
      <c r="D4205" s="3" t="s">
        <v>10550</v>
      </c>
      <c r="E4205" s="3" t="s">
        <v>10549</v>
      </c>
      <c r="J4205" s="9" t="s">
        <v>24</v>
      </c>
      <c r="L4205" s="9">
        <v>1</v>
      </c>
      <c r="M4205" s="9">
        <v>6</v>
      </c>
      <c r="N4205" s="9" t="s">
        <v>12072</v>
      </c>
      <c r="O4205" s="9" t="s">
        <v>12073</v>
      </c>
      <c r="P4205" s="9" t="s">
        <v>12142</v>
      </c>
      <c r="Q4205" s="10" t="s">
        <v>12158</v>
      </c>
      <c r="R4205" s="9" t="s">
        <v>12074</v>
      </c>
      <c r="S4205" s="9">
        <v>130</v>
      </c>
      <c r="U4205" s="9" t="str">
        <f t="shared" ca="1" si="162"/>
        <v/>
      </c>
      <c r="V4205" s="9" t="str">
        <f t="shared" ca="1" si="163"/>
        <v/>
      </c>
      <c r="AE4205" s="9" t="s">
        <v>12083</v>
      </c>
    </row>
    <row r="4206" spans="1:33">
      <c r="A4206" s="3" t="s">
        <v>4125</v>
      </c>
      <c r="D4206" s="3" t="s">
        <v>3789</v>
      </c>
      <c r="E4206" s="3" t="s">
        <v>3790</v>
      </c>
      <c r="J4206" s="9" t="s">
        <v>12118</v>
      </c>
      <c r="Q4206" s="10"/>
      <c r="T4206" s="9" t="s">
        <v>12131</v>
      </c>
      <c r="U4206" s="9" t="str">
        <f t="shared" ca="1" si="162"/>
        <v/>
      </c>
      <c r="V4206" s="9" t="str">
        <f t="shared" ca="1" si="163"/>
        <v/>
      </c>
      <c r="AE4206" s="9" t="s">
        <v>12077</v>
      </c>
    </row>
    <row r="4207" spans="1:33">
      <c r="A4207" s="3" t="s">
        <v>4126</v>
      </c>
      <c r="D4207" s="3" t="s">
        <v>10552</v>
      </c>
      <c r="E4207" s="3" t="s">
        <v>10551</v>
      </c>
      <c r="J4207" s="9" t="s">
        <v>12120</v>
      </c>
      <c r="Q4207" s="10"/>
      <c r="U4207" s="9" t="str">
        <f t="shared" ca="1" si="162"/>
        <v/>
      </c>
      <c r="V4207" s="9" t="str">
        <f t="shared" ca="1" si="163"/>
        <v/>
      </c>
      <c r="AC4207" s="9" t="s">
        <v>12128</v>
      </c>
      <c r="AD4207" s="9" t="s">
        <v>19</v>
      </c>
      <c r="AE4207" s="9" t="s">
        <v>12086</v>
      </c>
    </row>
    <row r="4208" spans="1:33">
      <c r="A4208" s="3" t="s">
        <v>4127</v>
      </c>
      <c r="D4208" s="3" t="s">
        <v>10554</v>
      </c>
      <c r="E4208" s="3" t="s">
        <v>10553</v>
      </c>
      <c r="G4208" t="s">
        <v>19</v>
      </c>
      <c r="J4208" s="9" t="s">
        <v>24</v>
      </c>
      <c r="L4208" s="9">
        <v>1</v>
      </c>
      <c r="M4208" s="9">
        <v>2</v>
      </c>
      <c r="N4208" s="9" t="s">
        <v>12087</v>
      </c>
      <c r="O4208" s="9" t="s">
        <v>12119</v>
      </c>
      <c r="Q4208" s="10"/>
      <c r="S4208" s="9">
        <v>1966</v>
      </c>
      <c r="U4208" s="9" t="str">
        <f t="shared" ca="1" si="162"/>
        <v/>
      </c>
      <c r="V4208" s="9" t="str">
        <f t="shared" ca="1" si="163"/>
        <v/>
      </c>
    </row>
    <row r="4209" spans="1:33" ht="29">
      <c r="A4209" s="3" t="s">
        <v>4127</v>
      </c>
      <c r="D4209" s="3" t="s">
        <v>12727</v>
      </c>
      <c r="E4209" s="3" t="s">
        <v>12728</v>
      </c>
      <c r="J4209" s="9" t="s">
        <v>12120</v>
      </c>
      <c r="Q4209" s="10"/>
      <c r="U4209" s="9" t="str">
        <f t="shared" ca="1" si="162"/>
        <v/>
      </c>
      <c r="V4209" s="9" t="str">
        <f t="shared" ca="1" si="163"/>
        <v/>
      </c>
      <c r="AB4209" s="9" t="s">
        <v>12082</v>
      </c>
      <c r="AD4209" s="9" t="s">
        <v>19</v>
      </c>
    </row>
    <row r="4210" spans="1:33" ht="29">
      <c r="A4210" s="3" t="s">
        <v>4127</v>
      </c>
      <c r="D4210" s="3" t="s">
        <v>12729</v>
      </c>
      <c r="E4210" s="3" t="s">
        <v>12730</v>
      </c>
      <c r="G4210" t="s">
        <v>19</v>
      </c>
      <c r="I4210" t="s">
        <v>12731</v>
      </c>
      <c r="J4210" s="9" t="s">
        <v>12120</v>
      </c>
      <c r="Q4210" s="10"/>
      <c r="U4210" s="9" t="str">
        <f t="shared" ca="1" si="162"/>
        <v/>
      </c>
      <c r="V4210" s="9" t="str">
        <f t="shared" ca="1" si="163"/>
        <v/>
      </c>
      <c r="W4210" s="9" t="s">
        <v>4</v>
      </c>
    </row>
    <row r="4211" spans="1:33">
      <c r="A4211" s="3" t="s">
        <v>4127</v>
      </c>
      <c r="D4211" s="3" t="s">
        <v>10555</v>
      </c>
      <c r="E4211" s="3" t="s">
        <v>4128</v>
      </c>
      <c r="G4211" t="s">
        <v>19</v>
      </c>
      <c r="J4211" s="9" t="s">
        <v>12120</v>
      </c>
      <c r="Q4211" s="10"/>
      <c r="U4211" s="9" t="str">
        <f t="shared" ca="1" si="162"/>
        <v/>
      </c>
      <c r="V4211" s="9" t="str">
        <f t="shared" ca="1" si="163"/>
        <v/>
      </c>
    </row>
    <row r="4212" spans="1:33">
      <c r="A4212" s="3" t="s">
        <v>4129</v>
      </c>
      <c r="D4212" s="3" t="s">
        <v>4130</v>
      </c>
      <c r="E4212" s="3" t="s">
        <v>4131</v>
      </c>
      <c r="J4212" s="9" t="s">
        <v>12121</v>
      </c>
      <c r="Q4212" s="10"/>
      <c r="T4212" s="9" t="s">
        <v>12131</v>
      </c>
      <c r="U4212" s="9" t="str">
        <f t="shared" ca="1" si="162"/>
        <v/>
      </c>
      <c r="V4212" s="9" t="str">
        <f t="shared" ca="1" si="163"/>
        <v/>
      </c>
      <c r="AC4212" s="9" t="s">
        <v>12535</v>
      </c>
      <c r="AD4212" s="9" t="s">
        <v>19</v>
      </c>
      <c r="AE4212" s="9" t="s">
        <v>12086</v>
      </c>
    </row>
    <row r="4213" spans="1:33">
      <c r="A4213" s="3" t="s">
        <v>4129</v>
      </c>
      <c r="D4213" s="3" t="s">
        <v>10557</v>
      </c>
      <c r="E4213" s="3" t="s">
        <v>10556</v>
      </c>
      <c r="J4213" s="9" t="s">
        <v>12118</v>
      </c>
      <c r="Q4213" s="10"/>
      <c r="T4213" s="9">
        <f>166-1966</f>
        <v>-1800</v>
      </c>
      <c r="U4213" s="9">
        <f t="shared" ca="1" si="162"/>
        <v>1966</v>
      </c>
      <c r="V4213" s="9">
        <f t="shared" ca="1" si="163"/>
        <v>166</v>
      </c>
      <c r="AG4213" s="9" t="s">
        <v>19</v>
      </c>
    </row>
    <row r="4214" spans="1:33">
      <c r="A4214" s="3" t="s">
        <v>4129</v>
      </c>
      <c r="D4214" s="3" t="s">
        <v>10559</v>
      </c>
      <c r="E4214" s="3" t="s">
        <v>10558</v>
      </c>
      <c r="G4214" t="s">
        <v>19</v>
      </c>
      <c r="J4214" s="9" t="s">
        <v>24</v>
      </c>
      <c r="L4214" s="9">
        <v>1</v>
      </c>
      <c r="M4214" s="9">
        <v>3</v>
      </c>
      <c r="N4214" s="9" t="s">
        <v>12078</v>
      </c>
      <c r="O4214" s="9" t="s">
        <v>12079</v>
      </c>
      <c r="Q4214" s="10"/>
      <c r="S4214" s="9">
        <v>11843</v>
      </c>
      <c r="U4214" s="9" t="str">
        <f t="shared" ca="1" si="162"/>
        <v/>
      </c>
      <c r="V4214" s="9" t="str">
        <f t="shared" ca="1" si="163"/>
        <v/>
      </c>
    </row>
    <row r="4215" spans="1:33">
      <c r="A4215" s="3" t="s">
        <v>4129</v>
      </c>
      <c r="D4215" s="3" t="s">
        <v>3121</v>
      </c>
      <c r="E4215" s="3" t="s">
        <v>3122</v>
      </c>
      <c r="J4215" s="9" t="s">
        <v>12118</v>
      </c>
      <c r="Q4215" s="10"/>
      <c r="T4215" s="9" t="s">
        <v>12131</v>
      </c>
      <c r="U4215" s="9" t="str">
        <f t="shared" ca="1" si="162"/>
        <v/>
      </c>
      <c r="V4215" s="9" t="str">
        <f t="shared" ca="1" si="163"/>
        <v/>
      </c>
      <c r="AB4215" s="9" t="s">
        <v>12124</v>
      </c>
      <c r="AC4215" s="9" t="s">
        <v>12134</v>
      </c>
      <c r="AD4215" s="9" t="s">
        <v>19</v>
      </c>
    </row>
    <row r="4216" spans="1:33" ht="72.5">
      <c r="A4216" s="3" t="s">
        <v>4129</v>
      </c>
      <c r="D4216" s="3" t="s">
        <v>10560</v>
      </c>
      <c r="E4216" s="3" t="s">
        <v>10561</v>
      </c>
      <c r="J4216" s="9" t="s">
        <v>12118</v>
      </c>
      <c r="Q4216" s="10"/>
      <c r="T4216" s="9">
        <f>2-65</f>
        <v>-63</v>
      </c>
      <c r="U4216" s="9">
        <f t="shared" ca="1" si="162"/>
        <v>65</v>
      </c>
      <c r="V4216" s="9">
        <f t="shared" ca="1" si="163"/>
        <v>2</v>
      </c>
      <c r="AG4216" s="9" t="s">
        <v>20</v>
      </c>
    </row>
    <row r="4217" spans="1:33" ht="72.5">
      <c r="A4217" s="3" t="s">
        <v>4129</v>
      </c>
      <c r="D4217" s="3" t="s">
        <v>10562</v>
      </c>
      <c r="E4217" s="3" t="s">
        <v>10563</v>
      </c>
      <c r="G4217" t="s">
        <v>20</v>
      </c>
      <c r="I4217" t="s">
        <v>9925</v>
      </c>
      <c r="Q4217" s="10"/>
      <c r="U4217" s="9" t="str">
        <f t="shared" ca="1" si="162"/>
        <v/>
      </c>
      <c r="V4217" s="9" t="str">
        <f t="shared" ca="1" si="163"/>
        <v/>
      </c>
    </row>
    <row r="4218" spans="1:33" ht="72.5">
      <c r="A4218" s="3" t="s">
        <v>4132</v>
      </c>
      <c r="D4218" s="3" t="s">
        <v>10564</v>
      </c>
      <c r="E4218" s="3" t="s">
        <v>12537</v>
      </c>
      <c r="G4218" t="s">
        <v>19</v>
      </c>
      <c r="J4218" s="9" t="s">
        <v>12120</v>
      </c>
      <c r="Q4218" s="10"/>
      <c r="U4218" s="9" t="str">
        <f t="shared" ca="1" si="162"/>
        <v/>
      </c>
      <c r="V4218" s="9" t="str">
        <f t="shared" ca="1" si="163"/>
        <v/>
      </c>
    </row>
    <row r="4219" spans="1:33" ht="72.5">
      <c r="A4219" s="3" t="s">
        <v>4132</v>
      </c>
      <c r="D4219" s="3" t="s">
        <v>12536</v>
      </c>
      <c r="E4219" s="3" t="s">
        <v>12538</v>
      </c>
      <c r="J4219" s="9" t="s">
        <v>24</v>
      </c>
      <c r="L4219" s="9">
        <v>1</v>
      </c>
      <c r="M4219" s="9">
        <v>2</v>
      </c>
      <c r="N4219" s="9" t="s">
        <v>12087</v>
      </c>
      <c r="O4219" s="9" t="s">
        <v>12119</v>
      </c>
      <c r="Q4219" s="10"/>
      <c r="S4219" s="9">
        <v>1966</v>
      </c>
      <c r="U4219" s="9" t="str">
        <f t="shared" ca="1" si="162"/>
        <v/>
      </c>
      <c r="V4219" s="9" t="str">
        <f t="shared" ca="1" si="163"/>
        <v/>
      </c>
      <c r="AG4219" s="9" t="s">
        <v>19</v>
      </c>
    </row>
    <row r="4220" spans="1:33" ht="58">
      <c r="A4220" s="3" t="s">
        <v>4133</v>
      </c>
      <c r="D4220" s="3" t="s">
        <v>10566</v>
      </c>
      <c r="E4220" s="3" t="s">
        <v>10568</v>
      </c>
      <c r="G4220" t="s">
        <v>19</v>
      </c>
      <c r="J4220" s="9" t="s">
        <v>12120</v>
      </c>
      <c r="Q4220" s="10"/>
      <c r="U4220" s="9" t="str">
        <f t="shared" ca="1" si="162"/>
        <v/>
      </c>
      <c r="V4220" s="9" t="str">
        <f t="shared" ca="1" si="163"/>
        <v/>
      </c>
      <c r="AE4220" s="9" t="s">
        <v>12089</v>
      </c>
    </row>
    <row r="4221" spans="1:33" ht="58">
      <c r="A4221" s="3" t="s">
        <v>4133</v>
      </c>
      <c r="D4221" s="3" t="s">
        <v>10565</v>
      </c>
      <c r="E4221" s="3" t="s">
        <v>10567</v>
      </c>
      <c r="J4221" s="9" t="s">
        <v>24</v>
      </c>
      <c r="L4221" s="9">
        <v>1</v>
      </c>
      <c r="M4221" s="9">
        <v>3</v>
      </c>
      <c r="N4221" s="9" t="s">
        <v>12078</v>
      </c>
      <c r="O4221" s="9" t="s">
        <v>12079</v>
      </c>
      <c r="Q4221" s="10"/>
      <c r="S4221" s="9">
        <v>11843</v>
      </c>
      <c r="U4221" s="9" t="str">
        <f t="shared" ca="1" si="162"/>
        <v/>
      </c>
      <c r="V4221" s="9" t="str">
        <f t="shared" ca="1" si="163"/>
        <v/>
      </c>
      <c r="AG4221" s="9" t="s">
        <v>20</v>
      </c>
    </row>
    <row r="4222" spans="1:33" ht="58">
      <c r="A4222" s="3" t="s">
        <v>4134</v>
      </c>
      <c r="D4222" s="3" t="s">
        <v>10565</v>
      </c>
      <c r="E4222" s="3" t="s">
        <v>10569</v>
      </c>
      <c r="I4222" t="s">
        <v>12539</v>
      </c>
      <c r="J4222" s="9" t="s">
        <v>24</v>
      </c>
      <c r="L4222" s="9">
        <v>6</v>
      </c>
      <c r="M4222" s="9">
        <v>20</v>
      </c>
      <c r="O4222" s="9" t="s">
        <v>12079</v>
      </c>
      <c r="Q4222" s="10"/>
      <c r="S4222" s="9">
        <v>171</v>
      </c>
      <c r="U4222" s="9" t="str">
        <f t="shared" ca="1" si="162"/>
        <v/>
      </c>
      <c r="V4222" s="9" t="str">
        <f t="shared" ca="1" si="163"/>
        <v/>
      </c>
      <c r="AG4222" s="9" t="s">
        <v>20</v>
      </c>
    </row>
    <row r="4223" spans="1:33">
      <c r="A4223" s="3" t="s">
        <v>4136</v>
      </c>
      <c r="D4223" s="3" t="s">
        <v>4137</v>
      </c>
      <c r="E4223" s="3" t="s">
        <v>10570</v>
      </c>
      <c r="G4223" t="s">
        <v>19</v>
      </c>
      <c r="J4223" s="9" t="s">
        <v>12118</v>
      </c>
      <c r="Q4223" s="10"/>
      <c r="T4223" s="9" t="s">
        <v>12131</v>
      </c>
      <c r="U4223" s="9" t="str">
        <f t="shared" ca="1" si="162"/>
        <v/>
      </c>
      <c r="V4223" s="9" t="str">
        <f t="shared" ca="1" si="163"/>
        <v/>
      </c>
      <c r="AE4223" s="9" t="s">
        <v>12086</v>
      </c>
    </row>
    <row r="4224" spans="1:33" ht="58">
      <c r="A4224" s="3" t="s">
        <v>4138</v>
      </c>
      <c r="D4224" s="3" t="s">
        <v>10572</v>
      </c>
      <c r="E4224" s="3" t="s">
        <v>10571</v>
      </c>
      <c r="F4224" t="s">
        <v>4774</v>
      </c>
      <c r="I4224" s="4"/>
      <c r="J4224" s="9" t="s">
        <v>27</v>
      </c>
      <c r="L4224" s="9">
        <v>1</v>
      </c>
      <c r="M4224" s="9">
        <v>2</v>
      </c>
      <c r="N4224" s="9" t="s">
        <v>12087</v>
      </c>
      <c r="O4224" s="9" t="s">
        <v>12119</v>
      </c>
      <c r="Q4224" s="10"/>
      <c r="S4224" s="9">
        <v>207</v>
      </c>
      <c r="U4224" s="9" t="str">
        <f t="shared" ref="U4224" ca="1" si="164">IF(ISNUMBER(T4224),VALUE(MID(_xlfn.FORMULATEXT(T4224),SEARCH("-",_xlfn.FORMULATEXT(T4224))+1,LEN(_xlfn.FORMULATEXT(T4224))-SEARCH("-",_xlfn.FORMULATEXT(T4224)))), "")</f>
        <v/>
      </c>
      <c r="V4224" s="9" t="str">
        <f t="shared" ref="V4224" ca="1" si="165">IF(ISNUMBER(T4224), VALUE(MID(_xlfn.FORMULATEXT(T4224), 2, SEARCH("-", _xlfn.FORMULATEXT(T4224)) - 2)), "")</f>
        <v/>
      </c>
    </row>
    <row r="4225" spans="1:33" ht="58">
      <c r="A4225" s="3" t="s">
        <v>4138</v>
      </c>
      <c r="D4225" s="3" t="s">
        <v>10572</v>
      </c>
      <c r="E4225" s="3" t="s">
        <v>10571</v>
      </c>
      <c r="F4225" t="s">
        <v>4774</v>
      </c>
      <c r="I4225" s="4"/>
      <c r="J4225" s="9" t="s">
        <v>25</v>
      </c>
      <c r="L4225" s="9">
        <v>1</v>
      </c>
      <c r="M4225" s="9">
        <v>2</v>
      </c>
      <c r="N4225" s="9" t="s">
        <v>12087</v>
      </c>
      <c r="O4225" s="9" t="s">
        <v>12119</v>
      </c>
      <c r="Q4225" s="10"/>
      <c r="S4225" s="9">
        <v>207</v>
      </c>
      <c r="U4225" s="9" t="str">
        <f t="shared" ca="1" si="162"/>
        <v/>
      </c>
      <c r="V4225" s="9" t="str">
        <f t="shared" ca="1" si="163"/>
        <v/>
      </c>
    </row>
    <row r="4226" spans="1:33" ht="58">
      <c r="A4226" s="3" t="s">
        <v>4138</v>
      </c>
      <c r="D4226" s="3" t="s">
        <v>10573</v>
      </c>
      <c r="E4226" s="3" t="s">
        <v>10571</v>
      </c>
      <c r="F4226" t="s">
        <v>4774</v>
      </c>
      <c r="I4226" s="4"/>
      <c r="J4226" s="9" t="s">
        <v>25</v>
      </c>
      <c r="L4226" s="9">
        <v>1</v>
      </c>
      <c r="M4226" s="9">
        <v>6</v>
      </c>
      <c r="N4226" s="9" t="s">
        <v>12125</v>
      </c>
      <c r="O4226" s="9" t="s">
        <v>12079</v>
      </c>
      <c r="Q4226" s="10"/>
      <c r="S4226" s="9">
        <v>320</v>
      </c>
      <c r="U4226" s="9" t="str">
        <f t="shared" ca="1" si="162"/>
        <v/>
      </c>
      <c r="V4226" s="9" t="str">
        <f t="shared" ca="1" si="163"/>
        <v/>
      </c>
    </row>
    <row r="4227" spans="1:33" ht="58">
      <c r="A4227" s="3" t="s">
        <v>4138</v>
      </c>
      <c r="D4227" s="3" t="s">
        <v>10574</v>
      </c>
      <c r="E4227" s="3" t="s">
        <v>10575</v>
      </c>
      <c r="F4227" t="s">
        <v>4774</v>
      </c>
      <c r="I4227" s="4" t="s">
        <v>12541</v>
      </c>
      <c r="J4227" s="9" t="s">
        <v>26</v>
      </c>
      <c r="Q4227" s="10"/>
      <c r="U4227" s="9" t="str">
        <f t="shared" ca="1" si="162"/>
        <v/>
      </c>
      <c r="V4227" s="9" t="str">
        <f t="shared" ca="1" si="163"/>
        <v/>
      </c>
    </row>
    <row r="4228" spans="1:33" ht="58">
      <c r="A4228" s="3" t="s">
        <v>4138</v>
      </c>
      <c r="D4228" s="3" t="s">
        <v>12540</v>
      </c>
      <c r="E4228" s="3" t="s">
        <v>10571</v>
      </c>
      <c r="F4228" t="s">
        <v>4774</v>
      </c>
      <c r="I4228" s="4"/>
      <c r="J4228" s="9" t="s">
        <v>25</v>
      </c>
      <c r="L4228" s="9">
        <v>1</v>
      </c>
      <c r="M4228" s="9">
        <v>3</v>
      </c>
      <c r="N4228" s="9" t="s">
        <v>12072</v>
      </c>
      <c r="O4228" s="9" t="s">
        <v>12079</v>
      </c>
      <c r="Q4228" s="10"/>
      <c r="S4228" s="9">
        <v>591</v>
      </c>
      <c r="U4228" s="9" t="str">
        <f t="shared" ca="1" si="162"/>
        <v/>
      </c>
      <c r="V4228" s="9" t="str">
        <f t="shared" ca="1" si="163"/>
        <v/>
      </c>
    </row>
    <row r="4229" spans="1:33">
      <c r="A4229" s="3" t="s">
        <v>4138</v>
      </c>
      <c r="D4229" s="11" t="s">
        <v>10577</v>
      </c>
      <c r="E4229" s="11" t="s">
        <v>10576</v>
      </c>
      <c r="G4229" t="s">
        <v>19</v>
      </c>
      <c r="J4229" s="9" t="s">
        <v>24</v>
      </c>
      <c r="L4229" s="9">
        <v>1</v>
      </c>
      <c r="M4229" s="9">
        <v>3</v>
      </c>
      <c r="N4229" s="9" t="s">
        <v>12078</v>
      </c>
      <c r="O4229" s="9" t="s">
        <v>12079</v>
      </c>
      <c r="Q4229" s="10"/>
      <c r="S4229" s="9">
        <v>11843</v>
      </c>
      <c r="U4229" s="9" t="str">
        <f t="shared" ca="1" si="162"/>
        <v/>
      </c>
      <c r="V4229" s="9" t="str">
        <f t="shared" ca="1" si="163"/>
        <v/>
      </c>
    </row>
    <row r="4230" spans="1:33">
      <c r="A4230" s="3" t="s">
        <v>4138</v>
      </c>
      <c r="D4230" s="3" t="s">
        <v>10578</v>
      </c>
      <c r="E4230" s="3" t="s">
        <v>3789</v>
      </c>
      <c r="F4230" t="s">
        <v>11</v>
      </c>
      <c r="G4230" t="s">
        <v>19</v>
      </c>
      <c r="Q4230" s="10"/>
      <c r="U4230" s="9" t="str">
        <f t="shared" ca="1" si="162"/>
        <v/>
      </c>
      <c r="V4230" s="9" t="str">
        <f t="shared" ca="1" si="163"/>
        <v/>
      </c>
    </row>
    <row r="4231" spans="1:33" ht="29">
      <c r="A4231" s="3" t="s">
        <v>4139</v>
      </c>
      <c r="D4231" s="3" t="s">
        <v>10579</v>
      </c>
      <c r="E4231" s="3" t="s">
        <v>10579</v>
      </c>
      <c r="G4231" t="s">
        <v>20</v>
      </c>
      <c r="I4231" t="s">
        <v>10580</v>
      </c>
      <c r="Q4231" s="10"/>
      <c r="U4231" s="9" t="str">
        <f t="shared" ca="1" si="162"/>
        <v/>
      </c>
      <c r="V4231" s="9" t="str">
        <f t="shared" ca="1" si="163"/>
        <v/>
      </c>
    </row>
    <row r="4232" spans="1:33" ht="29">
      <c r="A4232" s="3" t="s">
        <v>4140</v>
      </c>
      <c r="D4232" s="3" t="s">
        <v>10581</v>
      </c>
      <c r="E4232" s="3" t="s">
        <v>10582</v>
      </c>
      <c r="I4232" s="4" t="s">
        <v>5457</v>
      </c>
      <c r="J4232" s="9" t="s">
        <v>26</v>
      </c>
      <c r="Q4232" s="10"/>
      <c r="U4232" s="9" t="str">
        <f t="shared" ca="1" si="162"/>
        <v/>
      </c>
      <c r="V4232" s="9" t="str">
        <f t="shared" ca="1" si="163"/>
        <v/>
      </c>
      <c r="AG4232" s="9" t="s">
        <v>20</v>
      </c>
    </row>
    <row r="4233" spans="1:33" ht="29">
      <c r="A4233" s="3" t="s">
        <v>4141</v>
      </c>
      <c r="D4233" s="3" t="s">
        <v>10583</v>
      </c>
      <c r="E4233" s="3" t="s">
        <v>10584</v>
      </c>
      <c r="G4233" t="s">
        <v>19</v>
      </c>
      <c r="J4233" s="9" t="s">
        <v>24</v>
      </c>
      <c r="L4233" s="9">
        <v>1</v>
      </c>
      <c r="M4233" s="9">
        <v>3</v>
      </c>
      <c r="N4233" s="9" t="s">
        <v>12087</v>
      </c>
      <c r="O4233" s="9" t="s">
        <v>12079</v>
      </c>
      <c r="Q4233" s="10"/>
      <c r="S4233" s="9">
        <v>5676</v>
      </c>
      <c r="U4233" s="9" t="str">
        <f t="shared" ca="1" si="162"/>
        <v/>
      </c>
      <c r="V4233" s="9" t="str">
        <f t="shared" ca="1" si="163"/>
        <v/>
      </c>
    </row>
    <row r="4234" spans="1:33" ht="29">
      <c r="A4234" s="3" t="s">
        <v>4141</v>
      </c>
      <c r="D4234" s="3" t="s">
        <v>10585</v>
      </c>
      <c r="E4234" s="3" t="s">
        <v>10586</v>
      </c>
      <c r="F4234" t="s">
        <v>11</v>
      </c>
      <c r="G4234" t="s">
        <v>19</v>
      </c>
      <c r="Q4234" s="10"/>
      <c r="U4234" s="9" t="str">
        <f t="shared" ca="1" si="162"/>
        <v/>
      </c>
      <c r="V4234" s="9" t="str">
        <f t="shared" ca="1" si="163"/>
        <v/>
      </c>
    </row>
    <row r="4235" spans="1:33">
      <c r="A4235" s="3" t="s">
        <v>4142</v>
      </c>
      <c r="D4235" s="3" t="s">
        <v>175</v>
      </c>
      <c r="E4235" s="3" t="s">
        <v>176</v>
      </c>
      <c r="J4235" s="9" t="s">
        <v>12118</v>
      </c>
      <c r="Q4235" s="10"/>
      <c r="T4235" s="9" t="s">
        <v>12119</v>
      </c>
      <c r="U4235" s="9" t="str">
        <f t="shared" ca="1" si="162"/>
        <v/>
      </c>
      <c r="V4235" s="9" t="str">
        <f t="shared" ca="1" si="163"/>
        <v/>
      </c>
      <c r="AC4235" s="9" t="s">
        <v>12134</v>
      </c>
      <c r="AD4235" s="9" t="s">
        <v>19</v>
      </c>
      <c r="AE4235" s="9" t="s">
        <v>12086</v>
      </c>
    </row>
    <row r="4236" spans="1:33">
      <c r="A4236" s="3" t="s">
        <v>4143</v>
      </c>
      <c r="D4236" s="3" t="s">
        <v>10587</v>
      </c>
      <c r="E4236" s="3" t="s">
        <v>10587</v>
      </c>
      <c r="G4236" t="s">
        <v>20</v>
      </c>
      <c r="I4236" t="s">
        <v>10588</v>
      </c>
      <c r="Q4236" s="10"/>
      <c r="U4236" s="9" t="str">
        <f t="shared" ca="1" si="162"/>
        <v/>
      </c>
      <c r="V4236" s="9" t="str">
        <f t="shared" ca="1" si="163"/>
        <v/>
      </c>
    </row>
    <row r="4237" spans="1:33" ht="29">
      <c r="A4237" s="3" t="s">
        <v>4143</v>
      </c>
      <c r="D4237" s="3" t="s">
        <v>10590</v>
      </c>
      <c r="E4237" s="3" t="s">
        <v>10589</v>
      </c>
      <c r="F4237" t="s">
        <v>11</v>
      </c>
      <c r="G4237" t="s">
        <v>19</v>
      </c>
      <c r="J4237" s="9" t="s">
        <v>12118</v>
      </c>
      <c r="Q4237" s="10"/>
      <c r="T4237" s="9" t="s">
        <v>12131</v>
      </c>
      <c r="U4237" s="9" t="str">
        <f t="shared" ref="U4237:U4299" ca="1" si="166">IF(ISNUMBER(T4237),VALUE(MID(_xlfn.FORMULATEXT(T4237),SEARCH("-",_xlfn.FORMULATEXT(T4237))+1,LEN(_xlfn.FORMULATEXT(T4237))-SEARCH("-",_xlfn.FORMULATEXT(T4237)))), "")</f>
        <v/>
      </c>
      <c r="V4237" s="9" t="str">
        <f t="shared" ref="V4237:V4299" ca="1" si="167">IF(ISNUMBER(T4237), VALUE(MID(_xlfn.FORMULATEXT(T4237), 2, SEARCH("-", _xlfn.FORMULATEXT(T4237)) - 2)), "")</f>
        <v/>
      </c>
      <c r="AE4237" s="9" t="s">
        <v>12086</v>
      </c>
    </row>
    <row r="4238" spans="1:33">
      <c r="A4238" s="3" t="s">
        <v>4144</v>
      </c>
      <c r="D4238" s="3" t="s">
        <v>738</v>
      </c>
      <c r="E4238" s="3" t="s">
        <v>737</v>
      </c>
      <c r="J4238" s="9" t="s">
        <v>12118</v>
      </c>
      <c r="Q4238" s="10"/>
      <c r="T4238" s="9" t="s">
        <v>12131</v>
      </c>
      <c r="U4238" s="9" t="str">
        <f t="shared" ca="1" si="166"/>
        <v/>
      </c>
      <c r="V4238" s="9" t="str">
        <f t="shared" ca="1" si="167"/>
        <v/>
      </c>
      <c r="AC4238" s="9" t="s">
        <v>12740</v>
      </c>
      <c r="AD4238" s="9" t="s">
        <v>19</v>
      </c>
    </row>
    <row r="4239" spans="1:33">
      <c r="A4239" s="3" t="s">
        <v>4145</v>
      </c>
      <c r="D4239" s="3" t="s">
        <v>4146</v>
      </c>
      <c r="E4239" s="3" t="s">
        <v>4147</v>
      </c>
      <c r="J4239" s="9" t="s">
        <v>12120</v>
      </c>
      <c r="Q4239" s="10"/>
      <c r="U4239" s="9" t="str">
        <f t="shared" ca="1" si="166"/>
        <v/>
      </c>
      <c r="V4239" s="9" t="str">
        <f t="shared" ca="1" si="167"/>
        <v/>
      </c>
      <c r="AC4239" s="9" t="s">
        <v>12144</v>
      </c>
      <c r="AD4239" s="9" t="s">
        <v>19</v>
      </c>
    </row>
    <row r="4240" spans="1:33">
      <c r="A4240" s="3" t="s">
        <v>4148</v>
      </c>
      <c r="D4240" s="3" t="s">
        <v>10592</v>
      </c>
      <c r="E4240" s="5" t="s">
        <v>10591</v>
      </c>
      <c r="F4240" t="s">
        <v>32</v>
      </c>
      <c r="G4240" t="s">
        <v>19</v>
      </c>
      <c r="I4240" t="s">
        <v>13067</v>
      </c>
      <c r="J4240" s="9" t="s">
        <v>12120</v>
      </c>
      <c r="Q4240" s="10"/>
      <c r="U4240" s="9" t="str">
        <f t="shared" ca="1" si="166"/>
        <v/>
      </c>
      <c r="V4240" s="9" t="str">
        <f t="shared" ca="1" si="167"/>
        <v/>
      </c>
      <c r="AB4240" s="9" t="s">
        <v>12738</v>
      </c>
      <c r="AD4240" s="9" t="s">
        <v>19</v>
      </c>
    </row>
    <row r="4241" spans="1:33">
      <c r="A4241" s="3" t="s">
        <v>4149</v>
      </c>
      <c r="D4241" s="3" t="s">
        <v>4150</v>
      </c>
      <c r="E4241" s="3" t="s">
        <v>10593</v>
      </c>
      <c r="G4241" t="s">
        <v>19</v>
      </c>
      <c r="J4241" s="9" t="s">
        <v>12120</v>
      </c>
      <c r="Q4241" s="10"/>
      <c r="U4241" s="9" t="str">
        <f t="shared" ca="1" si="166"/>
        <v/>
      </c>
      <c r="V4241" s="9" t="str">
        <f t="shared" ca="1" si="167"/>
        <v/>
      </c>
    </row>
    <row r="4242" spans="1:33">
      <c r="A4242" s="3" t="s">
        <v>4149</v>
      </c>
      <c r="D4242" s="3" t="s">
        <v>10594</v>
      </c>
      <c r="E4242" s="3" t="s">
        <v>10595</v>
      </c>
      <c r="J4242" s="9" t="s">
        <v>24</v>
      </c>
      <c r="L4242" s="9">
        <v>1</v>
      </c>
      <c r="M4242" s="9">
        <v>2</v>
      </c>
      <c r="N4242" s="9" t="s">
        <v>12096</v>
      </c>
      <c r="O4242" s="9" t="s">
        <v>12119</v>
      </c>
      <c r="Q4242" s="10"/>
      <c r="R4242" s="9" t="s">
        <v>12074</v>
      </c>
      <c r="S4242" s="9">
        <v>560</v>
      </c>
      <c r="U4242" s="9" t="str">
        <f t="shared" ca="1" si="166"/>
        <v/>
      </c>
      <c r="V4242" s="9" t="str">
        <f t="shared" ca="1" si="167"/>
        <v/>
      </c>
      <c r="AE4242" s="9" t="s">
        <v>12083</v>
      </c>
    </row>
    <row r="4243" spans="1:33">
      <c r="A4243" s="3" t="s">
        <v>4151</v>
      </c>
      <c r="D4243" s="3" t="s">
        <v>3711</v>
      </c>
      <c r="E4243" s="3" t="s">
        <v>10596</v>
      </c>
      <c r="J4243" s="9" t="s">
        <v>12120</v>
      </c>
      <c r="Q4243" s="10"/>
      <c r="U4243" s="9" t="str">
        <f t="shared" ca="1" si="166"/>
        <v/>
      </c>
      <c r="V4243" s="9" t="str">
        <f t="shared" ca="1" si="167"/>
        <v/>
      </c>
      <c r="AE4243" s="9" t="s">
        <v>12089</v>
      </c>
    </row>
    <row r="4244" spans="1:33" ht="29">
      <c r="A4244" s="3" t="s">
        <v>4153</v>
      </c>
      <c r="D4244" s="3" t="s">
        <v>10598</v>
      </c>
      <c r="E4244" s="3" t="s">
        <v>10597</v>
      </c>
      <c r="J4244" s="9" t="s">
        <v>25</v>
      </c>
      <c r="L4244" s="9">
        <v>2</v>
      </c>
      <c r="M4244" s="9">
        <v>12</v>
      </c>
      <c r="O4244" s="9" t="s">
        <v>12073</v>
      </c>
      <c r="P4244" s="9" t="s">
        <v>12135</v>
      </c>
      <c r="Q4244" s="10" t="s">
        <v>12136</v>
      </c>
      <c r="S4244" s="9">
        <v>47</v>
      </c>
      <c r="U4244" s="9" t="str">
        <f t="shared" ca="1" si="166"/>
        <v/>
      </c>
      <c r="V4244" s="9" t="str">
        <f t="shared" ca="1" si="167"/>
        <v/>
      </c>
      <c r="AG4244" s="9" t="s">
        <v>19</v>
      </c>
    </row>
    <row r="4245" spans="1:33" ht="29">
      <c r="A4245" s="3" t="s">
        <v>4154</v>
      </c>
      <c r="D4245" s="3" t="s">
        <v>10599</v>
      </c>
      <c r="E4245" s="3" t="s">
        <v>10600</v>
      </c>
      <c r="J4245" s="9" t="s">
        <v>24</v>
      </c>
      <c r="L4245" s="9">
        <v>1</v>
      </c>
      <c r="M4245" s="9">
        <v>2</v>
      </c>
      <c r="N4245" s="9" t="s">
        <v>12078</v>
      </c>
      <c r="O4245" s="9" t="s">
        <v>12119</v>
      </c>
      <c r="Q4245" s="10"/>
      <c r="S4245" s="9">
        <v>11843</v>
      </c>
      <c r="U4245" s="9" t="str">
        <f t="shared" ca="1" si="166"/>
        <v/>
      </c>
      <c r="V4245" s="9" t="str">
        <f t="shared" ca="1" si="167"/>
        <v/>
      </c>
      <c r="AG4245" s="9" t="s">
        <v>19</v>
      </c>
    </row>
    <row r="4246" spans="1:33" ht="29">
      <c r="A4246" s="3" t="s">
        <v>4154</v>
      </c>
      <c r="D4246" s="3" t="s">
        <v>10599</v>
      </c>
      <c r="E4246" s="3" t="s">
        <v>10601</v>
      </c>
      <c r="J4246" s="9" t="s">
        <v>24</v>
      </c>
      <c r="L4246" s="9">
        <v>1</v>
      </c>
      <c r="M4246" s="9">
        <v>3</v>
      </c>
      <c r="N4246" s="9" t="s">
        <v>12094</v>
      </c>
      <c r="O4246" s="9" t="s">
        <v>12079</v>
      </c>
      <c r="Q4246" s="10"/>
      <c r="S4246" s="9">
        <v>1741</v>
      </c>
      <c r="U4246" s="9" t="str">
        <f t="shared" ca="1" si="166"/>
        <v/>
      </c>
      <c r="V4246" s="9" t="str">
        <f t="shared" ca="1" si="167"/>
        <v/>
      </c>
      <c r="AG4246" s="9" t="s">
        <v>19</v>
      </c>
    </row>
    <row r="4247" spans="1:33" ht="29">
      <c r="A4247" s="3" t="s">
        <v>4154</v>
      </c>
      <c r="D4247" s="6" t="s">
        <v>10605</v>
      </c>
      <c r="E4247" s="3" t="s">
        <v>10602</v>
      </c>
      <c r="F4247" t="s">
        <v>11</v>
      </c>
      <c r="G4247" t="s">
        <v>19</v>
      </c>
      <c r="J4247" s="9" t="s">
        <v>12120</v>
      </c>
      <c r="Q4247" s="10"/>
      <c r="U4247" s="9" t="str">
        <f t="shared" ca="1" si="166"/>
        <v/>
      </c>
      <c r="V4247" s="9" t="str">
        <f t="shared" ca="1" si="167"/>
        <v/>
      </c>
      <c r="AE4247" s="9" t="s">
        <v>12089</v>
      </c>
      <c r="AF4247" s="9" t="s">
        <v>19</v>
      </c>
    </row>
    <row r="4248" spans="1:33" ht="29">
      <c r="A4248" s="3" t="s">
        <v>4154</v>
      </c>
      <c r="D4248" s="3" t="s">
        <v>10604</v>
      </c>
      <c r="E4248" s="3" t="s">
        <v>10603</v>
      </c>
      <c r="G4248" t="s">
        <v>19</v>
      </c>
      <c r="J4248" s="9" t="s">
        <v>12120</v>
      </c>
      <c r="Q4248" s="10"/>
      <c r="U4248" s="9" t="str">
        <f t="shared" ca="1" si="166"/>
        <v/>
      </c>
      <c r="V4248" s="9" t="str">
        <f t="shared" ca="1" si="167"/>
        <v/>
      </c>
    </row>
    <row r="4249" spans="1:33">
      <c r="A4249" s="3" t="s">
        <v>4155</v>
      </c>
      <c r="D4249" s="3" t="s">
        <v>10607</v>
      </c>
      <c r="E4249" s="3" t="s">
        <v>10606</v>
      </c>
      <c r="G4249" t="s">
        <v>19</v>
      </c>
      <c r="J4249" s="9" t="s">
        <v>24</v>
      </c>
      <c r="L4249" s="9">
        <v>1</v>
      </c>
      <c r="M4249" s="9">
        <v>3</v>
      </c>
      <c r="N4249" s="9" t="s">
        <v>12087</v>
      </c>
      <c r="O4249" s="9" t="s">
        <v>12079</v>
      </c>
      <c r="Q4249" s="10"/>
      <c r="S4249" s="9">
        <v>431</v>
      </c>
      <c r="U4249" s="9" t="str">
        <f t="shared" ca="1" si="166"/>
        <v/>
      </c>
      <c r="V4249" s="9" t="str">
        <f t="shared" ca="1" si="167"/>
        <v/>
      </c>
    </row>
    <row r="4250" spans="1:33" ht="29">
      <c r="A4250" s="3" t="s">
        <v>4156</v>
      </c>
      <c r="D4250" s="3" t="s">
        <v>10608</v>
      </c>
      <c r="E4250" s="3" t="s">
        <v>10609</v>
      </c>
      <c r="J4250" s="9" t="s">
        <v>12120</v>
      </c>
      <c r="Q4250" s="10"/>
      <c r="U4250" s="9" t="str">
        <f t="shared" ca="1" si="166"/>
        <v/>
      </c>
      <c r="V4250" s="9" t="str">
        <f t="shared" ca="1" si="167"/>
        <v/>
      </c>
      <c r="AC4250" s="9" t="s">
        <v>12144</v>
      </c>
      <c r="AD4250" s="9" t="s">
        <v>19</v>
      </c>
      <c r="AE4250" s="9" t="s">
        <v>12086</v>
      </c>
    </row>
    <row r="4251" spans="1:33" ht="29">
      <c r="A4251" s="3" t="s">
        <v>4156</v>
      </c>
      <c r="D4251" s="3" t="s">
        <v>10611</v>
      </c>
      <c r="E4251" s="3" t="s">
        <v>10610</v>
      </c>
      <c r="J4251" s="9" t="s">
        <v>12120</v>
      </c>
      <c r="Q4251" s="10"/>
      <c r="U4251" s="9" t="str">
        <f t="shared" ca="1" si="166"/>
        <v/>
      </c>
      <c r="V4251" s="9" t="str">
        <f t="shared" ca="1" si="167"/>
        <v/>
      </c>
      <c r="AG4251" s="9" t="s">
        <v>19</v>
      </c>
    </row>
    <row r="4252" spans="1:33" ht="58">
      <c r="A4252" s="3" t="s">
        <v>4157</v>
      </c>
      <c r="D4252" s="3" t="s">
        <v>10613</v>
      </c>
      <c r="E4252" s="3" t="s">
        <v>10612</v>
      </c>
      <c r="F4252" t="s">
        <v>4774</v>
      </c>
      <c r="I4252" s="4"/>
      <c r="J4252" s="9" t="s">
        <v>27</v>
      </c>
      <c r="Q4252" s="10"/>
      <c r="U4252" s="9" t="str">
        <f t="shared" ref="U4252" ca="1" si="168">IF(ISNUMBER(T4252),VALUE(MID(_xlfn.FORMULATEXT(T4252),SEARCH("-",_xlfn.FORMULATEXT(T4252))+1,LEN(_xlfn.FORMULATEXT(T4252))-SEARCH("-",_xlfn.FORMULATEXT(T4252)))), "")</f>
        <v/>
      </c>
      <c r="V4252" s="9" t="str">
        <f t="shared" ref="V4252" ca="1" si="169">IF(ISNUMBER(T4252), VALUE(MID(_xlfn.FORMULATEXT(T4252), 2, SEARCH("-", _xlfn.FORMULATEXT(T4252)) - 2)), "")</f>
        <v/>
      </c>
    </row>
    <row r="4253" spans="1:33" ht="58">
      <c r="A4253" s="3" t="s">
        <v>4157</v>
      </c>
      <c r="D4253" s="3" t="s">
        <v>10613</v>
      </c>
      <c r="E4253" s="3" t="s">
        <v>10612</v>
      </c>
      <c r="F4253" t="s">
        <v>4774</v>
      </c>
      <c r="I4253" s="4"/>
      <c r="Q4253" s="10"/>
      <c r="U4253" s="9" t="str">
        <f t="shared" ca="1" si="166"/>
        <v/>
      </c>
      <c r="V4253" s="9" t="str">
        <f t="shared" ca="1" si="167"/>
        <v/>
      </c>
    </row>
    <row r="4254" spans="1:33" ht="58">
      <c r="A4254" s="3" t="s">
        <v>4157</v>
      </c>
      <c r="D4254" s="3" t="s">
        <v>10614</v>
      </c>
      <c r="E4254" s="3" t="s">
        <v>10612</v>
      </c>
      <c r="F4254" t="s">
        <v>4774</v>
      </c>
      <c r="I4254" s="4"/>
      <c r="J4254" s="9" t="s">
        <v>25</v>
      </c>
      <c r="L4254" s="9">
        <v>1</v>
      </c>
      <c r="M4254" s="9">
        <v>3</v>
      </c>
      <c r="N4254" s="9" t="s">
        <v>12087</v>
      </c>
      <c r="O4254" s="9" t="s">
        <v>12079</v>
      </c>
      <c r="Q4254" s="10"/>
      <c r="S4254" s="9">
        <v>431</v>
      </c>
      <c r="U4254" s="9" t="str">
        <f t="shared" ca="1" si="166"/>
        <v/>
      </c>
      <c r="V4254" s="9" t="str">
        <f t="shared" ca="1" si="167"/>
        <v/>
      </c>
    </row>
    <row r="4255" spans="1:33" ht="58">
      <c r="A4255" s="3" t="s">
        <v>4157</v>
      </c>
      <c r="D4255" s="3" t="s">
        <v>10615</v>
      </c>
      <c r="E4255" s="3" t="s">
        <v>10616</v>
      </c>
      <c r="F4255" t="s">
        <v>4774</v>
      </c>
      <c r="I4255" s="4"/>
      <c r="J4255" s="9" t="s">
        <v>12120</v>
      </c>
      <c r="Q4255" s="10"/>
      <c r="U4255" s="9" t="str">
        <f t="shared" ca="1" si="166"/>
        <v/>
      </c>
      <c r="V4255" s="9" t="str">
        <f t="shared" ca="1" si="167"/>
        <v/>
      </c>
    </row>
    <row r="4256" spans="1:33" ht="58">
      <c r="A4256" s="3" t="s">
        <v>4157</v>
      </c>
      <c r="D4256" s="3" t="s">
        <v>10617</v>
      </c>
      <c r="E4256" s="3" t="s">
        <v>10618</v>
      </c>
      <c r="F4256" t="s">
        <v>4774</v>
      </c>
      <c r="I4256" s="4"/>
      <c r="J4256" s="9" t="s">
        <v>12120</v>
      </c>
      <c r="Q4256" s="10"/>
      <c r="U4256" s="9" t="str">
        <f t="shared" ca="1" si="166"/>
        <v/>
      </c>
      <c r="V4256" s="9" t="str">
        <f t="shared" ca="1" si="167"/>
        <v/>
      </c>
    </row>
    <row r="4257" spans="1:33" ht="58">
      <c r="A4257" s="3" t="s">
        <v>4157</v>
      </c>
      <c r="D4257" s="3" t="s">
        <v>10619</v>
      </c>
      <c r="E4257" s="3" t="s">
        <v>10620</v>
      </c>
      <c r="F4257" t="s">
        <v>4774</v>
      </c>
      <c r="I4257" s="4"/>
      <c r="J4257" s="9" t="s">
        <v>12120</v>
      </c>
      <c r="Q4257" s="10"/>
      <c r="U4257" s="9" t="str">
        <f t="shared" ca="1" si="166"/>
        <v/>
      </c>
      <c r="V4257" s="9" t="str">
        <f t="shared" ca="1" si="167"/>
        <v/>
      </c>
    </row>
    <row r="4258" spans="1:33" ht="58">
      <c r="A4258" s="3" t="s">
        <v>4157</v>
      </c>
      <c r="D4258" s="3" t="s">
        <v>10621</v>
      </c>
      <c r="E4258" s="3" t="s">
        <v>10622</v>
      </c>
      <c r="F4258" t="s">
        <v>4774</v>
      </c>
      <c r="J4258" s="9" t="s">
        <v>12118</v>
      </c>
      <c r="Q4258" s="10"/>
      <c r="T4258" s="9">
        <f>336-54</f>
        <v>282</v>
      </c>
      <c r="U4258" s="9">
        <f t="shared" ca="1" si="166"/>
        <v>54</v>
      </c>
      <c r="V4258" s="9">
        <f t="shared" ca="1" si="167"/>
        <v>336</v>
      </c>
    </row>
    <row r="4259" spans="1:33">
      <c r="A4259" s="3" t="s">
        <v>4158</v>
      </c>
      <c r="D4259" s="3" t="s">
        <v>430</v>
      </c>
      <c r="E4259" s="3" t="s">
        <v>431</v>
      </c>
      <c r="J4259" s="9" t="s">
        <v>12118</v>
      </c>
      <c r="Q4259" s="10"/>
      <c r="T4259" s="9" t="s">
        <v>12131</v>
      </c>
      <c r="U4259" s="9" t="str">
        <f t="shared" ca="1" si="166"/>
        <v/>
      </c>
      <c r="V4259" s="9" t="str">
        <f t="shared" ca="1" si="167"/>
        <v/>
      </c>
      <c r="AC4259" s="9" t="s">
        <v>12130</v>
      </c>
      <c r="AD4259" s="9" t="s">
        <v>19</v>
      </c>
      <c r="AE4259" s="9" t="s">
        <v>12086</v>
      </c>
    </row>
    <row r="4260" spans="1:33" ht="29">
      <c r="A4260" s="3" t="s">
        <v>4158</v>
      </c>
      <c r="D4260" s="3" t="s">
        <v>10623</v>
      </c>
      <c r="E4260" s="3" t="s">
        <v>10624</v>
      </c>
      <c r="G4260" t="s">
        <v>19</v>
      </c>
      <c r="J4260" s="9" t="s">
        <v>12120</v>
      </c>
      <c r="Q4260" s="10"/>
      <c r="U4260" s="9" t="str">
        <f t="shared" ca="1" si="166"/>
        <v/>
      </c>
      <c r="V4260" s="9" t="str">
        <f t="shared" ca="1" si="167"/>
        <v/>
      </c>
      <c r="AE4260" s="9" t="s">
        <v>12089</v>
      </c>
    </row>
    <row r="4261" spans="1:33" ht="29">
      <c r="A4261" s="3" t="s">
        <v>4158</v>
      </c>
      <c r="D4261" s="3" t="s">
        <v>10625</v>
      </c>
      <c r="E4261" s="3" t="s">
        <v>10626</v>
      </c>
      <c r="G4261" t="s">
        <v>19</v>
      </c>
      <c r="J4261" s="9" t="s">
        <v>12118</v>
      </c>
      <c r="Q4261" s="10"/>
      <c r="T4261" s="9">
        <f>32-235</f>
        <v>-203</v>
      </c>
      <c r="U4261" s="9">
        <f t="shared" ca="1" si="166"/>
        <v>235</v>
      </c>
      <c r="V4261" s="9">
        <f t="shared" ca="1" si="167"/>
        <v>32</v>
      </c>
    </row>
    <row r="4262" spans="1:33">
      <c r="A4262" s="3" t="s">
        <v>4158</v>
      </c>
      <c r="D4262" s="3" t="s">
        <v>10627</v>
      </c>
      <c r="E4262" s="3" t="s">
        <v>10628</v>
      </c>
      <c r="J4262" s="9" t="s">
        <v>12118</v>
      </c>
      <c r="Q4262" s="10"/>
      <c r="T4262" s="9">
        <f>361-472</f>
        <v>-111</v>
      </c>
      <c r="U4262" s="9">
        <f t="shared" ca="1" si="166"/>
        <v>472</v>
      </c>
      <c r="V4262" s="9">
        <f t="shared" ca="1" si="167"/>
        <v>361</v>
      </c>
      <c r="AG4262" s="9" t="s">
        <v>19</v>
      </c>
    </row>
    <row r="4263" spans="1:33">
      <c r="A4263" s="3" t="s">
        <v>4158</v>
      </c>
      <c r="D4263" s="3" t="s">
        <v>10630</v>
      </c>
      <c r="E4263" s="3" t="s">
        <v>10629</v>
      </c>
      <c r="G4263" t="s">
        <v>19</v>
      </c>
      <c r="J4263" s="9" t="s">
        <v>12120</v>
      </c>
      <c r="Q4263" s="10"/>
      <c r="U4263" s="9" t="str">
        <f t="shared" ca="1" si="166"/>
        <v/>
      </c>
      <c r="V4263" s="9" t="str">
        <f t="shared" ca="1" si="167"/>
        <v/>
      </c>
      <c r="AC4263" s="9" t="s">
        <v>12166</v>
      </c>
      <c r="AD4263" s="9" t="s">
        <v>19</v>
      </c>
    </row>
    <row r="4264" spans="1:33" ht="43.5">
      <c r="A4264" s="3" t="s">
        <v>4158</v>
      </c>
      <c r="D4264" s="3" t="s">
        <v>12542</v>
      </c>
      <c r="E4264" s="3" t="s">
        <v>10631</v>
      </c>
      <c r="G4264" t="s">
        <v>19</v>
      </c>
      <c r="I4264" t="s">
        <v>13124</v>
      </c>
      <c r="J4264" s="9" t="s">
        <v>25</v>
      </c>
      <c r="L4264" s="9">
        <v>4</v>
      </c>
      <c r="M4264" s="9">
        <v>26</v>
      </c>
      <c r="O4264" s="9" t="s">
        <v>12079</v>
      </c>
      <c r="Q4264" s="10"/>
      <c r="S4264" s="9">
        <v>0</v>
      </c>
      <c r="U4264" s="9" t="str">
        <f t="shared" ca="1" si="166"/>
        <v/>
      </c>
      <c r="V4264" s="9" t="str">
        <f t="shared" ca="1" si="167"/>
        <v/>
      </c>
    </row>
    <row r="4265" spans="1:33">
      <c r="A4265" s="3" t="s">
        <v>4159</v>
      </c>
      <c r="D4265" s="3" t="s">
        <v>4160</v>
      </c>
      <c r="E4265" s="3" t="s">
        <v>4161</v>
      </c>
      <c r="J4265" s="9" t="s">
        <v>12120</v>
      </c>
      <c r="Q4265" s="10"/>
      <c r="U4265" s="9" t="str">
        <f t="shared" ca="1" si="166"/>
        <v/>
      </c>
      <c r="V4265" s="9" t="str">
        <f t="shared" ca="1" si="167"/>
        <v/>
      </c>
      <c r="AG4265" s="9" t="s">
        <v>19</v>
      </c>
    </row>
    <row r="4266" spans="1:33" ht="29">
      <c r="A4266" s="3" t="s">
        <v>4162</v>
      </c>
      <c r="D4266" s="3" t="s">
        <v>10632</v>
      </c>
      <c r="E4266" s="3" t="s">
        <v>10633</v>
      </c>
      <c r="J4266" s="9" t="s">
        <v>12118</v>
      </c>
      <c r="Q4266" s="10"/>
      <c r="T4266" s="9">
        <f>310-207</f>
        <v>103</v>
      </c>
      <c r="U4266" s="9">
        <f t="shared" ca="1" si="166"/>
        <v>207</v>
      </c>
      <c r="V4266" s="9">
        <f t="shared" ca="1" si="167"/>
        <v>310</v>
      </c>
      <c r="AG4266" s="9" t="s">
        <v>20</v>
      </c>
    </row>
    <row r="4267" spans="1:33" ht="43.5">
      <c r="A4267" s="3" t="s">
        <v>4163</v>
      </c>
      <c r="D4267" s="3" t="s">
        <v>10634</v>
      </c>
      <c r="E4267" s="3" t="s">
        <v>10635</v>
      </c>
      <c r="J4267" s="9" t="s">
        <v>24</v>
      </c>
      <c r="L4267" s="9">
        <v>1</v>
      </c>
      <c r="M4267" s="9">
        <v>3</v>
      </c>
      <c r="N4267" s="9" t="s">
        <v>12078</v>
      </c>
      <c r="O4267" s="9" t="s">
        <v>12079</v>
      </c>
      <c r="Q4267" s="10"/>
      <c r="S4267" s="9">
        <v>11843</v>
      </c>
      <c r="U4267" s="9" t="str">
        <f t="shared" ca="1" si="166"/>
        <v/>
      </c>
      <c r="V4267" s="9" t="str">
        <f t="shared" ca="1" si="167"/>
        <v/>
      </c>
      <c r="AG4267" s="9" t="s">
        <v>19</v>
      </c>
    </row>
    <row r="4268" spans="1:33" ht="29">
      <c r="A4268" s="3" t="s">
        <v>4163</v>
      </c>
      <c r="D4268" s="3" t="s">
        <v>10637</v>
      </c>
      <c r="E4268" s="3" t="s">
        <v>10638</v>
      </c>
      <c r="G4268" t="s">
        <v>19</v>
      </c>
      <c r="J4268" s="9" t="s">
        <v>12120</v>
      </c>
      <c r="Q4268" s="10"/>
      <c r="U4268" s="9" t="str">
        <f t="shared" ca="1" si="166"/>
        <v/>
      </c>
      <c r="V4268" s="9" t="str">
        <f t="shared" ca="1" si="167"/>
        <v/>
      </c>
    </row>
    <row r="4269" spans="1:33" ht="29">
      <c r="A4269" s="3" t="s">
        <v>4163</v>
      </c>
      <c r="D4269" s="3" t="s">
        <v>10636</v>
      </c>
      <c r="E4269" s="3" t="s">
        <v>10639</v>
      </c>
      <c r="G4269" t="s">
        <v>19</v>
      </c>
      <c r="J4269" s="9" t="s">
        <v>24</v>
      </c>
      <c r="L4269" s="9">
        <v>1</v>
      </c>
      <c r="M4269" s="9">
        <v>2</v>
      </c>
      <c r="N4269" s="9" t="s">
        <v>12094</v>
      </c>
      <c r="O4269" s="9" t="s">
        <v>12119</v>
      </c>
      <c r="Q4269" s="10"/>
      <c r="S4269" s="9">
        <v>780</v>
      </c>
      <c r="U4269" s="9" t="str">
        <f t="shared" ca="1" si="166"/>
        <v/>
      </c>
      <c r="V4269" s="9" t="str">
        <f t="shared" ca="1" si="167"/>
        <v/>
      </c>
    </row>
    <row r="4270" spans="1:33" ht="29">
      <c r="A4270" s="3" t="s">
        <v>4163</v>
      </c>
      <c r="D4270" s="3" t="s">
        <v>12732</v>
      </c>
      <c r="E4270" s="3" t="s">
        <v>12733</v>
      </c>
      <c r="G4270" t="s">
        <v>20</v>
      </c>
      <c r="I4270" t="s">
        <v>10640</v>
      </c>
      <c r="J4270" s="9" t="s">
        <v>24</v>
      </c>
      <c r="L4270" s="9">
        <v>1</v>
      </c>
      <c r="M4270" s="9">
        <v>3</v>
      </c>
      <c r="N4270" s="9" t="s">
        <v>12096</v>
      </c>
      <c r="O4270" s="9" t="s">
        <v>12079</v>
      </c>
      <c r="Q4270" s="10"/>
      <c r="S4270" s="9">
        <v>1101</v>
      </c>
      <c r="U4270" s="9" t="str">
        <f t="shared" ca="1" si="166"/>
        <v/>
      </c>
      <c r="V4270" s="9" t="str">
        <f t="shared" ca="1" si="167"/>
        <v/>
      </c>
      <c r="AG4270" s="9" t="s">
        <v>19</v>
      </c>
    </row>
    <row r="4271" spans="1:33" ht="29">
      <c r="A4271" s="3" t="s">
        <v>4164</v>
      </c>
      <c r="D4271" s="3" t="s">
        <v>10642</v>
      </c>
      <c r="E4271" s="3" t="s">
        <v>10641</v>
      </c>
      <c r="G4271" t="s">
        <v>19</v>
      </c>
      <c r="J4271" s="9" t="s">
        <v>24</v>
      </c>
      <c r="L4271" s="9">
        <v>1</v>
      </c>
      <c r="M4271" s="9">
        <v>3</v>
      </c>
      <c r="N4271" s="9" t="s">
        <v>12087</v>
      </c>
      <c r="O4271" s="9" t="s">
        <v>12079</v>
      </c>
      <c r="Q4271" s="10"/>
      <c r="S4271" s="9">
        <v>5676</v>
      </c>
      <c r="U4271" s="9" t="str">
        <f t="shared" ca="1" si="166"/>
        <v/>
      </c>
      <c r="V4271" s="9" t="str">
        <f t="shared" ca="1" si="167"/>
        <v/>
      </c>
    </row>
    <row r="4272" spans="1:33" ht="29">
      <c r="A4272" s="3" t="s">
        <v>4164</v>
      </c>
      <c r="D4272" s="3" t="s">
        <v>10644</v>
      </c>
      <c r="E4272" s="3" t="s">
        <v>10643</v>
      </c>
      <c r="G4272" t="s">
        <v>19</v>
      </c>
      <c r="J4272" s="9" t="s">
        <v>24</v>
      </c>
      <c r="L4272" s="9">
        <v>1</v>
      </c>
      <c r="M4272" s="9">
        <v>5</v>
      </c>
      <c r="N4272" s="9" t="s">
        <v>12094</v>
      </c>
      <c r="O4272" s="9" t="s">
        <v>12073</v>
      </c>
      <c r="P4272" s="9" t="s">
        <v>12142</v>
      </c>
      <c r="Q4272" s="10" t="s">
        <v>12143</v>
      </c>
      <c r="S4272" s="9">
        <v>4240</v>
      </c>
      <c r="U4272" s="9" t="str">
        <f t="shared" ca="1" si="166"/>
        <v/>
      </c>
      <c r="V4272" s="9" t="str">
        <f t="shared" ca="1" si="167"/>
        <v/>
      </c>
    </row>
    <row r="4273" spans="1:33">
      <c r="A4273" s="3" t="s">
        <v>4165</v>
      </c>
      <c r="D4273" s="11" t="s">
        <v>10646</v>
      </c>
      <c r="E4273" s="3" t="s">
        <v>10647</v>
      </c>
      <c r="G4273" t="s">
        <v>19</v>
      </c>
      <c r="J4273" s="9" t="s">
        <v>12120</v>
      </c>
      <c r="Q4273" s="10"/>
      <c r="U4273" s="9" t="str">
        <f t="shared" ca="1" si="166"/>
        <v/>
      </c>
      <c r="V4273" s="9" t="str">
        <f t="shared" ca="1" si="167"/>
        <v/>
      </c>
      <c r="AE4273" s="9" t="s">
        <v>12089</v>
      </c>
    </row>
    <row r="4274" spans="1:33">
      <c r="A4274" s="3" t="s">
        <v>4165</v>
      </c>
      <c r="D4274" s="11" t="s">
        <v>10648</v>
      </c>
      <c r="E4274" s="3" t="s">
        <v>10645</v>
      </c>
      <c r="H4274" t="s">
        <v>19</v>
      </c>
      <c r="J4274" s="9" t="s">
        <v>25</v>
      </c>
      <c r="L4274" s="9">
        <v>1</v>
      </c>
      <c r="M4274" s="9">
        <v>2</v>
      </c>
      <c r="N4274" s="9" t="s">
        <v>12078</v>
      </c>
      <c r="O4274" s="9" t="s">
        <v>12119</v>
      </c>
      <c r="Q4274" s="10"/>
      <c r="S4274" s="9">
        <v>11843</v>
      </c>
      <c r="U4274" s="9" t="str">
        <f t="shared" ca="1" si="166"/>
        <v/>
      </c>
      <c r="V4274" s="9" t="str">
        <f t="shared" ca="1" si="167"/>
        <v/>
      </c>
      <c r="AG4274" s="9" t="s">
        <v>20</v>
      </c>
    </row>
    <row r="4275" spans="1:33">
      <c r="A4275" s="3" t="s">
        <v>4165</v>
      </c>
      <c r="D4275" s="3" t="s">
        <v>10649</v>
      </c>
      <c r="E4275" s="3" t="s">
        <v>10650</v>
      </c>
      <c r="J4275" s="9" t="s">
        <v>25</v>
      </c>
      <c r="L4275" s="9">
        <v>1</v>
      </c>
      <c r="M4275" s="9">
        <v>3</v>
      </c>
      <c r="N4275" s="9" t="s">
        <v>12078</v>
      </c>
      <c r="O4275" s="9" t="s">
        <v>12079</v>
      </c>
      <c r="Q4275" s="10"/>
      <c r="S4275" s="9">
        <v>11843</v>
      </c>
      <c r="U4275" s="9" t="str">
        <f t="shared" ca="1" si="166"/>
        <v/>
      </c>
      <c r="V4275" s="9" t="str">
        <f t="shared" ca="1" si="167"/>
        <v/>
      </c>
      <c r="AG4275" s="9" t="s">
        <v>19</v>
      </c>
    </row>
    <row r="4276" spans="1:33">
      <c r="A4276" s="3" t="s">
        <v>4166</v>
      </c>
      <c r="D4276" s="3" t="s">
        <v>10651</v>
      </c>
      <c r="E4276" s="3" t="s">
        <v>10652</v>
      </c>
      <c r="G4276" t="s">
        <v>19</v>
      </c>
      <c r="J4276" s="9" t="s">
        <v>12120</v>
      </c>
      <c r="Q4276" s="10"/>
      <c r="U4276" s="9" t="str">
        <f t="shared" ca="1" si="166"/>
        <v/>
      </c>
      <c r="V4276" s="9" t="str">
        <f t="shared" ca="1" si="167"/>
        <v/>
      </c>
    </row>
    <row r="4277" spans="1:33" ht="29">
      <c r="A4277" s="3" t="s">
        <v>4167</v>
      </c>
      <c r="D4277" s="3" t="s">
        <v>10654</v>
      </c>
      <c r="E4277" s="3" t="s">
        <v>10653</v>
      </c>
      <c r="J4277" s="9" t="s">
        <v>25</v>
      </c>
      <c r="L4277" s="9">
        <v>2</v>
      </c>
      <c r="M4277" s="9">
        <v>7</v>
      </c>
      <c r="O4277" s="9" t="s">
        <v>12079</v>
      </c>
      <c r="Q4277" s="10"/>
      <c r="S4277" s="9">
        <v>152</v>
      </c>
      <c r="U4277" s="9" t="str">
        <f t="shared" ca="1" si="166"/>
        <v/>
      </c>
      <c r="V4277" s="9" t="str">
        <f t="shared" ca="1" si="167"/>
        <v/>
      </c>
      <c r="AG4277" s="9" t="s">
        <v>20</v>
      </c>
    </row>
    <row r="4278" spans="1:33">
      <c r="A4278" s="3" t="s">
        <v>4167</v>
      </c>
      <c r="D4278" s="3" t="s">
        <v>10656</v>
      </c>
      <c r="E4278" s="3" t="s">
        <v>10655</v>
      </c>
      <c r="G4278" t="s">
        <v>19</v>
      </c>
      <c r="J4278" s="9" t="s">
        <v>12120</v>
      </c>
      <c r="Q4278" s="10"/>
      <c r="U4278" s="9" t="str">
        <f t="shared" ca="1" si="166"/>
        <v/>
      </c>
      <c r="V4278" s="9" t="str">
        <f t="shared" ca="1" si="167"/>
        <v/>
      </c>
      <c r="AB4278" s="9" t="s">
        <v>12124</v>
      </c>
      <c r="AD4278" s="9" t="s">
        <v>19</v>
      </c>
    </row>
    <row r="4279" spans="1:33">
      <c r="A4279" s="3" t="s">
        <v>4168</v>
      </c>
      <c r="D4279" s="3" t="s">
        <v>10657</v>
      </c>
      <c r="E4279" s="3" t="s">
        <v>10658</v>
      </c>
      <c r="J4279" s="9" t="s">
        <v>24</v>
      </c>
      <c r="L4279" s="9">
        <v>1</v>
      </c>
      <c r="M4279" s="9">
        <v>3</v>
      </c>
      <c r="N4279" s="9" t="s">
        <v>12078</v>
      </c>
      <c r="O4279" s="9" t="s">
        <v>12079</v>
      </c>
      <c r="Q4279" s="10"/>
      <c r="S4279" s="9">
        <v>11843</v>
      </c>
      <c r="U4279" s="9" t="str">
        <f t="shared" ca="1" si="166"/>
        <v/>
      </c>
      <c r="V4279" s="9" t="str">
        <f t="shared" ca="1" si="167"/>
        <v/>
      </c>
      <c r="AG4279" s="9" t="s">
        <v>19</v>
      </c>
    </row>
    <row r="4280" spans="1:33">
      <c r="A4280" s="3" t="s">
        <v>4168</v>
      </c>
      <c r="D4280" s="3" t="s">
        <v>10660</v>
      </c>
      <c r="E4280" s="3" t="s">
        <v>10659</v>
      </c>
      <c r="J4280" s="9" t="s">
        <v>12118</v>
      </c>
      <c r="Q4280" s="10"/>
      <c r="T4280" s="9" t="s">
        <v>12131</v>
      </c>
      <c r="U4280" s="9" t="str">
        <f t="shared" ca="1" si="166"/>
        <v/>
      </c>
      <c r="V4280" s="9" t="str">
        <f t="shared" ca="1" si="167"/>
        <v/>
      </c>
      <c r="AB4280" s="9" t="s">
        <v>12124</v>
      </c>
      <c r="AC4280" s="9" t="s">
        <v>12134</v>
      </c>
      <c r="AD4280" s="9" t="s">
        <v>19</v>
      </c>
    </row>
    <row r="4281" spans="1:33" ht="29">
      <c r="A4281" s="3" t="s">
        <v>4168</v>
      </c>
      <c r="D4281" s="3" t="s">
        <v>10662</v>
      </c>
      <c r="E4281" s="3" t="s">
        <v>10661</v>
      </c>
      <c r="J4281" s="9" t="s">
        <v>25</v>
      </c>
      <c r="L4281" s="9">
        <v>1</v>
      </c>
      <c r="M4281" s="9">
        <v>3</v>
      </c>
      <c r="N4281" s="9" t="s">
        <v>12087</v>
      </c>
      <c r="O4281" s="9" t="s">
        <v>12079</v>
      </c>
      <c r="Q4281" s="10"/>
      <c r="S4281" s="9">
        <v>5676</v>
      </c>
      <c r="U4281" s="9" t="str">
        <f t="shared" ca="1" si="166"/>
        <v/>
      </c>
      <c r="V4281" s="9" t="str">
        <f t="shared" ca="1" si="167"/>
        <v/>
      </c>
      <c r="AG4281" s="9" t="s">
        <v>19</v>
      </c>
    </row>
    <row r="4282" spans="1:33" ht="29">
      <c r="A4282" s="3" t="s">
        <v>4168</v>
      </c>
      <c r="D4282" s="3" t="s">
        <v>10663</v>
      </c>
      <c r="E4282" s="3" t="s">
        <v>10664</v>
      </c>
      <c r="J4282" s="9" t="s">
        <v>12120</v>
      </c>
      <c r="Q4282" s="10"/>
      <c r="U4282" s="9" t="str">
        <f t="shared" ca="1" si="166"/>
        <v/>
      </c>
      <c r="V4282" s="9" t="str">
        <f t="shared" ca="1" si="167"/>
        <v/>
      </c>
      <c r="AC4282" s="9" t="s">
        <v>12744</v>
      </c>
      <c r="AD4282" s="9" t="s">
        <v>19</v>
      </c>
    </row>
    <row r="4283" spans="1:33">
      <c r="A4283" s="3" t="s">
        <v>4168</v>
      </c>
      <c r="D4283" s="3" t="s">
        <v>2094</v>
      </c>
      <c r="E4283" s="3" t="s">
        <v>2093</v>
      </c>
      <c r="J4283" s="9" t="s">
        <v>12120</v>
      </c>
      <c r="Q4283" s="10"/>
      <c r="U4283" s="9" t="str">
        <f t="shared" ca="1" si="166"/>
        <v/>
      </c>
      <c r="V4283" s="9" t="str">
        <f t="shared" ca="1" si="167"/>
        <v/>
      </c>
      <c r="AC4283" s="9" t="s">
        <v>12744</v>
      </c>
      <c r="AD4283" s="9" t="s">
        <v>19</v>
      </c>
    </row>
    <row r="4284" spans="1:33" ht="29">
      <c r="A4284" s="3" t="s">
        <v>4168</v>
      </c>
      <c r="D4284" s="3" t="s">
        <v>10666</v>
      </c>
      <c r="E4284" s="3" t="s">
        <v>10665</v>
      </c>
      <c r="J4284" s="9" t="s">
        <v>25</v>
      </c>
      <c r="L4284" s="9">
        <v>1</v>
      </c>
      <c r="M4284" s="9">
        <v>11</v>
      </c>
      <c r="N4284" s="9" t="s">
        <v>12125</v>
      </c>
      <c r="O4284" s="9" t="s">
        <v>12073</v>
      </c>
      <c r="P4284" s="9" t="s">
        <v>12149</v>
      </c>
      <c r="Q4284" s="10" t="s">
        <v>12170</v>
      </c>
      <c r="S4284" s="9">
        <v>1</v>
      </c>
      <c r="U4284" s="9" t="str">
        <f t="shared" ca="1" si="166"/>
        <v/>
      </c>
      <c r="V4284" s="9" t="str">
        <f t="shared" ca="1" si="167"/>
        <v/>
      </c>
      <c r="AG4284" s="9" t="s">
        <v>19</v>
      </c>
    </row>
    <row r="4285" spans="1:33" ht="43.5">
      <c r="A4285" s="3" t="s">
        <v>4171</v>
      </c>
      <c r="D4285" s="3" t="s">
        <v>10668</v>
      </c>
      <c r="E4285" s="3" t="s">
        <v>10667</v>
      </c>
      <c r="I4285" t="s">
        <v>12543</v>
      </c>
      <c r="J4285" s="9" t="s">
        <v>25</v>
      </c>
      <c r="L4285" s="9">
        <v>4</v>
      </c>
      <c r="M4285" s="9">
        <v>21</v>
      </c>
      <c r="O4285" s="9" t="s">
        <v>12079</v>
      </c>
      <c r="Q4285" s="10"/>
      <c r="S4285" s="9">
        <v>1</v>
      </c>
      <c r="U4285" s="9" t="str">
        <f t="shared" ca="1" si="166"/>
        <v/>
      </c>
      <c r="V4285" s="9" t="str">
        <f t="shared" ca="1" si="167"/>
        <v/>
      </c>
      <c r="AG4285" s="9" t="s">
        <v>20</v>
      </c>
    </row>
    <row r="4286" spans="1:33">
      <c r="A4286" s="3" t="s">
        <v>4171</v>
      </c>
      <c r="D4286" s="3" t="s">
        <v>10669</v>
      </c>
      <c r="E4286" s="3" t="s">
        <v>10670</v>
      </c>
      <c r="J4286" s="9" t="s">
        <v>12118</v>
      </c>
      <c r="Q4286" s="10"/>
      <c r="T4286" s="9">
        <f>560-508</f>
        <v>52</v>
      </c>
      <c r="U4286" s="9">
        <f t="shared" ca="1" si="166"/>
        <v>508</v>
      </c>
      <c r="V4286" s="9">
        <f t="shared" ca="1" si="167"/>
        <v>560</v>
      </c>
      <c r="AG4286" s="9" t="s">
        <v>19</v>
      </c>
    </row>
    <row r="4287" spans="1:33" ht="29">
      <c r="A4287" s="3" t="s">
        <v>4171</v>
      </c>
      <c r="D4287" s="3" t="s">
        <v>10671</v>
      </c>
      <c r="E4287" s="3" t="s">
        <v>10672</v>
      </c>
      <c r="G4287" t="s">
        <v>20</v>
      </c>
      <c r="I4287" t="s">
        <v>10673</v>
      </c>
      <c r="J4287" s="9" t="s">
        <v>25</v>
      </c>
      <c r="L4287" s="9">
        <v>1</v>
      </c>
      <c r="M4287" s="9">
        <v>5</v>
      </c>
      <c r="N4287" s="9" t="s">
        <v>12094</v>
      </c>
      <c r="O4287" s="9" t="s">
        <v>12079</v>
      </c>
      <c r="Q4287" s="10"/>
      <c r="S4287" s="9">
        <v>4240</v>
      </c>
      <c r="U4287" s="9" t="str">
        <f t="shared" ca="1" si="166"/>
        <v/>
      </c>
      <c r="V4287" s="9" t="str">
        <f t="shared" ca="1" si="167"/>
        <v/>
      </c>
      <c r="AG4287" s="9" t="s">
        <v>19</v>
      </c>
    </row>
    <row r="4288" spans="1:33" ht="87">
      <c r="A4288" s="3" t="s">
        <v>4172</v>
      </c>
      <c r="D4288" s="3" t="s">
        <v>10674</v>
      </c>
      <c r="E4288" s="3" t="s">
        <v>10675</v>
      </c>
      <c r="F4288" t="s">
        <v>4774</v>
      </c>
      <c r="J4288" s="9" t="s">
        <v>27</v>
      </c>
      <c r="Q4288" s="10"/>
      <c r="T4288" s="9">
        <f>101-399</f>
        <v>-298</v>
      </c>
      <c r="U4288" s="9">
        <f t="shared" ref="U4288" ca="1" si="170">IF(ISNUMBER(T4288),VALUE(MID(_xlfn.FORMULATEXT(T4288),SEARCH("-",_xlfn.FORMULATEXT(T4288))+1,LEN(_xlfn.FORMULATEXT(T4288))-SEARCH("-",_xlfn.FORMULATEXT(T4288)))), "")</f>
        <v>399</v>
      </c>
      <c r="V4288" s="9">
        <f t="shared" ref="V4288" ca="1" si="171">IF(ISNUMBER(T4288), VALUE(MID(_xlfn.FORMULATEXT(T4288), 2, SEARCH("-", _xlfn.FORMULATEXT(T4288)) - 2)), "")</f>
        <v>101</v>
      </c>
    </row>
    <row r="4289" spans="1:33" ht="87">
      <c r="A4289" s="3" t="s">
        <v>4172</v>
      </c>
      <c r="D4289" s="3" t="s">
        <v>10674</v>
      </c>
      <c r="E4289" s="3" t="s">
        <v>10675</v>
      </c>
      <c r="F4289" t="s">
        <v>4774</v>
      </c>
      <c r="J4289" s="9" t="s">
        <v>12118</v>
      </c>
      <c r="Q4289" s="10"/>
      <c r="T4289" s="9">
        <f>101-399</f>
        <v>-298</v>
      </c>
      <c r="U4289" s="9">
        <f t="shared" ca="1" si="166"/>
        <v>399</v>
      </c>
      <c r="V4289" s="9">
        <f t="shared" ca="1" si="167"/>
        <v>101</v>
      </c>
    </row>
    <row r="4290" spans="1:33" ht="87">
      <c r="A4290" s="3" t="s">
        <v>4172</v>
      </c>
      <c r="D4290" s="3" t="s">
        <v>10676</v>
      </c>
      <c r="E4290" s="3" t="s">
        <v>10677</v>
      </c>
      <c r="F4290" t="s">
        <v>4774</v>
      </c>
      <c r="J4290" s="9" t="s">
        <v>24</v>
      </c>
      <c r="L4290" s="9">
        <v>1</v>
      </c>
      <c r="M4290" s="9">
        <v>5</v>
      </c>
      <c r="N4290" s="9" t="s">
        <v>12094</v>
      </c>
      <c r="O4290" s="9" t="s">
        <v>12073</v>
      </c>
      <c r="P4290" s="9" t="s">
        <v>12149</v>
      </c>
      <c r="Q4290" s="10" t="s">
        <v>12143</v>
      </c>
      <c r="S4290" s="9">
        <v>4240</v>
      </c>
      <c r="U4290" s="9" t="str">
        <f t="shared" ca="1" si="166"/>
        <v/>
      </c>
      <c r="V4290" s="9" t="str">
        <f t="shared" ca="1" si="167"/>
        <v/>
      </c>
    </row>
    <row r="4291" spans="1:33" ht="87">
      <c r="A4291" s="3" t="s">
        <v>4172</v>
      </c>
      <c r="D4291" s="3" t="s">
        <v>10678</v>
      </c>
      <c r="E4291" s="3" t="s">
        <v>12544</v>
      </c>
      <c r="F4291" t="s">
        <v>4774</v>
      </c>
      <c r="I4291" t="s">
        <v>12546</v>
      </c>
      <c r="J4291" s="9" t="s">
        <v>25</v>
      </c>
      <c r="L4291" s="9">
        <v>3</v>
      </c>
      <c r="M4291" s="9">
        <v>7</v>
      </c>
      <c r="O4291" s="9" t="s">
        <v>12079</v>
      </c>
      <c r="Q4291" s="10"/>
      <c r="S4291" s="9">
        <v>207</v>
      </c>
      <c r="U4291" s="9" t="str">
        <f t="shared" ca="1" si="166"/>
        <v/>
      </c>
      <c r="V4291" s="9" t="str">
        <f t="shared" ca="1" si="167"/>
        <v/>
      </c>
    </row>
    <row r="4292" spans="1:33" ht="87">
      <c r="A4292" s="3" t="s">
        <v>4173</v>
      </c>
      <c r="D4292" s="3" t="s">
        <v>10676</v>
      </c>
      <c r="E4292" s="3" t="s">
        <v>12545</v>
      </c>
      <c r="F4292" t="s">
        <v>4774</v>
      </c>
      <c r="I4292" s="4"/>
      <c r="J4292" s="9" t="s">
        <v>24</v>
      </c>
      <c r="L4292" s="9">
        <v>2</v>
      </c>
      <c r="M4292" s="9">
        <v>13</v>
      </c>
      <c r="O4292" s="9" t="s">
        <v>12073</v>
      </c>
      <c r="P4292" s="9" t="s">
        <v>12149</v>
      </c>
      <c r="Q4292" s="10" t="s">
        <v>12143</v>
      </c>
      <c r="S4292" s="9">
        <v>1</v>
      </c>
      <c r="U4292" s="9" t="str">
        <f t="shared" ca="1" si="166"/>
        <v/>
      </c>
      <c r="V4292" s="9" t="str">
        <f t="shared" ca="1" si="167"/>
        <v/>
      </c>
    </row>
    <row r="4293" spans="1:33" ht="87">
      <c r="A4293" s="3" t="s">
        <v>4173</v>
      </c>
      <c r="D4293" s="3" t="s">
        <v>10679</v>
      </c>
      <c r="E4293" s="3" t="s">
        <v>12547</v>
      </c>
      <c r="F4293" t="s">
        <v>4774</v>
      </c>
      <c r="I4293" s="4"/>
      <c r="J4293" s="9" t="s">
        <v>12120</v>
      </c>
      <c r="Q4293" s="10"/>
      <c r="U4293" s="9" t="str">
        <f t="shared" ca="1" si="166"/>
        <v/>
      </c>
      <c r="V4293" s="9" t="str">
        <f t="shared" ca="1" si="167"/>
        <v/>
      </c>
    </row>
    <row r="4294" spans="1:33" ht="87">
      <c r="A4294" s="3" t="s">
        <v>4173</v>
      </c>
      <c r="D4294" s="3" t="s">
        <v>10680</v>
      </c>
      <c r="E4294" s="3" t="s">
        <v>12544</v>
      </c>
      <c r="F4294" t="s">
        <v>4774</v>
      </c>
      <c r="I4294" s="4"/>
      <c r="J4294" s="9" t="s">
        <v>25</v>
      </c>
      <c r="L4294" s="9">
        <v>1</v>
      </c>
      <c r="M4294" s="9">
        <v>2</v>
      </c>
      <c r="N4294" s="9" t="s">
        <v>12087</v>
      </c>
      <c r="O4294" s="9" t="s">
        <v>12119</v>
      </c>
      <c r="Q4294" s="10"/>
      <c r="S4294" s="9">
        <v>166</v>
      </c>
      <c r="U4294" s="9" t="str">
        <f t="shared" ca="1" si="166"/>
        <v/>
      </c>
      <c r="V4294" s="9" t="str">
        <f t="shared" ca="1" si="167"/>
        <v/>
      </c>
    </row>
    <row r="4295" spans="1:33" ht="87">
      <c r="A4295" s="3" t="s">
        <v>4173</v>
      </c>
      <c r="D4295" s="3" t="s">
        <v>10681</v>
      </c>
      <c r="E4295" s="3" t="s">
        <v>12548</v>
      </c>
      <c r="F4295" t="s">
        <v>4774</v>
      </c>
      <c r="I4295" s="4"/>
      <c r="J4295" s="9" t="s">
        <v>12120</v>
      </c>
      <c r="Q4295" s="10"/>
      <c r="U4295" s="9" t="str">
        <f t="shared" ca="1" si="166"/>
        <v/>
      </c>
      <c r="V4295" s="9" t="str">
        <f t="shared" ca="1" si="167"/>
        <v/>
      </c>
    </row>
    <row r="4296" spans="1:33" ht="29">
      <c r="A4296" s="3" t="s">
        <v>4174</v>
      </c>
      <c r="D4296" s="3" t="s">
        <v>10682</v>
      </c>
      <c r="E4296" s="3" t="s">
        <v>10683</v>
      </c>
      <c r="F4296" t="s">
        <v>11</v>
      </c>
      <c r="G4296" t="s">
        <v>19</v>
      </c>
      <c r="Q4296" s="10"/>
      <c r="U4296" s="9" t="str">
        <f t="shared" ca="1" si="166"/>
        <v/>
      </c>
      <c r="V4296" s="9" t="str">
        <f t="shared" ca="1" si="167"/>
        <v/>
      </c>
    </row>
    <row r="4297" spans="1:33" ht="29">
      <c r="A4297" s="3" t="s">
        <v>4174</v>
      </c>
      <c r="D4297" s="3" t="s">
        <v>10684</v>
      </c>
      <c r="E4297" s="3" t="s">
        <v>10685</v>
      </c>
      <c r="G4297" t="s">
        <v>19</v>
      </c>
      <c r="J4297" s="9" t="s">
        <v>12120</v>
      </c>
      <c r="Q4297" s="10"/>
      <c r="U4297" s="9" t="str">
        <f t="shared" ca="1" si="166"/>
        <v/>
      </c>
      <c r="V4297" s="9" t="str">
        <f t="shared" ca="1" si="167"/>
        <v/>
      </c>
    </row>
    <row r="4298" spans="1:33" ht="29">
      <c r="A4298" s="3" t="s">
        <v>4174</v>
      </c>
      <c r="D4298" s="3" t="s">
        <v>10687</v>
      </c>
      <c r="E4298" s="3" t="s">
        <v>10686</v>
      </c>
      <c r="J4298" s="9" t="s">
        <v>25</v>
      </c>
      <c r="L4298" s="9">
        <v>1</v>
      </c>
      <c r="M4298" s="9">
        <v>5</v>
      </c>
      <c r="N4298" s="9" t="s">
        <v>12092</v>
      </c>
      <c r="O4298" s="9" t="s">
        <v>12079</v>
      </c>
      <c r="Q4298" s="10"/>
      <c r="S4298" s="9">
        <v>147</v>
      </c>
      <c r="U4298" s="9" t="str">
        <f t="shared" ca="1" si="166"/>
        <v/>
      </c>
      <c r="V4298" s="9" t="str">
        <f t="shared" ca="1" si="167"/>
        <v/>
      </c>
      <c r="AG4298" s="9" t="s">
        <v>19</v>
      </c>
    </row>
    <row r="4299" spans="1:33" ht="29">
      <c r="A4299" s="3" t="s">
        <v>4174</v>
      </c>
      <c r="D4299" s="3" t="s">
        <v>10688</v>
      </c>
      <c r="E4299" s="3" t="s">
        <v>10689</v>
      </c>
      <c r="J4299" s="9" t="s">
        <v>12118</v>
      </c>
      <c r="Q4299" s="10"/>
      <c r="T4299" s="9" t="s">
        <v>12131</v>
      </c>
      <c r="U4299" s="9" t="str">
        <f t="shared" ca="1" si="166"/>
        <v/>
      </c>
      <c r="V4299" s="9" t="str">
        <f t="shared" ca="1" si="167"/>
        <v/>
      </c>
      <c r="AC4299" s="9" t="s">
        <v>12134</v>
      </c>
      <c r="AD4299" s="9" t="s">
        <v>19</v>
      </c>
    </row>
    <row r="4300" spans="1:33" ht="29">
      <c r="A4300" s="3" t="s">
        <v>4174</v>
      </c>
      <c r="D4300" s="3" t="s">
        <v>10690</v>
      </c>
      <c r="E4300" s="3" t="s">
        <v>10691</v>
      </c>
      <c r="G4300" t="s">
        <v>19</v>
      </c>
      <c r="J4300" s="9" t="s">
        <v>12118</v>
      </c>
      <c r="Q4300" s="10"/>
      <c r="T4300" s="9">
        <f>45-10</f>
        <v>35</v>
      </c>
      <c r="U4300" s="9">
        <f t="shared" ref="U4300:U4363" ca="1" si="172">IF(ISNUMBER(T4300),VALUE(MID(_xlfn.FORMULATEXT(T4300),SEARCH("-",_xlfn.FORMULATEXT(T4300))+1,LEN(_xlfn.FORMULATEXT(T4300))-SEARCH("-",_xlfn.FORMULATEXT(T4300)))), "")</f>
        <v>10</v>
      </c>
      <c r="V4300" s="9">
        <f t="shared" ref="V4300:V4363" ca="1" si="173">IF(ISNUMBER(T4300), VALUE(MID(_xlfn.FORMULATEXT(T4300), 2, SEARCH("-", _xlfn.FORMULATEXT(T4300)) - 2)), "")</f>
        <v>45</v>
      </c>
      <c r="AE4300" s="9" t="s">
        <v>12089</v>
      </c>
    </row>
    <row r="4301" spans="1:33">
      <c r="A4301" s="3" t="s">
        <v>4175</v>
      </c>
      <c r="D4301" s="3" t="s">
        <v>10693</v>
      </c>
      <c r="E4301" s="3" t="s">
        <v>10692</v>
      </c>
      <c r="F4301" t="s">
        <v>11</v>
      </c>
      <c r="G4301" t="s">
        <v>19</v>
      </c>
      <c r="Q4301" s="10"/>
      <c r="U4301" s="9" t="str">
        <f t="shared" ca="1" si="172"/>
        <v/>
      </c>
      <c r="V4301" s="9" t="str">
        <f t="shared" ca="1" si="173"/>
        <v/>
      </c>
    </row>
    <row r="4302" spans="1:33" ht="29">
      <c r="A4302" s="3" t="s">
        <v>4175</v>
      </c>
      <c r="D4302" s="3" t="s">
        <v>10695</v>
      </c>
      <c r="E4302" s="3" t="s">
        <v>10696</v>
      </c>
      <c r="J4302" s="9" t="s">
        <v>12120</v>
      </c>
      <c r="Q4302" s="10"/>
      <c r="U4302" s="9" t="str">
        <f t="shared" ca="1" si="172"/>
        <v/>
      </c>
      <c r="V4302" s="9" t="str">
        <f t="shared" ca="1" si="173"/>
        <v/>
      </c>
      <c r="AC4302" s="9" t="s">
        <v>12740</v>
      </c>
      <c r="AD4302" s="9" t="s">
        <v>19</v>
      </c>
    </row>
    <row r="4303" spans="1:33" ht="29">
      <c r="A4303" s="3" t="s">
        <v>4175</v>
      </c>
      <c r="D4303" s="3" t="s">
        <v>10697</v>
      </c>
      <c r="E4303" s="3" t="s">
        <v>10694</v>
      </c>
      <c r="J4303" s="9" t="s">
        <v>25</v>
      </c>
      <c r="L4303" s="9">
        <v>1</v>
      </c>
      <c r="M4303" s="9">
        <v>2</v>
      </c>
      <c r="N4303" s="9" t="s">
        <v>12087</v>
      </c>
      <c r="O4303" s="9" t="s">
        <v>12119</v>
      </c>
      <c r="Q4303" s="10"/>
      <c r="S4303" s="9">
        <v>166</v>
      </c>
      <c r="U4303" s="9" t="str">
        <f t="shared" ca="1" si="172"/>
        <v/>
      </c>
      <c r="V4303" s="9" t="str">
        <f t="shared" ca="1" si="173"/>
        <v/>
      </c>
      <c r="AG4303" s="9" t="s">
        <v>20</v>
      </c>
    </row>
    <row r="4304" spans="1:33" ht="29">
      <c r="A4304" s="3" t="s">
        <v>4176</v>
      </c>
      <c r="D4304" s="3" t="s">
        <v>10698</v>
      </c>
      <c r="E4304" s="3" t="s">
        <v>10699</v>
      </c>
      <c r="J4304" s="9" t="s">
        <v>24</v>
      </c>
      <c r="L4304" s="9">
        <v>1</v>
      </c>
      <c r="M4304" s="9">
        <v>3</v>
      </c>
      <c r="N4304" s="9" t="s">
        <v>12087</v>
      </c>
      <c r="O4304" s="9" t="s">
        <v>12073</v>
      </c>
      <c r="P4304" s="9" t="s">
        <v>12142</v>
      </c>
      <c r="Q4304" s="10" t="s">
        <v>12143</v>
      </c>
      <c r="S4304" s="9">
        <v>5676</v>
      </c>
      <c r="U4304" s="9" t="str">
        <f t="shared" ca="1" si="172"/>
        <v/>
      </c>
      <c r="V4304" s="9" t="str">
        <f t="shared" ca="1" si="173"/>
        <v/>
      </c>
      <c r="AE4304" s="9" t="s">
        <v>12083</v>
      </c>
    </row>
    <row r="4305" spans="1:33">
      <c r="A4305" s="3" t="s">
        <v>4177</v>
      </c>
      <c r="D4305" s="3" t="s">
        <v>10701</v>
      </c>
      <c r="E4305" s="3" t="s">
        <v>10700</v>
      </c>
      <c r="G4305" t="s">
        <v>19</v>
      </c>
      <c r="J4305" s="9" t="s">
        <v>12118</v>
      </c>
      <c r="Q4305" s="10"/>
      <c r="T4305" s="9">
        <f>356-887</f>
        <v>-531</v>
      </c>
      <c r="U4305" s="9">
        <f t="shared" ca="1" si="172"/>
        <v>887</v>
      </c>
      <c r="V4305" s="9">
        <f t="shared" ca="1" si="173"/>
        <v>356</v>
      </c>
    </row>
    <row r="4306" spans="1:33" ht="29">
      <c r="A4306" s="3" t="s">
        <v>4177</v>
      </c>
      <c r="D4306" s="3" t="s">
        <v>10702</v>
      </c>
      <c r="E4306" s="3" t="s">
        <v>10703</v>
      </c>
      <c r="G4306" t="s">
        <v>19</v>
      </c>
      <c r="J4306" s="9" t="s">
        <v>24</v>
      </c>
      <c r="L4306" s="9">
        <v>1</v>
      </c>
      <c r="M4306" s="9">
        <v>2</v>
      </c>
      <c r="N4306" s="9" t="s">
        <v>12094</v>
      </c>
      <c r="O4306" s="9" t="s">
        <v>12119</v>
      </c>
      <c r="Q4306" s="10"/>
      <c r="S4306" s="9">
        <v>1741</v>
      </c>
      <c r="U4306" s="9" t="str">
        <f t="shared" ca="1" si="172"/>
        <v/>
      </c>
      <c r="V4306" s="9" t="str">
        <f t="shared" ca="1" si="173"/>
        <v/>
      </c>
    </row>
    <row r="4307" spans="1:33" ht="29">
      <c r="A4307" s="3" t="s">
        <v>4177</v>
      </c>
      <c r="D4307" s="3" t="s">
        <v>10704</v>
      </c>
      <c r="E4307" s="3" t="s">
        <v>10705</v>
      </c>
      <c r="J4307" s="9" t="s">
        <v>12120</v>
      </c>
      <c r="Q4307" s="10"/>
      <c r="U4307" s="9" t="str">
        <f t="shared" ca="1" si="172"/>
        <v/>
      </c>
      <c r="V4307" s="9" t="str">
        <f t="shared" ca="1" si="173"/>
        <v/>
      </c>
      <c r="AE4307" s="9" t="s">
        <v>12083</v>
      </c>
    </row>
    <row r="4308" spans="1:33">
      <c r="A4308" s="3" t="s">
        <v>4177</v>
      </c>
      <c r="D4308" s="3" t="s">
        <v>10707</v>
      </c>
      <c r="E4308" s="3" t="s">
        <v>10706</v>
      </c>
      <c r="G4308" t="s">
        <v>19</v>
      </c>
      <c r="I4308" t="s">
        <v>10708</v>
      </c>
      <c r="J4308" s="9" t="s">
        <v>12121</v>
      </c>
      <c r="Q4308" s="10"/>
      <c r="T4308" s="9">
        <f>356-265</f>
        <v>91</v>
      </c>
      <c r="U4308" s="9">
        <f t="shared" ca="1" si="172"/>
        <v>265</v>
      </c>
      <c r="V4308" s="9">
        <f t="shared" ca="1" si="173"/>
        <v>356</v>
      </c>
    </row>
    <row r="4309" spans="1:33" ht="58">
      <c r="A4309" s="3" t="s">
        <v>4177</v>
      </c>
      <c r="D4309" s="3" t="s">
        <v>13088</v>
      </c>
      <c r="E4309" s="3" t="s">
        <v>10709</v>
      </c>
      <c r="F4309" t="s">
        <v>4774</v>
      </c>
      <c r="G4309" t="s">
        <v>19</v>
      </c>
      <c r="J4309" s="9" t="s">
        <v>27</v>
      </c>
      <c r="Q4309" s="10"/>
      <c r="T4309" s="9">
        <f>472-1741</f>
        <v>-1269</v>
      </c>
      <c r="U4309" s="9">
        <f t="shared" ref="U4309" ca="1" si="174">IF(ISNUMBER(T4309),VALUE(MID(_xlfn.FORMULATEXT(T4309),SEARCH("-",_xlfn.FORMULATEXT(T4309))+1,LEN(_xlfn.FORMULATEXT(T4309))-SEARCH("-",_xlfn.FORMULATEXT(T4309)))), "")</f>
        <v>1741</v>
      </c>
      <c r="V4309" s="9">
        <f t="shared" ref="V4309" ca="1" si="175">IF(ISNUMBER(T4309), VALUE(MID(_xlfn.FORMULATEXT(T4309), 2, SEARCH("-", _xlfn.FORMULATEXT(T4309)) - 2)), "")</f>
        <v>472</v>
      </c>
    </row>
    <row r="4310" spans="1:33" ht="58">
      <c r="A4310" s="3" t="s">
        <v>4177</v>
      </c>
      <c r="D4310" s="3" t="s">
        <v>10711</v>
      </c>
      <c r="E4310" s="3" t="s">
        <v>10712</v>
      </c>
      <c r="F4310" t="s">
        <v>4774</v>
      </c>
      <c r="G4310" t="s">
        <v>19</v>
      </c>
      <c r="J4310" s="9" t="s">
        <v>12118</v>
      </c>
      <c r="Q4310" s="10"/>
      <c r="T4310" s="9">
        <f>472-1741</f>
        <v>-1269</v>
      </c>
      <c r="U4310" s="9">
        <f t="shared" ca="1" si="172"/>
        <v>1741</v>
      </c>
      <c r="V4310" s="9">
        <f t="shared" ca="1" si="173"/>
        <v>472</v>
      </c>
    </row>
    <row r="4311" spans="1:33" ht="58">
      <c r="A4311" s="3" t="s">
        <v>4177</v>
      </c>
      <c r="D4311" s="3" t="s">
        <v>10710</v>
      </c>
      <c r="E4311" s="3" t="s">
        <v>10713</v>
      </c>
      <c r="F4311" t="s">
        <v>4774</v>
      </c>
      <c r="G4311" t="s">
        <v>19</v>
      </c>
      <c r="J4311" s="9" t="s">
        <v>24</v>
      </c>
      <c r="L4311" s="9">
        <v>1</v>
      </c>
      <c r="M4311" s="9">
        <v>8</v>
      </c>
      <c r="N4311" s="9" t="s">
        <v>12125</v>
      </c>
      <c r="O4311" s="9" t="s">
        <v>12079</v>
      </c>
      <c r="Q4311" s="10"/>
      <c r="S4311" s="9">
        <v>9</v>
      </c>
      <c r="U4311" s="9" t="str">
        <f t="shared" ca="1" si="172"/>
        <v/>
      </c>
      <c r="V4311" s="9" t="str">
        <f t="shared" ca="1" si="173"/>
        <v/>
      </c>
    </row>
    <row r="4312" spans="1:33" ht="58">
      <c r="A4312" s="3" t="s">
        <v>4177</v>
      </c>
      <c r="D4312" s="3" t="s">
        <v>10714</v>
      </c>
      <c r="E4312" s="3" t="s">
        <v>10715</v>
      </c>
      <c r="F4312" t="s">
        <v>4774</v>
      </c>
      <c r="G4312" t="s">
        <v>20</v>
      </c>
      <c r="I4312" t="s">
        <v>10717</v>
      </c>
      <c r="Q4312" s="10"/>
      <c r="U4312" s="9" t="str">
        <f t="shared" ca="1" si="172"/>
        <v/>
      </c>
      <c r="V4312" s="9" t="str">
        <f t="shared" ca="1" si="173"/>
        <v/>
      </c>
    </row>
    <row r="4313" spans="1:33" ht="58">
      <c r="A4313" s="3" t="s">
        <v>4177</v>
      </c>
      <c r="D4313" s="3" t="s">
        <v>10716</v>
      </c>
      <c r="E4313" s="3" t="s">
        <v>10709</v>
      </c>
      <c r="F4313" t="s">
        <v>4774</v>
      </c>
      <c r="J4313" s="9" t="s">
        <v>25</v>
      </c>
      <c r="L4313" s="9">
        <v>2</v>
      </c>
      <c r="M4313" s="9">
        <v>7</v>
      </c>
      <c r="O4313" s="9" t="s">
        <v>12079</v>
      </c>
      <c r="Q4313" s="10"/>
      <c r="S4313" s="9">
        <v>128</v>
      </c>
      <c r="U4313" s="9" t="str">
        <f t="shared" ca="1" si="172"/>
        <v/>
      </c>
      <c r="V4313" s="9" t="str">
        <f t="shared" ca="1" si="173"/>
        <v/>
      </c>
    </row>
    <row r="4314" spans="1:33">
      <c r="A4314" s="3" t="s">
        <v>4177</v>
      </c>
      <c r="D4314" s="3" t="s">
        <v>10719</v>
      </c>
      <c r="E4314" s="3" t="s">
        <v>10718</v>
      </c>
      <c r="J4314" s="9" t="s">
        <v>12118</v>
      </c>
      <c r="Q4314" s="10"/>
      <c r="T4314" s="9">
        <f>114-444</f>
        <v>-330</v>
      </c>
      <c r="U4314" s="9">
        <f t="shared" ca="1" si="172"/>
        <v>444</v>
      </c>
      <c r="V4314" s="9">
        <f t="shared" ca="1" si="173"/>
        <v>114</v>
      </c>
      <c r="AG4314" s="9" t="s">
        <v>19</v>
      </c>
    </row>
    <row r="4315" spans="1:33">
      <c r="A4315" s="3" t="s">
        <v>4178</v>
      </c>
      <c r="D4315" s="3" t="s">
        <v>10720</v>
      </c>
      <c r="E4315" s="3" t="s">
        <v>10721</v>
      </c>
      <c r="G4315" t="s">
        <v>19</v>
      </c>
      <c r="J4315" s="9" t="s">
        <v>12120</v>
      </c>
      <c r="Q4315" s="10"/>
      <c r="U4315" s="9" t="str">
        <f t="shared" ca="1" si="172"/>
        <v/>
      </c>
      <c r="V4315" s="9" t="str">
        <f t="shared" ca="1" si="173"/>
        <v/>
      </c>
    </row>
    <row r="4316" spans="1:33">
      <c r="A4316" s="3" t="s">
        <v>4179</v>
      </c>
      <c r="D4316" s="3" t="s">
        <v>10723</v>
      </c>
      <c r="E4316" s="3" t="s">
        <v>10722</v>
      </c>
      <c r="J4316" s="9" t="s">
        <v>24</v>
      </c>
      <c r="L4316" s="9">
        <v>1</v>
      </c>
      <c r="M4316" s="9">
        <v>3</v>
      </c>
      <c r="N4316" s="9" t="s">
        <v>12078</v>
      </c>
      <c r="O4316" s="9" t="s">
        <v>12079</v>
      </c>
      <c r="Q4316" s="10"/>
      <c r="S4316" s="9">
        <v>11843</v>
      </c>
      <c r="U4316" s="9" t="str">
        <f t="shared" ca="1" si="172"/>
        <v/>
      </c>
      <c r="V4316" s="9" t="str">
        <f t="shared" ca="1" si="173"/>
        <v/>
      </c>
      <c r="AG4316" s="9" t="s">
        <v>19</v>
      </c>
    </row>
    <row r="4317" spans="1:33">
      <c r="A4317" s="3" t="s">
        <v>4179</v>
      </c>
      <c r="D4317" s="3" t="s">
        <v>117</v>
      </c>
      <c r="E4317" s="3" t="s">
        <v>118</v>
      </c>
      <c r="J4317" s="9" t="s">
        <v>12118</v>
      </c>
      <c r="Q4317" s="10"/>
      <c r="T4317" s="9" t="s">
        <v>12131</v>
      </c>
      <c r="U4317" s="9" t="str">
        <f t="shared" ca="1" si="172"/>
        <v/>
      </c>
      <c r="V4317" s="9" t="str">
        <f t="shared" ca="1" si="173"/>
        <v/>
      </c>
      <c r="AB4317" s="9" t="s">
        <v>12124</v>
      </c>
      <c r="AC4317" s="9" t="s">
        <v>12740</v>
      </c>
      <c r="AD4317" s="9" t="s">
        <v>19</v>
      </c>
    </row>
    <row r="4318" spans="1:33">
      <c r="A4318" s="3" t="s">
        <v>4180</v>
      </c>
      <c r="D4318" s="3" t="s">
        <v>12942</v>
      </c>
      <c r="E4318" s="3" t="s">
        <v>10724</v>
      </c>
      <c r="G4318" t="s">
        <v>19</v>
      </c>
      <c r="J4318" s="9" t="s">
        <v>24</v>
      </c>
      <c r="L4318" s="9">
        <v>1</v>
      </c>
      <c r="M4318" s="9">
        <v>5</v>
      </c>
      <c r="N4318" s="9" t="s">
        <v>12094</v>
      </c>
      <c r="O4318" s="9" t="s">
        <v>12079</v>
      </c>
      <c r="Q4318" s="10"/>
      <c r="S4318" s="9">
        <v>4240</v>
      </c>
      <c r="U4318" s="9" t="str">
        <f t="shared" ca="1" si="172"/>
        <v/>
      </c>
      <c r="V4318" s="9" t="str">
        <f t="shared" ca="1" si="173"/>
        <v/>
      </c>
    </row>
    <row r="4319" spans="1:33">
      <c r="A4319" s="3" t="s">
        <v>4180</v>
      </c>
      <c r="D4319" s="3" t="s">
        <v>4181</v>
      </c>
      <c r="E4319" s="3" t="s">
        <v>4182</v>
      </c>
      <c r="J4319" s="9" t="s">
        <v>12120</v>
      </c>
      <c r="Q4319" s="10"/>
      <c r="U4319" s="9" t="str">
        <f t="shared" ca="1" si="172"/>
        <v/>
      </c>
      <c r="V4319" s="9" t="str">
        <f t="shared" ca="1" si="173"/>
        <v/>
      </c>
      <c r="AE4319" s="9" t="s">
        <v>12089</v>
      </c>
    </row>
    <row r="4320" spans="1:33">
      <c r="A4320" s="3" t="s">
        <v>4183</v>
      </c>
      <c r="D4320" s="3" t="s">
        <v>10726</v>
      </c>
      <c r="E4320" s="3" t="s">
        <v>10725</v>
      </c>
      <c r="J4320" s="9" t="s">
        <v>12120</v>
      </c>
      <c r="Q4320" s="10"/>
      <c r="U4320" s="9" t="str">
        <f t="shared" ca="1" si="172"/>
        <v/>
      </c>
      <c r="V4320" s="9" t="str">
        <f t="shared" ca="1" si="173"/>
        <v/>
      </c>
      <c r="AG4320" s="9" t="s">
        <v>13141</v>
      </c>
    </row>
    <row r="4321" spans="1:33">
      <c r="A4321" s="3" t="s">
        <v>4183</v>
      </c>
      <c r="D4321" s="3" t="s">
        <v>10728</v>
      </c>
      <c r="E4321" s="3" t="s">
        <v>10727</v>
      </c>
      <c r="J4321" s="9" t="s">
        <v>24</v>
      </c>
      <c r="L4321" s="9">
        <v>1</v>
      </c>
      <c r="M4321" s="9">
        <v>2</v>
      </c>
      <c r="N4321" s="9" t="s">
        <v>12096</v>
      </c>
      <c r="O4321" s="9" t="s">
        <v>12119</v>
      </c>
      <c r="Q4321" s="10"/>
      <c r="S4321" s="9">
        <v>1294</v>
      </c>
      <c r="U4321" s="9" t="str">
        <f t="shared" ca="1" si="172"/>
        <v/>
      </c>
      <c r="V4321" s="9" t="str">
        <f t="shared" ca="1" si="173"/>
        <v/>
      </c>
      <c r="AG4321" s="9" t="s">
        <v>19</v>
      </c>
    </row>
    <row r="4322" spans="1:33">
      <c r="A4322" s="3" t="s">
        <v>4183</v>
      </c>
      <c r="D4322" s="3" t="s">
        <v>12549</v>
      </c>
      <c r="E4322" s="3" t="s">
        <v>12550</v>
      </c>
      <c r="J4322" s="9" t="s">
        <v>12120</v>
      </c>
      <c r="Q4322" s="10"/>
      <c r="U4322" s="9" t="str">
        <f t="shared" ca="1" si="172"/>
        <v/>
      </c>
      <c r="V4322" s="9" t="str">
        <f t="shared" ca="1" si="173"/>
        <v/>
      </c>
      <c r="AE4322" s="9" t="s">
        <v>12083</v>
      </c>
    </row>
    <row r="4323" spans="1:33" ht="43.5">
      <c r="A4323" s="3" t="s">
        <v>4184</v>
      </c>
      <c r="D4323" s="3" t="s">
        <v>12552</v>
      </c>
      <c r="E4323" s="3" t="s">
        <v>12551</v>
      </c>
      <c r="I4323" s="4"/>
      <c r="J4323" s="9" t="s">
        <v>25</v>
      </c>
      <c r="L4323" s="9">
        <v>1</v>
      </c>
      <c r="M4323" s="9">
        <v>4</v>
      </c>
      <c r="N4323" s="9" t="s">
        <v>12096</v>
      </c>
      <c r="O4323" s="9" t="s">
        <v>12079</v>
      </c>
      <c r="Q4323" s="10"/>
      <c r="S4323" s="9">
        <v>310</v>
      </c>
      <c r="U4323" s="9" t="str">
        <f t="shared" ca="1" si="172"/>
        <v/>
      </c>
      <c r="V4323" s="9" t="str">
        <f t="shared" ca="1" si="173"/>
        <v/>
      </c>
      <c r="AG4323" s="9" t="s">
        <v>19</v>
      </c>
    </row>
    <row r="4324" spans="1:33" ht="43.5">
      <c r="A4324" s="3" t="s">
        <v>4184</v>
      </c>
      <c r="D4324" s="3" t="s">
        <v>12553</v>
      </c>
      <c r="E4324" s="3" t="s">
        <v>10729</v>
      </c>
      <c r="I4324" s="4"/>
      <c r="J4324" s="9" t="s">
        <v>12120</v>
      </c>
      <c r="Q4324" s="10"/>
      <c r="U4324" s="9" t="str">
        <f t="shared" ca="1" si="172"/>
        <v/>
      </c>
      <c r="V4324" s="9" t="str">
        <f t="shared" ca="1" si="173"/>
        <v/>
      </c>
      <c r="AG4324" s="9" t="s">
        <v>19</v>
      </c>
    </row>
    <row r="4325" spans="1:33" ht="43.5">
      <c r="A4325" s="3" t="s">
        <v>4184</v>
      </c>
      <c r="D4325" s="3" t="s">
        <v>10730</v>
      </c>
      <c r="E4325" s="3" t="s">
        <v>10731</v>
      </c>
      <c r="J4325" s="9" t="s">
        <v>12120</v>
      </c>
      <c r="Q4325" s="10"/>
      <c r="U4325" s="9" t="str">
        <f t="shared" ca="1" si="172"/>
        <v/>
      </c>
      <c r="V4325" s="9" t="str">
        <f t="shared" ca="1" si="173"/>
        <v/>
      </c>
      <c r="AG4325" s="9" t="s">
        <v>19</v>
      </c>
    </row>
    <row r="4326" spans="1:33">
      <c r="A4326" s="3" t="s">
        <v>4185</v>
      </c>
      <c r="D4326" s="3" t="s">
        <v>4186</v>
      </c>
      <c r="E4326" s="3" t="s">
        <v>4186</v>
      </c>
      <c r="G4326" t="s">
        <v>20</v>
      </c>
      <c r="I4326" t="s">
        <v>10732</v>
      </c>
      <c r="Q4326" s="10"/>
      <c r="U4326" s="9" t="str">
        <f t="shared" ca="1" si="172"/>
        <v/>
      </c>
      <c r="V4326" s="9" t="str">
        <f t="shared" ca="1" si="173"/>
        <v/>
      </c>
    </row>
    <row r="4327" spans="1:33" ht="29">
      <c r="A4327" s="3" t="s">
        <v>4185</v>
      </c>
      <c r="D4327" s="3" t="s">
        <v>10734</v>
      </c>
      <c r="E4327" s="3" t="s">
        <v>10733</v>
      </c>
      <c r="J4327" s="9" t="s">
        <v>24</v>
      </c>
      <c r="L4327" s="9">
        <v>1</v>
      </c>
      <c r="M4327" s="9">
        <v>5</v>
      </c>
      <c r="N4327" s="9" t="s">
        <v>12094</v>
      </c>
      <c r="O4327" s="9" t="s">
        <v>12073</v>
      </c>
      <c r="P4327" s="9" t="s">
        <v>12142</v>
      </c>
      <c r="Q4327" s="10" t="s">
        <v>12143</v>
      </c>
      <c r="S4327" s="9">
        <v>4240</v>
      </c>
      <c r="U4327" s="9" t="str">
        <f t="shared" ca="1" si="172"/>
        <v/>
      </c>
      <c r="V4327" s="9" t="str">
        <f t="shared" ca="1" si="173"/>
        <v/>
      </c>
      <c r="AG4327" s="9" t="s">
        <v>19</v>
      </c>
    </row>
    <row r="4328" spans="1:33">
      <c r="A4328" s="3" t="s">
        <v>4187</v>
      </c>
      <c r="D4328" s="3" t="s">
        <v>10735</v>
      </c>
      <c r="E4328" s="3" t="s">
        <v>10736</v>
      </c>
      <c r="G4328" t="s">
        <v>19</v>
      </c>
      <c r="J4328" s="9" t="s">
        <v>24</v>
      </c>
      <c r="L4328" s="9">
        <v>1</v>
      </c>
      <c r="M4328" s="9">
        <v>3</v>
      </c>
      <c r="N4328" s="9" t="s">
        <v>12078</v>
      </c>
      <c r="O4328" s="9" t="s">
        <v>12079</v>
      </c>
      <c r="Q4328" s="10"/>
      <c r="S4328" s="9">
        <v>11843</v>
      </c>
      <c r="U4328" s="9" t="str">
        <f t="shared" ca="1" si="172"/>
        <v/>
      </c>
      <c r="V4328" s="9" t="str">
        <f t="shared" ca="1" si="173"/>
        <v/>
      </c>
    </row>
    <row r="4329" spans="1:33" ht="43.5">
      <c r="A4329" s="3" t="s">
        <v>4188</v>
      </c>
      <c r="D4329" s="3" t="s">
        <v>10738</v>
      </c>
      <c r="E4329" s="3" t="s">
        <v>10737</v>
      </c>
      <c r="F4329" t="s">
        <v>11</v>
      </c>
      <c r="Q4329" s="10"/>
      <c r="U4329" s="9" t="str">
        <f t="shared" ca="1" si="172"/>
        <v/>
      </c>
      <c r="V4329" s="9" t="str">
        <f t="shared" ca="1" si="173"/>
        <v/>
      </c>
    </row>
    <row r="4330" spans="1:33">
      <c r="A4330" s="3" t="s">
        <v>4188</v>
      </c>
      <c r="D4330" s="3" t="s">
        <v>10739</v>
      </c>
      <c r="E4330" s="3" t="s">
        <v>10740</v>
      </c>
      <c r="J4330" s="9" t="s">
        <v>24</v>
      </c>
      <c r="L4330" s="9">
        <v>1</v>
      </c>
      <c r="M4330" s="9">
        <v>5</v>
      </c>
      <c r="N4330" s="9" t="s">
        <v>12125</v>
      </c>
      <c r="O4330" s="9" t="s">
        <v>12073</v>
      </c>
      <c r="P4330" s="9" t="s">
        <v>12142</v>
      </c>
      <c r="Q4330" s="10" t="s">
        <v>12170</v>
      </c>
      <c r="R4330" s="9" t="s">
        <v>12074</v>
      </c>
      <c r="S4330" s="9">
        <v>2042</v>
      </c>
      <c r="U4330" s="9" t="str">
        <f t="shared" ca="1" si="172"/>
        <v/>
      </c>
      <c r="V4330" s="9" t="str">
        <f t="shared" ca="1" si="173"/>
        <v/>
      </c>
      <c r="AG4330" s="9" t="s">
        <v>20</v>
      </c>
    </row>
    <row r="4331" spans="1:33" ht="29">
      <c r="A4331" s="3" t="s">
        <v>4189</v>
      </c>
      <c r="D4331" s="3" t="s">
        <v>10741</v>
      </c>
      <c r="E4331" s="3" t="s">
        <v>10742</v>
      </c>
      <c r="G4331" t="s">
        <v>19</v>
      </c>
      <c r="J4331" s="9" t="s">
        <v>12121</v>
      </c>
      <c r="Q4331" s="10"/>
      <c r="T4331" s="9">
        <f>16-0</f>
        <v>16</v>
      </c>
      <c r="U4331" s="9">
        <f t="shared" ca="1" si="172"/>
        <v>0</v>
      </c>
      <c r="V4331" s="9">
        <f t="shared" ca="1" si="173"/>
        <v>16</v>
      </c>
      <c r="AE4331" s="9" t="s">
        <v>12089</v>
      </c>
    </row>
    <row r="4332" spans="1:33" ht="29">
      <c r="A4332" s="3" t="s">
        <v>4189</v>
      </c>
      <c r="D4332" s="3" t="s">
        <v>10743</v>
      </c>
      <c r="E4332" s="3" t="s">
        <v>10744</v>
      </c>
      <c r="G4332" t="s">
        <v>20</v>
      </c>
      <c r="I4332" t="s">
        <v>10745</v>
      </c>
      <c r="Q4332" s="10"/>
      <c r="U4332" s="9" t="str">
        <f t="shared" ca="1" si="172"/>
        <v/>
      </c>
      <c r="V4332" s="9" t="str">
        <f t="shared" ca="1" si="173"/>
        <v/>
      </c>
    </row>
    <row r="4333" spans="1:33">
      <c r="A4333" s="3" t="s">
        <v>4189</v>
      </c>
      <c r="D4333" s="3" t="s">
        <v>10747</v>
      </c>
      <c r="E4333" s="3" t="s">
        <v>10746</v>
      </c>
      <c r="J4333" s="9" t="s">
        <v>12118</v>
      </c>
      <c r="Q4333" s="10"/>
      <c r="T4333" s="9">
        <f>1741-1496</f>
        <v>245</v>
      </c>
      <c r="U4333" s="9">
        <f t="shared" ca="1" si="172"/>
        <v>1496</v>
      </c>
      <c r="V4333" s="9">
        <f t="shared" ca="1" si="173"/>
        <v>1741</v>
      </c>
      <c r="AG4333" s="9" t="s">
        <v>20</v>
      </c>
    </row>
    <row r="4334" spans="1:33">
      <c r="A4334" s="3" t="s">
        <v>4190</v>
      </c>
      <c r="D4334" s="3" t="s">
        <v>10749</v>
      </c>
      <c r="E4334" s="3" t="s">
        <v>10748</v>
      </c>
      <c r="F4334" t="s">
        <v>11</v>
      </c>
      <c r="G4334" t="s">
        <v>19</v>
      </c>
      <c r="Q4334" s="10"/>
      <c r="U4334" s="9" t="str">
        <f t="shared" ca="1" si="172"/>
        <v/>
      </c>
      <c r="V4334" s="9" t="str">
        <f t="shared" ca="1" si="173"/>
        <v/>
      </c>
    </row>
    <row r="4335" spans="1:33">
      <c r="A4335" s="3" t="s">
        <v>4191</v>
      </c>
      <c r="D4335" s="3" t="s">
        <v>10751</v>
      </c>
      <c r="E4335" s="3" t="s">
        <v>10750</v>
      </c>
      <c r="G4335" t="s">
        <v>19</v>
      </c>
      <c r="J4335" s="9" t="s">
        <v>12120</v>
      </c>
      <c r="Q4335" s="10"/>
      <c r="U4335" s="9" t="str">
        <f t="shared" ca="1" si="172"/>
        <v/>
      </c>
      <c r="V4335" s="9" t="str">
        <f t="shared" ca="1" si="173"/>
        <v/>
      </c>
    </row>
    <row r="4336" spans="1:33">
      <c r="A4336" s="3" t="s">
        <v>4191</v>
      </c>
      <c r="D4336" s="3" t="s">
        <v>4192</v>
      </c>
      <c r="E4336" s="3" t="s">
        <v>4694</v>
      </c>
      <c r="G4336" t="s">
        <v>19</v>
      </c>
      <c r="J4336" s="9" t="s">
        <v>12120</v>
      </c>
      <c r="Q4336" s="10"/>
      <c r="U4336" s="9" t="str">
        <f t="shared" ca="1" si="172"/>
        <v/>
      </c>
      <c r="V4336" s="9" t="str">
        <f t="shared" ca="1" si="173"/>
        <v/>
      </c>
    </row>
    <row r="4337" spans="1:33">
      <c r="A4337" s="3" t="s">
        <v>4193</v>
      </c>
      <c r="D4337" s="3" t="s">
        <v>10752</v>
      </c>
      <c r="E4337" s="3" t="s">
        <v>10753</v>
      </c>
      <c r="G4337" t="s">
        <v>19</v>
      </c>
      <c r="J4337" s="9" t="s">
        <v>12118</v>
      </c>
      <c r="Q4337" s="10"/>
      <c r="T4337" s="9" t="s">
        <v>12131</v>
      </c>
      <c r="U4337" s="9" t="str">
        <f t="shared" ca="1" si="172"/>
        <v/>
      </c>
      <c r="V4337" s="9" t="str">
        <f t="shared" ca="1" si="173"/>
        <v/>
      </c>
      <c r="AC4337" s="9" t="s">
        <v>12134</v>
      </c>
      <c r="AD4337" s="9" t="s">
        <v>19</v>
      </c>
      <c r="AE4337" s="9" t="s">
        <v>12077</v>
      </c>
    </row>
    <row r="4338" spans="1:33" ht="29">
      <c r="A4338" s="3" t="s">
        <v>4193</v>
      </c>
      <c r="D4338" s="3" t="s">
        <v>10755</v>
      </c>
      <c r="E4338" s="3" t="s">
        <v>10754</v>
      </c>
      <c r="G4338" t="s">
        <v>19</v>
      </c>
      <c r="J4338" s="9" t="s">
        <v>12120</v>
      </c>
      <c r="Q4338" s="10"/>
      <c r="U4338" s="9" t="str">
        <f t="shared" ca="1" si="172"/>
        <v/>
      </c>
      <c r="V4338" s="9" t="str">
        <f t="shared" ca="1" si="173"/>
        <v/>
      </c>
      <c r="AC4338" s="9" t="s">
        <v>12144</v>
      </c>
      <c r="AD4338" s="9" t="s">
        <v>19</v>
      </c>
      <c r="AE4338" s="9" t="s">
        <v>12077</v>
      </c>
    </row>
    <row r="4339" spans="1:33">
      <c r="A4339" s="3" t="s">
        <v>4194</v>
      </c>
      <c r="D4339" s="3" t="s">
        <v>10757</v>
      </c>
      <c r="E4339" s="3" t="s">
        <v>10756</v>
      </c>
      <c r="G4339" t="s">
        <v>19</v>
      </c>
      <c r="J4339" s="9" t="s">
        <v>25</v>
      </c>
      <c r="L4339" s="9">
        <v>1</v>
      </c>
      <c r="M4339" s="9">
        <v>3</v>
      </c>
      <c r="N4339" s="9" t="s">
        <v>12096</v>
      </c>
      <c r="O4339" s="9" t="s">
        <v>12073</v>
      </c>
      <c r="P4339" s="9" t="s">
        <v>12142</v>
      </c>
      <c r="Q4339" s="10" t="s">
        <v>12143</v>
      </c>
      <c r="S4339" s="9">
        <v>87</v>
      </c>
      <c r="U4339" s="9" t="str">
        <f t="shared" ca="1" si="172"/>
        <v/>
      </c>
      <c r="V4339" s="9" t="str">
        <f t="shared" ca="1" si="173"/>
        <v/>
      </c>
    </row>
    <row r="4340" spans="1:33">
      <c r="A4340" s="3" t="s">
        <v>4195</v>
      </c>
      <c r="D4340" s="3" t="s">
        <v>3908</v>
      </c>
      <c r="E4340" s="3" t="s">
        <v>3909</v>
      </c>
      <c r="J4340" s="9" t="s">
        <v>12120</v>
      </c>
      <c r="Q4340" s="10"/>
      <c r="U4340" s="9" t="str">
        <f t="shared" ca="1" si="172"/>
        <v/>
      </c>
      <c r="V4340" s="9" t="str">
        <f t="shared" ca="1" si="173"/>
        <v/>
      </c>
      <c r="AB4340" s="9" t="s">
        <v>12738</v>
      </c>
      <c r="AD4340" s="9" t="s">
        <v>19</v>
      </c>
      <c r="AE4340" s="9" t="s">
        <v>12086</v>
      </c>
    </row>
    <row r="4341" spans="1:33">
      <c r="A4341" s="3" t="s">
        <v>4196</v>
      </c>
      <c r="D4341" s="3" t="s">
        <v>10758</v>
      </c>
      <c r="E4341" s="3" t="s">
        <v>10759</v>
      </c>
      <c r="I4341" t="s">
        <v>5457</v>
      </c>
      <c r="J4341" s="9" t="s">
        <v>26</v>
      </c>
      <c r="Q4341" s="10"/>
      <c r="U4341" s="9" t="str">
        <f t="shared" ca="1" si="172"/>
        <v/>
      </c>
      <c r="V4341" s="9" t="str">
        <f t="shared" ca="1" si="173"/>
        <v/>
      </c>
      <c r="AG4341" s="9" t="s">
        <v>20</v>
      </c>
    </row>
    <row r="4342" spans="1:33">
      <c r="A4342" s="3" t="s">
        <v>4196</v>
      </c>
      <c r="D4342" s="3" t="s">
        <v>10761</v>
      </c>
      <c r="E4342" s="3" t="s">
        <v>10760</v>
      </c>
      <c r="G4342" t="s">
        <v>19</v>
      </c>
      <c r="J4342" s="9" t="s">
        <v>24</v>
      </c>
      <c r="L4342" s="9">
        <v>1</v>
      </c>
      <c r="M4342" s="9">
        <v>2</v>
      </c>
      <c r="N4342" s="9" t="s">
        <v>12096</v>
      </c>
      <c r="O4342" s="9" t="s">
        <v>12119</v>
      </c>
      <c r="Q4342" s="10"/>
      <c r="S4342" s="9">
        <v>1294</v>
      </c>
      <c r="U4342" s="9" t="str">
        <f t="shared" ca="1" si="172"/>
        <v/>
      </c>
      <c r="V4342" s="9" t="str">
        <f t="shared" ca="1" si="173"/>
        <v/>
      </c>
    </row>
    <row r="4343" spans="1:33">
      <c r="A4343" s="3" t="s">
        <v>4196</v>
      </c>
      <c r="D4343" s="3" t="s">
        <v>10762</v>
      </c>
      <c r="E4343" s="3" t="s">
        <v>10763</v>
      </c>
      <c r="J4343" s="9" t="s">
        <v>12120</v>
      </c>
      <c r="Q4343" s="10"/>
      <c r="U4343" s="9" t="str">
        <f t="shared" ca="1" si="172"/>
        <v/>
      </c>
      <c r="V4343" s="9" t="str">
        <f t="shared" ca="1" si="173"/>
        <v/>
      </c>
      <c r="AE4343" s="9" t="s">
        <v>12083</v>
      </c>
    </row>
    <row r="4344" spans="1:33">
      <c r="A4344" s="3" t="s">
        <v>4197</v>
      </c>
      <c r="D4344" s="3" t="s">
        <v>4198</v>
      </c>
      <c r="E4344" s="3" t="s">
        <v>3884</v>
      </c>
      <c r="G4344" t="s">
        <v>19</v>
      </c>
      <c r="J4344" s="9" t="s">
        <v>12118</v>
      </c>
      <c r="Q4344" s="10"/>
      <c r="T4344" s="9" t="s">
        <v>12119</v>
      </c>
      <c r="U4344" s="9" t="str">
        <f t="shared" ca="1" si="172"/>
        <v/>
      </c>
      <c r="V4344" s="9" t="str">
        <f t="shared" ca="1" si="173"/>
        <v/>
      </c>
      <c r="AC4344" s="9" t="s">
        <v>12742</v>
      </c>
      <c r="AD4344" s="9" t="s">
        <v>19</v>
      </c>
      <c r="AE4344" s="9" t="s">
        <v>12086</v>
      </c>
    </row>
    <row r="4345" spans="1:33">
      <c r="A4345" s="3" t="s">
        <v>4197</v>
      </c>
      <c r="D4345" s="3" t="s">
        <v>10765</v>
      </c>
      <c r="E4345" s="3" t="s">
        <v>10764</v>
      </c>
      <c r="G4345" t="s">
        <v>19</v>
      </c>
      <c r="J4345" s="9" t="s">
        <v>24</v>
      </c>
      <c r="L4345" s="9">
        <v>1</v>
      </c>
      <c r="M4345" s="9">
        <v>2</v>
      </c>
      <c r="N4345" s="9" t="s">
        <v>12078</v>
      </c>
      <c r="O4345" s="9" t="s">
        <v>12119</v>
      </c>
      <c r="Q4345" s="10"/>
      <c r="S4345" s="9">
        <v>11843</v>
      </c>
      <c r="U4345" s="9" t="str">
        <f t="shared" ca="1" si="172"/>
        <v/>
      </c>
      <c r="V4345" s="9" t="str">
        <f t="shared" ca="1" si="173"/>
        <v/>
      </c>
    </row>
    <row r="4346" spans="1:33">
      <c r="A4346" s="3" t="s">
        <v>4197</v>
      </c>
      <c r="D4346" s="3" t="s">
        <v>10767</v>
      </c>
      <c r="E4346" s="3" t="s">
        <v>10766</v>
      </c>
      <c r="G4346" t="s">
        <v>19</v>
      </c>
      <c r="J4346" s="9" t="s">
        <v>24</v>
      </c>
      <c r="L4346" s="9">
        <v>1</v>
      </c>
      <c r="M4346" s="9">
        <v>2</v>
      </c>
      <c r="N4346" s="9" t="s">
        <v>12078</v>
      </c>
      <c r="O4346" s="9" t="s">
        <v>12119</v>
      </c>
      <c r="Q4346" s="10"/>
      <c r="S4346" s="9">
        <v>11843</v>
      </c>
      <c r="U4346" s="9" t="str">
        <f t="shared" ca="1" si="172"/>
        <v/>
      </c>
      <c r="V4346" s="9" t="str">
        <f t="shared" ca="1" si="173"/>
        <v/>
      </c>
    </row>
    <row r="4347" spans="1:33">
      <c r="A4347" s="3" t="s">
        <v>4199</v>
      </c>
      <c r="D4347" s="3" t="s">
        <v>10769</v>
      </c>
      <c r="E4347" s="3" t="s">
        <v>10768</v>
      </c>
      <c r="G4347" t="s">
        <v>19</v>
      </c>
      <c r="J4347" s="9" t="s">
        <v>12120</v>
      </c>
      <c r="Q4347" s="10"/>
      <c r="U4347" s="9" t="str">
        <f t="shared" ca="1" si="172"/>
        <v/>
      </c>
      <c r="V4347" s="9" t="str">
        <f t="shared" ca="1" si="173"/>
        <v/>
      </c>
    </row>
    <row r="4348" spans="1:33">
      <c r="A4348" s="3" t="s">
        <v>4200</v>
      </c>
      <c r="D4348" s="3" t="s">
        <v>10770</v>
      </c>
      <c r="E4348" s="3" t="s">
        <v>10771</v>
      </c>
      <c r="J4348" s="9" t="s">
        <v>12120</v>
      </c>
      <c r="Q4348" s="10"/>
      <c r="U4348" s="9" t="str">
        <f t="shared" ca="1" si="172"/>
        <v/>
      </c>
      <c r="V4348" s="9" t="str">
        <f t="shared" ca="1" si="173"/>
        <v/>
      </c>
      <c r="AG4348" s="9" t="s">
        <v>20</v>
      </c>
    </row>
    <row r="4349" spans="1:33">
      <c r="A4349" s="3" t="s">
        <v>4201</v>
      </c>
      <c r="D4349" s="3" t="s">
        <v>10772</v>
      </c>
      <c r="E4349" s="3" t="s">
        <v>10773</v>
      </c>
      <c r="G4349" t="s">
        <v>19</v>
      </c>
      <c r="J4349" s="9" t="s">
        <v>24</v>
      </c>
      <c r="L4349" s="9">
        <v>1</v>
      </c>
      <c r="M4349" s="9">
        <v>2</v>
      </c>
      <c r="N4349" s="9" t="s">
        <v>12087</v>
      </c>
      <c r="O4349" s="9" t="s">
        <v>12119</v>
      </c>
      <c r="Q4349" s="10"/>
      <c r="S4349" s="9">
        <v>1966</v>
      </c>
      <c r="U4349" s="9" t="str">
        <f t="shared" ca="1" si="172"/>
        <v/>
      </c>
      <c r="V4349" s="9" t="str">
        <f t="shared" ca="1" si="173"/>
        <v/>
      </c>
    </row>
    <row r="4350" spans="1:33">
      <c r="A4350" s="3" t="s">
        <v>4202</v>
      </c>
      <c r="D4350" s="3" t="s">
        <v>4203</v>
      </c>
      <c r="E4350" s="3" t="s">
        <v>1170</v>
      </c>
      <c r="J4350" s="9" t="s">
        <v>12120</v>
      </c>
      <c r="Q4350" s="10"/>
      <c r="U4350" s="9" t="str">
        <f t="shared" ca="1" si="172"/>
        <v/>
      </c>
      <c r="V4350" s="9" t="str">
        <f t="shared" ca="1" si="173"/>
        <v/>
      </c>
      <c r="AC4350" s="9" t="s">
        <v>12153</v>
      </c>
      <c r="AD4350" s="9" t="s">
        <v>19</v>
      </c>
    </row>
    <row r="4351" spans="1:33">
      <c r="A4351" s="3" t="s">
        <v>4202</v>
      </c>
      <c r="D4351" s="3" t="s">
        <v>4204</v>
      </c>
      <c r="E4351" s="3" t="s">
        <v>4205</v>
      </c>
      <c r="J4351" s="9" t="s">
        <v>12118</v>
      </c>
      <c r="Q4351" s="10"/>
      <c r="T4351" s="9" t="s">
        <v>12131</v>
      </c>
      <c r="U4351" s="9" t="str">
        <f t="shared" ca="1" si="172"/>
        <v/>
      </c>
      <c r="V4351" s="9" t="str">
        <f t="shared" ca="1" si="173"/>
        <v/>
      </c>
      <c r="AB4351" s="9" t="s">
        <v>12124</v>
      </c>
      <c r="AD4351" s="9" t="s">
        <v>19</v>
      </c>
    </row>
    <row r="4352" spans="1:33">
      <c r="A4352" s="3" t="s">
        <v>4206</v>
      </c>
      <c r="D4352" s="3" t="s">
        <v>10775</v>
      </c>
      <c r="E4352" s="3" t="s">
        <v>10774</v>
      </c>
      <c r="J4352" s="9" t="s">
        <v>25</v>
      </c>
      <c r="L4352" s="9">
        <v>1</v>
      </c>
      <c r="M4352" s="9">
        <v>2</v>
      </c>
      <c r="N4352" s="9" t="s">
        <v>12087</v>
      </c>
      <c r="O4352" s="9" t="s">
        <v>12119</v>
      </c>
      <c r="Q4352" s="10"/>
      <c r="S4352" s="9">
        <v>1966</v>
      </c>
      <c r="U4352" s="9" t="str">
        <f t="shared" ca="1" si="172"/>
        <v/>
      </c>
      <c r="V4352" s="9" t="str">
        <f t="shared" ca="1" si="173"/>
        <v/>
      </c>
      <c r="AG4352" s="9" t="s">
        <v>20</v>
      </c>
    </row>
    <row r="4353" spans="1:33">
      <c r="A4353" s="3" t="s">
        <v>4206</v>
      </c>
      <c r="D4353" s="3" t="s">
        <v>10777</v>
      </c>
      <c r="E4353" s="3" t="s">
        <v>10776</v>
      </c>
      <c r="J4353" s="9" t="s">
        <v>24</v>
      </c>
      <c r="L4353" s="9">
        <v>1</v>
      </c>
      <c r="M4353" s="9">
        <v>6</v>
      </c>
      <c r="N4353" s="9" t="s">
        <v>12092</v>
      </c>
      <c r="O4353" s="9" t="s">
        <v>12079</v>
      </c>
      <c r="Q4353" s="10"/>
      <c r="S4353" s="9">
        <v>147</v>
      </c>
      <c r="U4353" s="9" t="str">
        <f t="shared" ca="1" si="172"/>
        <v/>
      </c>
      <c r="V4353" s="9" t="str">
        <f t="shared" ca="1" si="173"/>
        <v/>
      </c>
      <c r="AG4353" s="9" t="s">
        <v>19</v>
      </c>
    </row>
    <row r="4354" spans="1:33">
      <c r="A4354" s="3" t="s">
        <v>4207</v>
      </c>
      <c r="D4354" s="3" t="s">
        <v>10779</v>
      </c>
      <c r="E4354" s="3" t="s">
        <v>10778</v>
      </c>
      <c r="J4354" s="9" t="s">
        <v>12118</v>
      </c>
      <c r="Q4354" s="10"/>
      <c r="T4354" s="9">
        <f>17-207</f>
        <v>-190</v>
      </c>
      <c r="U4354" s="9">
        <f t="shared" ca="1" si="172"/>
        <v>207</v>
      </c>
      <c r="V4354" s="9">
        <f t="shared" ca="1" si="173"/>
        <v>17</v>
      </c>
      <c r="AG4354" s="9" t="s">
        <v>19</v>
      </c>
    </row>
    <row r="4355" spans="1:33">
      <c r="A4355" s="3" t="s">
        <v>4208</v>
      </c>
      <c r="D4355" s="3" t="s">
        <v>10780</v>
      </c>
      <c r="E4355" s="3" t="s">
        <v>10781</v>
      </c>
      <c r="F4355" t="s">
        <v>11</v>
      </c>
      <c r="G4355" t="s">
        <v>19</v>
      </c>
      <c r="Q4355" s="10"/>
      <c r="U4355" s="9" t="str">
        <f t="shared" ca="1" si="172"/>
        <v/>
      </c>
      <c r="V4355" s="9" t="str">
        <f t="shared" ca="1" si="173"/>
        <v/>
      </c>
    </row>
    <row r="4356" spans="1:33">
      <c r="A4356" s="3" t="s">
        <v>4209</v>
      </c>
      <c r="D4356" s="3" t="s">
        <v>10782</v>
      </c>
      <c r="E4356" s="3" t="s">
        <v>10783</v>
      </c>
      <c r="J4356" s="9" t="s">
        <v>12118</v>
      </c>
      <c r="Q4356" s="10"/>
      <c r="R4356" s="9" t="s">
        <v>12074</v>
      </c>
      <c r="T4356" s="9" t="s">
        <v>12131</v>
      </c>
      <c r="U4356" s="9" t="str">
        <f t="shared" ca="1" si="172"/>
        <v/>
      </c>
      <c r="V4356" s="9" t="str">
        <f t="shared" ca="1" si="173"/>
        <v/>
      </c>
      <c r="AE4356" s="9" t="s">
        <v>12077</v>
      </c>
    </row>
    <row r="4357" spans="1:33">
      <c r="A4357" s="3" t="s">
        <v>4209</v>
      </c>
      <c r="D4357" s="3" t="s">
        <v>10785</v>
      </c>
      <c r="E4357" s="3" t="s">
        <v>10784</v>
      </c>
      <c r="J4357" s="9" t="s">
        <v>24</v>
      </c>
      <c r="L4357" s="9">
        <v>2</v>
      </c>
      <c r="M4357" s="9">
        <v>5</v>
      </c>
      <c r="O4357" s="9" t="s">
        <v>12079</v>
      </c>
      <c r="Q4357" s="10"/>
      <c r="S4357" s="9">
        <v>472</v>
      </c>
      <c r="U4357" s="9" t="str">
        <f t="shared" ca="1" si="172"/>
        <v/>
      </c>
      <c r="V4357" s="9" t="str">
        <f t="shared" ca="1" si="173"/>
        <v/>
      </c>
      <c r="AG4357" s="9" t="s">
        <v>19</v>
      </c>
    </row>
    <row r="4358" spans="1:33">
      <c r="A4358" s="3" t="s">
        <v>4210</v>
      </c>
      <c r="D4358" s="3" t="s">
        <v>10787</v>
      </c>
      <c r="E4358" s="3" t="s">
        <v>10786</v>
      </c>
      <c r="G4358" t="s">
        <v>19</v>
      </c>
      <c r="J4358" s="9" t="s">
        <v>12120</v>
      </c>
      <c r="Q4358" s="10"/>
      <c r="U4358" s="9" t="str">
        <f t="shared" ca="1" si="172"/>
        <v/>
      </c>
      <c r="V4358" s="9" t="str">
        <f t="shared" ca="1" si="173"/>
        <v/>
      </c>
    </row>
    <row r="4359" spans="1:33" ht="29">
      <c r="A4359" s="3" t="s">
        <v>4210</v>
      </c>
      <c r="D4359" s="3" t="s">
        <v>10789</v>
      </c>
      <c r="E4359" s="3" t="s">
        <v>10788</v>
      </c>
      <c r="I4359" t="s">
        <v>12554</v>
      </c>
      <c r="J4359" s="9" t="s">
        <v>26</v>
      </c>
      <c r="Q4359" s="10"/>
      <c r="U4359" s="9" t="str">
        <f t="shared" ca="1" si="172"/>
        <v/>
      </c>
      <c r="V4359" s="9" t="str">
        <f t="shared" ca="1" si="173"/>
        <v/>
      </c>
      <c r="AG4359" s="9" t="s">
        <v>20</v>
      </c>
    </row>
    <row r="4360" spans="1:33" ht="29">
      <c r="A4360" s="3" t="s">
        <v>4211</v>
      </c>
      <c r="D4360" s="3" t="s">
        <v>10791</v>
      </c>
      <c r="E4360" s="3" t="s">
        <v>10790</v>
      </c>
      <c r="G4360" t="s">
        <v>19</v>
      </c>
      <c r="J4360" s="9" t="s">
        <v>25</v>
      </c>
      <c r="L4360" s="9">
        <v>1</v>
      </c>
      <c r="M4360" s="9">
        <v>3</v>
      </c>
      <c r="N4360" s="9" t="s">
        <v>12078</v>
      </c>
      <c r="O4360" s="9" t="s">
        <v>12073</v>
      </c>
      <c r="P4360" s="9" t="s">
        <v>12149</v>
      </c>
      <c r="Q4360" s="10" t="s">
        <v>12143</v>
      </c>
      <c r="S4360" s="9">
        <v>11843</v>
      </c>
      <c r="U4360" s="9" t="str">
        <f t="shared" ca="1" si="172"/>
        <v/>
      </c>
      <c r="V4360" s="9" t="str">
        <f t="shared" ca="1" si="173"/>
        <v/>
      </c>
    </row>
    <row r="4361" spans="1:33" ht="29">
      <c r="A4361" s="3" t="s">
        <v>4211</v>
      </c>
      <c r="D4361" s="3" t="s">
        <v>10792</v>
      </c>
      <c r="E4361" s="3" t="s">
        <v>10793</v>
      </c>
      <c r="J4361" s="9" t="s">
        <v>12120</v>
      </c>
      <c r="Q4361" s="10"/>
      <c r="U4361" s="9" t="str">
        <f t="shared" ca="1" si="172"/>
        <v/>
      </c>
      <c r="V4361" s="9" t="str">
        <f t="shared" ca="1" si="173"/>
        <v/>
      </c>
      <c r="AE4361" s="9" t="s">
        <v>12083</v>
      </c>
    </row>
    <row r="4362" spans="1:33" ht="29">
      <c r="A4362" s="3" t="s">
        <v>4212</v>
      </c>
      <c r="D4362" s="6" t="s">
        <v>10795</v>
      </c>
      <c r="E4362" s="3" t="s">
        <v>10794</v>
      </c>
      <c r="F4362" t="s">
        <v>11</v>
      </c>
      <c r="G4362" t="s">
        <v>19</v>
      </c>
      <c r="J4362" s="9" t="s">
        <v>12118</v>
      </c>
      <c r="Q4362" s="10"/>
      <c r="T4362" s="9">
        <f xml:space="preserve"> 3-12</f>
        <v>-9</v>
      </c>
      <c r="U4362" s="9">
        <f t="shared" ca="1" si="172"/>
        <v>12</v>
      </c>
      <c r="V4362" s="9">
        <f t="shared" ca="1" si="173"/>
        <v>3</v>
      </c>
    </row>
    <row r="4363" spans="1:33">
      <c r="A4363" s="3" t="s">
        <v>4213</v>
      </c>
      <c r="D4363" s="3" t="s">
        <v>4214</v>
      </c>
      <c r="E4363" s="3" t="s">
        <v>4215</v>
      </c>
      <c r="J4363" s="9" t="s">
        <v>12120</v>
      </c>
      <c r="Q4363" s="10"/>
      <c r="U4363" s="9" t="str">
        <f t="shared" ca="1" si="172"/>
        <v/>
      </c>
      <c r="V4363" s="9" t="str">
        <f t="shared" ca="1" si="173"/>
        <v/>
      </c>
      <c r="AG4363" s="9" t="s">
        <v>20</v>
      </c>
    </row>
    <row r="4364" spans="1:33">
      <c r="A4364" s="3" t="s">
        <v>4216</v>
      </c>
      <c r="D4364" s="3" t="s">
        <v>10796</v>
      </c>
      <c r="E4364" s="3" t="s">
        <v>10797</v>
      </c>
      <c r="J4364" s="9" t="s">
        <v>12120</v>
      </c>
      <c r="Q4364" s="10"/>
      <c r="U4364" s="9" t="str">
        <f t="shared" ref="U4364:U4428" ca="1" si="176">IF(ISNUMBER(T4364),VALUE(MID(_xlfn.FORMULATEXT(T4364),SEARCH("-",_xlfn.FORMULATEXT(T4364))+1,LEN(_xlfn.FORMULATEXT(T4364))-SEARCH("-",_xlfn.FORMULATEXT(T4364)))), "")</f>
        <v/>
      </c>
      <c r="V4364" s="9" t="str">
        <f t="shared" ref="V4364:V4428" ca="1" si="177">IF(ISNUMBER(T4364), VALUE(MID(_xlfn.FORMULATEXT(T4364), 2, SEARCH("-", _xlfn.FORMULATEXT(T4364)) - 2)), "")</f>
        <v/>
      </c>
      <c r="AG4364" s="9" t="s">
        <v>19</v>
      </c>
    </row>
    <row r="4365" spans="1:33">
      <c r="A4365" s="3" t="s">
        <v>4216</v>
      </c>
      <c r="D4365" s="3" t="s">
        <v>2901</v>
      </c>
      <c r="E4365" s="3" t="s">
        <v>2089</v>
      </c>
      <c r="J4365" s="9" t="s">
        <v>12120</v>
      </c>
      <c r="Q4365" s="10"/>
      <c r="U4365" s="9" t="str">
        <f t="shared" ca="1" si="176"/>
        <v/>
      </c>
      <c r="V4365" s="9" t="str">
        <f t="shared" ca="1" si="177"/>
        <v/>
      </c>
      <c r="AG4365" s="9" t="s">
        <v>20</v>
      </c>
    </row>
    <row r="4366" spans="1:33">
      <c r="A4366" s="3" t="s">
        <v>4216</v>
      </c>
      <c r="D4366" s="3" t="s">
        <v>10799</v>
      </c>
      <c r="E4366" s="3" t="s">
        <v>10798</v>
      </c>
      <c r="G4366" t="s">
        <v>19</v>
      </c>
      <c r="J4366" s="9" t="s">
        <v>25</v>
      </c>
      <c r="L4366" s="9">
        <v>1</v>
      </c>
      <c r="M4366" s="9">
        <v>3</v>
      </c>
      <c r="N4366" s="9" t="s">
        <v>12078</v>
      </c>
      <c r="O4366" s="9" t="s">
        <v>12119</v>
      </c>
      <c r="Q4366" s="10"/>
      <c r="S4366" s="9">
        <v>11843</v>
      </c>
      <c r="U4366" s="9" t="str">
        <f t="shared" ca="1" si="176"/>
        <v/>
      </c>
      <c r="V4366" s="9" t="str">
        <f t="shared" ca="1" si="177"/>
        <v/>
      </c>
    </row>
    <row r="4367" spans="1:33">
      <c r="A4367" s="3" t="s">
        <v>4217</v>
      </c>
      <c r="D4367" s="3" t="s">
        <v>4218</v>
      </c>
      <c r="E4367" s="3" t="s">
        <v>4219</v>
      </c>
      <c r="J4367" s="9" t="s">
        <v>12118</v>
      </c>
      <c r="Q4367" s="10"/>
      <c r="T4367" s="9">
        <f>16-0</f>
        <v>16</v>
      </c>
      <c r="U4367" s="9">
        <f t="shared" ca="1" si="176"/>
        <v>0</v>
      </c>
      <c r="V4367" s="9">
        <f t="shared" ca="1" si="177"/>
        <v>16</v>
      </c>
      <c r="AG4367" s="9" t="s">
        <v>20</v>
      </c>
    </row>
    <row r="4368" spans="1:33">
      <c r="A4368" s="3" t="s">
        <v>4220</v>
      </c>
      <c r="D4368" s="3" t="s">
        <v>4221</v>
      </c>
      <c r="E4368" s="3" t="s">
        <v>4222</v>
      </c>
      <c r="J4368" s="9" t="s">
        <v>12120</v>
      </c>
      <c r="Q4368" s="10"/>
      <c r="U4368" s="9" t="str">
        <f t="shared" ca="1" si="176"/>
        <v/>
      </c>
      <c r="V4368" s="9" t="str">
        <f t="shared" ca="1" si="177"/>
        <v/>
      </c>
      <c r="AG4368" s="9" t="s">
        <v>20</v>
      </c>
    </row>
    <row r="4369" spans="1:33">
      <c r="A4369" s="3" t="s">
        <v>4223</v>
      </c>
      <c r="D4369" s="3" t="s">
        <v>10800</v>
      </c>
      <c r="E4369" s="3" t="s">
        <v>10801</v>
      </c>
      <c r="G4369" t="s">
        <v>19</v>
      </c>
      <c r="J4369" s="9" t="s">
        <v>12118</v>
      </c>
      <c r="Q4369" s="10"/>
      <c r="T4369" s="9" t="s">
        <v>12131</v>
      </c>
      <c r="U4369" s="9" t="str">
        <f t="shared" ca="1" si="176"/>
        <v/>
      </c>
      <c r="V4369" s="9" t="str">
        <f t="shared" ca="1" si="177"/>
        <v/>
      </c>
      <c r="AB4369" s="9" t="s">
        <v>12124</v>
      </c>
      <c r="AC4369" s="9" t="s">
        <v>12742</v>
      </c>
      <c r="AD4369" s="9" t="s">
        <v>19</v>
      </c>
    </row>
    <row r="4370" spans="1:33">
      <c r="A4370" s="3" t="s">
        <v>4223</v>
      </c>
      <c r="D4370" s="3" t="s">
        <v>10802</v>
      </c>
      <c r="E4370" s="3" t="s">
        <v>10803</v>
      </c>
      <c r="J4370" s="9" t="s">
        <v>12118</v>
      </c>
      <c r="Q4370" s="10"/>
      <c r="T4370" s="9">
        <f>165-186</f>
        <v>-21</v>
      </c>
      <c r="U4370" s="9">
        <f t="shared" ca="1" si="176"/>
        <v>186</v>
      </c>
      <c r="V4370" s="9">
        <f t="shared" ca="1" si="177"/>
        <v>165</v>
      </c>
      <c r="AG4370" s="9" t="s">
        <v>20</v>
      </c>
    </row>
    <row r="4371" spans="1:33">
      <c r="A4371" s="3" t="s">
        <v>4223</v>
      </c>
      <c r="D4371" s="3" t="s">
        <v>4224</v>
      </c>
      <c r="E4371" s="3" t="s">
        <v>4225</v>
      </c>
      <c r="J4371" s="9" t="s">
        <v>12120</v>
      </c>
      <c r="Q4371" s="10"/>
      <c r="U4371" s="9" t="str">
        <f t="shared" ca="1" si="176"/>
        <v/>
      </c>
      <c r="V4371" s="9" t="str">
        <f t="shared" ca="1" si="177"/>
        <v/>
      </c>
      <c r="AG4371" s="9" t="s">
        <v>20</v>
      </c>
    </row>
    <row r="4372" spans="1:33">
      <c r="A4372" s="3" t="s">
        <v>4226</v>
      </c>
      <c r="D4372" s="3" t="s">
        <v>10805</v>
      </c>
      <c r="E4372" s="3" t="s">
        <v>10804</v>
      </c>
      <c r="G4372" t="s">
        <v>19</v>
      </c>
      <c r="J4372" s="9" t="s">
        <v>25</v>
      </c>
      <c r="L4372" s="9">
        <v>1</v>
      </c>
      <c r="M4372" s="9">
        <v>2</v>
      </c>
      <c r="N4372" s="9" t="s">
        <v>12087</v>
      </c>
      <c r="O4372" s="9" t="s">
        <v>12119</v>
      </c>
      <c r="Q4372" s="10"/>
      <c r="S4372" s="9">
        <v>207</v>
      </c>
      <c r="U4372" s="9" t="str">
        <f t="shared" ca="1" si="176"/>
        <v/>
      </c>
      <c r="V4372" s="9" t="str">
        <f t="shared" ca="1" si="177"/>
        <v/>
      </c>
    </row>
    <row r="4373" spans="1:33" ht="29">
      <c r="A4373" s="3" t="s">
        <v>4226</v>
      </c>
      <c r="D4373" s="3" t="s">
        <v>10807</v>
      </c>
      <c r="E4373" s="3" t="s">
        <v>10806</v>
      </c>
      <c r="G4373" t="s">
        <v>19</v>
      </c>
      <c r="J4373" s="9" t="s">
        <v>24</v>
      </c>
      <c r="L4373" s="9">
        <v>1</v>
      </c>
      <c r="M4373" s="9">
        <v>5</v>
      </c>
      <c r="N4373" s="9" t="s">
        <v>12094</v>
      </c>
      <c r="O4373" s="9" t="s">
        <v>12079</v>
      </c>
      <c r="Q4373" s="10"/>
      <c r="S4373" s="9">
        <v>4240</v>
      </c>
      <c r="U4373" s="9" t="str">
        <f t="shared" ca="1" si="176"/>
        <v/>
      </c>
      <c r="V4373" s="9" t="str">
        <f t="shared" ca="1" si="177"/>
        <v/>
      </c>
    </row>
    <row r="4374" spans="1:33" ht="116">
      <c r="A4374" s="3" t="s">
        <v>4226</v>
      </c>
      <c r="D4374" s="3" t="s">
        <v>12555</v>
      </c>
      <c r="E4374" s="3" t="s">
        <v>13089</v>
      </c>
      <c r="F4374" t="s">
        <v>4774</v>
      </c>
      <c r="I4374" s="4"/>
      <c r="J4374" s="9" t="s">
        <v>27</v>
      </c>
      <c r="Q4374" s="10"/>
      <c r="U4374" s="9" t="str">
        <f t="shared" ref="U4374" ca="1" si="178">IF(ISNUMBER(T4374),VALUE(MID(_xlfn.FORMULATEXT(T4374),SEARCH("-",_xlfn.FORMULATEXT(T4374))+1,LEN(_xlfn.FORMULATEXT(T4374))-SEARCH("-",_xlfn.FORMULATEXT(T4374)))), "")</f>
        <v/>
      </c>
      <c r="V4374" s="9" t="str">
        <f t="shared" ref="V4374" ca="1" si="179">IF(ISNUMBER(T4374), VALUE(MID(_xlfn.FORMULATEXT(T4374), 2, SEARCH("-", _xlfn.FORMULATEXT(T4374)) - 2)), "")</f>
        <v/>
      </c>
    </row>
    <row r="4375" spans="1:33" ht="116">
      <c r="A4375" s="3" t="s">
        <v>4226</v>
      </c>
      <c r="D4375" s="3" t="s">
        <v>10808</v>
      </c>
      <c r="E4375" s="3" t="s">
        <v>12556</v>
      </c>
      <c r="F4375" t="s">
        <v>4774</v>
      </c>
      <c r="G4375" t="s">
        <v>21</v>
      </c>
      <c r="I4375" s="4"/>
      <c r="J4375" s="9" t="s">
        <v>12120</v>
      </c>
      <c r="Q4375" s="10"/>
      <c r="U4375" s="9" t="str">
        <f t="shared" ca="1" si="176"/>
        <v/>
      </c>
      <c r="V4375" s="9" t="str">
        <f t="shared" ca="1" si="177"/>
        <v/>
      </c>
    </row>
    <row r="4376" spans="1:33" ht="116">
      <c r="A4376" s="3" t="s">
        <v>4226</v>
      </c>
      <c r="D4376" s="3" t="s">
        <v>12555</v>
      </c>
      <c r="E4376" s="3" t="s">
        <v>12557</v>
      </c>
      <c r="F4376" t="s">
        <v>4774</v>
      </c>
      <c r="I4376" s="4" t="s">
        <v>12558</v>
      </c>
      <c r="J4376" s="9" t="s">
        <v>24</v>
      </c>
      <c r="L4376" s="9">
        <v>5</v>
      </c>
      <c r="M4376" s="9">
        <v>22</v>
      </c>
      <c r="O4376" s="9" t="s">
        <v>12073</v>
      </c>
      <c r="P4376" s="9" t="s">
        <v>12140</v>
      </c>
      <c r="Q4376" s="10" t="s">
        <v>12136</v>
      </c>
      <c r="S4376" s="9">
        <v>26</v>
      </c>
      <c r="U4376" s="9" t="str">
        <f t="shared" ca="1" si="176"/>
        <v/>
      </c>
      <c r="V4376" s="9" t="str">
        <f t="shared" ca="1" si="177"/>
        <v/>
      </c>
    </row>
    <row r="4377" spans="1:33" ht="116">
      <c r="A4377" s="3" t="s">
        <v>4226</v>
      </c>
      <c r="D4377" s="3" t="s">
        <v>12560</v>
      </c>
      <c r="E4377" s="3" t="s">
        <v>12559</v>
      </c>
      <c r="F4377" t="s">
        <v>4774</v>
      </c>
      <c r="I4377" s="4"/>
      <c r="J4377" s="9" t="s">
        <v>12120</v>
      </c>
      <c r="Q4377" s="10"/>
      <c r="U4377" s="9" t="str">
        <f t="shared" ca="1" si="176"/>
        <v/>
      </c>
      <c r="V4377" s="9" t="str">
        <f t="shared" ca="1" si="177"/>
        <v/>
      </c>
    </row>
    <row r="4378" spans="1:33" ht="116">
      <c r="A4378" s="3" t="s">
        <v>4226</v>
      </c>
      <c r="D4378" s="3" t="s">
        <v>12561</v>
      </c>
      <c r="E4378" s="3" t="s">
        <v>12562</v>
      </c>
      <c r="F4378" t="s">
        <v>4774</v>
      </c>
      <c r="I4378" s="4"/>
      <c r="J4378" s="9" t="s">
        <v>12120</v>
      </c>
      <c r="Q4378" s="10"/>
      <c r="U4378" s="9" t="str">
        <f t="shared" ca="1" si="176"/>
        <v/>
      </c>
      <c r="V4378" s="9" t="str">
        <f t="shared" ca="1" si="177"/>
        <v/>
      </c>
    </row>
    <row r="4379" spans="1:33">
      <c r="A4379" s="3" t="s">
        <v>4227</v>
      </c>
      <c r="D4379" s="3" t="s">
        <v>10809</v>
      </c>
      <c r="E4379" s="3" t="s">
        <v>10809</v>
      </c>
      <c r="G4379" t="s">
        <v>20</v>
      </c>
      <c r="I4379" t="s">
        <v>10810</v>
      </c>
      <c r="Q4379" s="10"/>
      <c r="U4379" s="9" t="str">
        <f t="shared" ca="1" si="176"/>
        <v/>
      </c>
      <c r="V4379" s="9" t="str">
        <f t="shared" ca="1" si="177"/>
        <v/>
      </c>
    </row>
    <row r="4380" spans="1:33">
      <c r="A4380" s="3" t="s">
        <v>4228</v>
      </c>
      <c r="D4380" s="3" t="s">
        <v>10811</v>
      </c>
      <c r="E4380" s="3" t="s">
        <v>10812</v>
      </c>
      <c r="F4380" t="s">
        <v>11</v>
      </c>
      <c r="J4380" s="9" t="s">
        <v>12120</v>
      </c>
      <c r="Q4380" s="10"/>
      <c r="U4380" s="9" t="str">
        <f t="shared" ca="1" si="176"/>
        <v/>
      </c>
      <c r="V4380" s="9" t="str">
        <f t="shared" ca="1" si="177"/>
        <v/>
      </c>
      <c r="AC4380" s="9" t="s">
        <v>12153</v>
      </c>
      <c r="AD4380" s="9" t="s">
        <v>19</v>
      </c>
      <c r="AE4380" s="9" t="s">
        <v>12086</v>
      </c>
    </row>
    <row r="4381" spans="1:33">
      <c r="A4381" s="3" t="s">
        <v>4229</v>
      </c>
      <c r="D4381" s="3" t="s">
        <v>4230</v>
      </c>
      <c r="E4381" s="3" t="s">
        <v>10813</v>
      </c>
      <c r="G4381" t="s">
        <v>19</v>
      </c>
      <c r="J4381" s="9" t="s">
        <v>12120</v>
      </c>
      <c r="Q4381" s="10"/>
      <c r="U4381" s="9" t="str">
        <f t="shared" ca="1" si="176"/>
        <v/>
      </c>
      <c r="V4381" s="9" t="str">
        <f t="shared" ca="1" si="177"/>
        <v/>
      </c>
      <c r="AE4381" s="9" t="s">
        <v>12086</v>
      </c>
    </row>
    <row r="4382" spans="1:33">
      <c r="A4382" s="3" t="s">
        <v>4231</v>
      </c>
      <c r="D4382" s="3" t="s">
        <v>1383</v>
      </c>
      <c r="E4382" s="3" t="s">
        <v>634</v>
      </c>
      <c r="J4382" s="9" t="s">
        <v>12118</v>
      </c>
      <c r="Q4382" s="10"/>
      <c r="T4382" s="9" t="s">
        <v>12131</v>
      </c>
      <c r="U4382" s="9" t="str">
        <f t="shared" ca="1" si="176"/>
        <v/>
      </c>
      <c r="V4382" s="9" t="str">
        <f t="shared" ca="1" si="177"/>
        <v/>
      </c>
      <c r="AC4382" s="9" t="s">
        <v>12740</v>
      </c>
      <c r="AD4382" s="9" t="s">
        <v>19</v>
      </c>
    </row>
    <row r="4383" spans="1:33">
      <c r="A4383" s="3" t="s">
        <v>4231</v>
      </c>
      <c r="D4383" s="3" t="s">
        <v>4232</v>
      </c>
      <c r="E4383" s="3" t="s">
        <v>10814</v>
      </c>
      <c r="G4383" t="s">
        <v>19</v>
      </c>
      <c r="J4383" s="9" t="s">
        <v>12120</v>
      </c>
      <c r="Q4383" s="10"/>
      <c r="U4383" s="9" t="str">
        <f t="shared" ca="1" si="176"/>
        <v/>
      </c>
      <c r="V4383" s="9" t="str">
        <f t="shared" ca="1" si="177"/>
        <v/>
      </c>
    </row>
    <row r="4384" spans="1:33">
      <c r="A4384" s="3" t="s">
        <v>4233</v>
      </c>
      <c r="D4384" s="3" t="s">
        <v>10815</v>
      </c>
      <c r="E4384" s="3" t="s">
        <v>10816</v>
      </c>
      <c r="J4384" s="9" t="s">
        <v>12118</v>
      </c>
      <c r="Q4384" s="10"/>
      <c r="T4384" s="9">
        <f>1101-560</f>
        <v>541</v>
      </c>
      <c r="U4384" s="9">
        <f t="shared" ca="1" si="176"/>
        <v>560</v>
      </c>
      <c r="V4384" s="9">
        <f t="shared" ca="1" si="177"/>
        <v>1101</v>
      </c>
      <c r="AG4384" s="9" t="s">
        <v>20</v>
      </c>
    </row>
    <row r="4385" spans="1:33" ht="29">
      <c r="A4385" s="3" t="s">
        <v>4234</v>
      </c>
      <c r="D4385" s="3" t="s">
        <v>10819</v>
      </c>
      <c r="E4385" s="3" t="s">
        <v>10818</v>
      </c>
      <c r="F4385" t="s">
        <v>11</v>
      </c>
      <c r="J4385" s="9" t="s">
        <v>12120</v>
      </c>
      <c r="Q4385" s="10"/>
      <c r="U4385" s="9" t="str">
        <f t="shared" ca="1" si="176"/>
        <v/>
      </c>
      <c r="V4385" s="9" t="str">
        <f t="shared" ca="1" si="177"/>
        <v/>
      </c>
      <c r="AC4385" s="9" t="s">
        <v>12134</v>
      </c>
      <c r="AD4385" s="9" t="s">
        <v>19</v>
      </c>
    </row>
    <row r="4386" spans="1:33" ht="29">
      <c r="A4386" s="3" t="s">
        <v>4234</v>
      </c>
      <c r="D4386" s="3" t="s">
        <v>10817</v>
      </c>
      <c r="E4386" s="3" t="s">
        <v>10820</v>
      </c>
      <c r="F4386" t="s">
        <v>11</v>
      </c>
      <c r="J4386" s="9" t="s">
        <v>24</v>
      </c>
      <c r="L4386" s="9">
        <v>1</v>
      </c>
      <c r="M4386" s="9">
        <v>5</v>
      </c>
      <c r="N4386" s="9" t="s">
        <v>12094</v>
      </c>
      <c r="O4386" s="9" t="s">
        <v>12073</v>
      </c>
      <c r="P4386" s="9" t="s">
        <v>12149</v>
      </c>
      <c r="Q4386" s="10" t="s">
        <v>12143</v>
      </c>
      <c r="S4386" s="9">
        <v>4240</v>
      </c>
      <c r="U4386" s="9" t="str">
        <f t="shared" ca="1" si="176"/>
        <v/>
      </c>
      <c r="V4386" s="9" t="str">
        <f t="shared" ca="1" si="177"/>
        <v/>
      </c>
    </row>
    <row r="4387" spans="1:33" ht="29">
      <c r="A4387" s="3" t="s">
        <v>4235</v>
      </c>
      <c r="D4387" s="3" t="s">
        <v>10822</v>
      </c>
      <c r="E4387" s="3" t="s">
        <v>10821</v>
      </c>
      <c r="G4387" t="s">
        <v>19</v>
      </c>
      <c r="J4387" s="9" t="s">
        <v>25</v>
      </c>
      <c r="L4387" s="9">
        <v>2</v>
      </c>
      <c r="M4387" s="9">
        <v>9</v>
      </c>
      <c r="O4387" s="9" t="s">
        <v>12079</v>
      </c>
      <c r="Q4387" s="10"/>
      <c r="S4387" s="9">
        <v>235</v>
      </c>
      <c r="U4387" s="9" t="str">
        <f t="shared" ca="1" si="176"/>
        <v/>
      </c>
      <c r="V4387" s="9" t="str">
        <f t="shared" ca="1" si="177"/>
        <v/>
      </c>
    </row>
    <row r="4388" spans="1:33" ht="29">
      <c r="A4388" s="3" t="s">
        <v>4235</v>
      </c>
      <c r="D4388" s="3" t="s">
        <v>10823</v>
      </c>
      <c r="E4388" s="3" t="s">
        <v>10824</v>
      </c>
      <c r="J4388" s="9" t="s">
        <v>12118</v>
      </c>
      <c r="Q4388" s="10"/>
      <c r="T4388" s="9">
        <f xml:space="preserve"> 114-444</f>
        <v>-330</v>
      </c>
      <c r="U4388" s="9">
        <f t="shared" ca="1" si="176"/>
        <v>444</v>
      </c>
      <c r="V4388" s="9">
        <f t="shared" ca="1" si="177"/>
        <v>114</v>
      </c>
      <c r="AG4388" s="9" t="s">
        <v>19</v>
      </c>
    </row>
    <row r="4389" spans="1:33">
      <c r="A4389" s="3" t="s">
        <v>4236</v>
      </c>
      <c r="D4389" s="3" t="s">
        <v>10825</v>
      </c>
      <c r="E4389" s="3" t="s">
        <v>10826</v>
      </c>
      <c r="J4389" s="9" t="s">
        <v>12120</v>
      </c>
      <c r="Q4389" s="10"/>
      <c r="U4389" s="9" t="str">
        <f t="shared" ca="1" si="176"/>
        <v/>
      </c>
      <c r="V4389" s="9" t="str">
        <f t="shared" ca="1" si="177"/>
        <v/>
      </c>
      <c r="AC4389" s="9" t="s">
        <v>12153</v>
      </c>
      <c r="AD4389" s="9" t="s">
        <v>19</v>
      </c>
    </row>
    <row r="4390" spans="1:33">
      <c r="A4390" s="3" t="s">
        <v>4236</v>
      </c>
      <c r="D4390" s="3" t="s">
        <v>4237</v>
      </c>
      <c r="E4390" s="3" t="s">
        <v>10827</v>
      </c>
      <c r="G4390" t="s">
        <v>19</v>
      </c>
      <c r="J4390" s="9" t="s">
        <v>12118</v>
      </c>
      <c r="Q4390" s="10"/>
      <c r="T4390" s="9" t="s">
        <v>12131</v>
      </c>
      <c r="U4390" s="9" t="str">
        <f t="shared" ca="1" si="176"/>
        <v/>
      </c>
      <c r="V4390" s="9" t="str">
        <f t="shared" ca="1" si="177"/>
        <v/>
      </c>
      <c r="AE4390" s="9" t="s">
        <v>12086</v>
      </c>
    </row>
    <row r="4391" spans="1:33">
      <c r="A4391" s="3" t="s">
        <v>4236</v>
      </c>
      <c r="D4391" s="3" t="s">
        <v>10828</v>
      </c>
      <c r="E4391" s="3" t="s">
        <v>10829</v>
      </c>
      <c r="G4391" t="s">
        <v>19</v>
      </c>
      <c r="J4391" s="9" t="s">
        <v>12120</v>
      </c>
      <c r="Q4391" s="10"/>
      <c r="U4391" s="9" t="str">
        <f t="shared" ca="1" si="176"/>
        <v/>
      </c>
      <c r="V4391" s="9" t="str">
        <f t="shared" ca="1" si="177"/>
        <v/>
      </c>
      <c r="AB4391" s="9" t="s">
        <v>12082</v>
      </c>
      <c r="AD4391" s="9" t="s">
        <v>19</v>
      </c>
    </row>
    <row r="4392" spans="1:33">
      <c r="A4392" s="3" t="s">
        <v>4236</v>
      </c>
      <c r="D4392" s="3" t="s">
        <v>10831</v>
      </c>
      <c r="E4392" s="3" t="s">
        <v>10830</v>
      </c>
      <c r="F4392" t="s">
        <v>11</v>
      </c>
      <c r="G4392" t="s">
        <v>19</v>
      </c>
      <c r="J4392" s="9" t="s">
        <v>12121</v>
      </c>
      <c r="Q4392" s="10"/>
      <c r="T4392" s="9">
        <f>31-0</f>
        <v>31</v>
      </c>
      <c r="U4392" s="9">
        <f t="shared" ca="1" si="176"/>
        <v>0</v>
      </c>
      <c r="V4392" s="9">
        <f t="shared" ca="1" si="177"/>
        <v>31</v>
      </c>
      <c r="AE4392" s="9" t="s">
        <v>12089</v>
      </c>
    </row>
    <row r="4393" spans="1:33">
      <c r="A4393" s="3" t="s">
        <v>4238</v>
      </c>
      <c r="D4393" s="3" t="s">
        <v>4239</v>
      </c>
      <c r="E4393" s="3" t="s">
        <v>4240</v>
      </c>
      <c r="J4393" s="9" t="s">
        <v>12118</v>
      </c>
      <c r="Q4393" s="10"/>
      <c r="T4393" s="9" t="s">
        <v>12131</v>
      </c>
      <c r="U4393" s="9" t="str">
        <f t="shared" ca="1" si="176"/>
        <v/>
      </c>
      <c r="V4393" s="9" t="str">
        <f t="shared" ca="1" si="177"/>
        <v/>
      </c>
      <c r="AE4393" s="9" t="s">
        <v>12077</v>
      </c>
    </row>
    <row r="4394" spans="1:33" ht="29">
      <c r="A4394" s="3" t="s">
        <v>4238</v>
      </c>
      <c r="D4394" s="3" t="s">
        <v>10833</v>
      </c>
      <c r="E4394" s="3" t="s">
        <v>10832</v>
      </c>
      <c r="J4394" s="9" t="s">
        <v>25</v>
      </c>
      <c r="L4394" s="9">
        <v>1</v>
      </c>
      <c r="M4394" s="9">
        <v>5</v>
      </c>
      <c r="N4394" s="9" t="s">
        <v>12094</v>
      </c>
      <c r="O4394" s="9" t="s">
        <v>12079</v>
      </c>
      <c r="Q4394" s="10"/>
      <c r="S4394" s="9">
        <v>4240</v>
      </c>
      <c r="U4394" s="9" t="str">
        <f t="shared" ca="1" si="176"/>
        <v/>
      </c>
      <c r="V4394" s="9" t="str">
        <f t="shared" ca="1" si="177"/>
        <v/>
      </c>
      <c r="AG4394" s="9" t="s">
        <v>19</v>
      </c>
    </row>
    <row r="4395" spans="1:33">
      <c r="A4395" s="3" t="s">
        <v>4241</v>
      </c>
      <c r="D4395" s="6" t="s">
        <v>10839</v>
      </c>
      <c r="E4395" s="3" t="s">
        <v>10834</v>
      </c>
      <c r="F4395" t="s">
        <v>11</v>
      </c>
      <c r="G4395" t="s">
        <v>19</v>
      </c>
      <c r="J4395" s="9" t="s">
        <v>12121</v>
      </c>
      <c r="Q4395" s="10"/>
      <c r="T4395" s="9">
        <f>75-59</f>
        <v>16</v>
      </c>
      <c r="U4395" s="9">
        <f t="shared" ca="1" si="176"/>
        <v>59</v>
      </c>
      <c r="V4395" s="9">
        <f t="shared" ca="1" si="177"/>
        <v>75</v>
      </c>
      <c r="AE4395" s="9" t="s">
        <v>12089</v>
      </c>
      <c r="AF4395" s="9" t="s">
        <v>19</v>
      </c>
    </row>
    <row r="4396" spans="1:33">
      <c r="A4396" s="3" t="s">
        <v>4242</v>
      </c>
      <c r="D4396" s="3" t="s">
        <v>4243</v>
      </c>
      <c r="E4396" s="3" t="s">
        <v>4244</v>
      </c>
      <c r="J4396" s="9" t="s">
        <v>12118</v>
      </c>
      <c r="Q4396" s="10"/>
      <c r="T4396" s="9" t="s">
        <v>12131</v>
      </c>
      <c r="U4396" s="9" t="str">
        <f t="shared" ca="1" si="176"/>
        <v/>
      </c>
      <c r="V4396" s="9" t="str">
        <f t="shared" ca="1" si="177"/>
        <v/>
      </c>
      <c r="AE4396" s="9" t="s">
        <v>12077</v>
      </c>
    </row>
    <row r="4397" spans="1:33" ht="29">
      <c r="A4397" s="3" t="s">
        <v>4242</v>
      </c>
      <c r="D4397" s="3" t="s">
        <v>10836</v>
      </c>
      <c r="E4397" s="3" t="s">
        <v>10835</v>
      </c>
      <c r="J4397" s="9" t="s">
        <v>25</v>
      </c>
      <c r="L4397" s="9">
        <v>1</v>
      </c>
      <c r="M4397" s="9">
        <v>3</v>
      </c>
      <c r="N4397" s="9" t="s">
        <v>12087</v>
      </c>
      <c r="O4397" s="9" t="s">
        <v>12079</v>
      </c>
      <c r="Q4397" s="10"/>
      <c r="S4397" s="9">
        <v>5676</v>
      </c>
      <c r="U4397" s="9" t="str">
        <f t="shared" ca="1" si="176"/>
        <v/>
      </c>
      <c r="V4397" s="9" t="str">
        <f t="shared" ca="1" si="177"/>
        <v/>
      </c>
      <c r="AG4397" s="9" t="s">
        <v>13141</v>
      </c>
    </row>
    <row r="4398" spans="1:33">
      <c r="A4398" s="3" t="s">
        <v>4245</v>
      </c>
      <c r="D4398" s="5" t="s">
        <v>10837</v>
      </c>
      <c r="E4398" s="3" t="s">
        <v>10838</v>
      </c>
      <c r="F4398" t="s">
        <v>31</v>
      </c>
      <c r="G4398" t="s">
        <v>19</v>
      </c>
      <c r="I4398" t="s">
        <v>10840</v>
      </c>
      <c r="J4398" s="9" t="s">
        <v>12118</v>
      </c>
      <c r="Q4398" s="10"/>
      <c r="T4398" s="9">
        <f>75-0</f>
        <v>75</v>
      </c>
      <c r="U4398" s="9">
        <f t="shared" ca="1" si="176"/>
        <v>0</v>
      </c>
      <c r="V4398" s="9">
        <f t="shared" ca="1" si="177"/>
        <v>75</v>
      </c>
      <c r="AE4398" s="9" t="s">
        <v>12089</v>
      </c>
      <c r="AF4398" s="9" t="s">
        <v>19</v>
      </c>
    </row>
    <row r="4399" spans="1:33">
      <c r="A4399" s="3" t="s">
        <v>4245</v>
      </c>
      <c r="D4399" s="3" t="s">
        <v>4246</v>
      </c>
      <c r="E4399" s="3" t="s">
        <v>4247</v>
      </c>
      <c r="J4399" s="9" t="s">
        <v>12118</v>
      </c>
      <c r="Q4399" s="10"/>
      <c r="T4399" s="9" t="s">
        <v>12131</v>
      </c>
      <c r="U4399" s="9" t="str">
        <f t="shared" ca="1" si="176"/>
        <v/>
      </c>
      <c r="V4399" s="9" t="str">
        <f t="shared" ca="1" si="177"/>
        <v/>
      </c>
      <c r="AC4399" s="9" t="s">
        <v>12130</v>
      </c>
      <c r="AD4399" s="9" t="s">
        <v>19</v>
      </c>
      <c r="AE4399" s="9" t="s">
        <v>12086</v>
      </c>
    </row>
    <row r="4400" spans="1:33" ht="29">
      <c r="A4400" s="3" t="s">
        <v>4248</v>
      </c>
      <c r="D4400" s="3" t="s">
        <v>10841</v>
      </c>
      <c r="E4400" s="3" t="s">
        <v>10842</v>
      </c>
      <c r="J4400" s="9" t="s">
        <v>12118</v>
      </c>
      <c r="Q4400" s="10"/>
      <c r="T4400" s="9">
        <f>166-5676</f>
        <v>-5510</v>
      </c>
      <c r="U4400" s="9">
        <f t="shared" ca="1" si="176"/>
        <v>5676</v>
      </c>
      <c r="V4400" s="9">
        <f t="shared" ca="1" si="177"/>
        <v>166</v>
      </c>
      <c r="AG4400" s="9" t="s">
        <v>19</v>
      </c>
    </row>
    <row r="4401" spans="1:33">
      <c r="A4401" s="3" t="s">
        <v>4248</v>
      </c>
      <c r="D4401" s="3" t="s">
        <v>1383</v>
      </c>
      <c r="E4401" s="3" t="s">
        <v>634</v>
      </c>
      <c r="G4401" t="s">
        <v>19</v>
      </c>
      <c r="J4401" s="9" t="s">
        <v>12118</v>
      </c>
      <c r="Q4401" s="10"/>
      <c r="T4401" s="9" t="s">
        <v>12131</v>
      </c>
      <c r="U4401" s="9" t="str">
        <f t="shared" ca="1" si="176"/>
        <v/>
      </c>
      <c r="V4401" s="9" t="str">
        <f t="shared" ca="1" si="177"/>
        <v/>
      </c>
      <c r="AB4401" s="9" t="s">
        <v>12124</v>
      </c>
      <c r="AC4401" s="9" t="s">
        <v>12740</v>
      </c>
      <c r="AD4401" s="9" t="s">
        <v>19</v>
      </c>
    </row>
    <row r="4402" spans="1:33">
      <c r="A4402" s="3" t="s">
        <v>4249</v>
      </c>
      <c r="D4402" s="3" t="s">
        <v>12563</v>
      </c>
      <c r="E4402" s="3" t="s">
        <v>12564</v>
      </c>
      <c r="J4402" s="9" t="s">
        <v>12120</v>
      </c>
      <c r="Q4402" s="10"/>
      <c r="U4402" s="9" t="str">
        <f t="shared" ca="1" si="176"/>
        <v/>
      </c>
      <c r="V4402" s="9" t="str">
        <f t="shared" ca="1" si="177"/>
        <v/>
      </c>
      <c r="AG4402" s="9" t="s">
        <v>19</v>
      </c>
    </row>
    <row r="4403" spans="1:33" ht="29">
      <c r="A4403" s="3" t="s">
        <v>4250</v>
      </c>
      <c r="D4403" s="3" t="s">
        <v>10844</v>
      </c>
      <c r="E4403" s="3" t="s">
        <v>10843</v>
      </c>
      <c r="G4403" t="s">
        <v>19</v>
      </c>
      <c r="J4403" s="9" t="s">
        <v>25</v>
      </c>
      <c r="L4403" s="9">
        <v>1</v>
      </c>
      <c r="M4403" s="9">
        <v>3</v>
      </c>
      <c r="N4403" s="9" t="s">
        <v>12087</v>
      </c>
      <c r="O4403" s="9" t="s">
        <v>12079</v>
      </c>
      <c r="Q4403" s="10"/>
      <c r="S4403" s="9">
        <v>5676</v>
      </c>
      <c r="U4403" s="9" t="str">
        <f t="shared" ca="1" si="176"/>
        <v/>
      </c>
      <c r="V4403" s="9" t="str">
        <f t="shared" ca="1" si="177"/>
        <v/>
      </c>
    </row>
    <row r="4404" spans="1:33">
      <c r="A4404" s="3" t="s">
        <v>4250</v>
      </c>
      <c r="D4404" s="3" t="s">
        <v>10846</v>
      </c>
      <c r="E4404" s="3" t="s">
        <v>10845</v>
      </c>
      <c r="G4404" t="s">
        <v>19</v>
      </c>
      <c r="J4404" s="9" t="s">
        <v>24</v>
      </c>
      <c r="L4404" s="9">
        <v>1</v>
      </c>
      <c r="M4404" s="9">
        <v>3</v>
      </c>
      <c r="N4404" s="9" t="s">
        <v>12078</v>
      </c>
      <c r="O4404" s="9" t="s">
        <v>12073</v>
      </c>
      <c r="P4404" s="9" t="s">
        <v>12149</v>
      </c>
      <c r="Q4404" s="10" t="s">
        <v>12143</v>
      </c>
      <c r="S4404" s="9">
        <v>11843</v>
      </c>
      <c r="U4404" s="9" t="str">
        <f t="shared" ca="1" si="176"/>
        <v/>
      </c>
      <c r="V4404" s="9" t="str">
        <f t="shared" ca="1" si="177"/>
        <v/>
      </c>
    </row>
    <row r="4405" spans="1:33" ht="29">
      <c r="A4405" s="3" t="s">
        <v>4251</v>
      </c>
      <c r="D4405" s="3" t="s">
        <v>10848</v>
      </c>
      <c r="E4405" s="3" t="s">
        <v>10849</v>
      </c>
      <c r="F4405" t="s">
        <v>11</v>
      </c>
      <c r="G4405" t="s">
        <v>19</v>
      </c>
      <c r="Q4405" s="10"/>
      <c r="U4405" s="9" t="str">
        <f t="shared" ca="1" si="176"/>
        <v/>
      </c>
      <c r="V4405" s="9" t="str">
        <f t="shared" ca="1" si="177"/>
        <v/>
      </c>
    </row>
    <row r="4406" spans="1:33" ht="29">
      <c r="A4406" s="3" t="s">
        <v>4251</v>
      </c>
      <c r="D4406" s="3" t="s">
        <v>10847</v>
      </c>
      <c r="E4406" s="3" t="s">
        <v>10850</v>
      </c>
      <c r="J4406" s="9" t="s">
        <v>12120</v>
      </c>
      <c r="Q4406" s="10"/>
      <c r="U4406" s="9" t="str">
        <f t="shared" ca="1" si="176"/>
        <v/>
      </c>
      <c r="V4406" s="9" t="str">
        <f t="shared" ca="1" si="177"/>
        <v/>
      </c>
      <c r="AE4406" s="9" t="s">
        <v>12089</v>
      </c>
    </row>
    <row r="4407" spans="1:33">
      <c r="A4407" s="3" t="s">
        <v>4251</v>
      </c>
      <c r="D4407" s="3" t="s">
        <v>4253</v>
      </c>
      <c r="E4407" s="3" t="s">
        <v>4252</v>
      </c>
      <c r="G4407" t="s">
        <v>19</v>
      </c>
      <c r="J4407" s="9" t="s">
        <v>12118</v>
      </c>
      <c r="Q4407" s="10"/>
      <c r="T4407" s="9" t="s">
        <v>12131</v>
      </c>
      <c r="U4407" s="9" t="str">
        <f t="shared" ca="1" si="176"/>
        <v/>
      </c>
      <c r="V4407" s="9" t="str">
        <f t="shared" ca="1" si="177"/>
        <v/>
      </c>
      <c r="AE4407" s="9" t="s">
        <v>12077</v>
      </c>
    </row>
    <row r="4408" spans="1:33">
      <c r="A4408" s="3" t="s">
        <v>4254</v>
      </c>
      <c r="D4408" s="3" t="s">
        <v>10851</v>
      </c>
      <c r="E4408" s="3" t="s">
        <v>10852</v>
      </c>
      <c r="F4408" t="s">
        <v>11</v>
      </c>
      <c r="J4408" s="9" t="s">
        <v>12118</v>
      </c>
      <c r="Q4408" s="10"/>
      <c r="T4408" s="9">
        <f>45-0</f>
        <v>45</v>
      </c>
      <c r="U4408" s="9">
        <f t="shared" ca="1" si="176"/>
        <v>0</v>
      </c>
      <c r="V4408" s="9">
        <f t="shared" ca="1" si="177"/>
        <v>45</v>
      </c>
    </row>
    <row r="4409" spans="1:33">
      <c r="A4409" s="3" t="s">
        <v>4254</v>
      </c>
      <c r="D4409" s="3" t="s">
        <v>10854</v>
      </c>
      <c r="E4409" s="3" t="s">
        <v>10853</v>
      </c>
      <c r="F4409" t="s">
        <v>11</v>
      </c>
      <c r="G4409" t="s">
        <v>19</v>
      </c>
      <c r="J4409" s="9" t="s">
        <v>25</v>
      </c>
      <c r="L4409" s="9">
        <v>1</v>
      </c>
      <c r="M4409" s="9">
        <v>3</v>
      </c>
      <c r="N4409" s="9" t="s">
        <v>12087</v>
      </c>
      <c r="O4409" s="9" t="s">
        <v>12079</v>
      </c>
      <c r="Q4409" s="10"/>
      <c r="S4409" s="9">
        <v>5676</v>
      </c>
      <c r="U4409" s="9" t="str">
        <f t="shared" ca="1" si="176"/>
        <v/>
      </c>
      <c r="V4409" s="9" t="str">
        <f t="shared" ca="1" si="177"/>
        <v/>
      </c>
    </row>
    <row r="4410" spans="1:33">
      <c r="A4410" s="3" t="s">
        <v>4255</v>
      </c>
      <c r="D4410" s="3" t="s">
        <v>4256</v>
      </c>
      <c r="E4410" s="3" t="s">
        <v>10855</v>
      </c>
      <c r="J4410" s="9" t="s">
        <v>12118</v>
      </c>
      <c r="Q4410" s="10"/>
      <c r="R4410" s="9" t="s">
        <v>12074</v>
      </c>
      <c r="T4410" s="9" t="s">
        <v>12131</v>
      </c>
      <c r="U4410" s="9" t="str">
        <f t="shared" ca="1" si="176"/>
        <v/>
      </c>
      <c r="V4410" s="9" t="str">
        <f t="shared" ca="1" si="177"/>
        <v/>
      </c>
      <c r="AE4410" s="9" t="s">
        <v>12077</v>
      </c>
    </row>
    <row r="4411" spans="1:33" ht="29">
      <c r="A4411" s="3" t="s">
        <v>4255</v>
      </c>
      <c r="D4411" s="3" t="s">
        <v>12565</v>
      </c>
      <c r="E4411" s="3" t="s">
        <v>10856</v>
      </c>
      <c r="F4411" t="s">
        <v>11</v>
      </c>
      <c r="G4411" t="s">
        <v>21</v>
      </c>
      <c r="J4411" s="9" t="s">
        <v>25</v>
      </c>
      <c r="L4411" s="9">
        <v>1</v>
      </c>
      <c r="M4411" s="9">
        <v>3</v>
      </c>
      <c r="N4411" s="9" t="s">
        <v>12087</v>
      </c>
      <c r="O4411" s="9" t="s">
        <v>12079</v>
      </c>
      <c r="Q4411" s="10"/>
      <c r="S4411" s="9">
        <v>309</v>
      </c>
      <c r="U4411" s="9" t="str">
        <f t="shared" ca="1" si="176"/>
        <v/>
      </c>
      <c r="V4411" s="9" t="str">
        <f t="shared" ca="1" si="177"/>
        <v/>
      </c>
    </row>
    <row r="4412" spans="1:33" ht="29">
      <c r="A4412" s="3" t="s">
        <v>4255</v>
      </c>
      <c r="D4412" s="3" t="s">
        <v>12566</v>
      </c>
      <c r="E4412" s="3" t="s">
        <v>12567</v>
      </c>
      <c r="F4412" t="s">
        <v>11</v>
      </c>
      <c r="I4412" t="s">
        <v>10857</v>
      </c>
      <c r="J4412" s="9" t="s">
        <v>12120</v>
      </c>
      <c r="Q4412" s="10"/>
      <c r="U4412" s="9" t="str">
        <f t="shared" ca="1" si="176"/>
        <v/>
      </c>
      <c r="V4412" s="9" t="str">
        <f t="shared" ca="1" si="177"/>
        <v/>
      </c>
      <c r="AC4412" s="9" t="s">
        <v>12130</v>
      </c>
      <c r="AD4412" s="9" t="s">
        <v>20</v>
      </c>
      <c r="AE4412" s="9" t="s">
        <v>12086</v>
      </c>
    </row>
    <row r="4413" spans="1:33">
      <c r="A4413" s="3" t="s">
        <v>4255</v>
      </c>
      <c r="D4413" s="3" t="s">
        <v>4258</v>
      </c>
      <c r="E4413" s="3" t="s">
        <v>4259</v>
      </c>
      <c r="J4413" s="9" t="s">
        <v>12118</v>
      </c>
      <c r="Q4413" s="10"/>
      <c r="T4413" s="9" t="s">
        <v>12131</v>
      </c>
      <c r="U4413" s="9" t="str">
        <f t="shared" ca="1" si="176"/>
        <v/>
      </c>
      <c r="V4413" s="9" t="str">
        <f t="shared" ca="1" si="177"/>
        <v/>
      </c>
      <c r="AC4413" s="9" t="s">
        <v>12744</v>
      </c>
      <c r="AD4413" s="9" t="s">
        <v>19</v>
      </c>
      <c r="AE4413" s="9" t="s">
        <v>12086</v>
      </c>
    </row>
    <row r="4414" spans="1:33" ht="29">
      <c r="A4414" s="3" t="s">
        <v>4260</v>
      </c>
      <c r="D4414" s="3" t="s">
        <v>10859</v>
      </c>
      <c r="E4414" s="3" t="s">
        <v>10858</v>
      </c>
      <c r="F4414" t="s">
        <v>11</v>
      </c>
      <c r="G4414" t="s">
        <v>19</v>
      </c>
      <c r="J4414" s="9" t="s">
        <v>12118</v>
      </c>
      <c r="Q4414" s="10"/>
      <c r="T4414" s="9">
        <f>21-54</f>
        <v>-33</v>
      </c>
      <c r="U4414" s="9">
        <f t="shared" ca="1" si="176"/>
        <v>54</v>
      </c>
      <c r="V4414" s="9">
        <f t="shared" ca="1" si="177"/>
        <v>21</v>
      </c>
    </row>
    <row r="4415" spans="1:33">
      <c r="A4415" s="3" t="s">
        <v>4260</v>
      </c>
      <c r="D4415" s="3" t="s">
        <v>4261</v>
      </c>
      <c r="E4415" s="3" t="s">
        <v>4170</v>
      </c>
      <c r="J4415" s="9" t="s">
        <v>12118</v>
      </c>
      <c r="Q4415" s="10"/>
      <c r="T4415" s="9" t="s">
        <v>12131</v>
      </c>
      <c r="U4415" s="9" t="str">
        <f t="shared" ca="1" si="176"/>
        <v/>
      </c>
      <c r="V4415" s="9" t="str">
        <f t="shared" ca="1" si="177"/>
        <v/>
      </c>
      <c r="AB4415" s="9" t="s">
        <v>12124</v>
      </c>
      <c r="AD4415" s="9" t="s">
        <v>19</v>
      </c>
    </row>
    <row r="4416" spans="1:33">
      <c r="A4416" s="3" t="s">
        <v>4262</v>
      </c>
      <c r="D4416" s="3" t="s">
        <v>10861</v>
      </c>
      <c r="E4416" s="3" t="s">
        <v>10860</v>
      </c>
      <c r="J4416" s="9" t="s">
        <v>12118</v>
      </c>
      <c r="Q4416" s="10"/>
      <c r="T4416" s="9">
        <f>4240-11843</f>
        <v>-7603</v>
      </c>
      <c r="U4416" s="9">
        <f t="shared" ca="1" si="176"/>
        <v>11843</v>
      </c>
      <c r="V4416" s="9">
        <f t="shared" ca="1" si="177"/>
        <v>4240</v>
      </c>
      <c r="AG4416" s="9" t="s">
        <v>20</v>
      </c>
    </row>
    <row r="4417" spans="1:33">
      <c r="A4417" s="3" t="s">
        <v>4262</v>
      </c>
      <c r="D4417" s="3" t="s">
        <v>10863</v>
      </c>
      <c r="E4417" s="3" t="s">
        <v>10862</v>
      </c>
      <c r="J4417" s="9" t="s">
        <v>12120</v>
      </c>
      <c r="Q4417" s="10"/>
      <c r="U4417" s="9" t="str">
        <f t="shared" ca="1" si="176"/>
        <v/>
      </c>
      <c r="V4417" s="9" t="str">
        <f t="shared" ca="1" si="177"/>
        <v/>
      </c>
      <c r="AE4417" s="9" t="s">
        <v>12083</v>
      </c>
    </row>
    <row r="4418" spans="1:33">
      <c r="A4418" s="3" t="s">
        <v>4263</v>
      </c>
      <c r="D4418" s="3" t="s">
        <v>10864</v>
      </c>
      <c r="E4418" s="3" t="s">
        <v>10865</v>
      </c>
      <c r="F4418" t="s">
        <v>11</v>
      </c>
      <c r="J4418" s="9" t="s">
        <v>12118</v>
      </c>
      <c r="Q4418" s="10"/>
      <c r="T4418" s="9">
        <f>5-0</f>
        <v>5</v>
      </c>
      <c r="U4418" s="9">
        <f t="shared" ca="1" si="176"/>
        <v>0</v>
      </c>
      <c r="V4418" s="9">
        <f t="shared" ca="1" si="177"/>
        <v>5</v>
      </c>
      <c r="AC4418" s="9" t="s">
        <v>12188</v>
      </c>
      <c r="AD4418" s="9" t="s">
        <v>19</v>
      </c>
      <c r="AE4418" s="9" t="s">
        <v>12089</v>
      </c>
    </row>
    <row r="4419" spans="1:33">
      <c r="A4419" s="3" t="s">
        <v>4263</v>
      </c>
      <c r="D4419" s="3" t="s">
        <v>10866</v>
      </c>
      <c r="E4419" s="3" t="s">
        <v>10867</v>
      </c>
      <c r="J4419" s="9" t="s">
        <v>12120</v>
      </c>
      <c r="Q4419" s="10"/>
      <c r="U4419" s="9" t="str">
        <f t="shared" ca="1" si="176"/>
        <v/>
      </c>
      <c r="V4419" s="9" t="str">
        <f t="shared" ca="1" si="177"/>
        <v/>
      </c>
      <c r="AG4419" s="9" t="s">
        <v>20</v>
      </c>
    </row>
    <row r="4420" spans="1:33" ht="58">
      <c r="A4420" s="3" t="s">
        <v>4264</v>
      </c>
      <c r="D4420" s="3" t="s">
        <v>10868</v>
      </c>
      <c r="E4420" s="3" t="s">
        <v>10869</v>
      </c>
      <c r="I4420" t="s">
        <v>12568</v>
      </c>
      <c r="J4420" s="9" t="s">
        <v>25</v>
      </c>
      <c r="L4420" s="9">
        <v>5</v>
      </c>
      <c r="M4420" s="9">
        <v>31</v>
      </c>
      <c r="O4420" s="9" t="s">
        <v>12073</v>
      </c>
      <c r="P4420" s="9" t="s">
        <v>12140</v>
      </c>
      <c r="Q4420" s="10" t="s">
        <v>12136</v>
      </c>
      <c r="S4420" s="9">
        <v>0</v>
      </c>
      <c r="U4420" s="9" t="str">
        <f t="shared" ca="1" si="176"/>
        <v/>
      </c>
      <c r="V4420" s="9" t="str">
        <f t="shared" ca="1" si="177"/>
        <v/>
      </c>
      <c r="AG4420" s="9" t="s">
        <v>19</v>
      </c>
    </row>
    <row r="4421" spans="1:33">
      <c r="A4421" s="3" t="s">
        <v>4264</v>
      </c>
      <c r="D4421" s="3" t="s">
        <v>10870</v>
      </c>
      <c r="E4421" s="3" t="s">
        <v>10871</v>
      </c>
      <c r="G4421" t="s">
        <v>19</v>
      </c>
      <c r="J4421" s="9" t="s">
        <v>12120</v>
      </c>
      <c r="Q4421" s="10"/>
      <c r="U4421" s="9" t="str">
        <f t="shared" ca="1" si="176"/>
        <v/>
      </c>
      <c r="V4421" s="9" t="str">
        <f t="shared" ca="1" si="177"/>
        <v/>
      </c>
    </row>
    <row r="4422" spans="1:33">
      <c r="A4422" s="3" t="s">
        <v>4265</v>
      </c>
      <c r="D4422" s="3" t="s">
        <v>10874</v>
      </c>
      <c r="E4422" s="3" t="s">
        <v>10873</v>
      </c>
      <c r="J4422" s="9" t="s">
        <v>12120</v>
      </c>
      <c r="Q4422" s="10"/>
      <c r="U4422" s="9" t="str">
        <f t="shared" ca="1" si="176"/>
        <v/>
      </c>
      <c r="V4422" s="9" t="str">
        <f t="shared" ca="1" si="177"/>
        <v/>
      </c>
      <c r="AB4422" s="9" t="s">
        <v>12082</v>
      </c>
      <c r="AD4422" s="9" t="s">
        <v>19</v>
      </c>
    </row>
    <row r="4423" spans="1:33">
      <c r="A4423" s="3" t="s">
        <v>4265</v>
      </c>
      <c r="D4423" s="3" t="s">
        <v>10872</v>
      </c>
      <c r="E4423" s="3" t="s">
        <v>10875</v>
      </c>
      <c r="J4423" s="9" t="s">
        <v>24</v>
      </c>
      <c r="L4423" s="9">
        <v>1</v>
      </c>
      <c r="M4423" s="9">
        <v>3</v>
      </c>
      <c r="N4423" s="9" t="s">
        <v>12078</v>
      </c>
      <c r="O4423" s="9" t="s">
        <v>12079</v>
      </c>
      <c r="Q4423" s="10"/>
      <c r="S4423" s="9">
        <v>11843</v>
      </c>
      <c r="U4423" s="9" t="str">
        <f t="shared" ca="1" si="176"/>
        <v/>
      </c>
      <c r="V4423" s="9" t="str">
        <f t="shared" ca="1" si="177"/>
        <v/>
      </c>
      <c r="AG4423" s="9" t="s">
        <v>19</v>
      </c>
    </row>
    <row r="4424" spans="1:33" ht="29">
      <c r="A4424" s="3" t="s">
        <v>4265</v>
      </c>
      <c r="D4424" s="3" t="s">
        <v>10876</v>
      </c>
      <c r="E4424" s="3" t="s">
        <v>10877</v>
      </c>
      <c r="G4424" t="s">
        <v>19</v>
      </c>
      <c r="J4424" s="9" t="s">
        <v>12118</v>
      </c>
      <c r="Q4424" s="10"/>
      <c r="T4424" s="9" t="s">
        <v>12131</v>
      </c>
      <c r="U4424" s="9" t="str">
        <f t="shared" ca="1" si="176"/>
        <v/>
      </c>
      <c r="V4424" s="9" t="str">
        <f t="shared" ca="1" si="177"/>
        <v/>
      </c>
      <c r="AE4424" s="9" t="s">
        <v>12086</v>
      </c>
    </row>
    <row r="4425" spans="1:33">
      <c r="A4425" s="3" t="s">
        <v>4266</v>
      </c>
      <c r="D4425" s="3" t="s">
        <v>10878</v>
      </c>
      <c r="E4425" s="3" t="s">
        <v>10879</v>
      </c>
      <c r="F4425" t="s">
        <v>11</v>
      </c>
      <c r="G4425" t="s">
        <v>19</v>
      </c>
      <c r="J4425" s="9" t="s">
        <v>12120</v>
      </c>
      <c r="Q4425" s="10"/>
      <c r="U4425" s="9" t="str">
        <f t="shared" ca="1" si="176"/>
        <v/>
      </c>
      <c r="V4425" s="9" t="str">
        <f t="shared" ca="1" si="177"/>
        <v/>
      </c>
      <c r="AC4425" s="9" t="s">
        <v>12153</v>
      </c>
      <c r="AD4425" s="9" t="s">
        <v>19</v>
      </c>
      <c r="AE4425" s="9" t="s">
        <v>12086</v>
      </c>
    </row>
    <row r="4426" spans="1:33" ht="29">
      <c r="A4426" s="3" t="s">
        <v>4267</v>
      </c>
      <c r="D4426" s="3" t="s">
        <v>10880</v>
      </c>
      <c r="E4426" s="3" t="s">
        <v>10881</v>
      </c>
      <c r="J4426" s="9" t="s">
        <v>12118</v>
      </c>
      <c r="Q4426" s="10"/>
      <c r="T4426" s="9">
        <f>128-15</f>
        <v>113</v>
      </c>
      <c r="U4426" s="9">
        <f t="shared" ca="1" si="176"/>
        <v>15</v>
      </c>
      <c r="V4426" s="9">
        <f t="shared" ca="1" si="177"/>
        <v>128</v>
      </c>
      <c r="AG4426" s="9" t="s">
        <v>20</v>
      </c>
    </row>
    <row r="4427" spans="1:33" ht="29">
      <c r="A4427" s="3" t="s">
        <v>4267</v>
      </c>
      <c r="D4427" s="3" t="s">
        <v>10883</v>
      </c>
      <c r="E4427" s="3" t="s">
        <v>10882</v>
      </c>
      <c r="J4427" s="9" t="s">
        <v>12118</v>
      </c>
      <c r="Q4427" s="10"/>
      <c r="T4427" s="9">
        <f>32-4</f>
        <v>28</v>
      </c>
      <c r="U4427" s="9">
        <f t="shared" ca="1" si="176"/>
        <v>4</v>
      </c>
      <c r="V4427" s="9">
        <f t="shared" ca="1" si="177"/>
        <v>32</v>
      </c>
      <c r="AG4427" s="9" t="s">
        <v>19</v>
      </c>
    </row>
    <row r="4428" spans="1:33" ht="29">
      <c r="A4428" s="3" t="s">
        <v>4267</v>
      </c>
      <c r="D4428" s="3" t="s">
        <v>10884</v>
      </c>
      <c r="E4428" s="3" t="s">
        <v>10885</v>
      </c>
      <c r="J4428" s="9" t="s">
        <v>12120</v>
      </c>
      <c r="Q4428" s="10"/>
      <c r="U4428" s="9" t="str">
        <f t="shared" ca="1" si="176"/>
        <v/>
      </c>
      <c r="V4428" s="9" t="str">
        <f t="shared" ca="1" si="177"/>
        <v/>
      </c>
      <c r="AB4428" s="9" t="s">
        <v>12738</v>
      </c>
      <c r="AD4428" s="9" t="s">
        <v>19</v>
      </c>
    </row>
    <row r="4429" spans="1:33" ht="29">
      <c r="A4429" s="3" t="s">
        <v>4267</v>
      </c>
      <c r="D4429" s="3" t="s">
        <v>10886</v>
      </c>
      <c r="E4429" s="3" t="s">
        <v>10887</v>
      </c>
      <c r="G4429" t="s">
        <v>19</v>
      </c>
      <c r="J4429" s="9" t="s">
        <v>12118</v>
      </c>
      <c r="Q4429" s="10"/>
      <c r="T4429" s="9">
        <f>5676-11843</f>
        <v>-6167</v>
      </c>
      <c r="U4429" s="9">
        <f t="shared" ref="U4429:U4492" ca="1" si="180">IF(ISNUMBER(T4429),VALUE(MID(_xlfn.FORMULATEXT(T4429),SEARCH("-",_xlfn.FORMULATEXT(T4429))+1,LEN(_xlfn.FORMULATEXT(T4429))-SEARCH("-",_xlfn.FORMULATEXT(T4429)))), "")</f>
        <v>11843</v>
      </c>
      <c r="V4429" s="9">
        <f t="shared" ref="V4429:V4492" ca="1" si="181">IF(ISNUMBER(T4429), VALUE(MID(_xlfn.FORMULATEXT(T4429), 2, SEARCH("-", _xlfn.FORMULATEXT(T4429)) - 2)), "")</f>
        <v>5676</v>
      </c>
    </row>
    <row r="4430" spans="1:33" ht="29">
      <c r="A4430" s="3" t="s">
        <v>4267</v>
      </c>
      <c r="D4430" s="3" t="s">
        <v>10888</v>
      </c>
      <c r="E4430" s="3" t="s">
        <v>10889</v>
      </c>
      <c r="J4430" s="9" t="s">
        <v>12118</v>
      </c>
      <c r="Q4430" s="10"/>
      <c r="T4430" s="9" t="s">
        <v>12131</v>
      </c>
      <c r="U4430" s="9" t="str">
        <f t="shared" ca="1" si="180"/>
        <v/>
      </c>
      <c r="V4430" s="9" t="str">
        <f t="shared" ca="1" si="181"/>
        <v/>
      </c>
      <c r="AB4430" s="9" t="s">
        <v>12124</v>
      </c>
      <c r="AC4430" s="9" t="s">
        <v>12740</v>
      </c>
      <c r="AD4430" s="9" t="s">
        <v>19</v>
      </c>
    </row>
    <row r="4431" spans="1:33">
      <c r="A4431" s="3" t="s">
        <v>4268</v>
      </c>
      <c r="D4431" s="3" t="s">
        <v>10891</v>
      </c>
      <c r="E4431" s="3" t="s">
        <v>10890</v>
      </c>
      <c r="G4431" t="s">
        <v>21</v>
      </c>
      <c r="I4431" t="s">
        <v>10892</v>
      </c>
      <c r="J4431" s="9" t="s">
        <v>24</v>
      </c>
      <c r="L4431" s="9">
        <v>1</v>
      </c>
      <c r="M4431" s="9">
        <v>2</v>
      </c>
      <c r="N4431" s="9" t="s">
        <v>12125</v>
      </c>
      <c r="O4431" s="9" t="s">
        <v>12119</v>
      </c>
      <c r="Q4431" s="10"/>
      <c r="S4431" s="9">
        <v>1565</v>
      </c>
      <c r="U4431" s="9" t="str">
        <f t="shared" ca="1" si="180"/>
        <v/>
      </c>
      <c r="V4431" s="9" t="str">
        <f t="shared" ca="1" si="181"/>
        <v/>
      </c>
    </row>
    <row r="4432" spans="1:33">
      <c r="A4432" s="3" t="s">
        <v>4268</v>
      </c>
      <c r="D4432" s="3" t="s">
        <v>10893</v>
      </c>
      <c r="E4432" s="3" t="s">
        <v>10894</v>
      </c>
      <c r="J4432" s="9" t="s">
        <v>24</v>
      </c>
      <c r="L4432" s="9">
        <v>1</v>
      </c>
      <c r="M4432" s="9">
        <v>1</v>
      </c>
      <c r="N4432" s="9" t="s">
        <v>12078</v>
      </c>
      <c r="O4432" s="9" t="s">
        <v>12119</v>
      </c>
      <c r="Q4432" s="10"/>
      <c r="S4432" s="9">
        <v>11843</v>
      </c>
      <c r="U4432" s="9" t="str">
        <f t="shared" ca="1" si="180"/>
        <v/>
      </c>
      <c r="V4432" s="9" t="str">
        <f t="shared" ca="1" si="181"/>
        <v/>
      </c>
      <c r="AG4432" s="9" t="s">
        <v>19</v>
      </c>
    </row>
    <row r="4433" spans="1:33">
      <c r="A4433" s="3" t="s">
        <v>4268</v>
      </c>
      <c r="D4433" s="3" t="s">
        <v>10896</v>
      </c>
      <c r="E4433" s="3" t="s">
        <v>10895</v>
      </c>
      <c r="G4433" t="s">
        <v>19</v>
      </c>
      <c r="J4433" s="9" t="s">
        <v>12118</v>
      </c>
      <c r="Q4433" s="10"/>
      <c r="T4433" s="9">
        <f>11843-5676</f>
        <v>6167</v>
      </c>
      <c r="U4433" s="9">
        <f t="shared" ca="1" si="180"/>
        <v>5676</v>
      </c>
      <c r="V4433" s="9">
        <f t="shared" ca="1" si="181"/>
        <v>11843</v>
      </c>
    </row>
    <row r="4434" spans="1:33" ht="29">
      <c r="A4434" s="3" t="s">
        <v>4269</v>
      </c>
      <c r="D4434" s="3" t="s">
        <v>12943</v>
      </c>
      <c r="E4434" s="3" t="s">
        <v>10897</v>
      </c>
      <c r="F4434" t="s">
        <v>11</v>
      </c>
      <c r="Q4434" s="10"/>
      <c r="U4434" s="9" t="str">
        <f t="shared" ca="1" si="180"/>
        <v/>
      </c>
      <c r="V4434" s="9" t="str">
        <f t="shared" ca="1" si="181"/>
        <v/>
      </c>
    </row>
    <row r="4435" spans="1:33" ht="29">
      <c r="A4435" s="3" t="s">
        <v>4269</v>
      </c>
      <c r="D4435" s="3" t="s">
        <v>12944</v>
      </c>
      <c r="E4435" s="3" t="s">
        <v>10898</v>
      </c>
      <c r="F4435" t="s">
        <v>11</v>
      </c>
      <c r="Q4435" s="10"/>
      <c r="U4435" s="9" t="str">
        <f t="shared" ca="1" si="180"/>
        <v/>
      </c>
      <c r="V4435" s="9" t="str">
        <f t="shared" ca="1" si="181"/>
        <v/>
      </c>
    </row>
    <row r="4436" spans="1:33" ht="29">
      <c r="A4436" s="3" t="s">
        <v>4270</v>
      </c>
      <c r="D4436" s="3" t="s">
        <v>10900</v>
      </c>
      <c r="E4436" s="3" t="s">
        <v>10899</v>
      </c>
      <c r="F4436" t="s">
        <v>4774</v>
      </c>
      <c r="G4436" t="s">
        <v>20</v>
      </c>
      <c r="I4436" t="s">
        <v>10901</v>
      </c>
      <c r="Q4436" s="10"/>
      <c r="U4436" s="9" t="str">
        <f t="shared" ca="1" si="180"/>
        <v/>
      </c>
      <c r="V4436" s="9" t="str">
        <f t="shared" ca="1" si="181"/>
        <v/>
      </c>
    </row>
    <row r="4437" spans="1:33">
      <c r="A4437" s="3" t="s">
        <v>4270</v>
      </c>
      <c r="D4437" s="3" t="s">
        <v>4271</v>
      </c>
      <c r="E4437" s="3" t="s">
        <v>4272</v>
      </c>
      <c r="J4437" s="9" t="s">
        <v>12118</v>
      </c>
      <c r="Q4437" s="10"/>
      <c r="T4437" s="9" t="s">
        <v>12131</v>
      </c>
      <c r="U4437" s="9" t="str">
        <f t="shared" ca="1" si="180"/>
        <v/>
      </c>
      <c r="V4437" s="9" t="str">
        <f t="shared" ca="1" si="181"/>
        <v/>
      </c>
      <c r="AB4437" s="9" t="s">
        <v>12124</v>
      </c>
      <c r="AC4437" s="9" t="s">
        <v>12134</v>
      </c>
      <c r="AD4437" s="9" t="s">
        <v>19</v>
      </c>
    </row>
    <row r="4438" spans="1:33">
      <c r="A4438" s="3" t="s">
        <v>4270</v>
      </c>
      <c r="D4438" s="3" t="s">
        <v>10902</v>
      </c>
      <c r="E4438" s="3" t="s">
        <v>10903</v>
      </c>
      <c r="J4438" s="9" t="s">
        <v>24</v>
      </c>
      <c r="L4438" s="9">
        <v>1</v>
      </c>
      <c r="M4438" s="9">
        <v>2</v>
      </c>
      <c r="N4438" s="9" t="s">
        <v>12087</v>
      </c>
      <c r="O4438" s="9" t="s">
        <v>12119</v>
      </c>
      <c r="Q4438" s="10"/>
      <c r="S4438" s="9">
        <v>166</v>
      </c>
      <c r="U4438" s="9" t="str">
        <f t="shared" ca="1" si="180"/>
        <v/>
      </c>
      <c r="V4438" s="9" t="str">
        <f t="shared" ca="1" si="181"/>
        <v/>
      </c>
      <c r="AG4438" s="9" t="s">
        <v>19</v>
      </c>
    </row>
    <row r="4439" spans="1:33">
      <c r="A4439" s="3" t="s">
        <v>4270</v>
      </c>
      <c r="D4439" s="3" t="s">
        <v>10905</v>
      </c>
      <c r="E4439" s="3" t="s">
        <v>10904</v>
      </c>
      <c r="J4439" s="9" t="s">
        <v>24</v>
      </c>
      <c r="L4439" s="9">
        <v>1</v>
      </c>
      <c r="M4439" s="9">
        <v>3</v>
      </c>
      <c r="N4439" s="9" t="s">
        <v>12078</v>
      </c>
      <c r="O4439" s="9" t="s">
        <v>12079</v>
      </c>
      <c r="Q4439" s="10"/>
      <c r="S4439" s="9">
        <v>11843</v>
      </c>
      <c r="U4439" s="9" t="str">
        <f t="shared" ca="1" si="180"/>
        <v/>
      </c>
      <c r="V4439" s="9" t="str">
        <f t="shared" ca="1" si="181"/>
        <v/>
      </c>
      <c r="AG4439" s="9" t="s">
        <v>19</v>
      </c>
    </row>
    <row r="4440" spans="1:33">
      <c r="A4440" s="3" t="s">
        <v>4273</v>
      </c>
      <c r="D4440" s="3" t="s">
        <v>4274</v>
      </c>
      <c r="E4440" s="3" t="s">
        <v>4275</v>
      </c>
      <c r="J4440" s="9" t="s">
        <v>12118</v>
      </c>
      <c r="Q4440" s="10"/>
      <c r="T4440" s="9" t="s">
        <v>12131</v>
      </c>
      <c r="U4440" s="9" t="str">
        <f t="shared" ca="1" si="180"/>
        <v/>
      </c>
      <c r="V4440" s="9" t="str">
        <f t="shared" ca="1" si="181"/>
        <v/>
      </c>
      <c r="AB4440" s="9" t="s">
        <v>12124</v>
      </c>
      <c r="AC4440" s="9" t="s">
        <v>12130</v>
      </c>
      <c r="AD4440" s="9" t="s">
        <v>19</v>
      </c>
    </row>
    <row r="4441" spans="1:33">
      <c r="A4441" s="3" t="s">
        <v>4273</v>
      </c>
      <c r="D4441" s="3" t="s">
        <v>10906</v>
      </c>
      <c r="E4441" s="3" t="s">
        <v>10907</v>
      </c>
      <c r="F4441" t="s">
        <v>11</v>
      </c>
      <c r="J4441" s="9" t="s">
        <v>12118</v>
      </c>
      <c r="Q4441" s="10"/>
      <c r="T4441" s="9" t="s">
        <v>12131</v>
      </c>
      <c r="U4441" s="9" t="str">
        <f t="shared" ca="1" si="180"/>
        <v/>
      </c>
      <c r="V4441" s="9" t="str">
        <f t="shared" ca="1" si="181"/>
        <v/>
      </c>
      <c r="AE4441" s="9" t="s">
        <v>12089</v>
      </c>
    </row>
    <row r="4442" spans="1:33">
      <c r="A4442" s="3" t="s">
        <v>4273</v>
      </c>
      <c r="D4442" s="3" t="s">
        <v>10908</v>
      </c>
      <c r="E4442" s="3" t="s">
        <v>10909</v>
      </c>
      <c r="J4442" s="9" t="s">
        <v>12118</v>
      </c>
      <c r="Q4442" s="10"/>
      <c r="T4442" s="9">
        <f>472-361</f>
        <v>111</v>
      </c>
      <c r="U4442" s="9">
        <f t="shared" ca="1" si="180"/>
        <v>361</v>
      </c>
      <c r="V4442" s="9">
        <f t="shared" ca="1" si="181"/>
        <v>472</v>
      </c>
      <c r="AG4442" s="9" t="s">
        <v>19</v>
      </c>
    </row>
    <row r="4443" spans="1:33">
      <c r="A4443" s="3" t="s">
        <v>4273</v>
      </c>
      <c r="D4443" s="3" t="s">
        <v>4276</v>
      </c>
      <c r="E4443" s="3" t="s">
        <v>4277</v>
      </c>
      <c r="F4443" t="s">
        <v>11</v>
      </c>
      <c r="J4443" s="9" t="s">
        <v>12121</v>
      </c>
      <c r="Q4443" s="10"/>
      <c r="T4443" s="9" t="s">
        <v>12131</v>
      </c>
      <c r="U4443" s="9" t="str">
        <f t="shared" ca="1" si="180"/>
        <v/>
      </c>
      <c r="V4443" s="9" t="str">
        <f t="shared" ca="1" si="181"/>
        <v/>
      </c>
      <c r="AC4443" s="9" t="s">
        <v>12258</v>
      </c>
      <c r="AD4443" s="9" t="s">
        <v>20</v>
      </c>
      <c r="AE4443" s="9" t="s">
        <v>12077</v>
      </c>
    </row>
    <row r="4444" spans="1:33" ht="43.5">
      <c r="A4444" s="3" t="s">
        <v>4278</v>
      </c>
      <c r="D4444" s="3" t="s">
        <v>10910</v>
      </c>
      <c r="E4444" s="3" t="s">
        <v>10911</v>
      </c>
      <c r="F4444" t="s">
        <v>11</v>
      </c>
      <c r="G4444" t="s">
        <v>19</v>
      </c>
      <c r="Q4444" s="10"/>
      <c r="U4444" s="9" t="str">
        <f t="shared" ca="1" si="180"/>
        <v/>
      </c>
      <c r="V4444" s="9" t="str">
        <f t="shared" ca="1" si="181"/>
        <v/>
      </c>
    </row>
    <row r="4445" spans="1:33">
      <c r="A4445" s="3" t="s">
        <v>4278</v>
      </c>
      <c r="D4445" s="3" t="s">
        <v>4279</v>
      </c>
      <c r="E4445" s="3" t="s">
        <v>4280</v>
      </c>
      <c r="J4445" s="9" t="s">
        <v>12118</v>
      </c>
      <c r="Q4445" s="10"/>
      <c r="T4445" s="9" t="s">
        <v>12131</v>
      </c>
      <c r="U4445" s="9" t="str">
        <f t="shared" ca="1" si="180"/>
        <v/>
      </c>
      <c r="V4445" s="9" t="str">
        <f t="shared" ca="1" si="181"/>
        <v/>
      </c>
      <c r="AC4445" s="9" t="s">
        <v>12740</v>
      </c>
      <c r="AD4445" s="9" t="s">
        <v>19</v>
      </c>
      <c r="AE4445" s="9" t="s">
        <v>12086</v>
      </c>
    </row>
    <row r="4446" spans="1:33">
      <c r="A4446" s="3" t="s">
        <v>4278</v>
      </c>
      <c r="D4446" s="3" t="s">
        <v>10912</v>
      </c>
      <c r="E4446" s="3" t="s">
        <v>10913</v>
      </c>
      <c r="J4446" s="9" t="s">
        <v>12118</v>
      </c>
      <c r="Q4446" s="10"/>
      <c r="T4446" s="9">
        <f>2-6</f>
        <v>-4</v>
      </c>
      <c r="U4446" s="9">
        <f t="shared" ca="1" si="180"/>
        <v>6</v>
      </c>
      <c r="V4446" s="9">
        <f t="shared" ca="1" si="181"/>
        <v>2</v>
      </c>
      <c r="AG4446" s="9" t="s">
        <v>20</v>
      </c>
    </row>
    <row r="4447" spans="1:33" ht="29">
      <c r="A4447" s="3" t="s">
        <v>4278</v>
      </c>
      <c r="D4447" s="3" t="s">
        <v>10915</v>
      </c>
      <c r="E4447" s="3" t="s">
        <v>10914</v>
      </c>
      <c r="J4447" s="9" t="s">
        <v>24</v>
      </c>
      <c r="L4447" s="9">
        <v>1</v>
      </c>
      <c r="M4447" s="9">
        <v>10</v>
      </c>
      <c r="N4447" s="9" t="s">
        <v>12098</v>
      </c>
      <c r="O4447" s="9" t="s">
        <v>12073</v>
      </c>
      <c r="P4447" s="9" t="s">
        <v>12203</v>
      </c>
      <c r="Q4447" s="10" t="s">
        <v>12569</v>
      </c>
      <c r="R4447" s="9" t="s">
        <v>12074</v>
      </c>
      <c r="S4447" s="9">
        <v>93</v>
      </c>
      <c r="U4447" s="9" t="str">
        <f t="shared" ca="1" si="180"/>
        <v/>
      </c>
      <c r="V4447" s="9" t="str">
        <f t="shared" ca="1" si="181"/>
        <v/>
      </c>
      <c r="AE4447" s="9" t="s">
        <v>12083</v>
      </c>
    </row>
    <row r="4448" spans="1:33">
      <c r="A4448" s="3" t="s">
        <v>4282</v>
      </c>
      <c r="D4448" s="3" t="s">
        <v>10917</v>
      </c>
      <c r="E4448" s="3" t="s">
        <v>10916</v>
      </c>
      <c r="G4448" t="s">
        <v>19</v>
      </c>
      <c r="J4448" s="9" t="s">
        <v>25</v>
      </c>
      <c r="L4448" s="9">
        <v>1</v>
      </c>
      <c r="M4448" s="9">
        <v>3</v>
      </c>
      <c r="N4448" s="9" t="s">
        <v>12087</v>
      </c>
      <c r="O4448" s="9" t="s">
        <v>12079</v>
      </c>
      <c r="Q4448" s="10"/>
      <c r="S4448" s="9">
        <v>5676</v>
      </c>
      <c r="U4448" s="9" t="str">
        <f t="shared" ca="1" si="180"/>
        <v/>
      </c>
      <c r="V4448" s="9" t="str">
        <f t="shared" ca="1" si="181"/>
        <v/>
      </c>
    </row>
    <row r="4449" spans="1:33">
      <c r="A4449" s="3" t="s">
        <v>4283</v>
      </c>
      <c r="D4449" s="3" t="s">
        <v>10919</v>
      </c>
      <c r="E4449" s="3" t="s">
        <v>10918</v>
      </c>
      <c r="F4449" t="s">
        <v>11</v>
      </c>
      <c r="G4449" t="s">
        <v>19</v>
      </c>
      <c r="J4449" s="15"/>
      <c r="K4449" s="15"/>
      <c r="L4449" s="15"/>
      <c r="M4449" s="15"/>
      <c r="N4449" s="15"/>
      <c r="O4449" s="15"/>
      <c r="P4449" s="15"/>
      <c r="Q4449" s="16"/>
      <c r="R4449" s="15"/>
      <c r="S4449" s="15"/>
      <c r="T4449" s="15"/>
      <c r="U4449" s="15" t="str">
        <f t="shared" ca="1" si="180"/>
        <v/>
      </c>
      <c r="V4449" s="15" t="str">
        <f t="shared" ca="1" si="181"/>
        <v/>
      </c>
      <c r="W4449" s="15"/>
      <c r="X4449" s="15"/>
      <c r="Y4449" s="15"/>
      <c r="Z4449" s="15"/>
      <c r="AA4449" s="15"/>
      <c r="AB4449" s="15"/>
      <c r="AC4449" s="15"/>
      <c r="AD4449" s="15"/>
      <c r="AE4449" s="15"/>
      <c r="AF4449" s="15"/>
      <c r="AG4449" s="15"/>
    </row>
    <row r="4450" spans="1:33" ht="43.5">
      <c r="A4450" s="3" t="s">
        <v>4283</v>
      </c>
      <c r="D4450" s="3" t="s">
        <v>10920</v>
      </c>
      <c r="E4450" s="3" t="s">
        <v>10921</v>
      </c>
      <c r="J4450" s="9" t="s">
        <v>12120</v>
      </c>
      <c r="Q4450" s="10"/>
      <c r="U4450" s="9" t="str">
        <f t="shared" ca="1" si="180"/>
        <v/>
      </c>
      <c r="V4450" s="9" t="str">
        <f t="shared" ca="1" si="181"/>
        <v/>
      </c>
      <c r="AG4450" s="9" t="s">
        <v>20</v>
      </c>
    </row>
    <row r="4451" spans="1:33" ht="43.5">
      <c r="A4451" s="3" t="s">
        <v>4283</v>
      </c>
      <c r="D4451" s="3" t="s">
        <v>10923</v>
      </c>
      <c r="E4451" s="3" t="s">
        <v>10922</v>
      </c>
      <c r="G4451" t="s">
        <v>20</v>
      </c>
      <c r="I4451" t="s">
        <v>9925</v>
      </c>
      <c r="Q4451" s="10"/>
      <c r="U4451" s="9" t="str">
        <f t="shared" ca="1" si="180"/>
        <v/>
      </c>
      <c r="V4451" s="9" t="str">
        <f t="shared" ca="1" si="181"/>
        <v/>
      </c>
    </row>
    <row r="4452" spans="1:33">
      <c r="A4452" s="3" t="s">
        <v>4285</v>
      </c>
      <c r="D4452" s="3" t="s">
        <v>4286</v>
      </c>
      <c r="E4452" s="3" t="s">
        <v>4287</v>
      </c>
      <c r="F4452" t="s">
        <v>11</v>
      </c>
      <c r="J4452" s="9" t="s">
        <v>12120</v>
      </c>
      <c r="Q4452" s="10"/>
      <c r="U4452" s="9" t="str">
        <f t="shared" ca="1" si="180"/>
        <v/>
      </c>
      <c r="V4452" s="9" t="str">
        <f t="shared" ca="1" si="181"/>
        <v/>
      </c>
    </row>
    <row r="4453" spans="1:33" ht="29">
      <c r="A4453" s="3" t="s">
        <v>4288</v>
      </c>
      <c r="D4453" s="3" t="s">
        <v>10924</v>
      </c>
      <c r="E4453" s="3" t="s">
        <v>10925</v>
      </c>
      <c r="G4453" t="s">
        <v>19</v>
      </c>
      <c r="J4453" s="9" t="s">
        <v>24</v>
      </c>
      <c r="L4453" s="9">
        <v>1</v>
      </c>
      <c r="M4453" s="9">
        <v>5</v>
      </c>
      <c r="N4453" s="9" t="s">
        <v>12072</v>
      </c>
      <c r="O4453" s="9" t="s">
        <v>12079</v>
      </c>
      <c r="Q4453" s="10"/>
      <c r="S4453" s="9">
        <v>591</v>
      </c>
      <c r="U4453" s="9" t="str">
        <f t="shared" ca="1" si="180"/>
        <v/>
      </c>
      <c r="V4453" s="9" t="str">
        <f t="shared" ca="1" si="181"/>
        <v/>
      </c>
    </row>
    <row r="4454" spans="1:33" ht="29">
      <c r="A4454" s="3" t="s">
        <v>4288</v>
      </c>
      <c r="D4454" s="3" t="s">
        <v>10927</v>
      </c>
      <c r="E4454" s="3" t="s">
        <v>10926</v>
      </c>
      <c r="J4454" s="9" t="s">
        <v>12120</v>
      </c>
      <c r="Q4454" s="10"/>
      <c r="U4454" s="9" t="str">
        <f t="shared" ca="1" si="180"/>
        <v/>
      </c>
      <c r="V4454" s="9" t="str">
        <f t="shared" ca="1" si="181"/>
        <v/>
      </c>
      <c r="AE4454" s="9" t="s">
        <v>12089</v>
      </c>
    </row>
    <row r="4455" spans="1:33">
      <c r="A4455" s="3" t="s">
        <v>4288</v>
      </c>
      <c r="D4455" s="3" t="s">
        <v>4289</v>
      </c>
      <c r="E4455" s="3" t="s">
        <v>4290</v>
      </c>
      <c r="J4455" s="9" t="s">
        <v>12118</v>
      </c>
      <c r="Q4455" s="10"/>
      <c r="T4455" s="9" t="s">
        <v>12131</v>
      </c>
      <c r="U4455" s="9" t="str">
        <f t="shared" ca="1" si="180"/>
        <v/>
      </c>
      <c r="V4455" s="9" t="str">
        <f t="shared" ca="1" si="181"/>
        <v/>
      </c>
      <c r="AC4455" s="9" t="s">
        <v>12742</v>
      </c>
      <c r="AD4455" s="9" t="s">
        <v>19</v>
      </c>
      <c r="AE4455" s="9" t="s">
        <v>12086</v>
      </c>
    </row>
    <row r="4456" spans="1:33">
      <c r="A4456" s="3" t="s">
        <v>4288</v>
      </c>
      <c r="D4456" s="3" t="s">
        <v>10929</v>
      </c>
      <c r="E4456" s="3" t="s">
        <v>10928</v>
      </c>
      <c r="G4456" t="s">
        <v>19</v>
      </c>
      <c r="J4456" s="9" t="s">
        <v>25</v>
      </c>
      <c r="L4456" s="9">
        <v>1</v>
      </c>
      <c r="M4456" s="9">
        <v>5</v>
      </c>
      <c r="N4456" s="9" t="s">
        <v>12098</v>
      </c>
      <c r="O4456" s="9" t="s">
        <v>12073</v>
      </c>
      <c r="P4456" s="9" t="s">
        <v>12149</v>
      </c>
      <c r="Q4456" s="10" t="s">
        <v>12143</v>
      </c>
      <c r="S4456" s="9">
        <v>1565</v>
      </c>
      <c r="U4456" s="9" t="str">
        <f t="shared" ca="1" si="180"/>
        <v/>
      </c>
      <c r="V4456" s="9" t="str">
        <f t="shared" ca="1" si="181"/>
        <v/>
      </c>
    </row>
    <row r="4457" spans="1:33">
      <c r="A4457" s="3" t="s">
        <v>4291</v>
      </c>
      <c r="D4457" s="3" t="s">
        <v>10930</v>
      </c>
      <c r="E4457" s="3" t="s">
        <v>10930</v>
      </c>
      <c r="G4457" t="s">
        <v>20</v>
      </c>
      <c r="I4457" t="s">
        <v>10931</v>
      </c>
      <c r="Q4457" s="10"/>
      <c r="U4457" s="9" t="str">
        <f t="shared" ca="1" si="180"/>
        <v/>
      </c>
      <c r="V4457" s="9" t="str">
        <f t="shared" ca="1" si="181"/>
        <v/>
      </c>
    </row>
    <row r="4458" spans="1:33">
      <c r="A4458" s="3" t="s">
        <v>4291</v>
      </c>
      <c r="D4458" s="3" t="s">
        <v>563</v>
      </c>
      <c r="E4458" s="3" t="s">
        <v>143</v>
      </c>
      <c r="J4458" s="9" t="s">
        <v>12120</v>
      </c>
      <c r="Q4458" s="10"/>
      <c r="U4458" s="9" t="str">
        <f t="shared" ca="1" si="180"/>
        <v/>
      </c>
      <c r="V4458" s="9" t="str">
        <f t="shared" ca="1" si="181"/>
        <v/>
      </c>
      <c r="AG4458" s="9" t="s">
        <v>20</v>
      </c>
    </row>
    <row r="4459" spans="1:33" ht="58">
      <c r="A4459" s="3" t="s">
        <v>4292</v>
      </c>
      <c r="D4459" s="3" t="s">
        <v>10932</v>
      </c>
      <c r="E4459" s="3" t="s">
        <v>13070</v>
      </c>
      <c r="J4459" s="9" t="s">
        <v>12120</v>
      </c>
      <c r="Q4459" s="10"/>
      <c r="U4459" s="9" t="str">
        <f t="shared" ca="1" si="180"/>
        <v/>
      </c>
      <c r="V4459" s="9" t="str">
        <f t="shared" ca="1" si="181"/>
        <v/>
      </c>
      <c r="AG4459" s="9" t="s">
        <v>20</v>
      </c>
    </row>
    <row r="4460" spans="1:33" ht="58">
      <c r="A4460" s="3" t="s">
        <v>4292</v>
      </c>
      <c r="D4460" s="3" t="s">
        <v>10933</v>
      </c>
      <c r="E4460" s="3" t="s">
        <v>13068</v>
      </c>
      <c r="I4460" t="s">
        <v>12185</v>
      </c>
      <c r="J4460" s="9" t="s">
        <v>26</v>
      </c>
      <c r="Q4460" s="10"/>
      <c r="U4460" s="9" t="str">
        <f t="shared" ca="1" si="180"/>
        <v/>
      </c>
      <c r="V4460" s="9" t="str">
        <f t="shared" ca="1" si="181"/>
        <v/>
      </c>
      <c r="AG4460" s="9" t="s">
        <v>20</v>
      </c>
    </row>
    <row r="4461" spans="1:33" ht="58">
      <c r="A4461" s="3" t="s">
        <v>4292</v>
      </c>
      <c r="D4461" s="3" t="s">
        <v>10934</v>
      </c>
      <c r="E4461" s="3" t="s">
        <v>13069</v>
      </c>
      <c r="J4461" s="9" t="s">
        <v>12121</v>
      </c>
      <c r="Q4461" s="10"/>
      <c r="T4461" s="9">
        <f>5676-472</f>
        <v>5204</v>
      </c>
      <c r="U4461" s="9">
        <f t="shared" ca="1" si="180"/>
        <v>472</v>
      </c>
      <c r="V4461" s="9">
        <f t="shared" ca="1" si="181"/>
        <v>5676</v>
      </c>
      <c r="AG4461" s="9" t="s">
        <v>20</v>
      </c>
    </row>
    <row r="4462" spans="1:33">
      <c r="A4462" s="3" t="s">
        <v>4293</v>
      </c>
      <c r="D4462" s="3" t="s">
        <v>10936</v>
      </c>
      <c r="E4462" s="3" t="s">
        <v>10935</v>
      </c>
      <c r="J4462" s="9" t="s">
        <v>24</v>
      </c>
      <c r="L4462" s="9">
        <v>1</v>
      </c>
      <c r="M4462" s="9">
        <v>3</v>
      </c>
      <c r="N4462" s="9" t="s">
        <v>12078</v>
      </c>
      <c r="O4462" s="9" t="s">
        <v>12079</v>
      </c>
      <c r="Q4462" s="10"/>
      <c r="S4462" s="9">
        <v>11843</v>
      </c>
      <c r="U4462" s="9" t="str">
        <f t="shared" ca="1" si="180"/>
        <v/>
      </c>
      <c r="V4462" s="9" t="str">
        <f t="shared" ca="1" si="181"/>
        <v/>
      </c>
      <c r="AG4462" s="9" t="s">
        <v>19</v>
      </c>
    </row>
    <row r="4463" spans="1:33">
      <c r="A4463" s="3" t="s">
        <v>4293</v>
      </c>
      <c r="D4463" s="3" t="s">
        <v>117</v>
      </c>
      <c r="E4463" s="3" t="s">
        <v>118</v>
      </c>
      <c r="J4463" s="9" t="s">
        <v>12118</v>
      </c>
      <c r="Q4463" s="10"/>
      <c r="T4463" s="9" t="s">
        <v>12131</v>
      </c>
      <c r="U4463" s="9" t="str">
        <f t="shared" ca="1" si="180"/>
        <v/>
      </c>
      <c r="V4463" s="9" t="str">
        <f t="shared" ca="1" si="181"/>
        <v/>
      </c>
      <c r="AB4463" s="9" t="s">
        <v>12124</v>
      </c>
      <c r="AC4463" s="9" t="s">
        <v>12740</v>
      </c>
      <c r="AD4463" s="9" t="s">
        <v>19</v>
      </c>
    </row>
    <row r="4464" spans="1:33">
      <c r="A4464" s="3" t="s">
        <v>4294</v>
      </c>
      <c r="D4464" s="3" t="s">
        <v>4295</v>
      </c>
      <c r="E4464" s="3" t="s">
        <v>4296</v>
      </c>
      <c r="J4464" s="9" t="s">
        <v>12118</v>
      </c>
      <c r="Q4464" s="10"/>
      <c r="T4464" s="9" t="s">
        <v>12131</v>
      </c>
      <c r="U4464" s="9" t="str">
        <f t="shared" ca="1" si="180"/>
        <v/>
      </c>
      <c r="V4464" s="9" t="str">
        <f t="shared" ca="1" si="181"/>
        <v/>
      </c>
      <c r="AB4464" s="9" t="s">
        <v>12124</v>
      </c>
      <c r="AC4464" s="9" t="s">
        <v>12130</v>
      </c>
      <c r="AD4464" s="9" t="s">
        <v>19</v>
      </c>
    </row>
    <row r="4465" spans="1:33" ht="29">
      <c r="A4465" s="3" t="s">
        <v>4294</v>
      </c>
      <c r="D4465" s="3" t="s">
        <v>10939</v>
      </c>
      <c r="E4465" s="3" t="s">
        <v>10940</v>
      </c>
      <c r="J4465" s="9" t="s">
        <v>12120</v>
      </c>
      <c r="Q4465" s="10"/>
      <c r="U4465" s="9" t="str">
        <f t="shared" ca="1" si="180"/>
        <v/>
      </c>
      <c r="V4465" s="9" t="str">
        <f t="shared" ca="1" si="181"/>
        <v/>
      </c>
      <c r="AG4465" s="9" t="s">
        <v>19</v>
      </c>
    </row>
    <row r="4466" spans="1:33" ht="29">
      <c r="A4466" s="3" t="s">
        <v>4294</v>
      </c>
      <c r="D4466" s="3" t="s">
        <v>10938</v>
      </c>
      <c r="E4466" s="3" t="s">
        <v>10937</v>
      </c>
      <c r="J4466" s="9" t="s">
        <v>12118</v>
      </c>
      <c r="Q4466" s="10"/>
      <c r="T4466" s="9">
        <f>280-2</f>
        <v>278</v>
      </c>
      <c r="U4466" s="9">
        <f t="shared" ca="1" si="180"/>
        <v>2</v>
      </c>
      <c r="V4466" s="9">
        <f t="shared" ca="1" si="181"/>
        <v>280</v>
      </c>
      <c r="AE4466" s="9" t="s">
        <v>12089</v>
      </c>
    </row>
    <row r="4467" spans="1:33" ht="29">
      <c r="A4467" s="3" t="s">
        <v>4294</v>
      </c>
      <c r="D4467" s="3" t="s">
        <v>10941</v>
      </c>
      <c r="E4467" s="3" t="s">
        <v>10942</v>
      </c>
      <c r="J4467" s="9" t="s">
        <v>12120</v>
      </c>
      <c r="Q4467" s="10"/>
      <c r="U4467" s="9" t="str">
        <f t="shared" ca="1" si="180"/>
        <v/>
      </c>
      <c r="V4467" s="9" t="str">
        <f t="shared" ca="1" si="181"/>
        <v/>
      </c>
      <c r="AG4467" s="9" t="s">
        <v>19</v>
      </c>
    </row>
    <row r="4468" spans="1:33" ht="29">
      <c r="A4468" s="3" t="s">
        <v>4297</v>
      </c>
      <c r="D4468" s="3" t="s">
        <v>10944</v>
      </c>
      <c r="E4468" s="3" t="s">
        <v>10943</v>
      </c>
      <c r="G4468" t="s">
        <v>19</v>
      </c>
      <c r="J4468" s="9" t="s">
        <v>25</v>
      </c>
      <c r="L4468" s="9">
        <v>1</v>
      </c>
      <c r="M4468" s="9">
        <v>3</v>
      </c>
      <c r="N4468" s="9" t="s">
        <v>12094</v>
      </c>
      <c r="O4468" s="9" t="s">
        <v>12079</v>
      </c>
      <c r="Q4468" s="10"/>
      <c r="S4468" s="9">
        <v>301</v>
      </c>
      <c r="U4468" s="9" t="str">
        <f t="shared" ca="1" si="180"/>
        <v/>
      </c>
      <c r="V4468" s="9" t="str">
        <f t="shared" ca="1" si="181"/>
        <v/>
      </c>
    </row>
    <row r="4469" spans="1:33" ht="29">
      <c r="A4469" s="3" t="s">
        <v>4297</v>
      </c>
      <c r="D4469" s="3" t="s">
        <v>10945</v>
      </c>
      <c r="E4469" s="3" t="s">
        <v>10946</v>
      </c>
      <c r="G4469" t="s">
        <v>19</v>
      </c>
      <c r="J4469" s="9" t="s">
        <v>12120</v>
      </c>
      <c r="Q4469" s="10"/>
      <c r="U4469" s="9" t="str">
        <f t="shared" ca="1" si="180"/>
        <v/>
      </c>
      <c r="V4469" s="9" t="str">
        <f t="shared" ca="1" si="181"/>
        <v/>
      </c>
    </row>
    <row r="4470" spans="1:33">
      <c r="A4470" s="3" t="s">
        <v>4297</v>
      </c>
      <c r="D4470" s="3" t="s">
        <v>129</v>
      </c>
      <c r="E4470" s="3" t="s">
        <v>130</v>
      </c>
      <c r="J4470" s="9" t="s">
        <v>12120</v>
      </c>
      <c r="Q4470" s="10"/>
      <c r="U4470" s="9" t="str">
        <f t="shared" ca="1" si="180"/>
        <v/>
      </c>
      <c r="V4470" s="9" t="str">
        <f t="shared" ca="1" si="181"/>
        <v/>
      </c>
      <c r="AC4470" s="9" t="s">
        <v>12130</v>
      </c>
      <c r="AD4470" s="9" t="s">
        <v>19</v>
      </c>
    </row>
    <row r="4471" spans="1:33">
      <c r="A4471" s="3" t="s">
        <v>4298</v>
      </c>
      <c r="D4471" s="3" t="s">
        <v>4299</v>
      </c>
      <c r="E4471" s="3" t="s">
        <v>4257</v>
      </c>
      <c r="J4471" s="9" t="s">
        <v>12120</v>
      </c>
      <c r="Q4471" s="10"/>
      <c r="U4471" s="9" t="str">
        <f t="shared" ca="1" si="180"/>
        <v/>
      </c>
      <c r="V4471" s="9" t="str">
        <f t="shared" ca="1" si="181"/>
        <v/>
      </c>
      <c r="AC4471" s="9" t="s">
        <v>12130</v>
      </c>
      <c r="AD4471" s="9" t="s">
        <v>19</v>
      </c>
    </row>
    <row r="4472" spans="1:33">
      <c r="A4472" s="3" t="s">
        <v>4298</v>
      </c>
      <c r="D4472" s="3" t="s">
        <v>4300</v>
      </c>
      <c r="E4472" s="3" t="s">
        <v>3841</v>
      </c>
      <c r="J4472" s="9" t="s">
        <v>12120</v>
      </c>
      <c r="Q4472" s="10"/>
      <c r="U4472" s="9" t="str">
        <f t="shared" ca="1" si="180"/>
        <v/>
      </c>
      <c r="V4472" s="9" t="str">
        <f t="shared" ca="1" si="181"/>
        <v/>
      </c>
      <c r="AG4472" s="9" t="s">
        <v>19</v>
      </c>
    </row>
    <row r="4473" spans="1:33">
      <c r="A4473" s="3" t="s">
        <v>4301</v>
      </c>
      <c r="D4473" s="3" t="s">
        <v>10948</v>
      </c>
      <c r="E4473" s="3" t="s">
        <v>10947</v>
      </c>
      <c r="G4473" t="s">
        <v>19</v>
      </c>
      <c r="J4473" s="9" t="s">
        <v>12118</v>
      </c>
      <c r="Q4473" s="10"/>
      <c r="T4473" s="9">
        <f>5676-264</f>
        <v>5412</v>
      </c>
      <c r="U4473" s="9">
        <f t="shared" ca="1" si="180"/>
        <v>264</v>
      </c>
      <c r="V4473" s="9">
        <f t="shared" ca="1" si="181"/>
        <v>5676</v>
      </c>
    </row>
    <row r="4474" spans="1:33">
      <c r="A4474" s="3" t="s">
        <v>4301</v>
      </c>
      <c r="D4474" s="3" t="s">
        <v>10949</v>
      </c>
      <c r="E4474" s="3" t="s">
        <v>10949</v>
      </c>
      <c r="F4474" t="s">
        <v>4774</v>
      </c>
      <c r="G4474" t="s">
        <v>20</v>
      </c>
      <c r="I4474" t="s">
        <v>10950</v>
      </c>
      <c r="Q4474" s="10"/>
      <c r="U4474" s="9" t="str">
        <f t="shared" ca="1" si="180"/>
        <v/>
      </c>
      <c r="V4474" s="9" t="str">
        <f t="shared" ca="1" si="181"/>
        <v/>
      </c>
    </row>
    <row r="4475" spans="1:33">
      <c r="A4475" s="3" t="s">
        <v>4302</v>
      </c>
      <c r="D4475" s="3" t="s">
        <v>10952</v>
      </c>
      <c r="E4475" s="3" t="s">
        <v>10951</v>
      </c>
      <c r="J4475" s="9" t="s">
        <v>24</v>
      </c>
      <c r="L4475" s="9">
        <v>1</v>
      </c>
      <c r="M4475" s="9">
        <v>2</v>
      </c>
      <c r="N4475" s="9" t="s">
        <v>12084</v>
      </c>
      <c r="O4475" s="9" t="s">
        <v>12119</v>
      </c>
      <c r="Q4475" s="10"/>
      <c r="S4475" s="9">
        <v>207</v>
      </c>
      <c r="U4475" s="9" t="str">
        <f t="shared" ca="1" si="180"/>
        <v/>
      </c>
      <c r="V4475" s="9" t="str">
        <f t="shared" ca="1" si="181"/>
        <v/>
      </c>
      <c r="AG4475" s="9" t="s">
        <v>19</v>
      </c>
    </row>
    <row r="4476" spans="1:33">
      <c r="A4476" s="3" t="s">
        <v>4303</v>
      </c>
      <c r="D4476" s="3" t="s">
        <v>4304</v>
      </c>
      <c r="E4476" s="3" t="s">
        <v>4063</v>
      </c>
      <c r="J4476" s="9" t="s">
        <v>12118</v>
      </c>
      <c r="Q4476" s="10"/>
      <c r="T4476" s="9" t="s">
        <v>12131</v>
      </c>
      <c r="U4476" s="9" t="str">
        <f t="shared" ca="1" si="180"/>
        <v/>
      </c>
      <c r="V4476" s="9" t="str">
        <f t="shared" ca="1" si="181"/>
        <v/>
      </c>
      <c r="AB4476" s="9" t="s">
        <v>12124</v>
      </c>
      <c r="AD4476" s="9" t="s">
        <v>19</v>
      </c>
    </row>
    <row r="4477" spans="1:33" ht="43.5">
      <c r="A4477" s="3" t="s">
        <v>4303</v>
      </c>
      <c r="D4477" s="3" t="s">
        <v>10953</v>
      </c>
      <c r="E4477" s="3" t="s">
        <v>10954</v>
      </c>
      <c r="G4477" t="s">
        <v>19</v>
      </c>
      <c r="J4477" s="9" t="s">
        <v>24</v>
      </c>
      <c r="L4477" s="9">
        <v>1</v>
      </c>
      <c r="M4477" s="9">
        <v>6</v>
      </c>
      <c r="N4477" s="9" t="s">
        <v>12094</v>
      </c>
      <c r="O4477" s="9" t="s">
        <v>12073</v>
      </c>
      <c r="P4477" s="9" t="s">
        <v>12142</v>
      </c>
      <c r="Q4477" s="10" t="s">
        <v>12160</v>
      </c>
      <c r="S4477" s="9">
        <v>4240</v>
      </c>
      <c r="U4477" s="9" t="str">
        <f t="shared" ca="1" si="180"/>
        <v/>
      </c>
      <c r="V4477" s="9" t="str">
        <f t="shared" ca="1" si="181"/>
        <v/>
      </c>
    </row>
    <row r="4478" spans="1:33" ht="43.5">
      <c r="A4478" s="3" t="s">
        <v>4303</v>
      </c>
      <c r="D4478" s="3" t="s">
        <v>10956</v>
      </c>
      <c r="E4478" s="3" t="s">
        <v>10955</v>
      </c>
      <c r="G4478" t="s">
        <v>19</v>
      </c>
      <c r="J4478" s="9" t="s">
        <v>12118</v>
      </c>
      <c r="Q4478" s="10"/>
      <c r="T4478" s="9">
        <f>4240-11843</f>
        <v>-7603</v>
      </c>
      <c r="U4478" s="9">
        <f t="shared" ca="1" si="180"/>
        <v>11843</v>
      </c>
      <c r="V4478" s="9">
        <f t="shared" ca="1" si="181"/>
        <v>4240</v>
      </c>
    </row>
    <row r="4479" spans="1:33" ht="29">
      <c r="A4479" s="3" t="s">
        <v>4305</v>
      </c>
      <c r="D4479" s="3" t="s">
        <v>10957</v>
      </c>
      <c r="E4479" s="3" t="s">
        <v>10958</v>
      </c>
      <c r="G4479" t="s">
        <v>19</v>
      </c>
      <c r="J4479" s="9" t="s">
        <v>24</v>
      </c>
      <c r="L4479" s="9">
        <v>2</v>
      </c>
      <c r="M4479" s="9">
        <v>9</v>
      </c>
      <c r="O4479" s="9" t="s">
        <v>12079</v>
      </c>
      <c r="Q4479" s="10"/>
      <c r="S4479" s="9">
        <v>310</v>
      </c>
      <c r="U4479" s="9" t="str">
        <f t="shared" ca="1" si="180"/>
        <v/>
      </c>
      <c r="V4479" s="9" t="str">
        <f t="shared" ca="1" si="181"/>
        <v/>
      </c>
    </row>
    <row r="4480" spans="1:33">
      <c r="A4480" s="3" t="s">
        <v>4305</v>
      </c>
      <c r="D4480" s="3" t="s">
        <v>10959</v>
      </c>
      <c r="E4480" s="3" t="s">
        <v>10960</v>
      </c>
      <c r="G4480" t="s">
        <v>19</v>
      </c>
      <c r="J4480" s="9" t="s">
        <v>12118</v>
      </c>
      <c r="Q4480" s="10"/>
      <c r="T4480" s="9">
        <f>207-124</f>
        <v>83</v>
      </c>
      <c r="U4480" s="9">
        <f t="shared" ca="1" si="180"/>
        <v>124</v>
      </c>
      <c r="V4480" s="9">
        <f t="shared" ca="1" si="181"/>
        <v>207</v>
      </c>
    </row>
    <row r="4481" spans="1:33">
      <c r="A4481" s="3" t="s">
        <v>4306</v>
      </c>
      <c r="D4481" s="3" t="s">
        <v>4307</v>
      </c>
      <c r="E4481" s="3" t="s">
        <v>4308</v>
      </c>
      <c r="J4481" s="9" t="s">
        <v>12118</v>
      </c>
      <c r="Q4481" s="10"/>
      <c r="T4481" s="9" t="s">
        <v>12131</v>
      </c>
      <c r="U4481" s="9" t="str">
        <f t="shared" ca="1" si="180"/>
        <v/>
      </c>
      <c r="V4481" s="9" t="str">
        <f t="shared" ca="1" si="181"/>
        <v/>
      </c>
      <c r="AB4481" s="9" t="s">
        <v>12124</v>
      </c>
      <c r="AC4481" s="9" t="s">
        <v>12130</v>
      </c>
      <c r="AD4481" s="9" t="s">
        <v>19</v>
      </c>
    </row>
    <row r="4482" spans="1:33" ht="29">
      <c r="A4482" s="3" t="s">
        <v>4309</v>
      </c>
      <c r="D4482" s="3" t="s">
        <v>10962</v>
      </c>
      <c r="E4482" s="3" t="s">
        <v>10961</v>
      </c>
      <c r="J4482" s="9" t="s">
        <v>25</v>
      </c>
      <c r="L4482" s="9">
        <v>1</v>
      </c>
      <c r="M4482" s="9">
        <v>5</v>
      </c>
      <c r="N4482" s="9" t="s">
        <v>12094</v>
      </c>
      <c r="O4482" s="9" t="s">
        <v>12073</v>
      </c>
      <c r="P4482" s="9" t="s">
        <v>12142</v>
      </c>
      <c r="Q4482" s="10" t="s">
        <v>12143</v>
      </c>
      <c r="S4482" s="9">
        <v>4240</v>
      </c>
      <c r="U4482" s="9" t="str">
        <f t="shared" ca="1" si="180"/>
        <v/>
      </c>
      <c r="V4482" s="9" t="str">
        <f t="shared" ca="1" si="181"/>
        <v/>
      </c>
      <c r="AG4482" s="9" t="s">
        <v>20</v>
      </c>
    </row>
    <row r="4483" spans="1:33" ht="29">
      <c r="A4483" s="3" t="s">
        <v>4309</v>
      </c>
      <c r="D4483" s="3" t="s">
        <v>10963</v>
      </c>
      <c r="E4483" s="3" t="s">
        <v>10964</v>
      </c>
      <c r="J4483" s="9" t="s">
        <v>12118</v>
      </c>
      <c r="Q4483" s="10"/>
      <c r="T4483" s="9" t="s">
        <v>12119</v>
      </c>
      <c r="U4483" s="9" t="str">
        <f t="shared" ca="1" si="180"/>
        <v/>
      </c>
      <c r="V4483" s="9" t="str">
        <f t="shared" ca="1" si="181"/>
        <v/>
      </c>
      <c r="AC4483" s="9" t="s">
        <v>12130</v>
      </c>
      <c r="AD4483" s="9" t="s">
        <v>19</v>
      </c>
      <c r="AE4483" s="9" t="s">
        <v>12086</v>
      </c>
    </row>
    <row r="4484" spans="1:33">
      <c r="A4484" s="3" t="s">
        <v>4309</v>
      </c>
      <c r="D4484" s="3" t="s">
        <v>10965</v>
      </c>
      <c r="E4484" s="3" t="s">
        <v>10966</v>
      </c>
      <c r="J4484" s="9" t="s">
        <v>24</v>
      </c>
      <c r="L4484" s="9">
        <v>1</v>
      </c>
      <c r="M4484" s="9">
        <v>3</v>
      </c>
      <c r="N4484" s="9" t="s">
        <v>12078</v>
      </c>
      <c r="O4484" s="9" t="s">
        <v>12079</v>
      </c>
      <c r="Q4484" s="10"/>
      <c r="S4484" s="9">
        <v>11843</v>
      </c>
      <c r="U4484" s="9" t="str">
        <f t="shared" ca="1" si="180"/>
        <v/>
      </c>
      <c r="V4484" s="9" t="str">
        <f t="shared" ca="1" si="181"/>
        <v/>
      </c>
      <c r="AE4484" s="9" t="s">
        <v>12083</v>
      </c>
    </row>
    <row r="4485" spans="1:33" ht="29">
      <c r="A4485" s="3" t="s">
        <v>4312</v>
      </c>
      <c r="D4485" s="3" t="s">
        <v>10967</v>
      </c>
      <c r="E4485" s="3" t="s">
        <v>10968</v>
      </c>
      <c r="G4485" t="s">
        <v>19</v>
      </c>
      <c r="J4485" s="9" t="s">
        <v>12120</v>
      </c>
      <c r="Q4485" s="10"/>
      <c r="U4485" s="9" t="str">
        <f t="shared" ca="1" si="180"/>
        <v/>
      </c>
      <c r="V4485" s="9" t="str">
        <f t="shared" ca="1" si="181"/>
        <v/>
      </c>
      <c r="AE4485" s="9" t="s">
        <v>12089</v>
      </c>
    </row>
    <row r="4486" spans="1:33" ht="29">
      <c r="A4486" s="3" t="s">
        <v>4312</v>
      </c>
      <c r="D4486" s="3" t="s">
        <v>10969</v>
      </c>
      <c r="E4486" s="3" t="s">
        <v>10970</v>
      </c>
      <c r="G4486" t="s">
        <v>19</v>
      </c>
      <c r="J4486" s="9" t="s">
        <v>12118</v>
      </c>
      <c r="Q4486" s="10"/>
      <c r="T4486" s="9" t="s">
        <v>12119</v>
      </c>
      <c r="U4486" s="9" t="str">
        <f t="shared" ca="1" si="180"/>
        <v/>
      </c>
      <c r="V4486" s="9" t="str">
        <f t="shared" ca="1" si="181"/>
        <v/>
      </c>
      <c r="AB4486" s="9" t="s">
        <v>12124</v>
      </c>
      <c r="AC4486" s="9" t="s">
        <v>12740</v>
      </c>
      <c r="AD4486" s="9" t="s">
        <v>19</v>
      </c>
    </row>
    <row r="4487" spans="1:33">
      <c r="A4487" s="3" t="s">
        <v>4312</v>
      </c>
      <c r="D4487" s="3" t="s">
        <v>10971</v>
      </c>
      <c r="E4487" s="3" t="s">
        <v>10972</v>
      </c>
      <c r="J4487" s="9" t="s">
        <v>12120</v>
      </c>
      <c r="Q4487" s="10"/>
      <c r="U4487" s="9" t="str">
        <f t="shared" ca="1" si="180"/>
        <v/>
      </c>
      <c r="V4487" s="9" t="str">
        <f t="shared" ca="1" si="181"/>
        <v/>
      </c>
      <c r="AB4487" s="9" t="s">
        <v>12737</v>
      </c>
      <c r="AD4487" s="9" t="s">
        <v>19</v>
      </c>
    </row>
    <row r="4488" spans="1:33">
      <c r="A4488" s="3" t="s">
        <v>4312</v>
      </c>
      <c r="D4488" s="3" t="s">
        <v>10974</v>
      </c>
      <c r="E4488" s="3" t="s">
        <v>10973</v>
      </c>
      <c r="F4488" t="s">
        <v>11</v>
      </c>
      <c r="Q4488" s="10"/>
      <c r="U4488" s="9" t="str">
        <f t="shared" ca="1" si="180"/>
        <v/>
      </c>
      <c r="V4488" s="9" t="str">
        <f t="shared" ca="1" si="181"/>
        <v/>
      </c>
    </row>
    <row r="4489" spans="1:33" ht="43.5">
      <c r="A4489" s="3" t="s">
        <v>4312</v>
      </c>
      <c r="D4489" s="3" t="s">
        <v>10976</v>
      </c>
      <c r="E4489" s="3" t="s">
        <v>10975</v>
      </c>
      <c r="I4489" t="s">
        <v>12407</v>
      </c>
      <c r="J4489" s="9" t="s">
        <v>26</v>
      </c>
      <c r="Q4489" s="10"/>
      <c r="U4489" s="9" t="str">
        <f t="shared" ca="1" si="180"/>
        <v/>
      </c>
      <c r="V4489" s="9" t="str">
        <f t="shared" ca="1" si="181"/>
        <v/>
      </c>
      <c r="AG4489" s="9" t="s">
        <v>20</v>
      </c>
    </row>
    <row r="4490" spans="1:33">
      <c r="A4490" s="3" t="s">
        <v>4313</v>
      </c>
      <c r="D4490" s="3" t="s">
        <v>4314</v>
      </c>
      <c r="E4490" s="3" t="s">
        <v>4315</v>
      </c>
      <c r="F4490" t="s">
        <v>12</v>
      </c>
      <c r="J4490" s="9" t="s">
        <v>12118</v>
      </c>
      <c r="Q4490" s="10"/>
      <c r="T4490" s="9" t="s">
        <v>12131</v>
      </c>
      <c r="U4490" s="9" t="str">
        <f t="shared" ca="1" si="180"/>
        <v/>
      </c>
      <c r="V4490" s="9" t="str">
        <f t="shared" ca="1" si="181"/>
        <v/>
      </c>
      <c r="AC4490" s="9" t="s">
        <v>12130</v>
      </c>
      <c r="AD4490" s="9" t="s">
        <v>19</v>
      </c>
      <c r="AE4490" s="9" t="s">
        <v>12086</v>
      </c>
    </row>
    <row r="4491" spans="1:33" ht="43.5">
      <c r="A4491" s="3" t="s">
        <v>4316</v>
      </c>
      <c r="D4491" s="3" t="s">
        <v>10977</v>
      </c>
      <c r="E4491" s="3" t="s">
        <v>10978</v>
      </c>
      <c r="F4491" t="s">
        <v>11</v>
      </c>
      <c r="G4491" t="s">
        <v>19</v>
      </c>
      <c r="Q4491" s="10"/>
      <c r="U4491" s="9" t="str">
        <f t="shared" ca="1" si="180"/>
        <v/>
      </c>
      <c r="V4491" s="9" t="str">
        <f t="shared" ca="1" si="181"/>
        <v/>
      </c>
    </row>
    <row r="4492" spans="1:33" ht="43.5">
      <c r="A4492" s="3" t="s">
        <v>4316</v>
      </c>
      <c r="D4492" s="3" t="s">
        <v>10979</v>
      </c>
      <c r="E4492" s="3" t="s">
        <v>10980</v>
      </c>
      <c r="F4492" t="s">
        <v>11</v>
      </c>
      <c r="Q4492" s="10"/>
      <c r="U4492" s="9" t="str">
        <f t="shared" ca="1" si="180"/>
        <v/>
      </c>
      <c r="V4492" s="9" t="str">
        <f t="shared" ca="1" si="181"/>
        <v/>
      </c>
    </row>
    <row r="4493" spans="1:33" ht="43.5">
      <c r="A4493" s="3" t="s">
        <v>4317</v>
      </c>
      <c r="D4493" s="3" t="s">
        <v>12570</v>
      </c>
      <c r="E4493" s="3" t="s">
        <v>10981</v>
      </c>
      <c r="F4493" t="s">
        <v>11</v>
      </c>
      <c r="G4493" t="s">
        <v>19</v>
      </c>
      <c r="I4493" t="s">
        <v>12571</v>
      </c>
      <c r="J4493" s="9" t="s">
        <v>24</v>
      </c>
      <c r="L4493" s="9">
        <v>3</v>
      </c>
      <c r="M4493" s="9">
        <v>25</v>
      </c>
      <c r="O4493" s="9" t="s">
        <v>12073</v>
      </c>
      <c r="P4493" s="9" t="s">
        <v>12149</v>
      </c>
      <c r="Q4493" s="10" t="s">
        <v>12143</v>
      </c>
      <c r="S4493" s="9">
        <v>22</v>
      </c>
      <c r="U4493" s="9" t="str">
        <f t="shared" ref="U4493:U4556" ca="1" si="182">IF(ISNUMBER(T4493),VALUE(MID(_xlfn.FORMULATEXT(T4493),SEARCH("-",_xlfn.FORMULATEXT(T4493))+1,LEN(_xlfn.FORMULATEXT(T4493))-SEARCH("-",_xlfn.FORMULATEXT(T4493)))), "")</f>
        <v/>
      </c>
      <c r="V4493" s="9" t="str">
        <f t="shared" ref="V4493:V4556" ca="1" si="183">IF(ISNUMBER(T4493), VALUE(MID(_xlfn.FORMULATEXT(T4493), 2, SEARCH("-", _xlfn.FORMULATEXT(T4493)) - 2)), "")</f>
        <v/>
      </c>
    </row>
    <row r="4494" spans="1:33" ht="29">
      <c r="A4494" s="3" t="s">
        <v>4317</v>
      </c>
      <c r="D4494" s="3" t="s">
        <v>10983</v>
      </c>
      <c r="E4494" s="3" t="s">
        <v>10982</v>
      </c>
      <c r="G4494" t="s">
        <v>20</v>
      </c>
      <c r="I4494" t="s">
        <v>10984</v>
      </c>
      <c r="J4494" s="9" t="s">
        <v>25</v>
      </c>
      <c r="L4494" s="9">
        <v>1</v>
      </c>
      <c r="M4494" s="9">
        <v>3</v>
      </c>
      <c r="N4494" s="9" t="s">
        <v>12087</v>
      </c>
      <c r="O4494" s="9" t="s">
        <v>12079</v>
      </c>
      <c r="Q4494" s="10"/>
      <c r="S4494" s="9">
        <v>309</v>
      </c>
      <c r="U4494" s="9" t="str">
        <f t="shared" ca="1" si="182"/>
        <v/>
      </c>
      <c r="V4494" s="9" t="str">
        <f t="shared" ca="1" si="183"/>
        <v/>
      </c>
      <c r="AG4494" s="9" t="s">
        <v>13141</v>
      </c>
    </row>
    <row r="4495" spans="1:33">
      <c r="A4495" s="3" t="s">
        <v>4318</v>
      </c>
      <c r="D4495" s="3" t="s">
        <v>10986</v>
      </c>
      <c r="E4495" s="3" t="s">
        <v>10985</v>
      </c>
      <c r="F4495" t="s">
        <v>11</v>
      </c>
      <c r="G4495" t="s">
        <v>20</v>
      </c>
      <c r="I4495" t="s">
        <v>10987</v>
      </c>
      <c r="Q4495" s="10"/>
      <c r="U4495" s="9" t="str">
        <f t="shared" ca="1" si="182"/>
        <v/>
      </c>
      <c r="V4495" s="9" t="str">
        <f t="shared" ca="1" si="183"/>
        <v/>
      </c>
    </row>
    <row r="4496" spans="1:33" ht="72.5">
      <c r="A4496" s="3" t="s">
        <v>4318</v>
      </c>
      <c r="D4496" s="3" t="s">
        <v>10989</v>
      </c>
      <c r="E4496" s="3" t="s">
        <v>10988</v>
      </c>
      <c r="F4496" t="s">
        <v>11</v>
      </c>
      <c r="Q4496" s="10"/>
      <c r="U4496" s="9" t="str">
        <f t="shared" ca="1" si="182"/>
        <v/>
      </c>
      <c r="V4496" s="9" t="str">
        <f t="shared" ca="1" si="183"/>
        <v/>
      </c>
    </row>
    <row r="4497" spans="1:33" ht="72.5">
      <c r="A4497" s="3" t="s">
        <v>4318</v>
      </c>
      <c r="D4497" s="3" t="s">
        <v>10990</v>
      </c>
      <c r="E4497" s="3" t="s">
        <v>10991</v>
      </c>
      <c r="G4497" t="s">
        <v>20</v>
      </c>
      <c r="I4497" t="s">
        <v>9925</v>
      </c>
      <c r="Q4497" s="10"/>
      <c r="U4497" s="9" t="str">
        <f t="shared" ca="1" si="182"/>
        <v/>
      </c>
      <c r="V4497" s="9" t="str">
        <f t="shared" ca="1" si="183"/>
        <v/>
      </c>
    </row>
    <row r="4498" spans="1:33">
      <c r="A4498" s="3" t="s">
        <v>4318</v>
      </c>
      <c r="D4498" s="3" t="s">
        <v>10993</v>
      </c>
      <c r="E4498" s="3" t="s">
        <v>10992</v>
      </c>
      <c r="G4498" t="s">
        <v>19</v>
      </c>
      <c r="J4498" s="9" t="s">
        <v>25</v>
      </c>
      <c r="L4498" s="9">
        <v>1</v>
      </c>
      <c r="M4498" s="9">
        <v>3</v>
      </c>
      <c r="N4498" s="9" t="s">
        <v>12087</v>
      </c>
      <c r="O4498" s="9" t="s">
        <v>12079</v>
      </c>
      <c r="Q4498" s="10"/>
      <c r="S4498" s="9">
        <v>5676</v>
      </c>
      <c r="U4498" s="9" t="str">
        <f t="shared" ca="1" si="182"/>
        <v/>
      </c>
      <c r="V4498" s="9" t="str">
        <f t="shared" ca="1" si="183"/>
        <v/>
      </c>
    </row>
    <row r="4499" spans="1:33">
      <c r="A4499" s="3" t="s">
        <v>4319</v>
      </c>
      <c r="D4499" s="3" t="s">
        <v>10994</v>
      </c>
      <c r="E4499" s="3" t="s">
        <v>4320</v>
      </c>
      <c r="G4499" t="s">
        <v>19</v>
      </c>
      <c r="J4499" s="9" t="s">
        <v>12120</v>
      </c>
      <c r="Q4499" s="10"/>
      <c r="U4499" s="9" t="str">
        <f t="shared" ca="1" si="182"/>
        <v/>
      </c>
      <c r="V4499" s="9" t="str">
        <f t="shared" ca="1" si="183"/>
        <v/>
      </c>
    </row>
    <row r="4500" spans="1:33">
      <c r="A4500" s="3" t="s">
        <v>4319</v>
      </c>
      <c r="D4500" s="3" t="s">
        <v>10995</v>
      </c>
      <c r="E4500" s="3" t="s">
        <v>10996</v>
      </c>
      <c r="J4500" s="9" t="s">
        <v>12118</v>
      </c>
      <c r="Q4500" s="10"/>
      <c r="T4500" s="9">
        <f>6-21</f>
        <v>-15</v>
      </c>
      <c r="U4500" s="9">
        <f t="shared" ca="1" si="182"/>
        <v>21</v>
      </c>
      <c r="V4500" s="9">
        <f t="shared" ca="1" si="183"/>
        <v>6</v>
      </c>
      <c r="AG4500" s="9" t="s">
        <v>20</v>
      </c>
    </row>
    <row r="4501" spans="1:33">
      <c r="A4501" s="3" t="s">
        <v>4319</v>
      </c>
      <c r="D4501" s="3" t="s">
        <v>10997</v>
      </c>
      <c r="E4501" s="3" t="s">
        <v>10998</v>
      </c>
      <c r="J4501" s="9" t="s">
        <v>12120</v>
      </c>
      <c r="Q4501" s="10"/>
      <c r="U4501" s="9" t="str">
        <f t="shared" ca="1" si="182"/>
        <v/>
      </c>
      <c r="V4501" s="9" t="str">
        <f t="shared" ca="1" si="183"/>
        <v/>
      </c>
      <c r="AB4501" s="9" t="s">
        <v>12082</v>
      </c>
      <c r="AD4501" s="9" t="s">
        <v>19</v>
      </c>
    </row>
    <row r="4502" spans="1:33">
      <c r="A4502" s="3" t="s">
        <v>4321</v>
      </c>
      <c r="D4502" s="3" t="s">
        <v>2195</v>
      </c>
      <c r="E4502" s="3" t="s">
        <v>4322</v>
      </c>
      <c r="J4502" s="9" t="s">
        <v>12118</v>
      </c>
      <c r="Q4502" s="10"/>
      <c r="T4502" s="9" t="s">
        <v>12131</v>
      </c>
      <c r="U4502" s="9" t="str">
        <f t="shared" ca="1" si="182"/>
        <v/>
      </c>
      <c r="V4502" s="9" t="str">
        <f t="shared" ca="1" si="183"/>
        <v/>
      </c>
      <c r="AC4502" s="9" t="s">
        <v>12749</v>
      </c>
      <c r="AD4502" s="9" t="s">
        <v>19</v>
      </c>
      <c r="AE4502" s="9" t="s">
        <v>12077</v>
      </c>
    </row>
    <row r="4503" spans="1:33">
      <c r="A4503" s="3" t="s">
        <v>4321</v>
      </c>
      <c r="D4503" s="3" t="s">
        <v>11000</v>
      </c>
      <c r="E4503" s="3" t="s">
        <v>10999</v>
      </c>
      <c r="I4503" t="s">
        <v>12734</v>
      </c>
      <c r="J4503" s="9" t="s">
        <v>12120</v>
      </c>
      <c r="Q4503" s="10"/>
      <c r="U4503" s="9" t="str">
        <f t="shared" ca="1" si="182"/>
        <v/>
      </c>
      <c r="V4503" s="9" t="str">
        <f t="shared" ca="1" si="183"/>
        <v/>
      </c>
      <c r="AG4503" s="9" t="s">
        <v>20</v>
      </c>
    </row>
    <row r="4504" spans="1:33" ht="29">
      <c r="A4504" s="3" t="s">
        <v>4321</v>
      </c>
      <c r="D4504" s="3" t="s">
        <v>11002</v>
      </c>
      <c r="E4504" s="3" t="s">
        <v>11001</v>
      </c>
      <c r="J4504" s="9" t="s">
        <v>25</v>
      </c>
      <c r="L4504" s="9">
        <v>1</v>
      </c>
      <c r="M4504" s="9">
        <v>3</v>
      </c>
      <c r="N4504" s="9" t="s">
        <v>12094</v>
      </c>
      <c r="O4504" s="9" t="s">
        <v>12079</v>
      </c>
      <c r="Q4504" s="10"/>
      <c r="S4504" s="9">
        <v>1741</v>
      </c>
      <c r="U4504" s="9" t="str">
        <f t="shared" ca="1" si="182"/>
        <v/>
      </c>
      <c r="V4504" s="9" t="str">
        <f t="shared" ca="1" si="183"/>
        <v/>
      </c>
      <c r="AG4504" s="9" t="s">
        <v>20</v>
      </c>
    </row>
    <row r="4505" spans="1:33">
      <c r="A4505" s="3" t="s">
        <v>4323</v>
      </c>
      <c r="D4505" s="3" t="s">
        <v>11004</v>
      </c>
      <c r="E4505" s="3" t="s">
        <v>11003</v>
      </c>
      <c r="J4505" s="9" t="s">
        <v>12118</v>
      </c>
      <c r="Q4505" s="10"/>
      <c r="T4505" s="9">
        <f xml:space="preserve"> 810-67</f>
        <v>743</v>
      </c>
      <c r="U4505" s="9">
        <f t="shared" ca="1" si="182"/>
        <v>67</v>
      </c>
      <c r="V4505" s="9">
        <f t="shared" ca="1" si="183"/>
        <v>810</v>
      </c>
      <c r="AG4505" s="9" t="s">
        <v>19</v>
      </c>
    </row>
    <row r="4506" spans="1:33">
      <c r="A4506" s="3" t="s">
        <v>4323</v>
      </c>
      <c r="D4506" s="3" t="s">
        <v>11006</v>
      </c>
      <c r="E4506" s="3" t="s">
        <v>11005</v>
      </c>
      <c r="J4506" s="9" t="s">
        <v>24</v>
      </c>
      <c r="L4506" s="9">
        <v>1</v>
      </c>
      <c r="M4506" s="9">
        <v>3</v>
      </c>
      <c r="N4506" s="9" t="s">
        <v>12078</v>
      </c>
      <c r="O4506" s="9" t="s">
        <v>12079</v>
      </c>
      <c r="Q4506" s="10"/>
      <c r="S4506" s="9">
        <v>11843</v>
      </c>
      <c r="U4506" s="9" t="str">
        <f t="shared" ca="1" si="182"/>
        <v/>
      </c>
      <c r="V4506" s="9" t="str">
        <f t="shared" ca="1" si="183"/>
        <v/>
      </c>
      <c r="AG4506" s="9" t="s">
        <v>20</v>
      </c>
    </row>
    <row r="4507" spans="1:33">
      <c r="A4507" s="3" t="s">
        <v>4324</v>
      </c>
      <c r="D4507" s="3" t="s">
        <v>11007</v>
      </c>
      <c r="E4507" s="3" t="s">
        <v>11008</v>
      </c>
      <c r="J4507" s="9" t="s">
        <v>12120</v>
      </c>
      <c r="Q4507" s="10"/>
      <c r="U4507" s="9" t="str">
        <f t="shared" ca="1" si="182"/>
        <v/>
      </c>
      <c r="V4507" s="9" t="str">
        <f t="shared" ca="1" si="183"/>
        <v/>
      </c>
      <c r="AG4507" s="9" t="s">
        <v>19</v>
      </c>
    </row>
    <row r="4508" spans="1:33" ht="58">
      <c r="A4508" s="3" t="s">
        <v>4325</v>
      </c>
      <c r="D4508" s="3" t="s">
        <v>12572</v>
      </c>
      <c r="E4508" s="3" t="s">
        <v>12573</v>
      </c>
      <c r="I4508" t="s">
        <v>12574</v>
      </c>
      <c r="J4508" s="9" t="s">
        <v>25</v>
      </c>
      <c r="L4508" s="9">
        <v>8</v>
      </c>
      <c r="M4508" s="9">
        <v>31</v>
      </c>
      <c r="O4508" s="9" t="s">
        <v>12073</v>
      </c>
      <c r="P4508" s="9" t="s">
        <v>12140</v>
      </c>
      <c r="Q4508" s="10" t="s">
        <v>12278</v>
      </c>
      <c r="S4508" s="9">
        <v>6</v>
      </c>
      <c r="U4508" s="9" t="str">
        <f t="shared" ca="1" si="182"/>
        <v/>
      </c>
      <c r="V4508" s="9" t="str">
        <f t="shared" ca="1" si="183"/>
        <v/>
      </c>
      <c r="AG4508" s="9" t="s">
        <v>20</v>
      </c>
    </row>
    <row r="4509" spans="1:33">
      <c r="A4509" s="3" t="s">
        <v>4326</v>
      </c>
      <c r="D4509" s="3" t="s">
        <v>11009</v>
      </c>
      <c r="E4509" s="3" t="s">
        <v>9864</v>
      </c>
      <c r="J4509" s="9" t="s">
        <v>12120</v>
      </c>
      <c r="Q4509" s="10"/>
      <c r="U4509" s="9" t="str">
        <f t="shared" ca="1" si="182"/>
        <v/>
      </c>
      <c r="V4509" s="9" t="str">
        <f t="shared" ca="1" si="183"/>
        <v/>
      </c>
      <c r="AG4509" s="9" t="s">
        <v>20</v>
      </c>
    </row>
    <row r="4510" spans="1:33">
      <c r="A4510" s="3" t="s">
        <v>4327</v>
      </c>
      <c r="D4510" s="3" t="s">
        <v>11010</v>
      </c>
      <c r="E4510" s="3" t="s">
        <v>11011</v>
      </c>
      <c r="J4510" s="9" t="s">
        <v>25</v>
      </c>
      <c r="L4510" s="9">
        <v>1</v>
      </c>
      <c r="M4510" s="9">
        <v>3</v>
      </c>
      <c r="N4510" s="9" t="s">
        <v>12087</v>
      </c>
      <c r="O4510" s="9" t="s">
        <v>12079</v>
      </c>
      <c r="Q4510" s="10"/>
      <c r="S4510" s="9">
        <v>356</v>
      </c>
      <c r="U4510" s="9" t="str">
        <f t="shared" ca="1" si="182"/>
        <v/>
      </c>
      <c r="V4510" s="9" t="str">
        <f t="shared" ca="1" si="183"/>
        <v/>
      </c>
      <c r="AG4510" s="9" t="s">
        <v>19</v>
      </c>
    </row>
    <row r="4511" spans="1:33" ht="29">
      <c r="A4511" s="3" t="s">
        <v>4327</v>
      </c>
      <c r="D4511" s="3" t="s">
        <v>11013</v>
      </c>
      <c r="E4511" s="3" t="s">
        <v>11012</v>
      </c>
      <c r="J4511" s="9" t="s">
        <v>25</v>
      </c>
      <c r="L4511" s="9">
        <v>2</v>
      </c>
      <c r="M4511" s="9">
        <v>6</v>
      </c>
      <c r="O4511" s="9" t="s">
        <v>12079</v>
      </c>
      <c r="Q4511" s="10"/>
      <c r="S4511" s="9">
        <v>128</v>
      </c>
      <c r="U4511" s="9" t="str">
        <f t="shared" ca="1" si="182"/>
        <v/>
      </c>
      <c r="V4511" s="9" t="str">
        <f t="shared" ca="1" si="183"/>
        <v/>
      </c>
      <c r="AG4511" s="9" t="s">
        <v>19</v>
      </c>
    </row>
    <row r="4512" spans="1:33">
      <c r="A4512" s="3" t="s">
        <v>4328</v>
      </c>
      <c r="D4512" s="3" t="s">
        <v>11014</v>
      </c>
      <c r="E4512" s="3" t="s">
        <v>4329</v>
      </c>
      <c r="J4512" s="9" t="s">
        <v>12120</v>
      </c>
      <c r="Q4512" s="10"/>
      <c r="U4512" s="9" t="str">
        <f t="shared" ca="1" si="182"/>
        <v/>
      </c>
      <c r="V4512" s="9" t="str">
        <f t="shared" ca="1" si="183"/>
        <v/>
      </c>
      <c r="AC4512" s="9" t="s">
        <v>12128</v>
      </c>
      <c r="AD4512" s="9" t="s">
        <v>19</v>
      </c>
      <c r="AE4512" s="9" t="s">
        <v>12089</v>
      </c>
    </row>
    <row r="4513" spans="1:33">
      <c r="A4513" s="3" t="s">
        <v>4328</v>
      </c>
      <c r="D4513" s="3" t="s">
        <v>11015</v>
      </c>
      <c r="E4513" s="3" t="s">
        <v>11016</v>
      </c>
      <c r="J4513" s="9" t="s">
        <v>12118</v>
      </c>
      <c r="Q4513" s="10"/>
      <c r="R4513" s="9" t="s">
        <v>12074</v>
      </c>
      <c r="T4513" s="9" t="s">
        <v>12131</v>
      </c>
      <c r="U4513" s="9" t="str">
        <f t="shared" ca="1" si="182"/>
        <v/>
      </c>
      <c r="V4513" s="9" t="str">
        <f t="shared" ca="1" si="183"/>
        <v/>
      </c>
      <c r="AE4513" s="9" t="s">
        <v>12077</v>
      </c>
    </row>
    <row r="4514" spans="1:33">
      <c r="A4514" s="3" t="s">
        <v>4328</v>
      </c>
      <c r="D4514" s="3" t="s">
        <v>11018</v>
      </c>
      <c r="E4514" s="3" t="s">
        <v>11017</v>
      </c>
      <c r="J4514" s="9" t="s">
        <v>25</v>
      </c>
      <c r="L4514" s="9">
        <v>1</v>
      </c>
      <c r="M4514" s="9">
        <v>3</v>
      </c>
      <c r="N4514" s="9" t="s">
        <v>12094</v>
      </c>
      <c r="O4514" s="9" t="s">
        <v>12079</v>
      </c>
      <c r="Q4514" s="10"/>
      <c r="S4514" s="9">
        <v>1496</v>
      </c>
      <c r="U4514" s="9" t="str">
        <f t="shared" ca="1" si="182"/>
        <v/>
      </c>
      <c r="V4514" s="9" t="str">
        <f t="shared" ca="1" si="183"/>
        <v/>
      </c>
      <c r="AG4514" s="9" t="s">
        <v>19</v>
      </c>
    </row>
    <row r="4515" spans="1:33">
      <c r="A4515" s="3" t="s">
        <v>4328</v>
      </c>
      <c r="D4515" s="3" t="s">
        <v>11020</v>
      </c>
      <c r="E4515" s="3" t="s">
        <v>11019</v>
      </c>
      <c r="J4515" s="9" t="s">
        <v>24</v>
      </c>
      <c r="L4515" s="9">
        <v>1</v>
      </c>
      <c r="M4515" s="9">
        <v>5</v>
      </c>
      <c r="N4515" s="9" t="s">
        <v>12092</v>
      </c>
      <c r="O4515" s="9" t="s">
        <v>12079</v>
      </c>
      <c r="Q4515" s="10"/>
      <c r="S4515" s="9">
        <v>47</v>
      </c>
      <c r="U4515" s="9" t="str">
        <f t="shared" ca="1" si="182"/>
        <v/>
      </c>
      <c r="V4515" s="9" t="str">
        <f t="shared" ca="1" si="183"/>
        <v/>
      </c>
      <c r="AG4515" s="9" t="s">
        <v>19</v>
      </c>
    </row>
    <row r="4516" spans="1:33">
      <c r="A4516" s="3" t="s">
        <v>4328</v>
      </c>
      <c r="D4516" s="3" t="s">
        <v>4330</v>
      </c>
      <c r="E4516" s="3" t="s">
        <v>11021</v>
      </c>
      <c r="J4516" s="9" t="s">
        <v>12120</v>
      </c>
      <c r="Q4516" s="10"/>
      <c r="U4516" s="9" t="str">
        <f t="shared" ca="1" si="182"/>
        <v/>
      </c>
      <c r="V4516" s="9" t="str">
        <f t="shared" ca="1" si="183"/>
        <v/>
      </c>
      <c r="AG4516" s="9" t="s">
        <v>19</v>
      </c>
    </row>
    <row r="4517" spans="1:33" ht="29">
      <c r="A4517" s="3" t="s">
        <v>4331</v>
      </c>
      <c r="D4517" s="3" t="s">
        <v>11022</v>
      </c>
      <c r="E4517" s="3" t="s">
        <v>11023</v>
      </c>
      <c r="J4517" s="9" t="s">
        <v>24</v>
      </c>
      <c r="L4517" s="9">
        <v>1</v>
      </c>
      <c r="M4517" s="9">
        <v>10</v>
      </c>
      <c r="N4517" s="9" t="s">
        <v>12125</v>
      </c>
      <c r="O4517" s="9" t="s">
        <v>12073</v>
      </c>
      <c r="P4517" s="9" t="s">
        <v>12142</v>
      </c>
      <c r="Q4517" s="10" t="s">
        <v>12375</v>
      </c>
      <c r="R4517" s="9" t="s">
        <v>12074</v>
      </c>
      <c r="S4517" s="9">
        <v>47</v>
      </c>
      <c r="U4517" s="9" t="str">
        <f t="shared" ca="1" si="182"/>
        <v/>
      </c>
      <c r="V4517" s="9" t="str">
        <f t="shared" ca="1" si="183"/>
        <v/>
      </c>
      <c r="AE4517" s="9" t="s">
        <v>12083</v>
      </c>
    </row>
    <row r="4518" spans="1:33">
      <c r="A4518" s="3" t="s">
        <v>4331</v>
      </c>
      <c r="D4518" s="3" t="s">
        <v>11025</v>
      </c>
      <c r="E4518" s="3" t="s">
        <v>11024</v>
      </c>
      <c r="J4518" s="9" t="s">
        <v>24</v>
      </c>
      <c r="L4518" s="9">
        <v>1</v>
      </c>
      <c r="M4518" s="9">
        <v>2</v>
      </c>
      <c r="N4518" s="9" t="s">
        <v>12078</v>
      </c>
      <c r="O4518" s="9" t="s">
        <v>12119</v>
      </c>
      <c r="Q4518" s="10"/>
      <c r="S4518" s="9">
        <v>11843</v>
      </c>
      <c r="U4518" s="9" t="str">
        <f t="shared" ca="1" si="182"/>
        <v/>
      </c>
      <c r="V4518" s="9" t="str">
        <f t="shared" ca="1" si="183"/>
        <v/>
      </c>
      <c r="AG4518" s="9" t="s">
        <v>19</v>
      </c>
    </row>
    <row r="4519" spans="1:33" ht="29">
      <c r="A4519" s="3" t="s">
        <v>4332</v>
      </c>
      <c r="D4519" s="3" t="s">
        <v>11027</v>
      </c>
      <c r="E4519" s="3" t="s">
        <v>11026</v>
      </c>
      <c r="G4519" t="s">
        <v>19</v>
      </c>
      <c r="J4519" s="9" t="s">
        <v>12120</v>
      </c>
      <c r="Q4519" s="10"/>
      <c r="U4519" s="9" t="str">
        <f t="shared" ca="1" si="182"/>
        <v/>
      </c>
      <c r="V4519" s="9" t="str">
        <f t="shared" ca="1" si="183"/>
        <v/>
      </c>
    </row>
    <row r="4520" spans="1:33">
      <c r="A4520" s="3" t="s">
        <v>4333</v>
      </c>
      <c r="D4520" s="3" t="s">
        <v>11028</v>
      </c>
      <c r="E4520" s="3" t="s">
        <v>11029</v>
      </c>
      <c r="J4520" s="9" t="s">
        <v>25</v>
      </c>
      <c r="L4520" s="9">
        <v>1</v>
      </c>
      <c r="M4520" s="9">
        <v>6</v>
      </c>
      <c r="N4520" s="9" t="s">
        <v>12092</v>
      </c>
      <c r="O4520" s="9" t="s">
        <v>12073</v>
      </c>
      <c r="P4520" s="9" t="s">
        <v>12149</v>
      </c>
      <c r="Q4520" s="10" t="s">
        <v>12143</v>
      </c>
      <c r="S4520" s="9">
        <v>128</v>
      </c>
      <c r="U4520" s="9" t="str">
        <f t="shared" ca="1" si="182"/>
        <v/>
      </c>
      <c r="V4520" s="9" t="str">
        <f t="shared" ca="1" si="183"/>
        <v/>
      </c>
      <c r="AG4520" s="9" t="s">
        <v>20</v>
      </c>
    </row>
    <row r="4521" spans="1:33" ht="29">
      <c r="A4521" s="3" t="s">
        <v>4334</v>
      </c>
      <c r="D4521" s="3" t="s">
        <v>13072</v>
      </c>
      <c r="E4521" s="3" t="s">
        <v>13071</v>
      </c>
      <c r="J4521" s="9" t="s">
        <v>12120</v>
      </c>
      <c r="L4521" s="9">
        <v>1</v>
      </c>
      <c r="M4521" s="9">
        <v>4</v>
      </c>
      <c r="N4521" s="9" t="s">
        <v>12078</v>
      </c>
      <c r="O4521" s="9" t="s">
        <v>12073</v>
      </c>
      <c r="P4521" s="9" t="s">
        <v>12142</v>
      </c>
      <c r="Q4521" s="10" t="s">
        <v>12143</v>
      </c>
      <c r="S4521" s="9">
        <v>11843</v>
      </c>
      <c r="U4521" s="9" t="str">
        <f t="shared" ref="U4521" ca="1" si="184">IF(ISNUMBER(T4521),VALUE(MID(_xlfn.FORMULATEXT(T4521),SEARCH("-",_xlfn.FORMULATEXT(T4521))+1,LEN(_xlfn.FORMULATEXT(T4521))-SEARCH("-",_xlfn.FORMULATEXT(T4521)))), "")</f>
        <v/>
      </c>
      <c r="V4521" s="9" t="str">
        <f t="shared" ref="V4521" ca="1" si="185">IF(ISNUMBER(T4521), VALUE(MID(_xlfn.FORMULATEXT(T4521), 2, SEARCH("-", _xlfn.FORMULATEXT(T4521)) - 2)), "")</f>
        <v/>
      </c>
      <c r="AE4521" s="9" t="s">
        <v>12077</v>
      </c>
    </row>
    <row r="4522" spans="1:33" ht="29">
      <c r="A4522" s="3" t="s">
        <v>4334</v>
      </c>
      <c r="D4522" s="3" t="s">
        <v>12945</v>
      </c>
      <c r="E4522" s="3" t="s">
        <v>13073</v>
      </c>
      <c r="G4522" t="s">
        <v>19</v>
      </c>
      <c r="J4522" s="9" t="s">
        <v>24</v>
      </c>
      <c r="L4522" s="9">
        <v>1</v>
      </c>
      <c r="M4522" s="9">
        <v>4</v>
      </c>
      <c r="N4522" s="9" t="s">
        <v>12078</v>
      </c>
      <c r="O4522" s="9" t="s">
        <v>12073</v>
      </c>
      <c r="P4522" s="9" t="s">
        <v>12142</v>
      </c>
      <c r="Q4522" s="10" t="s">
        <v>12143</v>
      </c>
      <c r="S4522" s="9">
        <v>11843</v>
      </c>
      <c r="U4522" s="9" t="str">
        <f t="shared" ca="1" si="182"/>
        <v/>
      </c>
      <c r="V4522" s="9" t="str">
        <f t="shared" ca="1" si="183"/>
        <v/>
      </c>
    </row>
    <row r="4523" spans="1:33">
      <c r="A4523" s="3" t="s">
        <v>4335</v>
      </c>
      <c r="D4523" s="3" t="s">
        <v>4336</v>
      </c>
      <c r="E4523" s="3" t="s">
        <v>4336</v>
      </c>
      <c r="G4523" t="s">
        <v>20</v>
      </c>
      <c r="I4523" t="s">
        <v>11030</v>
      </c>
      <c r="Q4523" s="10"/>
      <c r="U4523" s="9" t="str">
        <f t="shared" ca="1" si="182"/>
        <v/>
      </c>
      <c r="V4523" s="9" t="str">
        <f t="shared" ca="1" si="183"/>
        <v/>
      </c>
    </row>
    <row r="4524" spans="1:33" ht="29">
      <c r="A4524" s="3" t="s">
        <v>4335</v>
      </c>
      <c r="D4524" s="3" t="s">
        <v>11032</v>
      </c>
      <c r="E4524" s="3" t="s">
        <v>11031</v>
      </c>
      <c r="J4524" s="9" t="s">
        <v>25</v>
      </c>
      <c r="L4524" s="9">
        <v>2</v>
      </c>
      <c r="M4524" s="9">
        <v>10</v>
      </c>
      <c r="O4524" s="9" t="s">
        <v>12079</v>
      </c>
      <c r="Q4524" s="10"/>
      <c r="S4524" s="9">
        <v>508</v>
      </c>
      <c r="U4524" s="9" t="str">
        <f t="shared" ca="1" si="182"/>
        <v/>
      </c>
      <c r="V4524" s="9" t="str">
        <f t="shared" ca="1" si="183"/>
        <v/>
      </c>
      <c r="AG4524" s="9" t="s">
        <v>19</v>
      </c>
    </row>
    <row r="4525" spans="1:33" ht="29">
      <c r="A4525" s="3" t="s">
        <v>4335</v>
      </c>
      <c r="D4525" s="3" t="s">
        <v>12946</v>
      </c>
      <c r="E4525" s="3" t="s">
        <v>11033</v>
      </c>
      <c r="J4525" s="9" t="s">
        <v>24</v>
      </c>
      <c r="L4525" s="9">
        <v>1</v>
      </c>
      <c r="M4525" s="9">
        <v>6</v>
      </c>
      <c r="N4525" s="9" t="s">
        <v>12072</v>
      </c>
      <c r="O4525" s="9" t="s">
        <v>12073</v>
      </c>
      <c r="P4525" s="9" t="s">
        <v>12142</v>
      </c>
      <c r="Q4525" s="10" t="s">
        <v>12143</v>
      </c>
      <c r="S4525" s="9">
        <v>92</v>
      </c>
      <c r="U4525" s="9" t="str">
        <f t="shared" ca="1" si="182"/>
        <v/>
      </c>
      <c r="V4525" s="9" t="str">
        <f t="shared" ca="1" si="183"/>
        <v/>
      </c>
      <c r="AG4525" s="9" t="s">
        <v>13141</v>
      </c>
    </row>
    <row r="4526" spans="1:33" ht="29">
      <c r="A4526" s="3" t="s">
        <v>4335</v>
      </c>
      <c r="D4526" s="3" t="s">
        <v>12947</v>
      </c>
      <c r="E4526" s="3" t="s">
        <v>11034</v>
      </c>
      <c r="G4526" t="s">
        <v>19</v>
      </c>
      <c r="J4526" s="9" t="s">
        <v>12118</v>
      </c>
      <c r="Q4526" s="10"/>
      <c r="T4526" s="9" t="s">
        <v>12131</v>
      </c>
      <c r="U4526" s="9" t="str">
        <f t="shared" ca="1" si="182"/>
        <v/>
      </c>
      <c r="V4526" s="9" t="str">
        <f t="shared" ca="1" si="183"/>
        <v/>
      </c>
      <c r="AE4526" s="9" t="s">
        <v>12086</v>
      </c>
    </row>
    <row r="4527" spans="1:33">
      <c r="A4527" s="3" t="s">
        <v>4335</v>
      </c>
      <c r="D4527" s="3" t="s">
        <v>11036</v>
      </c>
      <c r="E4527" s="3" t="s">
        <v>11035</v>
      </c>
      <c r="G4527" t="s">
        <v>19</v>
      </c>
      <c r="J4527" s="9" t="s">
        <v>24</v>
      </c>
      <c r="L4527" s="9">
        <v>1</v>
      </c>
      <c r="M4527" s="9">
        <v>2</v>
      </c>
      <c r="N4527" s="9" t="s">
        <v>12087</v>
      </c>
      <c r="O4527" s="9" t="s">
        <v>12119</v>
      </c>
      <c r="Q4527" s="10"/>
      <c r="S4527" s="9">
        <v>1966</v>
      </c>
      <c r="U4527" s="9" t="str">
        <f t="shared" ca="1" si="182"/>
        <v/>
      </c>
      <c r="V4527" s="9" t="str">
        <f t="shared" ca="1" si="183"/>
        <v/>
      </c>
    </row>
    <row r="4528" spans="1:33" ht="29">
      <c r="A4528" s="3" t="s">
        <v>4335</v>
      </c>
      <c r="D4528" s="3" t="s">
        <v>11038</v>
      </c>
      <c r="E4528" s="3" t="s">
        <v>11037</v>
      </c>
      <c r="G4528" t="s">
        <v>21</v>
      </c>
      <c r="I4528" t="s">
        <v>11039</v>
      </c>
      <c r="J4528" s="9" t="s">
        <v>12121</v>
      </c>
      <c r="Q4528" s="10"/>
      <c r="T4528" s="9" t="s">
        <v>12131</v>
      </c>
      <c r="U4528" s="9" t="str">
        <f t="shared" ca="1" si="182"/>
        <v/>
      </c>
      <c r="V4528" s="9" t="str">
        <f t="shared" ca="1" si="183"/>
        <v/>
      </c>
      <c r="AC4528" s="9" t="s">
        <v>12575</v>
      </c>
      <c r="AD4528" s="9" t="s">
        <v>20</v>
      </c>
      <c r="AE4528" s="9" t="s">
        <v>12086</v>
      </c>
    </row>
    <row r="4529" spans="1:33" ht="29">
      <c r="A4529" s="3" t="s">
        <v>4337</v>
      </c>
      <c r="D4529" s="3" t="s">
        <v>12948</v>
      </c>
      <c r="E4529" s="3" t="s">
        <v>11040</v>
      </c>
      <c r="G4529" t="s">
        <v>19</v>
      </c>
      <c r="J4529" s="9" t="s">
        <v>12121</v>
      </c>
      <c r="Q4529" s="10"/>
      <c r="T4529" s="9" t="s">
        <v>12131</v>
      </c>
      <c r="U4529" s="9" t="str">
        <f t="shared" ca="1" si="182"/>
        <v/>
      </c>
      <c r="V4529" s="9" t="str">
        <f t="shared" ca="1" si="183"/>
        <v/>
      </c>
      <c r="AB4529" s="9" t="s">
        <v>12082</v>
      </c>
      <c r="AD4529" s="9" t="s">
        <v>20</v>
      </c>
      <c r="AE4529" s="9" t="s">
        <v>12077</v>
      </c>
    </row>
    <row r="4530" spans="1:33" ht="29">
      <c r="A4530" s="3" t="s">
        <v>4337</v>
      </c>
      <c r="D4530" s="3" t="s">
        <v>12949</v>
      </c>
      <c r="E4530" s="3" t="s">
        <v>11041</v>
      </c>
      <c r="G4530" t="s">
        <v>21</v>
      </c>
      <c r="I4530" t="s">
        <v>11042</v>
      </c>
      <c r="J4530" s="9" t="s">
        <v>24</v>
      </c>
      <c r="L4530" s="9">
        <v>1</v>
      </c>
      <c r="M4530" s="9">
        <v>5</v>
      </c>
      <c r="N4530" s="9" t="s">
        <v>12094</v>
      </c>
      <c r="O4530" s="9" t="s">
        <v>12079</v>
      </c>
      <c r="Q4530" s="10"/>
      <c r="S4530" s="9">
        <v>1496</v>
      </c>
      <c r="U4530" s="9" t="str">
        <f t="shared" ca="1" si="182"/>
        <v/>
      </c>
      <c r="V4530" s="9" t="str">
        <f t="shared" ca="1" si="183"/>
        <v/>
      </c>
    </row>
    <row r="4531" spans="1:33" ht="29">
      <c r="A4531" s="3" t="s">
        <v>4337</v>
      </c>
      <c r="D4531" s="3" t="s">
        <v>11044</v>
      </c>
      <c r="E4531" s="3" t="s">
        <v>11043</v>
      </c>
      <c r="G4531" t="s">
        <v>20</v>
      </c>
      <c r="I4531" t="s">
        <v>12576</v>
      </c>
      <c r="J4531" s="9" t="s">
        <v>26</v>
      </c>
      <c r="Q4531" s="10"/>
      <c r="U4531" s="9" t="str">
        <f t="shared" ca="1" si="182"/>
        <v/>
      </c>
      <c r="V4531" s="9" t="str">
        <f t="shared" ca="1" si="183"/>
        <v/>
      </c>
      <c r="AG4531" s="9" t="s">
        <v>20</v>
      </c>
    </row>
    <row r="4532" spans="1:33">
      <c r="A4532" s="3" t="s">
        <v>4338</v>
      </c>
      <c r="D4532" s="3" t="s">
        <v>11046</v>
      </c>
      <c r="E4532" s="3" t="s">
        <v>11045</v>
      </c>
      <c r="J4532" s="9" t="s">
        <v>12118</v>
      </c>
      <c r="Q4532" s="10"/>
      <c r="T4532" s="9">
        <f xml:space="preserve"> 361-472</f>
        <v>-111</v>
      </c>
      <c r="U4532" s="9">
        <f t="shared" ca="1" si="182"/>
        <v>472</v>
      </c>
      <c r="V4532" s="9">
        <f t="shared" ca="1" si="183"/>
        <v>361</v>
      </c>
      <c r="AG4532" s="9" t="s">
        <v>19</v>
      </c>
    </row>
    <row r="4533" spans="1:33">
      <c r="A4533" s="3" t="s">
        <v>4339</v>
      </c>
      <c r="D4533" s="3" t="s">
        <v>10323</v>
      </c>
      <c r="E4533" s="3" t="s">
        <v>11047</v>
      </c>
      <c r="J4533" s="9" t="s">
        <v>12120</v>
      </c>
      <c r="Q4533" s="10"/>
      <c r="U4533" s="9" t="str">
        <f t="shared" ca="1" si="182"/>
        <v/>
      </c>
      <c r="V4533" s="9" t="str">
        <f t="shared" ca="1" si="183"/>
        <v/>
      </c>
      <c r="AE4533" s="9" t="s">
        <v>12083</v>
      </c>
    </row>
    <row r="4534" spans="1:33">
      <c r="A4534" s="3" t="s">
        <v>4340</v>
      </c>
      <c r="D4534" s="3" t="s">
        <v>1091</v>
      </c>
      <c r="E4534" s="3" t="s">
        <v>1113</v>
      </c>
      <c r="J4534" s="9" t="s">
        <v>12120</v>
      </c>
      <c r="Q4534" s="10"/>
      <c r="U4534" s="9" t="str">
        <f t="shared" ca="1" si="182"/>
        <v/>
      </c>
      <c r="V4534" s="9" t="str">
        <f t="shared" ca="1" si="183"/>
        <v/>
      </c>
      <c r="AC4534" s="9" t="s">
        <v>12130</v>
      </c>
      <c r="AD4534" s="9" t="s">
        <v>19</v>
      </c>
      <c r="AE4534" s="9" t="s">
        <v>12086</v>
      </c>
    </row>
    <row r="4535" spans="1:33">
      <c r="A4535" s="3" t="s">
        <v>4341</v>
      </c>
      <c r="D4535" s="3" t="s">
        <v>11048</v>
      </c>
      <c r="E4535" s="3" t="s">
        <v>11049</v>
      </c>
      <c r="J4535" s="9" t="s">
        <v>12120</v>
      </c>
      <c r="Q4535" s="10"/>
      <c r="U4535" s="9" t="str">
        <f t="shared" ca="1" si="182"/>
        <v/>
      </c>
      <c r="V4535" s="9" t="str">
        <f t="shared" ca="1" si="183"/>
        <v/>
      </c>
      <c r="AG4535" s="9" t="s">
        <v>19</v>
      </c>
    </row>
    <row r="4536" spans="1:33" ht="43.5">
      <c r="A4536" s="3" t="s">
        <v>4342</v>
      </c>
      <c r="D4536" s="3" t="s">
        <v>11051</v>
      </c>
      <c r="E4536" s="3" t="s">
        <v>11050</v>
      </c>
      <c r="I4536" t="s">
        <v>12577</v>
      </c>
      <c r="J4536" s="9" t="s">
        <v>25</v>
      </c>
      <c r="L4536" s="9">
        <v>6</v>
      </c>
      <c r="M4536" s="9">
        <v>22</v>
      </c>
      <c r="O4536" s="9" t="s">
        <v>12079</v>
      </c>
      <c r="Q4536" s="10"/>
      <c r="S4536" s="9">
        <v>6</v>
      </c>
      <c r="U4536" s="9" t="str">
        <f t="shared" ca="1" si="182"/>
        <v/>
      </c>
      <c r="V4536" s="9" t="str">
        <f t="shared" ca="1" si="183"/>
        <v/>
      </c>
      <c r="AG4536" s="9" t="s">
        <v>19</v>
      </c>
    </row>
    <row r="4537" spans="1:33">
      <c r="A4537" s="3" t="s">
        <v>4343</v>
      </c>
      <c r="D4537" s="3" t="s">
        <v>4344</v>
      </c>
      <c r="E4537" s="5" t="s">
        <v>4344</v>
      </c>
      <c r="F4537" t="s">
        <v>32</v>
      </c>
      <c r="G4537" t="s">
        <v>19</v>
      </c>
      <c r="I4537" t="s">
        <v>11052</v>
      </c>
      <c r="J4537" s="9" t="s">
        <v>12120</v>
      </c>
      <c r="Q4537" s="10"/>
      <c r="U4537" s="9" t="str">
        <f t="shared" ca="1" si="182"/>
        <v/>
      </c>
      <c r="V4537" s="9" t="str">
        <f t="shared" ca="1" si="183"/>
        <v/>
      </c>
      <c r="AE4537" s="9" t="s">
        <v>12086</v>
      </c>
    </row>
    <row r="4538" spans="1:33" ht="29">
      <c r="A4538" s="3" t="s">
        <v>4343</v>
      </c>
      <c r="D4538" s="3" t="s">
        <v>11053</v>
      </c>
      <c r="E4538" s="3" t="s">
        <v>11054</v>
      </c>
      <c r="J4538" s="9" t="s">
        <v>24</v>
      </c>
      <c r="L4538" s="9">
        <v>1</v>
      </c>
      <c r="M4538" s="9">
        <v>3</v>
      </c>
      <c r="N4538" s="9" t="s">
        <v>12078</v>
      </c>
      <c r="O4538" s="9" t="s">
        <v>12073</v>
      </c>
      <c r="P4538" s="9" t="s">
        <v>12142</v>
      </c>
      <c r="Q4538" s="10" t="s">
        <v>12143</v>
      </c>
      <c r="R4538" s="9" t="s">
        <v>12074</v>
      </c>
      <c r="S4538" s="9">
        <v>11843</v>
      </c>
      <c r="U4538" s="9" t="str">
        <f t="shared" ca="1" si="182"/>
        <v/>
      </c>
      <c r="V4538" s="9" t="str">
        <f t="shared" ca="1" si="183"/>
        <v/>
      </c>
      <c r="AE4538" s="9" t="s">
        <v>12083</v>
      </c>
    </row>
    <row r="4539" spans="1:33" ht="29">
      <c r="A4539" s="3" t="s">
        <v>4343</v>
      </c>
      <c r="D4539" s="3" t="s">
        <v>11055</v>
      </c>
      <c r="E4539" s="3" t="s">
        <v>11056</v>
      </c>
      <c r="F4539" t="s">
        <v>11</v>
      </c>
      <c r="Q4539" s="10"/>
      <c r="U4539" s="9" t="str">
        <f t="shared" ca="1" si="182"/>
        <v/>
      </c>
      <c r="V4539" s="9" t="str">
        <f t="shared" ca="1" si="183"/>
        <v/>
      </c>
    </row>
    <row r="4540" spans="1:33" ht="43.5">
      <c r="A4540" s="3" t="s">
        <v>4345</v>
      </c>
      <c r="D4540" s="3" t="s">
        <v>11058</v>
      </c>
      <c r="E4540" s="3" t="s">
        <v>11057</v>
      </c>
      <c r="I4540" t="s">
        <v>12578</v>
      </c>
      <c r="J4540" s="9" t="s">
        <v>25</v>
      </c>
      <c r="L4540" s="9">
        <v>6</v>
      </c>
      <c r="M4540" s="9">
        <v>26</v>
      </c>
      <c r="O4540" s="9" t="s">
        <v>12079</v>
      </c>
      <c r="Q4540" s="10"/>
      <c r="S4540" s="9">
        <v>8</v>
      </c>
      <c r="U4540" s="9" t="str">
        <f t="shared" ca="1" si="182"/>
        <v/>
      </c>
      <c r="V4540" s="9" t="str">
        <f t="shared" ca="1" si="183"/>
        <v/>
      </c>
      <c r="AG4540" s="9" t="s">
        <v>19</v>
      </c>
    </row>
    <row r="4541" spans="1:33" ht="29">
      <c r="A4541" s="3" t="s">
        <v>4346</v>
      </c>
      <c r="D4541" s="3" t="s">
        <v>11060</v>
      </c>
      <c r="E4541" s="3" t="s">
        <v>11059</v>
      </c>
      <c r="G4541" t="s">
        <v>19</v>
      </c>
      <c r="J4541" s="9" t="s">
        <v>25</v>
      </c>
      <c r="L4541" s="9">
        <v>1</v>
      </c>
      <c r="M4541" s="9">
        <v>3</v>
      </c>
      <c r="N4541" s="9" t="s">
        <v>12087</v>
      </c>
      <c r="O4541" s="9" t="s">
        <v>12079</v>
      </c>
      <c r="Q4541" s="10"/>
      <c r="S4541" s="9">
        <v>5676</v>
      </c>
      <c r="U4541" s="9" t="str">
        <f t="shared" ca="1" si="182"/>
        <v/>
      </c>
      <c r="V4541" s="9" t="str">
        <f t="shared" ca="1" si="183"/>
        <v/>
      </c>
    </row>
    <row r="4542" spans="1:33">
      <c r="A4542" s="3" t="s">
        <v>4346</v>
      </c>
      <c r="D4542" s="3" t="s">
        <v>11062</v>
      </c>
      <c r="E4542" s="3" t="s">
        <v>11063</v>
      </c>
      <c r="G4542" t="s">
        <v>19</v>
      </c>
      <c r="J4542" s="9" t="s">
        <v>12118</v>
      </c>
      <c r="Q4542" s="10"/>
      <c r="T4542" s="9" t="s">
        <v>12131</v>
      </c>
      <c r="U4542" s="9" t="str">
        <f t="shared" ca="1" si="182"/>
        <v/>
      </c>
      <c r="V4542" s="9" t="str">
        <f t="shared" ca="1" si="183"/>
        <v/>
      </c>
      <c r="AB4542" s="9" t="s">
        <v>12124</v>
      </c>
      <c r="AC4542" s="9" t="s">
        <v>12173</v>
      </c>
      <c r="AD4542" s="9" t="s">
        <v>19</v>
      </c>
    </row>
    <row r="4543" spans="1:33">
      <c r="A4543" s="3" t="s">
        <v>4346</v>
      </c>
      <c r="D4543" s="3" t="s">
        <v>11064</v>
      </c>
      <c r="E4543" s="3" t="s">
        <v>11061</v>
      </c>
      <c r="G4543" t="s">
        <v>19</v>
      </c>
      <c r="J4543" s="9" t="s">
        <v>25</v>
      </c>
      <c r="L4543" s="9">
        <v>1</v>
      </c>
      <c r="M4543" s="9">
        <v>3</v>
      </c>
      <c r="N4543" s="9" t="s">
        <v>12096</v>
      </c>
      <c r="O4543" s="9" t="s">
        <v>12079</v>
      </c>
      <c r="Q4543" s="10"/>
      <c r="S4543" s="9">
        <v>1101</v>
      </c>
      <c r="U4543" s="9" t="str">
        <f t="shared" ca="1" si="182"/>
        <v/>
      </c>
      <c r="V4543" s="9" t="str">
        <f t="shared" ca="1" si="183"/>
        <v/>
      </c>
    </row>
    <row r="4544" spans="1:33" ht="29">
      <c r="A4544" s="3" t="s">
        <v>4346</v>
      </c>
      <c r="D4544" s="3" t="s">
        <v>11066</v>
      </c>
      <c r="E4544" s="3" t="s">
        <v>11065</v>
      </c>
      <c r="J4544" s="9" t="s">
        <v>25</v>
      </c>
      <c r="L4544" s="9">
        <v>1</v>
      </c>
      <c r="M4544" s="9">
        <v>4</v>
      </c>
      <c r="N4544" s="9" t="s">
        <v>12072</v>
      </c>
      <c r="O4544" s="9" t="s">
        <v>12079</v>
      </c>
      <c r="Q4544" s="10"/>
      <c r="S4544" s="9">
        <v>82</v>
      </c>
      <c r="U4544" s="9" t="str">
        <f t="shared" ca="1" si="182"/>
        <v/>
      </c>
      <c r="V4544" s="9" t="str">
        <f t="shared" ca="1" si="183"/>
        <v/>
      </c>
      <c r="AG4544" s="9" t="s">
        <v>19</v>
      </c>
    </row>
    <row r="4545" spans="1:33" ht="29">
      <c r="A4545" s="3" t="s">
        <v>4347</v>
      </c>
      <c r="D4545" s="3" t="s">
        <v>11068</v>
      </c>
      <c r="E4545" s="3" t="s">
        <v>11067</v>
      </c>
      <c r="J4545" s="9" t="s">
        <v>12120</v>
      </c>
      <c r="Q4545" s="10"/>
      <c r="U4545" s="9" t="str">
        <f t="shared" ca="1" si="182"/>
        <v/>
      </c>
      <c r="V4545" s="9" t="str">
        <f t="shared" ca="1" si="183"/>
        <v/>
      </c>
      <c r="AG4545" s="9" t="s">
        <v>20</v>
      </c>
    </row>
    <row r="4546" spans="1:33">
      <c r="A4546" s="3" t="s">
        <v>4347</v>
      </c>
      <c r="D4546" s="3" t="s">
        <v>11069</v>
      </c>
      <c r="E4546" s="3" t="s">
        <v>11070</v>
      </c>
      <c r="J4546" s="9" t="s">
        <v>25</v>
      </c>
      <c r="L4546" s="9">
        <v>1</v>
      </c>
      <c r="M4546" s="9">
        <v>3</v>
      </c>
      <c r="N4546" s="9" t="s">
        <v>12096</v>
      </c>
      <c r="O4546" s="9" t="s">
        <v>12079</v>
      </c>
      <c r="Q4546" s="10"/>
      <c r="S4546" s="9">
        <v>560</v>
      </c>
      <c r="U4546" s="9" t="str">
        <f t="shared" ca="1" si="182"/>
        <v/>
      </c>
      <c r="V4546" s="9" t="str">
        <f t="shared" ca="1" si="183"/>
        <v/>
      </c>
      <c r="AG4546" s="9" t="s">
        <v>20</v>
      </c>
    </row>
    <row r="4547" spans="1:33">
      <c r="A4547" s="3" t="s">
        <v>4347</v>
      </c>
      <c r="D4547" s="3" t="s">
        <v>4348</v>
      </c>
      <c r="E4547" s="3" t="s">
        <v>4349</v>
      </c>
      <c r="J4547" s="9" t="s">
        <v>12120</v>
      </c>
      <c r="Q4547" s="10"/>
      <c r="U4547" s="9" t="str">
        <f t="shared" ca="1" si="182"/>
        <v/>
      </c>
      <c r="V4547" s="9" t="str">
        <f t="shared" ca="1" si="183"/>
        <v/>
      </c>
      <c r="AB4547" s="9" t="s">
        <v>12124</v>
      </c>
      <c r="AD4547" s="9" t="s">
        <v>19</v>
      </c>
    </row>
    <row r="4548" spans="1:33">
      <c r="A4548" s="3" t="s">
        <v>4350</v>
      </c>
      <c r="D4548" s="3" t="s">
        <v>11071</v>
      </c>
      <c r="E4548" s="3" t="s">
        <v>11071</v>
      </c>
      <c r="G4548" t="s">
        <v>20</v>
      </c>
      <c r="I4548" t="s">
        <v>11072</v>
      </c>
      <c r="Q4548" s="10"/>
      <c r="U4548" s="9" t="str">
        <f t="shared" ca="1" si="182"/>
        <v/>
      </c>
      <c r="V4548" s="9" t="str">
        <f t="shared" ca="1" si="183"/>
        <v/>
      </c>
    </row>
    <row r="4549" spans="1:33">
      <c r="A4549" s="3" t="s">
        <v>4350</v>
      </c>
      <c r="D4549" s="3" t="s">
        <v>4351</v>
      </c>
      <c r="E4549" s="3" t="s">
        <v>4352</v>
      </c>
      <c r="J4549" s="9" t="s">
        <v>12120</v>
      </c>
      <c r="Q4549" s="10"/>
      <c r="U4549" s="9" t="str">
        <f t="shared" ca="1" si="182"/>
        <v/>
      </c>
      <c r="V4549" s="9" t="str">
        <f t="shared" ca="1" si="183"/>
        <v/>
      </c>
      <c r="AC4549" s="9" t="s">
        <v>12130</v>
      </c>
      <c r="AD4549" s="9" t="s">
        <v>20</v>
      </c>
      <c r="AE4549" s="9" t="s">
        <v>12086</v>
      </c>
    </row>
    <row r="4550" spans="1:33">
      <c r="A4550" s="3" t="s">
        <v>4353</v>
      </c>
      <c r="D4550" s="3" t="s">
        <v>11074</v>
      </c>
      <c r="E4550" s="3" t="s">
        <v>11073</v>
      </c>
      <c r="G4550" t="s">
        <v>19</v>
      </c>
      <c r="J4550" s="9" t="s">
        <v>24</v>
      </c>
      <c r="L4550" s="9">
        <v>1</v>
      </c>
      <c r="M4550" s="9">
        <v>2</v>
      </c>
      <c r="N4550" s="9" t="s">
        <v>12078</v>
      </c>
      <c r="O4550" s="9" t="s">
        <v>12119</v>
      </c>
      <c r="Q4550" s="10"/>
      <c r="S4550" s="9">
        <v>11843</v>
      </c>
      <c r="U4550" s="9" t="str">
        <f t="shared" ca="1" si="182"/>
        <v/>
      </c>
      <c r="V4550" s="9" t="str">
        <f t="shared" ca="1" si="183"/>
        <v/>
      </c>
    </row>
    <row r="4551" spans="1:33">
      <c r="A4551" s="3" t="s">
        <v>4353</v>
      </c>
      <c r="D4551" s="5" t="s">
        <v>11076</v>
      </c>
      <c r="E4551" s="3" t="s">
        <v>11077</v>
      </c>
      <c r="F4551" t="s">
        <v>15</v>
      </c>
      <c r="Q4551" s="10"/>
      <c r="U4551" s="9" t="str">
        <f t="shared" ca="1" si="182"/>
        <v/>
      </c>
      <c r="V4551" s="9" t="str">
        <f t="shared" ca="1" si="183"/>
        <v/>
      </c>
    </row>
    <row r="4552" spans="1:33">
      <c r="A4552" s="3" t="s">
        <v>4353</v>
      </c>
      <c r="D4552" s="3" t="s">
        <v>4354</v>
      </c>
      <c r="E4552" s="3" t="s">
        <v>11075</v>
      </c>
      <c r="G4552" t="s">
        <v>19</v>
      </c>
      <c r="J4552" s="9" t="s">
        <v>12120</v>
      </c>
      <c r="Q4552" s="10"/>
      <c r="U4552" s="9" t="str">
        <f t="shared" ca="1" si="182"/>
        <v/>
      </c>
      <c r="V4552" s="9" t="str">
        <f t="shared" ca="1" si="183"/>
        <v/>
      </c>
      <c r="AC4552" s="9" t="s">
        <v>12740</v>
      </c>
      <c r="AD4552" s="9" t="s">
        <v>19</v>
      </c>
      <c r="AE4552" s="9" t="s">
        <v>12077</v>
      </c>
    </row>
    <row r="4553" spans="1:33">
      <c r="A4553" s="3" t="s">
        <v>4353</v>
      </c>
      <c r="D4553" s="5" t="s">
        <v>11078</v>
      </c>
      <c r="E4553" s="3" t="s">
        <v>11079</v>
      </c>
      <c r="F4553" t="s">
        <v>15</v>
      </c>
      <c r="Q4553" s="10"/>
      <c r="U4553" s="9" t="str">
        <f t="shared" ca="1" si="182"/>
        <v/>
      </c>
      <c r="V4553" s="9" t="str">
        <f t="shared" ca="1" si="183"/>
        <v/>
      </c>
    </row>
    <row r="4554" spans="1:33">
      <c r="A4554" s="3" t="s">
        <v>4355</v>
      </c>
      <c r="D4554" s="3" t="s">
        <v>11081</v>
      </c>
      <c r="E4554" s="3" t="s">
        <v>11080</v>
      </c>
      <c r="J4554" s="9" t="s">
        <v>12120</v>
      </c>
      <c r="Q4554" s="10"/>
      <c r="U4554" s="9" t="str">
        <f t="shared" ca="1" si="182"/>
        <v/>
      </c>
      <c r="V4554" s="9" t="str">
        <f t="shared" ca="1" si="183"/>
        <v/>
      </c>
      <c r="AB4554" s="9" t="s">
        <v>12124</v>
      </c>
      <c r="AD4554" s="9" t="s">
        <v>19</v>
      </c>
    </row>
    <row r="4555" spans="1:33">
      <c r="A4555" s="3" t="s">
        <v>4355</v>
      </c>
      <c r="D4555" s="3" t="s">
        <v>4284</v>
      </c>
      <c r="E4555" s="3" t="s">
        <v>4356</v>
      </c>
      <c r="J4555" s="9" t="s">
        <v>12121</v>
      </c>
      <c r="Q4555" s="10"/>
      <c r="T4555" s="9">
        <f>5-0</f>
        <v>5</v>
      </c>
      <c r="U4555" s="9">
        <f t="shared" ca="1" si="182"/>
        <v>0</v>
      </c>
      <c r="V4555" s="9">
        <f t="shared" ca="1" si="183"/>
        <v>5</v>
      </c>
      <c r="AC4555" s="9" t="s">
        <v>12134</v>
      </c>
      <c r="AD4555" s="9" t="s">
        <v>19</v>
      </c>
      <c r="AE4555" s="9" t="s">
        <v>12089</v>
      </c>
    </row>
    <row r="4556" spans="1:33">
      <c r="A4556" s="3" t="s">
        <v>4357</v>
      </c>
      <c r="D4556" s="3" t="s">
        <v>11083</v>
      </c>
      <c r="E4556" s="3" t="s">
        <v>11082</v>
      </c>
      <c r="G4556" t="s">
        <v>19</v>
      </c>
      <c r="J4556" s="9" t="s">
        <v>24</v>
      </c>
      <c r="L4556" s="9">
        <v>1</v>
      </c>
      <c r="M4556" s="9">
        <v>3</v>
      </c>
      <c r="N4556" s="9" t="s">
        <v>12078</v>
      </c>
      <c r="O4556" s="9" t="s">
        <v>12079</v>
      </c>
      <c r="Q4556" s="10"/>
      <c r="S4556" s="9">
        <v>11843</v>
      </c>
      <c r="U4556" s="9" t="str">
        <f t="shared" ca="1" si="182"/>
        <v/>
      </c>
      <c r="V4556" s="9" t="str">
        <f t="shared" ca="1" si="183"/>
        <v/>
      </c>
    </row>
    <row r="4557" spans="1:33">
      <c r="A4557" s="3" t="s">
        <v>4357</v>
      </c>
      <c r="D4557" s="3" t="s">
        <v>11084</v>
      </c>
      <c r="E4557" s="3" t="s">
        <v>11085</v>
      </c>
      <c r="J4557" s="9" t="s">
        <v>12118</v>
      </c>
      <c r="Q4557" s="10"/>
      <c r="T4557" s="9">
        <f>11-0</f>
        <v>11</v>
      </c>
      <c r="U4557" s="9">
        <f t="shared" ref="U4557:U4619" ca="1" si="186">IF(ISNUMBER(T4557),VALUE(MID(_xlfn.FORMULATEXT(T4557),SEARCH("-",_xlfn.FORMULATEXT(T4557))+1,LEN(_xlfn.FORMULATEXT(T4557))-SEARCH("-",_xlfn.FORMULATEXT(T4557)))), "")</f>
        <v>0</v>
      </c>
      <c r="V4557" s="9">
        <f t="shared" ref="V4557:V4619" ca="1" si="187">IF(ISNUMBER(T4557), VALUE(MID(_xlfn.FORMULATEXT(T4557), 2, SEARCH("-", _xlfn.FORMULATEXT(T4557)) - 2)), "")</f>
        <v>11</v>
      </c>
      <c r="AG4557" s="9" t="s">
        <v>19</v>
      </c>
    </row>
    <row r="4558" spans="1:33">
      <c r="A4558" s="3" t="s">
        <v>4358</v>
      </c>
      <c r="D4558" s="3" t="s">
        <v>11087</v>
      </c>
      <c r="E4558" s="3" t="s">
        <v>11086</v>
      </c>
      <c r="G4558" t="s">
        <v>19</v>
      </c>
      <c r="J4558" s="9" t="s">
        <v>25</v>
      </c>
      <c r="L4558" s="9">
        <v>1</v>
      </c>
      <c r="M4558" s="9">
        <v>3</v>
      </c>
      <c r="N4558" s="9" t="s">
        <v>12087</v>
      </c>
      <c r="O4558" s="9" t="s">
        <v>12079</v>
      </c>
      <c r="Q4558" s="10"/>
      <c r="S4558" s="9">
        <v>5676</v>
      </c>
      <c r="U4558" s="9" t="str">
        <f t="shared" ca="1" si="186"/>
        <v/>
      </c>
      <c r="V4558" s="9" t="str">
        <f t="shared" ca="1" si="187"/>
        <v/>
      </c>
    </row>
    <row r="4559" spans="1:33">
      <c r="A4559" s="3" t="s">
        <v>4359</v>
      </c>
      <c r="D4559" s="3" t="s">
        <v>11089</v>
      </c>
      <c r="E4559" s="3" t="s">
        <v>11088</v>
      </c>
      <c r="G4559" t="s">
        <v>19</v>
      </c>
      <c r="J4559" s="9" t="s">
        <v>12118</v>
      </c>
      <c r="Q4559" s="10"/>
      <c r="T4559" s="9">
        <f>2042-42</f>
        <v>2000</v>
      </c>
      <c r="U4559" s="9">
        <f t="shared" ca="1" si="186"/>
        <v>42</v>
      </c>
      <c r="V4559" s="9">
        <f t="shared" ca="1" si="187"/>
        <v>2042</v>
      </c>
    </row>
    <row r="4560" spans="1:33">
      <c r="A4560" s="3" t="s">
        <v>4359</v>
      </c>
      <c r="D4560" s="3" t="s">
        <v>4360</v>
      </c>
      <c r="E4560" s="3" t="s">
        <v>4361</v>
      </c>
      <c r="G4560" t="s">
        <v>21</v>
      </c>
      <c r="I4560" t="s">
        <v>11090</v>
      </c>
      <c r="J4560" s="9" t="s">
        <v>12118</v>
      </c>
      <c r="Q4560" s="10"/>
      <c r="T4560" s="9" t="s">
        <v>12131</v>
      </c>
      <c r="U4560" s="9" t="str">
        <f t="shared" ca="1" si="186"/>
        <v/>
      </c>
      <c r="V4560" s="9" t="str">
        <f t="shared" ca="1" si="187"/>
        <v/>
      </c>
      <c r="AE4560" s="9" t="s">
        <v>12086</v>
      </c>
    </row>
    <row r="4561" spans="1:33">
      <c r="A4561" s="3" t="s">
        <v>4359</v>
      </c>
      <c r="D4561" s="3" t="s">
        <v>11092</v>
      </c>
      <c r="E4561" s="3" t="s">
        <v>11093</v>
      </c>
      <c r="G4561" t="s">
        <v>20</v>
      </c>
      <c r="I4561" t="s">
        <v>11095</v>
      </c>
      <c r="Q4561" s="10"/>
      <c r="U4561" s="9" t="str">
        <f t="shared" ca="1" si="186"/>
        <v/>
      </c>
      <c r="V4561" s="9" t="str">
        <f t="shared" ca="1" si="187"/>
        <v/>
      </c>
    </row>
    <row r="4562" spans="1:33">
      <c r="A4562" s="3" t="s">
        <v>4359</v>
      </c>
      <c r="D4562" s="3" t="s">
        <v>11091</v>
      </c>
      <c r="E4562" s="3" t="s">
        <v>11094</v>
      </c>
      <c r="J4562" s="9" t="s">
        <v>24</v>
      </c>
      <c r="L4562" s="9">
        <v>1</v>
      </c>
      <c r="M4562" s="9">
        <v>3</v>
      </c>
      <c r="N4562" s="9" t="s">
        <v>12078</v>
      </c>
      <c r="O4562" s="9" t="s">
        <v>12079</v>
      </c>
      <c r="Q4562" s="10"/>
      <c r="S4562" s="9">
        <v>11843</v>
      </c>
      <c r="U4562" s="9" t="str">
        <f t="shared" ca="1" si="186"/>
        <v/>
      </c>
      <c r="V4562" s="9" t="str">
        <f t="shared" ca="1" si="187"/>
        <v/>
      </c>
      <c r="AG4562" s="9" t="s">
        <v>19</v>
      </c>
    </row>
    <row r="4563" spans="1:33">
      <c r="A4563" s="3" t="s">
        <v>4362</v>
      </c>
      <c r="D4563" s="3" t="s">
        <v>11097</v>
      </c>
      <c r="E4563" s="3" t="s">
        <v>11096</v>
      </c>
      <c r="J4563" s="9" t="s">
        <v>12118</v>
      </c>
      <c r="Q4563" s="10"/>
      <c r="T4563" s="9">
        <f>780-4240</f>
        <v>-3460</v>
      </c>
      <c r="U4563" s="9">
        <f t="shared" ca="1" si="186"/>
        <v>4240</v>
      </c>
      <c r="V4563" s="9">
        <f t="shared" ca="1" si="187"/>
        <v>780</v>
      </c>
      <c r="AG4563" s="9" t="s">
        <v>19</v>
      </c>
    </row>
    <row r="4564" spans="1:33">
      <c r="A4564" s="3" t="s">
        <v>4362</v>
      </c>
      <c r="D4564" s="3" t="s">
        <v>11099</v>
      </c>
      <c r="E4564" s="3" t="s">
        <v>11098</v>
      </c>
      <c r="G4564" t="s">
        <v>19</v>
      </c>
      <c r="J4564" s="9" t="s">
        <v>12120</v>
      </c>
      <c r="Q4564" s="10"/>
      <c r="U4564" s="9" t="str">
        <f t="shared" ca="1" si="186"/>
        <v/>
      </c>
      <c r="V4564" s="9" t="str">
        <f t="shared" ca="1" si="187"/>
        <v/>
      </c>
      <c r="AB4564" s="9" t="s">
        <v>12082</v>
      </c>
      <c r="AD4564" s="9" t="s">
        <v>19</v>
      </c>
    </row>
    <row r="4565" spans="1:33">
      <c r="A4565" s="3" t="s">
        <v>4362</v>
      </c>
      <c r="D4565" s="3" t="s">
        <v>11100</v>
      </c>
      <c r="E4565" s="3" t="s">
        <v>11101</v>
      </c>
      <c r="G4565" t="s">
        <v>19</v>
      </c>
      <c r="J4565" s="9" t="s">
        <v>12118</v>
      </c>
      <c r="Q4565" s="10"/>
      <c r="T4565" s="9">
        <f>591-207</f>
        <v>384</v>
      </c>
      <c r="U4565" s="9">
        <f t="shared" ca="1" si="186"/>
        <v>207</v>
      </c>
      <c r="V4565" s="9">
        <f t="shared" ca="1" si="187"/>
        <v>591</v>
      </c>
    </row>
    <row r="4566" spans="1:33" ht="29">
      <c r="A4566" s="3" t="s">
        <v>4363</v>
      </c>
      <c r="D4566" s="3" t="s">
        <v>11103</v>
      </c>
      <c r="E4566" s="3" t="s">
        <v>11102</v>
      </c>
      <c r="G4566" t="s">
        <v>19</v>
      </c>
      <c r="J4566" s="9" t="s">
        <v>24</v>
      </c>
      <c r="L4566" s="9">
        <v>1</v>
      </c>
      <c r="M4566" s="9">
        <v>3</v>
      </c>
      <c r="N4566" s="9" t="s">
        <v>12078</v>
      </c>
      <c r="O4566" s="9" t="s">
        <v>12079</v>
      </c>
      <c r="Q4566" s="10"/>
      <c r="S4566" s="9">
        <v>11843</v>
      </c>
      <c r="U4566" s="9" t="str">
        <f t="shared" ca="1" si="186"/>
        <v/>
      </c>
      <c r="V4566" s="9" t="str">
        <f t="shared" ca="1" si="187"/>
        <v/>
      </c>
    </row>
    <row r="4567" spans="1:33">
      <c r="A4567" s="3" t="s">
        <v>4364</v>
      </c>
      <c r="D4567" s="3" t="s">
        <v>11104</v>
      </c>
      <c r="E4567" s="3" t="s">
        <v>11104</v>
      </c>
      <c r="G4567" t="s">
        <v>20</v>
      </c>
      <c r="I4567" t="s">
        <v>11105</v>
      </c>
      <c r="Q4567" s="10"/>
      <c r="U4567" s="9" t="str">
        <f t="shared" ca="1" si="186"/>
        <v/>
      </c>
      <c r="V4567" s="9" t="str">
        <f t="shared" ca="1" si="187"/>
        <v/>
      </c>
    </row>
    <row r="4568" spans="1:33" ht="29">
      <c r="A4568" s="3" t="s">
        <v>4364</v>
      </c>
      <c r="D4568" s="3" t="s">
        <v>11107</v>
      </c>
      <c r="E4568" s="3" t="s">
        <v>11108</v>
      </c>
      <c r="J4568" s="9" t="s">
        <v>12118</v>
      </c>
      <c r="Q4568" s="10"/>
      <c r="T4568" s="9" t="s">
        <v>12119</v>
      </c>
      <c r="U4568" s="9" t="str">
        <f t="shared" ca="1" si="186"/>
        <v/>
      </c>
      <c r="V4568" s="9" t="str">
        <f t="shared" ca="1" si="187"/>
        <v/>
      </c>
      <c r="AB4568" s="9" t="s">
        <v>12124</v>
      </c>
      <c r="AC4568" s="9" t="s">
        <v>12134</v>
      </c>
      <c r="AD4568" s="9" t="s">
        <v>19</v>
      </c>
    </row>
    <row r="4569" spans="1:33" ht="29">
      <c r="A4569" s="3" t="s">
        <v>4364</v>
      </c>
      <c r="D4569" s="3" t="s">
        <v>11109</v>
      </c>
      <c r="E4569" s="3" t="s">
        <v>11106</v>
      </c>
      <c r="G4569" t="s">
        <v>19</v>
      </c>
      <c r="J4569" s="9" t="s">
        <v>25</v>
      </c>
      <c r="L4569" s="9">
        <v>1</v>
      </c>
      <c r="M4569" s="9">
        <v>3</v>
      </c>
      <c r="N4569" s="9" t="s">
        <v>12087</v>
      </c>
      <c r="O4569" s="9" t="s">
        <v>12079</v>
      </c>
      <c r="Q4569" s="10"/>
      <c r="S4569" s="9">
        <v>5676</v>
      </c>
      <c r="U4569" s="9" t="str">
        <f t="shared" ca="1" si="186"/>
        <v/>
      </c>
      <c r="V4569" s="9" t="str">
        <f t="shared" ca="1" si="187"/>
        <v/>
      </c>
    </row>
    <row r="4570" spans="1:33" ht="29">
      <c r="A4570" s="3" t="s">
        <v>4364</v>
      </c>
      <c r="D4570" s="3" t="s">
        <v>11110</v>
      </c>
      <c r="E4570" s="3" t="s">
        <v>11111</v>
      </c>
      <c r="J4570" s="9" t="s">
        <v>12118</v>
      </c>
      <c r="Q4570" s="10"/>
      <c r="T4570" s="9" t="s">
        <v>12119</v>
      </c>
      <c r="U4570" s="9" t="str">
        <f t="shared" ca="1" si="186"/>
        <v/>
      </c>
      <c r="V4570" s="9" t="str">
        <f t="shared" ca="1" si="187"/>
        <v/>
      </c>
      <c r="AC4570" s="9" t="s">
        <v>12134</v>
      </c>
      <c r="AD4570" s="9" t="s">
        <v>19</v>
      </c>
      <c r="AE4570" s="9" t="s">
        <v>12086</v>
      </c>
    </row>
    <row r="4571" spans="1:33" ht="29">
      <c r="A4571" s="3" t="s">
        <v>4364</v>
      </c>
      <c r="D4571" s="3" t="s">
        <v>11112</v>
      </c>
      <c r="E4571" s="3" t="s">
        <v>11113</v>
      </c>
      <c r="J4571" s="9" t="s">
        <v>24</v>
      </c>
      <c r="L4571" s="9">
        <v>1</v>
      </c>
      <c r="M4571" s="9">
        <v>3</v>
      </c>
      <c r="N4571" s="9" t="s">
        <v>12078</v>
      </c>
      <c r="O4571" s="9" t="s">
        <v>12073</v>
      </c>
      <c r="P4571" s="9" t="s">
        <v>12142</v>
      </c>
      <c r="Q4571" s="10" t="s">
        <v>12143</v>
      </c>
      <c r="R4571" s="9" t="s">
        <v>12074</v>
      </c>
      <c r="S4571" s="9">
        <v>11843</v>
      </c>
      <c r="U4571" s="9" t="str">
        <f t="shared" ca="1" si="186"/>
        <v/>
      </c>
      <c r="V4571" s="9" t="str">
        <f t="shared" ca="1" si="187"/>
        <v/>
      </c>
      <c r="AE4571" s="9" t="s">
        <v>12083</v>
      </c>
    </row>
    <row r="4572" spans="1:33">
      <c r="A4572" s="3" t="s">
        <v>4365</v>
      </c>
      <c r="D4572" s="3" t="s">
        <v>11114</v>
      </c>
      <c r="E4572" s="3" t="s">
        <v>11115</v>
      </c>
      <c r="G4572" t="s">
        <v>19</v>
      </c>
      <c r="J4572" s="9" t="s">
        <v>12120</v>
      </c>
      <c r="Q4572" s="10"/>
      <c r="U4572" s="9" t="str">
        <f t="shared" ca="1" si="186"/>
        <v/>
      </c>
      <c r="V4572" s="9" t="str">
        <f t="shared" ca="1" si="187"/>
        <v/>
      </c>
      <c r="AE4572" s="9" t="s">
        <v>12089</v>
      </c>
    </row>
    <row r="4573" spans="1:33" ht="29">
      <c r="A4573" s="3" t="s">
        <v>4365</v>
      </c>
      <c r="D4573" s="3" t="s">
        <v>11117</v>
      </c>
      <c r="E4573" s="3" t="s">
        <v>11116</v>
      </c>
      <c r="J4573" s="9" t="s">
        <v>12120</v>
      </c>
      <c r="Q4573" s="10"/>
      <c r="U4573" s="9" t="str">
        <f t="shared" ca="1" si="186"/>
        <v/>
      </c>
      <c r="V4573" s="9" t="str">
        <f t="shared" ca="1" si="187"/>
        <v/>
      </c>
      <c r="AG4573" s="9" t="s">
        <v>20</v>
      </c>
    </row>
    <row r="4574" spans="1:33">
      <c r="A4574" s="3" t="s">
        <v>4365</v>
      </c>
      <c r="D4574" s="3" t="s">
        <v>11119</v>
      </c>
      <c r="E4574" s="3" t="s">
        <v>11118</v>
      </c>
      <c r="G4574" t="s">
        <v>19</v>
      </c>
      <c r="J4574" s="9" t="s">
        <v>12120</v>
      </c>
      <c r="Q4574" s="10"/>
      <c r="U4574" s="9" t="str">
        <f t="shared" ca="1" si="186"/>
        <v/>
      </c>
      <c r="V4574" s="9" t="str">
        <f t="shared" ca="1" si="187"/>
        <v/>
      </c>
    </row>
    <row r="4575" spans="1:33" ht="29">
      <c r="A4575" s="3" t="s">
        <v>4366</v>
      </c>
      <c r="D4575" s="3" t="s">
        <v>11120</v>
      </c>
      <c r="E4575" s="3" t="s">
        <v>11121</v>
      </c>
      <c r="J4575" s="9" t="s">
        <v>12118</v>
      </c>
      <c r="Q4575" s="10"/>
      <c r="T4575" s="9">
        <f>166-1966</f>
        <v>-1800</v>
      </c>
      <c r="U4575" s="9">
        <f t="shared" ca="1" si="186"/>
        <v>1966</v>
      </c>
      <c r="V4575" s="9">
        <f t="shared" ca="1" si="187"/>
        <v>166</v>
      </c>
      <c r="AG4575" s="9" t="s">
        <v>19</v>
      </c>
    </row>
    <row r="4576" spans="1:33" ht="29">
      <c r="A4576" s="3" t="s">
        <v>4367</v>
      </c>
      <c r="D4576" s="3" t="s">
        <v>11122</v>
      </c>
      <c r="E4576" s="3" t="s">
        <v>11123</v>
      </c>
      <c r="J4576" s="9" t="s">
        <v>25</v>
      </c>
      <c r="L4576" s="9">
        <v>1</v>
      </c>
      <c r="M4576" s="9">
        <v>2</v>
      </c>
      <c r="N4576" s="9" t="s">
        <v>12087</v>
      </c>
      <c r="O4576" s="9" t="s">
        <v>12119</v>
      </c>
      <c r="Q4576" s="10"/>
      <c r="S4576" s="9">
        <v>166</v>
      </c>
      <c r="U4576" s="9" t="str">
        <f t="shared" ca="1" si="186"/>
        <v/>
      </c>
      <c r="V4576" s="9" t="str">
        <f t="shared" ca="1" si="187"/>
        <v/>
      </c>
      <c r="AG4576" s="9" t="s">
        <v>19</v>
      </c>
    </row>
    <row r="4577" spans="1:33">
      <c r="A4577" s="3" t="s">
        <v>4367</v>
      </c>
      <c r="D4577" s="3" t="s">
        <v>11125</v>
      </c>
      <c r="E4577" s="3" t="s">
        <v>11124</v>
      </c>
      <c r="G4577" t="s">
        <v>19</v>
      </c>
      <c r="J4577" s="9" t="s">
        <v>12118</v>
      </c>
      <c r="Q4577" s="10"/>
      <c r="T4577" s="9">
        <f>16-507</f>
        <v>-491</v>
      </c>
      <c r="U4577" s="9">
        <f t="shared" ca="1" si="186"/>
        <v>507</v>
      </c>
      <c r="V4577" s="9">
        <f t="shared" ca="1" si="187"/>
        <v>16</v>
      </c>
    </row>
    <row r="4578" spans="1:33">
      <c r="A4578" s="3" t="s">
        <v>4368</v>
      </c>
      <c r="D4578" s="3" t="s">
        <v>11126</v>
      </c>
      <c r="E4578" s="3" t="s">
        <v>11127</v>
      </c>
      <c r="J4578" s="9" t="s">
        <v>12120</v>
      </c>
      <c r="Q4578" s="10"/>
      <c r="U4578" s="9" t="str">
        <f t="shared" ca="1" si="186"/>
        <v/>
      </c>
      <c r="V4578" s="9" t="str">
        <f t="shared" ca="1" si="187"/>
        <v/>
      </c>
      <c r="AB4578" s="9" t="s">
        <v>12738</v>
      </c>
      <c r="AD4578" s="9" t="s">
        <v>19</v>
      </c>
    </row>
    <row r="4579" spans="1:33" ht="29">
      <c r="A4579" s="3" t="s">
        <v>4369</v>
      </c>
      <c r="D4579" s="3" t="s">
        <v>11128</v>
      </c>
      <c r="E4579" s="3" t="s">
        <v>11129</v>
      </c>
      <c r="J4579" s="9" t="s">
        <v>12120</v>
      </c>
      <c r="Q4579" s="10"/>
      <c r="U4579" s="9" t="str">
        <f t="shared" ca="1" si="186"/>
        <v/>
      </c>
      <c r="V4579" s="9" t="str">
        <f t="shared" ca="1" si="187"/>
        <v/>
      </c>
      <c r="AG4579" s="9" t="s">
        <v>20</v>
      </c>
    </row>
    <row r="4580" spans="1:33" ht="29">
      <c r="A4580" s="3" t="s">
        <v>4369</v>
      </c>
      <c r="D4580" s="3" t="s">
        <v>11130</v>
      </c>
      <c r="E4580" s="3" t="s">
        <v>11131</v>
      </c>
      <c r="J4580" s="9" t="s">
        <v>12120</v>
      </c>
      <c r="Q4580" s="10"/>
      <c r="U4580" s="9" t="str">
        <f t="shared" ca="1" si="186"/>
        <v/>
      </c>
      <c r="V4580" s="9" t="str">
        <f t="shared" ca="1" si="187"/>
        <v/>
      </c>
      <c r="AG4580" s="9" t="s">
        <v>20</v>
      </c>
    </row>
    <row r="4581" spans="1:33" ht="43.5">
      <c r="A4581" s="3" t="s">
        <v>4370</v>
      </c>
      <c r="D4581" s="3" t="s">
        <v>11133</v>
      </c>
      <c r="E4581" s="3" t="s">
        <v>11134</v>
      </c>
      <c r="J4581" s="9" t="s">
        <v>24</v>
      </c>
      <c r="L4581" s="9">
        <v>1</v>
      </c>
      <c r="M4581" s="9">
        <v>2</v>
      </c>
      <c r="N4581" s="9" t="s">
        <v>12096</v>
      </c>
      <c r="O4581" s="9" t="s">
        <v>12119</v>
      </c>
      <c r="Q4581" s="10"/>
      <c r="R4581" s="9" t="s">
        <v>12074</v>
      </c>
      <c r="S4581" s="9">
        <v>1294</v>
      </c>
      <c r="U4581" s="9" t="str">
        <f t="shared" ca="1" si="186"/>
        <v/>
      </c>
      <c r="V4581" s="9" t="str">
        <f t="shared" ca="1" si="187"/>
        <v/>
      </c>
      <c r="AG4581" s="9" t="s">
        <v>20</v>
      </c>
    </row>
    <row r="4582" spans="1:33" ht="43.5">
      <c r="A4582" s="3" t="s">
        <v>4370</v>
      </c>
      <c r="D4582" s="6" t="s">
        <v>11135</v>
      </c>
      <c r="E4582" s="3" t="s">
        <v>11136</v>
      </c>
      <c r="F4582" t="s">
        <v>11</v>
      </c>
      <c r="G4582" t="s">
        <v>20</v>
      </c>
      <c r="Q4582" s="10"/>
      <c r="U4582" s="9" t="str">
        <f t="shared" ca="1" si="186"/>
        <v/>
      </c>
      <c r="V4582" s="9" t="str">
        <f t="shared" ca="1" si="187"/>
        <v/>
      </c>
      <c r="AF4582" s="9" t="s">
        <v>19</v>
      </c>
    </row>
    <row r="4583" spans="1:33" ht="43.5">
      <c r="A4583" s="3" t="s">
        <v>4370</v>
      </c>
      <c r="D4583" s="3" t="s">
        <v>11137</v>
      </c>
      <c r="E4583" s="3" t="s">
        <v>11132</v>
      </c>
      <c r="I4583" t="s">
        <v>12579</v>
      </c>
      <c r="J4583" s="9" t="s">
        <v>25</v>
      </c>
      <c r="L4583" s="9">
        <v>4</v>
      </c>
      <c r="M4583" s="9">
        <v>17</v>
      </c>
      <c r="O4583" s="9" t="s">
        <v>12073</v>
      </c>
      <c r="P4583" s="9" t="s">
        <v>12140</v>
      </c>
      <c r="Q4583" s="10" t="s">
        <v>12136</v>
      </c>
      <c r="S4583" s="9">
        <v>63</v>
      </c>
      <c r="U4583" s="9" t="str">
        <f t="shared" ca="1" si="186"/>
        <v/>
      </c>
      <c r="V4583" s="9" t="str">
        <f t="shared" ca="1" si="187"/>
        <v/>
      </c>
      <c r="AG4583" s="9" t="s">
        <v>20</v>
      </c>
    </row>
    <row r="4584" spans="1:33">
      <c r="A4584" s="3" t="s">
        <v>4370</v>
      </c>
      <c r="D4584" s="3" t="s">
        <v>11139</v>
      </c>
      <c r="E4584" s="3" t="s">
        <v>11138</v>
      </c>
      <c r="G4584" t="s">
        <v>19</v>
      </c>
      <c r="J4584" s="9" t="s">
        <v>12120</v>
      </c>
      <c r="Q4584" s="10"/>
      <c r="U4584" s="9" t="str">
        <f t="shared" ca="1" si="186"/>
        <v/>
      </c>
      <c r="V4584" s="9" t="str">
        <f t="shared" ca="1" si="187"/>
        <v/>
      </c>
      <c r="AB4584" s="9" t="s">
        <v>12082</v>
      </c>
      <c r="AD4584" s="9" t="s">
        <v>19</v>
      </c>
    </row>
    <row r="4585" spans="1:33">
      <c r="A4585" s="3" t="s">
        <v>4371</v>
      </c>
      <c r="D4585" s="3" t="s">
        <v>11140</v>
      </c>
      <c r="E4585" s="3" t="s">
        <v>11141</v>
      </c>
      <c r="J4585" s="9" t="s">
        <v>12120</v>
      </c>
      <c r="Q4585" s="10"/>
      <c r="U4585" s="9" t="str">
        <f t="shared" ca="1" si="186"/>
        <v/>
      </c>
      <c r="V4585" s="9" t="str">
        <f t="shared" ca="1" si="187"/>
        <v/>
      </c>
      <c r="AC4585" s="9" t="s">
        <v>12128</v>
      </c>
      <c r="AD4585" s="9" t="s">
        <v>19</v>
      </c>
      <c r="AE4585" s="9" t="s">
        <v>12083</v>
      </c>
    </row>
    <row r="4586" spans="1:33">
      <c r="A4586" s="3" t="s">
        <v>4372</v>
      </c>
      <c r="D4586" s="3" t="s">
        <v>3892</v>
      </c>
      <c r="E4586" s="3" t="s">
        <v>3893</v>
      </c>
      <c r="J4586" s="9" t="s">
        <v>12118</v>
      </c>
      <c r="Q4586" s="10"/>
      <c r="T4586" s="9">
        <f>7-0</f>
        <v>7</v>
      </c>
      <c r="U4586" s="9">
        <f t="shared" ca="1" si="186"/>
        <v>0</v>
      </c>
      <c r="V4586" s="9">
        <f t="shared" ca="1" si="187"/>
        <v>7</v>
      </c>
      <c r="AG4586" s="9" t="s">
        <v>20</v>
      </c>
    </row>
    <row r="4587" spans="1:33" ht="29">
      <c r="A4587" s="3" t="s">
        <v>4372</v>
      </c>
      <c r="D4587" s="3" t="s">
        <v>11143</v>
      </c>
      <c r="E4587" s="3" t="s">
        <v>11142</v>
      </c>
      <c r="I4587" t="s">
        <v>12580</v>
      </c>
      <c r="J4587" s="9" t="s">
        <v>25</v>
      </c>
      <c r="L4587" s="9">
        <v>4</v>
      </c>
      <c r="M4587" s="9">
        <v>20</v>
      </c>
      <c r="O4587" s="9" t="s">
        <v>12079</v>
      </c>
      <c r="Q4587" s="10"/>
      <c r="S4587" s="9">
        <v>40</v>
      </c>
      <c r="U4587" s="9" t="str">
        <f t="shared" ca="1" si="186"/>
        <v/>
      </c>
      <c r="V4587" s="9" t="str">
        <f t="shared" ca="1" si="187"/>
        <v/>
      </c>
      <c r="AG4587" s="9" t="s">
        <v>19</v>
      </c>
    </row>
    <row r="4588" spans="1:33" ht="29">
      <c r="A4588" s="3" t="s">
        <v>4373</v>
      </c>
      <c r="D4588" s="3" t="s">
        <v>11144</v>
      </c>
      <c r="E4588" s="3" t="s">
        <v>11145</v>
      </c>
      <c r="G4588" t="s">
        <v>19</v>
      </c>
      <c r="J4588" s="9" t="s">
        <v>30</v>
      </c>
      <c r="Q4588" s="10"/>
      <c r="U4588" s="9" t="str">
        <f t="shared" ca="1" si="186"/>
        <v/>
      </c>
      <c r="V4588" s="9" t="str">
        <f t="shared" ca="1" si="187"/>
        <v/>
      </c>
      <c r="AF4588" s="9" t="s">
        <v>19</v>
      </c>
    </row>
    <row r="4589" spans="1:33" ht="29">
      <c r="A4589" s="3" t="s">
        <v>4373</v>
      </c>
      <c r="D4589" s="3" t="s">
        <v>11146</v>
      </c>
      <c r="E4589" s="3" t="s">
        <v>11147</v>
      </c>
      <c r="G4589" t="s">
        <v>19</v>
      </c>
      <c r="J4589" s="9" t="s">
        <v>12120</v>
      </c>
      <c r="Q4589" s="10"/>
      <c r="U4589" s="9" t="str">
        <f t="shared" ca="1" si="186"/>
        <v/>
      </c>
      <c r="V4589" s="9" t="str">
        <f t="shared" ca="1" si="187"/>
        <v/>
      </c>
      <c r="AE4589" s="9" t="s">
        <v>12086</v>
      </c>
    </row>
    <row r="4590" spans="1:33" ht="72.5">
      <c r="A4590" s="3" t="s">
        <v>4374</v>
      </c>
      <c r="D4590" s="3" t="s">
        <v>11148</v>
      </c>
      <c r="E4590" s="3" t="s">
        <v>11149</v>
      </c>
      <c r="I4590" t="s">
        <v>12581</v>
      </c>
      <c r="J4590" s="9" t="s">
        <v>25</v>
      </c>
      <c r="L4590" s="9">
        <v>8</v>
      </c>
      <c r="M4590" s="9">
        <v>54</v>
      </c>
      <c r="O4590" s="9" t="s">
        <v>12079</v>
      </c>
      <c r="Q4590" s="10"/>
      <c r="S4590" s="9">
        <v>3</v>
      </c>
      <c r="U4590" s="9" t="str">
        <f t="shared" ca="1" si="186"/>
        <v/>
      </c>
      <c r="V4590" s="9" t="str">
        <f t="shared" ca="1" si="187"/>
        <v/>
      </c>
      <c r="AG4590" s="9" t="s">
        <v>19</v>
      </c>
    </row>
    <row r="4591" spans="1:33">
      <c r="A4591" s="3" t="s">
        <v>4374</v>
      </c>
      <c r="D4591" s="3" t="s">
        <v>11150</v>
      </c>
      <c r="E4591" s="3" t="s">
        <v>11150</v>
      </c>
      <c r="G4591" t="s">
        <v>20</v>
      </c>
      <c r="I4591" t="s">
        <v>11151</v>
      </c>
      <c r="Q4591" s="10"/>
      <c r="U4591" s="9" t="str">
        <f t="shared" ca="1" si="186"/>
        <v/>
      </c>
      <c r="V4591" s="9" t="str">
        <f t="shared" ca="1" si="187"/>
        <v/>
      </c>
    </row>
    <row r="4592" spans="1:33">
      <c r="A4592" s="3" t="s">
        <v>4375</v>
      </c>
      <c r="D4592" s="3" t="s">
        <v>11152</v>
      </c>
      <c r="E4592" s="3" t="s">
        <v>11153</v>
      </c>
      <c r="J4592" s="9" t="s">
        <v>12118</v>
      </c>
      <c r="Q4592" s="10"/>
      <c r="R4592" s="9" t="s">
        <v>12074</v>
      </c>
      <c r="T4592" s="9" t="s">
        <v>12131</v>
      </c>
      <c r="U4592" s="9" t="str">
        <f t="shared" ca="1" si="186"/>
        <v/>
      </c>
      <c r="V4592" s="9" t="str">
        <f t="shared" ca="1" si="187"/>
        <v/>
      </c>
      <c r="AE4592" s="9" t="s">
        <v>12077</v>
      </c>
    </row>
    <row r="4593" spans="1:33">
      <c r="A4593" s="3" t="s">
        <v>4376</v>
      </c>
      <c r="D4593" s="3" t="s">
        <v>11155</v>
      </c>
      <c r="E4593" s="3" t="s">
        <v>11154</v>
      </c>
      <c r="J4593" s="9" t="s">
        <v>25</v>
      </c>
      <c r="L4593" s="9">
        <v>1</v>
      </c>
      <c r="M4593" s="9">
        <v>2</v>
      </c>
      <c r="N4593" s="9" t="s">
        <v>12087</v>
      </c>
      <c r="O4593" s="9" t="s">
        <v>12119</v>
      </c>
      <c r="Q4593" s="10"/>
      <c r="S4593" s="9">
        <v>1966</v>
      </c>
      <c r="U4593" s="9" t="str">
        <f t="shared" ca="1" si="186"/>
        <v/>
      </c>
      <c r="V4593" s="9" t="str">
        <f t="shared" ca="1" si="187"/>
        <v/>
      </c>
      <c r="AG4593" s="9" t="s">
        <v>20</v>
      </c>
    </row>
    <row r="4594" spans="1:33" ht="29">
      <c r="A4594" s="3" t="s">
        <v>4376</v>
      </c>
      <c r="D4594" s="3" t="s">
        <v>11157</v>
      </c>
      <c r="E4594" s="3" t="s">
        <v>11158</v>
      </c>
      <c r="G4594" t="s">
        <v>19</v>
      </c>
      <c r="I4594" s="4"/>
      <c r="J4594" s="9" t="s">
        <v>12120</v>
      </c>
      <c r="Q4594" s="10"/>
      <c r="U4594" s="9" t="str">
        <f t="shared" ca="1" si="186"/>
        <v/>
      </c>
      <c r="V4594" s="9" t="str">
        <f t="shared" ca="1" si="187"/>
        <v/>
      </c>
    </row>
    <row r="4595" spans="1:33" ht="29">
      <c r="A4595" s="3" t="s">
        <v>4376</v>
      </c>
      <c r="D4595" s="3" t="s">
        <v>11159</v>
      </c>
      <c r="E4595" s="3" t="s">
        <v>11156</v>
      </c>
      <c r="G4595" t="s">
        <v>19</v>
      </c>
      <c r="I4595" s="4"/>
      <c r="J4595" s="9" t="s">
        <v>25</v>
      </c>
      <c r="L4595" s="9">
        <v>2</v>
      </c>
      <c r="M4595" s="9">
        <v>5</v>
      </c>
      <c r="O4595" s="9" t="s">
        <v>12079</v>
      </c>
      <c r="Q4595" s="10"/>
      <c r="S4595" s="9">
        <v>172</v>
      </c>
      <c r="U4595" s="9" t="str">
        <f t="shared" ca="1" si="186"/>
        <v/>
      </c>
      <c r="V4595" s="9" t="str">
        <f t="shared" ca="1" si="187"/>
        <v/>
      </c>
    </row>
    <row r="4596" spans="1:33" ht="29">
      <c r="A4596" s="3" t="s">
        <v>4376</v>
      </c>
      <c r="D4596" s="3" t="s">
        <v>11160</v>
      </c>
      <c r="E4596" s="3" t="s">
        <v>11156</v>
      </c>
      <c r="G4596" t="s">
        <v>19</v>
      </c>
      <c r="I4596" s="4"/>
      <c r="J4596" s="9" t="s">
        <v>25</v>
      </c>
      <c r="L4596" s="9">
        <v>1</v>
      </c>
      <c r="M4596" s="9">
        <v>3</v>
      </c>
      <c r="N4596" s="9" t="s">
        <v>12087</v>
      </c>
      <c r="O4596" s="9" t="s">
        <v>12079</v>
      </c>
      <c r="Q4596" s="10"/>
      <c r="S4596" s="9">
        <v>5676</v>
      </c>
      <c r="U4596" s="9" t="str">
        <f t="shared" ca="1" si="186"/>
        <v/>
      </c>
      <c r="V4596" s="9" t="str">
        <f t="shared" ca="1" si="187"/>
        <v/>
      </c>
    </row>
    <row r="4597" spans="1:33">
      <c r="A4597" s="3" t="s">
        <v>4376</v>
      </c>
      <c r="D4597" s="3" t="s">
        <v>11162</v>
      </c>
      <c r="E4597" s="3" t="s">
        <v>11161</v>
      </c>
      <c r="G4597" t="s">
        <v>19</v>
      </c>
      <c r="J4597" s="9" t="s">
        <v>24</v>
      </c>
      <c r="L4597" s="9">
        <v>1</v>
      </c>
      <c r="M4597" s="9">
        <v>2</v>
      </c>
      <c r="N4597" s="9" t="s">
        <v>12096</v>
      </c>
      <c r="O4597" s="9" t="s">
        <v>12119</v>
      </c>
      <c r="Q4597" s="10"/>
      <c r="S4597" s="9">
        <v>1294</v>
      </c>
      <c r="U4597" s="9" t="str">
        <f t="shared" ca="1" si="186"/>
        <v/>
      </c>
      <c r="V4597" s="9" t="str">
        <f t="shared" ca="1" si="187"/>
        <v/>
      </c>
    </row>
    <row r="4598" spans="1:33">
      <c r="A4598" s="3" t="s">
        <v>4376</v>
      </c>
      <c r="D4598" s="3" t="s">
        <v>11164</v>
      </c>
      <c r="E4598" s="3" t="s">
        <v>11163</v>
      </c>
      <c r="G4598" t="s">
        <v>19</v>
      </c>
      <c r="J4598" s="9" t="s">
        <v>24</v>
      </c>
      <c r="L4598" s="9">
        <v>1</v>
      </c>
      <c r="M4598" s="9">
        <v>3</v>
      </c>
      <c r="N4598" s="9" t="s">
        <v>12078</v>
      </c>
      <c r="O4598" s="9" t="s">
        <v>12079</v>
      </c>
      <c r="Q4598" s="10"/>
      <c r="S4598" s="9">
        <v>11843</v>
      </c>
      <c r="U4598" s="9" t="str">
        <f t="shared" ca="1" si="186"/>
        <v/>
      </c>
      <c r="V4598" s="9" t="str">
        <f t="shared" ca="1" si="187"/>
        <v/>
      </c>
    </row>
    <row r="4599" spans="1:33">
      <c r="A4599" s="3" t="s">
        <v>4377</v>
      </c>
      <c r="D4599" s="3" t="s">
        <v>11166</v>
      </c>
      <c r="E4599" s="3" t="s">
        <v>11165</v>
      </c>
      <c r="J4599" s="9" t="s">
        <v>25</v>
      </c>
      <c r="L4599" s="9">
        <v>1</v>
      </c>
      <c r="M4599" s="9">
        <v>1</v>
      </c>
      <c r="N4599" s="9" t="s">
        <v>12078</v>
      </c>
      <c r="O4599" s="9" t="s">
        <v>12119</v>
      </c>
      <c r="Q4599" s="10"/>
      <c r="S4599" s="9">
        <v>11843</v>
      </c>
      <c r="U4599" s="9" t="str">
        <f t="shared" ca="1" si="186"/>
        <v/>
      </c>
      <c r="V4599" s="9" t="str">
        <f t="shared" ca="1" si="187"/>
        <v/>
      </c>
      <c r="AG4599" s="9" t="s">
        <v>19</v>
      </c>
    </row>
    <row r="4600" spans="1:33">
      <c r="A4600" s="3" t="s">
        <v>4377</v>
      </c>
      <c r="D4600" s="3" t="s">
        <v>11168</v>
      </c>
      <c r="E4600" s="3" t="s">
        <v>11167</v>
      </c>
      <c r="G4600" t="s">
        <v>19</v>
      </c>
      <c r="J4600" s="9" t="s">
        <v>12120</v>
      </c>
      <c r="Q4600" s="10"/>
      <c r="U4600" s="9" t="str">
        <f t="shared" ca="1" si="186"/>
        <v/>
      </c>
      <c r="V4600" s="9" t="str">
        <f t="shared" ca="1" si="187"/>
        <v/>
      </c>
      <c r="AE4600" s="9" t="s">
        <v>12089</v>
      </c>
    </row>
    <row r="4601" spans="1:33">
      <c r="A4601" s="3" t="s">
        <v>4378</v>
      </c>
      <c r="D4601" s="3" t="s">
        <v>4379</v>
      </c>
      <c r="E4601" s="3" t="s">
        <v>4380</v>
      </c>
      <c r="J4601" s="9" t="s">
        <v>12118</v>
      </c>
      <c r="Q4601" s="10"/>
      <c r="T4601" s="9" t="s">
        <v>12131</v>
      </c>
      <c r="U4601" s="9" t="str">
        <f t="shared" ca="1" si="186"/>
        <v/>
      </c>
      <c r="V4601" s="9" t="str">
        <f t="shared" ca="1" si="187"/>
        <v/>
      </c>
      <c r="AC4601" s="9" t="s">
        <v>12130</v>
      </c>
      <c r="AD4601" s="9" t="s">
        <v>19</v>
      </c>
      <c r="AE4601" s="9" t="s">
        <v>12086</v>
      </c>
    </row>
    <row r="4602" spans="1:33" ht="29">
      <c r="A4602" s="3" t="s">
        <v>4381</v>
      </c>
      <c r="D4602" s="3" t="s">
        <v>11169</v>
      </c>
      <c r="E4602" s="3" t="s">
        <v>11170</v>
      </c>
      <c r="H4602" t="s">
        <v>19</v>
      </c>
      <c r="J4602" s="9" t="s">
        <v>24</v>
      </c>
      <c r="L4602" s="9">
        <v>1</v>
      </c>
      <c r="M4602" s="9">
        <v>5</v>
      </c>
      <c r="N4602" s="9" t="s">
        <v>12094</v>
      </c>
      <c r="O4602" s="9" t="s">
        <v>12073</v>
      </c>
      <c r="P4602" s="9" t="s">
        <v>12149</v>
      </c>
      <c r="Q4602" s="10" t="s">
        <v>12143</v>
      </c>
      <c r="S4602" s="9">
        <v>4240</v>
      </c>
      <c r="U4602" s="9" t="str">
        <f t="shared" ca="1" si="186"/>
        <v/>
      </c>
      <c r="V4602" s="9" t="str">
        <f t="shared" ca="1" si="187"/>
        <v/>
      </c>
      <c r="AG4602" s="9" t="s">
        <v>20</v>
      </c>
    </row>
    <row r="4603" spans="1:33" ht="29">
      <c r="A4603" s="3" t="s">
        <v>4382</v>
      </c>
      <c r="D4603" s="3" t="s">
        <v>11172</v>
      </c>
      <c r="E4603" s="3" t="s">
        <v>11171</v>
      </c>
      <c r="G4603" t="s">
        <v>19</v>
      </c>
      <c r="J4603" s="9" t="s">
        <v>12120</v>
      </c>
      <c r="Q4603" s="10"/>
      <c r="U4603" s="9" t="str">
        <f t="shared" ca="1" si="186"/>
        <v/>
      </c>
      <c r="V4603" s="9" t="str">
        <f t="shared" ca="1" si="187"/>
        <v/>
      </c>
    </row>
    <row r="4604" spans="1:33" ht="43.5">
      <c r="A4604" s="3" t="s">
        <v>4383</v>
      </c>
      <c r="D4604" s="3" t="s">
        <v>12582</v>
      </c>
      <c r="E4604" s="3" t="s">
        <v>12583</v>
      </c>
      <c r="G4604" t="s">
        <v>19</v>
      </c>
      <c r="J4604" s="9" t="s">
        <v>12120</v>
      </c>
      <c r="Q4604" s="10"/>
      <c r="U4604" s="9" t="str">
        <f t="shared" ca="1" si="186"/>
        <v/>
      </c>
      <c r="V4604" s="9" t="str">
        <f t="shared" ca="1" si="187"/>
        <v/>
      </c>
    </row>
    <row r="4605" spans="1:33" ht="43.5">
      <c r="A4605" s="3" t="s">
        <v>4384</v>
      </c>
      <c r="D4605" s="3" t="s">
        <v>11175</v>
      </c>
      <c r="E4605" s="3" t="s">
        <v>11176</v>
      </c>
      <c r="G4605" t="s">
        <v>20</v>
      </c>
      <c r="I4605" t="s">
        <v>11177</v>
      </c>
      <c r="Q4605" s="10"/>
      <c r="U4605" s="9" t="str">
        <f t="shared" ca="1" si="186"/>
        <v/>
      </c>
      <c r="V4605" s="9" t="str">
        <f t="shared" ca="1" si="187"/>
        <v/>
      </c>
    </row>
    <row r="4606" spans="1:33" ht="43.5">
      <c r="A4606" s="3" t="s">
        <v>4384</v>
      </c>
      <c r="D4606" s="3" t="s">
        <v>11174</v>
      </c>
      <c r="E4606" s="3" t="s">
        <v>11173</v>
      </c>
      <c r="G4606" t="s">
        <v>19</v>
      </c>
      <c r="J4606" s="9" t="s">
        <v>12120</v>
      </c>
      <c r="Q4606" s="10"/>
      <c r="U4606" s="9" t="str">
        <f t="shared" ca="1" si="186"/>
        <v/>
      </c>
      <c r="V4606" s="9" t="str">
        <f t="shared" ca="1" si="187"/>
        <v/>
      </c>
    </row>
    <row r="4607" spans="1:33">
      <c r="A4607" s="3" t="s">
        <v>4385</v>
      </c>
      <c r="D4607" s="3" t="s">
        <v>11178</v>
      </c>
      <c r="E4607" s="3" t="s">
        <v>11178</v>
      </c>
      <c r="G4607" t="s">
        <v>20</v>
      </c>
      <c r="I4607" t="s">
        <v>11179</v>
      </c>
      <c r="Q4607" s="10"/>
      <c r="U4607" s="9" t="str">
        <f t="shared" ca="1" si="186"/>
        <v/>
      </c>
      <c r="V4607" s="9" t="str">
        <f t="shared" ca="1" si="187"/>
        <v/>
      </c>
    </row>
    <row r="4608" spans="1:33">
      <c r="A4608" s="3" t="s">
        <v>4386</v>
      </c>
      <c r="D4608" s="3" t="s">
        <v>11180</v>
      </c>
      <c r="E4608" s="3" t="s">
        <v>12584</v>
      </c>
      <c r="G4608" t="s">
        <v>19</v>
      </c>
      <c r="J4608" s="9" t="s">
        <v>24</v>
      </c>
      <c r="L4608" s="9">
        <v>1</v>
      </c>
      <c r="M4608" s="9">
        <v>1</v>
      </c>
      <c r="N4608" s="9" t="s">
        <v>12078</v>
      </c>
      <c r="O4608" s="9" t="s">
        <v>12119</v>
      </c>
      <c r="Q4608" s="10"/>
      <c r="S4608" s="9">
        <v>11843</v>
      </c>
      <c r="U4608" s="9" t="str">
        <f t="shared" ca="1" si="186"/>
        <v/>
      </c>
      <c r="V4608" s="9" t="str">
        <f t="shared" ca="1" si="187"/>
        <v/>
      </c>
    </row>
    <row r="4609" spans="1:33">
      <c r="A4609" s="3" t="s">
        <v>4386</v>
      </c>
      <c r="D4609" s="3" t="s">
        <v>12586</v>
      </c>
      <c r="E4609" s="3" t="s">
        <v>12585</v>
      </c>
      <c r="J4609" s="9" t="s">
        <v>12120</v>
      </c>
      <c r="Q4609" s="10"/>
      <c r="U4609" s="9" t="str">
        <f t="shared" ca="1" si="186"/>
        <v/>
      </c>
      <c r="V4609" s="9" t="str">
        <f t="shared" ca="1" si="187"/>
        <v/>
      </c>
      <c r="AG4609" s="9" t="s">
        <v>19</v>
      </c>
    </row>
    <row r="4610" spans="1:33" ht="29">
      <c r="A4610" s="3" t="s">
        <v>4387</v>
      </c>
      <c r="D4610" s="3" t="s">
        <v>11181</v>
      </c>
      <c r="E4610" s="3" t="s">
        <v>11182</v>
      </c>
      <c r="J4610" s="9" t="s">
        <v>12118</v>
      </c>
      <c r="Q4610" s="10"/>
      <c r="T4610" s="9">
        <f>361-472</f>
        <v>-111</v>
      </c>
      <c r="U4610" s="9">
        <f t="shared" ca="1" si="186"/>
        <v>472</v>
      </c>
      <c r="V4610" s="9">
        <f t="shared" ca="1" si="187"/>
        <v>361</v>
      </c>
      <c r="AG4610" s="9" t="s">
        <v>20</v>
      </c>
    </row>
    <row r="4611" spans="1:33">
      <c r="A4611" s="3" t="s">
        <v>4388</v>
      </c>
      <c r="D4611" s="3" t="s">
        <v>11184</v>
      </c>
      <c r="E4611" s="3" t="s">
        <v>11183</v>
      </c>
      <c r="G4611" t="s">
        <v>19</v>
      </c>
      <c r="J4611" s="9" t="s">
        <v>12118</v>
      </c>
      <c r="Q4611" s="10"/>
      <c r="T4611" s="9">
        <f>38-42</f>
        <v>-4</v>
      </c>
      <c r="U4611" s="9">
        <f t="shared" ca="1" si="186"/>
        <v>42</v>
      </c>
      <c r="V4611" s="9">
        <f t="shared" ca="1" si="187"/>
        <v>38</v>
      </c>
    </row>
    <row r="4612" spans="1:33" ht="43.5">
      <c r="A4612" s="3" t="s">
        <v>4389</v>
      </c>
      <c r="D4612" s="3" t="s">
        <v>11186</v>
      </c>
      <c r="E4612" s="3" t="s">
        <v>11185</v>
      </c>
      <c r="I4612" t="s">
        <v>12302</v>
      </c>
      <c r="J4612" s="9" t="s">
        <v>26</v>
      </c>
      <c r="Q4612" s="10"/>
      <c r="U4612" s="9" t="str">
        <f t="shared" ca="1" si="186"/>
        <v/>
      </c>
      <c r="V4612" s="9" t="str">
        <f t="shared" ca="1" si="187"/>
        <v/>
      </c>
      <c r="AG4612" s="9" t="s">
        <v>20</v>
      </c>
    </row>
    <row r="4613" spans="1:33" ht="29">
      <c r="A4613" s="3" t="s">
        <v>4389</v>
      </c>
      <c r="D4613" s="3" t="s">
        <v>11188</v>
      </c>
      <c r="E4613" s="3" t="s">
        <v>11187</v>
      </c>
      <c r="G4613" t="s">
        <v>19</v>
      </c>
      <c r="J4613" s="9" t="s">
        <v>12118</v>
      </c>
      <c r="Q4613" s="10"/>
      <c r="T4613" s="9" t="s">
        <v>12131</v>
      </c>
      <c r="U4613" s="9" t="str">
        <f t="shared" ca="1" si="186"/>
        <v/>
      </c>
      <c r="V4613" s="9" t="str">
        <f t="shared" ca="1" si="187"/>
        <v/>
      </c>
      <c r="AE4613" s="9" t="s">
        <v>12086</v>
      </c>
    </row>
    <row r="4614" spans="1:33">
      <c r="A4614" s="3" t="s">
        <v>4389</v>
      </c>
      <c r="D4614" s="3" t="s">
        <v>11190</v>
      </c>
      <c r="E4614" s="3" t="s">
        <v>11191</v>
      </c>
      <c r="F4614" t="s">
        <v>11</v>
      </c>
      <c r="J4614" s="9" t="s">
        <v>12118</v>
      </c>
      <c r="Q4614" s="10"/>
      <c r="T4614" s="9" t="s">
        <v>12131</v>
      </c>
      <c r="U4614" s="9" t="str">
        <f t="shared" ca="1" si="186"/>
        <v/>
      </c>
      <c r="V4614" s="9" t="str">
        <f t="shared" ca="1" si="187"/>
        <v/>
      </c>
      <c r="AB4614" s="9" t="s">
        <v>12124</v>
      </c>
      <c r="AC4614" s="9" t="s">
        <v>12130</v>
      </c>
      <c r="AD4614" s="9" t="s">
        <v>19</v>
      </c>
    </row>
    <row r="4615" spans="1:33">
      <c r="A4615" s="3" t="s">
        <v>4389</v>
      </c>
      <c r="D4615" s="3" t="s">
        <v>11189</v>
      </c>
      <c r="E4615" s="3" t="s">
        <v>11192</v>
      </c>
      <c r="F4615" t="s">
        <v>11</v>
      </c>
      <c r="J4615" s="9" t="s">
        <v>24</v>
      </c>
      <c r="L4615" s="9">
        <v>1</v>
      </c>
      <c r="M4615" s="9">
        <v>3</v>
      </c>
      <c r="N4615" s="9" t="s">
        <v>12087</v>
      </c>
      <c r="O4615" s="9" t="s">
        <v>12079</v>
      </c>
      <c r="Q4615" s="10"/>
      <c r="S4615" s="9">
        <v>5676</v>
      </c>
      <c r="U4615" s="9" t="str">
        <f t="shared" ca="1" si="186"/>
        <v/>
      </c>
      <c r="V4615" s="9" t="str">
        <f t="shared" ca="1" si="187"/>
        <v/>
      </c>
    </row>
    <row r="4616" spans="1:33">
      <c r="A4616" s="3" t="s">
        <v>4390</v>
      </c>
      <c r="D4616" s="3" t="s">
        <v>11194</v>
      </c>
      <c r="E4616" s="3" t="s">
        <v>11193</v>
      </c>
      <c r="F4616" t="s">
        <v>11</v>
      </c>
      <c r="G4616" t="s">
        <v>19</v>
      </c>
      <c r="Q4616" s="10"/>
      <c r="U4616" s="9" t="str">
        <f t="shared" ca="1" si="186"/>
        <v/>
      </c>
      <c r="V4616" s="9" t="str">
        <f t="shared" ca="1" si="187"/>
        <v/>
      </c>
    </row>
    <row r="4617" spans="1:33">
      <c r="A4617" s="3" t="s">
        <v>4390</v>
      </c>
      <c r="D4617" s="3" t="s">
        <v>4391</v>
      </c>
      <c r="E4617" s="3" t="s">
        <v>11195</v>
      </c>
      <c r="F4617" t="s">
        <v>12</v>
      </c>
      <c r="J4617" s="9" t="s">
        <v>12120</v>
      </c>
      <c r="Q4617" s="10"/>
      <c r="U4617" s="9" t="str">
        <f t="shared" ca="1" si="186"/>
        <v/>
      </c>
      <c r="V4617" s="9" t="str">
        <f t="shared" ca="1" si="187"/>
        <v/>
      </c>
      <c r="AE4617" s="9" t="s">
        <v>12086</v>
      </c>
    </row>
    <row r="4618" spans="1:33">
      <c r="A4618" s="3" t="s">
        <v>4392</v>
      </c>
      <c r="D4618" s="3" t="s">
        <v>3789</v>
      </c>
      <c r="E4618" s="3" t="s">
        <v>3790</v>
      </c>
      <c r="J4618" s="9" t="s">
        <v>12118</v>
      </c>
      <c r="Q4618" s="10"/>
      <c r="T4618" s="9" t="s">
        <v>12131</v>
      </c>
      <c r="U4618" s="9" t="str">
        <f t="shared" ca="1" si="186"/>
        <v/>
      </c>
      <c r="V4618" s="9" t="str">
        <f t="shared" ca="1" si="187"/>
        <v/>
      </c>
      <c r="AE4618" s="9" t="s">
        <v>12077</v>
      </c>
    </row>
    <row r="4619" spans="1:33">
      <c r="A4619" s="3" t="s">
        <v>4392</v>
      </c>
      <c r="D4619" s="3" t="s">
        <v>4393</v>
      </c>
      <c r="E4619" s="3" t="s">
        <v>4394</v>
      </c>
      <c r="J4619" s="9" t="s">
        <v>12120</v>
      </c>
      <c r="Q4619" s="10"/>
      <c r="U4619" s="9" t="str">
        <f t="shared" ca="1" si="186"/>
        <v/>
      </c>
      <c r="V4619" s="9" t="str">
        <f t="shared" ca="1" si="187"/>
        <v/>
      </c>
      <c r="AG4619" s="9" t="s">
        <v>20</v>
      </c>
    </row>
    <row r="4620" spans="1:33">
      <c r="A4620" s="3" t="s">
        <v>4392</v>
      </c>
      <c r="D4620" s="3" t="s">
        <v>11197</v>
      </c>
      <c r="E4620" s="3" t="s">
        <v>11196</v>
      </c>
      <c r="J4620" s="9" t="s">
        <v>12118</v>
      </c>
      <c r="Q4620" s="10"/>
      <c r="T4620" s="9">
        <f>1496-1741</f>
        <v>-245</v>
      </c>
      <c r="U4620" s="9">
        <f t="shared" ref="U4620:U4683" ca="1" si="188">IF(ISNUMBER(T4620),VALUE(MID(_xlfn.FORMULATEXT(T4620),SEARCH("-",_xlfn.FORMULATEXT(T4620))+1,LEN(_xlfn.FORMULATEXT(T4620))-SEARCH("-",_xlfn.FORMULATEXT(T4620)))), "")</f>
        <v>1741</v>
      </c>
      <c r="V4620" s="9">
        <f t="shared" ref="V4620:V4683" ca="1" si="189">IF(ISNUMBER(T4620), VALUE(MID(_xlfn.FORMULATEXT(T4620), 2, SEARCH("-", _xlfn.FORMULATEXT(T4620)) - 2)), "")</f>
        <v>1496</v>
      </c>
      <c r="AG4620" s="9" t="s">
        <v>19</v>
      </c>
    </row>
    <row r="4621" spans="1:33">
      <c r="A4621" s="3" t="s">
        <v>4395</v>
      </c>
      <c r="D4621" s="3" t="s">
        <v>11198</v>
      </c>
      <c r="E4621" s="3" t="s">
        <v>11199</v>
      </c>
      <c r="F4621" t="s">
        <v>11</v>
      </c>
      <c r="Q4621" s="10"/>
      <c r="U4621" s="9" t="str">
        <f t="shared" ca="1" si="188"/>
        <v/>
      </c>
      <c r="V4621" s="9" t="str">
        <f t="shared" ca="1" si="189"/>
        <v/>
      </c>
    </row>
    <row r="4622" spans="1:33">
      <c r="A4622" s="3" t="s">
        <v>4395</v>
      </c>
      <c r="D4622" s="3" t="s">
        <v>11200</v>
      </c>
      <c r="E4622" s="3" t="s">
        <v>11201</v>
      </c>
      <c r="J4622" s="9" t="s">
        <v>12118</v>
      </c>
      <c r="Q4622" s="10"/>
      <c r="T4622" s="9">
        <f>4240-930</f>
        <v>3310</v>
      </c>
      <c r="U4622" s="9">
        <f t="shared" ca="1" si="188"/>
        <v>930</v>
      </c>
      <c r="V4622" s="9">
        <f t="shared" ca="1" si="189"/>
        <v>4240</v>
      </c>
      <c r="AG4622" s="9" t="s">
        <v>19</v>
      </c>
    </row>
    <row r="4623" spans="1:33">
      <c r="A4623" s="3" t="s">
        <v>4396</v>
      </c>
      <c r="D4623" s="3" t="s">
        <v>4397</v>
      </c>
      <c r="E4623" s="3" t="s">
        <v>4398</v>
      </c>
      <c r="F4623" t="s">
        <v>11</v>
      </c>
      <c r="Q4623" s="10"/>
      <c r="U4623" s="9" t="str">
        <f t="shared" ca="1" si="188"/>
        <v/>
      </c>
      <c r="V4623" s="9" t="str">
        <f t="shared" ca="1" si="189"/>
        <v/>
      </c>
    </row>
    <row r="4624" spans="1:33">
      <c r="A4624" s="3" t="s">
        <v>4396</v>
      </c>
      <c r="D4624" s="3" t="s">
        <v>11202</v>
      </c>
      <c r="E4624" s="3" t="s">
        <v>11203</v>
      </c>
      <c r="F4624" t="s">
        <v>11</v>
      </c>
      <c r="Q4624" s="10"/>
      <c r="U4624" s="9" t="str">
        <f t="shared" ca="1" si="188"/>
        <v/>
      </c>
      <c r="V4624" s="9" t="str">
        <f t="shared" ca="1" si="189"/>
        <v/>
      </c>
    </row>
    <row r="4625" spans="1:33" ht="29">
      <c r="A4625" s="3" t="s">
        <v>4396</v>
      </c>
      <c r="D4625" s="3" t="s">
        <v>11205</v>
      </c>
      <c r="E4625" s="3" t="s">
        <v>11204</v>
      </c>
      <c r="G4625" t="s">
        <v>21</v>
      </c>
      <c r="I4625" t="s">
        <v>11206</v>
      </c>
      <c r="J4625" s="9" t="s">
        <v>24</v>
      </c>
      <c r="L4625" s="9">
        <v>1</v>
      </c>
      <c r="M4625" s="9">
        <v>3</v>
      </c>
      <c r="N4625" s="9" t="s">
        <v>12078</v>
      </c>
      <c r="O4625" s="9" t="s">
        <v>12073</v>
      </c>
      <c r="P4625" s="9" t="s">
        <v>12149</v>
      </c>
      <c r="Q4625" s="10" t="s">
        <v>12143</v>
      </c>
      <c r="S4625" s="9">
        <v>11843</v>
      </c>
      <c r="U4625" s="9" t="str">
        <f t="shared" ca="1" si="188"/>
        <v/>
      </c>
      <c r="V4625" s="9" t="str">
        <f t="shared" ca="1" si="189"/>
        <v/>
      </c>
    </row>
    <row r="4626" spans="1:33">
      <c r="A4626" s="3" t="s">
        <v>4399</v>
      </c>
      <c r="D4626" s="3" t="s">
        <v>11207</v>
      </c>
      <c r="E4626" s="5" t="s">
        <v>4400</v>
      </c>
      <c r="F4626" t="s">
        <v>16</v>
      </c>
      <c r="Q4626" s="10"/>
      <c r="U4626" s="9" t="str">
        <f t="shared" ca="1" si="188"/>
        <v/>
      </c>
      <c r="V4626" s="9" t="str">
        <f t="shared" ca="1" si="189"/>
        <v/>
      </c>
    </row>
    <row r="4627" spans="1:33" ht="29">
      <c r="A4627" s="3" t="s">
        <v>4399</v>
      </c>
      <c r="D4627" s="3" t="s">
        <v>11208</v>
      </c>
      <c r="E4627" s="3" t="s">
        <v>11209</v>
      </c>
      <c r="J4627" s="9" t="s">
        <v>12120</v>
      </c>
      <c r="Q4627" s="10"/>
      <c r="U4627" s="9" t="str">
        <f t="shared" ca="1" si="188"/>
        <v/>
      </c>
      <c r="V4627" s="9" t="str">
        <f t="shared" ca="1" si="189"/>
        <v/>
      </c>
      <c r="AG4627" s="9" t="s">
        <v>20</v>
      </c>
    </row>
    <row r="4628" spans="1:33" ht="29">
      <c r="A4628" s="3" t="s">
        <v>4399</v>
      </c>
      <c r="D4628" s="3" t="s">
        <v>11210</v>
      </c>
      <c r="E4628" s="3" t="s">
        <v>11211</v>
      </c>
      <c r="G4628" t="s">
        <v>21</v>
      </c>
      <c r="I4628" t="s">
        <v>11212</v>
      </c>
      <c r="J4628" s="9" t="s">
        <v>12120</v>
      </c>
      <c r="Q4628" s="10"/>
      <c r="U4628" s="9" t="str">
        <f t="shared" ca="1" si="188"/>
        <v/>
      </c>
      <c r="V4628" s="9" t="str">
        <f t="shared" ca="1" si="189"/>
        <v/>
      </c>
    </row>
    <row r="4629" spans="1:33" ht="43.5">
      <c r="A4629" s="3" t="s">
        <v>4402</v>
      </c>
      <c r="D4629" s="3" t="s">
        <v>11213</v>
      </c>
      <c r="E4629" s="3" t="s">
        <v>11213</v>
      </c>
      <c r="G4629" t="s">
        <v>20</v>
      </c>
      <c r="I4629" t="s">
        <v>11214</v>
      </c>
      <c r="Q4629" s="10"/>
      <c r="U4629" s="9" t="str">
        <f t="shared" ca="1" si="188"/>
        <v/>
      </c>
      <c r="V4629" s="9" t="str">
        <f t="shared" ca="1" si="189"/>
        <v/>
      </c>
    </row>
    <row r="4630" spans="1:33">
      <c r="A4630" s="3" t="s">
        <v>4402</v>
      </c>
      <c r="D4630" s="3" t="s">
        <v>4403</v>
      </c>
      <c r="E4630" s="3" t="s">
        <v>11215</v>
      </c>
      <c r="G4630" t="s">
        <v>19</v>
      </c>
      <c r="J4630" s="9" t="s">
        <v>12120</v>
      </c>
      <c r="Q4630" s="10"/>
      <c r="U4630" s="9" t="str">
        <f t="shared" ca="1" si="188"/>
        <v/>
      </c>
      <c r="V4630" s="9" t="str">
        <f t="shared" ca="1" si="189"/>
        <v/>
      </c>
    </row>
    <row r="4631" spans="1:33" ht="43.5">
      <c r="A4631" s="3" t="s">
        <v>4404</v>
      </c>
      <c r="D4631" s="3" t="s">
        <v>11217</v>
      </c>
      <c r="E4631" s="3" t="s">
        <v>11216</v>
      </c>
      <c r="F4631" t="s">
        <v>11</v>
      </c>
      <c r="G4631" t="s">
        <v>19</v>
      </c>
      <c r="Q4631" s="10"/>
      <c r="U4631" s="9" t="str">
        <f t="shared" ca="1" si="188"/>
        <v/>
      </c>
      <c r="V4631" s="9" t="str">
        <f t="shared" ca="1" si="189"/>
        <v/>
      </c>
    </row>
    <row r="4632" spans="1:33">
      <c r="A4632" s="3" t="s">
        <v>4405</v>
      </c>
      <c r="D4632" s="3" t="s">
        <v>4406</v>
      </c>
      <c r="E4632" s="3" t="s">
        <v>4407</v>
      </c>
      <c r="J4632" s="9" t="s">
        <v>12118</v>
      </c>
      <c r="Q4632" s="10"/>
      <c r="T4632" s="9" t="s">
        <v>12119</v>
      </c>
      <c r="U4632" s="9" t="str">
        <f t="shared" ca="1" si="188"/>
        <v/>
      </c>
      <c r="V4632" s="9" t="str">
        <f t="shared" ca="1" si="189"/>
        <v/>
      </c>
      <c r="AB4632" s="9" t="s">
        <v>12124</v>
      </c>
      <c r="AC4632" s="9" t="s">
        <v>12130</v>
      </c>
      <c r="AD4632" s="9" t="s">
        <v>19</v>
      </c>
    </row>
    <row r="4633" spans="1:33" ht="43.5">
      <c r="A4633" s="3" t="s">
        <v>4405</v>
      </c>
      <c r="D4633" s="3" t="s">
        <v>11218</v>
      </c>
      <c r="E4633" s="3" t="s">
        <v>11219</v>
      </c>
      <c r="G4633" t="s">
        <v>19</v>
      </c>
      <c r="J4633" s="9" t="s">
        <v>24</v>
      </c>
      <c r="L4633" s="9">
        <v>1</v>
      </c>
      <c r="M4633" s="9">
        <v>4</v>
      </c>
      <c r="N4633" s="9" t="s">
        <v>12096</v>
      </c>
      <c r="O4633" s="9" t="s">
        <v>12079</v>
      </c>
      <c r="Q4633" s="10"/>
      <c r="S4633" s="9">
        <v>508</v>
      </c>
      <c r="U4633" s="9" t="str">
        <f t="shared" ca="1" si="188"/>
        <v/>
      </c>
      <c r="V4633" s="9" t="str">
        <f t="shared" ca="1" si="189"/>
        <v/>
      </c>
    </row>
    <row r="4634" spans="1:33" ht="43.5">
      <c r="A4634" s="3" t="s">
        <v>4405</v>
      </c>
      <c r="D4634" s="3" t="s">
        <v>11220</v>
      </c>
      <c r="E4634" s="3" t="s">
        <v>11221</v>
      </c>
      <c r="I4634" t="s">
        <v>13125</v>
      </c>
      <c r="J4634" s="9" t="s">
        <v>12118</v>
      </c>
      <c r="Q4634" s="10"/>
      <c r="R4634" s="9" t="s">
        <v>12074</v>
      </c>
      <c r="T4634" s="9">
        <f>4240-39</f>
        <v>4201</v>
      </c>
      <c r="U4634" s="9">
        <f t="shared" ca="1" si="188"/>
        <v>39</v>
      </c>
      <c r="V4634" s="9">
        <f t="shared" ca="1" si="189"/>
        <v>4240</v>
      </c>
      <c r="AE4634" s="9" t="s">
        <v>12083</v>
      </c>
    </row>
    <row r="4635" spans="1:33">
      <c r="A4635" s="3" t="s">
        <v>4408</v>
      </c>
      <c r="D4635" s="3" t="s">
        <v>4409</v>
      </c>
      <c r="E4635" s="3" t="s">
        <v>4410</v>
      </c>
      <c r="J4635" s="9" t="s">
        <v>12118</v>
      </c>
      <c r="Q4635" s="10"/>
      <c r="T4635" s="9" t="s">
        <v>12131</v>
      </c>
      <c r="U4635" s="9" t="str">
        <f t="shared" ca="1" si="188"/>
        <v/>
      </c>
      <c r="V4635" s="9" t="str">
        <f t="shared" ca="1" si="189"/>
        <v/>
      </c>
      <c r="AC4635" s="9" t="s">
        <v>12130</v>
      </c>
      <c r="AD4635" s="9" t="s">
        <v>19</v>
      </c>
      <c r="AE4635" s="9" t="s">
        <v>12086</v>
      </c>
    </row>
    <row r="4636" spans="1:33" ht="29">
      <c r="A4636" s="3" t="s">
        <v>4408</v>
      </c>
      <c r="D4636" s="3" t="s">
        <v>11223</v>
      </c>
      <c r="E4636" s="3" t="s">
        <v>11222</v>
      </c>
      <c r="G4636" t="s">
        <v>19</v>
      </c>
      <c r="I4636" t="s">
        <v>5457</v>
      </c>
      <c r="J4636" s="9" t="s">
        <v>26</v>
      </c>
      <c r="Q4636" s="10"/>
      <c r="U4636" s="9" t="str">
        <f t="shared" ca="1" si="188"/>
        <v/>
      </c>
      <c r="V4636" s="9" t="str">
        <f t="shared" ca="1" si="189"/>
        <v/>
      </c>
    </row>
    <row r="4637" spans="1:33" ht="29">
      <c r="A4637" s="3" t="s">
        <v>4408</v>
      </c>
      <c r="D4637" s="3" t="s">
        <v>11224</v>
      </c>
      <c r="E4637" s="3" t="s">
        <v>11225</v>
      </c>
      <c r="G4637" t="s">
        <v>19</v>
      </c>
      <c r="J4637" s="9" t="s">
        <v>24</v>
      </c>
      <c r="L4637" s="9">
        <v>1</v>
      </c>
      <c r="M4637" s="9">
        <v>6</v>
      </c>
      <c r="N4637" s="9" t="s">
        <v>12092</v>
      </c>
      <c r="O4637" s="9" t="s">
        <v>12079</v>
      </c>
      <c r="Q4637" s="10"/>
      <c r="S4637" s="9">
        <v>361</v>
      </c>
      <c r="U4637" s="9" t="str">
        <f t="shared" ca="1" si="188"/>
        <v/>
      </c>
      <c r="V4637" s="9" t="str">
        <f t="shared" ca="1" si="189"/>
        <v/>
      </c>
      <c r="AE4637" s="9" t="s">
        <v>12089</v>
      </c>
    </row>
    <row r="4638" spans="1:33">
      <c r="A4638" s="3" t="s">
        <v>4411</v>
      </c>
      <c r="D4638" s="3" t="s">
        <v>11226</v>
      </c>
      <c r="E4638" s="3" t="s">
        <v>11227</v>
      </c>
      <c r="J4638" s="9" t="s">
        <v>12120</v>
      </c>
      <c r="Q4638" s="10"/>
      <c r="U4638" s="9" t="str">
        <f t="shared" ca="1" si="188"/>
        <v/>
      </c>
      <c r="V4638" s="9" t="str">
        <f t="shared" ca="1" si="189"/>
        <v/>
      </c>
      <c r="AG4638" s="9" t="s">
        <v>19</v>
      </c>
    </row>
    <row r="4639" spans="1:33">
      <c r="A4639" s="3" t="s">
        <v>4411</v>
      </c>
      <c r="D4639" s="3" t="s">
        <v>11229</v>
      </c>
      <c r="E4639" s="5" t="s">
        <v>11228</v>
      </c>
      <c r="F4639" t="s">
        <v>32</v>
      </c>
      <c r="I4639" t="s">
        <v>11230</v>
      </c>
      <c r="J4639" s="9" t="s">
        <v>12118</v>
      </c>
      <c r="Q4639" s="10"/>
      <c r="T4639" s="9" t="s">
        <v>12131</v>
      </c>
      <c r="U4639" s="9" t="str">
        <f t="shared" ca="1" si="188"/>
        <v/>
      </c>
      <c r="V4639" s="9" t="str">
        <f t="shared" ca="1" si="189"/>
        <v/>
      </c>
      <c r="AC4639" s="9" t="s">
        <v>12744</v>
      </c>
      <c r="AD4639" s="9" t="s">
        <v>19</v>
      </c>
      <c r="AE4639" s="9" t="s">
        <v>12086</v>
      </c>
    </row>
    <row r="4640" spans="1:33" ht="29">
      <c r="A4640" s="3" t="s">
        <v>4412</v>
      </c>
      <c r="D4640" s="3" t="s">
        <v>11231</v>
      </c>
      <c r="E4640" s="3" t="s">
        <v>11232</v>
      </c>
      <c r="J4640" s="9" t="s">
        <v>24</v>
      </c>
      <c r="L4640" s="9">
        <v>1</v>
      </c>
      <c r="M4640" s="9">
        <v>3</v>
      </c>
      <c r="N4640" s="9" t="s">
        <v>12078</v>
      </c>
      <c r="O4640" s="9" t="s">
        <v>12079</v>
      </c>
      <c r="Q4640" s="10"/>
      <c r="S4640" s="9">
        <v>11843</v>
      </c>
      <c r="U4640" s="9" t="str">
        <f t="shared" ca="1" si="188"/>
        <v/>
      </c>
      <c r="V4640" s="9" t="str">
        <f t="shared" ca="1" si="189"/>
        <v/>
      </c>
      <c r="AG4640" s="9" t="s">
        <v>19</v>
      </c>
    </row>
    <row r="4641" spans="1:33" ht="29">
      <c r="A4641" s="3" t="s">
        <v>4412</v>
      </c>
      <c r="D4641" s="3" t="s">
        <v>11234</v>
      </c>
      <c r="E4641" s="3" t="s">
        <v>11233</v>
      </c>
      <c r="J4641" s="9" t="s">
        <v>12118</v>
      </c>
      <c r="Q4641" s="10"/>
      <c r="T4641" s="9" t="s">
        <v>12119</v>
      </c>
      <c r="U4641" s="9" t="str">
        <f t="shared" ca="1" si="188"/>
        <v/>
      </c>
      <c r="V4641" s="9" t="str">
        <f t="shared" ca="1" si="189"/>
        <v/>
      </c>
      <c r="AB4641" s="9" t="s">
        <v>12124</v>
      </c>
      <c r="AC4641" s="9" t="s">
        <v>12740</v>
      </c>
      <c r="AD4641" s="9" t="s">
        <v>19</v>
      </c>
    </row>
    <row r="4642" spans="1:33">
      <c r="A4642" s="3" t="s">
        <v>4413</v>
      </c>
      <c r="D4642" s="3" t="s">
        <v>4414</v>
      </c>
      <c r="E4642" s="3" t="s">
        <v>4415</v>
      </c>
      <c r="J4642" s="9" t="s">
        <v>12120</v>
      </c>
      <c r="Q4642" s="10"/>
      <c r="U4642" s="9" t="str">
        <f t="shared" ca="1" si="188"/>
        <v/>
      </c>
      <c r="V4642" s="9" t="str">
        <f t="shared" ca="1" si="189"/>
        <v/>
      </c>
      <c r="AC4642" s="9" t="s">
        <v>12166</v>
      </c>
      <c r="AD4642" s="9" t="s">
        <v>19</v>
      </c>
      <c r="AE4642" s="9" t="s">
        <v>12077</v>
      </c>
    </row>
    <row r="4643" spans="1:33">
      <c r="A4643" s="3" t="s">
        <v>4413</v>
      </c>
      <c r="D4643" s="3" t="s">
        <v>11235</v>
      </c>
      <c r="E4643" s="3" t="s">
        <v>11236</v>
      </c>
      <c r="J4643" s="9" t="s">
        <v>24</v>
      </c>
      <c r="L4643" s="9">
        <v>1</v>
      </c>
      <c r="M4643" s="9">
        <v>2</v>
      </c>
      <c r="N4643" s="9" t="s">
        <v>12096</v>
      </c>
      <c r="O4643" s="9" t="s">
        <v>12119</v>
      </c>
      <c r="Q4643" s="10"/>
      <c r="R4643" s="9" t="s">
        <v>12074</v>
      </c>
      <c r="S4643" s="9">
        <v>485</v>
      </c>
      <c r="U4643" s="9" t="str">
        <f t="shared" ca="1" si="188"/>
        <v/>
      </c>
      <c r="V4643" s="9" t="str">
        <f t="shared" ca="1" si="189"/>
        <v/>
      </c>
      <c r="AE4643" s="9" t="s">
        <v>12083</v>
      </c>
    </row>
    <row r="4644" spans="1:33">
      <c r="A4644" s="3" t="s">
        <v>4413</v>
      </c>
      <c r="D4644" s="3" t="s">
        <v>11238</v>
      </c>
      <c r="E4644" s="5" t="s">
        <v>11237</v>
      </c>
      <c r="F4644" t="s">
        <v>32</v>
      </c>
      <c r="I4644" t="s">
        <v>11239</v>
      </c>
      <c r="J4644" s="9" t="s">
        <v>12118</v>
      </c>
      <c r="Q4644" s="10"/>
      <c r="T4644" s="9" t="s">
        <v>12119</v>
      </c>
      <c r="U4644" s="9" t="str">
        <f t="shared" ca="1" si="188"/>
        <v/>
      </c>
      <c r="V4644" s="9" t="str">
        <f t="shared" ca="1" si="189"/>
        <v/>
      </c>
      <c r="AE4644" s="9" t="s">
        <v>12077</v>
      </c>
    </row>
    <row r="4645" spans="1:33">
      <c r="A4645" s="3" t="s">
        <v>4416</v>
      </c>
      <c r="D4645" s="3" t="s">
        <v>4417</v>
      </c>
      <c r="E4645" s="3" t="s">
        <v>4418</v>
      </c>
      <c r="J4645" s="9" t="s">
        <v>12118</v>
      </c>
      <c r="Q4645" s="10"/>
      <c r="T4645" s="9">
        <f>2-0</f>
        <v>2</v>
      </c>
      <c r="U4645" s="9">
        <f t="shared" ca="1" si="188"/>
        <v>0</v>
      </c>
      <c r="V4645" s="9">
        <f t="shared" ca="1" si="189"/>
        <v>2</v>
      </c>
      <c r="AG4645" s="9" t="s">
        <v>19</v>
      </c>
    </row>
    <row r="4646" spans="1:33">
      <c r="A4646" s="3" t="s">
        <v>4416</v>
      </c>
      <c r="D4646" s="3" t="s">
        <v>12950</v>
      </c>
      <c r="E4646" s="3" t="s">
        <v>11240</v>
      </c>
      <c r="G4646" t="s">
        <v>19</v>
      </c>
      <c r="J4646" s="9" t="s">
        <v>24</v>
      </c>
      <c r="L4646" s="9">
        <v>1</v>
      </c>
      <c r="M4646" s="9">
        <v>3</v>
      </c>
      <c r="N4646" s="9" t="s">
        <v>12078</v>
      </c>
      <c r="O4646" s="9" t="s">
        <v>12079</v>
      </c>
      <c r="Q4646" s="10"/>
      <c r="S4646" s="9">
        <v>11843</v>
      </c>
      <c r="U4646" s="9" t="str">
        <f t="shared" ca="1" si="188"/>
        <v/>
      </c>
      <c r="V4646" s="9" t="str">
        <f t="shared" ca="1" si="189"/>
        <v/>
      </c>
    </row>
    <row r="4647" spans="1:33">
      <c r="A4647" s="3" t="s">
        <v>4419</v>
      </c>
      <c r="D4647" s="3" t="s">
        <v>11241</v>
      </c>
      <c r="E4647" s="3" t="s">
        <v>11242</v>
      </c>
      <c r="J4647" s="9" t="s">
        <v>25</v>
      </c>
      <c r="L4647" s="9">
        <v>1</v>
      </c>
      <c r="M4647" s="9">
        <v>3</v>
      </c>
      <c r="N4647" s="9" t="s">
        <v>12078</v>
      </c>
      <c r="O4647" s="9" t="s">
        <v>12079</v>
      </c>
      <c r="Q4647" s="10"/>
      <c r="S4647" s="9">
        <v>11843</v>
      </c>
      <c r="U4647" s="9" t="str">
        <f t="shared" ca="1" si="188"/>
        <v/>
      </c>
      <c r="V4647" s="9" t="str">
        <f t="shared" ca="1" si="189"/>
        <v/>
      </c>
      <c r="AG4647" s="9" t="s">
        <v>19</v>
      </c>
    </row>
    <row r="4648" spans="1:33">
      <c r="A4648" s="3" t="s">
        <v>4420</v>
      </c>
      <c r="D4648" s="3" t="s">
        <v>11243</v>
      </c>
      <c r="E4648" s="3" t="s">
        <v>11244</v>
      </c>
      <c r="J4648" s="9" t="s">
        <v>12118</v>
      </c>
      <c r="Q4648" s="10"/>
      <c r="T4648" s="9">
        <f>31-591</f>
        <v>-560</v>
      </c>
      <c r="U4648" s="9">
        <f t="shared" ca="1" si="188"/>
        <v>591</v>
      </c>
      <c r="V4648" s="9">
        <f t="shared" ca="1" si="189"/>
        <v>31</v>
      </c>
      <c r="AG4648" s="9" t="s">
        <v>19</v>
      </c>
    </row>
    <row r="4649" spans="1:33">
      <c r="A4649" s="3" t="s">
        <v>4421</v>
      </c>
      <c r="D4649" s="3" t="s">
        <v>11245</v>
      </c>
      <c r="E4649" s="5" t="s">
        <v>11245</v>
      </c>
      <c r="F4649" t="s">
        <v>32</v>
      </c>
      <c r="G4649" t="s">
        <v>19</v>
      </c>
      <c r="I4649" t="s">
        <v>11246</v>
      </c>
      <c r="J4649" s="9" t="s">
        <v>24</v>
      </c>
      <c r="L4649" s="9">
        <v>1</v>
      </c>
      <c r="M4649" s="9">
        <v>3</v>
      </c>
      <c r="N4649" s="9" t="s">
        <v>12078</v>
      </c>
      <c r="O4649" s="9" t="s">
        <v>12073</v>
      </c>
      <c r="P4649" s="9" t="s">
        <v>12149</v>
      </c>
      <c r="Q4649" s="10" t="s">
        <v>12143</v>
      </c>
      <c r="S4649" s="9">
        <v>11843</v>
      </c>
      <c r="U4649" s="9" t="str">
        <f t="shared" ca="1" si="188"/>
        <v/>
      </c>
      <c r="V4649" s="9" t="str">
        <f t="shared" ca="1" si="189"/>
        <v/>
      </c>
    </row>
    <row r="4650" spans="1:33">
      <c r="A4650" s="3" t="s">
        <v>4422</v>
      </c>
      <c r="D4650" s="3" t="s">
        <v>11247</v>
      </c>
      <c r="E4650" s="3" t="s">
        <v>11248</v>
      </c>
      <c r="J4650" s="9" t="s">
        <v>12120</v>
      </c>
      <c r="Q4650" s="10"/>
      <c r="U4650" s="9" t="str">
        <f t="shared" ca="1" si="188"/>
        <v/>
      </c>
      <c r="V4650" s="9" t="str">
        <f t="shared" ca="1" si="189"/>
        <v/>
      </c>
      <c r="AG4650" s="9" t="s">
        <v>19</v>
      </c>
    </row>
    <row r="4651" spans="1:33">
      <c r="A4651" s="3" t="s">
        <v>4423</v>
      </c>
      <c r="D4651" s="3" t="s">
        <v>11249</v>
      </c>
      <c r="E4651" s="3" t="s">
        <v>11250</v>
      </c>
      <c r="G4651" t="s">
        <v>19</v>
      </c>
      <c r="J4651" s="9" t="s">
        <v>12120</v>
      </c>
      <c r="Q4651" s="10"/>
      <c r="U4651" s="9" t="str">
        <f t="shared" ca="1" si="188"/>
        <v/>
      </c>
      <c r="V4651" s="9" t="str">
        <f t="shared" ca="1" si="189"/>
        <v/>
      </c>
      <c r="AE4651" s="9" t="s">
        <v>12089</v>
      </c>
    </row>
    <row r="4652" spans="1:33">
      <c r="A4652" s="3" t="s">
        <v>4423</v>
      </c>
      <c r="D4652" s="3" t="s">
        <v>11251</v>
      </c>
      <c r="E4652" s="3" t="s">
        <v>11252</v>
      </c>
      <c r="J4652" s="9" t="s">
        <v>25</v>
      </c>
      <c r="L4652" s="9">
        <v>1</v>
      </c>
      <c r="M4652" s="9">
        <v>3</v>
      </c>
      <c r="N4652" s="9" t="s">
        <v>12078</v>
      </c>
      <c r="O4652" s="9" t="s">
        <v>12079</v>
      </c>
      <c r="Q4652" s="10"/>
      <c r="S4652" s="9">
        <v>11843</v>
      </c>
      <c r="U4652" s="9" t="str">
        <f t="shared" ca="1" si="188"/>
        <v/>
      </c>
      <c r="V4652" s="9" t="str">
        <f t="shared" ca="1" si="189"/>
        <v/>
      </c>
      <c r="AG4652" s="9" t="s">
        <v>20</v>
      </c>
    </row>
    <row r="4653" spans="1:33">
      <c r="A4653" s="3" t="s">
        <v>4424</v>
      </c>
      <c r="D4653" s="3" t="s">
        <v>11254</v>
      </c>
      <c r="E4653" s="3" t="s">
        <v>11253</v>
      </c>
      <c r="J4653" s="9" t="s">
        <v>12120</v>
      </c>
      <c r="Q4653" s="10"/>
      <c r="U4653" s="9" t="str">
        <f t="shared" ca="1" si="188"/>
        <v/>
      </c>
      <c r="V4653" s="9" t="str">
        <f t="shared" ca="1" si="189"/>
        <v/>
      </c>
      <c r="AC4653" s="9" t="s">
        <v>12180</v>
      </c>
      <c r="AD4653" s="9" t="s">
        <v>19</v>
      </c>
    </row>
    <row r="4654" spans="1:33" ht="29">
      <c r="A4654" s="3" t="s">
        <v>4424</v>
      </c>
      <c r="D4654" s="3" t="s">
        <v>11255</v>
      </c>
      <c r="E4654" s="3" t="s">
        <v>11256</v>
      </c>
      <c r="H4654" t="s">
        <v>19</v>
      </c>
      <c r="J4654" s="9" t="s">
        <v>24</v>
      </c>
      <c r="L4654" s="9">
        <v>1</v>
      </c>
      <c r="M4654" s="9">
        <v>3</v>
      </c>
      <c r="N4654" s="9" t="s">
        <v>12094</v>
      </c>
      <c r="O4654" s="9" t="s">
        <v>12079</v>
      </c>
      <c r="Q4654" s="10"/>
      <c r="S4654" s="9">
        <v>301</v>
      </c>
      <c r="U4654" s="9" t="str">
        <f t="shared" ca="1" si="188"/>
        <v/>
      </c>
      <c r="V4654" s="9" t="str">
        <f t="shared" ca="1" si="189"/>
        <v/>
      </c>
      <c r="AG4654" s="9" t="s">
        <v>19</v>
      </c>
    </row>
    <row r="4655" spans="1:33" ht="29">
      <c r="A4655" s="3" t="s">
        <v>4424</v>
      </c>
      <c r="D4655" s="3" t="s">
        <v>11255</v>
      </c>
      <c r="E4655" s="3" t="s">
        <v>11257</v>
      </c>
      <c r="G4655" t="s">
        <v>19</v>
      </c>
      <c r="J4655" s="9" t="s">
        <v>24</v>
      </c>
      <c r="L4655" s="9">
        <v>1</v>
      </c>
      <c r="M4655" s="9">
        <v>2</v>
      </c>
      <c r="N4655" s="9" t="s">
        <v>12125</v>
      </c>
      <c r="O4655" s="9" t="s">
        <v>12119</v>
      </c>
      <c r="Q4655" s="10"/>
      <c r="S4655" s="9">
        <v>1565</v>
      </c>
      <c r="U4655" s="9" t="str">
        <f t="shared" ca="1" si="188"/>
        <v/>
      </c>
      <c r="V4655" s="9" t="str">
        <f t="shared" ca="1" si="189"/>
        <v/>
      </c>
    </row>
    <row r="4656" spans="1:33">
      <c r="A4656" s="3" t="s">
        <v>4425</v>
      </c>
      <c r="D4656" s="3" t="s">
        <v>11258</v>
      </c>
      <c r="E4656" s="3" t="s">
        <v>11259</v>
      </c>
      <c r="G4656" t="s">
        <v>19</v>
      </c>
      <c r="J4656" s="9" t="s">
        <v>12118</v>
      </c>
      <c r="Q4656" s="10"/>
      <c r="T4656" s="9">
        <f>21-59</f>
        <v>-38</v>
      </c>
      <c r="U4656" s="9">
        <f t="shared" ca="1" si="188"/>
        <v>59</v>
      </c>
      <c r="V4656" s="9">
        <f t="shared" ca="1" si="189"/>
        <v>21</v>
      </c>
    </row>
    <row r="4657" spans="1:33" ht="29">
      <c r="A4657" s="3" t="s">
        <v>4425</v>
      </c>
      <c r="D4657" s="3" t="s">
        <v>11260</v>
      </c>
      <c r="E4657" s="3" t="s">
        <v>11260</v>
      </c>
      <c r="G4657" t="s">
        <v>20</v>
      </c>
      <c r="I4657" t="s">
        <v>11261</v>
      </c>
      <c r="Q4657" s="10"/>
      <c r="U4657" s="9" t="str">
        <f t="shared" ca="1" si="188"/>
        <v/>
      </c>
      <c r="V4657" s="9" t="str">
        <f t="shared" ca="1" si="189"/>
        <v/>
      </c>
    </row>
    <row r="4658" spans="1:33" ht="29">
      <c r="A4658" s="3" t="s">
        <v>4426</v>
      </c>
      <c r="D4658" s="3" t="s">
        <v>11262</v>
      </c>
      <c r="E4658" s="3" t="s">
        <v>11263</v>
      </c>
      <c r="G4658" t="s">
        <v>19</v>
      </c>
      <c r="J4658" s="9" t="s">
        <v>12120</v>
      </c>
      <c r="Q4658" s="10"/>
      <c r="U4658" s="9" t="str">
        <f t="shared" ca="1" si="188"/>
        <v/>
      </c>
      <c r="V4658" s="9" t="str">
        <f t="shared" ca="1" si="189"/>
        <v/>
      </c>
      <c r="AC4658" s="9" t="s">
        <v>12144</v>
      </c>
      <c r="AD4658" s="9" t="s">
        <v>19</v>
      </c>
      <c r="AE4658" s="9" t="s">
        <v>12089</v>
      </c>
    </row>
    <row r="4659" spans="1:33" ht="29">
      <c r="A4659" s="3" t="s">
        <v>4426</v>
      </c>
      <c r="D4659" s="3" t="s">
        <v>11265</v>
      </c>
      <c r="E4659" s="3" t="s">
        <v>11264</v>
      </c>
      <c r="G4659" t="s">
        <v>19</v>
      </c>
      <c r="J4659" s="9" t="s">
        <v>12118</v>
      </c>
      <c r="Q4659" s="10"/>
      <c r="T4659" s="9">
        <f>4240-930</f>
        <v>3310</v>
      </c>
      <c r="U4659" s="9">
        <f t="shared" ca="1" si="188"/>
        <v>930</v>
      </c>
      <c r="V4659" s="9">
        <f t="shared" ca="1" si="189"/>
        <v>4240</v>
      </c>
    </row>
    <row r="4660" spans="1:33">
      <c r="A4660" s="3" t="s">
        <v>4426</v>
      </c>
      <c r="D4660" s="3" t="s">
        <v>4427</v>
      </c>
      <c r="E4660" s="3" t="s">
        <v>4428</v>
      </c>
      <c r="J4660" s="9" t="s">
        <v>12118</v>
      </c>
      <c r="Q4660" s="10"/>
      <c r="T4660" s="9" t="s">
        <v>12131</v>
      </c>
      <c r="U4660" s="9" t="str">
        <f t="shared" ca="1" si="188"/>
        <v/>
      </c>
      <c r="V4660" s="9" t="str">
        <f t="shared" ca="1" si="189"/>
        <v/>
      </c>
      <c r="AC4660" s="9" t="s">
        <v>12130</v>
      </c>
      <c r="AD4660" s="9" t="s">
        <v>19</v>
      </c>
      <c r="AE4660" s="9" t="s">
        <v>12086</v>
      </c>
    </row>
    <row r="4661" spans="1:33">
      <c r="A4661" s="3" t="s">
        <v>4429</v>
      </c>
      <c r="D4661" s="3" t="s">
        <v>11271</v>
      </c>
      <c r="E4661" s="3" t="s">
        <v>11272</v>
      </c>
      <c r="J4661" s="9" t="s">
        <v>12120</v>
      </c>
      <c r="Q4661" s="10"/>
      <c r="U4661" s="9" t="str">
        <f t="shared" ca="1" si="188"/>
        <v/>
      </c>
      <c r="V4661" s="9" t="str">
        <f t="shared" ca="1" si="189"/>
        <v/>
      </c>
      <c r="AE4661" s="9" t="s">
        <v>12077</v>
      </c>
    </row>
    <row r="4662" spans="1:33" ht="29">
      <c r="A4662" s="3" t="s">
        <v>4430</v>
      </c>
      <c r="D4662" s="6" t="s">
        <v>11266</v>
      </c>
      <c r="E4662" s="3" t="s">
        <v>11267</v>
      </c>
      <c r="F4662" t="s">
        <v>11</v>
      </c>
      <c r="G4662" t="s">
        <v>19</v>
      </c>
      <c r="I4662" t="s">
        <v>11270</v>
      </c>
      <c r="Q4662" s="10"/>
      <c r="U4662" s="9" t="str">
        <f t="shared" ca="1" si="188"/>
        <v/>
      </c>
      <c r="V4662" s="9" t="str">
        <f t="shared" ca="1" si="189"/>
        <v/>
      </c>
    </row>
    <row r="4663" spans="1:33" ht="29">
      <c r="A4663" s="3" t="s">
        <v>4430</v>
      </c>
      <c r="D4663" s="3" t="s">
        <v>11268</v>
      </c>
      <c r="E4663" s="3" t="s">
        <v>11269</v>
      </c>
      <c r="G4663" t="s">
        <v>19</v>
      </c>
      <c r="J4663" s="9" t="s">
        <v>12120</v>
      </c>
      <c r="Q4663" s="10"/>
      <c r="U4663" s="9" t="str">
        <f t="shared" ca="1" si="188"/>
        <v/>
      </c>
      <c r="V4663" s="9" t="str">
        <f t="shared" ca="1" si="189"/>
        <v/>
      </c>
    </row>
    <row r="4664" spans="1:33" ht="29">
      <c r="A4664" s="3" t="s">
        <v>4430</v>
      </c>
      <c r="D4664" s="3" t="s">
        <v>11274</v>
      </c>
      <c r="E4664" s="3" t="s">
        <v>11273</v>
      </c>
      <c r="J4664" s="9" t="s">
        <v>12118</v>
      </c>
      <c r="Q4664" s="10"/>
      <c r="R4664" s="9" t="s">
        <v>12074</v>
      </c>
      <c r="T4664" s="9" t="s">
        <v>12131</v>
      </c>
      <c r="U4664" s="9" t="str">
        <f t="shared" ca="1" si="188"/>
        <v/>
      </c>
      <c r="V4664" s="9" t="str">
        <f t="shared" ca="1" si="189"/>
        <v/>
      </c>
      <c r="AE4664" s="9" t="s">
        <v>12077</v>
      </c>
    </row>
    <row r="4665" spans="1:33">
      <c r="A4665" s="3" t="s">
        <v>4431</v>
      </c>
      <c r="D4665" s="3" t="s">
        <v>11276</v>
      </c>
      <c r="E4665" s="3" t="s">
        <v>11275</v>
      </c>
      <c r="G4665" t="s">
        <v>19</v>
      </c>
      <c r="J4665" s="9" t="s">
        <v>12120</v>
      </c>
      <c r="Q4665" s="10"/>
      <c r="U4665" s="9" t="str">
        <f t="shared" ca="1" si="188"/>
        <v/>
      </c>
      <c r="V4665" s="9" t="str">
        <f t="shared" ca="1" si="189"/>
        <v/>
      </c>
      <c r="AB4665" s="9" t="s">
        <v>12082</v>
      </c>
      <c r="AD4665" s="9" t="s">
        <v>19</v>
      </c>
    </row>
    <row r="4666" spans="1:33">
      <c r="A4666" s="3" t="s">
        <v>4431</v>
      </c>
      <c r="D4666" s="3" t="s">
        <v>4432</v>
      </c>
      <c r="E4666" s="3" t="s">
        <v>4433</v>
      </c>
      <c r="J4666" s="9" t="s">
        <v>12118</v>
      </c>
      <c r="Q4666" s="10"/>
      <c r="T4666" s="9" t="s">
        <v>12131</v>
      </c>
      <c r="U4666" s="9" t="str">
        <f t="shared" ca="1" si="188"/>
        <v/>
      </c>
      <c r="V4666" s="9" t="str">
        <f t="shared" ca="1" si="189"/>
        <v/>
      </c>
      <c r="AE4666" s="9" t="s">
        <v>12086</v>
      </c>
    </row>
    <row r="4667" spans="1:33">
      <c r="A4667" s="3" t="s">
        <v>4431</v>
      </c>
      <c r="D4667" s="3" t="s">
        <v>4434</v>
      </c>
      <c r="E4667" s="3" t="s">
        <v>4435</v>
      </c>
      <c r="J4667" s="9" t="s">
        <v>12120</v>
      </c>
      <c r="Q4667" s="10"/>
      <c r="U4667" s="9" t="str">
        <f t="shared" ca="1" si="188"/>
        <v/>
      </c>
      <c r="V4667" s="9" t="str">
        <f t="shared" ca="1" si="189"/>
        <v/>
      </c>
      <c r="AE4667" s="9" t="s">
        <v>12077</v>
      </c>
    </row>
    <row r="4668" spans="1:33">
      <c r="A4668" s="3" t="s">
        <v>4431</v>
      </c>
      <c r="D4668" s="3" t="s">
        <v>4436</v>
      </c>
      <c r="E4668" s="3" t="s">
        <v>4437</v>
      </c>
      <c r="J4668" s="9" t="s">
        <v>12118</v>
      </c>
      <c r="Q4668" s="10"/>
      <c r="T4668" s="9" t="s">
        <v>12131</v>
      </c>
      <c r="U4668" s="9" t="str">
        <f t="shared" ca="1" si="188"/>
        <v/>
      </c>
      <c r="V4668" s="9" t="str">
        <f t="shared" ca="1" si="189"/>
        <v/>
      </c>
      <c r="AC4668" s="9" t="s">
        <v>12130</v>
      </c>
      <c r="AD4668" s="9" t="s">
        <v>19</v>
      </c>
      <c r="AE4668" s="9" t="s">
        <v>12086</v>
      </c>
    </row>
    <row r="4669" spans="1:33" ht="43.5">
      <c r="A4669" s="3" t="s">
        <v>4438</v>
      </c>
      <c r="D4669" s="3" t="s">
        <v>11279</v>
      </c>
      <c r="E4669" s="3" t="s">
        <v>11280</v>
      </c>
      <c r="G4669" t="s">
        <v>19</v>
      </c>
      <c r="J4669" s="9" t="s">
        <v>12120</v>
      </c>
      <c r="Q4669" s="10"/>
      <c r="U4669" s="9" t="str">
        <f t="shared" ca="1" si="188"/>
        <v/>
      </c>
      <c r="V4669" s="9" t="str">
        <f t="shared" ca="1" si="189"/>
        <v/>
      </c>
      <c r="AB4669" s="9" t="s">
        <v>12082</v>
      </c>
      <c r="AD4669" s="9" t="s">
        <v>19</v>
      </c>
    </row>
    <row r="4670" spans="1:33" ht="29">
      <c r="A4670" s="3" t="s">
        <v>4438</v>
      </c>
      <c r="D4670" s="3" t="s">
        <v>11281</v>
      </c>
      <c r="E4670" s="3" t="s">
        <v>11278</v>
      </c>
      <c r="G4670" t="s">
        <v>19</v>
      </c>
      <c r="J4670" s="9" t="s">
        <v>25</v>
      </c>
      <c r="L4670" s="9">
        <v>2</v>
      </c>
      <c r="M4670" s="9">
        <v>9</v>
      </c>
      <c r="O4670" s="9" t="s">
        <v>12079</v>
      </c>
      <c r="Q4670" s="10"/>
      <c r="S4670" s="9">
        <v>264</v>
      </c>
      <c r="U4670" s="9" t="str">
        <f t="shared" ca="1" si="188"/>
        <v/>
      </c>
      <c r="V4670" s="9" t="str">
        <f t="shared" ca="1" si="189"/>
        <v/>
      </c>
    </row>
    <row r="4671" spans="1:33" ht="29">
      <c r="A4671" s="3" t="s">
        <v>4438</v>
      </c>
      <c r="D4671" s="3" t="s">
        <v>11277</v>
      </c>
      <c r="E4671" s="3" t="s">
        <v>11282</v>
      </c>
      <c r="J4671" s="9" t="s">
        <v>24</v>
      </c>
      <c r="L4671" s="9">
        <v>1</v>
      </c>
      <c r="M4671" s="9">
        <v>5</v>
      </c>
      <c r="N4671" s="9" t="s">
        <v>12094</v>
      </c>
      <c r="O4671" s="9" t="s">
        <v>12073</v>
      </c>
      <c r="P4671" s="9" t="s">
        <v>12149</v>
      </c>
      <c r="Q4671" s="10" t="s">
        <v>12143</v>
      </c>
      <c r="S4671" s="9">
        <v>4240</v>
      </c>
      <c r="U4671" s="9" t="str">
        <f t="shared" ca="1" si="188"/>
        <v/>
      </c>
      <c r="V4671" s="9" t="str">
        <f t="shared" ca="1" si="189"/>
        <v/>
      </c>
      <c r="AG4671" s="9" t="s">
        <v>19</v>
      </c>
    </row>
    <row r="4672" spans="1:33" ht="29">
      <c r="A4672" s="3" t="s">
        <v>4439</v>
      </c>
      <c r="D4672" s="3" t="s">
        <v>11284</v>
      </c>
      <c r="E4672" s="3" t="s">
        <v>11283</v>
      </c>
      <c r="G4672" t="s">
        <v>19</v>
      </c>
      <c r="J4672" s="9" t="s">
        <v>25</v>
      </c>
      <c r="L4672" s="9">
        <v>1</v>
      </c>
      <c r="M4672" s="9">
        <v>3</v>
      </c>
      <c r="N4672" s="9" t="s">
        <v>12087</v>
      </c>
      <c r="O4672" s="9" t="s">
        <v>12079</v>
      </c>
      <c r="Q4672" s="10"/>
      <c r="S4672" s="9">
        <v>5676</v>
      </c>
      <c r="U4672" s="9" t="str">
        <f t="shared" ca="1" si="188"/>
        <v/>
      </c>
      <c r="V4672" s="9" t="str">
        <f t="shared" ca="1" si="189"/>
        <v/>
      </c>
    </row>
    <row r="4673" spans="1:33" ht="29">
      <c r="A4673" s="3" t="s">
        <v>4439</v>
      </c>
      <c r="D4673" s="3" t="s">
        <v>11285</v>
      </c>
      <c r="E4673" s="3" t="s">
        <v>11286</v>
      </c>
      <c r="G4673" t="s">
        <v>21</v>
      </c>
      <c r="I4673" t="s">
        <v>11287</v>
      </c>
      <c r="J4673" s="9" t="s">
        <v>12120</v>
      </c>
      <c r="Q4673" s="10"/>
      <c r="U4673" s="9" t="str">
        <f t="shared" ca="1" si="188"/>
        <v/>
      </c>
      <c r="V4673" s="9" t="str">
        <f t="shared" ca="1" si="189"/>
        <v/>
      </c>
      <c r="AE4673" s="9" t="s">
        <v>12089</v>
      </c>
    </row>
    <row r="4674" spans="1:33">
      <c r="A4674" s="3" t="s">
        <v>4439</v>
      </c>
      <c r="D4674" s="3" t="s">
        <v>11289</v>
      </c>
      <c r="E4674" s="3" t="s">
        <v>11288</v>
      </c>
      <c r="G4674" t="s">
        <v>19</v>
      </c>
      <c r="J4674" s="9" t="s">
        <v>24</v>
      </c>
      <c r="L4674" s="9">
        <v>1</v>
      </c>
      <c r="M4674" s="9">
        <v>8</v>
      </c>
      <c r="N4674" s="9" t="s">
        <v>12092</v>
      </c>
      <c r="O4674" s="9" t="s">
        <v>12079</v>
      </c>
      <c r="Q4674" s="10"/>
      <c r="S4674" s="9">
        <v>371</v>
      </c>
      <c r="U4674" s="9" t="str">
        <f t="shared" ca="1" si="188"/>
        <v/>
      </c>
      <c r="V4674" s="9" t="str">
        <f t="shared" ca="1" si="189"/>
        <v/>
      </c>
    </row>
    <row r="4675" spans="1:33">
      <c r="A4675" s="3" t="s">
        <v>4439</v>
      </c>
      <c r="D4675" s="3" t="s">
        <v>11290</v>
      </c>
      <c r="E4675" s="3" t="s">
        <v>11290</v>
      </c>
      <c r="G4675" t="s">
        <v>20</v>
      </c>
      <c r="I4675" t="s">
        <v>11291</v>
      </c>
      <c r="Q4675" s="10"/>
      <c r="U4675" s="9" t="str">
        <f t="shared" ca="1" si="188"/>
        <v/>
      </c>
      <c r="V4675" s="9" t="str">
        <f t="shared" ca="1" si="189"/>
        <v/>
      </c>
    </row>
    <row r="4676" spans="1:33" ht="29">
      <c r="A4676" s="3" t="s">
        <v>4440</v>
      </c>
      <c r="D4676" s="3" t="s">
        <v>11293</v>
      </c>
      <c r="E4676" s="3" t="s">
        <v>11292</v>
      </c>
      <c r="I4676" t="s">
        <v>12177</v>
      </c>
      <c r="J4676" s="9" t="s">
        <v>26</v>
      </c>
      <c r="Q4676" s="10"/>
      <c r="U4676" s="9" t="str">
        <f t="shared" ca="1" si="188"/>
        <v/>
      </c>
      <c r="V4676" s="9" t="str">
        <f t="shared" ca="1" si="189"/>
        <v/>
      </c>
      <c r="AG4676" s="9" t="s">
        <v>20</v>
      </c>
    </row>
    <row r="4677" spans="1:33" ht="29">
      <c r="A4677" s="3" t="s">
        <v>4440</v>
      </c>
      <c r="D4677" s="3" t="s">
        <v>11294</v>
      </c>
      <c r="E4677" s="3" t="s">
        <v>11295</v>
      </c>
      <c r="J4677" s="9" t="s">
        <v>25</v>
      </c>
      <c r="L4677" s="9">
        <v>2</v>
      </c>
      <c r="M4677" s="9">
        <v>7</v>
      </c>
      <c r="O4677" s="9" t="s">
        <v>12079</v>
      </c>
      <c r="Q4677" s="10"/>
      <c r="S4677" s="9">
        <v>444</v>
      </c>
      <c r="U4677" s="9" t="str">
        <f t="shared" ca="1" si="188"/>
        <v/>
      </c>
      <c r="V4677" s="9" t="str">
        <f t="shared" ca="1" si="189"/>
        <v/>
      </c>
      <c r="AG4677" s="9" t="s">
        <v>19</v>
      </c>
    </row>
    <row r="4678" spans="1:33">
      <c r="A4678" s="3" t="s">
        <v>4441</v>
      </c>
      <c r="D4678" s="3" t="s">
        <v>4442</v>
      </c>
      <c r="E4678" s="3" t="s">
        <v>11296</v>
      </c>
      <c r="J4678" s="9" t="s">
        <v>12120</v>
      </c>
      <c r="Q4678" s="10"/>
      <c r="U4678" s="9" t="str">
        <f t="shared" ca="1" si="188"/>
        <v/>
      </c>
      <c r="V4678" s="9" t="str">
        <f t="shared" ca="1" si="189"/>
        <v/>
      </c>
      <c r="AC4678" s="9" t="s">
        <v>12153</v>
      </c>
      <c r="AD4678" s="9" t="s">
        <v>19</v>
      </c>
      <c r="AE4678" s="9" t="s">
        <v>12086</v>
      </c>
    </row>
    <row r="4679" spans="1:33">
      <c r="A4679" s="3" t="s">
        <v>4441</v>
      </c>
      <c r="D4679" s="3" t="s">
        <v>3603</v>
      </c>
      <c r="E4679" s="3" t="s">
        <v>4443</v>
      </c>
      <c r="J4679" s="9" t="s">
        <v>12120</v>
      </c>
      <c r="Q4679" s="10"/>
      <c r="U4679" s="9" t="str">
        <f t="shared" ca="1" si="188"/>
        <v/>
      </c>
      <c r="V4679" s="9" t="str">
        <f t="shared" ca="1" si="189"/>
        <v/>
      </c>
      <c r="AG4679" s="9" t="s">
        <v>20</v>
      </c>
    </row>
    <row r="4680" spans="1:33">
      <c r="A4680" s="3" t="s">
        <v>4444</v>
      </c>
      <c r="D4680" s="3" t="s">
        <v>4445</v>
      </c>
      <c r="E4680" s="3" t="s">
        <v>11297</v>
      </c>
      <c r="F4680" t="s">
        <v>11</v>
      </c>
      <c r="Q4680" s="10"/>
      <c r="U4680" s="9" t="str">
        <f t="shared" ca="1" si="188"/>
        <v/>
      </c>
      <c r="V4680" s="9" t="str">
        <f t="shared" ca="1" si="189"/>
        <v/>
      </c>
    </row>
    <row r="4681" spans="1:33">
      <c r="A4681" s="3" t="s">
        <v>4444</v>
      </c>
      <c r="D4681" s="3" t="s">
        <v>11298</v>
      </c>
      <c r="E4681" s="3" t="s">
        <v>11299</v>
      </c>
      <c r="J4681" s="9" t="s">
        <v>12120</v>
      </c>
      <c r="Q4681" s="10"/>
      <c r="U4681" s="9" t="str">
        <f t="shared" ca="1" si="188"/>
        <v/>
      </c>
      <c r="V4681" s="9" t="str">
        <f t="shared" ca="1" si="189"/>
        <v/>
      </c>
      <c r="AE4681" s="9" t="s">
        <v>12089</v>
      </c>
    </row>
    <row r="4682" spans="1:33" ht="29">
      <c r="A4682" s="3" t="s">
        <v>4446</v>
      </c>
      <c r="D4682" s="3" t="s">
        <v>11301</v>
      </c>
      <c r="E4682" s="3" t="s">
        <v>11300</v>
      </c>
      <c r="G4682" t="s">
        <v>19</v>
      </c>
      <c r="J4682" s="9" t="s">
        <v>25</v>
      </c>
      <c r="L4682" s="9">
        <v>1</v>
      </c>
      <c r="M4682" s="9">
        <v>2</v>
      </c>
      <c r="N4682" s="9" t="s">
        <v>12078</v>
      </c>
      <c r="O4682" s="9" t="s">
        <v>12119</v>
      </c>
      <c r="Q4682" s="10"/>
      <c r="S4682" s="9">
        <v>11843</v>
      </c>
      <c r="U4682" s="9" t="str">
        <f t="shared" ca="1" si="188"/>
        <v/>
      </c>
      <c r="V4682" s="9" t="str">
        <f t="shared" ca="1" si="189"/>
        <v/>
      </c>
    </row>
    <row r="4683" spans="1:33" ht="29">
      <c r="A4683" s="3" t="s">
        <v>4446</v>
      </c>
      <c r="D4683" s="3" t="s">
        <v>11302</v>
      </c>
      <c r="E4683" s="3" t="s">
        <v>11303</v>
      </c>
      <c r="G4683" t="s">
        <v>19</v>
      </c>
      <c r="J4683" s="9" t="s">
        <v>12118</v>
      </c>
      <c r="Q4683" s="10"/>
      <c r="T4683" s="9">
        <f>11-82</f>
        <v>-71</v>
      </c>
      <c r="U4683" s="9">
        <f t="shared" ca="1" si="188"/>
        <v>82</v>
      </c>
      <c r="V4683" s="9">
        <f t="shared" ca="1" si="189"/>
        <v>11</v>
      </c>
    </row>
    <row r="4684" spans="1:33">
      <c r="A4684" s="3" t="s">
        <v>4446</v>
      </c>
      <c r="D4684" s="3" t="s">
        <v>728</v>
      </c>
      <c r="E4684" s="3" t="s">
        <v>727</v>
      </c>
      <c r="J4684" s="9" t="s">
        <v>12118</v>
      </c>
      <c r="Q4684" s="10"/>
      <c r="T4684" s="9">
        <f>87-37</f>
        <v>50</v>
      </c>
      <c r="U4684" s="9">
        <f t="shared" ref="U4684:U4748" ca="1" si="190">IF(ISNUMBER(T4684),VALUE(MID(_xlfn.FORMULATEXT(T4684),SEARCH("-",_xlfn.FORMULATEXT(T4684))+1,LEN(_xlfn.FORMULATEXT(T4684))-SEARCH("-",_xlfn.FORMULATEXT(T4684)))), "")</f>
        <v>37</v>
      </c>
      <c r="V4684" s="9">
        <f t="shared" ref="V4684:V4748" ca="1" si="191">IF(ISNUMBER(T4684), VALUE(MID(_xlfn.FORMULATEXT(T4684), 2, SEARCH("-", _xlfn.FORMULATEXT(T4684)) - 2)), "")</f>
        <v>87</v>
      </c>
      <c r="AG4684" s="9" t="s">
        <v>19</v>
      </c>
    </row>
    <row r="4685" spans="1:33">
      <c r="A4685" s="3" t="s">
        <v>4447</v>
      </c>
      <c r="D4685" s="3" t="s">
        <v>11305</v>
      </c>
      <c r="E4685" s="3" t="s">
        <v>11304</v>
      </c>
      <c r="J4685" s="9" t="s">
        <v>24</v>
      </c>
      <c r="L4685" s="9">
        <v>1</v>
      </c>
      <c r="M4685" s="9">
        <v>1</v>
      </c>
      <c r="N4685" s="9" t="s">
        <v>12078</v>
      </c>
      <c r="O4685" s="9" t="s">
        <v>12119</v>
      </c>
      <c r="Q4685" s="10"/>
      <c r="S4685" s="9">
        <v>11843</v>
      </c>
      <c r="U4685" s="9" t="str">
        <f t="shared" ca="1" si="190"/>
        <v/>
      </c>
      <c r="V4685" s="9" t="str">
        <f t="shared" ca="1" si="191"/>
        <v/>
      </c>
      <c r="AG4685" s="9" t="s">
        <v>20</v>
      </c>
    </row>
    <row r="4686" spans="1:33" ht="29">
      <c r="A4686" s="3" t="s">
        <v>4447</v>
      </c>
      <c r="D4686" s="3" t="s">
        <v>11307</v>
      </c>
      <c r="E4686" s="3" t="s">
        <v>11306</v>
      </c>
      <c r="F4686" t="s">
        <v>11</v>
      </c>
      <c r="G4686" t="s">
        <v>19</v>
      </c>
      <c r="Q4686" s="10"/>
      <c r="U4686" s="9" t="str">
        <f t="shared" ca="1" si="190"/>
        <v/>
      </c>
      <c r="V4686" s="9" t="str">
        <f t="shared" ca="1" si="191"/>
        <v/>
      </c>
    </row>
    <row r="4687" spans="1:33">
      <c r="A4687" s="3" t="s">
        <v>4447</v>
      </c>
      <c r="D4687" s="3" t="s">
        <v>767</v>
      </c>
      <c r="E4687" s="3" t="s">
        <v>4448</v>
      </c>
      <c r="J4687" s="9" t="s">
        <v>12118</v>
      </c>
      <c r="Q4687" s="10"/>
      <c r="T4687" s="9" t="s">
        <v>12131</v>
      </c>
      <c r="U4687" s="9" t="str">
        <f t="shared" ca="1" si="190"/>
        <v/>
      </c>
      <c r="V4687" s="9" t="str">
        <f t="shared" ca="1" si="191"/>
        <v/>
      </c>
      <c r="AC4687" s="9" t="s">
        <v>12130</v>
      </c>
      <c r="AD4687" s="9" t="s">
        <v>19</v>
      </c>
      <c r="AE4687" s="9" t="s">
        <v>12086</v>
      </c>
    </row>
    <row r="4688" spans="1:33">
      <c r="A4688" s="3" t="s">
        <v>4449</v>
      </c>
      <c r="D4688" s="3" t="s">
        <v>4450</v>
      </c>
      <c r="E4688" s="3" t="s">
        <v>4451</v>
      </c>
      <c r="J4688" s="9" t="s">
        <v>12118</v>
      </c>
      <c r="Q4688" s="10"/>
      <c r="T4688" s="9" t="s">
        <v>12131</v>
      </c>
      <c r="U4688" s="9" t="str">
        <f t="shared" ca="1" si="190"/>
        <v/>
      </c>
      <c r="V4688" s="9" t="str">
        <f t="shared" ca="1" si="191"/>
        <v/>
      </c>
      <c r="AC4688" s="9" t="s">
        <v>12130</v>
      </c>
      <c r="AD4688" s="9" t="s">
        <v>19</v>
      </c>
      <c r="AE4688" s="9" t="s">
        <v>12086</v>
      </c>
    </row>
    <row r="4689" spans="1:33">
      <c r="A4689" s="3" t="s">
        <v>4449</v>
      </c>
      <c r="D4689" s="3" t="s">
        <v>4452</v>
      </c>
      <c r="E4689" s="3" t="s">
        <v>11308</v>
      </c>
      <c r="G4689" t="s">
        <v>19</v>
      </c>
      <c r="J4689" s="9" t="s">
        <v>12120</v>
      </c>
      <c r="Q4689" s="10"/>
      <c r="U4689" s="9" t="str">
        <f t="shared" ca="1" si="190"/>
        <v/>
      </c>
      <c r="V4689" s="9" t="str">
        <f t="shared" ca="1" si="191"/>
        <v/>
      </c>
    </row>
    <row r="4690" spans="1:33" ht="29">
      <c r="A4690" s="3" t="s">
        <v>4453</v>
      </c>
      <c r="D4690" s="3" t="s">
        <v>11310</v>
      </c>
      <c r="E4690" s="3" t="s">
        <v>11309</v>
      </c>
      <c r="G4690" t="s">
        <v>19</v>
      </c>
      <c r="I4690" t="s">
        <v>12587</v>
      </c>
      <c r="J4690" s="9" t="s">
        <v>12121</v>
      </c>
      <c r="Q4690" s="10"/>
      <c r="T4690" s="9">
        <f>4-42</f>
        <v>-38</v>
      </c>
      <c r="U4690" s="9">
        <f t="shared" ca="1" si="190"/>
        <v>42</v>
      </c>
      <c r="V4690" s="9">
        <f t="shared" ca="1" si="191"/>
        <v>4</v>
      </c>
    </row>
    <row r="4691" spans="1:33">
      <c r="A4691" s="3" t="s">
        <v>4453</v>
      </c>
      <c r="D4691" s="3" t="s">
        <v>4454</v>
      </c>
      <c r="E4691" s="3" t="s">
        <v>11311</v>
      </c>
      <c r="G4691" t="s">
        <v>19</v>
      </c>
      <c r="J4691" s="9" t="s">
        <v>12118</v>
      </c>
      <c r="Q4691" s="10"/>
      <c r="T4691" s="9">
        <f>9-8</f>
        <v>1</v>
      </c>
      <c r="U4691" s="9">
        <f t="shared" ca="1" si="190"/>
        <v>8</v>
      </c>
      <c r="V4691" s="9">
        <f t="shared" ca="1" si="191"/>
        <v>9</v>
      </c>
    </row>
    <row r="4692" spans="1:33" ht="29">
      <c r="A4692" s="3" t="s">
        <v>4455</v>
      </c>
      <c r="D4692" s="3" t="s">
        <v>11313</v>
      </c>
      <c r="E4692" s="3" t="s">
        <v>11312</v>
      </c>
      <c r="J4692" s="9" t="s">
        <v>12118</v>
      </c>
      <c r="Q4692" s="10"/>
      <c r="T4692" s="9">
        <f>166-1966</f>
        <v>-1800</v>
      </c>
      <c r="U4692" s="9">
        <f t="shared" ca="1" si="190"/>
        <v>1966</v>
      </c>
      <c r="V4692" s="9">
        <f t="shared" ca="1" si="191"/>
        <v>166</v>
      </c>
      <c r="AG4692" s="9" t="s">
        <v>19</v>
      </c>
    </row>
    <row r="4693" spans="1:33" ht="29">
      <c r="A4693" s="3" t="s">
        <v>4456</v>
      </c>
      <c r="D4693" s="3" t="s">
        <v>11315</v>
      </c>
      <c r="E4693" s="3" t="s">
        <v>11314</v>
      </c>
      <c r="J4693" s="9" t="s">
        <v>12118</v>
      </c>
      <c r="Q4693" s="10"/>
      <c r="R4693" s="9" t="s">
        <v>12074</v>
      </c>
      <c r="T4693" s="9" t="s">
        <v>12131</v>
      </c>
      <c r="U4693" s="9" t="str">
        <f t="shared" ca="1" si="190"/>
        <v/>
      </c>
      <c r="V4693" s="9" t="str">
        <f t="shared" ca="1" si="191"/>
        <v/>
      </c>
      <c r="AE4693" s="9" t="s">
        <v>12077</v>
      </c>
    </row>
    <row r="4694" spans="1:33" ht="29">
      <c r="A4694" s="3" t="s">
        <v>4456</v>
      </c>
      <c r="D4694" s="3" t="s">
        <v>11316</v>
      </c>
      <c r="E4694" s="3" t="s">
        <v>11316</v>
      </c>
      <c r="G4694" t="s">
        <v>20</v>
      </c>
      <c r="I4694" t="s">
        <v>10588</v>
      </c>
      <c r="Q4694" s="10"/>
      <c r="U4694" s="9" t="str">
        <f t="shared" ca="1" si="190"/>
        <v/>
      </c>
      <c r="V4694" s="9" t="str">
        <f t="shared" ca="1" si="191"/>
        <v/>
      </c>
    </row>
    <row r="4695" spans="1:33" ht="29">
      <c r="A4695" s="3" t="s">
        <v>4457</v>
      </c>
      <c r="D4695" s="3" t="s">
        <v>11318</v>
      </c>
      <c r="E4695" s="3" t="s">
        <v>11317</v>
      </c>
      <c r="J4695" s="9" t="s">
        <v>24</v>
      </c>
      <c r="L4695" s="9">
        <v>1</v>
      </c>
      <c r="M4695" s="9">
        <v>3</v>
      </c>
      <c r="N4695" s="9" t="s">
        <v>12087</v>
      </c>
      <c r="O4695" s="9" t="s">
        <v>12073</v>
      </c>
      <c r="P4695" s="9" t="s">
        <v>12142</v>
      </c>
      <c r="Q4695" s="10" t="s">
        <v>12143</v>
      </c>
      <c r="R4695" s="9" t="s">
        <v>12074</v>
      </c>
      <c r="S4695" s="9">
        <v>5676</v>
      </c>
      <c r="U4695" s="9" t="str">
        <f t="shared" ca="1" si="190"/>
        <v/>
      </c>
      <c r="V4695" s="9" t="str">
        <f t="shared" ca="1" si="191"/>
        <v/>
      </c>
      <c r="AE4695" s="9" t="s">
        <v>12083</v>
      </c>
    </row>
    <row r="4696" spans="1:33" ht="29">
      <c r="A4696" s="3" t="s">
        <v>4457</v>
      </c>
      <c r="D4696" s="3" t="s">
        <v>11320</v>
      </c>
      <c r="E4696" s="3" t="s">
        <v>11319</v>
      </c>
      <c r="G4696" t="s">
        <v>19</v>
      </c>
      <c r="I4696" t="s">
        <v>12588</v>
      </c>
      <c r="J4696" s="9" t="s">
        <v>25</v>
      </c>
      <c r="L4696" s="9">
        <v>3</v>
      </c>
      <c r="M4696" s="9">
        <v>13</v>
      </c>
      <c r="O4696" s="9" t="s">
        <v>12073</v>
      </c>
      <c r="P4696" s="9" t="s">
        <v>12140</v>
      </c>
      <c r="Q4696" s="10" t="s">
        <v>12136</v>
      </c>
      <c r="S4696" s="9">
        <v>68</v>
      </c>
      <c r="U4696" s="9" t="str">
        <f t="shared" ca="1" si="190"/>
        <v/>
      </c>
      <c r="V4696" s="9" t="str">
        <f t="shared" ca="1" si="191"/>
        <v/>
      </c>
    </row>
    <row r="4697" spans="1:33">
      <c r="A4697" s="3" t="s">
        <v>4458</v>
      </c>
      <c r="D4697" s="3" t="s">
        <v>11321</v>
      </c>
      <c r="E4697" s="3" t="s">
        <v>11322</v>
      </c>
      <c r="J4697" s="9" t="s">
        <v>12120</v>
      </c>
      <c r="Q4697" s="10"/>
      <c r="U4697" s="9" t="str">
        <f t="shared" ca="1" si="190"/>
        <v/>
      </c>
      <c r="V4697" s="9" t="str">
        <f t="shared" ca="1" si="191"/>
        <v/>
      </c>
      <c r="AE4697" s="9" t="s">
        <v>12077</v>
      </c>
    </row>
    <row r="4698" spans="1:33" ht="29">
      <c r="A4698" s="3" t="s">
        <v>4458</v>
      </c>
      <c r="D4698" s="3" t="s">
        <v>11323</v>
      </c>
      <c r="E4698" s="3" t="s">
        <v>11323</v>
      </c>
      <c r="G4698" t="s">
        <v>20</v>
      </c>
      <c r="I4698" t="s">
        <v>10588</v>
      </c>
      <c r="Q4698" s="10"/>
      <c r="U4698" s="9" t="str">
        <f t="shared" ca="1" si="190"/>
        <v/>
      </c>
      <c r="V4698" s="9" t="str">
        <f t="shared" ca="1" si="191"/>
        <v/>
      </c>
    </row>
    <row r="4699" spans="1:33">
      <c r="A4699" s="3" t="s">
        <v>4458</v>
      </c>
      <c r="D4699" s="3" t="s">
        <v>11325</v>
      </c>
      <c r="E4699" s="3" t="s">
        <v>11324</v>
      </c>
      <c r="I4699" t="s">
        <v>5457</v>
      </c>
      <c r="J4699" s="9" t="s">
        <v>26</v>
      </c>
      <c r="Q4699" s="10"/>
      <c r="U4699" s="9" t="str">
        <f t="shared" ca="1" si="190"/>
        <v/>
      </c>
      <c r="V4699" s="9" t="str">
        <f t="shared" ca="1" si="191"/>
        <v/>
      </c>
      <c r="AG4699" s="9" t="s">
        <v>20</v>
      </c>
    </row>
    <row r="4700" spans="1:33" ht="29">
      <c r="A4700" s="3" t="s">
        <v>4459</v>
      </c>
      <c r="D4700" s="3" t="s">
        <v>11327</v>
      </c>
      <c r="E4700" s="3" t="s">
        <v>11326</v>
      </c>
      <c r="G4700" t="s">
        <v>19</v>
      </c>
      <c r="J4700" s="9" t="s">
        <v>12118</v>
      </c>
      <c r="Q4700" s="10"/>
      <c r="T4700" s="9">
        <f xml:space="preserve"> 3-30</f>
        <v>-27</v>
      </c>
      <c r="U4700" s="9">
        <f t="shared" ca="1" si="190"/>
        <v>30</v>
      </c>
      <c r="V4700" s="9">
        <f t="shared" ca="1" si="191"/>
        <v>3</v>
      </c>
    </row>
    <row r="4701" spans="1:33" ht="29">
      <c r="A4701" s="3" t="s">
        <v>4460</v>
      </c>
      <c r="D4701" s="3" t="s">
        <v>11329</v>
      </c>
      <c r="E4701" s="3" t="s">
        <v>11328</v>
      </c>
      <c r="J4701" s="9" t="s">
        <v>25</v>
      </c>
      <c r="L4701" s="9">
        <v>1</v>
      </c>
      <c r="M4701" s="9">
        <v>3</v>
      </c>
      <c r="N4701" s="9" t="s">
        <v>12087</v>
      </c>
      <c r="O4701" s="9" t="s">
        <v>12079</v>
      </c>
      <c r="Q4701" s="10"/>
      <c r="S4701" s="9">
        <v>5676</v>
      </c>
      <c r="U4701" s="9" t="str">
        <f t="shared" ca="1" si="190"/>
        <v/>
      </c>
      <c r="V4701" s="9" t="str">
        <f t="shared" ca="1" si="191"/>
        <v/>
      </c>
      <c r="AG4701" s="9" t="s">
        <v>19</v>
      </c>
    </row>
    <row r="4702" spans="1:33" ht="29">
      <c r="A4702" s="3" t="s">
        <v>4460</v>
      </c>
      <c r="D4702" s="3" t="s">
        <v>12951</v>
      </c>
      <c r="E4702" s="3" t="s">
        <v>11330</v>
      </c>
      <c r="G4702" t="s">
        <v>19</v>
      </c>
      <c r="J4702" s="9" t="s">
        <v>25</v>
      </c>
      <c r="L4702" s="9">
        <v>1</v>
      </c>
      <c r="M4702" s="9">
        <v>3</v>
      </c>
      <c r="N4702" s="9" t="s">
        <v>12087</v>
      </c>
      <c r="O4702" s="9" t="s">
        <v>12079</v>
      </c>
      <c r="Q4702" s="10"/>
      <c r="S4702" s="9">
        <v>5676</v>
      </c>
      <c r="U4702" s="9" t="str">
        <f t="shared" ca="1" si="190"/>
        <v/>
      </c>
      <c r="V4702" s="9" t="str">
        <f t="shared" ca="1" si="191"/>
        <v/>
      </c>
    </row>
    <row r="4703" spans="1:33" ht="29">
      <c r="A4703" s="3" t="s">
        <v>4461</v>
      </c>
      <c r="D4703" s="3" t="s">
        <v>11331</v>
      </c>
      <c r="E4703" s="3" t="s">
        <v>11332</v>
      </c>
      <c r="J4703" s="9" t="s">
        <v>12121</v>
      </c>
      <c r="Q4703" s="10"/>
      <c r="T4703" s="9">
        <f>11843-780</f>
        <v>11063</v>
      </c>
      <c r="U4703" s="9">
        <f t="shared" ca="1" si="190"/>
        <v>780</v>
      </c>
      <c r="V4703" s="9">
        <f t="shared" ca="1" si="191"/>
        <v>11843</v>
      </c>
      <c r="AE4703" s="9" t="s">
        <v>12089</v>
      </c>
    </row>
    <row r="4704" spans="1:33">
      <c r="A4704" s="3" t="s">
        <v>4461</v>
      </c>
      <c r="D4704" s="3" t="s">
        <v>4462</v>
      </c>
      <c r="E4704" s="3" t="s">
        <v>296</v>
      </c>
      <c r="J4704" s="9" t="s">
        <v>12120</v>
      </c>
      <c r="Q4704" s="10"/>
      <c r="U4704" s="9" t="str">
        <f t="shared" ca="1" si="190"/>
        <v/>
      </c>
      <c r="V4704" s="9" t="str">
        <f t="shared" ca="1" si="191"/>
        <v/>
      </c>
      <c r="AG4704" s="9" t="s">
        <v>19</v>
      </c>
    </row>
    <row r="4705" spans="1:33">
      <c r="A4705" s="3" t="s">
        <v>4461</v>
      </c>
      <c r="D4705" s="3" t="s">
        <v>4463</v>
      </c>
      <c r="E4705" s="3" t="s">
        <v>4464</v>
      </c>
      <c r="J4705" s="9" t="s">
        <v>12118</v>
      </c>
      <c r="Q4705" s="10"/>
      <c r="T4705" s="9">
        <f>1-37</f>
        <v>-36</v>
      </c>
      <c r="U4705" s="9">
        <f t="shared" ca="1" si="190"/>
        <v>37</v>
      </c>
      <c r="V4705" s="9">
        <f t="shared" ca="1" si="191"/>
        <v>1</v>
      </c>
      <c r="AG4705" s="9" t="s">
        <v>20</v>
      </c>
    </row>
    <row r="4706" spans="1:33">
      <c r="A4706" s="3" t="s">
        <v>4465</v>
      </c>
      <c r="D4706" s="3" t="s">
        <v>4466</v>
      </c>
      <c r="E4706" s="3" t="s">
        <v>4467</v>
      </c>
      <c r="J4706" s="9" t="s">
        <v>12120</v>
      </c>
      <c r="Q4706" s="10"/>
      <c r="U4706" s="9" t="str">
        <f t="shared" ca="1" si="190"/>
        <v/>
      </c>
      <c r="V4706" s="9" t="str">
        <f t="shared" ca="1" si="191"/>
        <v/>
      </c>
      <c r="AG4706" s="9" t="s">
        <v>20</v>
      </c>
    </row>
    <row r="4707" spans="1:33">
      <c r="A4707" s="3" t="s">
        <v>4468</v>
      </c>
      <c r="D4707" s="3" t="s">
        <v>4469</v>
      </c>
      <c r="E4707" s="3" t="s">
        <v>4470</v>
      </c>
      <c r="J4707" s="9" t="s">
        <v>12118</v>
      </c>
      <c r="Q4707" s="10"/>
      <c r="T4707" s="9">
        <f>10-40</f>
        <v>-30</v>
      </c>
      <c r="U4707" s="9">
        <f t="shared" ca="1" si="190"/>
        <v>40</v>
      </c>
      <c r="V4707" s="9">
        <f t="shared" ca="1" si="191"/>
        <v>10</v>
      </c>
      <c r="AG4707" s="9" t="s">
        <v>19</v>
      </c>
    </row>
    <row r="4708" spans="1:33" ht="29">
      <c r="A4708" s="3" t="s">
        <v>4468</v>
      </c>
      <c r="D4708" s="3" t="s">
        <v>11334</v>
      </c>
      <c r="E4708" s="3" t="s">
        <v>11333</v>
      </c>
      <c r="F4708" t="s">
        <v>11</v>
      </c>
      <c r="G4708" t="s">
        <v>19</v>
      </c>
      <c r="I4708" t="s">
        <v>12589</v>
      </c>
      <c r="J4708" s="9" t="s">
        <v>12118</v>
      </c>
      <c r="Q4708" s="10"/>
      <c r="T4708" s="9">
        <f>11843-1741</f>
        <v>10102</v>
      </c>
      <c r="U4708" s="9">
        <f t="shared" ca="1" si="190"/>
        <v>1741</v>
      </c>
      <c r="V4708" s="9">
        <f t="shared" ca="1" si="191"/>
        <v>11843</v>
      </c>
      <c r="AE4708" s="9" t="s">
        <v>12089</v>
      </c>
    </row>
    <row r="4709" spans="1:33" ht="29">
      <c r="A4709" s="3" t="s">
        <v>4471</v>
      </c>
      <c r="D4709" s="3" t="s">
        <v>11336</v>
      </c>
      <c r="E4709" s="3" t="s">
        <v>11335</v>
      </c>
      <c r="I4709" t="s">
        <v>5457</v>
      </c>
      <c r="J4709" s="9" t="s">
        <v>26</v>
      </c>
      <c r="Q4709" s="10"/>
      <c r="U4709" s="9" t="str">
        <f t="shared" ca="1" si="190"/>
        <v/>
      </c>
      <c r="V4709" s="9" t="str">
        <f t="shared" ca="1" si="191"/>
        <v/>
      </c>
      <c r="AG4709" s="9" t="s">
        <v>20</v>
      </c>
    </row>
    <row r="4710" spans="1:33">
      <c r="A4710" s="3" t="s">
        <v>4471</v>
      </c>
      <c r="D4710" s="3" t="s">
        <v>4472</v>
      </c>
      <c r="E4710" s="3" t="s">
        <v>4473</v>
      </c>
      <c r="J4710" s="9" t="s">
        <v>12120</v>
      </c>
      <c r="Q4710" s="10"/>
      <c r="U4710" s="9" t="str">
        <f t="shared" ca="1" si="190"/>
        <v/>
      </c>
      <c r="V4710" s="9" t="str">
        <f t="shared" ca="1" si="191"/>
        <v/>
      </c>
      <c r="AC4710" s="9" t="s">
        <v>12153</v>
      </c>
      <c r="AD4710" s="9" t="s">
        <v>19</v>
      </c>
      <c r="AE4710" s="9" t="s">
        <v>12077</v>
      </c>
    </row>
    <row r="4711" spans="1:33" ht="29">
      <c r="A4711" s="3" t="s">
        <v>4474</v>
      </c>
      <c r="D4711" s="3" t="s">
        <v>12952</v>
      </c>
      <c r="E4711" s="3" t="s">
        <v>12953</v>
      </c>
      <c r="G4711" t="s">
        <v>20</v>
      </c>
      <c r="I4711" t="s">
        <v>11337</v>
      </c>
      <c r="J4711" s="9" t="s">
        <v>12120</v>
      </c>
      <c r="Q4711" s="10"/>
      <c r="U4711" s="9" t="str">
        <f t="shared" ca="1" si="190"/>
        <v/>
      </c>
      <c r="V4711" s="9" t="str">
        <f t="shared" ca="1" si="191"/>
        <v/>
      </c>
      <c r="AE4711" s="9" t="s">
        <v>12086</v>
      </c>
    </row>
    <row r="4712" spans="1:33" ht="43.5">
      <c r="A4712" s="3" t="s">
        <v>4475</v>
      </c>
      <c r="D4712" s="3" t="s">
        <v>11339</v>
      </c>
      <c r="E4712" s="3" t="s">
        <v>11338</v>
      </c>
      <c r="G4712" t="s">
        <v>19</v>
      </c>
      <c r="I4712" t="s">
        <v>5457</v>
      </c>
      <c r="J4712" s="9" t="s">
        <v>26</v>
      </c>
      <c r="Q4712" s="10"/>
      <c r="U4712" s="9" t="str">
        <f t="shared" ca="1" si="190"/>
        <v/>
      </c>
      <c r="V4712" s="9" t="str">
        <f t="shared" ca="1" si="191"/>
        <v/>
      </c>
    </row>
    <row r="4713" spans="1:33">
      <c r="A4713" s="3" t="s">
        <v>4475</v>
      </c>
      <c r="D4713" s="3" t="s">
        <v>11341</v>
      </c>
      <c r="E4713" s="3" t="s">
        <v>11340</v>
      </c>
      <c r="J4713" s="9" t="s">
        <v>24</v>
      </c>
      <c r="L4713" s="9">
        <v>1</v>
      </c>
      <c r="M4713" s="9">
        <v>1</v>
      </c>
      <c r="N4713" s="9" t="s">
        <v>12078</v>
      </c>
      <c r="O4713" s="9" t="s">
        <v>12119</v>
      </c>
      <c r="Q4713" s="10"/>
      <c r="S4713" s="9">
        <v>11843</v>
      </c>
      <c r="U4713" s="9" t="str">
        <f t="shared" ca="1" si="190"/>
        <v/>
      </c>
      <c r="V4713" s="9" t="str">
        <f t="shared" ca="1" si="191"/>
        <v/>
      </c>
      <c r="AG4713" s="9" t="s">
        <v>19</v>
      </c>
    </row>
    <row r="4714" spans="1:33">
      <c r="A4714" s="3" t="s">
        <v>4476</v>
      </c>
      <c r="D4714" s="3" t="s">
        <v>11343</v>
      </c>
      <c r="E4714" s="3" t="s">
        <v>11342</v>
      </c>
      <c r="G4714" t="s">
        <v>19</v>
      </c>
      <c r="J4714" s="9" t="s">
        <v>25</v>
      </c>
      <c r="L4714" s="9">
        <v>1</v>
      </c>
      <c r="M4714" s="9">
        <v>3</v>
      </c>
      <c r="N4714" s="9" t="s">
        <v>12087</v>
      </c>
      <c r="O4714" s="9" t="s">
        <v>12079</v>
      </c>
      <c r="Q4714" s="10"/>
      <c r="S4714" s="9">
        <v>5676</v>
      </c>
      <c r="U4714" s="9" t="str">
        <f t="shared" ca="1" si="190"/>
        <v/>
      </c>
      <c r="V4714" s="9" t="str">
        <f t="shared" ca="1" si="191"/>
        <v/>
      </c>
    </row>
    <row r="4715" spans="1:33">
      <c r="A4715" s="3" t="s">
        <v>4476</v>
      </c>
      <c r="D4715" s="3" t="s">
        <v>4477</v>
      </c>
      <c r="E4715" s="3" t="s">
        <v>11344</v>
      </c>
      <c r="G4715" t="s">
        <v>19</v>
      </c>
      <c r="J4715" s="9" t="s">
        <v>12118</v>
      </c>
      <c r="Q4715" s="10"/>
      <c r="T4715" s="9" t="s">
        <v>12131</v>
      </c>
      <c r="U4715" s="9" t="str">
        <f t="shared" ca="1" si="190"/>
        <v/>
      </c>
      <c r="V4715" s="9" t="str">
        <f t="shared" ca="1" si="191"/>
        <v/>
      </c>
      <c r="AE4715" s="9" t="s">
        <v>12086</v>
      </c>
    </row>
    <row r="4716" spans="1:33">
      <c r="A4716" s="3" t="s">
        <v>4476</v>
      </c>
      <c r="D4716" s="3" t="s">
        <v>4478</v>
      </c>
      <c r="E4716" s="3" t="s">
        <v>4479</v>
      </c>
      <c r="J4716" s="9" t="s">
        <v>12118</v>
      </c>
      <c r="Q4716" s="10"/>
      <c r="T4716" s="9" t="s">
        <v>12131</v>
      </c>
      <c r="U4716" s="9" t="str">
        <f t="shared" ca="1" si="190"/>
        <v/>
      </c>
      <c r="V4716" s="9" t="str">
        <f t="shared" ca="1" si="191"/>
        <v/>
      </c>
      <c r="AE4716" s="9" t="s">
        <v>12077</v>
      </c>
    </row>
    <row r="4717" spans="1:33">
      <c r="A4717" s="3" t="s">
        <v>4480</v>
      </c>
      <c r="D4717" s="3" t="s">
        <v>11345</v>
      </c>
      <c r="E4717" s="3" t="s">
        <v>13074</v>
      </c>
      <c r="G4717" t="s">
        <v>19</v>
      </c>
      <c r="J4717" s="9" t="s">
        <v>24</v>
      </c>
      <c r="L4717" s="9">
        <v>2</v>
      </c>
      <c r="M4717" s="9">
        <v>6</v>
      </c>
      <c r="O4717" s="9" t="s">
        <v>12079</v>
      </c>
      <c r="Q4717" s="10"/>
      <c r="S4717" s="9">
        <v>11843</v>
      </c>
      <c r="U4717" s="9" t="str">
        <f t="shared" ca="1" si="190"/>
        <v/>
      </c>
      <c r="V4717" s="9" t="str">
        <f t="shared" ca="1" si="191"/>
        <v/>
      </c>
      <c r="AE4717" s="9" t="s">
        <v>12083</v>
      </c>
    </row>
    <row r="4718" spans="1:33" ht="29">
      <c r="A4718" s="3" t="s">
        <v>4481</v>
      </c>
      <c r="D4718" s="3" t="s">
        <v>11347</v>
      </c>
      <c r="E4718" s="3" t="s">
        <v>11348</v>
      </c>
      <c r="F4718" t="s">
        <v>11</v>
      </c>
      <c r="Q4718" s="10"/>
      <c r="U4718" s="9" t="str">
        <f t="shared" ca="1" si="190"/>
        <v/>
      </c>
      <c r="V4718" s="9" t="str">
        <f t="shared" ca="1" si="191"/>
        <v/>
      </c>
    </row>
    <row r="4719" spans="1:33" ht="29">
      <c r="A4719" s="3" t="s">
        <v>4481</v>
      </c>
      <c r="D4719" s="3" t="s">
        <v>11349</v>
      </c>
      <c r="E4719" s="3" t="s">
        <v>11346</v>
      </c>
      <c r="J4719" s="9" t="s">
        <v>25</v>
      </c>
      <c r="L4719" s="9">
        <v>2</v>
      </c>
      <c r="M4719" s="9">
        <v>8</v>
      </c>
      <c r="O4719" s="9" t="s">
        <v>12079</v>
      </c>
      <c r="Q4719" s="10"/>
      <c r="S4719" s="9">
        <v>16</v>
      </c>
      <c r="U4719" s="9" t="str">
        <f t="shared" ca="1" si="190"/>
        <v/>
      </c>
      <c r="V4719" s="9" t="str">
        <f t="shared" ca="1" si="191"/>
        <v/>
      </c>
      <c r="AG4719" s="9" t="s">
        <v>13141</v>
      </c>
    </row>
    <row r="4720" spans="1:33" ht="29">
      <c r="A4720" s="3" t="s">
        <v>4481</v>
      </c>
      <c r="D4720" s="3" t="s">
        <v>11351</v>
      </c>
      <c r="E4720" s="3" t="s">
        <v>11350</v>
      </c>
      <c r="F4720" t="s">
        <v>11</v>
      </c>
      <c r="J4720" s="9" t="s">
        <v>24</v>
      </c>
      <c r="L4720" s="9">
        <v>2</v>
      </c>
      <c r="M4720" s="9">
        <v>9</v>
      </c>
      <c r="O4720" s="9" t="s">
        <v>12079</v>
      </c>
      <c r="Q4720" s="10"/>
      <c r="S4720" s="9">
        <v>12</v>
      </c>
      <c r="U4720" s="9" t="str">
        <f t="shared" ca="1" si="190"/>
        <v/>
      </c>
      <c r="V4720" s="9" t="str">
        <f t="shared" ca="1" si="191"/>
        <v/>
      </c>
    </row>
    <row r="4721" spans="1:33" ht="29">
      <c r="A4721" s="3" t="s">
        <v>4481</v>
      </c>
      <c r="D4721" s="3" t="s">
        <v>11353</v>
      </c>
      <c r="E4721" s="3" t="s">
        <v>11352</v>
      </c>
      <c r="F4721" t="s">
        <v>11</v>
      </c>
      <c r="Q4721" s="10"/>
      <c r="U4721" s="9" t="str">
        <f t="shared" ca="1" si="190"/>
        <v/>
      </c>
      <c r="V4721" s="9" t="str">
        <f t="shared" ca="1" si="191"/>
        <v/>
      </c>
    </row>
    <row r="4722" spans="1:33" ht="29">
      <c r="A4722" s="3" t="s">
        <v>4482</v>
      </c>
      <c r="D4722" s="3" t="s">
        <v>11355</v>
      </c>
      <c r="E4722" s="3" t="s">
        <v>11354</v>
      </c>
      <c r="F4722" t="s">
        <v>11</v>
      </c>
      <c r="Q4722" s="10"/>
      <c r="U4722" s="9" t="str">
        <f t="shared" ca="1" si="190"/>
        <v/>
      </c>
      <c r="V4722" s="9" t="str">
        <f t="shared" ca="1" si="191"/>
        <v/>
      </c>
    </row>
    <row r="4723" spans="1:33" ht="29">
      <c r="A4723" s="3" t="s">
        <v>4483</v>
      </c>
      <c r="D4723" s="3" t="s">
        <v>11356</v>
      </c>
      <c r="E4723" s="3" t="s">
        <v>11357</v>
      </c>
      <c r="J4723" s="9" t="s">
        <v>24</v>
      </c>
      <c r="L4723" s="9">
        <v>1</v>
      </c>
      <c r="M4723" s="9">
        <v>3</v>
      </c>
      <c r="N4723" s="9" t="s">
        <v>12078</v>
      </c>
      <c r="O4723" s="9" t="s">
        <v>12079</v>
      </c>
      <c r="Q4723" s="10"/>
      <c r="S4723" s="9">
        <v>11843</v>
      </c>
      <c r="U4723" s="9" t="str">
        <f t="shared" ca="1" si="190"/>
        <v/>
      </c>
      <c r="V4723" s="9" t="str">
        <f t="shared" ca="1" si="191"/>
        <v/>
      </c>
      <c r="AG4723" s="9" t="s">
        <v>19</v>
      </c>
    </row>
    <row r="4724" spans="1:33" ht="29">
      <c r="A4724" s="3" t="s">
        <v>4483</v>
      </c>
      <c r="D4724" s="3" t="s">
        <v>11358</v>
      </c>
      <c r="E4724" s="3" t="s">
        <v>11359</v>
      </c>
      <c r="G4724" t="s">
        <v>19</v>
      </c>
      <c r="J4724" s="9" t="s">
        <v>12118</v>
      </c>
      <c r="Q4724" s="10"/>
      <c r="T4724" s="9" t="s">
        <v>12131</v>
      </c>
      <c r="U4724" s="9" t="str">
        <f t="shared" ca="1" si="190"/>
        <v/>
      </c>
      <c r="V4724" s="9" t="str">
        <f t="shared" ca="1" si="191"/>
        <v/>
      </c>
      <c r="AB4724" s="9" t="s">
        <v>12124</v>
      </c>
      <c r="AD4724" s="9" t="s">
        <v>19</v>
      </c>
    </row>
    <row r="4725" spans="1:33" ht="29">
      <c r="A4725" s="3" t="s">
        <v>4483</v>
      </c>
      <c r="D4725" s="3" t="s">
        <v>11361</v>
      </c>
      <c r="E4725" s="3" t="s">
        <v>11360</v>
      </c>
      <c r="G4725" t="s">
        <v>19</v>
      </c>
      <c r="J4725" s="9" t="s">
        <v>12120</v>
      </c>
      <c r="Q4725" s="10"/>
      <c r="U4725" s="9" t="str">
        <f t="shared" ca="1" si="190"/>
        <v/>
      </c>
      <c r="V4725" s="9" t="str">
        <f t="shared" ca="1" si="191"/>
        <v/>
      </c>
      <c r="AE4725" s="9" t="s">
        <v>12089</v>
      </c>
    </row>
    <row r="4726" spans="1:33">
      <c r="A4726" s="3" t="s">
        <v>4483</v>
      </c>
      <c r="D4726" s="3" t="s">
        <v>11363</v>
      </c>
      <c r="E4726" s="3" t="s">
        <v>11362</v>
      </c>
      <c r="G4726" t="s">
        <v>19</v>
      </c>
      <c r="J4726" s="9" t="s">
        <v>25</v>
      </c>
      <c r="L4726" s="9">
        <v>1</v>
      </c>
      <c r="M4726" s="9">
        <v>5</v>
      </c>
      <c r="N4726" s="9" t="s">
        <v>12125</v>
      </c>
      <c r="O4726" s="9" t="s">
        <v>12079</v>
      </c>
      <c r="Q4726" s="10"/>
      <c r="S4726" s="9">
        <v>2042</v>
      </c>
      <c r="U4726" s="9" t="str">
        <f t="shared" ca="1" si="190"/>
        <v/>
      </c>
      <c r="V4726" s="9" t="str">
        <f t="shared" ca="1" si="191"/>
        <v/>
      </c>
    </row>
    <row r="4727" spans="1:33">
      <c r="A4727" s="3" t="s">
        <v>4484</v>
      </c>
      <c r="D4727" s="3" t="s">
        <v>11364</v>
      </c>
      <c r="E4727" s="3" t="s">
        <v>11365</v>
      </c>
      <c r="G4727" t="s">
        <v>21</v>
      </c>
      <c r="I4727" t="s">
        <v>11366</v>
      </c>
      <c r="J4727" s="9" t="s">
        <v>12120</v>
      </c>
      <c r="Q4727" s="10"/>
      <c r="U4727" s="9" t="str">
        <f t="shared" ca="1" si="190"/>
        <v/>
      </c>
      <c r="V4727" s="9" t="str">
        <f t="shared" ca="1" si="191"/>
        <v/>
      </c>
      <c r="AE4727" s="9" t="s">
        <v>12089</v>
      </c>
    </row>
    <row r="4728" spans="1:33">
      <c r="A4728" s="3" t="s">
        <v>4485</v>
      </c>
      <c r="D4728" s="3" t="s">
        <v>11367</v>
      </c>
      <c r="E4728" s="3" t="s">
        <v>11368</v>
      </c>
      <c r="H4728" t="s">
        <v>19</v>
      </c>
      <c r="J4728" s="9" t="s">
        <v>25</v>
      </c>
      <c r="L4728" s="9">
        <v>1</v>
      </c>
      <c r="M4728" s="9">
        <v>3</v>
      </c>
      <c r="N4728" s="9" t="s">
        <v>12078</v>
      </c>
      <c r="O4728" s="9" t="s">
        <v>12079</v>
      </c>
      <c r="Q4728" s="10"/>
      <c r="S4728" s="9">
        <v>11843</v>
      </c>
      <c r="U4728" s="9" t="str">
        <f t="shared" ca="1" si="190"/>
        <v/>
      </c>
      <c r="V4728" s="9" t="str">
        <f t="shared" ca="1" si="191"/>
        <v/>
      </c>
      <c r="AG4728" s="9" t="s">
        <v>20</v>
      </c>
    </row>
    <row r="4729" spans="1:33">
      <c r="A4729" s="3" t="s">
        <v>4486</v>
      </c>
      <c r="D4729" s="3" t="s">
        <v>11370</v>
      </c>
      <c r="E4729" s="3" t="s">
        <v>11369</v>
      </c>
      <c r="G4729" t="s">
        <v>19</v>
      </c>
      <c r="J4729" s="9" t="s">
        <v>12118</v>
      </c>
      <c r="Q4729" s="10"/>
      <c r="T4729" s="9">
        <f>1101-227</f>
        <v>874</v>
      </c>
      <c r="U4729" s="9">
        <f t="shared" ca="1" si="190"/>
        <v>227</v>
      </c>
      <c r="V4729" s="9">
        <f t="shared" ca="1" si="191"/>
        <v>1101</v>
      </c>
      <c r="AE4729" s="9" t="s">
        <v>12089</v>
      </c>
    </row>
    <row r="4730" spans="1:33">
      <c r="A4730" s="3" t="s">
        <v>4487</v>
      </c>
      <c r="D4730" s="3" t="s">
        <v>11372</v>
      </c>
      <c r="E4730" s="3" t="s">
        <v>11371</v>
      </c>
      <c r="J4730" s="9" t="s">
        <v>25</v>
      </c>
      <c r="L4730" s="9">
        <v>1</v>
      </c>
      <c r="M4730" s="9">
        <v>2</v>
      </c>
      <c r="N4730" s="9" t="s">
        <v>12078</v>
      </c>
      <c r="O4730" s="9" t="s">
        <v>12119</v>
      </c>
      <c r="Q4730" s="10"/>
      <c r="S4730" s="9">
        <v>11843</v>
      </c>
      <c r="U4730" s="9" t="str">
        <f t="shared" ca="1" si="190"/>
        <v/>
      </c>
      <c r="V4730" s="9" t="str">
        <f t="shared" ca="1" si="191"/>
        <v/>
      </c>
      <c r="AG4730" s="9" t="s">
        <v>19</v>
      </c>
    </row>
    <row r="4731" spans="1:33" ht="29">
      <c r="A4731" s="3" t="s">
        <v>4487</v>
      </c>
      <c r="D4731" s="3" t="s">
        <v>11373</v>
      </c>
      <c r="E4731" s="3" t="s">
        <v>11374</v>
      </c>
      <c r="G4731" t="s">
        <v>19</v>
      </c>
      <c r="J4731" s="9" t="s">
        <v>12120</v>
      </c>
      <c r="Q4731" s="10"/>
      <c r="U4731" s="9" t="str">
        <f t="shared" ca="1" si="190"/>
        <v/>
      </c>
      <c r="V4731" s="9" t="str">
        <f t="shared" ca="1" si="191"/>
        <v/>
      </c>
    </row>
    <row r="4732" spans="1:33" ht="29">
      <c r="A4732" s="3" t="s">
        <v>4487</v>
      </c>
      <c r="D4732" s="3" t="s">
        <v>11375</v>
      </c>
      <c r="E4732" s="3" t="s">
        <v>11376</v>
      </c>
      <c r="J4732" s="9" t="s">
        <v>12120</v>
      </c>
      <c r="Q4732" s="10"/>
      <c r="U4732" s="9" t="str">
        <f t="shared" ca="1" si="190"/>
        <v/>
      </c>
      <c r="V4732" s="9" t="str">
        <f t="shared" ca="1" si="191"/>
        <v/>
      </c>
      <c r="AB4732" s="9" t="s">
        <v>12738</v>
      </c>
      <c r="AD4732" s="9" t="s">
        <v>19</v>
      </c>
    </row>
    <row r="4733" spans="1:33" ht="87">
      <c r="A4733" s="3" t="s">
        <v>4488</v>
      </c>
      <c r="D4733" s="3" t="s">
        <v>11378</v>
      </c>
      <c r="E4733" s="3" t="s">
        <v>11379</v>
      </c>
      <c r="F4733" t="s">
        <v>4774</v>
      </c>
      <c r="J4733" s="15" t="s">
        <v>27</v>
      </c>
      <c r="K4733" s="15"/>
      <c r="L4733" s="15"/>
      <c r="M4733" s="15"/>
      <c r="N4733" s="15"/>
      <c r="O4733" s="15"/>
      <c r="P4733" s="15"/>
      <c r="Q4733" s="16"/>
      <c r="R4733" s="15"/>
      <c r="S4733" s="15"/>
      <c r="T4733" s="15"/>
      <c r="U4733" s="15"/>
      <c r="V4733" s="15"/>
      <c r="W4733" s="15"/>
      <c r="X4733" s="15"/>
      <c r="Y4733" s="15"/>
      <c r="Z4733" s="15"/>
      <c r="AA4733" s="15"/>
      <c r="AB4733" s="15"/>
      <c r="AC4733" s="15"/>
      <c r="AD4733" s="15"/>
      <c r="AE4733" s="15"/>
      <c r="AF4733" s="15"/>
      <c r="AG4733" s="15"/>
    </row>
    <row r="4734" spans="1:33" ht="87">
      <c r="A4734" s="3" t="s">
        <v>4488</v>
      </c>
      <c r="D4734" s="3" t="s">
        <v>11378</v>
      </c>
      <c r="E4734" s="3" t="s">
        <v>11379</v>
      </c>
      <c r="F4734" t="s">
        <v>4774</v>
      </c>
      <c r="I4734" s="4"/>
      <c r="J4734" s="9" t="s">
        <v>12118</v>
      </c>
      <c r="Q4734" s="10"/>
      <c r="T4734" s="9">
        <f>2-12</f>
        <v>-10</v>
      </c>
      <c r="U4734" s="9">
        <f t="shared" ca="1" si="190"/>
        <v>12</v>
      </c>
      <c r="V4734" s="9">
        <f t="shared" ca="1" si="191"/>
        <v>2</v>
      </c>
    </row>
    <row r="4735" spans="1:33" ht="87">
      <c r="A4735" s="3" t="s">
        <v>4488</v>
      </c>
      <c r="D4735" s="3" t="s">
        <v>11380</v>
      </c>
      <c r="E4735" s="3" t="s">
        <v>11377</v>
      </c>
      <c r="F4735" t="s">
        <v>4774</v>
      </c>
      <c r="I4735" s="4"/>
      <c r="J4735" s="9" t="s">
        <v>25</v>
      </c>
      <c r="L4735" s="9">
        <v>1</v>
      </c>
      <c r="M4735" s="9">
        <v>3</v>
      </c>
      <c r="N4735" s="9" t="s">
        <v>12087</v>
      </c>
      <c r="O4735" s="9" t="s">
        <v>12079</v>
      </c>
      <c r="Q4735" s="10"/>
      <c r="S4735" s="9">
        <v>5676</v>
      </c>
      <c r="U4735" s="9" t="str">
        <f t="shared" ca="1" si="190"/>
        <v/>
      </c>
      <c r="V4735" s="9" t="str">
        <f t="shared" ca="1" si="191"/>
        <v/>
      </c>
    </row>
    <row r="4736" spans="1:33" ht="87">
      <c r="A4736" s="3" t="s">
        <v>4488</v>
      </c>
      <c r="D4736" s="3" t="s">
        <v>11381</v>
      </c>
      <c r="E4736" s="3" t="s">
        <v>11382</v>
      </c>
      <c r="F4736" t="s">
        <v>4774</v>
      </c>
      <c r="I4736" s="4" t="s">
        <v>12407</v>
      </c>
      <c r="J4736" s="9" t="s">
        <v>26</v>
      </c>
      <c r="Q4736" s="10"/>
      <c r="U4736" s="9" t="str">
        <f t="shared" ca="1" si="190"/>
        <v/>
      </c>
      <c r="V4736" s="9" t="str">
        <f t="shared" ca="1" si="191"/>
        <v/>
      </c>
    </row>
    <row r="4737" spans="1:33" ht="87">
      <c r="A4737" s="3" t="s">
        <v>4488</v>
      </c>
      <c r="D4737" s="3" t="s">
        <v>11384</v>
      </c>
      <c r="E4737" s="3" t="s">
        <v>11383</v>
      </c>
      <c r="F4737" t="s">
        <v>4774</v>
      </c>
      <c r="I4737" s="4"/>
      <c r="J4737" s="9" t="s">
        <v>12120</v>
      </c>
      <c r="Q4737" s="10"/>
      <c r="U4737" s="9" t="str">
        <f t="shared" ca="1" si="190"/>
        <v/>
      </c>
      <c r="V4737" s="9" t="str">
        <f t="shared" ca="1" si="191"/>
        <v/>
      </c>
    </row>
    <row r="4738" spans="1:33" ht="87">
      <c r="A4738" s="3" t="s">
        <v>4488</v>
      </c>
      <c r="D4738" s="3" t="s">
        <v>12591</v>
      </c>
      <c r="E4738" s="3" t="s">
        <v>12590</v>
      </c>
      <c r="F4738" t="s">
        <v>4774</v>
      </c>
      <c r="I4738" s="4"/>
      <c r="J4738" s="9" t="s">
        <v>24</v>
      </c>
      <c r="L4738" s="9">
        <v>2</v>
      </c>
      <c r="M4738" s="9">
        <v>9</v>
      </c>
      <c r="O4738" s="9" t="s">
        <v>12073</v>
      </c>
      <c r="P4738" s="9" t="s">
        <v>12149</v>
      </c>
      <c r="Q4738" s="10" t="s">
        <v>12143</v>
      </c>
      <c r="S4738" s="9">
        <v>26</v>
      </c>
      <c r="U4738" s="9" t="str">
        <f t="shared" ca="1" si="190"/>
        <v/>
      </c>
      <c r="V4738" s="9" t="str">
        <f t="shared" ca="1" si="191"/>
        <v/>
      </c>
    </row>
    <row r="4739" spans="1:33" ht="87">
      <c r="A4739" s="3" t="s">
        <v>4488</v>
      </c>
      <c r="D4739" s="3" t="s">
        <v>11385</v>
      </c>
      <c r="E4739" s="3" t="s">
        <v>11386</v>
      </c>
      <c r="F4739" t="s">
        <v>4774</v>
      </c>
      <c r="G4739" t="s">
        <v>20</v>
      </c>
      <c r="I4739" t="s">
        <v>10717</v>
      </c>
      <c r="Q4739" s="10"/>
      <c r="U4739" s="9" t="str">
        <f t="shared" ca="1" si="190"/>
        <v/>
      </c>
      <c r="V4739" s="9" t="str">
        <f t="shared" ca="1" si="191"/>
        <v/>
      </c>
    </row>
    <row r="4740" spans="1:33" ht="43.5">
      <c r="A4740" s="3" t="s">
        <v>4489</v>
      </c>
      <c r="D4740" s="3" t="s">
        <v>11389</v>
      </c>
      <c r="E4740" s="3" t="s">
        <v>11387</v>
      </c>
      <c r="F4740" t="s">
        <v>4774</v>
      </c>
      <c r="J4740" s="15" t="s">
        <v>27</v>
      </c>
      <c r="K4740" s="15"/>
      <c r="L4740" s="15"/>
      <c r="M4740" s="15"/>
      <c r="N4740" s="15"/>
      <c r="O4740" s="15"/>
      <c r="P4740" s="15"/>
      <c r="Q4740" s="16"/>
      <c r="R4740" s="15"/>
      <c r="S4740" s="15"/>
      <c r="T4740" s="15"/>
      <c r="U4740" s="15" t="str">
        <f t="shared" ref="U4740" ca="1" si="192">IF(ISNUMBER(T4740),VALUE(MID(_xlfn.FORMULATEXT(T4740),SEARCH("-",_xlfn.FORMULATEXT(T4740))+1,LEN(_xlfn.FORMULATEXT(T4740))-SEARCH("-",_xlfn.FORMULATEXT(T4740)))), "")</f>
        <v/>
      </c>
      <c r="V4740" s="15" t="str">
        <f t="shared" ref="V4740" ca="1" si="193">IF(ISNUMBER(T4740), VALUE(MID(_xlfn.FORMULATEXT(T4740), 2, SEARCH("-", _xlfn.FORMULATEXT(T4740)) - 2)), "")</f>
        <v/>
      </c>
      <c r="W4740" s="15"/>
      <c r="X4740" s="15"/>
      <c r="Y4740" s="15"/>
      <c r="Z4740" s="15"/>
      <c r="AA4740" s="15"/>
      <c r="AB4740" s="15"/>
      <c r="AC4740" s="15"/>
      <c r="AD4740" s="15"/>
      <c r="AE4740" s="15"/>
      <c r="AF4740" s="15"/>
      <c r="AG4740" s="15"/>
    </row>
    <row r="4741" spans="1:33" ht="43.5">
      <c r="A4741" s="3" t="s">
        <v>4489</v>
      </c>
      <c r="D4741" s="3" t="s">
        <v>11389</v>
      </c>
      <c r="E4741" s="3" t="s">
        <v>12592</v>
      </c>
      <c r="F4741" t="s">
        <v>4774</v>
      </c>
      <c r="J4741" s="9" t="s">
        <v>24</v>
      </c>
      <c r="L4741" s="9">
        <v>2</v>
      </c>
      <c r="M4741" s="9">
        <v>4</v>
      </c>
      <c r="O4741" s="9" t="s">
        <v>12079</v>
      </c>
      <c r="Q4741" s="10"/>
      <c r="S4741" s="9">
        <v>5676</v>
      </c>
      <c r="U4741" s="9" t="str">
        <f t="shared" ca="1" si="190"/>
        <v/>
      </c>
      <c r="V4741" s="9" t="str">
        <f t="shared" ca="1" si="191"/>
        <v/>
      </c>
    </row>
    <row r="4742" spans="1:33" ht="43.5">
      <c r="A4742" s="3" t="s">
        <v>4489</v>
      </c>
      <c r="D4742" s="3" t="s">
        <v>11389</v>
      </c>
      <c r="E4742" s="3" t="s">
        <v>11388</v>
      </c>
      <c r="F4742" t="s">
        <v>4774</v>
      </c>
      <c r="G4742" t="s">
        <v>19</v>
      </c>
      <c r="J4742" s="9" t="s">
        <v>24</v>
      </c>
      <c r="L4742" s="9">
        <v>1</v>
      </c>
      <c r="M4742" s="9">
        <v>3</v>
      </c>
      <c r="N4742" s="9" t="s">
        <v>12078</v>
      </c>
      <c r="O4742" s="9" t="s">
        <v>12079</v>
      </c>
      <c r="Q4742" s="10"/>
      <c r="S4742" s="9">
        <v>11843</v>
      </c>
      <c r="U4742" s="9" t="str">
        <f t="shared" ca="1" si="190"/>
        <v/>
      </c>
      <c r="V4742" s="9" t="str">
        <f t="shared" ca="1" si="191"/>
        <v/>
      </c>
    </row>
    <row r="4743" spans="1:33" ht="43.5">
      <c r="A4743" s="3" t="s">
        <v>4489</v>
      </c>
      <c r="D4743" s="3" t="s">
        <v>11390</v>
      </c>
      <c r="E4743" s="3" t="s">
        <v>11391</v>
      </c>
      <c r="F4743" t="s">
        <v>4774</v>
      </c>
      <c r="I4743" t="s">
        <v>12189</v>
      </c>
      <c r="J4743" s="9" t="s">
        <v>26</v>
      </c>
      <c r="Q4743" s="10"/>
      <c r="U4743" s="9" t="str">
        <f t="shared" ca="1" si="190"/>
        <v/>
      </c>
      <c r="V4743" s="9" t="str">
        <f t="shared" ca="1" si="191"/>
        <v/>
      </c>
    </row>
    <row r="4744" spans="1:33" ht="43.5">
      <c r="A4744" s="3" t="s">
        <v>4489</v>
      </c>
      <c r="D4744" s="3" t="s">
        <v>11389</v>
      </c>
      <c r="E4744" s="3" t="s">
        <v>11392</v>
      </c>
      <c r="F4744" t="s">
        <v>4774</v>
      </c>
      <c r="J4744" s="9" t="s">
        <v>24</v>
      </c>
      <c r="L4744" s="9">
        <v>1</v>
      </c>
      <c r="M4744" s="9">
        <v>3</v>
      </c>
      <c r="N4744" s="9" t="s">
        <v>12078</v>
      </c>
      <c r="O4744" s="9" t="s">
        <v>12079</v>
      </c>
      <c r="Q4744" s="10"/>
      <c r="S4744" s="9">
        <v>11843</v>
      </c>
      <c r="U4744" s="9" t="str">
        <f t="shared" ca="1" si="190"/>
        <v/>
      </c>
      <c r="V4744" s="9" t="str">
        <f t="shared" ca="1" si="191"/>
        <v/>
      </c>
    </row>
    <row r="4745" spans="1:33" ht="43.5">
      <c r="A4745" s="3" t="s">
        <v>4489</v>
      </c>
      <c r="D4745" s="3" t="s">
        <v>11393</v>
      </c>
      <c r="E4745" s="3" t="s">
        <v>11387</v>
      </c>
      <c r="F4745" t="s">
        <v>4774</v>
      </c>
      <c r="G4745" t="s">
        <v>20</v>
      </c>
      <c r="I4745" t="s">
        <v>11394</v>
      </c>
      <c r="J4745" s="9" t="s">
        <v>25</v>
      </c>
      <c r="L4745" s="9">
        <v>2</v>
      </c>
      <c r="M4745" s="9">
        <v>13</v>
      </c>
      <c r="O4745" s="9" t="s">
        <v>12073</v>
      </c>
      <c r="P4745" s="9" t="s">
        <v>12154</v>
      </c>
      <c r="Q4745" s="10" t="s">
        <v>12593</v>
      </c>
      <c r="S4745" s="9">
        <v>169</v>
      </c>
      <c r="U4745" s="9" t="str">
        <f t="shared" ca="1" si="190"/>
        <v/>
      </c>
      <c r="V4745" s="9" t="str">
        <f t="shared" ca="1" si="191"/>
        <v/>
      </c>
    </row>
    <row r="4746" spans="1:33">
      <c r="A4746" s="3" t="s">
        <v>4489</v>
      </c>
      <c r="D4746" s="3" t="s">
        <v>11395</v>
      </c>
      <c r="E4746" s="3" t="s">
        <v>11395</v>
      </c>
      <c r="G4746" t="s">
        <v>20</v>
      </c>
      <c r="I4746" t="s">
        <v>11396</v>
      </c>
      <c r="Q4746" s="10"/>
      <c r="U4746" s="9" t="str">
        <f t="shared" ca="1" si="190"/>
        <v/>
      </c>
      <c r="V4746" s="9" t="str">
        <f t="shared" ca="1" si="191"/>
        <v/>
      </c>
    </row>
    <row r="4747" spans="1:33">
      <c r="A4747" s="3" t="s">
        <v>4489</v>
      </c>
      <c r="D4747" s="3" t="s">
        <v>4490</v>
      </c>
      <c r="E4747" s="3" t="s">
        <v>4491</v>
      </c>
      <c r="G4747" t="s">
        <v>19</v>
      </c>
      <c r="J4747" s="9" t="s">
        <v>12118</v>
      </c>
      <c r="Q4747" s="10"/>
      <c r="T4747" s="9">
        <f xml:space="preserve"> 14-6</f>
        <v>8</v>
      </c>
      <c r="U4747" s="9">
        <f t="shared" ca="1" si="190"/>
        <v>6</v>
      </c>
      <c r="V4747" s="9">
        <f t="shared" ca="1" si="191"/>
        <v>14</v>
      </c>
      <c r="AE4747" s="9" t="s">
        <v>12077</v>
      </c>
    </row>
    <row r="4748" spans="1:33">
      <c r="A4748" s="3" t="s">
        <v>4492</v>
      </c>
      <c r="D4748" s="3" t="s">
        <v>4493</v>
      </c>
      <c r="E4748" s="3" t="s">
        <v>4494</v>
      </c>
      <c r="J4748" s="9" t="s">
        <v>12120</v>
      </c>
      <c r="Q4748" s="10"/>
      <c r="U4748" s="9" t="str">
        <f t="shared" ca="1" si="190"/>
        <v/>
      </c>
      <c r="V4748" s="9" t="str">
        <f t="shared" ca="1" si="191"/>
        <v/>
      </c>
      <c r="AG4748" s="9" t="s">
        <v>20</v>
      </c>
    </row>
    <row r="4749" spans="1:33">
      <c r="A4749" s="3" t="s">
        <v>4492</v>
      </c>
      <c r="D4749" s="3" t="s">
        <v>4495</v>
      </c>
      <c r="E4749" s="3" t="s">
        <v>4496</v>
      </c>
      <c r="J4749" s="9" t="s">
        <v>12118</v>
      </c>
      <c r="Q4749" s="10"/>
      <c r="T4749" s="9" t="s">
        <v>12131</v>
      </c>
      <c r="U4749" s="9" t="str">
        <f t="shared" ref="U4749:U4811" ca="1" si="194">IF(ISNUMBER(T4749),VALUE(MID(_xlfn.FORMULATEXT(T4749),SEARCH("-",_xlfn.FORMULATEXT(T4749))+1,LEN(_xlfn.FORMULATEXT(T4749))-SEARCH("-",_xlfn.FORMULATEXT(T4749)))), "")</f>
        <v/>
      </c>
      <c r="V4749" s="9" t="str">
        <f t="shared" ref="V4749:V4811" ca="1" si="195">IF(ISNUMBER(T4749), VALUE(MID(_xlfn.FORMULATEXT(T4749), 2, SEARCH("-", _xlfn.FORMULATEXT(T4749)) - 2)), "")</f>
        <v/>
      </c>
      <c r="AB4749" s="9" t="s">
        <v>12124</v>
      </c>
      <c r="AC4749" s="9" t="s">
        <v>12130</v>
      </c>
      <c r="AD4749" s="9" t="s">
        <v>19</v>
      </c>
    </row>
    <row r="4750" spans="1:33">
      <c r="A4750" s="3" t="s">
        <v>4497</v>
      </c>
      <c r="D4750" s="3" t="s">
        <v>4498</v>
      </c>
      <c r="E4750" s="3" t="s">
        <v>11397</v>
      </c>
      <c r="F4750" t="s">
        <v>11</v>
      </c>
      <c r="G4750" t="s">
        <v>19</v>
      </c>
      <c r="Q4750" s="10"/>
      <c r="U4750" s="9" t="str">
        <f t="shared" ca="1" si="194"/>
        <v/>
      </c>
      <c r="V4750" s="9" t="str">
        <f t="shared" ca="1" si="195"/>
        <v/>
      </c>
    </row>
    <row r="4751" spans="1:33">
      <c r="A4751" s="3" t="s">
        <v>4497</v>
      </c>
      <c r="D4751" s="3" t="s">
        <v>11398</v>
      </c>
      <c r="E4751" s="3" t="s">
        <v>11399</v>
      </c>
      <c r="J4751" s="9" t="s">
        <v>12118</v>
      </c>
      <c r="Q4751" s="10"/>
      <c r="T4751" s="9">
        <f>1101-11843</f>
        <v>-10742</v>
      </c>
      <c r="U4751" s="9">
        <f t="shared" ca="1" si="194"/>
        <v>11843</v>
      </c>
      <c r="V4751" s="9">
        <f t="shared" ca="1" si="195"/>
        <v>1101</v>
      </c>
      <c r="AG4751" s="9" t="s">
        <v>20</v>
      </c>
    </row>
    <row r="4752" spans="1:33" ht="29">
      <c r="A4752" s="3" t="s">
        <v>4497</v>
      </c>
      <c r="D4752" s="3" t="s">
        <v>11401</v>
      </c>
      <c r="E4752" s="3" t="s">
        <v>11400</v>
      </c>
      <c r="J4752" s="9" t="s">
        <v>25</v>
      </c>
      <c r="L4752" s="9">
        <v>2</v>
      </c>
      <c r="M4752" s="9">
        <v>10</v>
      </c>
      <c r="O4752" s="9" t="s">
        <v>12079</v>
      </c>
      <c r="Q4752" s="10"/>
      <c r="S4752" s="9">
        <f>128-128</f>
        <v>0</v>
      </c>
      <c r="U4752" s="9" t="str">
        <f t="shared" ca="1" si="194"/>
        <v/>
      </c>
      <c r="V4752" s="9" t="str">
        <f t="shared" ca="1" si="195"/>
        <v/>
      </c>
      <c r="AG4752" s="9" t="s">
        <v>19</v>
      </c>
    </row>
    <row r="4753" spans="1:33">
      <c r="A4753" s="3" t="s">
        <v>4499</v>
      </c>
      <c r="D4753" s="3" t="s">
        <v>11403</v>
      </c>
      <c r="E4753" s="3" t="s">
        <v>11402</v>
      </c>
      <c r="G4753" t="s">
        <v>19</v>
      </c>
      <c r="J4753" s="9" t="s">
        <v>12120</v>
      </c>
      <c r="Q4753" s="10"/>
      <c r="U4753" s="9" t="str">
        <f t="shared" ca="1" si="194"/>
        <v/>
      </c>
      <c r="V4753" s="9" t="str">
        <f t="shared" ca="1" si="195"/>
        <v/>
      </c>
    </row>
    <row r="4754" spans="1:33">
      <c r="A4754" s="3" t="s">
        <v>4499</v>
      </c>
      <c r="D4754" s="3" t="s">
        <v>11405</v>
      </c>
      <c r="E4754" s="3" t="s">
        <v>11404</v>
      </c>
      <c r="G4754" t="s">
        <v>19</v>
      </c>
      <c r="J4754" s="9" t="s">
        <v>24</v>
      </c>
      <c r="L4754" s="9">
        <v>1</v>
      </c>
      <c r="M4754" s="9">
        <v>2</v>
      </c>
      <c r="N4754" s="9" t="s">
        <v>12078</v>
      </c>
      <c r="O4754" s="9" t="s">
        <v>12119</v>
      </c>
      <c r="Q4754" s="10"/>
      <c r="R4754" s="9" t="s">
        <v>12074</v>
      </c>
      <c r="S4754" s="9">
        <v>11843</v>
      </c>
      <c r="U4754" s="9" t="str">
        <f t="shared" ca="1" si="194"/>
        <v/>
      </c>
      <c r="V4754" s="9" t="str">
        <f t="shared" ca="1" si="195"/>
        <v/>
      </c>
    </row>
    <row r="4755" spans="1:33" ht="29">
      <c r="A4755" s="3" t="s">
        <v>4500</v>
      </c>
      <c r="D4755" s="3" t="s">
        <v>11407</v>
      </c>
      <c r="E4755" s="3" t="s">
        <v>11408</v>
      </c>
      <c r="G4755" t="s">
        <v>19</v>
      </c>
      <c r="J4755" s="9" t="s">
        <v>12118</v>
      </c>
      <c r="Q4755" s="10"/>
      <c r="T4755" s="9" t="s">
        <v>12131</v>
      </c>
      <c r="U4755" s="9" t="str">
        <f t="shared" ca="1" si="194"/>
        <v/>
      </c>
      <c r="V4755" s="9" t="str">
        <f t="shared" ca="1" si="195"/>
        <v/>
      </c>
      <c r="AE4755" s="9" t="s">
        <v>12086</v>
      </c>
    </row>
    <row r="4756" spans="1:33" ht="29">
      <c r="A4756" s="3" t="s">
        <v>4500</v>
      </c>
      <c r="D4756" s="3" t="s">
        <v>11406</v>
      </c>
      <c r="E4756" s="3" t="s">
        <v>11409</v>
      </c>
      <c r="J4756" s="9" t="s">
        <v>24</v>
      </c>
      <c r="L4756" s="9">
        <v>1</v>
      </c>
      <c r="M4756" s="9">
        <v>4</v>
      </c>
      <c r="N4756" s="9" t="s">
        <v>12078</v>
      </c>
      <c r="O4756" s="9" t="s">
        <v>12073</v>
      </c>
      <c r="P4756" s="9" t="s">
        <v>12203</v>
      </c>
      <c r="Q4756" s="10" t="s">
        <v>12403</v>
      </c>
      <c r="R4756" s="9" t="s">
        <v>12074</v>
      </c>
      <c r="S4756" s="9">
        <v>11843</v>
      </c>
      <c r="U4756" s="9" t="str">
        <f t="shared" ca="1" si="194"/>
        <v/>
      </c>
      <c r="V4756" s="9" t="str">
        <f t="shared" ca="1" si="195"/>
        <v/>
      </c>
      <c r="AE4756" s="9" t="s">
        <v>12083</v>
      </c>
    </row>
    <row r="4757" spans="1:33">
      <c r="A4757" s="3" t="s">
        <v>4500</v>
      </c>
      <c r="D4757" s="3" t="s">
        <v>4501</v>
      </c>
      <c r="E4757" s="3" t="s">
        <v>11410</v>
      </c>
      <c r="J4757" s="9" t="s">
        <v>12120</v>
      </c>
      <c r="Q4757" s="10"/>
      <c r="U4757" s="9" t="str">
        <f t="shared" ca="1" si="194"/>
        <v/>
      </c>
      <c r="V4757" s="9" t="str">
        <f t="shared" ca="1" si="195"/>
        <v/>
      </c>
      <c r="AG4757" s="9" t="s">
        <v>19</v>
      </c>
    </row>
    <row r="4758" spans="1:33">
      <c r="A4758" s="3" t="s">
        <v>4502</v>
      </c>
      <c r="D4758" s="3" t="s">
        <v>2269</v>
      </c>
      <c r="E4758" s="3" t="s">
        <v>11411</v>
      </c>
      <c r="J4758" s="9" t="s">
        <v>12121</v>
      </c>
      <c r="Q4758" s="10"/>
      <c r="T4758" s="9">
        <f xml:space="preserve"> 6-14</f>
        <v>-8</v>
      </c>
      <c r="U4758" s="9">
        <f t="shared" ca="1" si="194"/>
        <v>14</v>
      </c>
      <c r="V4758" s="9">
        <f t="shared" ca="1" si="195"/>
        <v>6</v>
      </c>
      <c r="AG4758" s="9" t="s">
        <v>19</v>
      </c>
    </row>
    <row r="4759" spans="1:33" ht="29">
      <c r="A4759" s="3" t="s">
        <v>4502</v>
      </c>
      <c r="D4759" s="3" t="s">
        <v>11413</v>
      </c>
      <c r="E4759" s="3" t="s">
        <v>11412</v>
      </c>
      <c r="G4759" t="s">
        <v>19</v>
      </c>
      <c r="J4759" s="9" t="s">
        <v>12120</v>
      </c>
      <c r="Q4759" s="10"/>
      <c r="U4759" s="9" t="str">
        <f t="shared" ca="1" si="194"/>
        <v/>
      </c>
      <c r="V4759" s="9" t="str">
        <f t="shared" ca="1" si="195"/>
        <v/>
      </c>
    </row>
    <row r="4760" spans="1:33">
      <c r="A4760" s="3" t="s">
        <v>4502</v>
      </c>
      <c r="D4760" s="3" t="s">
        <v>11414</v>
      </c>
      <c r="E4760" s="3" t="s">
        <v>11415</v>
      </c>
      <c r="J4760" s="9" t="s">
        <v>12118</v>
      </c>
      <c r="Q4760" s="10"/>
      <c r="T4760" s="9">
        <f>196-2042</f>
        <v>-1846</v>
      </c>
      <c r="U4760" s="9">
        <f t="shared" ca="1" si="194"/>
        <v>2042</v>
      </c>
      <c r="V4760" s="9">
        <f t="shared" ca="1" si="195"/>
        <v>196</v>
      </c>
      <c r="AG4760" s="9" t="s">
        <v>20</v>
      </c>
    </row>
    <row r="4761" spans="1:33">
      <c r="A4761" s="3" t="s">
        <v>4502</v>
      </c>
      <c r="D4761" s="3" t="s">
        <v>11417</v>
      </c>
      <c r="E4761" s="3" t="s">
        <v>11416</v>
      </c>
      <c r="G4761" t="s">
        <v>19</v>
      </c>
      <c r="J4761" s="9" t="s">
        <v>12120</v>
      </c>
      <c r="Q4761" s="10"/>
      <c r="U4761" s="9" t="str">
        <f t="shared" ca="1" si="194"/>
        <v/>
      </c>
      <c r="V4761" s="9" t="str">
        <f t="shared" ca="1" si="195"/>
        <v/>
      </c>
      <c r="AB4761" s="9" t="s">
        <v>12082</v>
      </c>
      <c r="AD4761" s="9" t="s">
        <v>19</v>
      </c>
    </row>
    <row r="4762" spans="1:33">
      <c r="A4762" s="3" t="s">
        <v>4503</v>
      </c>
      <c r="D4762" s="3" t="s">
        <v>11419</v>
      </c>
      <c r="E4762" s="3" t="s">
        <v>11418</v>
      </c>
      <c r="G4762" t="s">
        <v>19</v>
      </c>
      <c r="J4762" s="9" t="s">
        <v>24</v>
      </c>
      <c r="L4762" s="9">
        <v>1</v>
      </c>
      <c r="M4762" s="9">
        <v>3</v>
      </c>
      <c r="N4762" s="9" t="s">
        <v>12078</v>
      </c>
      <c r="O4762" s="9" t="s">
        <v>12079</v>
      </c>
      <c r="Q4762" s="10"/>
      <c r="S4762" s="9">
        <v>11843</v>
      </c>
      <c r="U4762" s="9" t="str">
        <f t="shared" ca="1" si="194"/>
        <v/>
      </c>
      <c r="V4762" s="9" t="str">
        <f t="shared" ca="1" si="195"/>
        <v/>
      </c>
    </row>
    <row r="4763" spans="1:33">
      <c r="A4763" s="3" t="s">
        <v>4503</v>
      </c>
      <c r="D4763" s="3" t="s">
        <v>11421</v>
      </c>
      <c r="E4763" s="3" t="s">
        <v>11420</v>
      </c>
      <c r="G4763" t="s">
        <v>19</v>
      </c>
      <c r="J4763" s="9" t="s">
        <v>12118</v>
      </c>
      <c r="Q4763" s="10"/>
      <c r="T4763" s="9" t="s">
        <v>12131</v>
      </c>
      <c r="U4763" s="9" t="str">
        <f t="shared" ca="1" si="194"/>
        <v/>
      </c>
      <c r="V4763" s="9" t="str">
        <f t="shared" ca="1" si="195"/>
        <v/>
      </c>
      <c r="AE4763" s="9" t="s">
        <v>12086</v>
      </c>
    </row>
    <row r="4764" spans="1:33">
      <c r="A4764" s="3" t="s">
        <v>4504</v>
      </c>
      <c r="D4764" s="3" t="s">
        <v>11422</v>
      </c>
      <c r="E4764" s="3" t="s">
        <v>11423</v>
      </c>
      <c r="J4764" s="9" t="s">
        <v>12118</v>
      </c>
      <c r="Q4764" s="10"/>
      <c r="R4764" s="9" t="s">
        <v>12074</v>
      </c>
      <c r="T4764" s="9" t="s">
        <v>12131</v>
      </c>
      <c r="U4764" s="9" t="str">
        <f t="shared" ca="1" si="194"/>
        <v/>
      </c>
      <c r="V4764" s="9" t="str">
        <f t="shared" ca="1" si="195"/>
        <v/>
      </c>
      <c r="AE4764" s="9" t="s">
        <v>12077</v>
      </c>
    </row>
    <row r="4765" spans="1:33">
      <c r="A4765" s="3" t="s">
        <v>4505</v>
      </c>
      <c r="D4765" s="3" t="s">
        <v>11424</v>
      </c>
      <c r="E4765" s="3" t="s">
        <v>11425</v>
      </c>
      <c r="J4765" s="9" t="s">
        <v>12120</v>
      </c>
      <c r="Q4765" s="10"/>
      <c r="U4765" s="9" t="str">
        <f t="shared" ca="1" si="194"/>
        <v/>
      </c>
      <c r="V4765" s="9" t="str">
        <f t="shared" ca="1" si="195"/>
        <v/>
      </c>
      <c r="AC4765" s="9" t="s">
        <v>12144</v>
      </c>
      <c r="AD4765" s="9" t="s">
        <v>19</v>
      </c>
    </row>
    <row r="4766" spans="1:33" ht="29">
      <c r="A4766" s="3" t="s">
        <v>4506</v>
      </c>
      <c r="D4766" s="3" t="s">
        <v>11427</v>
      </c>
      <c r="E4766" s="3" t="s">
        <v>11426</v>
      </c>
      <c r="F4766" t="s">
        <v>11</v>
      </c>
      <c r="G4766" t="s">
        <v>19</v>
      </c>
      <c r="Q4766" s="10"/>
      <c r="U4766" s="9" t="str">
        <f t="shared" ca="1" si="194"/>
        <v/>
      </c>
      <c r="V4766" s="9" t="str">
        <f t="shared" ca="1" si="195"/>
        <v/>
      </c>
    </row>
    <row r="4767" spans="1:33">
      <c r="A4767" s="3" t="s">
        <v>4506</v>
      </c>
      <c r="D4767" s="3" t="s">
        <v>11429</v>
      </c>
      <c r="E4767" s="3" t="s">
        <v>11428</v>
      </c>
      <c r="G4767" t="s">
        <v>19</v>
      </c>
      <c r="J4767" s="9" t="s">
        <v>12120</v>
      </c>
      <c r="Q4767" s="10"/>
      <c r="U4767" s="9" t="str">
        <f t="shared" ca="1" si="194"/>
        <v/>
      </c>
      <c r="V4767" s="9" t="str">
        <f t="shared" ca="1" si="195"/>
        <v/>
      </c>
    </row>
    <row r="4768" spans="1:33">
      <c r="A4768" s="3" t="s">
        <v>4507</v>
      </c>
      <c r="D4768" s="6" t="s">
        <v>4508</v>
      </c>
      <c r="E4768" s="3" t="s">
        <v>11430</v>
      </c>
      <c r="G4768" t="s">
        <v>19</v>
      </c>
      <c r="I4768" t="s">
        <v>11431</v>
      </c>
      <c r="J4768" s="9" t="s">
        <v>12120</v>
      </c>
      <c r="Q4768" s="10"/>
      <c r="U4768" s="9" t="str">
        <f t="shared" ca="1" si="194"/>
        <v/>
      </c>
      <c r="V4768" s="9" t="str">
        <f t="shared" ca="1" si="195"/>
        <v/>
      </c>
      <c r="AF4768" s="9" t="s">
        <v>19</v>
      </c>
    </row>
    <row r="4769" spans="1:33">
      <c r="A4769" s="3" t="s">
        <v>4509</v>
      </c>
      <c r="D4769" s="3" t="s">
        <v>11433</v>
      </c>
      <c r="E4769" s="3" t="s">
        <v>11432</v>
      </c>
      <c r="G4769" t="s">
        <v>19</v>
      </c>
      <c r="I4769" t="s">
        <v>12594</v>
      </c>
      <c r="J4769" s="9" t="s">
        <v>12118</v>
      </c>
      <c r="Q4769" s="10"/>
      <c r="T4769" s="9">
        <f>87-1966</f>
        <v>-1879</v>
      </c>
      <c r="U4769" s="9">
        <f t="shared" ca="1" si="194"/>
        <v>1966</v>
      </c>
      <c r="V4769" s="9">
        <f t="shared" ca="1" si="195"/>
        <v>87</v>
      </c>
    </row>
    <row r="4770" spans="1:33" ht="29">
      <c r="A4770" s="3" t="s">
        <v>4509</v>
      </c>
      <c r="D4770" s="3" t="s">
        <v>11435</v>
      </c>
      <c r="E4770" s="3" t="s">
        <v>11436</v>
      </c>
      <c r="F4770" t="s">
        <v>11</v>
      </c>
      <c r="G4770" t="s">
        <v>19</v>
      </c>
      <c r="Q4770" s="10"/>
      <c r="U4770" s="9" t="str">
        <f t="shared" ca="1" si="194"/>
        <v/>
      </c>
      <c r="V4770" s="9" t="str">
        <f t="shared" ca="1" si="195"/>
        <v/>
      </c>
    </row>
    <row r="4771" spans="1:33" ht="29">
      <c r="A4771" s="3" t="s">
        <v>4509</v>
      </c>
      <c r="D4771" s="3" t="s">
        <v>11434</v>
      </c>
      <c r="E4771" s="3" t="s">
        <v>11437</v>
      </c>
      <c r="G4771" t="s">
        <v>19</v>
      </c>
      <c r="J4771" s="9" t="s">
        <v>24</v>
      </c>
      <c r="L4771" s="9">
        <v>1</v>
      </c>
      <c r="M4771" s="9">
        <v>5</v>
      </c>
      <c r="N4771" s="9" t="s">
        <v>12094</v>
      </c>
      <c r="O4771" s="9" t="s">
        <v>12073</v>
      </c>
      <c r="P4771" s="9" t="s">
        <v>12149</v>
      </c>
      <c r="Q4771" s="10" t="s">
        <v>12160</v>
      </c>
      <c r="S4771" s="9">
        <v>4240</v>
      </c>
      <c r="U4771" s="9" t="str">
        <f t="shared" ca="1" si="194"/>
        <v/>
      </c>
      <c r="V4771" s="9" t="str">
        <f t="shared" ca="1" si="195"/>
        <v/>
      </c>
    </row>
    <row r="4772" spans="1:33" ht="29">
      <c r="A4772" s="3" t="s">
        <v>4509</v>
      </c>
      <c r="D4772" s="3" t="s">
        <v>11438</v>
      </c>
      <c r="E4772" s="3" t="s">
        <v>11439</v>
      </c>
      <c r="G4772" t="s">
        <v>19</v>
      </c>
      <c r="J4772" s="9" t="s">
        <v>12121</v>
      </c>
      <c r="Q4772" s="10"/>
      <c r="T4772" s="9">
        <f>265-265</f>
        <v>0</v>
      </c>
      <c r="U4772" s="9">
        <f t="shared" ca="1" si="194"/>
        <v>265</v>
      </c>
      <c r="V4772" s="9">
        <f t="shared" ca="1" si="195"/>
        <v>265</v>
      </c>
    </row>
    <row r="4773" spans="1:33">
      <c r="A4773" s="3" t="s">
        <v>4509</v>
      </c>
      <c r="D4773" s="3" t="s">
        <v>11440</v>
      </c>
      <c r="E4773" s="3" t="s">
        <v>11441</v>
      </c>
      <c r="J4773" s="9" t="s">
        <v>25</v>
      </c>
      <c r="L4773" s="9">
        <v>1</v>
      </c>
      <c r="M4773" s="9">
        <v>2</v>
      </c>
      <c r="N4773" s="9" t="s">
        <v>12078</v>
      </c>
      <c r="O4773" s="9" t="s">
        <v>12119</v>
      </c>
      <c r="Q4773" s="10"/>
      <c r="S4773" s="9">
        <v>11843</v>
      </c>
      <c r="U4773" s="9" t="str">
        <f t="shared" ca="1" si="194"/>
        <v/>
      </c>
      <c r="V4773" s="9" t="str">
        <f t="shared" ca="1" si="195"/>
        <v/>
      </c>
      <c r="AG4773" s="9" t="s">
        <v>20</v>
      </c>
    </row>
    <row r="4774" spans="1:33" ht="29">
      <c r="A4774" s="3" t="s">
        <v>4510</v>
      </c>
      <c r="D4774" s="3" t="s">
        <v>12595</v>
      </c>
      <c r="E4774" s="3" t="s">
        <v>12596</v>
      </c>
      <c r="I4774" t="s">
        <v>12851</v>
      </c>
      <c r="J4774" s="9" t="s">
        <v>12120</v>
      </c>
      <c r="Q4774" s="10"/>
      <c r="U4774" s="9" t="str">
        <f t="shared" ca="1" si="194"/>
        <v/>
      </c>
      <c r="V4774" s="9" t="str">
        <f t="shared" ca="1" si="195"/>
        <v/>
      </c>
      <c r="AG4774" s="9" t="s">
        <v>19</v>
      </c>
    </row>
    <row r="4775" spans="1:33" ht="29">
      <c r="A4775" s="3" t="s">
        <v>4510</v>
      </c>
      <c r="D4775" s="3" t="s">
        <v>11442</v>
      </c>
      <c r="E4775" s="3" t="s">
        <v>11442</v>
      </c>
      <c r="G4775" t="s">
        <v>20</v>
      </c>
      <c r="I4775" t="s">
        <v>11443</v>
      </c>
      <c r="Q4775" s="10"/>
      <c r="U4775" s="9" t="str">
        <f t="shared" ca="1" si="194"/>
        <v/>
      </c>
      <c r="V4775" s="9" t="str">
        <f t="shared" ca="1" si="195"/>
        <v/>
      </c>
    </row>
    <row r="4776" spans="1:33" ht="43.5">
      <c r="A4776" s="3" t="s">
        <v>4510</v>
      </c>
      <c r="D4776" s="3" t="s">
        <v>11444</v>
      </c>
      <c r="E4776" s="3" t="s">
        <v>11445</v>
      </c>
      <c r="J4776" s="9" t="s">
        <v>12118</v>
      </c>
      <c r="Q4776" s="10"/>
      <c r="T4776" s="9">
        <f>5676-207</f>
        <v>5469</v>
      </c>
      <c r="U4776" s="9">
        <f t="shared" ca="1" si="194"/>
        <v>207</v>
      </c>
      <c r="V4776" s="9">
        <f t="shared" ca="1" si="195"/>
        <v>5676</v>
      </c>
      <c r="AG4776" s="9" t="s">
        <v>19</v>
      </c>
    </row>
    <row r="4777" spans="1:33" ht="43.5">
      <c r="A4777" s="3" t="s">
        <v>4510</v>
      </c>
      <c r="D4777" s="3" t="s">
        <v>11446</v>
      </c>
      <c r="E4777" s="3" t="s">
        <v>11447</v>
      </c>
      <c r="J4777" s="9" t="s">
        <v>12120</v>
      </c>
      <c r="Q4777" s="10"/>
      <c r="U4777" s="9" t="str">
        <f t="shared" ca="1" si="194"/>
        <v/>
      </c>
      <c r="V4777" s="9" t="str">
        <f t="shared" ca="1" si="195"/>
        <v/>
      </c>
      <c r="AG4777" s="9" t="s">
        <v>19</v>
      </c>
    </row>
    <row r="4778" spans="1:33" ht="43.5">
      <c r="A4778" s="3" t="s">
        <v>4511</v>
      </c>
      <c r="D4778" s="3" t="s">
        <v>11448</v>
      </c>
      <c r="E4778" s="3" t="s">
        <v>11449</v>
      </c>
      <c r="G4778" t="s">
        <v>19</v>
      </c>
      <c r="J4778" s="9" t="s">
        <v>12120</v>
      </c>
      <c r="Q4778" s="10"/>
      <c r="U4778" s="9" t="str">
        <f t="shared" ca="1" si="194"/>
        <v/>
      </c>
      <c r="V4778" s="9" t="str">
        <f t="shared" ca="1" si="195"/>
        <v/>
      </c>
    </row>
    <row r="4779" spans="1:33" ht="43.5">
      <c r="A4779" s="3" t="s">
        <v>4511</v>
      </c>
      <c r="D4779" s="3" t="s">
        <v>11450</v>
      </c>
      <c r="E4779" s="3" t="s">
        <v>11451</v>
      </c>
      <c r="G4779" t="s">
        <v>19</v>
      </c>
      <c r="J4779" s="9" t="s">
        <v>12120</v>
      </c>
      <c r="Q4779" s="10"/>
      <c r="U4779" s="9" t="str">
        <f t="shared" ca="1" si="194"/>
        <v/>
      </c>
      <c r="V4779" s="9" t="str">
        <f t="shared" ca="1" si="195"/>
        <v/>
      </c>
      <c r="AE4779" s="9" t="s">
        <v>12086</v>
      </c>
    </row>
    <row r="4780" spans="1:33" ht="43.5">
      <c r="A4780" s="3" t="s">
        <v>4511</v>
      </c>
      <c r="D4780" s="3" t="s">
        <v>11452</v>
      </c>
      <c r="E4780" s="3" t="s">
        <v>11453</v>
      </c>
      <c r="G4780" t="s">
        <v>19</v>
      </c>
      <c r="J4780" s="9" t="s">
        <v>12118</v>
      </c>
      <c r="Q4780" s="10"/>
      <c r="T4780" s="9">
        <f>16-166</f>
        <v>-150</v>
      </c>
      <c r="U4780" s="9">
        <f t="shared" ca="1" si="194"/>
        <v>166</v>
      </c>
      <c r="V4780" s="9">
        <f t="shared" ca="1" si="195"/>
        <v>16</v>
      </c>
    </row>
    <row r="4781" spans="1:33">
      <c r="A4781" s="3" t="s">
        <v>4511</v>
      </c>
      <c r="D4781" s="3" t="s">
        <v>11455</v>
      </c>
      <c r="E4781" s="3" t="s">
        <v>11454</v>
      </c>
      <c r="G4781" t="s">
        <v>20</v>
      </c>
      <c r="I4781" t="s">
        <v>11456</v>
      </c>
      <c r="J4781" s="9" t="s">
        <v>25</v>
      </c>
      <c r="L4781" s="9">
        <v>1</v>
      </c>
      <c r="M4781" s="9">
        <v>2</v>
      </c>
      <c r="N4781" s="9" t="s">
        <v>12094</v>
      </c>
      <c r="O4781" s="9" t="s">
        <v>12119</v>
      </c>
      <c r="Q4781" s="10"/>
      <c r="S4781" s="9">
        <v>780</v>
      </c>
      <c r="U4781" s="9" t="str">
        <f t="shared" ca="1" si="194"/>
        <v/>
      </c>
      <c r="V4781" s="9" t="str">
        <f t="shared" ca="1" si="195"/>
        <v/>
      </c>
      <c r="AG4781" s="9" t="s">
        <v>19</v>
      </c>
    </row>
    <row r="4782" spans="1:33" ht="29">
      <c r="A4782" s="3" t="s">
        <v>4511</v>
      </c>
      <c r="D4782" s="3" t="s">
        <v>11457</v>
      </c>
      <c r="E4782" s="3" t="s">
        <v>11458</v>
      </c>
      <c r="G4782" t="s">
        <v>19</v>
      </c>
      <c r="J4782" s="9" t="s">
        <v>24</v>
      </c>
      <c r="L4782" s="9">
        <v>1</v>
      </c>
      <c r="M4782" s="9">
        <v>7</v>
      </c>
      <c r="N4782" s="9" t="s">
        <v>12098</v>
      </c>
      <c r="O4782" s="9" t="s">
        <v>12079</v>
      </c>
      <c r="Q4782" s="10"/>
      <c r="S4782" s="9">
        <v>43</v>
      </c>
      <c r="U4782" s="9" t="str">
        <f t="shared" ca="1" si="194"/>
        <v/>
      </c>
      <c r="V4782" s="9" t="str">
        <f t="shared" ca="1" si="195"/>
        <v/>
      </c>
    </row>
    <row r="4783" spans="1:33" ht="29">
      <c r="A4783" s="3" t="s">
        <v>4512</v>
      </c>
      <c r="D4783" s="3" t="s">
        <v>11459</v>
      </c>
      <c r="E4783" s="3" t="s">
        <v>11460</v>
      </c>
      <c r="G4783" t="s">
        <v>19</v>
      </c>
      <c r="J4783" s="9" t="s">
        <v>12120</v>
      </c>
      <c r="Q4783" s="10"/>
      <c r="U4783" s="9" t="str">
        <f t="shared" ca="1" si="194"/>
        <v/>
      </c>
      <c r="V4783" s="9" t="str">
        <f t="shared" ca="1" si="195"/>
        <v/>
      </c>
      <c r="AE4783" s="9" t="s">
        <v>12089</v>
      </c>
    </row>
    <row r="4784" spans="1:33">
      <c r="A4784" s="3" t="s">
        <v>4512</v>
      </c>
      <c r="D4784" s="3" t="s">
        <v>11462</v>
      </c>
      <c r="E4784" s="3" t="s">
        <v>11461</v>
      </c>
      <c r="J4784" s="9" t="s">
        <v>12118</v>
      </c>
      <c r="Q4784" s="10"/>
      <c r="T4784" s="9">
        <f>207-17</f>
        <v>190</v>
      </c>
      <c r="U4784" s="9">
        <f t="shared" ca="1" si="194"/>
        <v>17</v>
      </c>
      <c r="V4784" s="9">
        <f t="shared" ca="1" si="195"/>
        <v>207</v>
      </c>
      <c r="AG4784" s="9" t="s">
        <v>19</v>
      </c>
    </row>
    <row r="4785" spans="1:33">
      <c r="A4785" s="3" t="s">
        <v>4512</v>
      </c>
      <c r="D4785" s="3" t="s">
        <v>11464</v>
      </c>
      <c r="E4785" s="3" t="s">
        <v>11463</v>
      </c>
      <c r="J4785" s="9" t="s">
        <v>24</v>
      </c>
      <c r="L4785" s="9">
        <v>1</v>
      </c>
      <c r="M4785" s="9">
        <v>7</v>
      </c>
      <c r="N4785" s="9" t="s">
        <v>12092</v>
      </c>
      <c r="O4785" s="9" t="s">
        <v>12079</v>
      </c>
      <c r="Q4785" s="10"/>
      <c r="S4785" s="9">
        <v>1</v>
      </c>
      <c r="U4785" s="9" t="str">
        <f t="shared" ca="1" si="194"/>
        <v/>
      </c>
      <c r="V4785" s="9" t="str">
        <f t="shared" ca="1" si="195"/>
        <v/>
      </c>
      <c r="AG4785" s="9" t="s">
        <v>19</v>
      </c>
    </row>
    <row r="4786" spans="1:33">
      <c r="A4786" s="3" t="s">
        <v>4512</v>
      </c>
      <c r="D4786" s="3" t="s">
        <v>11465</v>
      </c>
      <c r="E4786" s="3" t="s">
        <v>11465</v>
      </c>
      <c r="F4786" t="s">
        <v>4774</v>
      </c>
      <c r="G4786" t="s">
        <v>20</v>
      </c>
      <c r="I4786" t="s">
        <v>11466</v>
      </c>
      <c r="J4786" s="9" t="s">
        <v>12118</v>
      </c>
      <c r="Q4786" s="10"/>
      <c r="T4786" s="9">
        <f>930-11843</f>
        <v>-10913</v>
      </c>
      <c r="U4786" s="9">
        <f t="shared" ca="1" si="194"/>
        <v>11843</v>
      </c>
      <c r="V4786" s="9">
        <f t="shared" ca="1" si="195"/>
        <v>930</v>
      </c>
    </row>
    <row r="4787" spans="1:33">
      <c r="A4787" s="3" t="s">
        <v>4512</v>
      </c>
      <c r="D4787" s="3" t="s">
        <v>11468</v>
      </c>
      <c r="E4787" s="3" t="s">
        <v>11467</v>
      </c>
      <c r="G4787" t="s">
        <v>19</v>
      </c>
      <c r="J4787" s="9" t="s">
        <v>12118</v>
      </c>
      <c r="Q4787" s="10"/>
      <c r="T4787" s="9" t="s">
        <v>12131</v>
      </c>
      <c r="U4787" s="9" t="str">
        <f t="shared" ca="1" si="194"/>
        <v/>
      </c>
      <c r="V4787" s="9" t="str">
        <f t="shared" ca="1" si="195"/>
        <v/>
      </c>
      <c r="AE4787" s="9" t="s">
        <v>12086</v>
      </c>
    </row>
    <row r="4788" spans="1:33">
      <c r="A4788" s="3" t="s">
        <v>4513</v>
      </c>
      <c r="D4788" s="3" t="s">
        <v>11470</v>
      </c>
      <c r="E4788" s="3" t="s">
        <v>11469</v>
      </c>
      <c r="J4788" s="9" t="s">
        <v>12118</v>
      </c>
      <c r="Q4788" s="10"/>
      <c r="T4788" s="9">
        <f>431-356</f>
        <v>75</v>
      </c>
      <c r="U4788" s="9">
        <f t="shared" ca="1" si="194"/>
        <v>356</v>
      </c>
      <c r="V4788" s="9">
        <f t="shared" ca="1" si="195"/>
        <v>431</v>
      </c>
      <c r="AG4788" s="9" t="s">
        <v>20</v>
      </c>
    </row>
    <row r="4789" spans="1:33" ht="29">
      <c r="A4789" s="3" t="s">
        <v>4513</v>
      </c>
      <c r="D4789" s="3" t="s">
        <v>13075</v>
      </c>
      <c r="E4789" s="3" t="s">
        <v>13076</v>
      </c>
      <c r="G4789" t="s">
        <v>19</v>
      </c>
      <c r="I4789" t="s">
        <v>13077</v>
      </c>
      <c r="J4789" s="9" t="s">
        <v>25</v>
      </c>
      <c r="L4789" s="9">
        <v>2</v>
      </c>
      <c r="M4789" s="9">
        <v>12</v>
      </c>
      <c r="O4789" s="9" t="s">
        <v>12079</v>
      </c>
      <c r="Q4789" s="10"/>
      <c r="S4789" s="9">
        <v>12</v>
      </c>
      <c r="U4789" s="9" t="str">
        <f t="shared" ca="1" si="194"/>
        <v/>
      </c>
      <c r="V4789" s="9" t="str">
        <f t="shared" ca="1" si="195"/>
        <v/>
      </c>
      <c r="AE4789" s="9" t="s">
        <v>12083</v>
      </c>
    </row>
    <row r="4790" spans="1:33" ht="29">
      <c r="A4790" s="3" t="s">
        <v>4514</v>
      </c>
      <c r="D4790" s="3" t="s">
        <v>11472</v>
      </c>
      <c r="E4790" s="3" t="s">
        <v>11471</v>
      </c>
      <c r="G4790" t="s">
        <v>19</v>
      </c>
      <c r="J4790" s="9" t="s">
        <v>25</v>
      </c>
      <c r="L4790" s="9">
        <v>1</v>
      </c>
      <c r="M4790" s="9">
        <v>6</v>
      </c>
      <c r="N4790" s="9" t="s">
        <v>12094</v>
      </c>
      <c r="O4790" s="9" t="s">
        <v>12079</v>
      </c>
      <c r="Q4790" s="10"/>
      <c r="S4790" s="9">
        <v>930</v>
      </c>
      <c r="U4790" s="9" t="str">
        <f t="shared" ca="1" si="194"/>
        <v/>
      </c>
      <c r="V4790" s="9" t="str">
        <f t="shared" ca="1" si="195"/>
        <v/>
      </c>
    </row>
    <row r="4791" spans="1:33" ht="29">
      <c r="A4791" s="3" t="s">
        <v>4514</v>
      </c>
      <c r="D4791" s="3" t="s">
        <v>11473</v>
      </c>
      <c r="E4791" s="3" t="s">
        <v>11474</v>
      </c>
      <c r="G4791" t="s">
        <v>19</v>
      </c>
      <c r="J4791" s="9" t="s">
        <v>12118</v>
      </c>
      <c r="Q4791" s="10"/>
      <c r="T4791" s="9">
        <f>1-0</f>
        <v>1</v>
      </c>
      <c r="U4791" s="9">
        <f t="shared" ca="1" si="194"/>
        <v>0</v>
      </c>
      <c r="V4791" s="9">
        <f t="shared" ca="1" si="195"/>
        <v>1</v>
      </c>
    </row>
    <row r="4792" spans="1:33" ht="29">
      <c r="A4792" s="3" t="s">
        <v>4514</v>
      </c>
      <c r="D4792" s="3" t="s">
        <v>11476</v>
      </c>
      <c r="E4792" s="3" t="s">
        <v>11475</v>
      </c>
      <c r="G4792" t="s">
        <v>19</v>
      </c>
      <c r="J4792" s="9" t="s">
        <v>25</v>
      </c>
      <c r="L4792" s="9">
        <v>1</v>
      </c>
      <c r="M4792" s="9">
        <v>3</v>
      </c>
      <c r="N4792" s="9" t="s">
        <v>12087</v>
      </c>
      <c r="O4792" s="9" t="s">
        <v>12079</v>
      </c>
      <c r="Q4792" s="10"/>
      <c r="S4792" s="9">
        <v>309</v>
      </c>
      <c r="U4792" s="9" t="str">
        <f t="shared" ca="1" si="194"/>
        <v/>
      </c>
      <c r="V4792" s="9" t="str">
        <f t="shared" ca="1" si="195"/>
        <v/>
      </c>
    </row>
    <row r="4793" spans="1:33" ht="29">
      <c r="A4793" s="3" t="s">
        <v>4514</v>
      </c>
      <c r="D4793" s="3" t="s">
        <v>11477</v>
      </c>
      <c r="E4793" s="3" t="s">
        <v>11478</v>
      </c>
      <c r="G4793" t="s">
        <v>19</v>
      </c>
      <c r="J4793" s="9" t="s">
        <v>12120</v>
      </c>
      <c r="Q4793" s="10"/>
      <c r="U4793" s="9" t="str">
        <f t="shared" ca="1" si="194"/>
        <v/>
      </c>
      <c r="V4793" s="9" t="str">
        <f t="shared" ca="1" si="195"/>
        <v/>
      </c>
    </row>
    <row r="4794" spans="1:33">
      <c r="A4794" s="3" t="s">
        <v>4515</v>
      </c>
      <c r="D4794" s="3" t="s">
        <v>11480</v>
      </c>
      <c r="E4794" s="3" t="s">
        <v>11479</v>
      </c>
      <c r="J4794" s="9" t="s">
        <v>12118</v>
      </c>
      <c r="Q4794" s="10"/>
      <c r="T4794" s="9">
        <f>8-6</f>
        <v>2</v>
      </c>
      <c r="U4794" s="9">
        <f t="shared" ca="1" si="194"/>
        <v>6</v>
      </c>
      <c r="V4794" s="9">
        <f t="shared" ca="1" si="195"/>
        <v>8</v>
      </c>
      <c r="AG4794" s="9" t="s">
        <v>19</v>
      </c>
    </row>
    <row r="4795" spans="1:33">
      <c r="A4795" s="3" t="s">
        <v>4515</v>
      </c>
      <c r="D4795" s="3" t="s">
        <v>4516</v>
      </c>
      <c r="E4795" s="3" t="s">
        <v>3802</v>
      </c>
      <c r="J4795" s="9" t="s">
        <v>12120</v>
      </c>
      <c r="Q4795" s="10"/>
      <c r="U4795" s="9" t="str">
        <f t="shared" ca="1" si="194"/>
        <v/>
      </c>
      <c r="V4795" s="9" t="str">
        <f t="shared" ca="1" si="195"/>
        <v/>
      </c>
      <c r="AG4795" s="9" t="s">
        <v>19</v>
      </c>
    </row>
    <row r="4796" spans="1:33">
      <c r="A4796" s="3" t="s">
        <v>4515</v>
      </c>
      <c r="D4796" s="3" t="s">
        <v>11481</v>
      </c>
      <c r="E4796" s="3" t="s">
        <v>11482</v>
      </c>
      <c r="J4796" s="9" t="s">
        <v>12118</v>
      </c>
      <c r="Q4796" s="10"/>
      <c r="R4796" s="9" t="s">
        <v>12074</v>
      </c>
      <c r="T4796" s="9" t="s">
        <v>12131</v>
      </c>
      <c r="U4796" s="9" t="str">
        <f t="shared" ca="1" si="194"/>
        <v/>
      </c>
      <c r="V4796" s="9" t="str">
        <f t="shared" ca="1" si="195"/>
        <v/>
      </c>
      <c r="AE4796" s="9" t="s">
        <v>12077</v>
      </c>
    </row>
    <row r="4797" spans="1:33">
      <c r="A4797" s="3" t="s">
        <v>4515</v>
      </c>
      <c r="D4797" s="3" t="s">
        <v>4517</v>
      </c>
      <c r="E4797" s="3" t="s">
        <v>4518</v>
      </c>
      <c r="J4797" s="9" t="s">
        <v>12118</v>
      </c>
      <c r="Q4797" s="10"/>
      <c r="T4797" s="9" t="s">
        <v>12131</v>
      </c>
      <c r="U4797" s="9" t="str">
        <f t="shared" ca="1" si="194"/>
        <v/>
      </c>
      <c r="V4797" s="9" t="str">
        <f t="shared" ca="1" si="195"/>
        <v/>
      </c>
      <c r="AE4797" s="9" t="s">
        <v>12086</v>
      </c>
    </row>
    <row r="4798" spans="1:33" ht="29">
      <c r="A4798" s="3" t="s">
        <v>4519</v>
      </c>
      <c r="D4798" s="3" t="s">
        <v>11483</v>
      </c>
      <c r="E4798" s="3" t="s">
        <v>11484</v>
      </c>
      <c r="G4798" t="s">
        <v>19</v>
      </c>
      <c r="J4798" s="9" t="s">
        <v>12120</v>
      </c>
      <c r="Q4798" s="10"/>
      <c r="U4798" s="9" t="str">
        <f t="shared" ca="1" si="194"/>
        <v/>
      </c>
      <c r="V4798" s="9" t="str">
        <f t="shared" ca="1" si="195"/>
        <v/>
      </c>
    </row>
    <row r="4799" spans="1:33">
      <c r="A4799" s="3" t="s">
        <v>4520</v>
      </c>
      <c r="D4799" s="3" t="s">
        <v>4281</v>
      </c>
      <c r="E4799" s="3" t="s">
        <v>4521</v>
      </c>
      <c r="F4799" t="s">
        <v>11</v>
      </c>
      <c r="Q4799" s="10"/>
      <c r="U4799" s="9" t="str">
        <f t="shared" ca="1" si="194"/>
        <v/>
      </c>
      <c r="V4799" s="9" t="str">
        <f t="shared" ca="1" si="195"/>
        <v/>
      </c>
    </row>
    <row r="4800" spans="1:33">
      <c r="A4800" s="3" t="s">
        <v>4520</v>
      </c>
      <c r="D4800" s="3" t="s">
        <v>11486</v>
      </c>
      <c r="E4800" s="3" t="s">
        <v>11485</v>
      </c>
      <c r="G4800" t="s">
        <v>19</v>
      </c>
      <c r="J4800" s="9" t="s">
        <v>12120</v>
      </c>
      <c r="Q4800" s="10"/>
      <c r="U4800" s="9" t="str">
        <f t="shared" ca="1" si="194"/>
        <v/>
      </c>
      <c r="V4800" s="9" t="str">
        <f t="shared" ca="1" si="195"/>
        <v/>
      </c>
      <c r="AE4800" s="9" t="s">
        <v>12089</v>
      </c>
    </row>
    <row r="4801" spans="1:33" ht="29">
      <c r="A4801" s="3" t="s">
        <v>4520</v>
      </c>
      <c r="D4801" s="3" t="s">
        <v>11488</v>
      </c>
      <c r="E4801" s="3" t="s">
        <v>11487</v>
      </c>
      <c r="G4801" t="s">
        <v>19</v>
      </c>
      <c r="J4801" s="9" t="s">
        <v>12120</v>
      </c>
      <c r="Q4801" s="10"/>
      <c r="U4801" s="9" t="str">
        <f t="shared" ca="1" si="194"/>
        <v/>
      </c>
      <c r="V4801" s="9" t="str">
        <f t="shared" ca="1" si="195"/>
        <v/>
      </c>
      <c r="AB4801" s="9" t="s">
        <v>12124</v>
      </c>
      <c r="AD4801" s="9" t="s">
        <v>19</v>
      </c>
    </row>
    <row r="4802" spans="1:33">
      <c r="A4802" s="3" t="s">
        <v>4520</v>
      </c>
      <c r="D4802" s="3" t="s">
        <v>4054</v>
      </c>
      <c r="E4802" s="3" t="s">
        <v>4522</v>
      </c>
      <c r="G4802" t="s">
        <v>19</v>
      </c>
      <c r="J4802" s="9" t="s">
        <v>12120</v>
      </c>
      <c r="Q4802" s="10"/>
      <c r="U4802" s="9" t="str">
        <f t="shared" ca="1" si="194"/>
        <v/>
      </c>
      <c r="V4802" s="9" t="str">
        <f t="shared" ca="1" si="195"/>
        <v/>
      </c>
      <c r="AE4802" s="9" t="s">
        <v>12089</v>
      </c>
    </row>
    <row r="4803" spans="1:33" ht="29">
      <c r="A4803" s="3" t="s">
        <v>4520</v>
      </c>
      <c r="D4803" s="3" t="s">
        <v>11489</v>
      </c>
      <c r="E4803" s="3" t="s">
        <v>11490</v>
      </c>
      <c r="G4803" t="s">
        <v>19</v>
      </c>
      <c r="J4803" s="9" t="s">
        <v>12118</v>
      </c>
      <c r="Q4803" s="10"/>
      <c r="T4803" s="9" t="s">
        <v>12131</v>
      </c>
      <c r="U4803" s="9" t="str">
        <f t="shared" ca="1" si="194"/>
        <v/>
      </c>
      <c r="V4803" s="9" t="str">
        <f t="shared" ca="1" si="195"/>
        <v/>
      </c>
      <c r="AE4803" s="9" t="s">
        <v>12077</v>
      </c>
    </row>
    <row r="4804" spans="1:33">
      <c r="A4804" s="3" t="s">
        <v>4523</v>
      </c>
      <c r="D4804" s="3" t="s">
        <v>11491</v>
      </c>
      <c r="E4804" s="3" t="s">
        <v>11492</v>
      </c>
      <c r="J4804" s="9" t="s">
        <v>12120</v>
      </c>
      <c r="Q4804" s="10"/>
      <c r="U4804" s="9" t="str">
        <f t="shared" ca="1" si="194"/>
        <v/>
      </c>
      <c r="V4804" s="9" t="str">
        <f t="shared" ca="1" si="195"/>
        <v/>
      </c>
      <c r="AG4804" s="9" t="s">
        <v>19</v>
      </c>
    </row>
    <row r="4805" spans="1:33">
      <c r="A4805" s="3" t="s">
        <v>4524</v>
      </c>
      <c r="D4805" s="3" t="s">
        <v>11494</v>
      </c>
      <c r="E4805" s="3" t="s">
        <v>11493</v>
      </c>
      <c r="G4805" t="s">
        <v>19</v>
      </c>
      <c r="J4805" s="9" t="s">
        <v>25</v>
      </c>
      <c r="L4805" s="9">
        <v>1</v>
      </c>
      <c r="M4805" s="9">
        <v>3</v>
      </c>
      <c r="N4805" s="9" t="s">
        <v>12087</v>
      </c>
      <c r="O4805" s="9" t="s">
        <v>12079</v>
      </c>
      <c r="Q4805" s="10"/>
      <c r="S4805" s="9">
        <v>5676</v>
      </c>
      <c r="U4805" s="9" t="str">
        <f t="shared" ca="1" si="194"/>
        <v/>
      </c>
      <c r="V4805" s="9" t="str">
        <f t="shared" ca="1" si="195"/>
        <v/>
      </c>
    </row>
    <row r="4806" spans="1:33">
      <c r="A4806" s="3" t="s">
        <v>4524</v>
      </c>
      <c r="D4806" s="3" t="s">
        <v>11496</v>
      </c>
      <c r="E4806" s="3" t="s">
        <v>11495</v>
      </c>
      <c r="J4806" s="9" t="s">
        <v>12118</v>
      </c>
      <c r="Q4806" s="10"/>
      <c r="T4806" s="9" t="s">
        <v>12131</v>
      </c>
      <c r="U4806" s="9" t="str">
        <f t="shared" ca="1" si="194"/>
        <v/>
      </c>
      <c r="V4806" s="9" t="str">
        <f t="shared" ca="1" si="195"/>
        <v/>
      </c>
      <c r="AC4806" s="9" t="s">
        <v>12134</v>
      </c>
      <c r="AD4806" s="9" t="s">
        <v>19</v>
      </c>
    </row>
    <row r="4807" spans="1:33">
      <c r="A4807" s="3" t="s">
        <v>4525</v>
      </c>
      <c r="D4807" s="3" t="s">
        <v>11498</v>
      </c>
      <c r="E4807" s="3" t="s">
        <v>11497</v>
      </c>
      <c r="G4807" t="s">
        <v>19</v>
      </c>
      <c r="J4807" s="9" t="s">
        <v>12118</v>
      </c>
      <c r="Q4807" s="10"/>
      <c r="T4807" s="9">
        <f>67-142</f>
        <v>-75</v>
      </c>
      <c r="U4807" s="9">
        <f t="shared" ca="1" si="194"/>
        <v>142</v>
      </c>
      <c r="V4807" s="9">
        <f t="shared" ca="1" si="195"/>
        <v>67</v>
      </c>
    </row>
    <row r="4808" spans="1:33">
      <c r="A4808" s="3" t="s">
        <v>4525</v>
      </c>
      <c r="D4808" s="3" t="s">
        <v>4526</v>
      </c>
      <c r="E4808" s="3" t="s">
        <v>11499</v>
      </c>
      <c r="F4808" t="s">
        <v>11</v>
      </c>
      <c r="Q4808" s="10"/>
      <c r="U4808" s="9" t="str">
        <f t="shared" ca="1" si="194"/>
        <v/>
      </c>
      <c r="V4808" s="9" t="str">
        <f t="shared" ca="1" si="195"/>
        <v/>
      </c>
    </row>
    <row r="4809" spans="1:33">
      <c r="A4809" s="3" t="s">
        <v>4525</v>
      </c>
      <c r="D4809" s="3" t="s">
        <v>11501</v>
      </c>
      <c r="E4809" s="3" t="s">
        <v>11500</v>
      </c>
      <c r="J4809" s="9" t="s">
        <v>25</v>
      </c>
      <c r="L4809" s="9">
        <v>1</v>
      </c>
      <c r="M4809" s="9">
        <v>5</v>
      </c>
      <c r="N4809" s="9" t="s">
        <v>12125</v>
      </c>
      <c r="O4809" s="9" t="s">
        <v>12073</v>
      </c>
      <c r="P4809" s="9" t="s">
        <v>12142</v>
      </c>
      <c r="Q4809" s="10" t="s">
        <v>12143</v>
      </c>
      <c r="S4809" s="9">
        <v>1565</v>
      </c>
      <c r="U4809" s="9" t="str">
        <f t="shared" ca="1" si="194"/>
        <v/>
      </c>
      <c r="V4809" s="9" t="str">
        <f t="shared" ca="1" si="195"/>
        <v/>
      </c>
      <c r="AG4809" s="9" t="s">
        <v>20</v>
      </c>
    </row>
    <row r="4810" spans="1:33" ht="43.5">
      <c r="A4810" s="3" t="s">
        <v>4527</v>
      </c>
      <c r="D4810" s="3" t="s">
        <v>11503</v>
      </c>
      <c r="E4810" s="3" t="s">
        <v>11502</v>
      </c>
      <c r="F4810" t="s">
        <v>11</v>
      </c>
      <c r="G4810" t="s">
        <v>19</v>
      </c>
      <c r="Q4810" s="10"/>
      <c r="U4810" s="9" t="str">
        <f t="shared" ca="1" si="194"/>
        <v/>
      </c>
      <c r="V4810" s="9" t="str">
        <f t="shared" ca="1" si="195"/>
        <v/>
      </c>
    </row>
    <row r="4811" spans="1:33">
      <c r="A4811" s="3" t="s">
        <v>4527</v>
      </c>
      <c r="D4811" s="3" t="s">
        <v>4528</v>
      </c>
      <c r="E4811" s="3" t="s">
        <v>4529</v>
      </c>
      <c r="J4811" s="9" t="s">
        <v>12118</v>
      </c>
      <c r="Q4811" s="10"/>
      <c r="T4811" s="9">
        <f>0-4</f>
        <v>-4</v>
      </c>
      <c r="U4811" s="9">
        <f t="shared" ca="1" si="194"/>
        <v>4</v>
      </c>
      <c r="V4811" s="9">
        <f t="shared" ca="1" si="195"/>
        <v>0</v>
      </c>
      <c r="AG4811" s="9" t="s">
        <v>20</v>
      </c>
    </row>
    <row r="4812" spans="1:33">
      <c r="A4812" s="3" t="s">
        <v>4527</v>
      </c>
      <c r="D4812" s="3" t="s">
        <v>11504</v>
      </c>
      <c r="E4812" s="3" t="s">
        <v>11505</v>
      </c>
      <c r="F4812" t="s">
        <v>11</v>
      </c>
      <c r="G4812" t="s">
        <v>19</v>
      </c>
      <c r="Q4812" s="10"/>
      <c r="U4812" s="9" t="str">
        <f t="shared" ref="U4812:U4875" ca="1" si="196">IF(ISNUMBER(T4812),VALUE(MID(_xlfn.FORMULATEXT(T4812),SEARCH("-",_xlfn.FORMULATEXT(T4812))+1,LEN(_xlfn.FORMULATEXT(T4812))-SEARCH("-",_xlfn.FORMULATEXT(T4812)))), "")</f>
        <v/>
      </c>
      <c r="V4812" s="9" t="str">
        <f t="shared" ref="V4812:V4875" ca="1" si="197">IF(ISNUMBER(T4812), VALUE(MID(_xlfn.FORMULATEXT(T4812), 2, SEARCH("-", _xlfn.FORMULATEXT(T4812)) - 2)), "")</f>
        <v/>
      </c>
    </row>
    <row r="4813" spans="1:33">
      <c r="A4813" s="3" t="s">
        <v>4527</v>
      </c>
      <c r="D4813" s="3" t="s">
        <v>11506</v>
      </c>
      <c r="E4813" s="3" t="s">
        <v>11507</v>
      </c>
      <c r="F4813" t="s">
        <v>11</v>
      </c>
      <c r="G4813" t="s">
        <v>19</v>
      </c>
      <c r="Q4813" s="10"/>
      <c r="U4813" s="9" t="str">
        <f t="shared" ca="1" si="196"/>
        <v/>
      </c>
      <c r="V4813" s="9" t="str">
        <f t="shared" ca="1" si="197"/>
        <v/>
      </c>
    </row>
    <row r="4814" spans="1:33">
      <c r="A4814" s="3" t="s">
        <v>4527</v>
      </c>
      <c r="D4814" s="3" t="s">
        <v>4530</v>
      </c>
      <c r="E4814" s="3" t="s">
        <v>11508</v>
      </c>
      <c r="G4814" t="s">
        <v>19</v>
      </c>
      <c r="J4814" s="9" t="s">
        <v>12120</v>
      </c>
      <c r="Q4814" s="10"/>
      <c r="U4814" s="9" t="str">
        <f t="shared" ca="1" si="196"/>
        <v/>
      </c>
      <c r="V4814" s="9" t="str">
        <f t="shared" ca="1" si="197"/>
        <v/>
      </c>
    </row>
    <row r="4815" spans="1:33" ht="58">
      <c r="A4815" s="3" t="s">
        <v>4531</v>
      </c>
      <c r="D4815" s="3" t="s">
        <v>11510</v>
      </c>
      <c r="E4815" s="3" t="s">
        <v>11509</v>
      </c>
      <c r="F4815" t="s">
        <v>4774</v>
      </c>
      <c r="G4815" t="s">
        <v>19</v>
      </c>
      <c r="J4815" s="9" t="s">
        <v>27</v>
      </c>
      <c r="L4815" s="9">
        <v>1</v>
      </c>
      <c r="M4815" s="9">
        <v>3</v>
      </c>
      <c r="N4815" s="9" t="s">
        <v>12087</v>
      </c>
      <c r="O4815" s="9" t="s">
        <v>12079</v>
      </c>
      <c r="Q4815" s="10"/>
      <c r="S4815" s="9">
        <v>5676</v>
      </c>
      <c r="U4815" s="9" t="str">
        <f t="shared" ref="U4815" ca="1" si="198">IF(ISNUMBER(T4815),VALUE(MID(_xlfn.FORMULATEXT(T4815),SEARCH("-",_xlfn.FORMULATEXT(T4815))+1,LEN(_xlfn.FORMULATEXT(T4815))-SEARCH("-",_xlfn.FORMULATEXT(T4815)))), "")</f>
        <v/>
      </c>
      <c r="V4815" s="9" t="str">
        <f t="shared" ref="V4815" ca="1" si="199">IF(ISNUMBER(T4815), VALUE(MID(_xlfn.FORMULATEXT(T4815), 2, SEARCH("-", _xlfn.FORMULATEXT(T4815)) - 2)), "")</f>
        <v/>
      </c>
    </row>
    <row r="4816" spans="1:33" ht="58">
      <c r="A4816" s="3" t="s">
        <v>4531</v>
      </c>
      <c r="D4816" s="3" t="s">
        <v>11510</v>
      </c>
      <c r="E4816" s="3" t="s">
        <v>11511</v>
      </c>
      <c r="F4816" t="s">
        <v>4774</v>
      </c>
      <c r="G4816" t="s">
        <v>19</v>
      </c>
      <c r="J4816" s="9" t="s">
        <v>24</v>
      </c>
      <c r="L4816" s="9">
        <v>1</v>
      </c>
      <c r="M4816" s="9">
        <v>3</v>
      </c>
      <c r="N4816" s="9" t="s">
        <v>12087</v>
      </c>
      <c r="O4816" s="9" t="s">
        <v>12079</v>
      </c>
      <c r="Q4816" s="10"/>
      <c r="S4816" s="9">
        <v>5676</v>
      </c>
      <c r="U4816" s="9" t="str">
        <f t="shared" ca="1" si="196"/>
        <v/>
      </c>
      <c r="V4816" s="9" t="str">
        <f t="shared" ca="1" si="197"/>
        <v/>
      </c>
    </row>
    <row r="4817" spans="1:33" ht="58">
      <c r="A4817" s="3" t="s">
        <v>4531</v>
      </c>
      <c r="D4817" s="3" t="s">
        <v>11512</v>
      </c>
      <c r="E4817" s="3" t="s">
        <v>11513</v>
      </c>
      <c r="F4817" t="s">
        <v>4774</v>
      </c>
      <c r="G4817" t="s">
        <v>19</v>
      </c>
      <c r="Q4817" s="10"/>
      <c r="U4817" s="9" t="str">
        <f t="shared" ca="1" si="196"/>
        <v/>
      </c>
      <c r="V4817" s="9" t="str">
        <f t="shared" ca="1" si="197"/>
        <v/>
      </c>
    </row>
    <row r="4818" spans="1:33" ht="58">
      <c r="A4818" s="3" t="s">
        <v>4531</v>
      </c>
      <c r="D4818" s="3" t="s">
        <v>11514</v>
      </c>
      <c r="E4818" s="3" t="s">
        <v>11515</v>
      </c>
      <c r="F4818" t="s">
        <v>4774</v>
      </c>
      <c r="G4818" t="s">
        <v>19</v>
      </c>
      <c r="J4818" s="9" t="s">
        <v>12118</v>
      </c>
      <c r="Q4818" s="10"/>
      <c r="T4818" s="9">
        <f>507-16</f>
        <v>491</v>
      </c>
      <c r="U4818" s="9">
        <f t="shared" ca="1" si="196"/>
        <v>16</v>
      </c>
      <c r="V4818" s="9">
        <f t="shared" ca="1" si="197"/>
        <v>507</v>
      </c>
    </row>
    <row r="4819" spans="1:33" ht="58">
      <c r="A4819" s="3" t="s">
        <v>4531</v>
      </c>
      <c r="D4819" s="3" t="s">
        <v>11516</v>
      </c>
      <c r="E4819" s="3" t="s">
        <v>11509</v>
      </c>
      <c r="F4819" t="s">
        <v>4774</v>
      </c>
      <c r="G4819" t="s">
        <v>19</v>
      </c>
      <c r="Q4819" s="10"/>
      <c r="U4819" s="9" t="str">
        <f t="shared" ca="1" si="196"/>
        <v/>
      </c>
      <c r="V4819" s="9" t="str">
        <f t="shared" ca="1" si="197"/>
        <v/>
      </c>
    </row>
    <row r="4820" spans="1:33" ht="58">
      <c r="A4820" s="3" t="s">
        <v>4531</v>
      </c>
      <c r="D4820" s="3" t="s">
        <v>11517</v>
      </c>
      <c r="E4820" s="3" t="s">
        <v>11518</v>
      </c>
      <c r="F4820" t="s">
        <v>4774</v>
      </c>
      <c r="G4820" t="s">
        <v>19</v>
      </c>
      <c r="Q4820" s="10"/>
      <c r="U4820" s="9" t="str">
        <f t="shared" ca="1" si="196"/>
        <v/>
      </c>
      <c r="V4820" s="9" t="str">
        <f t="shared" ca="1" si="197"/>
        <v/>
      </c>
    </row>
    <row r="4821" spans="1:33" ht="58">
      <c r="A4821" s="3" t="s">
        <v>4531</v>
      </c>
      <c r="D4821" s="3" t="s">
        <v>11519</v>
      </c>
      <c r="E4821" s="3" t="s">
        <v>11520</v>
      </c>
      <c r="F4821" t="s">
        <v>4774</v>
      </c>
      <c r="G4821" t="s">
        <v>19</v>
      </c>
      <c r="Q4821" s="10"/>
      <c r="U4821" s="9" t="str">
        <f t="shared" ca="1" si="196"/>
        <v/>
      </c>
      <c r="V4821" s="9" t="str">
        <f t="shared" ca="1" si="197"/>
        <v/>
      </c>
    </row>
    <row r="4822" spans="1:33" ht="58">
      <c r="A4822" s="3" t="s">
        <v>4531</v>
      </c>
      <c r="D4822" s="3" t="s">
        <v>11521</v>
      </c>
      <c r="E4822" s="3" t="s">
        <v>11522</v>
      </c>
      <c r="F4822" t="s">
        <v>4774</v>
      </c>
      <c r="G4822" t="s">
        <v>20</v>
      </c>
      <c r="I4822" t="s">
        <v>11523</v>
      </c>
      <c r="J4822" s="9" t="s">
        <v>12120</v>
      </c>
      <c r="Q4822" s="10"/>
      <c r="U4822" s="9" t="str">
        <f t="shared" ca="1" si="196"/>
        <v/>
      </c>
      <c r="V4822" s="9" t="str">
        <f t="shared" ca="1" si="197"/>
        <v/>
      </c>
    </row>
    <row r="4823" spans="1:33">
      <c r="A4823" s="3" t="s">
        <v>4531</v>
      </c>
      <c r="D4823" s="3" t="s">
        <v>4532</v>
      </c>
      <c r="E4823" s="3" t="s">
        <v>4533</v>
      </c>
      <c r="J4823" s="9" t="s">
        <v>12118</v>
      </c>
      <c r="Q4823" s="10"/>
      <c r="R4823" s="9" t="s">
        <v>12074</v>
      </c>
      <c r="T4823" s="9" t="s">
        <v>12131</v>
      </c>
      <c r="U4823" s="9" t="str">
        <f t="shared" ca="1" si="196"/>
        <v/>
      </c>
      <c r="V4823" s="9" t="str">
        <f t="shared" ca="1" si="197"/>
        <v/>
      </c>
      <c r="AE4823" s="9" t="s">
        <v>12086</v>
      </c>
    </row>
    <row r="4824" spans="1:33">
      <c r="A4824" s="3" t="s">
        <v>4534</v>
      </c>
      <c r="D4824" s="3" t="s">
        <v>11524</v>
      </c>
      <c r="E4824" s="3" t="s">
        <v>11525</v>
      </c>
      <c r="J4824" s="9" t="s">
        <v>12118</v>
      </c>
      <c r="Q4824" s="10"/>
      <c r="T4824" s="9" t="s">
        <v>12131</v>
      </c>
      <c r="U4824" s="9" t="str">
        <f t="shared" ca="1" si="196"/>
        <v/>
      </c>
      <c r="V4824" s="9" t="str">
        <f t="shared" ca="1" si="197"/>
        <v/>
      </c>
      <c r="AB4824" s="9" t="s">
        <v>12124</v>
      </c>
      <c r="AC4824" s="9" t="s">
        <v>12742</v>
      </c>
      <c r="AD4824" s="9" t="s">
        <v>19</v>
      </c>
    </row>
    <row r="4825" spans="1:33">
      <c r="A4825" s="3" t="s">
        <v>4535</v>
      </c>
      <c r="D4825" s="3" t="s">
        <v>11527</v>
      </c>
      <c r="E4825" s="3" t="s">
        <v>11526</v>
      </c>
      <c r="J4825" s="9" t="s">
        <v>24</v>
      </c>
      <c r="L4825" s="9">
        <v>1</v>
      </c>
      <c r="M4825" s="9">
        <v>1</v>
      </c>
      <c r="N4825" s="9" t="s">
        <v>12078</v>
      </c>
      <c r="O4825" s="9" t="s">
        <v>12119</v>
      </c>
      <c r="Q4825" s="10"/>
      <c r="S4825" s="9">
        <v>11843</v>
      </c>
      <c r="U4825" s="9" t="str">
        <f t="shared" ca="1" si="196"/>
        <v/>
      </c>
      <c r="V4825" s="9" t="str">
        <f t="shared" ca="1" si="197"/>
        <v/>
      </c>
      <c r="AG4825" s="9" t="s">
        <v>19</v>
      </c>
    </row>
    <row r="4826" spans="1:33">
      <c r="A4826" s="3" t="s">
        <v>4535</v>
      </c>
      <c r="D4826" s="3" t="s">
        <v>4536</v>
      </c>
      <c r="E4826" s="3" t="s">
        <v>11528</v>
      </c>
      <c r="G4826" t="s">
        <v>19</v>
      </c>
      <c r="J4826" s="9" t="s">
        <v>12118</v>
      </c>
      <c r="Q4826" s="10"/>
      <c r="T4826" s="9" t="s">
        <v>12131</v>
      </c>
      <c r="U4826" s="9" t="str">
        <f t="shared" ca="1" si="196"/>
        <v/>
      </c>
      <c r="V4826" s="9" t="str">
        <f t="shared" ca="1" si="197"/>
        <v/>
      </c>
      <c r="AE4826" s="9" t="s">
        <v>12086</v>
      </c>
    </row>
    <row r="4827" spans="1:33">
      <c r="A4827" s="3" t="s">
        <v>4537</v>
      </c>
      <c r="D4827" s="3" t="s">
        <v>11529</v>
      </c>
      <c r="E4827" s="3" t="s">
        <v>11530</v>
      </c>
      <c r="J4827" s="9" t="s">
        <v>12118</v>
      </c>
      <c r="Q4827" s="10"/>
      <c r="T4827" s="9" t="s">
        <v>12131</v>
      </c>
      <c r="U4827" s="9" t="str">
        <f t="shared" ca="1" si="196"/>
        <v/>
      </c>
      <c r="V4827" s="9" t="str">
        <f t="shared" ca="1" si="197"/>
        <v/>
      </c>
      <c r="AB4827" s="9" t="s">
        <v>12124</v>
      </c>
      <c r="AC4827" s="9" t="s">
        <v>12742</v>
      </c>
      <c r="AD4827" s="9" t="s">
        <v>19</v>
      </c>
    </row>
    <row r="4828" spans="1:33" ht="29">
      <c r="A4828" s="3" t="s">
        <v>4538</v>
      </c>
      <c r="D4828" s="3" t="s">
        <v>11531</v>
      </c>
      <c r="E4828" s="3" t="s">
        <v>11532</v>
      </c>
      <c r="J4828" s="9" t="s">
        <v>12118</v>
      </c>
      <c r="Q4828" s="10"/>
      <c r="T4828" s="9">
        <f>1966-166</f>
        <v>1800</v>
      </c>
      <c r="U4828" s="9">
        <f t="shared" ca="1" si="196"/>
        <v>166</v>
      </c>
      <c r="V4828" s="9">
        <f t="shared" ca="1" si="197"/>
        <v>1966</v>
      </c>
      <c r="AG4828" s="9" t="s">
        <v>19</v>
      </c>
    </row>
    <row r="4829" spans="1:33" ht="29">
      <c r="A4829" s="3" t="s">
        <v>4538</v>
      </c>
      <c r="D4829" s="3" t="s">
        <v>11533</v>
      </c>
      <c r="E4829" s="3" t="s">
        <v>11534</v>
      </c>
      <c r="J4829" s="9" t="s">
        <v>12118</v>
      </c>
      <c r="Q4829" s="10"/>
      <c r="T4829" s="9" t="s">
        <v>12131</v>
      </c>
      <c r="U4829" s="9" t="str">
        <f t="shared" ca="1" si="196"/>
        <v/>
      </c>
      <c r="V4829" s="9" t="str">
        <f t="shared" ca="1" si="197"/>
        <v/>
      </c>
      <c r="AE4829" s="9" t="s">
        <v>12077</v>
      </c>
    </row>
    <row r="4830" spans="1:33" ht="29">
      <c r="A4830" s="3" t="s">
        <v>4539</v>
      </c>
      <c r="D4830" s="3" t="s">
        <v>11536</v>
      </c>
      <c r="E4830" s="3" t="s">
        <v>11535</v>
      </c>
      <c r="I4830" t="s">
        <v>5457</v>
      </c>
      <c r="J4830" s="9" t="s">
        <v>26</v>
      </c>
      <c r="Q4830" s="10"/>
      <c r="U4830" s="9" t="str">
        <f t="shared" ca="1" si="196"/>
        <v/>
      </c>
      <c r="V4830" s="9" t="str">
        <f t="shared" ca="1" si="197"/>
        <v/>
      </c>
      <c r="AG4830" s="9" t="s">
        <v>20</v>
      </c>
    </row>
    <row r="4831" spans="1:33">
      <c r="A4831" s="3" t="s">
        <v>4540</v>
      </c>
      <c r="D4831" s="3" t="s">
        <v>11537</v>
      </c>
      <c r="E4831" s="3" t="s">
        <v>11537</v>
      </c>
      <c r="G4831" t="s">
        <v>20</v>
      </c>
      <c r="I4831" t="s">
        <v>11538</v>
      </c>
      <c r="Q4831" s="10"/>
      <c r="U4831" s="9" t="str">
        <f t="shared" ca="1" si="196"/>
        <v/>
      </c>
      <c r="V4831" s="9" t="str">
        <f t="shared" ca="1" si="197"/>
        <v/>
      </c>
    </row>
    <row r="4832" spans="1:33">
      <c r="A4832" s="3" t="s">
        <v>4541</v>
      </c>
      <c r="D4832" s="3" t="s">
        <v>4542</v>
      </c>
      <c r="E4832" s="3" t="s">
        <v>11539</v>
      </c>
      <c r="G4832" t="s">
        <v>19</v>
      </c>
      <c r="J4832" s="9" t="s">
        <v>12118</v>
      </c>
      <c r="Q4832" s="10"/>
      <c r="T4832" s="9">
        <f>1-65</f>
        <v>-64</v>
      </c>
      <c r="U4832" s="9">
        <f t="shared" ca="1" si="196"/>
        <v>65</v>
      </c>
      <c r="V4832" s="9">
        <f t="shared" ca="1" si="197"/>
        <v>1</v>
      </c>
    </row>
    <row r="4833" spans="1:33">
      <c r="A4833" s="3" t="s">
        <v>4543</v>
      </c>
      <c r="D4833" s="3" t="s">
        <v>4544</v>
      </c>
      <c r="E4833" s="3" t="s">
        <v>11540</v>
      </c>
      <c r="F4833" t="s">
        <v>11</v>
      </c>
      <c r="Q4833" s="10"/>
      <c r="U4833" s="9" t="str">
        <f t="shared" ca="1" si="196"/>
        <v/>
      </c>
      <c r="V4833" s="9" t="str">
        <f t="shared" ca="1" si="197"/>
        <v/>
      </c>
    </row>
    <row r="4834" spans="1:33">
      <c r="A4834" s="3" t="s">
        <v>4543</v>
      </c>
      <c r="D4834" s="3" t="s">
        <v>11541</v>
      </c>
      <c r="E4834" s="3" t="s">
        <v>11542</v>
      </c>
      <c r="F4834" t="s">
        <v>11</v>
      </c>
      <c r="Q4834" s="10"/>
      <c r="U4834" s="9" t="str">
        <f t="shared" ca="1" si="196"/>
        <v/>
      </c>
      <c r="V4834" s="9" t="str">
        <f t="shared" ca="1" si="197"/>
        <v/>
      </c>
    </row>
    <row r="4835" spans="1:33">
      <c r="A4835" s="3" t="s">
        <v>4543</v>
      </c>
      <c r="D4835" s="3" t="s">
        <v>4545</v>
      </c>
      <c r="E4835" s="3" t="s">
        <v>4546</v>
      </c>
      <c r="J4835" s="9" t="s">
        <v>12118</v>
      </c>
      <c r="Q4835" s="10"/>
      <c r="T4835" s="9" t="s">
        <v>12131</v>
      </c>
      <c r="U4835" s="9" t="str">
        <f t="shared" ca="1" si="196"/>
        <v/>
      </c>
      <c r="V4835" s="9" t="str">
        <f t="shared" ca="1" si="197"/>
        <v/>
      </c>
      <c r="AC4835" s="9" t="s">
        <v>12130</v>
      </c>
      <c r="AD4835" s="9" t="s">
        <v>19</v>
      </c>
      <c r="AE4835" s="9" t="s">
        <v>12086</v>
      </c>
    </row>
    <row r="4836" spans="1:33" ht="43.5">
      <c r="A4836" s="3" t="s">
        <v>4543</v>
      </c>
      <c r="D4836" s="3" t="s">
        <v>11544</v>
      </c>
      <c r="E4836" s="3" t="s">
        <v>11543</v>
      </c>
      <c r="F4836" t="s">
        <v>11</v>
      </c>
      <c r="G4836" t="s">
        <v>19</v>
      </c>
      <c r="Q4836" s="10"/>
      <c r="U4836" s="9" t="str">
        <f t="shared" ca="1" si="196"/>
        <v/>
      </c>
      <c r="V4836" s="9" t="str">
        <f t="shared" ca="1" si="197"/>
        <v/>
      </c>
    </row>
    <row r="4837" spans="1:33">
      <c r="A4837" s="3" t="s">
        <v>4547</v>
      </c>
      <c r="D4837" s="3" t="s">
        <v>11545</v>
      </c>
      <c r="E4837" s="3" t="s">
        <v>11546</v>
      </c>
      <c r="J4837" s="9" t="s">
        <v>12118</v>
      </c>
      <c r="Q4837" s="10"/>
      <c r="T4837" s="9" t="s">
        <v>12131</v>
      </c>
      <c r="U4837" s="9" t="str">
        <f t="shared" ca="1" si="196"/>
        <v/>
      </c>
      <c r="V4837" s="9" t="str">
        <f t="shared" ca="1" si="197"/>
        <v/>
      </c>
      <c r="AC4837" s="9" t="s">
        <v>12130</v>
      </c>
      <c r="AD4837" s="9" t="s">
        <v>19</v>
      </c>
      <c r="AE4837" s="9" t="s">
        <v>12086</v>
      </c>
    </row>
    <row r="4838" spans="1:33">
      <c r="A4838" s="3" t="s">
        <v>4547</v>
      </c>
      <c r="D4838" s="3" t="s">
        <v>4548</v>
      </c>
      <c r="E4838" s="3" t="s">
        <v>4549</v>
      </c>
      <c r="J4838" s="9" t="s">
        <v>12118</v>
      </c>
      <c r="Q4838" s="10"/>
      <c r="T4838" s="9" t="s">
        <v>12131</v>
      </c>
      <c r="U4838" s="9" t="str">
        <f t="shared" ca="1" si="196"/>
        <v/>
      </c>
      <c r="V4838" s="9" t="str">
        <f t="shared" ca="1" si="197"/>
        <v/>
      </c>
      <c r="AB4838" s="9" t="s">
        <v>12124</v>
      </c>
      <c r="AD4838" s="9" t="s">
        <v>19</v>
      </c>
    </row>
    <row r="4839" spans="1:33">
      <c r="A4839" s="3" t="s">
        <v>4547</v>
      </c>
      <c r="D4839" s="3" t="s">
        <v>11547</v>
      </c>
      <c r="E4839" s="3" t="s">
        <v>11548</v>
      </c>
      <c r="G4839" t="s">
        <v>19</v>
      </c>
      <c r="J4839" s="9" t="s">
        <v>12118</v>
      </c>
      <c r="Q4839" s="10"/>
      <c r="T4839" s="9">
        <f>2-16</f>
        <v>-14</v>
      </c>
      <c r="U4839" s="9">
        <f t="shared" ca="1" si="196"/>
        <v>16</v>
      </c>
      <c r="V4839" s="9">
        <f t="shared" ca="1" si="197"/>
        <v>2</v>
      </c>
    </row>
    <row r="4840" spans="1:33">
      <c r="A4840" s="3" t="s">
        <v>4550</v>
      </c>
      <c r="D4840" s="3" t="s">
        <v>4551</v>
      </c>
      <c r="E4840" s="3" t="s">
        <v>4552</v>
      </c>
      <c r="J4840" s="9" t="s">
        <v>12120</v>
      </c>
      <c r="Q4840" s="10"/>
      <c r="U4840" s="9" t="str">
        <f t="shared" ca="1" si="196"/>
        <v/>
      </c>
      <c r="V4840" s="9" t="str">
        <f t="shared" ca="1" si="197"/>
        <v/>
      </c>
      <c r="AG4840" s="9" t="s">
        <v>20</v>
      </c>
    </row>
    <row r="4841" spans="1:33" ht="29">
      <c r="A4841" s="3" t="s">
        <v>4550</v>
      </c>
      <c r="D4841" s="3" t="s">
        <v>11549</v>
      </c>
      <c r="E4841" s="3" t="s">
        <v>13078</v>
      </c>
      <c r="J4841" s="9" t="s">
        <v>12118</v>
      </c>
      <c r="Q4841" s="10"/>
      <c r="T4841" s="9" t="s">
        <v>12131</v>
      </c>
      <c r="U4841" s="9" t="str">
        <f t="shared" ca="1" si="196"/>
        <v/>
      </c>
      <c r="V4841" s="9" t="str">
        <f t="shared" ca="1" si="197"/>
        <v/>
      </c>
      <c r="AE4841" s="9" t="s">
        <v>12077</v>
      </c>
    </row>
    <row r="4842" spans="1:33" ht="29">
      <c r="A4842" s="3" t="s">
        <v>4553</v>
      </c>
      <c r="D4842" s="3" t="s">
        <v>11550</v>
      </c>
      <c r="E4842" s="3" t="s">
        <v>11551</v>
      </c>
      <c r="G4842" t="s">
        <v>19</v>
      </c>
      <c r="J4842" s="9" t="s">
        <v>12118</v>
      </c>
      <c r="Q4842" s="10"/>
      <c r="T4842" s="9">
        <f>1966-166</f>
        <v>1800</v>
      </c>
      <c r="U4842" s="9">
        <f t="shared" ca="1" si="196"/>
        <v>166</v>
      </c>
      <c r="V4842" s="9">
        <f t="shared" ca="1" si="197"/>
        <v>1966</v>
      </c>
    </row>
    <row r="4843" spans="1:33" ht="29">
      <c r="A4843" s="3" t="s">
        <v>4553</v>
      </c>
      <c r="D4843" s="3" t="s">
        <v>11552</v>
      </c>
      <c r="E4843" s="3" t="s">
        <v>11553</v>
      </c>
      <c r="G4843" t="s">
        <v>19</v>
      </c>
      <c r="J4843" s="9" t="s">
        <v>12120</v>
      </c>
      <c r="Q4843" s="10"/>
      <c r="U4843" s="9" t="str">
        <f t="shared" ca="1" si="196"/>
        <v/>
      </c>
      <c r="V4843" s="9" t="str">
        <f t="shared" ca="1" si="197"/>
        <v/>
      </c>
      <c r="AC4843" s="9" t="s">
        <v>12173</v>
      </c>
      <c r="AD4843" s="9" t="s">
        <v>19</v>
      </c>
    </row>
    <row r="4844" spans="1:33">
      <c r="A4844" s="3" t="s">
        <v>4554</v>
      </c>
      <c r="D4844" s="3" t="s">
        <v>11554</v>
      </c>
      <c r="E4844" s="3" t="s">
        <v>11555</v>
      </c>
      <c r="J4844" s="9" t="s">
        <v>12120</v>
      </c>
      <c r="Q4844" s="10"/>
      <c r="U4844" s="9" t="str">
        <f t="shared" ca="1" si="196"/>
        <v/>
      </c>
      <c r="V4844" s="9" t="str">
        <f t="shared" ca="1" si="197"/>
        <v/>
      </c>
      <c r="AB4844" s="9" t="s">
        <v>12737</v>
      </c>
      <c r="AD4844" s="9" t="s">
        <v>19</v>
      </c>
    </row>
    <row r="4845" spans="1:33">
      <c r="A4845" s="3" t="s">
        <v>4554</v>
      </c>
      <c r="D4845" s="3" t="s">
        <v>11557</v>
      </c>
      <c r="E4845" s="3" t="s">
        <v>11556</v>
      </c>
      <c r="G4845" t="s">
        <v>19</v>
      </c>
      <c r="J4845" s="9" t="s">
        <v>12118</v>
      </c>
      <c r="Q4845" s="10"/>
      <c r="T4845" s="9">
        <f>1496-1966</f>
        <v>-470</v>
      </c>
      <c r="U4845" s="9">
        <f t="shared" ca="1" si="196"/>
        <v>1966</v>
      </c>
      <c r="V4845" s="9">
        <f t="shared" ca="1" si="197"/>
        <v>1496</v>
      </c>
    </row>
    <row r="4846" spans="1:33" ht="29">
      <c r="A4846" s="3" t="s">
        <v>4554</v>
      </c>
      <c r="D4846" s="3" t="s">
        <v>12954</v>
      </c>
      <c r="E4846" s="3" t="s">
        <v>13079</v>
      </c>
      <c r="J4846" s="9" t="s">
        <v>12118</v>
      </c>
      <c r="Q4846" s="10"/>
      <c r="S4846" s="9">
        <v>11843</v>
      </c>
      <c r="T4846" s="9">
        <f>11843-280</f>
        <v>11563</v>
      </c>
      <c r="U4846" s="9">
        <v>280</v>
      </c>
      <c r="V4846" s="9">
        <v>11843</v>
      </c>
      <c r="AG4846" s="9" t="s">
        <v>19</v>
      </c>
    </row>
    <row r="4847" spans="1:33">
      <c r="A4847" s="3" t="s">
        <v>4554</v>
      </c>
      <c r="D4847" s="3" t="s">
        <v>11559</v>
      </c>
      <c r="E4847" s="3" t="s">
        <v>11558</v>
      </c>
      <c r="G4847" t="s">
        <v>19</v>
      </c>
      <c r="J4847" s="9" t="s">
        <v>12120</v>
      </c>
      <c r="Q4847" s="10"/>
      <c r="U4847" s="9" t="str">
        <f t="shared" ca="1" si="196"/>
        <v/>
      </c>
      <c r="V4847" s="9" t="str">
        <f t="shared" ca="1" si="197"/>
        <v/>
      </c>
    </row>
    <row r="4848" spans="1:33">
      <c r="A4848" s="3" t="s">
        <v>4555</v>
      </c>
      <c r="D4848" s="3" t="s">
        <v>4169</v>
      </c>
      <c r="E4848" s="3" t="s">
        <v>4170</v>
      </c>
      <c r="J4848" s="9" t="s">
        <v>12118</v>
      </c>
      <c r="Q4848" s="10"/>
      <c r="T4848" s="9" t="s">
        <v>12131</v>
      </c>
      <c r="U4848" s="9" t="str">
        <f t="shared" ca="1" si="196"/>
        <v/>
      </c>
      <c r="V4848" s="9" t="str">
        <f t="shared" ca="1" si="197"/>
        <v/>
      </c>
      <c r="AB4848" s="9" t="s">
        <v>12124</v>
      </c>
      <c r="AC4848" s="9" t="s">
        <v>12134</v>
      </c>
      <c r="AD4848" s="9" t="s">
        <v>19</v>
      </c>
    </row>
    <row r="4849" spans="1:33">
      <c r="A4849" s="3" t="s">
        <v>4556</v>
      </c>
      <c r="D4849" s="3" t="s">
        <v>3908</v>
      </c>
      <c r="E4849" s="3" t="s">
        <v>3909</v>
      </c>
      <c r="J4849" s="9" t="s">
        <v>12120</v>
      </c>
      <c r="Q4849" s="10"/>
      <c r="U4849" s="9" t="str">
        <f t="shared" ca="1" si="196"/>
        <v/>
      </c>
      <c r="V4849" s="9" t="str">
        <f t="shared" ca="1" si="197"/>
        <v/>
      </c>
      <c r="AB4849" s="9" t="s">
        <v>12738</v>
      </c>
      <c r="AD4849" s="9" t="s">
        <v>19</v>
      </c>
      <c r="AE4849" s="9" t="s">
        <v>12086</v>
      </c>
    </row>
    <row r="4850" spans="1:33">
      <c r="A4850" s="3" t="s">
        <v>4557</v>
      </c>
      <c r="D4850" s="3" t="s">
        <v>11560</v>
      </c>
      <c r="E4850" s="3" t="s">
        <v>11560</v>
      </c>
      <c r="G4850" t="s">
        <v>20</v>
      </c>
      <c r="I4850" t="s">
        <v>11561</v>
      </c>
      <c r="Q4850" s="10"/>
      <c r="U4850" s="9" t="str">
        <f t="shared" ca="1" si="196"/>
        <v/>
      </c>
      <c r="V4850" s="9" t="str">
        <f t="shared" ca="1" si="197"/>
        <v/>
      </c>
    </row>
    <row r="4851" spans="1:33">
      <c r="A4851" s="3" t="s">
        <v>4557</v>
      </c>
      <c r="D4851" s="3" t="s">
        <v>11563</v>
      </c>
      <c r="E4851" s="3" t="s">
        <v>11562</v>
      </c>
      <c r="J4851" s="9" t="s">
        <v>24</v>
      </c>
      <c r="L4851" s="9">
        <v>1</v>
      </c>
      <c r="M4851" s="9">
        <v>3</v>
      </c>
      <c r="N4851" s="9" t="s">
        <v>12078</v>
      </c>
      <c r="O4851" s="9" t="s">
        <v>12079</v>
      </c>
      <c r="Q4851" s="10"/>
      <c r="S4851" s="9">
        <v>11843</v>
      </c>
      <c r="U4851" s="9" t="str">
        <f t="shared" ca="1" si="196"/>
        <v/>
      </c>
      <c r="V4851" s="9" t="str">
        <f t="shared" ca="1" si="197"/>
        <v/>
      </c>
      <c r="AG4851" s="9" t="s">
        <v>19</v>
      </c>
    </row>
    <row r="4852" spans="1:33">
      <c r="A4852" s="3" t="s">
        <v>4557</v>
      </c>
      <c r="D4852" s="3" t="s">
        <v>1383</v>
      </c>
      <c r="E4852" s="3" t="s">
        <v>634</v>
      </c>
      <c r="G4852" t="s">
        <v>19</v>
      </c>
      <c r="J4852" s="9" t="s">
        <v>12118</v>
      </c>
      <c r="Q4852" s="10"/>
      <c r="T4852" s="9" t="s">
        <v>12131</v>
      </c>
      <c r="U4852" s="9" t="str">
        <f t="shared" ca="1" si="196"/>
        <v/>
      </c>
      <c r="V4852" s="9" t="str">
        <f t="shared" ca="1" si="197"/>
        <v/>
      </c>
      <c r="AB4852" s="9" t="s">
        <v>12124</v>
      </c>
      <c r="AC4852" s="9" t="s">
        <v>12740</v>
      </c>
      <c r="AD4852" s="9" t="s">
        <v>19</v>
      </c>
    </row>
    <row r="4853" spans="1:33">
      <c r="A4853" s="3" t="s">
        <v>4558</v>
      </c>
      <c r="D4853" s="3" t="s">
        <v>11565</v>
      </c>
      <c r="E4853" s="3" t="s">
        <v>11566</v>
      </c>
      <c r="G4853" t="s">
        <v>19</v>
      </c>
      <c r="J4853" s="9" t="s">
        <v>12118</v>
      </c>
      <c r="Q4853" s="10"/>
      <c r="T4853" s="9" t="s">
        <v>12131</v>
      </c>
      <c r="U4853" s="9" t="str">
        <f t="shared" ca="1" si="196"/>
        <v/>
      </c>
      <c r="V4853" s="9" t="str">
        <f t="shared" ca="1" si="197"/>
        <v/>
      </c>
      <c r="AE4853" s="9" t="s">
        <v>12086</v>
      </c>
    </row>
    <row r="4854" spans="1:33">
      <c r="A4854" s="3" t="s">
        <v>4558</v>
      </c>
      <c r="D4854" s="3" t="s">
        <v>11564</v>
      </c>
      <c r="E4854" s="3" t="s">
        <v>11567</v>
      </c>
      <c r="J4854" s="9" t="s">
        <v>24</v>
      </c>
      <c r="L4854" s="9">
        <v>1</v>
      </c>
      <c r="M4854" s="9">
        <v>2</v>
      </c>
      <c r="N4854" s="9" t="s">
        <v>12087</v>
      </c>
      <c r="O4854" s="9" t="s">
        <v>12119</v>
      </c>
      <c r="Q4854" s="10"/>
      <c r="S4854" s="9">
        <v>166</v>
      </c>
      <c r="U4854" s="9" t="str">
        <f t="shared" ca="1" si="196"/>
        <v/>
      </c>
      <c r="V4854" s="9" t="str">
        <f t="shared" ca="1" si="197"/>
        <v/>
      </c>
      <c r="AG4854" s="9" t="s">
        <v>19</v>
      </c>
    </row>
    <row r="4855" spans="1:33" ht="29">
      <c r="A4855" s="3" t="s">
        <v>4558</v>
      </c>
      <c r="D4855" s="3" t="s">
        <v>11568</v>
      </c>
      <c r="E4855" s="3" t="s">
        <v>11569</v>
      </c>
      <c r="G4855" t="s">
        <v>19</v>
      </c>
      <c r="J4855" s="9" t="s">
        <v>24</v>
      </c>
      <c r="L4855" s="9">
        <v>1</v>
      </c>
      <c r="M4855" s="9">
        <v>2</v>
      </c>
      <c r="N4855" s="9" t="s">
        <v>12078</v>
      </c>
      <c r="O4855" s="9" t="s">
        <v>12119</v>
      </c>
      <c r="Q4855" s="10"/>
      <c r="S4855" s="9">
        <v>11843</v>
      </c>
      <c r="U4855" s="9" t="str">
        <f t="shared" ca="1" si="196"/>
        <v/>
      </c>
      <c r="V4855" s="9" t="str">
        <f t="shared" ca="1" si="197"/>
        <v/>
      </c>
    </row>
    <row r="4856" spans="1:33" ht="29">
      <c r="A4856" s="3" t="s">
        <v>4558</v>
      </c>
      <c r="D4856" s="3" t="s">
        <v>11570</v>
      </c>
      <c r="E4856" s="3" t="s">
        <v>11571</v>
      </c>
      <c r="G4856" t="s">
        <v>19</v>
      </c>
      <c r="J4856" s="9" t="s">
        <v>12118</v>
      </c>
      <c r="Q4856" s="10"/>
      <c r="T4856" s="9">
        <f>1966-5676</f>
        <v>-3710</v>
      </c>
      <c r="U4856" s="9">
        <f t="shared" ca="1" si="196"/>
        <v>5676</v>
      </c>
      <c r="V4856" s="9">
        <f t="shared" ca="1" si="197"/>
        <v>1966</v>
      </c>
    </row>
    <row r="4857" spans="1:33" ht="29">
      <c r="A4857" s="3" t="s">
        <v>4558</v>
      </c>
      <c r="D4857" s="3" t="s">
        <v>11572</v>
      </c>
      <c r="E4857" s="3" t="s">
        <v>11573</v>
      </c>
      <c r="G4857" t="s">
        <v>19</v>
      </c>
      <c r="J4857" s="9" t="s">
        <v>12120</v>
      </c>
      <c r="Q4857" s="10"/>
      <c r="U4857" s="9" t="str">
        <f t="shared" ca="1" si="196"/>
        <v/>
      </c>
      <c r="V4857" s="9" t="str">
        <f t="shared" ca="1" si="197"/>
        <v/>
      </c>
    </row>
    <row r="4858" spans="1:33" ht="29">
      <c r="A4858" s="3" t="s">
        <v>4559</v>
      </c>
      <c r="D4858" s="3" t="s">
        <v>11575</v>
      </c>
      <c r="E4858" s="3" t="s">
        <v>11574</v>
      </c>
      <c r="G4858" t="s">
        <v>19</v>
      </c>
      <c r="J4858" s="9" t="s">
        <v>12120</v>
      </c>
      <c r="Q4858" s="10"/>
      <c r="U4858" s="9" t="str">
        <f t="shared" ca="1" si="196"/>
        <v/>
      </c>
      <c r="V4858" s="9" t="str">
        <f t="shared" ca="1" si="197"/>
        <v/>
      </c>
      <c r="AE4858" s="9" t="s">
        <v>12089</v>
      </c>
    </row>
    <row r="4859" spans="1:33" ht="29">
      <c r="A4859" s="3" t="s">
        <v>4559</v>
      </c>
      <c r="D4859" s="3" t="s">
        <v>11576</v>
      </c>
      <c r="E4859" s="3" t="s">
        <v>11577</v>
      </c>
      <c r="J4859" s="9" t="s">
        <v>12118</v>
      </c>
      <c r="Q4859" s="10"/>
      <c r="T4859" s="9" t="s">
        <v>12131</v>
      </c>
      <c r="U4859" s="9" t="str">
        <f t="shared" ca="1" si="196"/>
        <v/>
      </c>
      <c r="V4859" s="9" t="str">
        <f t="shared" ca="1" si="197"/>
        <v/>
      </c>
      <c r="AE4859" s="9" t="s">
        <v>12077</v>
      </c>
    </row>
    <row r="4860" spans="1:33" ht="43.5">
      <c r="A4860" s="3" t="s">
        <v>4560</v>
      </c>
      <c r="D4860" s="3" t="s">
        <v>11579</v>
      </c>
      <c r="E4860" s="3" t="s">
        <v>11578</v>
      </c>
      <c r="I4860" t="s">
        <v>5457</v>
      </c>
      <c r="J4860" s="9" t="s">
        <v>26</v>
      </c>
      <c r="Q4860" s="10"/>
      <c r="U4860" s="9" t="str">
        <f t="shared" ca="1" si="196"/>
        <v/>
      </c>
      <c r="V4860" s="9" t="str">
        <f t="shared" ca="1" si="197"/>
        <v/>
      </c>
      <c r="AG4860" s="9" t="s">
        <v>20</v>
      </c>
    </row>
    <row r="4861" spans="1:33">
      <c r="A4861" s="3" t="s">
        <v>4560</v>
      </c>
      <c r="D4861" s="3" t="s">
        <v>4561</v>
      </c>
      <c r="E4861" s="3" t="s">
        <v>4562</v>
      </c>
      <c r="J4861" s="9" t="s">
        <v>12120</v>
      </c>
      <c r="Q4861" s="10"/>
      <c r="U4861" s="9" t="str">
        <f t="shared" ca="1" si="196"/>
        <v/>
      </c>
      <c r="V4861" s="9" t="str">
        <f t="shared" ca="1" si="197"/>
        <v/>
      </c>
      <c r="AC4861" s="9" t="s">
        <v>12134</v>
      </c>
      <c r="AD4861" s="9" t="s">
        <v>19</v>
      </c>
    </row>
    <row r="4862" spans="1:33" ht="43.5">
      <c r="A4862" s="3" t="s">
        <v>4560</v>
      </c>
      <c r="D4862" s="3" t="s">
        <v>12955</v>
      </c>
      <c r="E4862" s="3" t="s">
        <v>12597</v>
      </c>
      <c r="I4862" t="s">
        <v>12598</v>
      </c>
      <c r="J4862" s="9" t="s">
        <v>26</v>
      </c>
      <c r="Q4862" s="10"/>
      <c r="U4862" s="9" t="str">
        <f t="shared" ca="1" si="196"/>
        <v/>
      </c>
      <c r="V4862" s="9" t="str">
        <f t="shared" ca="1" si="197"/>
        <v/>
      </c>
      <c r="AG4862" s="9" t="s">
        <v>19</v>
      </c>
    </row>
    <row r="4863" spans="1:33">
      <c r="A4863" s="3" t="s">
        <v>4563</v>
      </c>
      <c r="D4863" s="3" t="s">
        <v>11580</v>
      </c>
      <c r="E4863" s="3" t="s">
        <v>11581</v>
      </c>
      <c r="J4863" s="9" t="s">
        <v>24</v>
      </c>
      <c r="L4863" s="9">
        <v>1</v>
      </c>
      <c r="M4863" s="9">
        <v>5</v>
      </c>
      <c r="N4863" s="9" t="s">
        <v>12125</v>
      </c>
      <c r="O4863" s="9" t="s">
        <v>12079</v>
      </c>
      <c r="Q4863" s="10"/>
      <c r="S4863" s="9">
        <v>2042</v>
      </c>
      <c r="U4863" s="9" t="str">
        <f t="shared" ca="1" si="196"/>
        <v/>
      </c>
      <c r="V4863" s="9" t="str">
        <f t="shared" ca="1" si="197"/>
        <v/>
      </c>
      <c r="AG4863" s="9" t="s">
        <v>19</v>
      </c>
    </row>
    <row r="4864" spans="1:33" ht="43.5">
      <c r="A4864" s="3" t="s">
        <v>4563</v>
      </c>
      <c r="D4864" s="3" t="s">
        <v>11583</v>
      </c>
      <c r="E4864" s="3" t="s">
        <v>11584</v>
      </c>
      <c r="G4864" t="s">
        <v>20</v>
      </c>
      <c r="I4864" t="s">
        <v>11585</v>
      </c>
      <c r="Q4864" s="10"/>
      <c r="U4864" s="9" t="str">
        <f t="shared" ca="1" si="196"/>
        <v/>
      </c>
      <c r="V4864" s="9" t="str">
        <f t="shared" ca="1" si="197"/>
        <v/>
      </c>
    </row>
    <row r="4865" spans="1:33" ht="43.5">
      <c r="A4865" s="3" t="s">
        <v>4563</v>
      </c>
      <c r="D4865" s="3" t="s">
        <v>12599</v>
      </c>
      <c r="E4865" s="3" t="s">
        <v>12600</v>
      </c>
      <c r="J4865" s="9" t="s">
        <v>24</v>
      </c>
      <c r="L4865" s="9">
        <v>1</v>
      </c>
      <c r="M4865" s="9">
        <v>2</v>
      </c>
      <c r="N4865" s="9" t="s">
        <v>12087</v>
      </c>
      <c r="O4865" s="9" t="s">
        <v>12119</v>
      </c>
      <c r="Q4865" s="10"/>
      <c r="S4865" s="9">
        <v>227</v>
      </c>
      <c r="U4865" s="9" t="str">
        <f t="shared" ca="1" si="196"/>
        <v/>
      </c>
      <c r="V4865" s="9" t="str">
        <f t="shared" ca="1" si="197"/>
        <v/>
      </c>
      <c r="AG4865" s="9" t="s">
        <v>19</v>
      </c>
    </row>
    <row r="4866" spans="1:33" ht="43.5">
      <c r="A4866" s="3" t="s">
        <v>4563</v>
      </c>
      <c r="D4866" s="3" t="s">
        <v>11586</v>
      </c>
      <c r="E4866" s="3" t="s">
        <v>11587</v>
      </c>
      <c r="G4866" t="s">
        <v>19</v>
      </c>
      <c r="J4866" s="9" t="s">
        <v>12118</v>
      </c>
      <c r="Q4866" s="10"/>
      <c r="T4866" s="9">
        <f>1565-169</f>
        <v>1396</v>
      </c>
      <c r="U4866" s="9">
        <f t="shared" ca="1" si="196"/>
        <v>169</v>
      </c>
      <c r="V4866" s="9">
        <f t="shared" ca="1" si="197"/>
        <v>1565</v>
      </c>
    </row>
    <row r="4867" spans="1:33" ht="43.5">
      <c r="A4867" s="3" t="s">
        <v>4563</v>
      </c>
      <c r="D4867" s="3" t="s">
        <v>11588</v>
      </c>
      <c r="E4867" s="3" t="s">
        <v>11582</v>
      </c>
      <c r="G4867" t="s">
        <v>19</v>
      </c>
      <c r="J4867" s="9" t="s">
        <v>25</v>
      </c>
      <c r="L4867" s="9">
        <v>1</v>
      </c>
      <c r="M4867" s="9">
        <v>5</v>
      </c>
      <c r="N4867" s="9" t="s">
        <v>12094</v>
      </c>
      <c r="O4867" s="9" t="s">
        <v>12079</v>
      </c>
      <c r="Q4867" s="10"/>
      <c r="S4867" s="9">
        <v>301</v>
      </c>
      <c r="U4867" s="9" t="str">
        <f t="shared" ca="1" si="196"/>
        <v/>
      </c>
      <c r="V4867" s="9" t="str">
        <f t="shared" ca="1" si="197"/>
        <v/>
      </c>
    </row>
    <row r="4868" spans="1:33">
      <c r="A4868" s="3" t="s">
        <v>4564</v>
      </c>
      <c r="D4868" s="3" t="s">
        <v>1383</v>
      </c>
      <c r="E4868" s="3" t="s">
        <v>634</v>
      </c>
      <c r="J4868" s="9" t="s">
        <v>12118</v>
      </c>
      <c r="Q4868" s="10"/>
      <c r="T4868" s="9" t="s">
        <v>12131</v>
      </c>
      <c r="U4868" s="9" t="str">
        <f t="shared" ca="1" si="196"/>
        <v/>
      </c>
      <c r="V4868" s="9" t="str">
        <f t="shared" ca="1" si="197"/>
        <v/>
      </c>
      <c r="AB4868" s="9" t="s">
        <v>12124</v>
      </c>
      <c r="AC4868" s="9" t="s">
        <v>12740</v>
      </c>
      <c r="AD4868" s="9" t="s">
        <v>19</v>
      </c>
    </row>
    <row r="4869" spans="1:33">
      <c r="A4869" s="3" t="s">
        <v>4565</v>
      </c>
      <c r="D4869" s="3" t="s">
        <v>117</v>
      </c>
      <c r="E4869" s="3" t="s">
        <v>118</v>
      </c>
      <c r="J4869" s="9" t="s">
        <v>12118</v>
      </c>
      <c r="Q4869" s="10"/>
      <c r="T4869" s="9" t="s">
        <v>12131</v>
      </c>
      <c r="U4869" s="9" t="str">
        <f t="shared" ca="1" si="196"/>
        <v/>
      </c>
      <c r="V4869" s="9" t="str">
        <f t="shared" ca="1" si="197"/>
        <v/>
      </c>
      <c r="AB4869" s="9" t="s">
        <v>12124</v>
      </c>
      <c r="AC4869" s="9" t="s">
        <v>12740</v>
      </c>
      <c r="AD4869" s="9" t="s">
        <v>19</v>
      </c>
    </row>
    <row r="4870" spans="1:33" ht="29">
      <c r="A4870" s="3" t="s">
        <v>4565</v>
      </c>
      <c r="D4870" s="3" t="s">
        <v>11589</v>
      </c>
      <c r="E4870" s="3" t="s">
        <v>11590</v>
      </c>
      <c r="F4870" t="s">
        <v>11</v>
      </c>
      <c r="Q4870" s="10"/>
      <c r="U4870" s="9" t="str">
        <f t="shared" ca="1" si="196"/>
        <v/>
      </c>
      <c r="V4870" s="9" t="str">
        <f t="shared" ca="1" si="197"/>
        <v/>
      </c>
    </row>
    <row r="4871" spans="1:33" ht="29">
      <c r="A4871" s="3" t="s">
        <v>4565</v>
      </c>
      <c r="D4871" s="3" t="s">
        <v>11589</v>
      </c>
      <c r="E4871" s="3" t="s">
        <v>11591</v>
      </c>
      <c r="J4871" s="9" t="s">
        <v>24</v>
      </c>
      <c r="L4871" s="9">
        <v>1</v>
      </c>
      <c r="M4871" s="9">
        <v>6</v>
      </c>
      <c r="N4871" s="9" t="s">
        <v>12092</v>
      </c>
      <c r="O4871" s="9" t="s">
        <v>12079</v>
      </c>
      <c r="Q4871" s="10"/>
      <c r="S4871" s="9">
        <v>635</v>
      </c>
      <c r="U4871" s="9" t="str">
        <f t="shared" ca="1" si="196"/>
        <v/>
      </c>
      <c r="V4871" s="9" t="str">
        <f t="shared" ca="1" si="197"/>
        <v/>
      </c>
      <c r="AG4871" s="9" t="s">
        <v>19</v>
      </c>
    </row>
    <row r="4872" spans="1:33" ht="29">
      <c r="A4872" s="3" t="s">
        <v>4566</v>
      </c>
      <c r="D4872" s="3" t="s">
        <v>11592</v>
      </c>
      <c r="E4872" s="3" t="s">
        <v>13080</v>
      </c>
      <c r="G4872" t="s">
        <v>19</v>
      </c>
      <c r="J4872" s="9" t="s">
        <v>24</v>
      </c>
      <c r="L4872" s="9">
        <v>1</v>
      </c>
      <c r="M4872" s="9">
        <v>3</v>
      </c>
      <c r="N4872" s="9" t="s">
        <v>12078</v>
      </c>
      <c r="O4872" s="9" t="s">
        <v>12079</v>
      </c>
      <c r="Q4872" s="10"/>
      <c r="S4872" s="9">
        <v>11843</v>
      </c>
      <c r="U4872" s="9" t="str">
        <f t="shared" ca="1" si="196"/>
        <v/>
      </c>
      <c r="V4872" s="9" t="str">
        <f t="shared" ca="1" si="197"/>
        <v/>
      </c>
    </row>
    <row r="4873" spans="1:33" ht="29">
      <c r="A4873" s="3" t="s">
        <v>4566</v>
      </c>
      <c r="D4873" s="3" t="s">
        <v>11593</v>
      </c>
      <c r="E4873" s="3" t="s">
        <v>13081</v>
      </c>
      <c r="J4873" s="9" t="s">
        <v>25</v>
      </c>
      <c r="L4873" s="9">
        <v>1</v>
      </c>
      <c r="M4873" s="9">
        <v>3</v>
      </c>
      <c r="N4873" s="9" t="s">
        <v>12092</v>
      </c>
      <c r="O4873" s="9" t="s">
        <v>12079</v>
      </c>
      <c r="Q4873" s="10"/>
      <c r="S4873" s="9">
        <v>79</v>
      </c>
      <c r="U4873" s="9" t="str">
        <f t="shared" ca="1" si="196"/>
        <v/>
      </c>
      <c r="V4873" s="9" t="str">
        <f t="shared" ca="1" si="197"/>
        <v/>
      </c>
      <c r="AG4873" s="9" t="s">
        <v>13141</v>
      </c>
    </row>
    <row r="4874" spans="1:33">
      <c r="A4874" s="3" t="s">
        <v>4567</v>
      </c>
      <c r="D4874" s="3" t="s">
        <v>12601</v>
      </c>
      <c r="E4874" s="3" t="s">
        <v>11594</v>
      </c>
      <c r="G4874" t="s">
        <v>19</v>
      </c>
      <c r="J4874" s="9" t="s">
        <v>12120</v>
      </c>
      <c r="Q4874" s="10"/>
      <c r="U4874" s="9" t="str">
        <f t="shared" ca="1" si="196"/>
        <v/>
      </c>
      <c r="V4874" s="9" t="str">
        <f t="shared" ca="1" si="197"/>
        <v/>
      </c>
      <c r="AE4874" s="9" t="s">
        <v>12086</v>
      </c>
    </row>
    <row r="4875" spans="1:33">
      <c r="A4875" s="3" t="s">
        <v>4567</v>
      </c>
      <c r="D4875" s="3" t="s">
        <v>11595</v>
      </c>
      <c r="E4875" s="3" t="s">
        <v>11596</v>
      </c>
      <c r="J4875" s="9" t="s">
        <v>12120</v>
      </c>
      <c r="Q4875" s="10"/>
      <c r="U4875" s="9" t="str">
        <f t="shared" ca="1" si="196"/>
        <v/>
      </c>
      <c r="V4875" s="9" t="str">
        <f t="shared" ca="1" si="197"/>
        <v/>
      </c>
      <c r="AG4875" s="9" t="s">
        <v>19</v>
      </c>
    </row>
    <row r="4876" spans="1:33" ht="29">
      <c r="A4876" s="3" t="s">
        <v>4567</v>
      </c>
      <c r="D4876" s="3" t="s">
        <v>11600</v>
      </c>
      <c r="E4876" s="3" t="s">
        <v>11597</v>
      </c>
      <c r="G4876" t="s">
        <v>19</v>
      </c>
      <c r="J4876" s="9" t="s">
        <v>12120</v>
      </c>
      <c r="Q4876" s="10"/>
      <c r="U4876" s="9" t="str">
        <f t="shared" ref="U4876:U4940" ca="1" si="200">IF(ISNUMBER(T4876),VALUE(MID(_xlfn.FORMULATEXT(T4876),SEARCH("-",_xlfn.FORMULATEXT(T4876))+1,LEN(_xlfn.FORMULATEXT(T4876))-SEARCH("-",_xlfn.FORMULATEXT(T4876)))), "")</f>
        <v/>
      </c>
      <c r="V4876" s="9" t="str">
        <f t="shared" ref="V4876:V4940" ca="1" si="201">IF(ISNUMBER(T4876), VALUE(MID(_xlfn.FORMULATEXT(T4876), 2, SEARCH("-", _xlfn.FORMULATEXT(T4876)) - 2)), "")</f>
        <v/>
      </c>
    </row>
    <row r="4877" spans="1:33" ht="29">
      <c r="A4877" s="3" t="s">
        <v>4567</v>
      </c>
      <c r="D4877" s="3" t="s">
        <v>11599</v>
      </c>
      <c r="E4877" s="3" t="s">
        <v>11598</v>
      </c>
      <c r="G4877" t="s">
        <v>19</v>
      </c>
      <c r="J4877" s="9" t="s">
        <v>12120</v>
      </c>
      <c r="Q4877" s="10"/>
      <c r="U4877" s="9" t="str">
        <f t="shared" ca="1" si="200"/>
        <v/>
      </c>
      <c r="V4877" s="9" t="str">
        <f t="shared" ca="1" si="201"/>
        <v/>
      </c>
    </row>
    <row r="4878" spans="1:33" ht="29">
      <c r="A4878" s="3" t="s">
        <v>4567</v>
      </c>
      <c r="D4878" s="3" t="s">
        <v>11601</v>
      </c>
      <c r="E4878" s="3" t="s">
        <v>11602</v>
      </c>
      <c r="J4878" s="9" t="s">
        <v>12118</v>
      </c>
      <c r="Q4878" s="10"/>
      <c r="T4878" s="9">
        <f>166-1966</f>
        <v>-1800</v>
      </c>
      <c r="U4878" s="9">
        <f t="shared" ca="1" si="200"/>
        <v>1966</v>
      </c>
      <c r="V4878" s="9">
        <f t="shared" ca="1" si="201"/>
        <v>166</v>
      </c>
      <c r="AG4878" s="9" t="s">
        <v>19</v>
      </c>
    </row>
    <row r="4879" spans="1:33">
      <c r="A4879" s="3" t="s">
        <v>4567</v>
      </c>
      <c r="D4879" s="3" t="s">
        <v>4568</v>
      </c>
      <c r="E4879" s="3" t="s">
        <v>4569</v>
      </c>
      <c r="J4879" s="9" t="s">
        <v>12118</v>
      </c>
      <c r="Q4879" s="10"/>
      <c r="T4879" s="9" t="s">
        <v>12131</v>
      </c>
      <c r="U4879" s="9" t="str">
        <f t="shared" ca="1" si="200"/>
        <v/>
      </c>
      <c r="V4879" s="9" t="str">
        <f t="shared" ca="1" si="201"/>
        <v/>
      </c>
      <c r="AE4879" s="9" t="s">
        <v>12077</v>
      </c>
    </row>
    <row r="4880" spans="1:33">
      <c r="A4880" s="3" t="s">
        <v>4570</v>
      </c>
      <c r="D4880" s="3" t="s">
        <v>4571</v>
      </c>
      <c r="E4880" s="3" t="s">
        <v>4572</v>
      </c>
      <c r="J4880" s="9" t="s">
        <v>12118</v>
      </c>
      <c r="Q4880" s="10"/>
      <c r="T4880" s="9" t="s">
        <v>12131</v>
      </c>
      <c r="U4880" s="9" t="str">
        <f t="shared" ca="1" si="200"/>
        <v/>
      </c>
      <c r="V4880" s="9" t="str">
        <f t="shared" ca="1" si="201"/>
        <v/>
      </c>
      <c r="AB4880" s="9" t="s">
        <v>12124</v>
      </c>
      <c r="AD4880" s="9" t="s">
        <v>19</v>
      </c>
    </row>
    <row r="4881" spans="1:33" ht="29">
      <c r="A4881" s="3" t="s">
        <v>4570</v>
      </c>
      <c r="D4881" s="3" t="s">
        <v>11604</v>
      </c>
      <c r="E4881" s="3" t="s">
        <v>11603</v>
      </c>
      <c r="I4881" t="s">
        <v>12602</v>
      </c>
      <c r="J4881" s="9" t="s">
        <v>25</v>
      </c>
      <c r="L4881" s="9">
        <v>5</v>
      </c>
      <c r="M4881" s="9">
        <v>18</v>
      </c>
      <c r="O4881" s="9" t="s">
        <v>12079</v>
      </c>
      <c r="Q4881" s="10"/>
      <c r="S4881" s="9">
        <v>1</v>
      </c>
      <c r="U4881" s="9" t="str">
        <f t="shared" ca="1" si="200"/>
        <v/>
      </c>
      <c r="V4881" s="9" t="str">
        <f t="shared" ca="1" si="201"/>
        <v/>
      </c>
      <c r="AG4881" s="9" t="s">
        <v>19</v>
      </c>
    </row>
    <row r="4882" spans="1:33" ht="101.5">
      <c r="A4882" s="3" t="s">
        <v>4573</v>
      </c>
      <c r="D4882" s="3" t="s">
        <v>11605</v>
      </c>
      <c r="E4882" s="3" t="s">
        <v>13082</v>
      </c>
      <c r="F4882" t="s">
        <v>4774</v>
      </c>
      <c r="G4882" t="s">
        <v>19</v>
      </c>
      <c r="J4882" s="15" t="s">
        <v>27</v>
      </c>
      <c r="K4882" s="15"/>
      <c r="L4882" s="15"/>
      <c r="M4882" s="15"/>
      <c r="N4882" s="15"/>
      <c r="O4882" s="15"/>
      <c r="P4882" s="15"/>
      <c r="Q4882" s="16"/>
      <c r="R4882" s="15"/>
      <c r="S4882" s="15"/>
      <c r="T4882" s="15"/>
      <c r="U4882" s="15" t="str">
        <f t="shared" ref="U4882" ca="1" si="202">IF(ISNUMBER(T4882),VALUE(MID(_xlfn.FORMULATEXT(T4882),SEARCH("-",_xlfn.FORMULATEXT(T4882))+1,LEN(_xlfn.FORMULATEXT(T4882))-SEARCH("-",_xlfn.FORMULATEXT(T4882)))), "")</f>
        <v/>
      </c>
      <c r="V4882" s="15" t="str">
        <f t="shared" ref="V4882" ca="1" si="203">IF(ISNUMBER(T4882), VALUE(MID(_xlfn.FORMULATEXT(T4882), 2, SEARCH("-", _xlfn.FORMULATEXT(T4882)) - 2)), "")</f>
        <v/>
      </c>
      <c r="W4882" s="15"/>
      <c r="X4882" s="15"/>
      <c r="Y4882" s="15"/>
      <c r="Z4882" s="15"/>
      <c r="AA4882" s="15"/>
      <c r="AB4882" s="15"/>
      <c r="AC4882" s="15"/>
      <c r="AD4882" s="15"/>
      <c r="AE4882" s="15"/>
      <c r="AF4882" s="15"/>
      <c r="AG4882" s="15"/>
    </row>
    <row r="4883" spans="1:33" ht="101.5">
      <c r="A4883" s="3" t="s">
        <v>4573</v>
      </c>
      <c r="D4883" s="3" t="s">
        <v>11606</v>
      </c>
      <c r="E4883" s="3" t="s">
        <v>11607</v>
      </c>
      <c r="F4883" t="s">
        <v>4774</v>
      </c>
      <c r="G4883" t="s">
        <v>19</v>
      </c>
      <c r="I4883" s="4"/>
      <c r="Q4883" s="10"/>
      <c r="U4883" s="9" t="str">
        <f t="shared" ca="1" si="200"/>
        <v/>
      </c>
      <c r="V4883" s="9" t="str">
        <f t="shared" ca="1" si="201"/>
        <v/>
      </c>
    </row>
    <row r="4884" spans="1:33" ht="101.5">
      <c r="A4884" s="3" t="s">
        <v>4573</v>
      </c>
      <c r="D4884" s="3" t="s">
        <v>11608</v>
      </c>
      <c r="E4884" s="3" t="s">
        <v>11609</v>
      </c>
      <c r="F4884" t="s">
        <v>4774</v>
      </c>
      <c r="G4884" t="s">
        <v>19</v>
      </c>
      <c r="I4884" s="4"/>
      <c r="J4884" s="9" t="s">
        <v>12118</v>
      </c>
      <c r="Q4884" s="10"/>
      <c r="T4884" s="9">
        <f>31-591</f>
        <v>-560</v>
      </c>
      <c r="U4884" s="9">
        <f t="shared" ca="1" si="200"/>
        <v>591</v>
      </c>
      <c r="V4884" s="9">
        <f t="shared" ca="1" si="201"/>
        <v>31</v>
      </c>
    </row>
    <row r="4885" spans="1:33" ht="101.5">
      <c r="A4885" s="3" t="s">
        <v>4573</v>
      </c>
      <c r="D4885" s="3" t="s">
        <v>12603</v>
      </c>
      <c r="E4885" s="3" t="s">
        <v>12604</v>
      </c>
      <c r="F4885" t="s">
        <v>4774</v>
      </c>
      <c r="G4885" t="s">
        <v>19</v>
      </c>
      <c r="I4885" s="4"/>
      <c r="J4885" s="9" t="s">
        <v>12120</v>
      </c>
      <c r="Q4885" s="10"/>
      <c r="U4885" s="9" t="str">
        <f t="shared" ca="1" si="200"/>
        <v/>
      </c>
      <c r="V4885" s="9" t="str">
        <f t="shared" ca="1" si="201"/>
        <v/>
      </c>
    </row>
    <row r="4886" spans="1:33" ht="101.5">
      <c r="A4886" s="3" t="s">
        <v>4573</v>
      </c>
      <c r="D4886" s="3" t="s">
        <v>11610</v>
      </c>
      <c r="E4886" s="3" t="s">
        <v>11611</v>
      </c>
      <c r="F4886" t="s">
        <v>4774</v>
      </c>
      <c r="G4886" t="s">
        <v>19</v>
      </c>
      <c r="I4886" s="4"/>
      <c r="J4886" s="9" t="s">
        <v>12120</v>
      </c>
      <c r="Q4886" s="10"/>
      <c r="U4886" s="9" t="str">
        <f t="shared" ca="1" si="200"/>
        <v/>
      </c>
      <c r="V4886" s="9" t="str">
        <f t="shared" ca="1" si="201"/>
        <v/>
      </c>
      <c r="AB4886" s="9" t="s">
        <v>12124</v>
      </c>
      <c r="AD4886" s="9" t="s">
        <v>19</v>
      </c>
    </row>
    <row r="4887" spans="1:33" ht="101.5">
      <c r="A4887" s="3" t="s">
        <v>4573</v>
      </c>
      <c r="D4887" s="3" t="s">
        <v>11612</v>
      </c>
      <c r="E4887" s="3" t="s">
        <v>11613</v>
      </c>
      <c r="F4887" t="s">
        <v>4774</v>
      </c>
      <c r="G4887" t="s">
        <v>19</v>
      </c>
      <c r="I4887" s="4"/>
      <c r="J4887" s="9" t="s">
        <v>12120</v>
      </c>
      <c r="Q4887" s="10"/>
      <c r="U4887" s="9" t="str">
        <f t="shared" ca="1" si="200"/>
        <v/>
      </c>
      <c r="V4887" s="9" t="str">
        <f t="shared" ca="1" si="201"/>
        <v/>
      </c>
    </row>
    <row r="4888" spans="1:33" ht="101.5">
      <c r="A4888" s="3" t="s">
        <v>4573</v>
      </c>
      <c r="D4888" s="3" t="s">
        <v>11614</v>
      </c>
      <c r="E4888" s="3" t="s">
        <v>11615</v>
      </c>
      <c r="F4888" t="s">
        <v>4774</v>
      </c>
      <c r="G4888" t="s">
        <v>19</v>
      </c>
      <c r="I4888" s="4"/>
      <c r="J4888" s="9" t="s">
        <v>12120</v>
      </c>
      <c r="Q4888" s="10"/>
      <c r="U4888" s="9" t="str">
        <f t="shared" ca="1" si="200"/>
        <v/>
      </c>
      <c r="V4888" s="9" t="str">
        <f t="shared" ca="1" si="201"/>
        <v/>
      </c>
    </row>
    <row r="4889" spans="1:33" ht="101.5">
      <c r="A4889" s="3" t="s">
        <v>4573</v>
      </c>
      <c r="D4889" s="3" t="s">
        <v>12605</v>
      </c>
      <c r="E4889" s="3" t="s">
        <v>12606</v>
      </c>
      <c r="F4889" t="s">
        <v>4774</v>
      </c>
      <c r="G4889" t="s">
        <v>19</v>
      </c>
      <c r="I4889" s="4"/>
      <c r="J4889" s="9" t="s">
        <v>12120</v>
      </c>
      <c r="Q4889" s="10"/>
      <c r="U4889" s="9" t="str">
        <f t="shared" ca="1" si="200"/>
        <v/>
      </c>
      <c r="V4889" s="9" t="str">
        <f t="shared" ca="1" si="201"/>
        <v/>
      </c>
    </row>
    <row r="4890" spans="1:33" ht="101.5">
      <c r="A4890" s="3" t="s">
        <v>4573</v>
      </c>
      <c r="D4890" s="3" t="s">
        <v>11605</v>
      </c>
      <c r="E4890" s="3" t="s">
        <v>11618</v>
      </c>
      <c r="F4890" t="s">
        <v>4774</v>
      </c>
      <c r="G4890" t="s">
        <v>19</v>
      </c>
      <c r="I4890" s="4"/>
      <c r="J4890" s="9" t="s">
        <v>24</v>
      </c>
      <c r="L4890" s="9">
        <v>1</v>
      </c>
      <c r="M4890" s="9">
        <v>2</v>
      </c>
      <c r="N4890" s="9" t="s">
        <v>12087</v>
      </c>
      <c r="O4890" s="9" t="s">
        <v>12119</v>
      </c>
      <c r="Q4890" s="10"/>
      <c r="S4890" s="9">
        <v>166</v>
      </c>
      <c r="U4890" s="9" t="str">
        <f t="shared" ca="1" si="200"/>
        <v/>
      </c>
      <c r="V4890" s="9" t="str">
        <f t="shared" ca="1" si="201"/>
        <v/>
      </c>
    </row>
    <row r="4891" spans="1:33" ht="101.5">
      <c r="A4891" s="3" t="s">
        <v>4574</v>
      </c>
      <c r="D4891" s="3" t="s">
        <v>11616</v>
      </c>
      <c r="E4891" s="3" t="s">
        <v>11617</v>
      </c>
      <c r="F4891" t="s">
        <v>4774</v>
      </c>
      <c r="G4891" t="s">
        <v>19</v>
      </c>
      <c r="I4891" s="4"/>
      <c r="J4891" s="9" t="s">
        <v>12118</v>
      </c>
      <c r="Q4891" s="10"/>
      <c r="T4891" s="9">
        <f>166-1966</f>
        <v>-1800</v>
      </c>
      <c r="U4891" s="9">
        <f t="shared" ca="1" si="200"/>
        <v>1966</v>
      </c>
      <c r="V4891" s="9">
        <f t="shared" ca="1" si="201"/>
        <v>166</v>
      </c>
    </row>
    <row r="4892" spans="1:33" ht="29">
      <c r="A4892" s="3" t="s">
        <v>4575</v>
      </c>
      <c r="D4892" s="3" t="s">
        <v>11619</v>
      </c>
      <c r="E4892" s="3" t="s">
        <v>12607</v>
      </c>
      <c r="J4892" s="9" t="s">
        <v>12120</v>
      </c>
      <c r="Q4892" s="10"/>
      <c r="U4892" s="9" t="str">
        <f t="shared" ca="1" si="200"/>
        <v/>
      </c>
      <c r="V4892" s="9" t="str">
        <f t="shared" ca="1" si="201"/>
        <v/>
      </c>
      <c r="AE4892" s="9" t="s">
        <v>12089</v>
      </c>
    </row>
    <row r="4893" spans="1:33">
      <c r="A4893" s="3" t="s">
        <v>4575</v>
      </c>
      <c r="D4893" s="3" t="s">
        <v>9890</v>
      </c>
      <c r="E4893" s="3" t="s">
        <v>9890</v>
      </c>
      <c r="G4893" t="s">
        <v>20</v>
      </c>
      <c r="I4893" t="s">
        <v>11620</v>
      </c>
      <c r="Q4893" s="10"/>
      <c r="U4893" s="9" t="str">
        <f t="shared" ca="1" si="200"/>
        <v/>
      </c>
      <c r="V4893" s="9" t="str">
        <f t="shared" ca="1" si="201"/>
        <v/>
      </c>
    </row>
    <row r="4894" spans="1:33">
      <c r="A4894" s="3" t="s">
        <v>4576</v>
      </c>
      <c r="D4894" s="3" t="s">
        <v>11622</v>
      </c>
      <c r="E4894" s="3" t="s">
        <v>11621</v>
      </c>
      <c r="J4894" s="9" t="s">
        <v>12120</v>
      </c>
      <c r="Q4894" s="10"/>
      <c r="U4894" s="9" t="str">
        <f t="shared" ca="1" si="200"/>
        <v/>
      </c>
      <c r="V4894" s="9" t="str">
        <f t="shared" ca="1" si="201"/>
        <v/>
      </c>
      <c r="AC4894" s="9" t="s">
        <v>12144</v>
      </c>
      <c r="AD4894" s="9" t="s">
        <v>19</v>
      </c>
    </row>
    <row r="4895" spans="1:33" ht="29">
      <c r="A4895" s="3" t="s">
        <v>4576</v>
      </c>
      <c r="D4895" s="3" t="s">
        <v>11623</v>
      </c>
      <c r="E4895" s="3" t="s">
        <v>11624</v>
      </c>
      <c r="J4895" s="9" t="s">
        <v>24</v>
      </c>
      <c r="L4895" s="9">
        <v>1</v>
      </c>
      <c r="M4895" s="9">
        <v>4</v>
      </c>
      <c r="N4895" s="9" t="s">
        <v>12096</v>
      </c>
      <c r="O4895" s="9" t="s">
        <v>12079</v>
      </c>
      <c r="Q4895" s="10"/>
      <c r="R4895" s="9" t="s">
        <v>12074</v>
      </c>
      <c r="S4895" s="9">
        <v>128</v>
      </c>
      <c r="U4895" s="9" t="str">
        <f t="shared" ca="1" si="200"/>
        <v/>
      </c>
      <c r="V4895" s="9" t="str">
        <f t="shared" ca="1" si="201"/>
        <v/>
      </c>
      <c r="AE4895" s="9" t="s">
        <v>12083</v>
      </c>
    </row>
    <row r="4896" spans="1:33" ht="29">
      <c r="A4896" s="3" t="s">
        <v>4576</v>
      </c>
      <c r="D4896" s="3" t="s">
        <v>11626</v>
      </c>
      <c r="E4896" s="3" t="s">
        <v>11625</v>
      </c>
      <c r="J4896" s="9" t="s">
        <v>12118</v>
      </c>
      <c r="Q4896" s="10"/>
      <c r="T4896" s="9">
        <f>47-21</f>
        <v>26</v>
      </c>
      <c r="U4896" s="9">
        <f t="shared" ca="1" si="200"/>
        <v>21</v>
      </c>
      <c r="V4896" s="9">
        <f t="shared" ca="1" si="201"/>
        <v>47</v>
      </c>
      <c r="AG4896" s="9" t="s">
        <v>20</v>
      </c>
    </row>
    <row r="4897" spans="1:33" ht="29">
      <c r="A4897" s="3" t="s">
        <v>4576</v>
      </c>
      <c r="D4897" s="3" t="s">
        <v>12608</v>
      </c>
      <c r="E4897" s="3" t="s">
        <v>11627</v>
      </c>
      <c r="G4897" t="s">
        <v>19</v>
      </c>
      <c r="I4897" t="s">
        <v>5457</v>
      </c>
      <c r="J4897" s="9" t="s">
        <v>26</v>
      </c>
      <c r="Q4897" s="10"/>
      <c r="U4897" s="9" t="str">
        <f t="shared" ca="1" si="200"/>
        <v/>
      </c>
      <c r="V4897" s="9" t="str">
        <f t="shared" ca="1" si="201"/>
        <v/>
      </c>
    </row>
    <row r="4898" spans="1:33">
      <c r="A4898" s="3" t="s">
        <v>4577</v>
      </c>
      <c r="D4898" s="3" t="s">
        <v>11628</v>
      </c>
      <c r="E4898" s="3" t="s">
        <v>11629</v>
      </c>
      <c r="G4898" t="s">
        <v>19</v>
      </c>
      <c r="J4898" s="9" t="s">
        <v>24</v>
      </c>
      <c r="L4898" s="9">
        <v>1</v>
      </c>
      <c r="M4898" s="9">
        <v>3</v>
      </c>
      <c r="N4898" s="9" t="s">
        <v>12087</v>
      </c>
      <c r="O4898" s="9" t="s">
        <v>12079</v>
      </c>
      <c r="Q4898" s="10"/>
      <c r="S4898" s="9">
        <v>5676</v>
      </c>
      <c r="U4898" s="9" t="str">
        <f t="shared" ca="1" si="200"/>
        <v/>
      </c>
      <c r="V4898" s="9" t="str">
        <f t="shared" ca="1" si="201"/>
        <v/>
      </c>
    </row>
    <row r="4899" spans="1:33">
      <c r="A4899" s="3" t="s">
        <v>4578</v>
      </c>
      <c r="D4899" s="3" t="s">
        <v>11630</v>
      </c>
      <c r="E4899" s="3" t="s">
        <v>11630</v>
      </c>
      <c r="G4899" t="s">
        <v>20</v>
      </c>
      <c r="I4899" t="s">
        <v>11631</v>
      </c>
      <c r="Q4899" s="10"/>
      <c r="U4899" s="9" t="str">
        <f t="shared" ca="1" si="200"/>
        <v/>
      </c>
      <c r="V4899" s="9" t="str">
        <f t="shared" ca="1" si="201"/>
        <v/>
      </c>
    </row>
    <row r="4900" spans="1:33" ht="29">
      <c r="A4900" s="3" t="s">
        <v>4579</v>
      </c>
      <c r="D4900" s="3" t="s">
        <v>11633</v>
      </c>
      <c r="E4900" s="3" t="s">
        <v>11634</v>
      </c>
      <c r="G4900" t="s">
        <v>19</v>
      </c>
      <c r="J4900" s="9" t="s">
        <v>12120</v>
      </c>
      <c r="Q4900" s="10"/>
      <c r="U4900" s="9" t="str">
        <f t="shared" ca="1" si="200"/>
        <v/>
      </c>
      <c r="V4900" s="9" t="str">
        <f t="shared" ca="1" si="201"/>
        <v/>
      </c>
      <c r="AB4900" s="9" t="s">
        <v>12082</v>
      </c>
      <c r="AD4900" s="9" t="s">
        <v>19</v>
      </c>
    </row>
    <row r="4901" spans="1:33" ht="29">
      <c r="A4901" s="3" t="s">
        <v>4579</v>
      </c>
      <c r="D4901" s="3" t="s">
        <v>11632</v>
      </c>
      <c r="E4901" s="3" t="s">
        <v>11635</v>
      </c>
      <c r="J4901" s="9" t="s">
        <v>24</v>
      </c>
      <c r="L4901" s="9">
        <v>1</v>
      </c>
      <c r="M4901" s="9">
        <v>2</v>
      </c>
      <c r="N4901" s="9" t="s">
        <v>12087</v>
      </c>
      <c r="O4901" s="9" t="s">
        <v>12119</v>
      </c>
      <c r="Q4901" s="10"/>
      <c r="S4901" s="9">
        <v>166</v>
      </c>
      <c r="U4901" s="9" t="str">
        <f t="shared" ca="1" si="200"/>
        <v/>
      </c>
      <c r="V4901" s="9" t="str">
        <f t="shared" ca="1" si="201"/>
        <v/>
      </c>
      <c r="AG4901" s="9" t="s">
        <v>19</v>
      </c>
    </row>
    <row r="4902" spans="1:33" ht="29">
      <c r="A4902" s="3" t="s">
        <v>4579</v>
      </c>
      <c r="D4902" s="3" t="s">
        <v>11637</v>
      </c>
      <c r="E4902" s="3" t="s">
        <v>11636</v>
      </c>
      <c r="J4902" s="9" t="s">
        <v>12120</v>
      </c>
      <c r="Q4902" s="10"/>
      <c r="U4902" s="9" t="str">
        <f t="shared" ca="1" si="200"/>
        <v/>
      </c>
      <c r="V4902" s="9" t="str">
        <f t="shared" ca="1" si="201"/>
        <v/>
      </c>
      <c r="AB4902" s="9" t="s">
        <v>12082</v>
      </c>
      <c r="AD4902" s="9" t="s">
        <v>19</v>
      </c>
    </row>
    <row r="4903" spans="1:33" ht="29">
      <c r="A4903" s="3" t="s">
        <v>4579</v>
      </c>
      <c r="D4903" s="3" t="s">
        <v>11639</v>
      </c>
      <c r="E4903" s="3" t="s">
        <v>11638</v>
      </c>
      <c r="I4903" t="s">
        <v>5457</v>
      </c>
      <c r="J4903" s="9" t="s">
        <v>26</v>
      </c>
      <c r="Q4903" s="10"/>
      <c r="U4903" s="9" t="str">
        <f t="shared" ca="1" si="200"/>
        <v/>
      </c>
      <c r="V4903" s="9" t="str">
        <f t="shared" ca="1" si="201"/>
        <v/>
      </c>
      <c r="AG4903" s="9" t="s">
        <v>19</v>
      </c>
    </row>
    <row r="4904" spans="1:33">
      <c r="A4904" s="3" t="s">
        <v>4580</v>
      </c>
      <c r="D4904" s="3" t="s">
        <v>3635</v>
      </c>
      <c r="E4904" s="3" t="s">
        <v>4581</v>
      </c>
      <c r="J4904" s="9" t="s">
        <v>12120</v>
      </c>
      <c r="Q4904" s="10"/>
      <c r="U4904" s="9" t="str">
        <f t="shared" ca="1" si="200"/>
        <v/>
      </c>
      <c r="V4904" s="9" t="str">
        <f t="shared" ca="1" si="201"/>
        <v/>
      </c>
      <c r="AG4904" s="9" t="s">
        <v>19</v>
      </c>
    </row>
    <row r="4905" spans="1:33" ht="29">
      <c r="A4905" s="3" t="s">
        <v>4582</v>
      </c>
      <c r="D4905" s="3" t="s">
        <v>11640</v>
      </c>
      <c r="E4905" s="3" t="s">
        <v>11641</v>
      </c>
      <c r="G4905" t="s">
        <v>19</v>
      </c>
      <c r="J4905" s="9" t="s">
        <v>24</v>
      </c>
      <c r="L4905" s="9">
        <v>1</v>
      </c>
      <c r="M4905" s="9">
        <v>2</v>
      </c>
      <c r="N4905" s="9" t="s">
        <v>12087</v>
      </c>
      <c r="O4905" s="9" t="s">
        <v>12119</v>
      </c>
      <c r="Q4905" s="10"/>
      <c r="S4905" s="9">
        <v>1966</v>
      </c>
      <c r="U4905" s="9" t="str">
        <f t="shared" ca="1" si="200"/>
        <v/>
      </c>
      <c r="V4905" s="9" t="str">
        <f t="shared" ca="1" si="201"/>
        <v/>
      </c>
    </row>
    <row r="4906" spans="1:33" ht="29">
      <c r="A4906" s="3" t="s">
        <v>4582</v>
      </c>
      <c r="D4906" s="3" t="s">
        <v>11640</v>
      </c>
      <c r="E4906" s="3" t="s">
        <v>12609</v>
      </c>
      <c r="G4906" t="s">
        <v>19</v>
      </c>
      <c r="I4906" s="4" t="s">
        <v>5457</v>
      </c>
      <c r="J4906" s="9" t="s">
        <v>26</v>
      </c>
      <c r="Q4906" s="10"/>
      <c r="U4906" s="9" t="str">
        <f t="shared" ca="1" si="200"/>
        <v/>
      </c>
      <c r="V4906" s="9" t="str">
        <f t="shared" ca="1" si="201"/>
        <v/>
      </c>
    </row>
    <row r="4907" spans="1:33">
      <c r="A4907" s="3" t="s">
        <v>4582</v>
      </c>
      <c r="D4907" s="3" t="s">
        <v>11642</v>
      </c>
      <c r="E4907" s="5" t="s">
        <v>11643</v>
      </c>
      <c r="F4907" t="s">
        <v>16</v>
      </c>
      <c r="Q4907" s="10"/>
      <c r="U4907" s="9" t="str">
        <f t="shared" ca="1" si="200"/>
        <v/>
      </c>
      <c r="V4907" s="9" t="str">
        <f t="shared" ca="1" si="201"/>
        <v/>
      </c>
    </row>
    <row r="4908" spans="1:33">
      <c r="A4908" s="3" t="s">
        <v>4582</v>
      </c>
      <c r="D4908" s="3" t="s">
        <v>11645</v>
      </c>
      <c r="E4908" s="3" t="s">
        <v>11644</v>
      </c>
      <c r="J4908" s="9" t="s">
        <v>12118</v>
      </c>
      <c r="Q4908" s="10"/>
      <c r="T4908" s="9" t="s">
        <v>12119</v>
      </c>
      <c r="U4908" s="9" t="str">
        <f t="shared" ca="1" si="200"/>
        <v/>
      </c>
      <c r="V4908" s="9" t="str">
        <f t="shared" ca="1" si="201"/>
        <v/>
      </c>
      <c r="AC4908" s="9" t="s">
        <v>12188</v>
      </c>
      <c r="AD4908" s="9" t="s">
        <v>19</v>
      </c>
      <c r="AE4908" s="9" t="s">
        <v>12086</v>
      </c>
    </row>
    <row r="4909" spans="1:33">
      <c r="A4909" s="3" t="s">
        <v>4582</v>
      </c>
      <c r="D4909" s="3" t="s">
        <v>4583</v>
      </c>
      <c r="E4909" s="3" t="s">
        <v>11646</v>
      </c>
      <c r="G4909" t="s">
        <v>19</v>
      </c>
      <c r="J4909" s="9" t="s">
        <v>12120</v>
      </c>
      <c r="Q4909" s="10"/>
      <c r="U4909" s="9" t="str">
        <f t="shared" ca="1" si="200"/>
        <v/>
      </c>
      <c r="V4909" s="9" t="str">
        <f t="shared" ca="1" si="201"/>
        <v/>
      </c>
      <c r="AE4909" s="9" t="s">
        <v>12086</v>
      </c>
    </row>
    <row r="4910" spans="1:33">
      <c r="A4910" s="3" t="s">
        <v>4582</v>
      </c>
      <c r="D4910" s="3" t="s">
        <v>11648</v>
      </c>
      <c r="E4910" s="3" t="s">
        <v>11647</v>
      </c>
      <c r="G4910" t="s">
        <v>19</v>
      </c>
      <c r="J4910" s="9" t="s">
        <v>24</v>
      </c>
      <c r="L4910" s="9">
        <v>1</v>
      </c>
      <c r="M4910" s="9">
        <v>3</v>
      </c>
      <c r="N4910" s="9" t="s">
        <v>12087</v>
      </c>
      <c r="O4910" s="9" t="s">
        <v>12079</v>
      </c>
      <c r="Q4910" s="10"/>
      <c r="S4910" s="9">
        <v>5676</v>
      </c>
      <c r="U4910" s="9" t="str">
        <f t="shared" ca="1" si="200"/>
        <v/>
      </c>
      <c r="V4910" s="9" t="str">
        <f t="shared" ca="1" si="201"/>
        <v/>
      </c>
    </row>
    <row r="4911" spans="1:33">
      <c r="A4911" s="3" t="s">
        <v>4582</v>
      </c>
      <c r="D4911" s="3" t="s">
        <v>4584</v>
      </c>
      <c r="E4911" s="3" t="s">
        <v>4585</v>
      </c>
      <c r="J4911" s="9" t="s">
        <v>12118</v>
      </c>
      <c r="Q4911" s="10"/>
      <c r="T4911" s="9" t="s">
        <v>12131</v>
      </c>
      <c r="U4911" s="9" t="str">
        <f t="shared" ca="1" si="200"/>
        <v/>
      </c>
      <c r="V4911" s="9" t="str">
        <f t="shared" ca="1" si="201"/>
        <v/>
      </c>
      <c r="AE4911" s="9" t="s">
        <v>12086</v>
      </c>
    </row>
    <row r="4912" spans="1:33" ht="29">
      <c r="A4912" s="3" t="s">
        <v>4586</v>
      </c>
      <c r="D4912" s="3" t="s">
        <v>12610</v>
      </c>
      <c r="E4912" s="3" t="s">
        <v>11649</v>
      </c>
      <c r="G4912" t="s">
        <v>19</v>
      </c>
      <c r="J4912" s="9" t="s">
        <v>12120</v>
      </c>
      <c r="Q4912" s="10"/>
      <c r="U4912" s="9" t="str">
        <f t="shared" ca="1" si="200"/>
        <v/>
      </c>
      <c r="V4912" s="9" t="str">
        <f t="shared" ca="1" si="201"/>
        <v/>
      </c>
      <c r="AB4912" s="9" t="s">
        <v>12082</v>
      </c>
      <c r="AD4912" s="9" t="s">
        <v>19</v>
      </c>
    </row>
    <row r="4913" spans="1:33" ht="29">
      <c r="A4913" s="3" t="s">
        <v>4586</v>
      </c>
      <c r="D4913" s="3" t="s">
        <v>11650</v>
      </c>
      <c r="E4913" s="3" t="s">
        <v>11651</v>
      </c>
      <c r="G4913" t="s">
        <v>19</v>
      </c>
      <c r="J4913" s="9" t="s">
        <v>12120</v>
      </c>
      <c r="Q4913" s="10"/>
      <c r="U4913" s="9" t="str">
        <f t="shared" ca="1" si="200"/>
        <v/>
      </c>
      <c r="V4913" s="9" t="str">
        <f t="shared" ca="1" si="201"/>
        <v/>
      </c>
    </row>
    <row r="4914" spans="1:33">
      <c r="A4914" s="3" t="s">
        <v>4587</v>
      </c>
      <c r="D4914" s="3" t="s">
        <v>11653</v>
      </c>
      <c r="E4914" s="3" t="s">
        <v>11652</v>
      </c>
      <c r="J4914" s="9" t="s">
        <v>24</v>
      </c>
      <c r="L4914" s="9">
        <v>1</v>
      </c>
      <c r="M4914" s="9">
        <v>1</v>
      </c>
      <c r="N4914" s="9" t="s">
        <v>12078</v>
      </c>
      <c r="O4914" s="9" t="s">
        <v>12119</v>
      </c>
      <c r="Q4914" s="10"/>
      <c r="S4914" s="9">
        <v>11843</v>
      </c>
      <c r="U4914" s="9" t="str">
        <f t="shared" ca="1" si="200"/>
        <v/>
      </c>
      <c r="V4914" s="9" t="str">
        <f t="shared" ca="1" si="201"/>
        <v/>
      </c>
      <c r="AG4914" s="9" t="s">
        <v>19</v>
      </c>
    </row>
    <row r="4915" spans="1:33">
      <c r="A4915" s="3" t="s">
        <v>4587</v>
      </c>
      <c r="D4915" s="3" t="s">
        <v>11654</v>
      </c>
      <c r="E4915" s="3" t="s">
        <v>11655</v>
      </c>
      <c r="J4915" s="9" t="s">
        <v>25</v>
      </c>
      <c r="L4915" s="9">
        <v>1</v>
      </c>
      <c r="M4915" s="9">
        <v>3</v>
      </c>
      <c r="N4915" s="9" t="s">
        <v>12078</v>
      </c>
      <c r="O4915" s="9" t="s">
        <v>12079</v>
      </c>
      <c r="Q4915" s="10"/>
      <c r="S4915" s="9">
        <v>11843</v>
      </c>
      <c r="U4915" s="9" t="str">
        <f t="shared" ca="1" si="200"/>
        <v/>
      </c>
      <c r="V4915" s="9" t="str">
        <f t="shared" ca="1" si="201"/>
        <v/>
      </c>
      <c r="AG4915" s="9" t="s">
        <v>19</v>
      </c>
    </row>
    <row r="4916" spans="1:33">
      <c r="A4916" s="3" t="s">
        <v>4587</v>
      </c>
      <c r="D4916" s="3" t="s">
        <v>11656</v>
      </c>
      <c r="E4916" s="3" t="s">
        <v>11657</v>
      </c>
      <c r="J4916" s="9" t="s">
        <v>12118</v>
      </c>
      <c r="Q4916" s="10"/>
      <c r="R4916" s="9" t="s">
        <v>12074</v>
      </c>
      <c r="T4916" s="9" t="s">
        <v>12131</v>
      </c>
      <c r="U4916" s="9" t="str">
        <f t="shared" ca="1" si="200"/>
        <v/>
      </c>
      <c r="V4916" s="9" t="str">
        <f t="shared" ca="1" si="201"/>
        <v/>
      </c>
      <c r="AE4916" s="9" t="s">
        <v>12086</v>
      </c>
    </row>
    <row r="4917" spans="1:33" ht="29">
      <c r="A4917" s="3" t="s">
        <v>4587</v>
      </c>
      <c r="D4917" s="3" t="s">
        <v>11659</v>
      </c>
      <c r="E4917" s="3" t="s">
        <v>11658</v>
      </c>
      <c r="F4917" t="s">
        <v>11</v>
      </c>
      <c r="Q4917" s="10"/>
      <c r="U4917" s="9" t="str">
        <f t="shared" ca="1" si="200"/>
        <v/>
      </c>
      <c r="V4917" s="9" t="str">
        <f t="shared" ca="1" si="201"/>
        <v/>
      </c>
    </row>
    <row r="4918" spans="1:33">
      <c r="A4918" s="3" t="s">
        <v>4588</v>
      </c>
      <c r="D4918" s="3" t="s">
        <v>11660</v>
      </c>
      <c r="E4918" s="3" t="s">
        <v>11661</v>
      </c>
      <c r="J4918" s="9" t="s">
        <v>12120</v>
      </c>
      <c r="Q4918" s="10"/>
      <c r="U4918" s="9" t="str">
        <f t="shared" ca="1" si="200"/>
        <v/>
      </c>
      <c r="V4918" s="9" t="str">
        <f t="shared" ca="1" si="201"/>
        <v/>
      </c>
      <c r="AB4918" s="9" t="s">
        <v>12738</v>
      </c>
      <c r="AD4918" s="9" t="s">
        <v>19</v>
      </c>
    </row>
    <row r="4919" spans="1:33">
      <c r="A4919" s="3" t="s">
        <v>4589</v>
      </c>
      <c r="D4919" s="3" t="s">
        <v>11662</v>
      </c>
      <c r="E4919" s="3" t="s">
        <v>11663</v>
      </c>
      <c r="J4919" s="9" t="s">
        <v>12120</v>
      </c>
      <c r="Q4919" s="10"/>
      <c r="U4919" s="9" t="str">
        <f t="shared" ca="1" si="200"/>
        <v/>
      </c>
      <c r="V4919" s="9" t="str">
        <f t="shared" ca="1" si="201"/>
        <v/>
      </c>
      <c r="AB4919" s="9" t="s">
        <v>12082</v>
      </c>
      <c r="AD4919" s="9" t="s">
        <v>19</v>
      </c>
    </row>
    <row r="4920" spans="1:33">
      <c r="A4920" s="3" t="s">
        <v>4590</v>
      </c>
      <c r="D4920" s="3" t="s">
        <v>4591</v>
      </c>
      <c r="E4920" s="3" t="s">
        <v>4592</v>
      </c>
      <c r="G4920" t="s">
        <v>21</v>
      </c>
      <c r="I4920" t="s">
        <v>11664</v>
      </c>
      <c r="J4920" s="9" t="s">
        <v>12121</v>
      </c>
      <c r="Q4920" s="10"/>
      <c r="T4920" s="9" t="s">
        <v>12131</v>
      </c>
      <c r="U4920" s="9" t="str">
        <f t="shared" ca="1" si="200"/>
        <v/>
      </c>
      <c r="V4920" s="9" t="str">
        <f t="shared" ca="1" si="201"/>
        <v/>
      </c>
      <c r="AE4920" s="9" t="s">
        <v>12086</v>
      </c>
    </row>
    <row r="4921" spans="1:33">
      <c r="A4921" s="3" t="s">
        <v>4590</v>
      </c>
      <c r="D4921" s="3" t="s">
        <v>4593</v>
      </c>
      <c r="E4921" s="3" t="s">
        <v>4594</v>
      </c>
      <c r="J4921" s="9" t="s">
        <v>12121</v>
      </c>
      <c r="Q4921" s="10"/>
      <c r="T4921" s="9">
        <f>0-0</f>
        <v>0</v>
      </c>
      <c r="U4921" s="9">
        <f t="shared" ca="1" si="200"/>
        <v>0</v>
      </c>
      <c r="V4921" s="9">
        <f t="shared" ca="1" si="201"/>
        <v>0</v>
      </c>
      <c r="AC4921" s="9" t="s">
        <v>12130</v>
      </c>
      <c r="AD4921" s="9" t="s">
        <v>19</v>
      </c>
    </row>
    <row r="4922" spans="1:33">
      <c r="A4922" s="3" t="s">
        <v>4590</v>
      </c>
      <c r="D4922" s="3" t="s">
        <v>4595</v>
      </c>
      <c r="E4922" s="3" t="s">
        <v>1418</v>
      </c>
      <c r="J4922" s="9" t="s">
        <v>12120</v>
      </c>
      <c r="Q4922" s="10"/>
      <c r="U4922" s="9" t="str">
        <f t="shared" ca="1" si="200"/>
        <v/>
      </c>
      <c r="V4922" s="9" t="str">
        <f t="shared" ca="1" si="201"/>
        <v/>
      </c>
      <c r="AC4922" s="9" t="s">
        <v>12742</v>
      </c>
      <c r="AD4922" s="9" t="s">
        <v>19</v>
      </c>
      <c r="AE4922" s="9" t="s">
        <v>12086</v>
      </c>
    </row>
    <row r="4923" spans="1:33">
      <c r="A4923" s="3" t="s">
        <v>4596</v>
      </c>
      <c r="D4923" s="3" t="s">
        <v>11666</v>
      </c>
      <c r="E4923" s="3" t="s">
        <v>11665</v>
      </c>
      <c r="J4923" s="9" t="s">
        <v>24</v>
      </c>
      <c r="L4923" s="9">
        <v>1</v>
      </c>
      <c r="M4923" s="9">
        <v>3</v>
      </c>
      <c r="N4923" s="9" t="s">
        <v>12087</v>
      </c>
      <c r="O4923" s="9" t="s">
        <v>12079</v>
      </c>
      <c r="Q4923" s="10"/>
      <c r="S4923" s="9">
        <v>810</v>
      </c>
      <c r="U4923" s="9" t="str">
        <f t="shared" ca="1" si="200"/>
        <v/>
      </c>
      <c r="V4923" s="9" t="str">
        <f t="shared" ca="1" si="201"/>
        <v/>
      </c>
      <c r="AG4923" s="9" t="s">
        <v>19</v>
      </c>
    </row>
    <row r="4924" spans="1:33">
      <c r="A4924" s="3" t="s">
        <v>4596</v>
      </c>
      <c r="D4924" s="3" t="s">
        <v>4597</v>
      </c>
      <c r="E4924" s="3" t="s">
        <v>4598</v>
      </c>
      <c r="J4924" s="9" t="s">
        <v>12118</v>
      </c>
      <c r="Q4924" s="10"/>
      <c r="T4924" s="9" t="s">
        <v>12131</v>
      </c>
      <c r="U4924" s="9" t="str">
        <f t="shared" ca="1" si="200"/>
        <v/>
      </c>
      <c r="V4924" s="9" t="str">
        <f t="shared" ca="1" si="201"/>
        <v/>
      </c>
      <c r="AB4924" s="9" t="s">
        <v>12124</v>
      </c>
      <c r="AD4924" s="9" t="s">
        <v>19</v>
      </c>
    </row>
    <row r="4925" spans="1:33">
      <c r="A4925" s="3" t="s">
        <v>4596</v>
      </c>
      <c r="D4925" s="3" t="s">
        <v>11668</v>
      </c>
      <c r="E4925" s="3" t="s">
        <v>11667</v>
      </c>
      <c r="G4925" t="s">
        <v>19</v>
      </c>
      <c r="J4925" s="9" t="s">
        <v>24</v>
      </c>
      <c r="L4925" s="9">
        <v>1</v>
      </c>
      <c r="M4925" s="9">
        <v>3</v>
      </c>
      <c r="N4925" s="9" t="s">
        <v>12078</v>
      </c>
      <c r="O4925" s="9" t="s">
        <v>12079</v>
      </c>
      <c r="Q4925" s="10"/>
      <c r="S4925" s="9">
        <v>11843</v>
      </c>
      <c r="U4925" s="9" t="str">
        <f t="shared" ca="1" si="200"/>
        <v/>
      </c>
      <c r="V4925" s="9" t="str">
        <f t="shared" ca="1" si="201"/>
        <v/>
      </c>
    </row>
    <row r="4926" spans="1:33" ht="29">
      <c r="A4926" s="3" t="s">
        <v>4596</v>
      </c>
      <c r="D4926" s="3" t="s">
        <v>11670</v>
      </c>
      <c r="E4926" s="3" t="s">
        <v>11669</v>
      </c>
      <c r="G4926" t="s">
        <v>21</v>
      </c>
      <c r="I4926" t="s">
        <v>12611</v>
      </c>
      <c r="J4926" s="9" t="s">
        <v>25</v>
      </c>
      <c r="L4926" s="9">
        <v>3</v>
      </c>
      <c r="M4926" s="9">
        <v>12</v>
      </c>
      <c r="O4926" s="9" t="s">
        <v>12079</v>
      </c>
      <c r="Q4926" s="10"/>
      <c r="S4926" s="9">
        <v>24</v>
      </c>
      <c r="U4926" s="9" t="str">
        <f t="shared" ca="1" si="200"/>
        <v/>
      </c>
      <c r="V4926" s="9" t="str">
        <f t="shared" ca="1" si="201"/>
        <v/>
      </c>
    </row>
    <row r="4927" spans="1:33">
      <c r="A4927" s="3" t="s">
        <v>4596</v>
      </c>
      <c r="D4927" s="3" t="s">
        <v>4599</v>
      </c>
      <c r="E4927" s="3" t="s">
        <v>11671</v>
      </c>
      <c r="G4927" t="s">
        <v>19</v>
      </c>
      <c r="J4927" s="9" t="s">
        <v>12118</v>
      </c>
      <c r="Q4927" s="10"/>
      <c r="T4927" s="9" t="s">
        <v>12131</v>
      </c>
      <c r="U4927" s="9" t="str">
        <f t="shared" ca="1" si="200"/>
        <v/>
      </c>
      <c r="V4927" s="9" t="str">
        <f t="shared" ca="1" si="201"/>
        <v/>
      </c>
      <c r="AC4927" s="9" t="s">
        <v>12180</v>
      </c>
      <c r="AD4927" s="9" t="s">
        <v>19</v>
      </c>
      <c r="AE4927" s="9" t="s">
        <v>12077</v>
      </c>
    </row>
    <row r="4928" spans="1:33">
      <c r="A4928" s="3" t="s">
        <v>4600</v>
      </c>
      <c r="D4928" s="3" t="s">
        <v>4601</v>
      </c>
      <c r="E4928" s="3" t="s">
        <v>4601</v>
      </c>
      <c r="G4928" t="s">
        <v>20</v>
      </c>
      <c r="I4928" t="s">
        <v>11672</v>
      </c>
      <c r="Q4928" s="10"/>
      <c r="U4928" s="9" t="str">
        <f t="shared" ca="1" si="200"/>
        <v/>
      </c>
      <c r="V4928" s="9" t="str">
        <f t="shared" ca="1" si="201"/>
        <v/>
      </c>
    </row>
    <row r="4929" spans="1:33">
      <c r="A4929" s="3" t="s">
        <v>4600</v>
      </c>
      <c r="D4929" s="3" t="s">
        <v>11673</v>
      </c>
      <c r="E4929" s="3" t="s">
        <v>11674</v>
      </c>
      <c r="J4929" s="9" t="s">
        <v>12120</v>
      </c>
      <c r="Q4929" s="10"/>
      <c r="U4929" s="9" t="str">
        <f t="shared" ca="1" si="200"/>
        <v/>
      </c>
      <c r="V4929" s="9" t="str">
        <f t="shared" ca="1" si="201"/>
        <v/>
      </c>
      <c r="AG4929" s="9" t="s">
        <v>19</v>
      </c>
    </row>
    <row r="4930" spans="1:33">
      <c r="A4930" s="3" t="s">
        <v>4600</v>
      </c>
      <c r="D4930" s="3" t="s">
        <v>11676</v>
      </c>
      <c r="E4930" s="3" t="s">
        <v>11675</v>
      </c>
      <c r="J4930" s="9" t="s">
        <v>24</v>
      </c>
      <c r="L4930" s="9">
        <v>1</v>
      </c>
      <c r="M4930" s="9">
        <v>3</v>
      </c>
      <c r="N4930" s="9" t="s">
        <v>12087</v>
      </c>
      <c r="O4930" s="9" t="s">
        <v>12073</v>
      </c>
      <c r="P4930" s="9" t="s">
        <v>12149</v>
      </c>
      <c r="Q4930" s="10" t="s">
        <v>12143</v>
      </c>
      <c r="S4930" s="9">
        <v>5676</v>
      </c>
      <c r="U4930" s="9" t="str">
        <f t="shared" ca="1" si="200"/>
        <v/>
      </c>
      <c r="V4930" s="9" t="str">
        <f t="shared" ca="1" si="201"/>
        <v/>
      </c>
      <c r="AG4930" s="9" t="s">
        <v>20</v>
      </c>
    </row>
    <row r="4931" spans="1:33">
      <c r="A4931" s="3" t="s">
        <v>4600</v>
      </c>
      <c r="D4931" s="3" t="s">
        <v>11677</v>
      </c>
      <c r="E4931" s="3" t="s">
        <v>11678</v>
      </c>
      <c r="G4931" t="s">
        <v>19</v>
      </c>
      <c r="J4931" s="9" t="s">
        <v>12120</v>
      </c>
      <c r="Q4931" s="10"/>
      <c r="U4931" s="9" t="str">
        <f t="shared" ca="1" si="200"/>
        <v/>
      </c>
      <c r="V4931" s="9" t="str">
        <f t="shared" ca="1" si="201"/>
        <v/>
      </c>
    </row>
    <row r="4932" spans="1:33">
      <c r="A4932" s="3" t="s">
        <v>4600</v>
      </c>
      <c r="D4932" s="3" t="s">
        <v>11680</v>
      </c>
      <c r="E4932" s="3" t="s">
        <v>11679</v>
      </c>
      <c r="J4932" s="9" t="s">
        <v>24</v>
      </c>
      <c r="L4932" s="9">
        <v>1</v>
      </c>
      <c r="M4932" s="9">
        <v>1</v>
      </c>
      <c r="N4932" s="9" t="s">
        <v>12078</v>
      </c>
      <c r="O4932" s="9" t="s">
        <v>12119</v>
      </c>
      <c r="Q4932" s="10"/>
      <c r="R4932" s="9" t="s">
        <v>12074</v>
      </c>
      <c r="S4932" s="9">
        <v>11843</v>
      </c>
      <c r="U4932" s="9" t="str">
        <f t="shared" ca="1" si="200"/>
        <v/>
      </c>
      <c r="V4932" s="9" t="str">
        <f t="shared" ca="1" si="201"/>
        <v/>
      </c>
      <c r="AG4932" s="9" t="s">
        <v>19</v>
      </c>
    </row>
    <row r="4933" spans="1:33" ht="29">
      <c r="A4933" s="3" t="s">
        <v>4602</v>
      </c>
      <c r="D4933" s="3" t="s">
        <v>11682</v>
      </c>
      <c r="E4933" s="3" t="s">
        <v>11681</v>
      </c>
      <c r="J4933" s="9" t="s">
        <v>24</v>
      </c>
      <c r="L4933" s="9">
        <v>1</v>
      </c>
      <c r="M4933" s="9">
        <v>3</v>
      </c>
      <c r="N4933" s="9" t="s">
        <v>12087</v>
      </c>
      <c r="O4933" s="9" t="s">
        <v>12073</v>
      </c>
      <c r="P4933" s="9" t="s">
        <v>12142</v>
      </c>
      <c r="Q4933" s="10" t="s">
        <v>12143</v>
      </c>
      <c r="R4933" s="9" t="s">
        <v>12074</v>
      </c>
      <c r="S4933" s="9">
        <v>5676</v>
      </c>
      <c r="U4933" s="9" t="str">
        <f t="shared" ca="1" si="200"/>
        <v/>
      </c>
      <c r="V4933" s="9" t="str">
        <f t="shared" ca="1" si="201"/>
        <v/>
      </c>
      <c r="AE4933" s="9" t="s">
        <v>12083</v>
      </c>
    </row>
    <row r="4934" spans="1:33">
      <c r="A4934" s="3" t="s">
        <v>4602</v>
      </c>
      <c r="D4934" s="3" t="s">
        <v>11683</v>
      </c>
      <c r="E4934" s="3" t="s">
        <v>11684</v>
      </c>
      <c r="J4934" s="9" t="s">
        <v>12118</v>
      </c>
      <c r="Q4934" s="10"/>
      <c r="T4934" s="9" t="s">
        <v>12119</v>
      </c>
      <c r="U4934" s="9" t="str">
        <f t="shared" ca="1" si="200"/>
        <v/>
      </c>
      <c r="V4934" s="9" t="str">
        <f t="shared" ca="1" si="201"/>
        <v/>
      </c>
      <c r="AE4934" s="9" t="s">
        <v>12077</v>
      </c>
    </row>
    <row r="4935" spans="1:33">
      <c r="A4935" s="3" t="s">
        <v>4602</v>
      </c>
      <c r="D4935" s="3" t="s">
        <v>11686</v>
      </c>
      <c r="E4935" s="3" t="s">
        <v>11685</v>
      </c>
      <c r="G4935" t="s">
        <v>19</v>
      </c>
      <c r="I4935" t="s">
        <v>12735</v>
      </c>
      <c r="J4935" s="9" t="s">
        <v>24</v>
      </c>
      <c r="L4935" s="9">
        <v>1</v>
      </c>
      <c r="M4935" s="9">
        <v>1</v>
      </c>
      <c r="N4935" s="9" t="s">
        <v>12078</v>
      </c>
      <c r="O4935" s="9" t="s">
        <v>12119</v>
      </c>
      <c r="Q4935" s="10"/>
      <c r="R4935" s="9" t="s">
        <v>12074</v>
      </c>
      <c r="S4935" s="9">
        <v>11843</v>
      </c>
      <c r="U4935" s="9" t="str">
        <f t="shared" ca="1" si="200"/>
        <v/>
      </c>
      <c r="V4935" s="9" t="str">
        <f t="shared" ca="1" si="201"/>
        <v/>
      </c>
    </row>
    <row r="4936" spans="1:33">
      <c r="A4936" s="3" t="s">
        <v>4603</v>
      </c>
      <c r="D4936" s="3" t="s">
        <v>11688</v>
      </c>
      <c r="E4936" s="3" t="s">
        <v>11687</v>
      </c>
      <c r="F4936" t="s">
        <v>11</v>
      </c>
      <c r="Q4936" s="10"/>
      <c r="U4936" s="9" t="str">
        <f t="shared" ca="1" si="200"/>
        <v/>
      </c>
      <c r="V4936" s="9" t="str">
        <f t="shared" ca="1" si="201"/>
        <v/>
      </c>
    </row>
    <row r="4937" spans="1:33">
      <c r="A4937" s="3" t="s">
        <v>4603</v>
      </c>
      <c r="D4937" s="3" t="s">
        <v>11690</v>
      </c>
      <c r="E4937" s="3" t="s">
        <v>11689</v>
      </c>
      <c r="F4937" t="s">
        <v>11</v>
      </c>
      <c r="G4937" t="s">
        <v>21</v>
      </c>
      <c r="I4937" t="s">
        <v>11691</v>
      </c>
      <c r="Q4937" s="10"/>
      <c r="U4937" s="9" t="str">
        <f t="shared" ca="1" si="200"/>
        <v/>
      </c>
      <c r="V4937" s="9" t="str">
        <f t="shared" ca="1" si="201"/>
        <v/>
      </c>
    </row>
    <row r="4938" spans="1:33">
      <c r="A4938" s="3" t="s">
        <v>4603</v>
      </c>
      <c r="D4938" s="3" t="s">
        <v>4604</v>
      </c>
      <c r="E4938" s="3" t="s">
        <v>11692</v>
      </c>
      <c r="G4938" t="s">
        <v>19</v>
      </c>
      <c r="J4938" s="9" t="s">
        <v>12120</v>
      </c>
      <c r="Q4938" s="10"/>
      <c r="U4938" s="9" t="str">
        <f t="shared" ca="1" si="200"/>
        <v/>
      </c>
      <c r="V4938" s="9" t="str">
        <f t="shared" ca="1" si="201"/>
        <v/>
      </c>
      <c r="AE4938" s="9" t="s">
        <v>12089</v>
      </c>
    </row>
    <row r="4939" spans="1:33" ht="29">
      <c r="A4939" s="3" t="s">
        <v>4603</v>
      </c>
      <c r="D4939" s="3" t="s">
        <v>11693</v>
      </c>
      <c r="E4939" s="3" t="s">
        <v>11694</v>
      </c>
      <c r="J4939" s="9" t="s">
        <v>24</v>
      </c>
      <c r="L4939" s="9">
        <v>1</v>
      </c>
      <c r="M4939" s="9">
        <v>3</v>
      </c>
      <c r="N4939" s="9" t="s">
        <v>12078</v>
      </c>
      <c r="O4939" s="9" t="s">
        <v>12079</v>
      </c>
      <c r="Q4939" s="10"/>
      <c r="S4939" s="9">
        <v>11843</v>
      </c>
      <c r="U4939" s="9" t="str">
        <f t="shared" ca="1" si="200"/>
        <v/>
      </c>
      <c r="V4939" s="9" t="str">
        <f t="shared" ca="1" si="201"/>
        <v/>
      </c>
      <c r="AG4939" s="9" t="s">
        <v>19</v>
      </c>
    </row>
    <row r="4940" spans="1:33">
      <c r="A4940" s="3" t="s">
        <v>4605</v>
      </c>
      <c r="D4940" s="3" t="s">
        <v>4606</v>
      </c>
      <c r="E4940" s="3" t="s">
        <v>4607</v>
      </c>
      <c r="J4940" s="9" t="s">
        <v>12120</v>
      </c>
      <c r="Q4940" s="10"/>
      <c r="U4940" s="9" t="str">
        <f t="shared" ca="1" si="200"/>
        <v/>
      </c>
      <c r="V4940" s="9" t="str">
        <f t="shared" ca="1" si="201"/>
        <v/>
      </c>
      <c r="AC4940" s="9" t="s">
        <v>12744</v>
      </c>
      <c r="AD4940" s="9" t="s">
        <v>19</v>
      </c>
    </row>
    <row r="4941" spans="1:33">
      <c r="A4941" s="3" t="s">
        <v>4608</v>
      </c>
      <c r="D4941" s="3" t="s">
        <v>11696</v>
      </c>
      <c r="E4941" s="3" t="s">
        <v>11695</v>
      </c>
      <c r="G4941" t="s">
        <v>19</v>
      </c>
      <c r="J4941" s="9" t="s">
        <v>12118</v>
      </c>
      <c r="Q4941" s="10"/>
      <c r="T4941" s="9">
        <f>1-3</f>
        <v>-2</v>
      </c>
      <c r="U4941" s="9">
        <f t="shared" ref="U4941:U5005" ca="1" si="204">IF(ISNUMBER(T4941),VALUE(MID(_xlfn.FORMULATEXT(T4941),SEARCH("-",_xlfn.FORMULATEXT(T4941))+1,LEN(_xlfn.FORMULATEXT(T4941))-SEARCH("-",_xlfn.FORMULATEXT(T4941)))), "")</f>
        <v>3</v>
      </c>
      <c r="V4941" s="9">
        <f t="shared" ref="V4941:V5005" ca="1" si="205">IF(ISNUMBER(T4941), VALUE(MID(_xlfn.FORMULATEXT(T4941), 2, SEARCH("-", _xlfn.FORMULATEXT(T4941)) - 2)), "")</f>
        <v>1</v>
      </c>
    </row>
    <row r="4942" spans="1:33">
      <c r="A4942" s="3" t="s">
        <v>4608</v>
      </c>
      <c r="D4942" s="3" t="s">
        <v>4609</v>
      </c>
      <c r="E4942" s="3" t="s">
        <v>4610</v>
      </c>
      <c r="J4942" s="9" t="s">
        <v>12120</v>
      </c>
      <c r="Q4942" s="10"/>
      <c r="U4942" s="9" t="str">
        <f t="shared" ca="1" si="204"/>
        <v/>
      </c>
      <c r="V4942" s="9" t="str">
        <f t="shared" ca="1" si="205"/>
        <v/>
      </c>
      <c r="AC4942" s="9" t="s">
        <v>12740</v>
      </c>
      <c r="AD4942" s="9" t="s">
        <v>19</v>
      </c>
    </row>
    <row r="4943" spans="1:33">
      <c r="A4943" s="3" t="s">
        <v>4611</v>
      </c>
      <c r="D4943" s="3" t="s">
        <v>11686</v>
      </c>
      <c r="E4943" s="3" t="s">
        <v>11685</v>
      </c>
      <c r="G4943" t="s">
        <v>19</v>
      </c>
      <c r="I4943" t="s">
        <v>13126</v>
      </c>
      <c r="J4943" s="9" t="s">
        <v>24</v>
      </c>
      <c r="L4943" s="9">
        <v>1</v>
      </c>
      <c r="M4943" s="9">
        <v>1</v>
      </c>
      <c r="N4943" s="9" t="s">
        <v>12078</v>
      </c>
      <c r="O4943" s="9" t="s">
        <v>12119</v>
      </c>
      <c r="Q4943" s="10"/>
      <c r="R4943" s="9" t="s">
        <v>12074</v>
      </c>
      <c r="S4943" s="9">
        <v>11843</v>
      </c>
      <c r="U4943" s="9" t="str">
        <f t="shared" ca="1" si="204"/>
        <v/>
      </c>
      <c r="V4943" s="9" t="str">
        <f t="shared" ca="1" si="205"/>
        <v/>
      </c>
    </row>
    <row r="4944" spans="1:33">
      <c r="A4944" s="3" t="s">
        <v>4612</v>
      </c>
      <c r="D4944" s="3" t="s">
        <v>11698</v>
      </c>
      <c r="E4944" s="3" t="s">
        <v>11697</v>
      </c>
      <c r="G4944" t="s">
        <v>19</v>
      </c>
      <c r="J4944" s="9" t="s">
        <v>25</v>
      </c>
      <c r="L4944" s="9">
        <v>1</v>
      </c>
      <c r="M4944" s="9">
        <v>1</v>
      </c>
      <c r="N4944" s="9" t="s">
        <v>12078</v>
      </c>
      <c r="O4944" s="9" t="s">
        <v>12119</v>
      </c>
      <c r="Q4944" s="10"/>
      <c r="S4944" s="9">
        <v>11843</v>
      </c>
      <c r="U4944" s="9" t="str">
        <f t="shared" ca="1" si="204"/>
        <v/>
      </c>
      <c r="V4944" s="9" t="str">
        <f t="shared" ca="1" si="205"/>
        <v/>
      </c>
    </row>
    <row r="4945" spans="1:33">
      <c r="A4945" s="3" t="s">
        <v>4612</v>
      </c>
      <c r="D4945" s="3" t="s">
        <v>4613</v>
      </c>
      <c r="E4945" s="3" t="s">
        <v>4614</v>
      </c>
      <c r="J4945" s="9" t="s">
        <v>12118</v>
      </c>
      <c r="Q4945" s="10"/>
      <c r="T4945" s="9" t="s">
        <v>12131</v>
      </c>
      <c r="U4945" s="9" t="str">
        <f t="shared" ca="1" si="204"/>
        <v/>
      </c>
      <c r="V4945" s="9" t="str">
        <f t="shared" ca="1" si="205"/>
        <v/>
      </c>
      <c r="AE4945" s="9" t="s">
        <v>12086</v>
      </c>
    </row>
    <row r="4946" spans="1:33">
      <c r="A4946" s="3" t="s">
        <v>4612</v>
      </c>
      <c r="D4946" s="3" t="s">
        <v>4615</v>
      </c>
      <c r="E4946" s="3" t="s">
        <v>4616</v>
      </c>
      <c r="G4946" t="s">
        <v>21</v>
      </c>
      <c r="I4946" t="s">
        <v>12612</v>
      </c>
      <c r="J4946" s="9" t="s">
        <v>12118</v>
      </c>
      <c r="Q4946" s="10"/>
      <c r="T4946" s="9" t="s">
        <v>12131</v>
      </c>
      <c r="U4946" s="9" t="str">
        <f t="shared" ca="1" si="204"/>
        <v/>
      </c>
      <c r="V4946" s="9" t="str">
        <f t="shared" ca="1" si="205"/>
        <v/>
      </c>
      <c r="AE4946" s="9" t="s">
        <v>12077</v>
      </c>
    </row>
    <row r="4947" spans="1:33" ht="29">
      <c r="A4947" s="3" t="s">
        <v>4617</v>
      </c>
      <c r="D4947" s="3" t="s">
        <v>11699</v>
      </c>
      <c r="E4947" s="3" t="s">
        <v>11700</v>
      </c>
      <c r="G4947" t="s">
        <v>20</v>
      </c>
      <c r="I4947" t="s">
        <v>11703</v>
      </c>
      <c r="Q4947" s="10"/>
      <c r="U4947" s="9" t="str">
        <f t="shared" ca="1" si="204"/>
        <v/>
      </c>
      <c r="V4947" s="9" t="str">
        <f t="shared" ca="1" si="205"/>
        <v/>
      </c>
    </row>
    <row r="4948" spans="1:33" ht="29">
      <c r="A4948" s="3" t="s">
        <v>4617</v>
      </c>
      <c r="D4948" s="3" t="s">
        <v>11701</v>
      </c>
      <c r="E4948" s="3" t="s">
        <v>11702</v>
      </c>
      <c r="J4948" s="9" t="s">
        <v>12118</v>
      </c>
      <c r="Q4948" s="10"/>
      <c r="T4948" s="9">
        <f>1741-1496</f>
        <v>245</v>
      </c>
      <c r="U4948" s="9">
        <f t="shared" ca="1" si="204"/>
        <v>1496</v>
      </c>
      <c r="V4948" s="9">
        <f t="shared" ca="1" si="205"/>
        <v>1741</v>
      </c>
      <c r="AG4948" s="9" t="s">
        <v>19</v>
      </c>
    </row>
    <row r="4949" spans="1:33">
      <c r="A4949" s="3" t="s">
        <v>4618</v>
      </c>
      <c r="D4949" s="3" t="s">
        <v>11705</v>
      </c>
      <c r="E4949" s="3" t="s">
        <v>11704</v>
      </c>
      <c r="G4949" t="s">
        <v>19</v>
      </c>
      <c r="I4949" t="s">
        <v>5457</v>
      </c>
      <c r="J4949" s="9" t="s">
        <v>26</v>
      </c>
      <c r="Q4949" s="10"/>
      <c r="U4949" s="9" t="str">
        <f t="shared" ca="1" si="204"/>
        <v/>
      </c>
      <c r="V4949" s="9" t="str">
        <f t="shared" ca="1" si="205"/>
        <v/>
      </c>
    </row>
    <row r="4950" spans="1:33">
      <c r="A4950" s="3" t="s">
        <v>4618</v>
      </c>
      <c r="D4950" s="3" t="s">
        <v>2512</v>
      </c>
      <c r="E4950" s="3" t="s">
        <v>293</v>
      </c>
      <c r="J4950" s="9" t="s">
        <v>12120</v>
      </c>
      <c r="Q4950" s="10"/>
      <c r="U4950" s="9" t="str">
        <f t="shared" ca="1" si="204"/>
        <v/>
      </c>
      <c r="V4950" s="9" t="str">
        <f t="shared" ca="1" si="205"/>
        <v/>
      </c>
      <c r="AB4950" s="9" t="s">
        <v>12082</v>
      </c>
      <c r="AD4950" s="9" t="s">
        <v>19</v>
      </c>
    </row>
    <row r="4951" spans="1:33" ht="29">
      <c r="A4951" s="3" t="s">
        <v>4618</v>
      </c>
      <c r="D4951" s="3" t="s">
        <v>12956</v>
      </c>
      <c r="E4951" s="3" t="s">
        <v>11706</v>
      </c>
      <c r="I4951" t="s">
        <v>12177</v>
      </c>
      <c r="J4951" s="9" t="s">
        <v>26</v>
      </c>
      <c r="Q4951" s="10"/>
      <c r="U4951" s="9" t="str">
        <f t="shared" ca="1" si="204"/>
        <v/>
      </c>
      <c r="V4951" s="9" t="str">
        <f t="shared" ca="1" si="205"/>
        <v/>
      </c>
      <c r="AG4951" s="9" t="s">
        <v>20</v>
      </c>
    </row>
    <row r="4952" spans="1:33">
      <c r="A4952" s="3" t="s">
        <v>4618</v>
      </c>
      <c r="D4952" s="3" t="s">
        <v>4619</v>
      </c>
      <c r="E4952" s="3" t="s">
        <v>4620</v>
      </c>
      <c r="J4952" s="9" t="s">
        <v>12120</v>
      </c>
      <c r="Q4952" s="10"/>
      <c r="U4952" s="9" t="str">
        <f t="shared" ca="1" si="204"/>
        <v/>
      </c>
      <c r="V4952" s="9" t="str">
        <f t="shared" ca="1" si="205"/>
        <v/>
      </c>
      <c r="AC4952" s="9" t="s">
        <v>12744</v>
      </c>
      <c r="AD4952" s="9" t="s">
        <v>19</v>
      </c>
    </row>
    <row r="4953" spans="1:33">
      <c r="A4953" s="3" t="s">
        <v>4621</v>
      </c>
      <c r="D4953" s="3" t="s">
        <v>11707</v>
      </c>
      <c r="E4953" s="3" t="s">
        <v>11708</v>
      </c>
      <c r="J4953" s="9" t="s">
        <v>12118</v>
      </c>
      <c r="Q4953" s="10"/>
      <c r="T4953" s="9">
        <f>93-8</f>
        <v>85</v>
      </c>
      <c r="U4953" s="9">
        <f t="shared" ca="1" si="204"/>
        <v>8</v>
      </c>
      <c r="V4953" s="9">
        <f t="shared" ca="1" si="205"/>
        <v>93</v>
      </c>
      <c r="AG4953" s="9" t="s">
        <v>20</v>
      </c>
    </row>
    <row r="4954" spans="1:33" ht="29">
      <c r="A4954" s="3" t="s">
        <v>4621</v>
      </c>
      <c r="D4954" s="3" t="s">
        <v>12613</v>
      </c>
      <c r="E4954" s="3" t="s">
        <v>12614</v>
      </c>
      <c r="G4954" t="s">
        <v>19</v>
      </c>
      <c r="J4954" s="9" t="s">
        <v>12120</v>
      </c>
      <c r="Q4954" s="10"/>
      <c r="U4954" s="9" t="str">
        <f t="shared" ca="1" si="204"/>
        <v/>
      </c>
      <c r="V4954" s="9" t="str">
        <f t="shared" ca="1" si="205"/>
        <v/>
      </c>
    </row>
    <row r="4955" spans="1:33" ht="29">
      <c r="A4955" s="3" t="s">
        <v>4621</v>
      </c>
      <c r="D4955" s="3" t="s">
        <v>12615</v>
      </c>
      <c r="E4955" s="3" t="s">
        <v>12616</v>
      </c>
      <c r="J4955" s="9" t="s">
        <v>12118</v>
      </c>
      <c r="Q4955" s="10"/>
      <c r="T4955" s="9">
        <f>1-49</f>
        <v>-48</v>
      </c>
      <c r="U4955" s="9">
        <f t="shared" ca="1" si="204"/>
        <v>49</v>
      </c>
      <c r="V4955" s="9">
        <f t="shared" ca="1" si="205"/>
        <v>1</v>
      </c>
      <c r="AG4955" s="9" t="s">
        <v>19</v>
      </c>
    </row>
    <row r="4956" spans="1:33" ht="29">
      <c r="A4956" s="3" t="s">
        <v>4621</v>
      </c>
      <c r="D4956" s="3" t="s">
        <v>11709</v>
      </c>
      <c r="E4956" s="3" t="s">
        <v>11710</v>
      </c>
      <c r="G4956" t="s">
        <v>20</v>
      </c>
      <c r="I4956" t="s">
        <v>11711</v>
      </c>
      <c r="Q4956" s="10"/>
      <c r="U4956" s="9" t="str">
        <f t="shared" ca="1" si="204"/>
        <v/>
      </c>
      <c r="V4956" s="9" t="str">
        <f t="shared" ca="1" si="205"/>
        <v/>
      </c>
    </row>
    <row r="4957" spans="1:33">
      <c r="A4957" s="3" t="s">
        <v>4622</v>
      </c>
      <c r="D4957" s="3" t="s">
        <v>11713</v>
      </c>
      <c r="E4957" s="3" t="s">
        <v>11712</v>
      </c>
      <c r="G4957" t="s">
        <v>19</v>
      </c>
      <c r="J4957" s="9" t="s">
        <v>12118</v>
      </c>
      <c r="Q4957" s="10"/>
      <c r="T4957" s="9" t="s">
        <v>12131</v>
      </c>
      <c r="U4957" s="9" t="str">
        <f t="shared" ca="1" si="204"/>
        <v/>
      </c>
      <c r="V4957" s="9" t="str">
        <f t="shared" ca="1" si="205"/>
        <v/>
      </c>
      <c r="AE4957" s="9" t="s">
        <v>12086</v>
      </c>
    </row>
    <row r="4958" spans="1:33">
      <c r="A4958" s="3" t="s">
        <v>4623</v>
      </c>
      <c r="D4958" s="3" t="s">
        <v>11715</v>
      </c>
      <c r="E4958" s="3" t="s">
        <v>11714</v>
      </c>
      <c r="J4958" s="9" t="s">
        <v>12120</v>
      </c>
      <c r="Q4958" s="10"/>
      <c r="U4958" s="9" t="str">
        <f t="shared" ca="1" si="204"/>
        <v/>
      </c>
      <c r="V4958" s="9" t="str">
        <f t="shared" ca="1" si="205"/>
        <v/>
      </c>
      <c r="AB4958" s="9" t="s">
        <v>12082</v>
      </c>
      <c r="AD4958" s="9" t="s">
        <v>19</v>
      </c>
    </row>
    <row r="4959" spans="1:33">
      <c r="A4959" s="3" t="s">
        <v>4624</v>
      </c>
      <c r="D4959" s="3" t="s">
        <v>11717</v>
      </c>
      <c r="E4959" s="3" t="s">
        <v>11716</v>
      </c>
      <c r="J4959" s="9" t="s">
        <v>25</v>
      </c>
      <c r="L4959" s="9">
        <v>1</v>
      </c>
      <c r="M4959" s="9">
        <v>2</v>
      </c>
      <c r="N4959" s="9" t="s">
        <v>12078</v>
      </c>
      <c r="O4959" s="9" t="s">
        <v>12119</v>
      </c>
      <c r="Q4959" s="10"/>
      <c r="S4959" s="9">
        <v>11843</v>
      </c>
      <c r="U4959" s="9" t="str">
        <f t="shared" ca="1" si="204"/>
        <v/>
      </c>
      <c r="V4959" s="9" t="str">
        <f t="shared" ca="1" si="205"/>
        <v/>
      </c>
      <c r="AG4959" s="9" t="s">
        <v>20</v>
      </c>
    </row>
    <row r="4960" spans="1:33" ht="43.5">
      <c r="A4960" s="3" t="s">
        <v>4624</v>
      </c>
      <c r="D4960" s="3" t="s">
        <v>11719</v>
      </c>
      <c r="E4960" s="3" t="s">
        <v>11720</v>
      </c>
      <c r="F4960" t="s">
        <v>11</v>
      </c>
      <c r="G4960" t="s">
        <v>19</v>
      </c>
      <c r="Q4960" s="10"/>
      <c r="U4960" s="9" t="str">
        <f t="shared" ca="1" si="204"/>
        <v/>
      </c>
      <c r="V4960" s="9" t="str">
        <f t="shared" ca="1" si="205"/>
        <v/>
      </c>
    </row>
    <row r="4961" spans="1:33" ht="43.5">
      <c r="A4961" s="3" t="s">
        <v>4624</v>
      </c>
      <c r="D4961" s="3" t="s">
        <v>11718</v>
      </c>
      <c r="E4961" s="3" t="s">
        <v>11721</v>
      </c>
      <c r="G4961" t="s">
        <v>20</v>
      </c>
      <c r="I4961" t="s">
        <v>11724</v>
      </c>
      <c r="J4961" s="9" t="s">
        <v>24</v>
      </c>
      <c r="L4961" s="9">
        <v>1</v>
      </c>
      <c r="M4961" s="9">
        <v>3</v>
      </c>
      <c r="N4961" s="9" t="s">
        <v>12087</v>
      </c>
      <c r="O4961" s="9" t="s">
        <v>12079</v>
      </c>
      <c r="Q4961" s="10"/>
      <c r="S4961" s="9">
        <v>5676</v>
      </c>
      <c r="U4961" s="9" t="str">
        <f t="shared" ca="1" si="204"/>
        <v/>
      </c>
      <c r="V4961" s="9" t="str">
        <f t="shared" ca="1" si="205"/>
        <v/>
      </c>
      <c r="AG4961" s="9" t="s">
        <v>19</v>
      </c>
    </row>
    <row r="4962" spans="1:33" ht="43.5">
      <c r="A4962" s="3" t="s">
        <v>4624</v>
      </c>
      <c r="D4962" s="3" t="s">
        <v>11723</v>
      </c>
      <c r="E4962" s="3" t="s">
        <v>11722</v>
      </c>
      <c r="G4962" t="s">
        <v>19</v>
      </c>
      <c r="J4962" s="9" t="s">
        <v>12118</v>
      </c>
      <c r="Q4962" s="10"/>
      <c r="T4962" s="9">
        <f>11-4</f>
        <v>7</v>
      </c>
      <c r="U4962" s="9">
        <f t="shared" ca="1" si="204"/>
        <v>4</v>
      </c>
      <c r="V4962" s="9">
        <f t="shared" ca="1" si="205"/>
        <v>11</v>
      </c>
    </row>
    <row r="4963" spans="1:33">
      <c r="A4963" s="3" t="s">
        <v>4624</v>
      </c>
      <c r="D4963" s="3" t="s">
        <v>11726</v>
      </c>
      <c r="E4963" s="3" t="s">
        <v>11725</v>
      </c>
      <c r="F4963" t="s">
        <v>11</v>
      </c>
      <c r="Q4963" s="10"/>
      <c r="U4963" s="9" t="str">
        <f t="shared" ca="1" si="204"/>
        <v/>
      </c>
      <c r="V4963" s="9" t="str">
        <f t="shared" ca="1" si="205"/>
        <v/>
      </c>
    </row>
    <row r="4964" spans="1:33">
      <c r="A4964" s="3" t="s">
        <v>4625</v>
      </c>
      <c r="D4964" s="3" t="s">
        <v>11728</v>
      </c>
      <c r="E4964" s="3" t="s">
        <v>11727</v>
      </c>
      <c r="G4964" t="s">
        <v>19</v>
      </c>
      <c r="J4964" s="9" t="s">
        <v>12120</v>
      </c>
      <c r="Q4964" s="10"/>
      <c r="U4964" s="9" t="str">
        <f t="shared" ca="1" si="204"/>
        <v/>
      </c>
      <c r="V4964" s="9" t="str">
        <f t="shared" ca="1" si="205"/>
        <v/>
      </c>
    </row>
    <row r="4965" spans="1:33">
      <c r="A4965" s="3" t="s">
        <v>4625</v>
      </c>
      <c r="D4965" s="3" t="s">
        <v>11729</v>
      </c>
      <c r="E4965" s="3" t="s">
        <v>11730</v>
      </c>
      <c r="F4965" t="s">
        <v>11</v>
      </c>
      <c r="G4965" t="s">
        <v>19</v>
      </c>
      <c r="Q4965" s="10"/>
      <c r="U4965" s="9" t="str">
        <f t="shared" ca="1" si="204"/>
        <v/>
      </c>
      <c r="V4965" s="9" t="str">
        <f t="shared" ca="1" si="205"/>
        <v/>
      </c>
    </row>
    <row r="4966" spans="1:33">
      <c r="A4966" s="3" t="s">
        <v>4625</v>
      </c>
      <c r="D4966" s="3" t="s">
        <v>11731</v>
      </c>
      <c r="E4966" s="3" t="s">
        <v>11732</v>
      </c>
      <c r="F4966" t="s">
        <v>11</v>
      </c>
      <c r="G4966" t="s">
        <v>20</v>
      </c>
      <c r="I4966" t="s">
        <v>11733</v>
      </c>
      <c r="J4966" s="9" t="s">
        <v>12118</v>
      </c>
      <c r="Q4966" s="10"/>
      <c r="T4966" s="9">
        <f>47-2</f>
        <v>45</v>
      </c>
      <c r="U4966" s="9">
        <f t="shared" ca="1" si="204"/>
        <v>2</v>
      </c>
      <c r="V4966" s="9">
        <f t="shared" ca="1" si="205"/>
        <v>47</v>
      </c>
    </row>
    <row r="4967" spans="1:33">
      <c r="A4967" s="3" t="s">
        <v>4626</v>
      </c>
      <c r="D4967" s="3" t="s">
        <v>11735</v>
      </c>
      <c r="E4967" s="3" t="s">
        <v>11734</v>
      </c>
      <c r="G4967" t="s">
        <v>21</v>
      </c>
      <c r="I4967" t="s">
        <v>11736</v>
      </c>
      <c r="J4967" s="9" t="s">
        <v>12120</v>
      </c>
      <c r="Q4967" s="10"/>
      <c r="U4967" s="9" t="str">
        <f t="shared" ca="1" si="204"/>
        <v/>
      </c>
      <c r="V4967" s="9" t="str">
        <f t="shared" ca="1" si="205"/>
        <v/>
      </c>
      <c r="AE4967" s="9" t="s">
        <v>12077</v>
      </c>
    </row>
    <row r="4968" spans="1:33">
      <c r="A4968" s="3" t="s">
        <v>4626</v>
      </c>
      <c r="D4968" s="3" t="s">
        <v>11738</v>
      </c>
      <c r="E4968" s="3" t="s">
        <v>11737</v>
      </c>
      <c r="J4968" s="9" t="s">
        <v>24</v>
      </c>
      <c r="L4968" s="9">
        <v>1</v>
      </c>
      <c r="M4968" s="9">
        <v>5</v>
      </c>
      <c r="N4968" s="9" t="s">
        <v>12125</v>
      </c>
      <c r="O4968" s="9" t="s">
        <v>12073</v>
      </c>
      <c r="P4968" s="9" t="s">
        <v>12142</v>
      </c>
      <c r="Q4968" s="10" t="s">
        <v>12170</v>
      </c>
      <c r="R4968" s="9" t="s">
        <v>12074</v>
      </c>
      <c r="S4968" s="9">
        <v>2042</v>
      </c>
      <c r="U4968" s="9" t="str">
        <f t="shared" ca="1" si="204"/>
        <v/>
      </c>
      <c r="V4968" s="9" t="str">
        <f t="shared" ca="1" si="205"/>
        <v/>
      </c>
      <c r="AE4968" s="9" t="s">
        <v>12083</v>
      </c>
    </row>
    <row r="4969" spans="1:33">
      <c r="A4969" s="3" t="s">
        <v>4627</v>
      </c>
      <c r="D4969" s="3" t="s">
        <v>4628</v>
      </c>
      <c r="E4969" s="3" t="s">
        <v>4629</v>
      </c>
      <c r="G4969" t="s">
        <v>20</v>
      </c>
      <c r="I4969" t="s">
        <v>11739</v>
      </c>
      <c r="J4969" s="9" t="s">
        <v>12118</v>
      </c>
      <c r="Q4969" s="10"/>
      <c r="T4969" s="9" t="s">
        <v>12119</v>
      </c>
      <c r="U4969" s="9" t="str">
        <f t="shared" ca="1" si="204"/>
        <v/>
      </c>
      <c r="V4969" s="9" t="str">
        <f t="shared" ca="1" si="205"/>
        <v/>
      </c>
      <c r="AB4969" s="9" t="s">
        <v>12124</v>
      </c>
      <c r="AD4969" s="9" t="s">
        <v>19</v>
      </c>
    </row>
    <row r="4970" spans="1:33">
      <c r="A4970" s="3" t="s">
        <v>4627</v>
      </c>
      <c r="D4970" s="3" t="s">
        <v>4630</v>
      </c>
      <c r="E4970" s="3" t="s">
        <v>4631</v>
      </c>
      <c r="J4970" s="9" t="s">
        <v>12118</v>
      </c>
      <c r="Q4970" s="10"/>
      <c r="T4970" s="9" t="s">
        <v>12119</v>
      </c>
      <c r="U4970" s="9" t="str">
        <f t="shared" ca="1" si="204"/>
        <v/>
      </c>
      <c r="V4970" s="9" t="str">
        <f t="shared" ca="1" si="205"/>
        <v/>
      </c>
      <c r="AB4970" s="9" t="s">
        <v>12124</v>
      </c>
      <c r="AD4970" s="9" t="s">
        <v>19</v>
      </c>
    </row>
    <row r="4971" spans="1:33">
      <c r="A4971" s="3" t="s">
        <v>4627</v>
      </c>
      <c r="D4971" s="3" t="s">
        <v>4632</v>
      </c>
      <c r="E4971" s="3" t="s">
        <v>11740</v>
      </c>
      <c r="F4971" t="s">
        <v>11</v>
      </c>
      <c r="G4971" t="s">
        <v>19</v>
      </c>
      <c r="J4971" s="9" t="s">
        <v>12118</v>
      </c>
      <c r="Q4971" s="10"/>
      <c r="T4971" s="9" t="s">
        <v>12119</v>
      </c>
      <c r="U4971" s="9" t="str">
        <f t="shared" ca="1" si="204"/>
        <v/>
      </c>
      <c r="V4971" s="9" t="str">
        <f t="shared" ca="1" si="205"/>
        <v/>
      </c>
      <c r="AB4971" s="9" t="s">
        <v>12124</v>
      </c>
      <c r="AD4971" s="9" t="s">
        <v>19</v>
      </c>
    </row>
    <row r="4972" spans="1:33" ht="29">
      <c r="A4972" s="3" t="s">
        <v>4633</v>
      </c>
      <c r="D4972" s="3" t="s">
        <v>11741</v>
      </c>
      <c r="E4972" s="3" t="s">
        <v>11742</v>
      </c>
      <c r="G4972" t="s">
        <v>19</v>
      </c>
      <c r="J4972" s="9" t="s">
        <v>12120</v>
      </c>
      <c r="Q4972" s="10"/>
      <c r="U4972" s="9" t="str">
        <f t="shared" ca="1" si="204"/>
        <v/>
      </c>
      <c r="V4972" s="9" t="str">
        <f t="shared" ca="1" si="205"/>
        <v/>
      </c>
    </row>
    <row r="4973" spans="1:33" ht="29">
      <c r="A4973" s="3" t="s">
        <v>4633</v>
      </c>
      <c r="D4973" s="3" t="s">
        <v>11744</v>
      </c>
      <c r="E4973" s="3" t="s">
        <v>11743</v>
      </c>
      <c r="G4973" t="s">
        <v>19</v>
      </c>
      <c r="J4973" s="9" t="s">
        <v>12118</v>
      </c>
      <c r="Q4973" s="10"/>
      <c r="T4973" s="9" t="s">
        <v>12119</v>
      </c>
      <c r="U4973" s="9" t="str">
        <f t="shared" ca="1" si="204"/>
        <v/>
      </c>
      <c r="V4973" s="9" t="str">
        <f t="shared" ca="1" si="205"/>
        <v/>
      </c>
      <c r="AB4973" s="9" t="s">
        <v>12124</v>
      </c>
      <c r="AC4973" s="9" t="s">
        <v>12166</v>
      </c>
      <c r="AD4973" s="9" t="s">
        <v>19</v>
      </c>
    </row>
    <row r="4974" spans="1:33">
      <c r="A4974" s="3" t="s">
        <v>4634</v>
      </c>
      <c r="D4974" s="3" t="s">
        <v>11746</v>
      </c>
      <c r="E4974" s="3" t="s">
        <v>11745</v>
      </c>
      <c r="J4974" s="9" t="s">
        <v>12118</v>
      </c>
      <c r="Q4974" s="10"/>
      <c r="T4974" s="9">
        <f>1966-166</f>
        <v>1800</v>
      </c>
      <c r="U4974" s="9">
        <f t="shared" ca="1" si="204"/>
        <v>166</v>
      </c>
      <c r="V4974" s="9">
        <f t="shared" ca="1" si="205"/>
        <v>1966</v>
      </c>
      <c r="AG4974" s="9" t="s">
        <v>19</v>
      </c>
    </row>
    <row r="4975" spans="1:33">
      <c r="A4975" s="3" t="s">
        <v>4634</v>
      </c>
      <c r="D4975" s="6" t="s">
        <v>11748</v>
      </c>
      <c r="E4975" s="3" t="s">
        <v>11747</v>
      </c>
      <c r="F4975" t="s">
        <v>11</v>
      </c>
      <c r="G4975" t="s">
        <v>19</v>
      </c>
      <c r="J4975" s="9" t="s">
        <v>12120</v>
      </c>
      <c r="Q4975" s="10"/>
      <c r="U4975" s="9" t="str">
        <f t="shared" ca="1" si="204"/>
        <v/>
      </c>
      <c r="V4975" s="9" t="str">
        <f t="shared" ca="1" si="205"/>
        <v/>
      </c>
      <c r="AE4975" s="9" t="s">
        <v>12086</v>
      </c>
      <c r="AF4975" s="9" t="s">
        <v>19</v>
      </c>
    </row>
    <row r="4976" spans="1:33">
      <c r="A4976" s="3" t="s">
        <v>4634</v>
      </c>
      <c r="D4976" s="3" t="s">
        <v>11750</v>
      </c>
      <c r="E4976" s="3" t="s">
        <v>11749</v>
      </c>
      <c r="J4976" s="9" t="s">
        <v>24</v>
      </c>
      <c r="L4976" s="9">
        <v>1</v>
      </c>
      <c r="M4976" s="9">
        <v>2</v>
      </c>
      <c r="N4976" s="9" t="s">
        <v>12087</v>
      </c>
      <c r="O4976" s="9" t="s">
        <v>12119</v>
      </c>
      <c r="Q4976" s="10"/>
      <c r="S4976" s="9">
        <v>166</v>
      </c>
      <c r="U4976" s="9" t="str">
        <f t="shared" ca="1" si="204"/>
        <v/>
      </c>
      <c r="V4976" s="9" t="str">
        <f t="shared" ca="1" si="205"/>
        <v/>
      </c>
      <c r="AG4976" s="9" t="s">
        <v>19</v>
      </c>
    </row>
    <row r="4977" spans="1:33">
      <c r="A4977" s="3" t="s">
        <v>4635</v>
      </c>
      <c r="D4977" s="3" t="s">
        <v>4636</v>
      </c>
      <c r="E4977" s="3" t="s">
        <v>4637</v>
      </c>
      <c r="J4977" s="9" t="s">
        <v>12121</v>
      </c>
      <c r="Q4977" s="10"/>
      <c r="T4977" s="9">
        <f>53-7</f>
        <v>46</v>
      </c>
      <c r="U4977" s="9">
        <f t="shared" ca="1" si="204"/>
        <v>7</v>
      </c>
      <c r="V4977" s="9">
        <f t="shared" ca="1" si="205"/>
        <v>53</v>
      </c>
      <c r="AG4977" s="9" t="s">
        <v>19</v>
      </c>
    </row>
    <row r="4978" spans="1:33">
      <c r="A4978" s="3" t="s">
        <v>4635</v>
      </c>
      <c r="D4978" s="3" t="s">
        <v>11751</v>
      </c>
      <c r="E4978" s="5" t="s">
        <v>11752</v>
      </c>
      <c r="F4978" t="s">
        <v>16</v>
      </c>
      <c r="Q4978" s="10"/>
      <c r="U4978" s="9" t="str">
        <f t="shared" ca="1" si="204"/>
        <v/>
      </c>
      <c r="V4978" s="9" t="str">
        <f t="shared" ca="1" si="205"/>
        <v/>
      </c>
    </row>
    <row r="4979" spans="1:33">
      <c r="A4979" s="3" t="s">
        <v>4635</v>
      </c>
      <c r="D4979" s="3" t="s">
        <v>11753</v>
      </c>
      <c r="E4979" s="3" t="s">
        <v>11754</v>
      </c>
      <c r="J4979" s="9" t="s">
        <v>12118</v>
      </c>
      <c r="Q4979" s="10"/>
      <c r="T4979" s="9">
        <f>352-4</f>
        <v>348</v>
      </c>
      <c r="U4979" s="9">
        <f t="shared" ca="1" si="204"/>
        <v>4</v>
      </c>
      <c r="V4979" s="9">
        <f t="shared" ca="1" si="205"/>
        <v>352</v>
      </c>
      <c r="AG4979" s="9" t="s">
        <v>20</v>
      </c>
    </row>
    <row r="4980" spans="1:33">
      <c r="A4980" s="3" t="s">
        <v>4635</v>
      </c>
      <c r="D4980" s="3" t="s">
        <v>12617</v>
      </c>
      <c r="E4980" s="3" t="s">
        <v>12618</v>
      </c>
      <c r="J4980" s="9" t="s">
        <v>12118</v>
      </c>
      <c r="Q4980" s="10"/>
      <c r="T4980" s="9">
        <f>3-4</f>
        <v>-1</v>
      </c>
      <c r="U4980" s="9">
        <f t="shared" ca="1" si="204"/>
        <v>4</v>
      </c>
      <c r="V4980" s="9">
        <f t="shared" ca="1" si="205"/>
        <v>3</v>
      </c>
      <c r="AG4980" s="9" t="s">
        <v>19</v>
      </c>
    </row>
    <row r="4981" spans="1:33">
      <c r="A4981" s="3" t="s">
        <v>4635</v>
      </c>
      <c r="D4981" s="3" t="s">
        <v>11756</v>
      </c>
      <c r="E4981" s="3" t="s">
        <v>11755</v>
      </c>
      <c r="G4981" t="s">
        <v>19</v>
      </c>
      <c r="J4981" s="9" t="s">
        <v>25</v>
      </c>
      <c r="L4981" s="9">
        <v>1</v>
      </c>
      <c r="M4981" s="9">
        <v>2</v>
      </c>
      <c r="N4981" s="9" t="s">
        <v>12094</v>
      </c>
      <c r="O4981" s="9" t="s">
        <v>12119</v>
      </c>
      <c r="Q4981" s="10"/>
      <c r="S4981" s="9">
        <v>780</v>
      </c>
      <c r="U4981" s="9" t="str">
        <f t="shared" ca="1" si="204"/>
        <v/>
      </c>
      <c r="V4981" s="9" t="str">
        <f t="shared" ca="1" si="205"/>
        <v/>
      </c>
    </row>
    <row r="4982" spans="1:33">
      <c r="A4982" s="3" t="s">
        <v>4638</v>
      </c>
      <c r="D4982" s="3" t="s">
        <v>11757</v>
      </c>
      <c r="E4982" s="3" t="s">
        <v>11758</v>
      </c>
      <c r="F4982" t="s">
        <v>11</v>
      </c>
      <c r="G4982" t="s">
        <v>19</v>
      </c>
      <c r="Q4982" s="10"/>
      <c r="U4982" s="9" t="str">
        <f t="shared" ca="1" si="204"/>
        <v/>
      </c>
      <c r="V4982" s="9" t="str">
        <f t="shared" ca="1" si="205"/>
        <v/>
      </c>
    </row>
    <row r="4983" spans="1:33">
      <c r="A4983" s="3" t="s">
        <v>4639</v>
      </c>
      <c r="D4983" s="3" t="s">
        <v>11759</v>
      </c>
      <c r="E4983" s="3" t="s">
        <v>11759</v>
      </c>
      <c r="G4983" t="s">
        <v>20</v>
      </c>
      <c r="I4983" t="s">
        <v>11760</v>
      </c>
      <c r="Q4983" s="10"/>
      <c r="U4983" s="9" t="str">
        <f t="shared" ca="1" si="204"/>
        <v/>
      </c>
      <c r="V4983" s="9" t="str">
        <f t="shared" ca="1" si="205"/>
        <v/>
      </c>
    </row>
    <row r="4984" spans="1:33" ht="29">
      <c r="A4984" s="3" t="s">
        <v>4640</v>
      </c>
      <c r="D4984" s="3" t="s">
        <v>11761</v>
      </c>
      <c r="E4984" s="3" t="s">
        <v>11762</v>
      </c>
      <c r="J4984" s="9" t="s">
        <v>12118</v>
      </c>
      <c r="Q4984" s="10"/>
      <c r="T4984" s="9">
        <f>560-1101</f>
        <v>-541</v>
      </c>
      <c r="U4984" s="9">
        <f t="shared" ca="1" si="204"/>
        <v>1101</v>
      </c>
      <c r="V4984" s="9">
        <f t="shared" ca="1" si="205"/>
        <v>560</v>
      </c>
      <c r="AG4984" s="9" t="s">
        <v>19</v>
      </c>
    </row>
    <row r="4985" spans="1:33">
      <c r="A4985" s="3" t="s">
        <v>4640</v>
      </c>
      <c r="D4985" s="3" t="s">
        <v>11763</v>
      </c>
      <c r="E4985" s="3" t="s">
        <v>11764</v>
      </c>
      <c r="J4985" s="9" t="s">
        <v>12120</v>
      </c>
      <c r="Q4985" s="10"/>
      <c r="U4985" s="9" t="str">
        <f t="shared" ca="1" si="204"/>
        <v/>
      </c>
      <c r="V4985" s="9" t="str">
        <f t="shared" ca="1" si="205"/>
        <v/>
      </c>
      <c r="AB4985" s="9" t="s">
        <v>12738</v>
      </c>
      <c r="AD4985" s="9" t="s">
        <v>19</v>
      </c>
    </row>
    <row r="4986" spans="1:33">
      <c r="A4986" s="3" t="s">
        <v>4641</v>
      </c>
      <c r="D4986" s="3" t="s">
        <v>11765</v>
      </c>
      <c r="E4986" s="3" t="s">
        <v>11766</v>
      </c>
      <c r="H4986" t="s">
        <v>19</v>
      </c>
      <c r="J4986" s="9" t="s">
        <v>25</v>
      </c>
      <c r="L4986" s="9">
        <v>1</v>
      </c>
      <c r="M4986" s="9">
        <v>3</v>
      </c>
      <c r="N4986" s="9" t="s">
        <v>12078</v>
      </c>
      <c r="O4986" s="9" t="s">
        <v>12079</v>
      </c>
      <c r="Q4986" s="10"/>
      <c r="S4986" s="9">
        <v>11843</v>
      </c>
      <c r="U4986" s="9" t="str">
        <f t="shared" ca="1" si="204"/>
        <v/>
      </c>
      <c r="V4986" s="9" t="str">
        <f t="shared" ca="1" si="205"/>
        <v/>
      </c>
      <c r="AG4986" s="9" t="s">
        <v>20</v>
      </c>
    </row>
    <row r="4987" spans="1:33">
      <c r="A4987" s="3" t="s">
        <v>4642</v>
      </c>
      <c r="D4987" s="3" t="s">
        <v>11767</v>
      </c>
      <c r="E4987" s="3" t="s">
        <v>11768</v>
      </c>
      <c r="J4987" s="9" t="s">
        <v>12118</v>
      </c>
      <c r="Q4987" s="10"/>
      <c r="T4987" s="9">
        <f>0-1</f>
        <v>-1</v>
      </c>
      <c r="U4987" s="9">
        <f t="shared" ca="1" si="204"/>
        <v>1</v>
      </c>
      <c r="V4987" s="9">
        <f t="shared" ca="1" si="205"/>
        <v>0</v>
      </c>
      <c r="AG4987" s="9" t="s">
        <v>19</v>
      </c>
    </row>
    <row r="4988" spans="1:33">
      <c r="A4988" s="3" t="s">
        <v>4642</v>
      </c>
      <c r="D4988" s="3" t="s">
        <v>4643</v>
      </c>
      <c r="E4988" s="3" t="s">
        <v>11769</v>
      </c>
      <c r="F4988" t="s">
        <v>11</v>
      </c>
      <c r="G4988" t="s">
        <v>19</v>
      </c>
      <c r="J4988" s="9" t="s">
        <v>12118</v>
      </c>
      <c r="Q4988" s="10"/>
      <c r="T4988" s="9">
        <f>1-37</f>
        <v>-36</v>
      </c>
      <c r="U4988" s="9">
        <f t="shared" ca="1" si="204"/>
        <v>37</v>
      </c>
      <c r="V4988" s="9">
        <f t="shared" ca="1" si="205"/>
        <v>1</v>
      </c>
    </row>
    <row r="4989" spans="1:33" ht="29">
      <c r="A4989" s="3" t="s">
        <v>4642</v>
      </c>
      <c r="D4989" s="3" t="s">
        <v>11770</v>
      </c>
      <c r="E4989" s="3" t="s">
        <v>11771</v>
      </c>
      <c r="J4989" s="9" t="s">
        <v>12118</v>
      </c>
      <c r="Q4989" s="10"/>
      <c r="T4989" s="9" t="s">
        <v>12131</v>
      </c>
      <c r="U4989" s="9" t="str">
        <f t="shared" ca="1" si="204"/>
        <v/>
      </c>
      <c r="V4989" s="9" t="str">
        <f t="shared" ca="1" si="205"/>
        <v/>
      </c>
      <c r="AB4989" s="9" t="s">
        <v>12124</v>
      </c>
      <c r="AD4989" s="9" t="s">
        <v>19</v>
      </c>
    </row>
    <row r="4990" spans="1:33" ht="29">
      <c r="A4990" s="3" t="s">
        <v>4642</v>
      </c>
      <c r="D4990" s="3" t="s">
        <v>11772</v>
      </c>
      <c r="E4990" s="3" t="s">
        <v>11773</v>
      </c>
      <c r="G4990" t="s">
        <v>19</v>
      </c>
      <c r="J4990" s="9" t="s">
        <v>12118</v>
      </c>
      <c r="Q4990" s="10"/>
      <c r="T4990" s="9">
        <f>352-507</f>
        <v>-155</v>
      </c>
      <c r="U4990" s="9">
        <f t="shared" ca="1" si="204"/>
        <v>507</v>
      </c>
      <c r="V4990" s="9">
        <f t="shared" ca="1" si="205"/>
        <v>352</v>
      </c>
    </row>
    <row r="4991" spans="1:33" ht="29">
      <c r="A4991" s="3" t="s">
        <v>4644</v>
      </c>
      <c r="D4991" s="3" t="s">
        <v>11775</v>
      </c>
      <c r="E4991" s="3" t="s">
        <v>11774</v>
      </c>
      <c r="J4991" s="9" t="s">
        <v>12121</v>
      </c>
      <c r="Q4991" s="10"/>
      <c r="T4991" s="9" t="s">
        <v>12131</v>
      </c>
      <c r="U4991" s="9" t="str">
        <f t="shared" ca="1" si="204"/>
        <v/>
      </c>
      <c r="V4991" s="9" t="str">
        <f t="shared" ca="1" si="205"/>
        <v/>
      </c>
      <c r="AE4991" s="9" t="s">
        <v>12086</v>
      </c>
    </row>
    <row r="4992" spans="1:33" ht="29">
      <c r="A4992" s="3" t="s">
        <v>4644</v>
      </c>
      <c r="D4992" s="3" t="s">
        <v>11777</v>
      </c>
      <c r="E4992" s="3" t="s">
        <v>11776</v>
      </c>
      <c r="I4992" t="s">
        <v>12619</v>
      </c>
      <c r="J4992" s="9" t="s">
        <v>25</v>
      </c>
      <c r="L4992" s="9">
        <v>3</v>
      </c>
      <c r="M4992" s="9">
        <v>8</v>
      </c>
      <c r="O4992" s="9" t="s">
        <v>12079</v>
      </c>
      <c r="Q4992" s="10"/>
      <c r="S4992" s="9">
        <v>12</v>
      </c>
      <c r="U4992" s="9" t="str">
        <f t="shared" ca="1" si="204"/>
        <v/>
      </c>
      <c r="V4992" s="9" t="str">
        <f t="shared" ca="1" si="205"/>
        <v/>
      </c>
      <c r="AG4992" s="9" t="s">
        <v>20</v>
      </c>
    </row>
    <row r="4993" spans="1:33" ht="29">
      <c r="A4993" s="3" t="s">
        <v>4644</v>
      </c>
      <c r="D4993" s="3" t="s">
        <v>11779</v>
      </c>
      <c r="E4993" s="3" t="s">
        <v>11778</v>
      </c>
      <c r="J4993" s="9" t="s">
        <v>12120</v>
      </c>
      <c r="Q4993" s="10"/>
      <c r="U4993" s="9" t="str">
        <f t="shared" ca="1" si="204"/>
        <v/>
      </c>
      <c r="V4993" s="9" t="str">
        <f t="shared" ca="1" si="205"/>
        <v/>
      </c>
      <c r="AB4993" s="9" t="s">
        <v>12082</v>
      </c>
      <c r="AD4993" s="9" t="s">
        <v>19</v>
      </c>
    </row>
    <row r="4994" spans="1:33" ht="29">
      <c r="A4994" s="3" t="s">
        <v>4644</v>
      </c>
      <c r="D4994" s="3" t="s">
        <v>11781</v>
      </c>
      <c r="E4994" s="3" t="s">
        <v>11780</v>
      </c>
      <c r="G4994" t="s">
        <v>19</v>
      </c>
      <c r="J4994" s="9" t="s">
        <v>12118</v>
      </c>
      <c r="Q4994" s="10"/>
      <c r="T4994" s="9">
        <f>1101-1294</f>
        <v>-193</v>
      </c>
      <c r="U4994" s="9">
        <f t="shared" ca="1" si="204"/>
        <v>1294</v>
      </c>
      <c r="V4994" s="9">
        <f t="shared" ca="1" si="205"/>
        <v>1101</v>
      </c>
    </row>
    <row r="4995" spans="1:33" ht="29">
      <c r="A4995" s="3" t="s">
        <v>4645</v>
      </c>
      <c r="D4995" s="3" t="s">
        <v>11783</v>
      </c>
      <c r="E4995" s="3" t="s">
        <v>11782</v>
      </c>
      <c r="I4995" t="s">
        <v>12620</v>
      </c>
      <c r="J4995" s="9" t="s">
        <v>25</v>
      </c>
      <c r="L4995" s="9">
        <v>1</v>
      </c>
      <c r="M4995" s="9">
        <v>4</v>
      </c>
      <c r="N4995" s="9" t="s">
        <v>12096</v>
      </c>
      <c r="O4995" s="9" t="s">
        <v>12079</v>
      </c>
      <c r="Q4995" s="10"/>
      <c r="S4995" s="9">
        <v>508</v>
      </c>
      <c r="U4995" s="9" t="str">
        <f t="shared" ca="1" si="204"/>
        <v/>
      </c>
      <c r="V4995" s="9" t="str">
        <f t="shared" ca="1" si="205"/>
        <v/>
      </c>
      <c r="AG4995" s="9" t="s">
        <v>19</v>
      </c>
    </row>
    <row r="4996" spans="1:33">
      <c r="A4996" s="3" t="s">
        <v>4645</v>
      </c>
      <c r="D4996" s="3" t="s">
        <v>11784</v>
      </c>
      <c r="E4996" s="3" t="s">
        <v>11785</v>
      </c>
      <c r="G4996" t="s">
        <v>19</v>
      </c>
      <c r="J4996" s="9" t="s">
        <v>12118</v>
      </c>
      <c r="Q4996" s="10"/>
      <c r="T4996" s="9">
        <f xml:space="preserve"> 444-560</f>
        <v>-116</v>
      </c>
      <c r="U4996" s="9">
        <f t="shared" ca="1" si="204"/>
        <v>560</v>
      </c>
      <c r="V4996" s="9">
        <f t="shared" ca="1" si="205"/>
        <v>444</v>
      </c>
    </row>
    <row r="4997" spans="1:33">
      <c r="A4997" s="3" t="s">
        <v>4645</v>
      </c>
      <c r="D4997" s="3" t="s">
        <v>11786</v>
      </c>
      <c r="E4997" s="3" t="s">
        <v>11787</v>
      </c>
      <c r="J4997" s="9" t="s">
        <v>24</v>
      </c>
      <c r="L4997" s="9">
        <v>1</v>
      </c>
      <c r="M4997" s="9">
        <v>2</v>
      </c>
      <c r="N4997" s="9" t="s">
        <v>12096</v>
      </c>
      <c r="O4997" s="9" t="s">
        <v>12119</v>
      </c>
      <c r="Q4997" s="10"/>
      <c r="R4997" s="9" t="s">
        <v>12074</v>
      </c>
      <c r="S4997" s="9">
        <v>444</v>
      </c>
      <c r="U4997" s="9" t="str">
        <f t="shared" ca="1" si="204"/>
        <v/>
      </c>
      <c r="V4997" s="9" t="str">
        <f t="shared" ca="1" si="205"/>
        <v/>
      </c>
      <c r="AE4997" s="9" t="s">
        <v>12083</v>
      </c>
    </row>
    <row r="4998" spans="1:33" ht="58">
      <c r="A4998" s="3" t="s">
        <v>4645</v>
      </c>
      <c r="D4998" s="3" t="s">
        <v>11788</v>
      </c>
      <c r="E4998" s="3" t="s">
        <v>11789</v>
      </c>
      <c r="F4998" t="s">
        <v>4774</v>
      </c>
      <c r="G4998" t="s">
        <v>19</v>
      </c>
      <c r="I4998" s="4"/>
      <c r="J4998" s="9" t="s">
        <v>27</v>
      </c>
      <c r="Q4998" s="10"/>
      <c r="T4998" s="9">
        <f xml:space="preserve"> 73-5</f>
        <v>68</v>
      </c>
      <c r="U4998" s="9">
        <f t="shared" ref="U4998" ca="1" si="206">IF(ISNUMBER(T4998),VALUE(MID(_xlfn.FORMULATEXT(T4998),SEARCH("-",_xlfn.FORMULATEXT(T4998))+1,LEN(_xlfn.FORMULATEXT(T4998))-SEARCH("-",_xlfn.FORMULATEXT(T4998)))), "")</f>
        <v>5</v>
      </c>
      <c r="V4998" s="9">
        <f t="shared" ref="V4998" ca="1" si="207">IF(ISNUMBER(T4998), VALUE(MID(_xlfn.FORMULATEXT(T4998), 2, SEARCH("-", _xlfn.FORMULATEXT(T4998)) - 2)), "")</f>
        <v>73</v>
      </c>
    </row>
    <row r="4999" spans="1:33" ht="58">
      <c r="A4999" s="3" t="s">
        <v>4645</v>
      </c>
      <c r="D4999" s="3" t="s">
        <v>11788</v>
      </c>
      <c r="E4999" s="3" t="s">
        <v>11789</v>
      </c>
      <c r="F4999" t="s">
        <v>4774</v>
      </c>
      <c r="G4999" t="s">
        <v>19</v>
      </c>
      <c r="I4999" s="4"/>
      <c r="J4999" s="9" t="s">
        <v>12118</v>
      </c>
      <c r="Q4999" s="10"/>
      <c r="T4999" s="9">
        <f xml:space="preserve"> 73-5</f>
        <v>68</v>
      </c>
      <c r="U4999" s="9">
        <f t="shared" ca="1" si="204"/>
        <v>5</v>
      </c>
      <c r="V4999" s="9">
        <f t="shared" ca="1" si="205"/>
        <v>73</v>
      </c>
    </row>
    <row r="5000" spans="1:33" ht="58">
      <c r="A5000" s="3" t="s">
        <v>4645</v>
      </c>
      <c r="D5000" s="3" t="s">
        <v>11790</v>
      </c>
      <c r="E5000" s="3" t="s">
        <v>11791</v>
      </c>
      <c r="F5000" t="s">
        <v>4774</v>
      </c>
      <c r="G5000" t="s">
        <v>19</v>
      </c>
      <c r="I5000" s="4"/>
      <c r="Q5000" s="10"/>
      <c r="U5000" s="9" t="str">
        <f t="shared" ca="1" si="204"/>
        <v/>
      </c>
      <c r="V5000" s="9" t="str">
        <f t="shared" ca="1" si="205"/>
        <v/>
      </c>
    </row>
    <row r="5001" spans="1:33" ht="58">
      <c r="A5001" s="3" t="s">
        <v>4645</v>
      </c>
      <c r="D5001" s="3" t="s">
        <v>11790</v>
      </c>
      <c r="E5001" s="3" t="s">
        <v>11791</v>
      </c>
      <c r="F5001" t="s">
        <v>4774</v>
      </c>
      <c r="G5001" t="s">
        <v>19</v>
      </c>
      <c r="I5001" s="4"/>
      <c r="J5001" s="9" t="s">
        <v>12121</v>
      </c>
      <c r="Q5001" s="10"/>
      <c r="T5001" s="9">
        <f>437-1565</f>
        <v>-1128</v>
      </c>
      <c r="U5001" s="9">
        <f t="shared" ca="1" si="204"/>
        <v>1565</v>
      </c>
      <c r="V5001" s="9">
        <f t="shared" ca="1" si="205"/>
        <v>437</v>
      </c>
    </row>
    <row r="5002" spans="1:33" ht="58">
      <c r="A5002" s="3" t="s">
        <v>4645</v>
      </c>
      <c r="D5002" s="3" t="s">
        <v>11792</v>
      </c>
      <c r="E5002" s="3" t="s">
        <v>11793</v>
      </c>
      <c r="F5002" t="s">
        <v>4774</v>
      </c>
      <c r="G5002" t="s">
        <v>19</v>
      </c>
      <c r="I5002" s="4"/>
      <c r="J5002" s="9" t="s">
        <v>12120</v>
      </c>
      <c r="Q5002" s="10"/>
      <c r="U5002" s="9" t="str">
        <f t="shared" ca="1" si="204"/>
        <v/>
      </c>
      <c r="V5002" s="9" t="str">
        <f t="shared" ca="1" si="205"/>
        <v/>
      </c>
    </row>
    <row r="5003" spans="1:33">
      <c r="A5003" s="3" t="s">
        <v>4646</v>
      </c>
      <c r="D5003" s="3" t="s">
        <v>11794</v>
      </c>
      <c r="E5003" s="3" t="s">
        <v>11795</v>
      </c>
      <c r="J5003" s="9" t="s">
        <v>12118</v>
      </c>
      <c r="Q5003" s="10"/>
      <c r="T5003" s="9">
        <f>120-2</f>
        <v>118</v>
      </c>
      <c r="U5003" s="9">
        <f t="shared" ca="1" si="204"/>
        <v>2</v>
      </c>
      <c r="V5003" s="9">
        <f t="shared" ca="1" si="205"/>
        <v>120</v>
      </c>
      <c r="AG5003" s="9" t="s">
        <v>20</v>
      </c>
    </row>
    <row r="5004" spans="1:33" ht="58">
      <c r="A5004" s="3" t="s">
        <v>4646</v>
      </c>
      <c r="D5004" s="3" t="s">
        <v>11796</v>
      </c>
      <c r="E5004" s="3" t="s">
        <v>11797</v>
      </c>
      <c r="I5004" s="4" t="s">
        <v>5457</v>
      </c>
      <c r="J5004" s="9" t="s">
        <v>26</v>
      </c>
      <c r="Q5004" s="10"/>
      <c r="U5004" s="9" t="str">
        <f t="shared" ca="1" si="204"/>
        <v/>
      </c>
      <c r="V5004" s="9" t="str">
        <f t="shared" ca="1" si="205"/>
        <v/>
      </c>
      <c r="AG5004" s="9" t="s">
        <v>20</v>
      </c>
    </row>
    <row r="5005" spans="1:33" ht="58">
      <c r="A5005" s="3" t="s">
        <v>4647</v>
      </c>
      <c r="D5005" s="3" t="s">
        <v>11798</v>
      </c>
      <c r="E5005" s="3" t="s">
        <v>11799</v>
      </c>
      <c r="G5005" t="s">
        <v>19</v>
      </c>
      <c r="J5005" s="9" t="s">
        <v>12120</v>
      </c>
      <c r="Q5005" s="10"/>
      <c r="U5005" s="9" t="str">
        <f t="shared" ca="1" si="204"/>
        <v/>
      </c>
      <c r="V5005" s="9" t="str">
        <f t="shared" ca="1" si="205"/>
        <v/>
      </c>
    </row>
    <row r="5006" spans="1:33">
      <c r="A5006" s="3" t="s">
        <v>4648</v>
      </c>
      <c r="D5006" s="3" t="s">
        <v>4649</v>
      </c>
      <c r="E5006" s="3" t="s">
        <v>4650</v>
      </c>
      <c r="J5006" s="9" t="s">
        <v>12120</v>
      </c>
      <c r="Q5006" s="10"/>
      <c r="U5006" s="9" t="str">
        <f t="shared" ref="U5006:U5071" ca="1" si="208">IF(ISNUMBER(T5006),VALUE(MID(_xlfn.FORMULATEXT(T5006),SEARCH("-",_xlfn.FORMULATEXT(T5006))+1,LEN(_xlfn.FORMULATEXT(T5006))-SEARCH("-",_xlfn.FORMULATEXT(T5006)))), "")</f>
        <v/>
      </c>
      <c r="V5006" s="9" t="str">
        <f t="shared" ref="V5006:V5071" ca="1" si="209">IF(ISNUMBER(T5006), VALUE(MID(_xlfn.FORMULATEXT(T5006), 2, SEARCH("-", _xlfn.FORMULATEXT(T5006)) - 2)), "")</f>
        <v/>
      </c>
      <c r="AG5006" s="9" t="s">
        <v>19</v>
      </c>
    </row>
    <row r="5007" spans="1:33">
      <c r="A5007" s="3" t="s">
        <v>4651</v>
      </c>
      <c r="D5007" s="3" t="s">
        <v>85</v>
      </c>
      <c r="E5007" s="3" t="s">
        <v>4652</v>
      </c>
      <c r="J5007" s="9" t="s">
        <v>12120</v>
      </c>
      <c r="Q5007" s="10"/>
      <c r="U5007" s="9" t="str">
        <f t="shared" ca="1" si="208"/>
        <v/>
      </c>
      <c r="V5007" s="9" t="str">
        <f t="shared" ca="1" si="209"/>
        <v/>
      </c>
      <c r="AC5007" s="9" t="s">
        <v>12173</v>
      </c>
      <c r="AD5007" s="9" t="s">
        <v>19</v>
      </c>
    </row>
    <row r="5008" spans="1:33">
      <c r="A5008" s="3" t="s">
        <v>4651</v>
      </c>
      <c r="D5008" s="3" t="s">
        <v>4064</v>
      </c>
      <c r="E5008" s="3" t="s">
        <v>1104</v>
      </c>
      <c r="J5008" s="9" t="s">
        <v>12121</v>
      </c>
      <c r="Q5008" s="10"/>
      <c r="T5008" s="9" t="s">
        <v>12131</v>
      </c>
      <c r="U5008" s="9" t="str">
        <f t="shared" ca="1" si="208"/>
        <v/>
      </c>
      <c r="V5008" s="9" t="str">
        <f t="shared" ca="1" si="209"/>
        <v/>
      </c>
      <c r="AC5008" s="9" t="s">
        <v>12130</v>
      </c>
      <c r="AD5008" s="9" t="s">
        <v>19</v>
      </c>
      <c r="AE5008" s="9" t="s">
        <v>12086</v>
      </c>
    </row>
    <row r="5009" spans="1:33" ht="29">
      <c r="A5009" s="3" t="s">
        <v>4651</v>
      </c>
      <c r="D5009" s="3" t="s">
        <v>11801</v>
      </c>
      <c r="E5009" s="3" t="s">
        <v>11800</v>
      </c>
      <c r="J5009" s="9" t="s">
        <v>12121</v>
      </c>
      <c r="Q5009" s="10"/>
      <c r="T5009" s="9">
        <f>66-59</f>
        <v>7</v>
      </c>
      <c r="U5009" s="9">
        <f t="shared" ca="1" si="208"/>
        <v>59</v>
      </c>
      <c r="V5009" s="9">
        <f t="shared" ca="1" si="209"/>
        <v>66</v>
      </c>
      <c r="AG5009" s="9" t="s">
        <v>20</v>
      </c>
    </row>
    <row r="5010" spans="1:33" ht="29">
      <c r="A5010" s="3" t="s">
        <v>4653</v>
      </c>
      <c r="D5010" s="3" t="s">
        <v>11802</v>
      </c>
      <c r="E5010" s="3" t="s">
        <v>11803</v>
      </c>
      <c r="G5010" t="s">
        <v>19</v>
      </c>
      <c r="J5010" s="9" t="s">
        <v>12120</v>
      </c>
      <c r="Q5010" s="10"/>
      <c r="U5010" s="9" t="str">
        <f t="shared" ca="1" si="208"/>
        <v/>
      </c>
      <c r="V5010" s="9" t="str">
        <f t="shared" ca="1" si="209"/>
        <v/>
      </c>
    </row>
    <row r="5011" spans="1:33" ht="29">
      <c r="A5011" s="3" t="s">
        <v>4653</v>
      </c>
      <c r="D5011" s="3" t="s">
        <v>11804</v>
      </c>
      <c r="E5011" s="3" t="s">
        <v>11805</v>
      </c>
      <c r="G5011" t="s">
        <v>20</v>
      </c>
      <c r="I5011" t="s">
        <v>9925</v>
      </c>
      <c r="Q5011" s="10"/>
      <c r="U5011" s="9" t="str">
        <f t="shared" ca="1" si="208"/>
        <v/>
      </c>
      <c r="V5011" s="9" t="str">
        <f t="shared" ca="1" si="209"/>
        <v/>
      </c>
    </row>
    <row r="5012" spans="1:33" ht="29">
      <c r="A5012" s="3" t="s">
        <v>4653</v>
      </c>
      <c r="D5012" s="3" t="s">
        <v>11809</v>
      </c>
      <c r="E5012" s="3" t="s">
        <v>11806</v>
      </c>
      <c r="G5012" t="s">
        <v>20</v>
      </c>
      <c r="I5012" t="s">
        <v>9453</v>
      </c>
      <c r="Q5012" s="10"/>
      <c r="U5012" s="9" t="str">
        <f t="shared" ca="1" si="208"/>
        <v/>
      </c>
      <c r="V5012" s="9" t="str">
        <f t="shared" ca="1" si="209"/>
        <v/>
      </c>
    </row>
    <row r="5013" spans="1:33" ht="29">
      <c r="A5013" s="3" t="s">
        <v>4653</v>
      </c>
      <c r="D5013" s="3" t="s">
        <v>11808</v>
      </c>
      <c r="E5013" s="3" t="s">
        <v>11807</v>
      </c>
      <c r="G5013" t="s">
        <v>19</v>
      </c>
      <c r="J5013" s="9" t="s">
        <v>12120</v>
      </c>
      <c r="Q5013" s="10"/>
      <c r="U5013" s="9" t="str">
        <f t="shared" ca="1" si="208"/>
        <v/>
      </c>
      <c r="V5013" s="9" t="str">
        <f t="shared" ca="1" si="209"/>
        <v/>
      </c>
    </row>
    <row r="5014" spans="1:33" ht="29">
      <c r="A5014" s="3" t="s">
        <v>4653</v>
      </c>
      <c r="D5014" s="3" t="s">
        <v>11810</v>
      </c>
      <c r="E5014" s="3" t="s">
        <v>11811</v>
      </c>
      <c r="J5014" s="9" t="s">
        <v>12118</v>
      </c>
      <c r="Q5014" s="10"/>
      <c r="T5014" s="9" t="s">
        <v>12131</v>
      </c>
      <c r="U5014" s="9" t="str">
        <f t="shared" ca="1" si="208"/>
        <v/>
      </c>
      <c r="V5014" s="9" t="str">
        <f t="shared" ca="1" si="209"/>
        <v/>
      </c>
      <c r="AC5014" s="9" t="s">
        <v>12134</v>
      </c>
      <c r="AD5014" s="9" t="s">
        <v>19</v>
      </c>
      <c r="AE5014" s="9" t="s">
        <v>12086</v>
      </c>
    </row>
    <row r="5015" spans="1:33">
      <c r="A5015" s="3" t="s">
        <v>4653</v>
      </c>
      <c r="D5015" s="3" t="s">
        <v>11813</v>
      </c>
      <c r="E5015" s="3" t="s">
        <v>11812</v>
      </c>
      <c r="G5015" t="s">
        <v>19</v>
      </c>
      <c r="J5015" s="9" t="s">
        <v>12120</v>
      </c>
      <c r="Q5015" s="10"/>
      <c r="U5015" s="9" t="str">
        <f t="shared" ca="1" si="208"/>
        <v/>
      </c>
      <c r="V5015" s="9" t="str">
        <f t="shared" ca="1" si="209"/>
        <v/>
      </c>
    </row>
    <row r="5016" spans="1:33">
      <c r="A5016" s="3" t="s">
        <v>4653</v>
      </c>
      <c r="D5016" s="3" t="s">
        <v>11815</v>
      </c>
      <c r="E5016" s="3" t="s">
        <v>11814</v>
      </c>
      <c r="I5016" t="s">
        <v>12736</v>
      </c>
      <c r="J5016" s="9" t="s">
        <v>24</v>
      </c>
      <c r="L5016" s="9">
        <v>1</v>
      </c>
      <c r="M5016" s="9">
        <v>2</v>
      </c>
      <c r="N5016" s="9" t="s">
        <v>12087</v>
      </c>
      <c r="O5016" s="9" t="s">
        <v>12119</v>
      </c>
      <c r="Q5016" s="10"/>
      <c r="S5016" s="9">
        <v>166</v>
      </c>
      <c r="U5016" s="9" t="str">
        <f t="shared" ca="1" si="208"/>
        <v/>
      </c>
      <c r="V5016" s="9" t="str">
        <f t="shared" ca="1" si="209"/>
        <v/>
      </c>
      <c r="W5016" s="9" t="s">
        <v>4</v>
      </c>
      <c r="AG5016" s="9" t="s">
        <v>20</v>
      </c>
    </row>
    <row r="5017" spans="1:33">
      <c r="A5017" s="3" t="s">
        <v>4653</v>
      </c>
      <c r="D5017" s="3" t="s">
        <v>11816</v>
      </c>
      <c r="E5017" s="3" t="s">
        <v>13083</v>
      </c>
      <c r="G5017" t="s">
        <v>19</v>
      </c>
      <c r="J5017" s="9" t="s">
        <v>24</v>
      </c>
      <c r="L5017" s="9">
        <v>1</v>
      </c>
      <c r="M5017" s="9">
        <v>3</v>
      </c>
      <c r="N5017" s="9" t="s">
        <v>12078</v>
      </c>
      <c r="O5017" s="9" t="s">
        <v>12079</v>
      </c>
      <c r="Q5017" s="10"/>
      <c r="S5017" s="9">
        <v>11843</v>
      </c>
      <c r="U5017" s="9" t="str">
        <f t="shared" ca="1" si="208"/>
        <v/>
      </c>
      <c r="V5017" s="9" t="str">
        <f t="shared" ca="1" si="209"/>
        <v/>
      </c>
    </row>
    <row r="5018" spans="1:33">
      <c r="A5018" s="3" t="s">
        <v>4654</v>
      </c>
      <c r="D5018" s="3" t="s">
        <v>11818</v>
      </c>
      <c r="E5018" s="3" t="s">
        <v>11817</v>
      </c>
      <c r="F5018" t="s">
        <v>11</v>
      </c>
      <c r="G5018" t="s">
        <v>19</v>
      </c>
      <c r="I5018" t="s">
        <v>11819</v>
      </c>
      <c r="Q5018" s="10"/>
      <c r="U5018" s="9" t="str">
        <f t="shared" ca="1" si="208"/>
        <v/>
      </c>
      <c r="V5018" s="9" t="str">
        <f t="shared" ca="1" si="209"/>
        <v/>
      </c>
    </row>
    <row r="5019" spans="1:33">
      <c r="A5019" s="3" t="s">
        <v>4654</v>
      </c>
      <c r="D5019" s="3" t="s">
        <v>11821</v>
      </c>
      <c r="E5019" s="3" t="s">
        <v>11820</v>
      </c>
      <c r="J5019" s="9" t="s">
        <v>12118</v>
      </c>
      <c r="Q5019" s="10"/>
      <c r="T5019" s="9">
        <f>472-635</f>
        <v>-163</v>
      </c>
      <c r="U5019" s="9">
        <f t="shared" ca="1" si="208"/>
        <v>635</v>
      </c>
      <c r="V5019" s="9">
        <f t="shared" ca="1" si="209"/>
        <v>472</v>
      </c>
      <c r="AG5019" s="9" t="s">
        <v>19</v>
      </c>
    </row>
    <row r="5020" spans="1:33" ht="43.5">
      <c r="A5020" s="3" t="s">
        <v>4655</v>
      </c>
      <c r="D5020" s="3" t="s">
        <v>11823</v>
      </c>
      <c r="E5020" s="3" t="s">
        <v>11824</v>
      </c>
      <c r="F5020" t="s">
        <v>4774</v>
      </c>
      <c r="G5020" t="s">
        <v>19</v>
      </c>
      <c r="I5020" s="4" t="s">
        <v>12621</v>
      </c>
      <c r="J5020" s="9" t="s">
        <v>27</v>
      </c>
      <c r="Q5020" s="10"/>
      <c r="T5020" s="9">
        <f>264-21</f>
        <v>243</v>
      </c>
      <c r="U5020" s="9">
        <f t="shared" ref="U5020" ca="1" si="210">IF(ISNUMBER(T5020),VALUE(MID(_xlfn.FORMULATEXT(T5020),SEARCH("-",_xlfn.FORMULATEXT(T5020))+1,LEN(_xlfn.FORMULATEXT(T5020))-SEARCH("-",_xlfn.FORMULATEXT(T5020)))), "")</f>
        <v>21</v>
      </c>
      <c r="V5020" s="9">
        <f t="shared" ref="V5020" ca="1" si="211">IF(ISNUMBER(T5020), VALUE(MID(_xlfn.FORMULATEXT(T5020), 2, SEARCH("-", _xlfn.FORMULATEXT(T5020)) - 2)), "")</f>
        <v>264</v>
      </c>
    </row>
    <row r="5021" spans="1:33" ht="43.5">
      <c r="A5021" s="3" t="s">
        <v>4655</v>
      </c>
      <c r="D5021" s="3" t="s">
        <v>11823</v>
      </c>
      <c r="E5021" s="3" t="s">
        <v>11824</v>
      </c>
      <c r="F5021" t="s">
        <v>4774</v>
      </c>
      <c r="G5021" t="s">
        <v>19</v>
      </c>
      <c r="I5021" s="4" t="s">
        <v>12621</v>
      </c>
      <c r="J5021" s="9" t="s">
        <v>12118</v>
      </c>
      <c r="Q5021" s="10"/>
      <c r="T5021" s="9">
        <f>264-21</f>
        <v>243</v>
      </c>
      <c r="U5021" s="9">
        <f t="shared" ca="1" si="208"/>
        <v>21</v>
      </c>
      <c r="V5021" s="9">
        <f t="shared" ca="1" si="209"/>
        <v>264</v>
      </c>
    </row>
    <row r="5022" spans="1:33" ht="43.5">
      <c r="A5022" s="3" t="s">
        <v>4655</v>
      </c>
      <c r="D5022" s="3" t="s">
        <v>11822</v>
      </c>
      <c r="E5022" s="3" t="s">
        <v>11825</v>
      </c>
      <c r="F5022" t="s">
        <v>4774</v>
      </c>
      <c r="G5022" t="s">
        <v>19</v>
      </c>
      <c r="I5022" s="4"/>
      <c r="J5022" s="9" t="s">
        <v>24</v>
      </c>
      <c r="L5022" s="9">
        <v>2</v>
      </c>
      <c r="M5022" s="9">
        <v>15</v>
      </c>
      <c r="O5022" s="9" t="s">
        <v>12079</v>
      </c>
      <c r="Q5022" s="10"/>
      <c r="S5022" s="9">
        <v>2</v>
      </c>
      <c r="U5022" s="9" t="str">
        <f t="shared" ca="1" si="208"/>
        <v/>
      </c>
      <c r="V5022" s="9" t="str">
        <f t="shared" ca="1" si="209"/>
        <v/>
      </c>
    </row>
    <row r="5023" spans="1:33" ht="43.5">
      <c r="A5023" s="3" t="s">
        <v>4655</v>
      </c>
      <c r="D5023" s="3" t="s">
        <v>11826</v>
      </c>
      <c r="E5023" s="3" t="s">
        <v>11827</v>
      </c>
      <c r="F5023" t="s">
        <v>4774</v>
      </c>
      <c r="G5023" t="s">
        <v>21</v>
      </c>
      <c r="I5023" s="4" t="s">
        <v>13127</v>
      </c>
      <c r="J5023" s="9" t="s">
        <v>24</v>
      </c>
      <c r="L5023" s="9">
        <v>1</v>
      </c>
      <c r="M5023" s="9">
        <v>2</v>
      </c>
      <c r="N5023" s="9" t="s">
        <v>12096</v>
      </c>
      <c r="O5023" s="9" t="s">
        <v>12119</v>
      </c>
      <c r="Q5023" s="10"/>
      <c r="S5023" s="9">
        <v>1294</v>
      </c>
      <c r="U5023" s="9" t="str">
        <f t="shared" ca="1" si="208"/>
        <v/>
      </c>
      <c r="V5023" s="9" t="str">
        <f t="shared" ca="1" si="209"/>
        <v/>
      </c>
    </row>
    <row r="5024" spans="1:33" ht="43.5">
      <c r="A5024" s="3" t="s">
        <v>4655</v>
      </c>
      <c r="D5024" s="3" t="s">
        <v>11822</v>
      </c>
      <c r="E5024" s="3" t="s">
        <v>11828</v>
      </c>
      <c r="F5024" t="s">
        <v>4774</v>
      </c>
      <c r="G5024" t="s">
        <v>19</v>
      </c>
      <c r="I5024" s="4"/>
      <c r="J5024" s="9" t="s">
        <v>24</v>
      </c>
      <c r="L5024" s="9">
        <v>1</v>
      </c>
      <c r="M5024" s="9">
        <v>3</v>
      </c>
      <c r="N5024" s="9" t="s">
        <v>12087</v>
      </c>
      <c r="O5024" s="9" t="s">
        <v>12079</v>
      </c>
      <c r="Q5024" s="10"/>
      <c r="S5024" s="9">
        <v>810</v>
      </c>
      <c r="U5024" s="9" t="str">
        <f t="shared" ca="1" si="208"/>
        <v/>
      </c>
      <c r="V5024" s="9" t="str">
        <f t="shared" ca="1" si="209"/>
        <v/>
      </c>
    </row>
    <row r="5025" spans="1:33">
      <c r="A5025" s="3" t="s">
        <v>4655</v>
      </c>
      <c r="D5025" s="3" t="s">
        <v>11829</v>
      </c>
      <c r="E5025" s="3" t="s">
        <v>11830</v>
      </c>
      <c r="H5025" t="s">
        <v>19</v>
      </c>
      <c r="J5025" s="9" t="s">
        <v>24</v>
      </c>
      <c r="L5025" s="9">
        <v>1</v>
      </c>
      <c r="M5025" s="9">
        <v>3</v>
      </c>
      <c r="N5025" s="9" t="s">
        <v>12094</v>
      </c>
      <c r="O5025" s="9" t="s">
        <v>12079</v>
      </c>
      <c r="Q5025" s="10"/>
      <c r="S5025" s="9">
        <v>1496</v>
      </c>
      <c r="U5025" s="9" t="str">
        <f t="shared" ca="1" si="208"/>
        <v/>
      </c>
      <c r="V5025" s="9" t="str">
        <f t="shared" ca="1" si="209"/>
        <v/>
      </c>
      <c r="AG5025" s="9" t="s">
        <v>20</v>
      </c>
    </row>
    <row r="5026" spans="1:33">
      <c r="A5026" s="3" t="s">
        <v>4656</v>
      </c>
      <c r="D5026" s="3" t="s">
        <v>11831</v>
      </c>
      <c r="E5026" s="3" t="s">
        <v>11832</v>
      </c>
      <c r="G5026" t="s">
        <v>19</v>
      </c>
      <c r="J5026" s="9" t="s">
        <v>24</v>
      </c>
      <c r="L5026" s="9">
        <v>1</v>
      </c>
      <c r="M5026" s="9">
        <v>2</v>
      </c>
      <c r="N5026" s="9" t="s">
        <v>12123</v>
      </c>
      <c r="O5026" s="9" t="s">
        <v>12119</v>
      </c>
      <c r="Q5026" s="10"/>
      <c r="S5026" s="9">
        <v>526</v>
      </c>
      <c r="U5026" s="9" t="str">
        <f t="shared" ca="1" si="208"/>
        <v/>
      </c>
      <c r="V5026" s="9" t="str">
        <f t="shared" ca="1" si="209"/>
        <v/>
      </c>
    </row>
    <row r="5027" spans="1:33">
      <c r="A5027" s="3" t="s">
        <v>4656</v>
      </c>
      <c r="D5027" s="3" t="s">
        <v>11834</v>
      </c>
      <c r="E5027" s="3" t="s">
        <v>11833</v>
      </c>
      <c r="G5027" t="s">
        <v>19</v>
      </c>
      <c r="J5027" s="9" t="s">
        <v>12118</v>
      </c>
      <c r="Q5027" s="10"/>
      <c r="T5027" s="9">
        <f>1741-1496</f>
        <v>245</v>
      </c>
      <c r="U5027" s="9">
        <f t="shared" ca="1" si="208"/>
        <v>1496</v>
      </c>
      <c r="V5027" s="9">
        <f t="shared" ca="1" si="209"/>
        <v>1741</v>
      </c>
    </row>
    <row r="5028" spans="1:33">
      <c r="A5028" s="3" t="s">
        <v>4657</v>
      </c>
      <c r="D5028" s="3" t="s">
        <v>11835</v>
      </c>
      <c r="E5028" s="3" t="s">
        <v>11836</v>
      </c>
      <c r="G5028" t="s">
        <v>19</v>
      </c>
      <c r="J5028" s="9" t="s">
        <v>12118</v>
      </c>
      <c r="Q5028" s="10"/>
      <c r="T5028" s="9">
        <f xml:space="preserve"> 160-4240</f>
        <v>-4080</v>
      </c>
      <c r="U5028" s="9">
        <f t="shared" ca="1" si="208"/>
        <v>4240</v>
      </c>
      <c r="V5028" s="9">
        <f t="shared" ca="1" si="209"/>
        <v>160</v>
      </c>
    </row>
    <row r="5029" spans="1:33">
      <c r="A5029" s="3" t="s">
        <v>4657</v>
      </c>
      <c r="D5029" s="3" t="s">
        <v>4658</v>
      </c>
      <c r="E5029" s="3" t="s">
        <v>4659</v>
      </c>
      <c r="J5029" s="9" t="s">
        <v>12118</v>
      </c>
      <c r="Q5029" s="10"/>
      <c r="T5029" s="9" t="s">
        <v>12131</v>
      </c>
      <c r="U5029" s="9" t="str">
        <f t="shared" ca="1" si="208"/>
        <v/>
      </c>
      <c r="V5029" s="9" t="str">
        <f t="shared" ca="1" si="209"/>
        <v/>
      </c>
      <c r="AE5029" s="9" t="s">
        <v>12077</v>
      </c>
    </row>
    <row r="5030" spans="1:33">
      <c r="A5030" s="3" t="s">
        <v>4660</v>
      </c>
      <c r="D5030" s="3" t="s">
        <v>4661</v>
      </c>
      <c r="E5030" s="3" t="s">
        <v>4662</v>
      </c>
      <c r="J5030" s="9" t="s">
        <v>12118</v>
      </c>
      <c r="Q5030" s="10"/>
      <c r="T5030" s="9" t="s">
        <v>12131</v>
      </c>
      <c r="U5030" s="9" t="str">
        <f t="shared" ca="1" si="208"/>
        <v/>
      </c>
      <c r="V5030" s="9" t="str">
        <f t="shared" ca="1" si="209"/>
        <v/>
      </c>
      <c r="AE5030" s="9" t="s">
        <v>12086</v>
      </c>
    </row>
    <row r="5031" spans="1:33">
      <c r="A5031" s="3" t="s">
        <v>4660</v>
      </c>
      <c r="D5031" s="3" t="s">
        <v>4663</v>
      </c>
      <c r="E5031" s="3" t="s">
        <v>4664</v>
      </c>
      <c r="G5031" t="s">
        <v>21</v>
      </c>
      <c r="I5031" t="s">
        <v>11837</v>
      </c>
      <c r="J5031" s="9" t="s">
        <v>12118</v>
      </c>
      <c r="Q5031" s="10"/>
      <c r="T5031" s="9" t="s">
        <v>12131</v>
      </c>
      <c r="U5031" s="9" t="str">
        <f t="shared" ca="1" si="208"/>
        <v/>
      </c>
      <c r="V5031" s="9" t="str">
        <f t="shared" ca="1" si="209"/>
        <v/>
      </c>
      <c r="AE5031" s="9" t="s">
        <v>12086</v>
      </c>
    </row>
    <row r="5032" spans="1:33">
      <c r="A5032" s="3" t="s">
        <v>4665</v>
      </c>
      <c r="D5032" s="3" t="s">
        <v>11839</v>
      </c>
      <c r="E5032" s="3" t="s">
        <v>11838</v>
      </c>
      <c r="G5032" t="s">
        <v>19</v>
      </c>
      <c r="J5032" s="9" t="s">
        <v>12118</v>
      </c>
      <c r="Q5032" s="10"/>
      <c r="T5032" s="9">
        <f>5676-1966</f>
        <v>3710</v>
      </c>
      <c r="U5032" s="9">
        <f t="shared" ca="1" si="208"/>
        <v>1966</v>
      </c>
      <c r="V5032" s="9">
        <f t="shared" ca="1" si="209"/>
        <v>5676</v>
      </c>
    </row>
    <row r="5033" spans="1:33">
      <c r="A5033" s="3" t="s">
        <v>4666</v>
      </c>
      <c r="D5033" s="3" t="s">
        <v>11840</v>
      </c>
      <c r="E5033" s="3" t="s">
        <v>11841</v>
      </c>
      <c r="J5033" s="9" t="s">
        <v>12118</v>
      </c>
      <c r="Q5033" s="10"/>
      <c r="T5033" s="9" t="s">
        <v>12131</v>
      </c>
      <c r="U5033" s="9" t="str">
        <f t="shared" ca="1" si="208"/>
        <v/>
      </c>
      <c r="V5033" s="9" t="str">
        <f t="shared" ca="1" si="209"/>
        <v/>
      </c>
      <c r="AC5033" s="9" t="s">
        <v>12130</v>
      </c>
      <c r="AD5033" s="9" t="s">
        <v>19</v>
      </c>
      <c r="AE5033" s="9" t="s">
        <v>12086</v>
      </c>
    </row>
    <row r="5034" spans="1:33" ht="29">
      <c r="A5034" s="3" t="s">
        <v>4667</v>
      </c>
      <c r="D5034" s="3" t="s">
        <v>11842</v>
      </c>
      <c r="E5034" s="3" t="s">
        <v>11843</v>
      </c>
      <c r="J5034" s="9" t="s">
        <v>24</v>
      </c>
      <c r="L5034" s="9">
        <v>1</v>
      </c>
      <c r="M5034" s="9">
        <v>2</v>
      </c>
      <c r="N5034" s="9" t="s">
        <v>12087</v>
      </c>
      <c r="O5034" s="9" t="s">
        <v>12119</v>
      </c>
      <c r="Q5034" s="10"/>
      <c r="S5034" s="9">
        <v>1966</v>
      </c>
      <c r="U5034" s="9" t="str">
        <f t="shared" ca="1" si="208"/>
        <v/>
      </c>
      <c r="V5034" s="9" t="str">
        <f t="shared" ca="1" si="209"/>
        <v/>
      </c>
      <c r="AG5034" s="9" t="s">
        <v>19</v>
      </c>
    </row>
    <row r="5035" spans="1:33" ht="29">
      <c r="A5035" s="3" t="s">
        <v>4667</v>
      </c>
      <c r="D5035" s="3" t="s">
        <v>11845</v>
      </c>
      <c r="E5035" s="3" t="s">
        <v>11844</v>
      </c>
      <c r="J5035" s="9" t="s">
        <v>12118</v>
      </c>
      <c r="Q5035" s="10"/>
      <c r="R5035" s="9" t="s">
        <v>12074</v>
      </c>
      <c r="T5035" s="9" t="s">
        <v>12131</v>
      </c>
      <c r="U5035" s="9" t="str">
        <f t="shared" ca="1" si="208"/>
        <v/>
      </c>
      <c r="V5035" s="9" t="str">
        <f t="shared" ca="1" si="209"/>
        <v/>
      </c>
      <c r="AE5035" s="9" t="s">
        <v>12077</v>
      </c>
    </row>
    <row r="5036" spans="1:33" ht="29">
      <c r="A5036" s="3" t="s">
        <v>4667</v>
      </c>
      <c r="D5036" s="3" t="s">
        <v>11846</v>
      </c>
      <c r="E5036" s="3" t="s">
        <v>11847</v>
      </c>
      <c r="G5036" t="s">
        <v>19</v>
      </c>
      <c r="J5036" s="9" t="s">
        <v>12120</v>
      </c>
      <c r="Q5036" s="10"/>
      <c r="U5036" s="9" t="str">
        <f t="shared" ca="1" si="208"/>
        <v/>
      </c>
      <c r="V5036" s="9" t="str">
        <f t="shared" ca="1" si="209"/>
        <v/>
      </c>
      <c r="AE5036" s="9" t="s">
        <v>12089</v>
      </c>
    </row>
    <row r="5037" spans="1:33" ht="29">
      <c r="A5037" s="3" t="s">
        <v>4667</v>
      </c>
      <c r="D5037" s="3" t="s">
        <v>11848</v>
      </c>
      <c r="E5037" s="3" t="s">
        <v>11849</v>
      </c>
      <c r="G5037" t="s">
        <v>20</v>
      </c>
      <c r="I5037" t="s">
        <v>11850</v>
      </c>
      <c r="Q5037" s="10"/>
      <c r="U5037" s="9" t="str">
        <f t="shared" ca="1" si="208"/>
        <v/>
      </c>
      <c r="V5037" s="9" t="str">
        <f t="shared" ca="1" si="209"/>
        <v/>
      </c>
    </row>
    <row r="5038" spans="1:33" ht="29">
      <c r="A5038" s="3" t="s">
        <v>4668</v>
      </c>
      <c r="D5038" s="3" t="s">
        <v>11851</v>
      </c>
      <c r="E5038" s="3" t="s">
        <v>11852</v>
      </c>
      <c r="F5038" t="s">
        <v>11</v>
      </c>
      <c r="G5038" t="s">
        <v>19</v>
      </c>
      <c r="I5038" t="s">
        <v>11853</v>
      </c>
      <c r="Q5038" s="10"/>
      <c r="U5038" s="9" t="str">
        <f t="shared" ca="1" si="208"/>
        <v/>
      </c>
      <c r="V5038" s="9" t="str">
        <f t="shared" ca="1" si="209"/>
        <v/>
      </c>
    </row>
    <row r="5039" spans="1:33" ht="29">
      <c r="A5039" s="3" t="s">
        <v>4668</v>
      </c>
      <c r="D5039" s="3" t="s">
        <v>11855</v>
      </c>
      <c r="E5039" s="3" t="s">
        <v>11854</v>
      </c>
      <c r="G5039" t="s">
        <v>19</v>
      </c>
      <c r="J5039" s="9" t="s">
        <v>24</v>
      </c>
      <c r="L5039" s="9">
        <v>1</v>
      </c>
      <c r="M5039" s="9">
        <v>2</v>
      </c>
      <c r="N5039" s="9" t="s">
        <v>12087</v>
      </c>
      <c r="O5039" s="9" t="s">
        <v>12119</v>
      </c>
      <c r="Q5039" s="10"/>
      <c r="S5039" s="9">
        <v>1966</v>
      </c>
      <c r="U5039" s="9" t="str">
        <f t="shared" ca="1" si="208"/>
        <v/>
      </c>
      <c r="V5039" s="9" t="str">
        <f t="shared" ca="1" si="209"/>
        <v/>
      </c>
    </row>
    <row r="5040" spans="1:33" ht="29">
      <c r="A5040" s="3" t="s">
        <v>4668</v>
      </c>
      <c r="D5040" s="3" t="s">
        <v>11856</v>
      </c>
      <c r="E5040" s="3" t="s">
        <v>11857</v>
      </c>
      <c r="G5040" t="s">
        <v>19</v>
      </c>
      <c r="J5040" s="9" t="s">
        <v>12118</v>
      </c>
      <c r="Q5040" s="10"/>
      <c r="T5040" s="9">
        <f>4240-930</f>
        <v>3310</v>
      </c>
      <c r="U5040" s="9">
        <f t="shared" ca="1" si="208"/>
        <v>930</v>
      </c>
      <c r="V5040" s="9">
        <f t="shared" ca="1" si="209"/>
        <v>4240</v>
      </c>
    </row>
    <row r="5041" spans="1:33" ht="29">
      <c r="A5041" s="3" t="s">
        <v>4668</v>
      </c>
      <c r="D5041" s="3" t="s">
        <v>11859</v>
      </c>
      <c r="E5041" s="3" t="s">
        <v>11858</v>
      </c>
      <c r="G5041" t="s">
        <v>19</v>
      </c>
      <c r="J5041" s="9" t="s">
        <v>12120</v>
      </c>
      <c r="Q5041" s="10"/>
      <c r="U5041" s="9" t="str">
        <f t="shared" ca="1" si="208"/>
        <v/>
      </c>
      <c r="V5041" s="9" t="str">
        <f t="shared" ca="1" si="209"/>
        <v/>
      </c>
      <c r="AE5041" s="9" t="s">
        <v>12083</v>
      </c>
    </row>
    <row r="5042" spans="1:33">
      <c r="A5042" s="3" t="s">
        <v>4669</v>
      </c>
      <c r="D5042" s="3" t="s">
        <v>11861</v>
      </c>
      <c r="E5042" s="3" t="s">
        <v>11860</v>
      </c>
      <c r="G5042" t="s">
        <v>19</v>
      </c>
      <c r="J5042" s="9" t="s">
        <v>12120</v>
      </c>
      <c r="Q5042" s="10"/>
      <c r="U5042" s="9" t="str">
        <f t="shared" ca="1" si="208"/>
        <v/>
      </c>
      <c r="V5042" s="9" t="str">
        <f t="shared" ca="1" si="209"/>
        <v/>
      </c>
    </row>
    <row r="5043" spans="1:33">
      <c r="A5043" s="3" t="s">
        <v>4669</v>
      </c>
      <c r="D5043" s="3" t="s">
        <v>11863</v>
      </c>
      <c r="E5043" s="3" t="s">
        <v>11862</v>
      </c>
      <c r="G5043" t="s">
        <v>19</v>
      </c>
      <c r="J5043" s="9" t="s">
        <v>24</v>
      </c>
      <c r="L5043" s="9">
        <v>1</v>
      </c>
      <c r="M5043" s="9">
        <v>5</v>
      </c>
      <c r="N5043" s="9" t="s">
        <v>12094</v>
      </c>
      <c r="O5043" s="9" t="s">
        <v>12079</v>
      </c>
      <c r="Q5043" s="10"/>
      <c r="S5043" s="9">
        <v>4240</v>
      </c>
      <c r="U5043" s="9" t="str">
        <f t="shared" ca="1" si="208"/>
        <v/>
      </c>
      <c r="V5043" s="9" t="str">
        <f t="shared" ca="1" si="209"/>
        <v/>
      </c>
    </row>
    <row r="5044" spans="1:33">
      <c r="A5044" s="3" t="s">
        <v>4669</v>
      </c>
      <c r="D5044" s="3" t="s">
        <v>4670</v>
      </c>
      <c r="E5044" s="3" t="s">
        <v>2476</v>
      </c>
      <c r="F5044" t="s">
        <v>11</v>
      </c>
      <c r="Q5044" s="10"/>
      <c r="U5044" s="9" t="str">
        <f t="shared" ca="1" si="208"/>
        <v/>
      </c>
      <c r="V5044" s="9" t="str">
        <f t="shared" ca="1" si="209"/>
        <v/>
      </c>
    </row>
    <row r="5045" spans="1:33">
      <c r="A5045" s="3" t="s">
        <v>4671</v>
      </c>
      <c r="D5045" s="3" t="s">
        <v>11864</v>
      </c>
      <c r="E5045" s="3" t="s">
        <v>11864</v>
      </c>
      <c r="G5045" t="s">
        <v>20</v>
      </c>
      <c r="I5045" t="s">
        <v>10039</v>
      </c>
      <c r="Q5045" s="10"/>
      <c r="U5045" s="9" t="str">
        <f t="shared" ca="1" si="208"/>
        <v/>
      </c>
      <c r="V5045" s="9" t="str">
        <f t="shared" ca="1" si="209"/>
        <v/>
      </c>
    </row>
    <row r="5046" spans="1:33" ht="87">
      <c r="A5046" s="3" t="s">
        <v>4672</v>
      </c>
      <c r="D5046" s="3" t="s">
        <v>11868</v>
      </c>
      <c r="E5046" s="3" t="s">
        <v>11867</v>
      </c>
      <c r="F5046" t="s">
        <v>4774</v>
      </c>
      <c r="G5046" t="s">
        <v>19</v>
      </c>
      <c r="I5046" s="4" t="s">
        <v>12622</v>
      </c>
      <c r="J5046" s="9" t="s">
        <v>27</v>
      </c>
      <c r="Q5046" s="10"/>
      <c r="U5046" s="9" t="str">
        <f t="shared" ref="U5046" ca="1" si="212">IF(ISNUMBER(T5046),VALUE(MID(_xlfn.FORMULATEXT(T5046),SEARCH("-",_xlfn.FORMULATEXT(T5046))+1,LEN(_xlfn.FORMULATEXT(T5046))-SEARCH("-",_xlfn.FORMULATEXT(T5046)))), "")</f>
        <v/>
      </c>
      <c r="V5046" s="9" t="str">
        <f t="shared" ref="V5046" ca="1" si="213">IF(ISNUMBER(T5046), VALUE(MID(_xlfn.FORMULATEXT(T5046), 2, SEARCH("-", _xlfn.FORMULATEXT(T5046)) - 2)), "")</f>
        <v/>
      </c>
    </row>
    <row r="5047" spans="1:33" ht="87">
      <c r="A5047" s="3" t="s">
        <v>4672</v>
      </c>
      <c r="D5047" s="3" t="s">
        <v>11868</v>
      </c>
      <c r="E5047" s="3" t="s">
        <v>11867</v>
      </c>
      <c r="F5047" t="s">
        <v>4774</v>
      </c>
      <c r="G5047" t="s">
        <v>19</v>
      </c>
      <c r="I5047" s="4" t="s">
        <v>12622</v>
      </c>
      <c r="J5047" s="9" t="s">
        <v>26</v>
      </c>
      <c r="Q5047" s="10"/>
      <c r="U5047" s="9" t="str">
        <f t="shared" ca="1" si="208"/>
        <v/>
      </c>
      <c r="V5047" s="9" t="str">
        <f t="shared" ca="1" si="209"/>
        <v/>
      </c>
    </row>
    <row r="5048" spans="1:33" ht="87">
      <c r="A5048" s="3" t="s">
        <v>4672</v>
      </c>
      <c r="D5048" s="3" t="s">
        <v>11866</v>
      </c>
      <c r="E5048" s="3" t="s">
        <v>11869</v>
      </c>
      <c r="F5048" t="s">
        <v>4774</v>
      </c>
      <c r="G5048" t="s">
        <v>19</v>
      </c>
      <c r="I5048" s="4"/>
      <c r="J5048" s="9" t="s">
        <v>24</v>
      </c>
      <c r="L5048" s="9">
        <v>2</v>
      </c>
      <c r="M5048" s="9">
        <v>8</v>
      </c>
      <c r="O5048" s="9" t="s">
        <v>12079</v>
      </c>
      <c r="Q5048" s="10"/>
      <c r="S5048" s="9">
        <v>780</v>
      </c>
      <c r="U5048" s="9" t="str">
        <f t="shared" ca="1" si="208"/>
        <v/>
      </c>
      <c r="V5048" s="9" t="str">
        <f t="shared" ca="1" si="209"/>
        <v/>
      </c>
    </row>
    <row r="5049" spans="1:33" ht="87">
      <c r="A5049" s="3" t="s">
        <v>4672</v>
      </c>
      <c r="D5049" s="3" t="s">
        <v>11870</v>
      </c>
      <c r="E5049" s="3" t="s">
        <v>11865</v>
      </c>
      <c r="F5049" t="s">
        <v>4774</v>
      </c>
      <c r="G5049" t="s">
        <v>19</v>
      </c>
      <c r="I5049" s="4"/>
      <c r="J5049" s="9" t="s">
        <v>25</v>
      </c>
      <c r="L5049" s="9">
        <v>1</v>
      </c>
      <c r="M5049" s="9">
        <v>5</v>
      </c>
      <c r="N5049" s="9" t="s">
        <v>12125</v>
      </c>
      <c r="O5049" s="9" t="s">
        <v>12079</v>
      </c>
      <c r="Q5049" s="10"/>
      <c r="S5049" s="9">
        <v>2042</v>
      </c>
      <c r="U5049" s="9" t="str">
        <f t="shared" ca="1" si="208"/>
        <v/>
      </c>
      <c r="V5049" s="9" t="str">
        <f t="shared" ca="1" si="209"/>
        <v/>
      </c>
    </row>
    <row r="5050" spans="1:33" ht="87">
      <c r="A5050" s="3" t="s">
        <v>4672</v>
      </c>
      <c r="D5050" s="3" t="s">
        <v>12624</v>
      </c>
      <c r="E5050" s="3" t="s">
        <v>12623</v>
      </c>
      <c r="F5050" t="s">
        <v>4774</v>
      </c>
      <c r="G5050" t="s">
        <v>19</v>
      </c>
      <c r="I5050" s="4"/>
      <c r="J5050" s="9" t="s">
        <v>12120</v>
      </c>
      <c r="Q5050" s="10"/>
      <c r="U5050" s="9" t="str">
        <f t="shared" ca="1" si="208"/>
        <v/>
      </c>
      <c r="V5050" s="9" t="str">
        <f t="shared" ca="1" si="209"/>
        <v/>
      </c>
    </row>
    <row r="5051" spans="1:33" ht="87">
      <c r="A5051" s="3" t="s">
        <v>4672</v>
      </c>
      <c r="D5051" s="3" t="s">
        <v>12625</v>
      </c>
      <c r="E5051" s="3" t="s">
        <v>11865</v>
      </c>
      <c r="F5051" t="s">
        <v>4774</v>
      </c>
      <c r="I5051" s="4"/>
      <c r="J5051" s="9" t="s">
        <v>25</v>
      </c>
      <c r="L5051" s="9">
        <v>1</v>
      </c>
      <c r="M5051" s="9">
        <v>3</v>
      </c>
      <c r="N5051" s="9" t="s">
        <v>12094</v>
      </c>
      <c r="O5051" s="9" t="s">
        <v>12079</v>
      </c>
      <c r="Q5051" s="10"/>
      <c r="S5051" s="9">
        <v>1741</v>
      </c>
      <c r="U5051" s="9" t="str">
        <f t="shared" ca="1" si="208"/>
        <v/>
      </c>
      <c r="V5051" s="9" t="str">
        <f t="shared" ca="1" si="209"/>
        <v/>
      </c>
    </row>
    <row r="5052" spans="1:33" ht="87">
      <c r="A5052" s="3" t="s">
        <v>4672</v>
      </c>
      <c r="D5052" s="3" t="s">
        <v>11866</v>
      </c>
      <c r="E5052" s="3" t="s">
        <v>11871</v>
      </c>
      <c r="F5052" t="s">
        <v>4774</v>
      </c>
      <c r="G5052" t="s">
        <v>19</v>
      </c>
      <c r="I5052" s="4"/>
      <c r="J5052" s="9" t="s">
        <v>24</v>
      </c>
      <c r="L5052" s="9">
        <v>1</v>
      </c>
      <c r="M5052" s="9">
        <v>5</v>
      </c>
      <c r="N5052" s="9" t="s">
        <v>12094</v>
      </c>
      <c r="O5052" s="9" t="s">
        <v>12079</v>
      </c>
      <c r="Q5052" s="10"/>
      <c r="S5052" s="9">
        <v>4240</v>
      </c>
      <c r="U5052" s="9" t="str">
        <f t="shared" ca="1" si="208"/>
        <v/>
      </c>
      <c r="V5052" s="9" t="str">
        <f t="shared" ca="1" si="209"/>
        <v/>
      </c>
    </row>
    <row r="5053" spans="1:33">
      <c r="A5053" s="3" t="s">
        <v>4672</v>
      </c>
      <c r="D5053" s="3" t="s">
        <v>11872</v>
      </c>
      <c r="E5053" s="3" t="s">
        <v>11873</v>
      </c>
      <c r="J5053" s="9" t="s">
        <v>12118</v>
      </c>
      <c r="Q5053" s="10"/>
      <c r="T5053" s="9">
        <f>1101-560</f>
        <v>541</v>
      </c>
      <c r="U5053" s="9">
        <f t="shared" ca="1" si="208"/>
        <v>560</v>
      </c>
      <c r="V5053" s="9">
        <f t="shared" ca="1" si="209"/>
        <v>1101</v>
      </c>
      <c r="AG5053" s="9" t="s">
        <v>19</v>
      </c>
    </row>
    <row r="5054" spans="1:33" ht="72.5">
      <c r="A5054" s="3" t="s">
        <v>4673</v>
      </c>
      <c r="D5054" s="3" t="s">
        <v>11876</v>
      </c>
      <c r="E5054" s="3" t="s">
        <v>11877</v>
      </c>
      <c r="F5054" t="s">
        <v>4774</v>
      </c>
      <c r="J5054" s="15" t="s">
        <v>27</v>
      </c>
      <c r="K5054" s="15"/>
      <c r="L5054" s="15"/>
      <c r="M5054" s="15"/>
      <c r="N5054" s="15"/>
      <c r="O5054" s="15"/>
      <c r="P5054" s="15"/>
      <c r="Q5054" s="16"/>
      <c r="R5054" s="15"/>
      <c r="S5054" s="15"/>
      <c r="T5054" s="15"/>
      <c r="U5054" s="15" t="str">
        <f t="shared" ref="U5054" ca="1" si="214">IF(ISNUMBER(T5054),VALUE(MID(_xlfn.FORMULATEXT(T5054),SEARCH("-",_xlfn.FORMULATEXT(T5054))+1,LEN(_xlfn.FORMULATEXT(T5054))-SEARCH("-",_xlfn.FORMULATEXT(T5054)))), "")</f>
        <v/>
      </c>
      <c r="V5054" s="15" t="str">
        <f t="shared" ref="V5054" ca="1" si="215">IF(ISNUMBER(T5054), VALUE(MID(_xlfn.FORMULATEXT(T5054), 2, SEARCH("-", _xlfn.FORMULATEXT(T5054)) - 2)), "")</f>
        <v/>
      </c>
      <c r="W5054" s="15"/>
      <c r="X5054" s="15"/>
      <c r="Y5054" s="15"/>
      <c r="Z5054" s="15"/>
      <c r="AA5054" s="15"/>
      <c r="AB5054" s="15"/>
      <c r="AC5054" s="15"/>
      <c r="AD5054" s="15"/>
      <c r="AE5054" s="15"/>
      <c r="AF5054" s="15"/>
      <c r="AG5054" s="15"/>
    </row>
    <row r="5055" spans="1:33" ht="72.5">
      <c r="A5055" s="3" t="s">
        <v>4673</v>
      </c>
      <c r="D5055" s="3" t="s">
        <v>11876</v>
      </c>
      <c r="E5055" s="3" t="s">
        <v>11877</v>
      </c>
      <c r="F5055" t="s">
        <v>11</v>
      </c>
      <c r="I5055" s="4"/>
      <c r="Q5055" s="10"/>
      <c r="U5055" s="9" t="str">
        <f t="shared" ca="1" si="208"/>
        <v/>
      </c>
      <c r="V5055" s="9" t="str">
        <f t="shared" ca="1" si="209"/>
        <v/>
      </c>
    </row>
    <row r="5056" spans="1:33" ht="72.5">
      <c r="A5056" s="3" t="s">
        <v>4673</v>
      </c>
      <c r="D5056" s="3" t="s">
        <v>11878</v>
      </c>
      <c r="E5056" s="3" t="s">
        <v>11879</v>
      </c>
      <c r="F5056" t="s">
        <v>11</v>
      </c>
      <c r="I5056" s="4"/>
      <c r="Q5056" s="10"/>
      <c r="U5056" s="9" t="str">
        <f t="shared" ca="1" si="208"/>
        <v/>
      </c>
      <c r="V5056" s="9" t="str">
        <f t="shared" ca="1" si="209"/>
        <v/>
      </c>
    </row>
    <row r="5057" spans="1:33" ht="72.5">
      <c r="A5057" s="3" t="s">
        <v>4673</v>
      </c>
      <c r="D5057" s="3" t="s">
        <v>11874</v>
      </c>
      <c r="E5057" s="3" t="s">
        <v>11880</v>
      </c>
      <c r="F5057" t="s">
        <v>11</v>
      </c>
      <c r="I5057" s="4"/>
      <c r="Q5057" s="10"/>
      <c r="U5057" s="9" t="str">
        <f t="shared" ca="1" si="208"/>
        <v/>
      </c>
      <c r="V5057" s="9" t="str">
        <f t="shared" ca="1" si="209"/>
        <v/>
      </c>
    </row>
    <row r="5058" spans="1:33" ht="72.5">
      <c r="A5058" s="3" t="s">
        <v>4673</v>
      </c>
      <c r="D5058" s="3" t="s">
        <v>11881</v>
      </c>
      <c r="E5058" s="3" t="s">
        <v>11882</v>
      </c>
      <c r="F5058" t="s">
        <v>11</v>
      </c>
      <c r="I5058" s="4"/>
      <c r="Q5058" s="10"/>
      <c r="U5058" s="9" t="str">
        <f t="shared" ca="1" si="208"/>
        <v/>
      </c>
      <c r="V5058" s="9" t="str">
        <f t="shared" ca="1" si="209"/>
        <v/>
      </c>
    </row>
    <row r="5059" spans="1:33" ht="72.5">
      <c r="A5059" s="3" t="s">
        <v>4673</v>
      </c>
      <c r="D5059" s="3" t="s">
        <v>11883</v>
      </c>
      <c r="E5059" s="3" t="s">
        <v>11875</v>
      </c>
      <c r="F5059" t="s">
        <v>11</v>
      </c>
      <c r="I5059" s="4"/>
      <c r="Q5059" s="10"/>
      <c r="U5059" s="9" t="str">
        <f t="shared" ca="1" si="208"/>
        <v/>
      </c>
      <c r="V5059" s="9" t="str">
        <f t="shared" ca="1" si="209"/>
        <v/>
      </c>
    </row>
    <row r="5060" spans="1:33" ht="29">
      <c r="A5060" s="3" t="s">
        <v>4673</v>
      </c>
      <c r="D5060" s="3" t="s">
        <v>11884</v>
      </c>
      <c r="E5060" s="3" t="s">
        <v>11885</v>
      </c>
      <c r="J5060" s="9" t="s">
        <v>12118</v>
      </c>
      <c r="Q5060" s="10"/>
      <c r="T5060" s="9">
        <f>507-14</f>
        <v>493</v>
      </c>
      <c r="U5060" s="9">
        <f t="shared" ca="1" si="208"/>
        <v>14</v>
      </c>
      <c r="V5060" s="9">
        <f t="shared" ca="1" si="209"/>
        <v>507</v>
      </c>
      <c r="AG5060" s="9" t="s">
        <v>19</v>
      </c>
    </row>
    <row r="5061" spans="1:33">
      <c r="A5061" s="3" t="s">
        <v>4674</v>
      </c>
      <c r="D5061" s="3" t="s">
        <v>4675</v>
      </c>
      <c r="E5061" s="3" t="s">
        <v>11886</v>
      </c>
      <c r="G5061" t="s">
        <v>19</v>
      </c>
      <c r="J5061" s="9" t="s">
        <v>12118</v>
      </c>
      <c r="Q5061" s="10"/>
      <c r="T5061" s="9" t="s">
        <v>12131</v>
      </c>
      <c r="U5061" s="9" t="str">
        <f t="shared" ca="1" si="208"/>
        <v/>
      </c>
      <c r="V5061" s="9" t="str">
        <f t="shared" ca="1" si="209"/>
        <v/>
      </c>
      <c r="AB5061" s="9" t="s">
        <v>12124</v>
      </c>
      <c r="AD5061" s="9" t="s">
        <v>19</v>
      </c>
    </row>
    <row r="5062" spans="1:33">
      <c r="A5062" s="3" t="s">
        <v>4674</v>
      </c>
      <c r="D5062" s="3" t="s">
        <v>37</v>
      </c>
      <c r="E5062" s="3" t="s">
        <v>4676</v>
      </c>
      <c r="F5062" t="s">
        <v>4774</v>
      </c>
      <c r="I5062" t="s">
        <v>11887</v>
      </c>
      <c r="Q5062" s="10"/>
      <c r="U5062" s="9" t="str">
        <f t="shared" ca="1" si="208"/>
        <v/>
      </c>
      <c r="V5062" s="9" t="str">
        <f t="shared" ca="1" si="209"/>
        <v/>
      </c>
      <c r="AF5062" s="9" t="s">
        <v>19</v>
      </c>
    </row>
    <row r="5063" spans="1:33">
      <c r="A5063" s="3" t="s">
        <v>4677</v>
      </c>
      <c r="D5063" s="3" t="s">
        <v>37</v>
      </c>
      <c r="E5063" s="3" t="s">
        <v>4678</v>
      </c>
      <c r="F5063" t="s">
        <v>4774</v>
      </c>
      <c r="Q5063" s="10"/>
      <c r="U5063" s="9" t="str">
        <f t="shared" ca="1" si="208"/>
        <v/>
      </c>
      <c r="V5063" s="9" t="str">
        <f t="shared" ca="1" si="209"/>
        <v/>
      </c>
    </row>
    <row r="5064" spans="1:33">
      <c r="A5064" s="3" t="s">
        <v>4679</v>
      </c>
      <c r="D5064" s="3" t="s">
        <v>37</v>
      </c>
      <c r="E5064" s="3" t="s">
        <v>43</v>
      </c>
      <c r="F5064" t="s">
        <v>4774</v>
      </c>
      <c r="Q5064" s="10"/>
      <c r="U5064" s="9" t="str">
        <f t="shared" ca="1" si="208"/>
        <v/>
      </c>
      <c r="V5064" s="9" t="str">
        <f t="shared" ca="1" si="209"/>
        <v/>
      </c>
    </row>
    <row r="5065" spans="1:33">
      <c r="A5065" s="3" t="s">
        <v>4680</v>
      </c>
      <c r="D5065" s="3" t="s">
        <v>37</v>
      </c>
      <c r="E5065" s="3" t="s">
        <v>1185</v>
      </c>
      <c r="F5065" t="s">
        <v>4774</v>
      </c>
      <c r="Q5065" s="10"/>
      <c r="U5065" s="9" t="str">
        <f t="shared" ca="1" si="208"/>
        <v/>
      </c>
      <c r="V5065" s="9" t="str">
        <f t="shared" ca="1" si="209"/>
        <v/>
      </c>
    </row>
    <row r="5066" spans="1:33">
      <c r="A5066" s="3" t="s">
        <v>4681</v>
      </c>
      <c r="D5066" s="3" t="s">
        <v>37</v>
      </c>
      <c r="E5066" s="3" t="s">
        <v>43</v>
      </c>
      <c r="F5066" t="s">
        <v>4774</v>
      </c>
      <c r="Q5066" s="10"/>
      <c r="U5066" s="9" t="str">
        <f t="shared" ca="1" si="208"/>
        <v/>
      </c>
      <c r="V5066" s="9" t="str">
        <f t="shared" ca="1" si="209"/>
        <v/>
      </c>
    </row>
    <row r="5067" spans="1:33">
      <c r="A5067" s="3" t="s">
        <v>4682</v>
      </c>
      <c r="D5067" s="3" t="s">
        <v>37</v>
      </c>
      <c r="E5067" s="3" t="s">
        <v>3113</v>
      </c>
      <c r="F5067" t="s">
        <v>4774</v>
      </c>
      <c r="Q5067" s="10"/>
      <c r="U5067" s="9" t="str">
        <f t="shared" ca="1" si="208"/>
        <v/>
      </c>
      <c r="V5067" s="9" t="str">
        <f t="shared" ca="1" si="209"/>
        <v/>
      </c>
    </row>
    <row r="5068" spans="1:33">
      <c r="A5068" s="3" t="s">
        <v>4683</v>
      </c>
      <c r="D5068" s="3" t="s">
        <v>37</v>
      </c>
      <c r="E5068" s="3" t="s">
        <v>811</v>
      </c>
      <c r="F5068" t="s">
        <v>4774</v>
      </c>
      <c r="Q5068" s="10"/>
      <c r="U5068" s="9" t="str">
        <f t="shared" ca="1" si="208"/>
        <v/>
      </c>
      <c r="V5068" s="9" t="str">
        <f t="shared" ca="1" si="209"/>
        <v/>
      </c>
    </row>
    <row r="5069" spans="1:33">
      <c r="A5069" s="3" t="s">
        <v>4684</v>
      </c>
      <c r="D5069" s="3" t="s">
        <v>37</v>
      </c>
      <c r="E5069" s="3" t="s">
        <v>2054</v>
      </c>
      <c r="F5069" t="s">
        <v>4774</v>
      </c>
      <c r="Q5069" s="10"/>
      <c r="U5069" s="9" t="str">
        <f t="shared" ca="1" si="208"/>
        <v/>
      </c>
      <c r="V5069" s="9" t="str">
        <f t="shared" ca="1" si="209"/>
        <v/>
      </c>
    </row>
    <row r="5070" spans="1:33" ht="29">
      <c r="A5070" s="3" t="s">
        <v>4685</v>
      </c>
      <c r="D5070" s="3" t="s">
        <v>11888</v>
      </c>
      <c r="E5070" s="3" t="s">
        <v>11889</v>
      </c>
      <c r="J5070" s="9" t="s">
        <v>12118</v>
      </c>
      <c r="Q5070" s="10"/>
      <c r="R5070" s="9" t="s">
        <v>12074</v>
      </c>
      <c r="T5070" s="9" t="s">
        <v>12131</v>
      </c>
      <c r="U5070" s="9" t="str">
        <f t="shared" ca="1" si="208"/>
        <v/>
      </c>
      <c r="V5070" s="9" t="str">
        <f t="shared" ca="1" si="209"/>
        <v/>
      </c>
      <c r="AE5070" s="9" t="s">
        <v>12077</v>
      </c>
    </row>
    <row r="5071" spans="1:33">
      <c r="A5071" s="3" t="s">
        <v>4686</v>
      </c>
      <c r="D5071" s="3" t="s">
        <v>11890</v>
      </c>
      <c r="E5071" s="3" t="s">
        <v>11891</v>
      </c>
      <c r="G5071" t="s">
        <v>19</v>
      </c>
      <c r="J5071" s="9" t="s">
        <v>12118</v>
      </c>
      <c r="Q5071" s="10"/>
      <c r="T5071" s="9">
        <f>507-1</f>
        <v>506</v>
      </c>
      <c r="U5071" s="9">
        <f t="shared" ca="1" si="208"/>
        <v>1</v>
      </c>
      <c r="V5071" s="9">
        <f t="shared" ca="1" si="209"/>
        <v>507</v>
      </c>
    </row>
    <row r="5072" spans="1:33">
      <c r="A5072" s="3" t="s">
        <v>4686</v>
      </c>
      <c r="D5072" s="3" t="s">
        <v>11892</v>
      </c>
      <c r="E5072" s="3" t="s">
        <v>11893</v>
      </c>
      <c r="G5072" t="s">
        <v>19</v>
      </c>
      <c r="J5072" s="9" t="s">
        <v>12118</v>
      </c>
      <c r="Q5072" s="10"/>
      <c r="T5072" s="9">
        <f>5676-1966</f>
        <v>3710</v>
      </c>
      <c r="U5072" s="9">
        <f t="shared" ref="U5072:U5133" ca="1" si="216">IF(ISNUMBER(T5072),VALUE(MID(_xlfn.FORMULATEXT(T5072),SEARCH("-",_xlfn.FORMULATEXT(T5072))+1,LEN(_xlfn.FORMULATEXT(T5072))-SEARCH("-",_xlfn.FORMULATEXT(T5072)))), "")</f>
        <v>1966</v>
      </c>
      <c r="V5072" s="9">
        <f t="shared" ref="V5072:V5133" ca="1" si="217">IF(ISNUMBER(T5072), VALUE(MID(_xlfn.FORMULATEXT(T5072), 2, SEARCH("-", _xlfn.FORMULATEXT(T5072)) - 2)), "")</f>
        <v>5676</v>
      </c>
    </row>
    <row r="5073" spans="1:33" ht="43.5">
      <c r="A5073" s="3" t="s">
        <v>4686</v>
      </c>
      <c r="D5073" s="3" t="s">
        <v>11897</v>
      </c>
      <c r="E5073" s="3" t="s">
        <v>11894</v>
      </c>
      <c r="I5073" t="s">
        <v>12413</v>
      </c>
      <c r="J5073" s="9" t="s">
        <v>26</v>
      </c>
      <c r="Q5073" s="10"/>
      <c r="U5073" s="9" t="str">
        <f t="shared" ca="1" si="216"/>
        <v/>
      </c>
      <c r="V5073" s="9" t="str">
        <f t="shared" ca="1" si="217"/>
        <v/>
      </c>
      <c r="AG5073" s="9" t="s">
        <v>20</v>
      </c>
    </row>
    <row r="5074" spans="1:33" ht="43.5">
      <c r="A5074" s="3" t="s">
        <v>4686</v>
      </c>
      <c r="D5074" s="3" t="s">
        <v>11896</v>
      </c>
      <c r="E5074" s="3" t="s">
        <v>11895</v>
      </c>
      <c r="J5074" s="9" t="s">
        <v>12120</v>
      </c>
      <c r="Q5074" s="10"/>
      <c r="U5074" s="9" t="str">
        <f t="shared" ca="1" si="216"/>
        <v/>
      </c>
      <c r="V5074" s="9" t="str">
        <f t="shared" ca="1" si="217"/>
        <v/>
      </c>
      <c r="AB5074" s="9" t="s">
        <v>12082</v>
      </c>
      <c r="AD5074" s="9" t="s">
        <v>19</v>
      </c>
    </row>
    <row r="5075" spans="1:33">
      <c r="A5075" s="3" t="s">
        <v>4686</v>
      </c>
      <c r="D5075" s="3" t="s">
        <v>11899</v>
      </c>
      <c r="E5075" s="3" t="s">
        <v>11898</v>
      </c>
      <c r="G5075" t="s">
        <v>19</v>
      </c>
      <c r="J5075" s="9" t="s">
        <v>24</v>
      </c>
      <c r="L5075" s="9">
        <v>1</v>
      </c>
      <c r="M5075" s="9">
        <v>2</v>
      </c>
      <c r="N5075" s="9" t="s">
        <v>12078</v>
      </c>
      <c r="O5075" s="9" t="s">
        <v>12119</v>
      </c>
      <c r="Q5075" s="10"/>
      <c r="S5075" s="9">
        <v>11843</v>
      </c>
      <c r="U5075" s="9" t="str">
        <f t="shared" ca="1" si="216"/>
        <v/>
      </c>
      <c r="V5075" s="9" t="str">
        <f t="shared" ca="1" si="217"/>
        <v/>
      </c>
    </row>
    <row r="5076" spans="1:33">
      <c r="A5076" s="3" t="s">
        <v>4687</v>
      </c>
      <c r="D5076" s="3" t="s">
        <v>4688</v>
      </c>
      <c r="E5076" s="3" t="s">
        <v>11900</v>
      </c>
      <c r="G5076" t="s">
        <v>19</v>
      </c>
      <c r="J5076" s="9" t="s">
        <v>12120</v>
      </c>
      <c r="Q5076" s="10"/>
      <c r="U5076" s="9" t="str">
        <f t="shared" ca="1" si="216"/>
        <v/>
      </c>
      <c r="V5076" s="9" t="str">
        <f t="shared" ca="1" si="217"/>
        <v/>
      </c>
    </row>
    <row r="5077" spans="1:33">
      <c r="A5077" s="3" t="s">
        <v>4689</v>
      </c>
      <c r="D5077" s="3" t="s">
        <v>11902</v>
      </c>
      <c r="E5077" s="3" t="s">
        <v>11901</v>
      </c>
      <c r="G5077" t="s">
        <v>19</v>
      </c>
      <c r="J5077" s="9" t="s">
        <v>12118</v>
      </c>
      <c r="Q5077" s="10"/>
      <c r="T5077" s="9">
        <f>1-4</f>
        <v>-3</v>
      </c>
      <c r="U5077" s="9">
        <f t="shared" ca="1" si="216"/>
        <v>4</v>
      </c>
      <c r="V5077" s="9">
        <f t="shared" ca="1" si="217"/>
        <v>1</v>
      </c>
    </row>
    <row r="5078" spans="1:33" ht="29">
      <c r="A5078" s="3" t="s">
        <v>4690</v>
      </c>
      <c r="D5078" s="3" t="s">
        <v>11904</v>
      </c>
      <c r="E5078" s="3" t="s">
        <v>11903</v>
      </c>
      <c r="G5078" t="s">
        <v>19</v>
      </c>
      <c r="J5078" s="9" t="s">
        <v>25</v>
      </c>
      <c r="L5078" s="9">
        <v>1</v>
      </c>
      <c r="M5078" s="9">
        <v>2</v>
      </c>
      <c r="N5078" s="9" t="s">
        <v>12078</v>
      </c>
      <c r="O5078" s="9" t="s">
        <v>12119</v>
      </c>
      <c r="Q5078" s="10"/>
      <c r="S5078" s="9">
        <v>11843</v>
      </c>
      <c r="U5078" s="9" t="str">
        <f t="shared" ca="1" si="216"/>
        <v/>
      </c>
      <c r="V5078" s="9" t="str">
        <f t="shared" ca="1" si="217"/>
        <v/>
      </c>
    </row>
    <row r="5079" spans="1:33">
      <c r="A5079" s="3" t="s">
        <v>4690</v>
      </c>
      <c r="D5079" s="3" t="s">
        <v>11905</v>
      </c>
      <c r="E5079" s="3" t="s">
        <v>11906</v>
      </c>
      <c r="J5079" s="9" t="s">
        <v>12118</v>
      </c>
      <c r="Q5079" s="10"/>
      <c r="T5079" s="9">
        <f>361-472</f>
        <v>-111</v>
      </c>
      <c r="U5079" s="9">
        <f t="shared" ca="1" si="216"/>
        <v>472</v>
      </c>
      <c r="V5079" s="9">
        <f t="shared" ca="1" si="217"/>
        <v>361</v>
      </c>
      <c r="AG5079" s="9" t="s">
        <v>19</v>
      </c>
    </row>
    <row r="5080" spans="1:33">
      <c r="A5080" s="3" t="s">
        <v>4691</v>
      </c>
      <c r="D5080" s="3" t="s">
        <v>37</v>
      </c>
      <c r="E5080" s="3" t="s">
        <v>4692</v>
      </c>
      <c r="F5080" t="s">
        <v>4774</v>
      </c>
      <c r="I5080" t="s">
        <v>11907</v>
      </c>
      <c r="Q5080" s="10"/>
      <c r="U5080" s="9" t="str">
        <f t="shared" ca="1" si="216"/>
        <v/>
      </c>
      <c r="V5080" s="9" t="str">
        <f t="shared" ca="1" si="217"/>
        <v/>
      </c>
    </row>
    <row r="5081" spans="1:33">
      <c r="A5081" s="3" t="s">
        <v>4693</v>
      </c>
      <c r="D5081" s="3" t="s">
        <v>37</v>
      </c>
      <c r="E5081" s="3" t="s">
        <v>2888</v>
      </c>
      <c r="F5081" t="s">
        <v>4774</v>
      </c>
      <c r="Q5081" s="10"/>
      <c r="U5081" s="9" t="str">
        <f t="shared" ca="1" si="216"/>
        <v/>
      </c>
      <c r="V5081" s="9" t="str">
        <f t="shared" ca="1" si="217"/>
        <v/>
      </c>
    </row>
    <row r="5082" spans="1:33" ht="29">
      <c r="A5082" s="3" t="s">
        <v>4695</v>
      </c>
      <c r="D5082" s="3" t="s">
        <v>11908</v>
      </c>
      <c r="E5082" s="3" t="s">
        <v>11909</v>
      </c>
      <c r="F5082" t="s">
        <v>11</v>
      </c>
      <c r="G5082" t="s">
        <v>19</v>
      </c>
      <c r="Q5082" s="10"/>
      <c r="U5082" s="9" t="str">
        <f t="shared" ca="1" si="216"/>
        <v/>
      </c>
      <c r="V5082" s="9" t="str">
        <f t="shared" ca="1" si="217"/>
        <v/>
      </c>
    </row>
    <row r="5083" spans="1:33" ht="58">
      <c r="A5083" s="3" t="s">
        <v>4696</v>
      </c>
      <c r="D5083" s="3" t="s">
        <v>11910</v>
      </c>
      <c r="E5083" s="3" t="s">
        <v>11911</v>
      </c>
      <c r="F5083" t="s">
        <v>4774</v>
      </c>
      <c r="J5083" s="15" t="s">
        <v>27</v>
      </c>
      <c r="K5083" s="15"/>
      <c r="L5083" s="15">
        <v>1</v>
      </c>
      <c r="M5083" s="15">
        <v>3</v>
      </c>
      <c r="N5083" s="15" t="s">
        <v>12087</v>
      </c>
      <c r="O5083" s="15" t="s">
        <v>12079</v>
      </c>
      <c r="P5083" s="15"/>
      <c r="Q5083" s="16"/>
      <c r="R5083" s="15"/>
      <c r="S5083" s="15">
        <v>5676</v>
      </c>
      <c r="T5083" s="15"/>
      <c r="U5083" s="15" t="str">
        <f t="shared" ref="U5083" ca="1" si="218">IF(ISNUMBER(T5083),VALUE(MID(_xlfn.FORMULATEXT(T5083),SEARCH("-",_xlfn.FORMULATEXT(T5083))+1,LEN(_xlfn.FORMULATEXT(T5083))-SEARCH("-",_xlfn.FORMULATEXT(T5083)))), "")</f>
        <v/>
      </c>
      <c r="V5083" s="15" t="str">
        <f t="shared" ref="V5083" ca="1" si="219">IF(ISNUMBER(T5083), VALUE(MID(_xlfn.FORMULATEXT(T5083), 2, SEARCH("-", _xlfn.FORMULATEXT(T5083)) - 2)), "")</f>
        <v/>
      </c>
      <c r="W5083" s="15"/>
      <c r="X5083" s="15"/>
      <c r="Y5083" s="15"/>
      <c r="Z5083" s="15"/>
      <c r="AA5083" s="15"/>
      <c r="AB5083" s="15"/>
      <c r="AC5083" s="15"/>
      <c r="AD5083" s="15"/>
      <c r="AE5083" s="15"/>
      <c r="AF5083" s="15"/>
      <c r="AG5083" s="15"/>
    </row>
    <row r="5084" spans="1:33" ht="58">
      <c r="A5084" s="3" t="s">
        <v>4696</v>
      </c>
      <c r="D5084" s="3" t="s">
        <v>11910</v>
      </c>
      <c r="E5084" s="3" t="s">
        <v>11911</v>
      </c>
      <c r="F5084" t="s">
        <v>4774</v>
      </c>
      <c r="I5084" s="4"/>
      <c r="J5084" s="9" t="s">
        <v>24</v>
      </c>
      <c r="L5084" s="9">
        <v>1</v>
      </c>
      <c r="M5084" s="9">
        <v>3</v>
      </c>
      <c r="N5084" s="9" t="s">
        <v>12087</v>
      </c>
      <c r="O5084" s="9" t="s">
        <v>12079</v>
      </c>
      <c r="Q5084" s="10"/>
      <c r="S5084" s="9">
        <v>5676</v>
      </c>
      <c r="U5084" s="9" t="str">
        <f t="shared" ca="1" si="216"/>
        <v/>
      </c>
      <c r="V5084" s="9" t="str">
        <f t="shared" ca="1" si="217"/>
        <v/>
      </c>
    </row>
    <row r="5085" spans="1:33" ht="58">
      <c r="A5085" s="3" t="s">
        <v>4696</v>
      </c>
      <c r="D5085" s="3" t="s">
        <v>12626</v>
      </c>
      <c r="E5085" s="3" t="s">
        <v>12627</v>
      </c>
      <c r="F5085" t="s">
        <v>4774</v>
      </c>
      <c r="I5085" s="4" t="s">
        <v>5457</v>
      </c>
      <c r="J5085" s="9" t="s">
        <v>26</v>
      </c>
      <c r="Q5085" s="10"/>
      <c r="U5085" s="9" t="str">
        <f t="shared" ca="1" si="216"/>
        <v/>
      </c>
      <c r="V5085" s="9" t="str">
        <f t="shared" ca="1" si="217"/>
        <v/>
      </c>
    </row>
    <row r="5086" spans="1:33" ht="58">
      <c r="A5086" s="3" t="s">
        <v>4696</v>
      </c>
      <c r="D5086" s="3" t="s">
        <v>11912</v>
      </c>
      <c r="E5086" s="3" t="s">
        <v>11913</v>
      </c>
      <c r="F5086" t="s">
        <v>4774</v>
      </c>
      <c r="I5086" s="4"/>
      <c r="J5086" s="9" t="s">
        <v>12118</v>
      </c>
      <c r="Q5086" s="10"/>
      <c r="T5086" s="9">
        <f>4240-780</f>
        <v>3460</v>
      </c>
      <c r="U5086" s="9">
        <f t="shared" ca="1" si="216"/>
        <v>780</v>
      </c>
      <c r="V5086" s="9">
        <f t="shared" ca="1" si="217"/>
        <v>4240</v>
      </c>
    </row>
    <row r="5087" spans="1:33" ht="58">
      <c r="A5087" s="3" t="s">
        <v>4696</v>
      </c>
      <c r="D5087" s="3" t="s">
        <v>11914</v>
      </c>
      <c r="E5087" s="3" t="s">
        <v>11915</v>
      </c>
      <c r="F5087" t="s">
        <v>4774</v>
      </c>
      <c r="I5087" s="4"/>
      <c r="J5087" s="9" t="s">
        <v>12118</v>
      </c>
      <c r="Q5087" s="10"/>
      <c r="T5087" s="9" t="s">
        <v>12131</v>
      </c>
      <c r="U5087" s="9" t="str">
        <f t="shared" ca="1" si="216"/>
        <v/>
      </c>
      <c r="V5087" s="9" t="str">
        <f t="shared" ca="1" si="217"/>
        <v/>
      </c>
      <c r="AE5087" s="9" t="s">
        <v>12086</v>
      </c>
    </row>
    <row r="5088" spans="1:33" ht="58">
      <c r="A5088" s="3" t="s">
        <v>4696</v>
      </c>
      <c r="D5088" s="3" t="s">
        <v>11916</v>
      </c>
      <c r="E5088" s="3" t="s">
        <v>11917</v>
      </c>
      <c r="F5088" t="s">
        <v>4774</v>
      </c>
      <c r="I5088" s="4"/>
      <c r="J5088" s="9" t="s">
        <v>12118</v>
      </c>
      <c r="Q5088" s="10"/>
      <c r="T5088" s="9">
        <f>6-7</f>
        <v>-1</v>
      </c>
      <c r="U5088" s="9">
        <f t="shared" ca="1" si="216"/>
        <v>7</v>
      </c>
      <c r="V5088" s="9">
        <f t="shared" ca="1" si="217"/>
        <v>6</v>
      </c>
    </row>
    <row r="5089" spans="1:33" ht="58">
      <c r="A5089" s="3" t="s">
        <v>4696</v>
      </c>
      <c r="D5089" s="3" t="s">
        <v>11910</v>
      </c>
      <c r="E5089" s="3" t="s">
        <v>11918</v>
      </c>
      <c r="F5089" t="s">
        <v>4774</v>
      </c>
      <c r="I5089" s="4"/>
      <c r="J5089" s="9" t="s">
        <v>24</v>
      </c>
      <c r="L5089" s="9">
        <v>1</v>
      </c>
      <c r="M5089" s="9">
        <v>3</v>
      </c>
      <c r="N5089" s="9" t="s">
        <v>12096</v>
      </c>
      <c r="O5089" s="9" t="s">
        <v>12079</v>
      </c>
      <c r="Q5089" s="10"/>
      <c r="S5089" s="9">
        <v>207</v>
      </c>
      <c r="U5089" s="9" t="str">
        <f t="shared" ca="1" si="216"/>
        <v/>
      </c>
      <c r="V5089" s="9" t="str">
        <f t="shared" ca="1" si="217"/>
        <v/>
      </c>
    </row>
    <row r="5090" spans="1:33" ht="58">
      <c r="A5090" s="3" t="s">
        <v>4696</v>
      </c>
      <c r="D5090" s="3" t="s">
        <v>11919</v>
      </c>
      <c r="E5090" s="3" t="s">
        <v>11920</v>
      </c>
      <c r="F5090" t="s">
        <v>4774</v>
      </c>
      <c r="I5090" s="4"/>
      <c r="J5090" s="9" t="s">
        <v>12120</v>
      </c>
      <c r="Q5090" s="10"/>
      <c r="U5090" s="9" t="str">
        <f t="shared" ca="1" si="216"/>
        <v/>
      </c>
      <c r="V5090" s="9" t="str">
        <f t="shared" ca="1" si="217"/>
        <v/>
      </c>
    </row>
    <row r="5091" spans="1:33" ht="58">
      <c r="A5091" s="3" t="s">
        <v>4696</v>
      </c>
      <c r="D5091" s="3" t="s">
        <v>11921</v>
      </c>
      <c r="E5091" s="3" t="s">
        <v>11922</v>
      </c>
      <c r="F5091" t="s">
        <v>4774</v>
      </c>
      <c r="I5091" s="4"/>
      <c r="J5091" s="9" t="s">
        <v>12121</v>
      </c>
      <c r="Q5091" s="10"/>
      <c r="T5091" s="9">
        <f>780-207</f>
        <v>573</v>
      </c>
      <c r="U5091" s="9">
        <f t="shared" ca="1" si="216"/>
        <v>207</v>
      </c>
      <c r="V5091" s="9">
        <f t="shared" ca="1" si="217"/>
        <v>780</v>
      </c>
    </row>
    <row r="5092" spans="1:33">
      <c r="A5092" s="3" t="s">
        <v>4696</v>
      </c>
      <c r="D5092" s="3" t="s">
        <v>11924</v>
      </c>
      <c r="E5092" s="3" t="s">
        <v>11923</v>
      </c>
      <c r="G5092" t="s">
        <v>19</v>
      </c>
      <c r="J5092" s="9" t="s">
        <v>24</v>
      </c>
      <c r="L5092" s="9">
        <v>1</v>
      </c>
      <c r="M5092" s="9">
        <v>2</v>
      </c>
      <c r="N5092" s="9" t="s">
        <v>12096</v>
      </c>
      <c r="O5092" s="9" t="s">
        <v>12119</v>
      </c>
      <c r="Q5092" s="10"/>
      <c r="S5092" s="9">
        <v>1294</v>
      </c>
      <c r="U5092" s="9" t="str">
        <f t="shared" ca="1" si="216"/>
        <v/>
      </c>
      <c r="V5092" s="9" t="str">
        <f t="shared" ca="1" si="217"/>
        <v/>
      </c>
    </row>
    <row r="5093" spans="1:33" ht="29">
      <c r="A5093" s="3" t="s">
        <v>4697</v>
      </c>
      <c r="D5093" s="3" t="s">
        <v>11928</v>
      </c>
      <c r="E5093" s="3" t="s">
        <v>11929</v>
      </c>
      <c r="I5093" t="s">
        <v>12190</v>
      </c>
      <c r="J5093" s="9" t="s">
        <v>26</v>
      </c>
      <c r="Q5093" s="10"/>
      <c r="U5093" s="9" t="str">
        <f t="shared" ca="1" si="216"/>
        <v/>
      </c>
      <c r="V5093" s="9" t="str">
        <f t="shared" ca="1" si="217"/>
        <v/>
      </c>
      <c r="AG5093" s="9" t="s">
        <v>20</v>
      </c>
    </row>
    <row r="5094" spans="1:33" ht="29">
      <c r="A5094" s="3" t="s">
        <v>4697</v>
      </c>
      <c r="D5094" s="3" t="s">
        <v>11931</v>
      </c>
      <c r="E5094" s="3" t="s">
        <v>11930</v>
      </c>
      <c r="I5094" t="s">
        <v>11925</v>
      </c>
      <c r="J5094" s="9" t="s">
        <v>12118</v>
      </c>
      <c r="Q5094" s="10"/>
      <c r="R5094" s="9" t="s">
        <v>12074</v>
      </c>
      <c r="T5094" s="9" t="s">
        <v>12131</v>
      </c>
      <c r="U5094" s="9" t="str">
        <f t="shared" ca="1" si="216"/>
        <v/>
      </c>
      <c r="V5094" s="9" t="str">
        <f t="shared" ca="1" si="217"/>
        <v/>
      </c>
      <c r="AE5094" s="9" t="s">
        <v>12086</v>
      </c>
    </row>
    <row r="5095" spans="1:33">
      <c r="A5095" s="3" t="s">
        <v>4697</v>
      </c>
      <c r="D5095" s="3" t="s">
        <v>11927</v>
      </c>
      <c r="E5095" s="3" t="s">
        <v>11926</v>
      </c>
      <c r="G5095" t="s">
        <v>19</v>
      </c>
      <c r="J5095" s="9" t="s">
        <v>12120</v>
      </c>
      <c r="Q5095" s="10"/>
      <c r="U5095" s="9" t="str">
        <f t="shared" ca="1" si="216"/>
        <v/>
      </c>
      <c r="V5095" s="9" t="str">
        <f t="shared" ca="1" si="217"/>
        <v/>
      </c>
      <c r="AE5095" s="9" t="s">
        <v>12086</v>
      </c>
    </row>
    <row r="5096" spans="1:33">
      <c r="A5096" s="3" t="s">
        <v>4698</v>
      </c>
      <c r="D5096" s="3" t="s">
        <v>4699</v>
      </c>
      <c r="E5096" s="3" t="s">
        <v>11932</v>
      </c>
      <c r="G5096" t="s">
        <v>19</v>
      </c>
      <c r="J5096" s="9" t="s">
        <v>12121</v>
      </c>
      <c r="Q5096" s="10"/>
      <c r="T5096" s="9" t="s">
        <v>12131</v>
      </c>
      <c r="U5096" s="9" t="str">
        <f t="shared" ca="1" si="216"/>
        <v/>
      </c>
      <c r="V5096" s="9" t="str">
        <f t="shared" ca="1" si="217"/>
        <v/>
      </c>
      <c r="AC5096" s="9" t="s">
        <v>12742</v>
      </c>
      <c r="AD5096" s="9" t="s">
        <v>20</v>
      </c>
      <c r="AE5096" s="9" t="s">
        <v>12086</v>
      </c>
    </row>
    <row r="5097" spans="1:33" ht="43.5">
      <c r="A5097" s="3" t="s">
        <v>4698</v>
      </c>
      <c r="D5097" s="3" t="s">
        <v>11933</v>
      </c>
      <c r="E5097" s="3" t="s">
        <v>11934</v>
      </c>
      <c r="G5097" t="s">
        <v>19</v>
      </c>
      <c r="I5097" s="4"/>
      <c r="J5097" s="9" t="s">
        <v>24</v>
      </c>
      <c r="L5097" s="9">
        <v>1</v>
      </c>
      <c r="M5097" s="9">
        <v>2</v>
      </c>
      <c r="N5097" s="9" t="s">
        <v>12078</v>
      </c>
      <c r="O5097" s="9" t="s">
        <v>12119</v>
      </c>
      <c r="Q5097" s="10"/>
      <c r="R5097" s="9" t="s">
        <v>12074</v>
      </c>
      <c r="S5097" s="9">
        <v>11843</v>
      </c>
      <c r="U5097" s="9" t="str">
        <f t="shared" ca="1" si="216"/>
        <v/>
      </c>
      <c r="V5097" s="9" t="str">
        <f t="shared" ca="1" si="217"/>
        <v/>
      </c>
    </row>
    <row r="5098" spans="1:33" ht="43.5">
      <c r="A5098" s="3" t="s">
        <v>4698</v>
      </c>
      <c r="D5098" s="3" t="s">
        <v>11935</v>
      </c>
      <c r="E5098" s="3" t="s">
        <v>11936</v>
      </c>
      <c r="G5098" t="s">
        <v>19</v>
      </c>
      <c r="I5098" s="4"/>
      <c r="J5098" s="9" t="s">
        <v>12121</v>
      </c>
      <c r="Q5098" s="10"/>
      <c r="T5098" s="9">
        <f>591-1565</f>
        <v>-974</v>
      </c>
      <c r="U5098" s="9">
        <f t="shared" ca="1" si="216"/>
        <v>1565</v>
      </c>
      <c r="V5098" s="9">
        <f t="shared" ca="1" si="217"/>
        <v>591</v>
      </c>
    </row>
    <row r="5099" spans="1:33" ht="43.5">
      <c r="A5099" s="3" t="s">
        <v>4698</v>
      </c>
      <c r="D5099" s="3" t="s">
        <v>11937</v>
      </c>
      <c r="E5099" s="3" t="s">
        <v>11938</v>
      </c>
      <c r="G5099" t="s">
        <v>19</v>
      </c>
      <c r="I5099" s="4"/>
      <c r="J5099" s="9" t="s">
        <v>12120</v>
      </c>
      <c r="Q5099" s="10"/>
      <c r="U5099" s="9" t="str">
        <f t="shared" ca="1" si="216"/>
        <v/>
      </c>
      <c r="V5099" s="9" t="str">
        <f t="shared" ca="1" si="217"/>
        <v/>
      </c>
    </row>
    <row r="5100" spans="1:33" ht="43.5">
      <c r="A5100" s="3" t="s">
        <v>4698</v>
      </c>
      <c r="D5100" s="3" t="s">
        <v>11939</v>
      </c>
      <c r="E5100" s="3" t="s">
        <v>11940</v>
      </c>
      <c r="G5100" t="s">
        <v>19</v>
      </c>
      <c r="J5100" s="9" t="s">
        <v>12118</v>
      </c>
      <c r="Q5100" s="10"/>
      <c r="T5100" s="9">
        <f>28-20</f>
        <v>8</v>
      </c>
      <c r="U5100" s="9">
        <f t="shared" ca="1" si="216"/>
        <v>20</v>
      </c>
      <c r="V5100" s="9">
        <f t="shared" ca="1" si="217"/>
        <v>28</v>
      </c>
    </row>
    <row r="5101" spans="1:33" ht="43.5">
      <c r="A5101" s="3" t="s">
        <v>4698</v>
      </c>
      <c r="D5101" s="3" t="s">
        <v>11941</v>
      </c>
      <c r="E5101" s="3" t="s">
        <v>11942</v>
      </c>
      <c r="G5101" t="s">
        <v>19</v>
      </c>
      <c r="J5101" s="9" t="s">
        <v>12120</v>
      </c>
      <c r="Q5101" s="10"/>
      <c r="U5101" s="9" t="str">
        <f t="shared" ca="1" si="216"/>
        <v/>
      </c>
      <c r="V5101" s="9" t="str">
        <f t="shared" ca="1" si="217"/>
        <v/>
      </c>
      <c r="AE5101" s="9" t="s">
        <v>12083</v>
      </c>
    </row>
    <row r="5102" spans="1:33">
      <c r="A5102" s="3" t="s">
        <v>4700</v>
      </c>
      <c r="D5102" s="3" t="s">
        <v>11944</v>
      </c>
      <c r="E5102" s="3" t="s">
        <v>11943</v>
      </c>
      <c r="G5102" t="s">
        <v>19</v>
      </c>
      <c r="J5102" s="9" t="s">
        <v>24</v>
      </c>
      <c r="L5102" s="9">
        <v>1</v>
      </c>
      <c r="M5102" s="9">
        <v>2</v>
      </c>
      <c r="N5102" s="9" t="s">
        <v>12078</v>
      </c>
      <c r="O5102" s="9" t="s">
        <v>12119</v>
      </c>
      <c r="Q5102" s="10"/>
      <c r="S5102" s="9">
        <v>11843</v>
      </c>
      <c r="U5102" s="9" t="str">
        <f t="shared" ca="1" si="216"/>
        <v/>
      </c>
      <c r="V5102" s="9" t="str">
        <f t="shared" ca="1" si="217"/>
        <v/>
      </c>
    </row>
    <row r="5103" spans="1:33">
      <c r="A5103" s="3" t="s">
        <v>4701</v>
      </c>
      <c r="D5103" s="3" t="s">
        <v>11946</v>
      </c>
      <c r="E5103" s="3" t="s">
        <v>11945</v>
      </c>
      <c r="J5103" s="9" t="s">
        <v>12118</v>
      </c>
      <c r="Q5103" s="10"/>
      <c r="T5103" s="9">
        <f>444-560</f>
        <v>-116</v>
      </c>
      <c r="U5103" s="9">
        <f t="shared" ca="1" si="216"/>
        <v>560</v>
      </c>
      <c r="V5103" s="9">
        <f t="shared" ca="1" si="217"/>
        <v>444</v>
      </c>
      <c r="AG5103" s="9" t="s">
        <v>20</v>
      </c>
    </row>
    <row r="5104" spans="1:33">
      <c r="A5104" s="3" t="s">
        <v>4702</v>
      </c>
      <c r="D5104" s="3" t="s">
        <v>11948</v>
      </c>
      <c r="E5104" s="3" t="s">
        <v>11947</v>
      </c>
      <c r="J5104" s="9" t="s">
        <v>12120</v>
      </c>
      <c r="Q5104" s="10"/>
      <c r="U5104" s="9" t="str">
        <f t="shared" ca="1" si="216"/>
        <v/>
      </c>
      <c r="V5104" s="9" t="str">
        <f t="shared" ca="1" si="217"/>
        <v/>
      </c>
      <c r="AE5104" s="9" t="s">
        <v>12083</v>
      </c>
    </row>
    <row r="5105" spans="1:33">
      <c r="A5105" s="3" t="s">
        <v>4702</v>
      </c>
      <c r="D5105" s="3" t="s">
        <v>4703</v>
      </c>
      <c r="E5105" s="3" t="s">
        <v>4704</v>
      </c>
      <c r="G5105" t="s">
        <v>21</v>
      </c>
      <c r="I5105" t="s">
        <v>11949</v>
      </c>
      <c r="J5105" s="9" t="s">
        <v>12120</v>
      </c>
      <c r="Q5105" s="10"/>
      <c r="U5105" s="9" t="str">
        <f t="shared" ca="1" si="216"/>
        <v/>
      </c>
      <c r="V5105" s="9" t="str">
        <f t="shared" ca="1" si="217"/>
        <v/>
      </c>
    </row>
    <row r="5106" spans="1:33">
      <c r="A5106" s="3" t="s">
        <v>4702</v>
      </c>
      <c r="D5106" s="3" t="s">
        <v>11951</v>
      </c>
      <c r="E5106" s="3" t="s">
        <v>11950</v>
      </c>
      <c r="G5106" t="s">
        <v>19</v>
      </c>
      <c r="J5106" s="9" t="s">
        <v>12118</v>
      </c>
      <c r="Q5106" s="10"/>
      <c r="T5106" s="9">
        <f>1741-780</f>
        <v>961</v>
      </c>
      <c r="U5106" s="9">
        <f t="shared" ca="1" si="216"/>
        <v>780</v>
      </c>
      <c r="V5106" s="9">
        <f t="shared" ca="1" si="217"/>
        <v>1741</v>
      </c>
    </row>
    <row r="5107" spans="1:33" ht="29">
      <c r="A5107" s="3" t="s">
        <v>4702</v>
      </c>
      <c r="D5107" s="3" t="s">
        <v>11952</v>
      </c>
      <c r="E5107" s="3" t="s">
        <v>11953</v>
      </c>
      <c r="G5107" t="s">
        <v>19</v>
      </c>
      <c r="J5107" s="9" t="s">
        <v>12120</v>
      </c>
      <c r="Q5107" s="10"/>
      <c r="U5107" s="9" t="str">
        <f t="shared" ca="1" si="216"/>
        <v/>
      </c>
      <c r="V5107" s="9" t="str">
        <f t="shared" ca="1" si="217"/>
        <v/>
      </c>
      <c r="AB5107" s="9" t="s">
        <v>12737</v>
      </c>
      <c r="AD5107" s="9" t="s">
        <v>19</v>
      </c>
    </row>
    <row r="5108" spans="1:33" ht="29">
      <c r="A5108" s="3" t="s">
        <v>4702</v>
      </c>
      <c r="D5108" s="3" t="s">
        <v>11954</v>
      </c>
      <c r="E5108" s="3" t="s">
        <v>11955</v>
      </c>
      <c r="G5108" t="s">
        <v>19</v>
      </c>
      <c r="J5108" s="9" t="s">
        <v>12121</v>
      </c>
      <c r="Q5108" s="10"/>
      <c r="T5108" s="9">
        <f>1-136</f>
        <v>-135</v>
      </c>
      <c r="U5108" s="9">
        <f t="shared" ca="1" si="216"/>
        <v>136</v>
      </c>
      <c r="V5108" s="9">
        <f t="shared" ca="1" si="217"/>
        <v>1</v>
      </c>
    </row>
    <row r="5109" spans="1:33">
      <c r="A5109" s="3" t="s">
        <v>4705</v>
      </c>
      <c r="D5109" s="3" t="s">
        <v>11956</v>
      </c>
      <c r="E5109" s="3" t="s">
        <v>11957</v>
      </c>
      <c r="J5109" s="9" t="s">
        <v>12120</v>
      </c>
      <c r="Q5109" s="10"/>
      <c r="U5109" s="9" t="str">
        <f t="shared" ca="1" si="216"/>
        <v/>
      </c>
      <c r="V5109" s="9" t="str">
        <f t="shared" ca="1" si="217"/>
        <v/>
      </c>
      <c r="AB5109" s="9" t="s">
        <v>12082</v>
      </c>
      <c r="AD5109" s="9" t="s">
        <v>19</v>
      </c>
    </row>
    <row r="5110" spans="1:33">
      <c r="A5110" s="3" t="s">
        <v>4705</v>
      </c>
      <c r="D5110" s="3" t="s">
        <v>4706</v>
      </c>
      <c r="E5110" s="3" t="s">
        <v>11958</v>
      </c>
      <c r="G5110" t="s">
        <v>19</v>
      </c>
      <c r="J5110" s="9" t="s">
        <v>12120</v>
      </c>
      <c r="Q5110" s="10"/>
      <c r="U5110" s="9" t="str">
        <f t="shared" ca="1" si="216"/>
        <v/>
      </c>
      <c r="V5110" s="9" t="str">
        <f t="shared" ca="1" si="217"/>
        <v/>
      </c>
    </row>
    <row r="5111" spans="1:33" ht="29">
      <c r="A5111" s="3" t="s">
        <v>4705</v>
      </c>
      <c r="D5111" s="3" t="s">
        <v>11959</v>
      </c>
      <c r="E5111" s="3" t="s">
        <v>11960</v>
      </c>
      <c r="J5111" s="9" t="s">
        <v>12118</v>
      </c>
      <c r="Q5111" s="10"/>
      <c r="R5111" s="9" t="s">
        <v>12074</v>
      </c>
      <c r="T5111" s="9" t="s">
        <v>12131</v>
      </c>
      <c r="U5111" s="9" t="str">
        <f t="shared" ca="1" si="216"/>
        <v/>
      </c>
      <c r="V5111" s="9" t="str">
        <f t="shared" ca="1" si="217"/>
        <v/>
      </c>
      <c r="AE5111" s="9" t="s">
        <v>12077</v>
      </c>
    </row>
    <row r="5112" spans="1:33">
      <c r="A5112" s="3" t="s">
        <v>4705</v>
      </c>
      <c r="D5112" s="3" t="s">
        <v>11961</v>
      </c>
      <c r="E5112" s="3" t="s">
        <v>11962</v>
      </c>
      <c r="J5112" s="9" t="s">
        <v>12118</v>
      </c>
      <c r="Q5112" s="10"/>
      <c r="T5112" s="9" t="s">
        <v>12131</v>
      </c>
      <c r="U5112" s="9" t="str">
        <f t="shared" ca="1" si="216"/>
        <v/>
      </c>
      <c r="V5112" s="9" t="str">
        <f t="shared" ca="1" si="217"/>
        <v/>
      </c>
      <c r="AE5112" s="9" t="s">
        <v>12077</v>
      </c>
    </row>
    <row r="5113" spans="1:33" ht="29">
      <c r="A5113" s="3" t="s">
        <v>4707</v>
      </c>
      <c r="D5113" s="3" t="s">
        <v>11963</v>
      </c>
      <c r="E5113" s="3" t="s">
        <v>11964</v>
      </c>
      <c r="J5113" s="9" t="s">
        <v>12121</v>
      </c>
      <c r="Q5113" s="10"/>
      <c r="T5113" s="9">
        <f>3-16</f>
        <v>-13</v>
      </c>
      <c r="U5113" s="9">
        <f t="shared" ca="1" si="216"/>
        <v>16</v>
      </c>
      <c r="V5113" s="9">
        <f t="shared" ca="1" si="217"/>
        <v>3</v>
      </c>
      <c r="AG5113" s="9" t="s">
        <v>19</v>
      </c>
    </row>
    <row r="5114" spans="1:33">
      <c r="A5114" s="3" t="s">
        <v>4708</v>
      </c>
      <c r="D5114" s="3" t="s">
        <v>11966</v>
      </c>
      <c r="E5114" s="3" t="s">
        <v>11965</v>
      </c>
      <c r="J5114" s="9" t="s">
        <v>25</v>
      </c>
      <c r="L5114" s="9">
        <v>1</v>
      </c>
      <c r="M5114" s="9">
        <v>2</v>
      </c>
      <c r="N5114" s="9" t="s">
        <v>12087</v>
      </c>
      <c r="O5114" s="9" t="s">
        <v>12119</v>
      </c>
      <c r="Q5114" s="10"/>
      <c r="S5114" s="9">
        <v>1966</v>
      </c>
      <c r="U5114" s="9" t="str">
        <f t="shared" ca="1" si="216"/>
        <v/>
      </c>
      <c r="V5114" s="9" t="str">
        <f t="shared" ca="1" si="217"/>
        <v/>
      </c>
      <c r="AG5114" s="9" t="s">
        <v>19</v>
      </c>
    </row>
    <row r="5115" spans="1:33">
      <c r="A5115" s="3" t="s">
        <v>4708</v>
      </c>
      <c r="D5115" s="3" t="s">
        <v>11967</v>
      </c>
      <c r="E5115" s="3" t="s">
        <v>11968</v>
      </c>
      <c r="G5115" t="s">
        <v>19</v>
      </c>
      <c r="J5115" s="9" t="s">
        <v>12118</v>
      </c>
      <c r="Q5115" s="10"/>
      <c r="T5115" s="9">
        <f>444-0</f>
        <v>444</v>
      </c>
      <c r="U5115" s="9">
        <f t="shared" ca="1" si="216"/>
        <v>0</v>
      </c>
      <c r="V5115" s="9">
        <f t="shared" ca="1" si="217"/>
        <v>444</v>
      </c>
      <c r="AE5115" s="9" t="s">
        <v>12089</v>
      </c>
    </row>
    <row r="5116" spans="1:33">
      <c r="A5116" s="3" t="s">
        <v>4708</v>
      </c>
      <c r="D5116" s="3" t="s">
        <v>4709</v>
      </c>
      <c r="E5116" s="3" t="s">
        <v>4710</v>
      </c>
      <c r="J5116" s="9" t="s">
        <v>12120</v>
      </c>
      <c r="Q5116" s="10"/>
      <c r="U5116" s="9" t="str">
        <f t="shared" ca="1" si="216"/>
        <v/>
      </c>
      <c r="V5116" s="9" t="str">
        <f t="shared" ca="1" si="217"/>
        <v/>
      </c>
      <c r="AC5116" s="9" t="s">
        <v>12740</v>
      </c>
      <c r="AD5116" s="9" t="s">
        <v>19</v>
      </c>
    </row>
    <row r="5117" spans="1:33">
      <c r="A5117" s="3" t="s">
        <v>4711</v>
      </c>
      <c r="D5117" s="3" t="s">
        <v>4712</v>
      </c>
      <c r="E5117" s="3" t="s">
        <v>3841</v>
      </c>
      <c r="J5117" s="9" t="s">
        <v>12118</v>
      </c>
      <c r="Q5117" s="10"/>
      <c r="T5117" s="9">
        <f>6-0</f>
        <v>6</v>
      </c>
      <c r="U5117" s="9">
        <f t="shared" ca="1" si="216"/>
        <v>0</v>
      </c>
      <c r="V5117" s="9">
        <f t="shared" ca="1" si="217"/>
        <v>6</v>
      </c>
      <c r="AB5117" s="9" t="s">
        <v>12124</v>
      </c>
      <c r="AC5117" s="9" t="s">
        <v>12130</v>
      </c>
      <c r="AD5117" s="9" t="s">
        <v>19</v>
      </c>
    </row>
    <row r="5118" spans="1:33" ht="29">
      <c r="A5118" s="3" t="s">
        <v>4711</v>
      </c>
      <c r="D5118" s="3" t="s">
        <v>11971</v>
      </c>
      <c r="E5118" s="3" t="s">
        <v>11969</v>
      </c>
      <c r="J5118" s="9" t="s">
        <v>25</v>
      </c>
      <c r="L5118" s="9">
        <v>1</v>
      </c>
      <c r="M5118" s="9">
        <v>3</v>
      </c>
      <c r="N5118" s="9" t="s">
        <v>12087</v>
      </c>
      <c r="O5118" s="9" t="s">
        <v>12079</v>
      </c>
      <c r="Q5118" s="10"/>
      <c r="S5118" s="9">
        <v>5676</v>
      </c>
      <c r="U5118" s="9" t="str">
        <f t="shared" ca="1" si="216"/>
        <v/>
      </c>
      <c r="V5118" s="9" t="str">
        <f t="shared" ca="1" si="217"/>
        <v/>
      </c>
      <c r="AG5118" s="9" t="s">
        <v>20</v>
      </c>
    </row>
    <row r="5119" spans="1:33" ht="29">
      <c r="A5119" s="3" t="s">
        <v>4711</v>
      </c>
      <c r="D5119" s="3" t="s">
        <v>11972</v>
      </c>
      <c r="E5119" s="3" t="s">
        <v>11973</v>
      </c>
      <c r="G5119" t="s">
        <v>19</v>
      </c>
      <c r="J5119" s="9" t="s">
        <v>12120</v>
      </c>
      <c r="Q5119" s="10"/>
      <c r="U5119" s="9" t="str">
        <f t="shared" ca="1" si="216"/>
        <v/>
      </c>
      <c r="V5119" s="9" t="str">
        <f t="shared" ca="1" si="217"/>
        <v/>
      </c>
    </row>
    <row r="5120" spans="1:33" ht="29">
      <c r="A5120" s="3" t="s">
        <v>4711</v>
      </c>
      <c r="D5120" s="3" t="s">
        <v>11974</v>
      </c>
      <c r="E5120" s="3" t="s">
        <v>11975</v>
      </c>
      <c r="G5120" t="s">
        <v>19</v>
      </c>
      <c r="J5120" s="9" t="s">
        <v>12121</v>
      </c>
      <c r="Q5120" s="10"/>
      <c r="T5120" s="9">
        <f>1101-635</f>
        <v>466</v>
      </c>
      <c r="U5120" s="9">
        <f t="shared" ca="1" si="216"/>
        <v>635</v>
      </c>
      <c r="V5120" s="9">
        <f t="shared" ca="1" si="217"/>
        <v>1101</v>
      </c>
      <c r="AC5120" s="9" t="s">
        <v>12134</v>
      </c>
      <c r="AD5120" s="9" t="s">
        <v>19</v>
      </c>
      <c r="AE5120" s="9" t="s">
        <v>12089</v>
      </c>
    </row>
    <row r="5121" spans="1:33" ht="29">
      <c r="A5121" s="3" t="s">
        <v>4711</v>
      </c>
      <c r="D5121" s="3" t="s">
        <v>11970</v>
      </c>
      <c r="E5121" s="3" t="s">
        <v>11976</v>
      </c>
      <c r="G5121" t="s">
        <v>19</v>
      </c>
      <c r="J5121" s="9" t="s">
        <v>24</v>
      </c>
      <c r="L5121" s="9">
        <v>1</v>
      </c>
      <c r="M5121" s="9">
        <v>2</v>
      </c>
      <c r="N5121" s="9" t="s">
        <v>12078</v>
      </c>
      <c r="O5121" s="9" t="s">
        <v>12119</v>
      </c>
      <c r="Q5121" s="10"/>
      <c r="S5121" s="9">
        <v>11843</v>
      </c>
      <c r="U5121" s="9" t="str">
        <f t="shared" ca="1" si="216"/>
        <v/>
      </c>
      <c r="V5121" s="9" t="str">
        <f t="shared" ca="1" si="217"/>
        <v/>
      </c>
    </row>
    <row r="5122" spans="1:33">
      <c r="A5122" s="3" t="s">
        <v>4711</v>
      </c>
      <c r="D5122" s="3" t="s">
        <v>4713</v>
      </c>
      <c r="E5122" s="3" t="s">
        <v>11977</v>
      </c>
      <c r="G5122" t="s">
        <v>19</v>
      </c>
      <c r="J5122" s="9" t="s">
        <v>12118</v>
      </c>
      <c r="Q5122" s="10"/>
      <c r="T5122" s="9">
        <f>13-0</f>
        <v>13</v>
      </c>
      <c r="U5122" s="9">
        <f t="shared" ca="1" si="216"/>
        <v>0</v>
      </c>
      <c r="V5122" s="9">
        <f t="shared" ca="1" si="217"/>
        <v>13</v>
      </c>
    </row>
    <row r="5123" spans="1:33">
      <c r="A5123" s="3" t="s">
        <v>4714</v>
      </c>
      <c r="D5123" s="3" t="s">
        <v>4715</v>
      </c>
      <c r="E5123" s="3" t="s">
        <v>4716</v>
      </c>
      <c r="J5123" s="9" t="s">
        <v>12118</v>
      </c>
      <c r="Q5123" s="10"/>
      <c r="T5123" s="9">
        <f>0-3</f>
        <v>-3</v>
      </c>
      <c r="U5123" s="9">
        <f t="shared" ca="1" si="216"/>
        <v>3</v>
      </c>
      <c r="V5123" s="9">
        <f t="shared" ca="1" si="217"/>
        <v>0</v>
      </c>
      <c r="AG5123" s="9" t="s">
        <v>20</v>
      </c>
    </row>
    <row r="5124" spans="1:33" ht="29">
      <c r="A5124" s="3" t="s">
        <v>4717</v>
      </c>
      <c r="D5124" s="3" t="s">
        <v>11978</v>
      </c>
      <c r="E5124" s="3" t="s">
        <v>11979</v>
      </c>
      <c r="G5124" t="s">
        <v>19</v>
      </c>
      <c r="J5124" s="9" t="s">
        <v>12118</v>
      </c>
      <c r="Q5124" s="10"/>
      <c r="T5124" s="9">
        <f>1966-5676</f>
        <v>-3710</v>
      </c>
      <c r="U5124" s="9">
        <f t="shared" ca="1" si="216"/>
        <v>5676</v>
      </c>
      <c r="V5124" s="9">
        <f t="shared" ca="1" si="217"/>
        <v>1966</v>
      </c>
    </row>
    <row r="5125" spans="1:33">
      <c r="A5125" s="3" t="s">
        <v>4717</v>
      </c>
      <c r="D5125" s="3" t="s">
        <v>4718</v>
      </c>
      <c r="E5125" s="3" t="s">
        <v>4719</v>
      </c>
      <c r="J5125" s="9" t="s">
        <v>12121</v>
      </c>
      <c r="Q5125" s="10"/>
      <c r="T5125" s="9" t="s">
        <v>12131</v>
      </c>
      <c r="U5125" s="9" t="str">
        <f t="shared" ca="1" si="216"/>
        <v/>
      </c>
      <c r="V5125" s="9" t="str">
        <f t="shared" ca="1" si="217"/>
        <v/>
      </c>
      <c r="AC5125" s="9" t="s">
        <v>12750</v>
      </c>
      <c r="AD5125" s="9" t="s">
        <v>19</v>
      </c>
      <c r="AE5125" s="9" t="s">
        <v>12077</v>
      </c>
    </row>
    <row r="5126" spans="1:33">
      <c r="A5126" s="3" t="s">
        <v>4720</v>
      </c>
      <c r="D5126" s="3" t="s">
        <v>4721</v>
      </c>
      <c r="E5126" s="3" t="s">
        <v>11980</v>
      </c>
      <c r="J5126" s="9" t="s">
        <v>12118</v>
      </c>
      <c r="Q5126" s="10"/>
      <c r="T5126" s="9">
        <f>0-20</f>
        <v>-20</v>
      </c>
      <c r="U5126" s="9">
        <f t="shared" ca="1" si="216"/>
        <v>20</v>
      </c>
      <c r="V5126" s="9">
        <f t="shared" ca="1" si="217"/>
        <v>0</v>
      </c>
      <c r="AG5126" s="9" t="s">
        <v>19</v>
      </c>
    </row>
    <row r="5127" spans="1:33">
      <c r="A5127" s="3" t="s">
        <v>4720</v>
      </c>
      <c r="D5127" s="3" t="s">
        <v>11981</v>
      </c>
      <c r="E5127" s="3" t="s">
        <v>11982</v>
      </c>
      <c r="J5127" s="9" t="s">
        <v>12118</v>
      </c>
      <c r="Q5127" s="10"/>
      <c r="T5127" s="9" t="s">
        <v>12131</v>
      </c>
      <c r="U5127" s="9" t="str">
        <f t="shared" ca="1" si="216"/>
        <v/>
      </c>
      <c r="V5127" s="9" t="str">
        <f t="shared" ca="1" si="217"/>
        <v/>
      </c>
      <c r="AE5127" s="9" t="s">
        <v>12086</v>
      </c>
    </row>
    <row r="5128" spans="1:33">
      <c r="A5128" s="3" t="s">
        <v>4722</v>
      </c>
      <c r="D5128" s="3" t="s">
        <v>2996</v>
      </c>
      <c r="E5128" s="3" t="s">
        <v>4723</v>
      </c>
      <c r="J5128" s="9" t="s">
        <v>12120</v>
      </c>
      <c r="Q5128" s="10"/>
      <c r="U5128" s="9" t="str">
        <f t="shared" ca="1" si="216"/>
        <v/>
      </c>
      <c r="V5128" s="9" t="str">
        <f t="shared" ca="1" si="217"/>
        <v/>
      </c>
      <c r="AE5128" s="9" t="s">
        <v>12077</v>
      </c>
    </row>
    <row r="5129" spans="1:33">
      <c r="A5129" s="3" t="s">
        <v>4722</v>
      </c>
      <c r="D5129" s="3" t="s">
        <v>11983</v>
      </c>
      <c r="E5129" s="3" t="s">
        <v>11984</v>
      </c>
      <c r="G5129" t="s">
        <v>19</v>
      </c>
      <c r="J5129" s="9" t="s">
        <v>12120</v>
      </c>
      <c r="Q5129" s="10"/>
      <c r="U5129" s="9" t="str">
        <f t="shared" ca="1" si="216"/>
        <v/>
      </c>
      <c r="V5129" s="9" t="str">
        <f t="shared" ca="1" si="217"/>
        <v/>
      </c>
    </row>
    <row r="5130" spans="1:33">
      <c r="A5130" s="3" t="s">
        <v>4722</v>
      </c>
      <c r="D5130" s="3" t="s">
        <v>11985</v>
      </c>
      <c r="E5130" s="3" t="s">
        <v>11986</v>
      </c>
      <c r="G5130" t="s">
        <v>19</v>
      </c>
      <c r="J5130" s="9" t="s">
        <v>12120</v>
      </c>
      <c r="Q5130" s="10"/>
      <c r="U5130" s="9" t="str">
        <f t="shared" ca="1" si="216"/>
        <v/>
      </c>
      <c r="V5130" s="9" t="str">
        <f t="shared" ca="1" si="217"/>
        <v/>
      </c>
      <c r="AE5130" s="9" t="s">
        <v>12086</v>
      </c>
    </row>
    <row r="5131" spans="1:33">
      <c r="A5131" s="3" t="s">
        <v>4724</v>
      </c>
      <c r="D5131" s="3" t="s">
        <v>11988</v>
      </c>
      <c r="E5131" s="3" t="s">
        <v>11987</v>
      </c>
      <c r="J5131" s="9" t="s">
        <v>24</v>
      </c>
      <c r="L5131" s="9">
        <v>1</v>
      </c>
      <c r="M5131" s="9">
        <v>2</v>
      </c>
      <c r="N5131" s="9" t="s">
        <v>12087</v>
      </c>
      <c r="O5131" s="9" t="s">
        <v>12119</v>
      </c>
      <c r="Q5131" s="10"/>
      <c r="S5131" s="9">
        <v>1966</v>
      </c>
      <c r="U5131" s="9" t="str">
        <f t="shared" ca="1" si="216"/>
        <v/>
      </c>
      <c r="V5131" s="9" t="str">
        <f t="shared" ca="1" si="217"/>
        <v/>
      </c>
      <c r="AG5131" s="9" t="s">
        <v>19</v>
      </c>
    </row>
    <row r="5132" spans="1:33">
      <c r="A5132" s="3" t="s">
        <v>4724</v>
      </c>
      <c r="D5132" s="5" t="s">
        <v>11989</v>
      </c>
      <c r="E5132" s="3" t="s">
        <v>11990</v>
      </c>
      <c r="F5132" t="s">
        <v>31</v>
      </c>
      <c r="G5132" t="s">
        <v>19</v>
      </c>
      <c r="I5132" t="s">
        <v>12957</v>
      </c>
      <c r="J5132" s="9" t="s">
        <v>12120</v>
      </c>
      <c r="Q5132" s="10"/>
      <c r="U5132" s="9" t="str">
        <f t="shared" ca="1" si="216"/>
        <v/>
      </c>
      <c r="V5132" s="9" t="str">
        <f t="shared" ca="1" si="217"/>
        <v/>
      </c>
      <c r="AB5132" s="9" t="s">
        <v>12082</v>
      </c>
      <c r="AD5132" s="9" t="s">
        <v>19</v>
      </c>
      <c r="AE5132" s="9" t="s">
        <v>12086</v>
      </c>
    </row>
    <row r="5133" spans="1:33">
      <c r="A5133" s="3" t="s">
        <v>4725</v>
      </c>
      <c r="D5133" s="3" t="s">
        <v>11991</v>
      </c>
      <c r="E5133" s="3" t="s">
        <v>11992</v>
      </c>
      <c r="J5133" s="9" t="s">
        <v>12118</v>
      </c>
      <c r="Q5133" s="10"/>
      <c r="T5133" s="9">
        <f>22-0</f>
        <v>22</v>
      </c>
      <c r="U5133" s="9">
        <f t="shared" ca="1" si="216"/>
        <v>0</v>
      </c>
      <c r="V5133" s="9">
        <f t="shared" ca="1" si="217"/>
        <v>22</v>
      </c>
      <c r="AG5133" s="9" t="s">
        <v>20</v>
      </c>
    </row>
    <row r="5134" spans="1:33" ht="43.5">
      <c r="A5134" s="3" t="s">
        <v>4726</v>
      </c>
      <c r="D5134" s="3" t="s">
        <v>11993</v>
      </c>
      <c r="E5134" s="3" t="s">
        <v>11994</v>
      </c>
      <c r="I5134" t="s">
        <v>12177</v>
      </c>
      <c r="J5134" s="9" t="s">
        <v>26</v>
      </c>
      <c r="Q5134" s="10"/>
      <c r="U5134" s="9" t="str">
        <f t="shared" ref="U5134:U5197" ca="1" si="220">IF(ISNUMBER(T5134),VALUE(MID(_xlfn.FORMULATEXT(T5134),SEARCH("-",_xlfn.FORMULATEXT(T5134))+1,LEN(_xlfn.FORMULATEXT(T5134))-SEARCH("-",_xlfn.FORMULATEXT(T5134)))), "")</f>
        <v/>
      </c>
      <c r="V5134" s="9" t="str">
        <f t="shared" ref="V5134:V5197" ca="1" si="221">IF(ISNUMBER(T5134), VALUE(MID(_xlfn.FORMULATEXT(T5134), 2, SEARCH("-", _xlfn.FORMULATEXT(T5134)) - 2)), "")</f>
        <v/>
      </c>
      <c r="AG5134" s="9" t="s">
        <v>20</v>
      </c>
    </row>
    <row r="5135" spans="1:33" ht="43.5">
      <c r="A5135" s="3" t="s">
        <v>4726</v>
      </c>
      <c r="D5135" s="3" t="s">
        <v>11995</v>
      </c>
      <c r="E5135" s="3" t="s">
        <v>11996</v>
      </c>
      <c r="J5135" s="9" t="s">
        <v>12118</v>
      </c>
      <c r="Q5135" s="10"/>
      <c r="T5135" s="9" t="s">
        <v>12131</v>
      </c>
      <c r="U5135" s="9" t="str">
        <f t="shared" ca="1" si="220"/>
        <v/>
      </c>
      <c r="V5135" s="9" t="str">
        <f t="shared" ca="1" si="221"/>
        <v/>
      </c>
      <c r="AC5135" s="9" t="s">
        <v>12130</v>
      </c>
      <c r="AD5135" s="9" t="s">
        <v>19</v>
      </c>
      <c r="AE5135" s="9" t="s">
        <v>12086</v>
      </c>
    </row>
    <row r="5136" spans="1:33" ht="43.5">
      <c r="A5136" s="3" t="s">
        <v>4726</v>
      </c>
      <c r="D5136" s="3" t="s">
        <v>11998</v>
      </c>
      <c r="E5136" s="3" t="s">
        <v>11997</v>
      </c>
      <c r="J5136" s="9" t="s">
        <v>12120</v>
      </c>
      <c r="Q5136" s="10"/>
      <c r="U5136" s="9" t="str">
        <f t="shared" ca="1" si="220"/>
        <v/>
      </c>
      <c r="V5136" s="9" t="str">
        <f t="shared" ca="1" si="221"/>
        <v/>
      </c>
      <c r="AB5136" s="9" t="s">
        <v>12082</v>
      </c>
      <c r="AD5136" s="9" t="s">
        <v>19</v>
      </c>
    </row>
    <row r="5137" spans="1:33">
      <c r="A5137" s="3" t="s">
        <v>4727</v>
      </c>
      <c r="D5137" s="3" t="s">
        <v>11999</v>
      </c>
      <c r="E5137" s="3" t="s">
        <v>12000</v>
      </c>
      <c r="J5137" s="9" t="s">
        <v>25</v>
      </c>
      <c r="L5137" s="9">
        <v>1</v>
      </c>
      <c r="M5137" s="9">
        <v>2</v>
      </c>
      <c r="N5137" s="9" t="s">
        <v>12123</v>
      </c>
      <c r="O5137" s="9" t="s">
        <v>12119</v>
      </c>
      <c r="Q5137" s="10"/>
      <c r="S5137" s="9">
        <v>887</v>
      </c>
      <c r="U5137" s="9" t="str">
        <f t="shared" ca="1" si="220"/>
        <v/>
      </c>
      <c r="V5137" s="9" t="str">
        <f t="shared" ca="1" si="221"/>
        <v/>
      </c>
      <c r="AG5137" s="9" t="s">
        <v>20</v>
      </c>
    </row>
    <row r="5138" spans="1:33">
      <c r="A5138" s="3" t="s">
        <v>4728</v>
      </c>
      <c r="D5138" s="3" t="s">
        <v>12001</v>
      </c>
      <c r="E5138" s="3" t="s">
        <v>12002</v>
      </c>
      <c r="J5138" s="9" t="s">
        <v>12118</v>
      </c>
      <c r="Q5138" s="10"/>
      <c r="R5138" s="9" t="s">
        <v>12074</v>
      </c>
      <c r="T5138" s="9" t="s">
        <v>12131</v>
      </c>
      <c r="U5138" s="9" t="str">
        <f t="shared" ca="1" si="220"/>
        <v/>
      </c>
      <c r="V5138" s="9" t="str">
        <f t="shared" ca="1" si="221"/>
        <v/>
      </c>
      <c r="AB5138" s="9" t="s">
        <v>12124</v>
      </c>
      <c r="AD5138" s="9" t="s">
        <v>20</v>
      </c>
      <c r="AE5138" s="9" t="s">
        <v>12077</v>
      </c>
    </row>
    <row r="5139" spans="1:33" ht="29">
      <c r="A5139" s="3" t="s">
        <v>4728</v>
      </c>
      <c r="D5139" s="3" t="s">
        <v>12004</v>
      </c>
      <c r="E5139" s="3" t="s">
        <v>12003</v>
      </c>
      <c r="J5139" s="9" t="s">
        <v>24</v>
      </c>
      <c r="L5139" s="9">
        <v>1</v>
      </c>
      <c r="M5139" s="9">
        <v>7</v>
      </c>
      <c r="N5139" s="9" t="s">
        <v>12092</v>
      </c>
      <c r="O5139" s="9" t="s">
        <v>12079</v>
      </c>
      <c r="Q5139" s="10"/>
      <c r="S5139" s="9">
        <v>3</v>
      </c>
      <c r="U5139" s="9" t="str">
        <f t="shared" ca="1" si="220"/>
        <v/>
      </c>
      <c r="V5139" s="9" t="str">
        <f t="shared" ca="1" si="221"/>
        <v/>
      </c>
      <c r="AG5139" s="9" t="s">
        <v>20</v>
      </c>
    </row>
    <row r="5140" spans="1:33">
      <c r="A5140" s="3" t="s">
        <v>4728</v>
      </c>
      <c r="D5140" s="3" t="s">
        <v>4729</v>
      </c>
      <c r="E5140" s="3" t="s">
        <v>4730</v>
      </c>
      <c r="J5140" s="9" t="s">
        <v>12120</v>
      </c>
      <c r="Q5140" s="10"/>
      <c r="U5140" s="9" t="str">
        <f t="shared" ca="1" si="220"/>
        <v/>
      </c>
      <c r="V5140" s="9" t="str">
        <f t="shared" ca="1" si="221"/>
        <v/>
      </c>
      <c r="AC5140" s="9" t="s">
        <v>12744</v>
      </c>
      <c r="AD5140" s="9" t="s">
        <v>19</v>
      </c>
      <c r="AE5140" s="9" t="s">
        <v>12086</v>
      </c>
    </row>
    <row r="5141" spans="1:33" ht="29">
      <c r="A5141" s="3" t="s">
        <v>4731</v>
      </c>
      <c r="D5141" s="3" t="s">
        <v>12006</v>
      </c>
      <c r="E5141" s="3" t="s">
        <v>12005</v>
      </c>
      <c r="G5141" t="s">
        <v>19</v>
      </c>
      <c r="J5141" s="9" t="s">
        <v>25</v>
      </c>
      <c r="L5141" s="9">
        <v>1</v>
      </c>
      <c r="M5141" s="9">
        <v>3</v>
      </c>
      <c r="N5141" s="9" t="s">
        <v>12087</v>
      </c>
      <c r="O5141" s="9" t="s">
        <v>12079</v>
      </c>
      <c r="Q5141" s="10"/>
      <c r="S5141" s="9">
        <v>5676</v>
      </c>
      <c r="U5141" s="9" t="str">
        <f t="shared" ca="1" si="220"/>
        <v/>
      </c>
      <c r="V5141" s="9" t="str">
        <f t="shared" ca="1" si="221"/>
        <v/>
      </c>
    </row>
    <row r="5142" spans="1:33">
      <c r="A5142" s="3" t="s">
        <v>4731</v>
      </c>
      <c r="D5142" s="3" t="s">
        <v>4299</v>
      </c>
      <c r="E5142" s="3" t="s">
        <v>4257</v>
      </c>
      <c r="J5142" s="9" t="s">
        <v>12120</v>
      </c>
      <c r="Q5142" s="10"/>
      <c r="U5142" s="9" t="str">
        <f t="shared" ca="1" si="220"/>
        <v/>
      </c>
      <c r="V5142" s="9" t="str">
        <f t="shared" ca="1" si="221"/>
        <v/>
      </c>
      <c r="AC5142" s="9" t="s">
        <v>12130</v>
      </c>
      <c r="AD5142" s="9" t="s">
        <v>19</v>
      </c>
      <c r="AE5142" s="9" t="s">
        <v>12086</v>
      </c>
    </row>
    <row r="5143" spans="1:33">
      <c r="A5143" s="3" t="s">
        <v>4731</v>
      </c>
      <c r="D5143" s="3" t="s">
        <v>4732</v>
      </c>
      <c r="E5143" s="3" t="s">
        <v>4733</v>
      </c>
      <c r="J5143" s="9" t="s">
        <v>12118</v>
      </c>
      <c r="Q5143" s="10"/>
      <c r="T5143" s="9" t="s">
        <v>12131</v>
      </c>
      <c r="U5143" s="9" t="str">
        <f t="shared" ca="1" si="220"/>
        <v/>
      </c>
      <c r="V5143" s="9" t="str">
        <f t="shared" ca="1" si="221"/>
        <v/>
      </c>
      <c r="AC5143" s="9" t="s">
        <v>12130</v>
      </c>
      <c r="AD5143" s="9" t="s">
        <v>19</v>
      </c>
      <c r="AE5143" s="9" t="s">
        <v>12086</v>
      </c>
    </row>
    <row r="5144" spans="1:33" ht="29">
      <c r="A5144" s="3" t="s">
        <v>4734</v>
      </c>
      <c r="D5144" s="3" t="s">
        <v>12007</v>
      </c>
      <c r="E5144" s="3" t="s">
        <v>12008</v>
      </c>
      <c r="J5144" s="9" t="s">
        <v>24</v>
      </c>
      <c r="L5144" s="9">
        <v>1</v>
      </c>
      <c r="M5144" s="9">
        <v>6</v>
      </c>
      <c r="N5144" s="9" t="s">
        <v>12094</v>
      </c>
      <c r="O5144" s="9" t="s">
        <v>12079</v>
      </c>
      <c r="Q5144" s="10"/>
      <c r="S5144" s="9">
        <v>4240</v>
      </c>
      <c r="U5144" s="9" t="str">
        <f t="shared" ca="1" si="220"/>
        <v/>
      </c>
      <c r="V5144" s="9" t="str">
        <f t="shared" ca="1" si="221"/>
        <v/>
      </c>
      <c r="AG5144" s="9" t="s">
        <v>19</v>
      </c>
    </row>
    <row r="5145" spans="1:33" ht="29">
      <c r="A5145" s="3" t="s">
        <v>4734</v>
      </c>
      <c r="D5145" s="3" t="s">
        <v>12010</v>
      </c>
      <c r="E5145" s="3" t="s">
        <v>12009</v>
      </c>
      <c r="J5145" s="9" t="s">
        <v>24</v>
      </c>
      <c r="L5145" s="9">
        <v>1</v>
      </c>
      <c r="M5145" s="9">
        <v>8</v>
      </c>
      <c r="N5145" s="9" t="s">
        <v>12125</v>
      </c>
      <c r="O5145" s="9" t="s">
        <v>12073</v>
      </c>
      <c r="P5145" s="9" t="s">
        <v>12142</v>
      </c>
      <c r="Q5145" s="10" t="s">
        <v>12143</v>
      </c>
      <c r="S5145" s="9">
        <v>11</v>
      </c>
      <c r="U5145" s="9" t="str">
        <f t="shared" ca="1" si="220"/>
        <v/>
      </c>
      <c r="V5145" s="9" t="str">
        <f t="shared" ca="1" si="221"/>
        <v/>
      </c>
      <c r="AG5145" s="9" t="s">
        <v>20</v>
      </c>
    </row>
    <row r="5146" spans="1:33">
      <c r="A5146" s="3" t="s">
        <v>4735</v>
      </c>
      <c r="D5146" s="3" t="s">
        <v>4736</v>
      </c>
      <c r="E5146" s="3" t="s">
        <v>4737</v>
      </c>
      <c r="J5146" s="9" t="s">
        <v>12118</v>
      </c>
      <c r="Q5146" s="10"/>
      <c r="T5146" s="9">
        <f>437-75</f>
        <v>362</v>
      </c>
      <c r="U5146" s="9">
        <f t="shared" ca="1" si="220"/>
        <v>75</v>
      </c>
      <c r="V5146" s="9">
        <f t="shared" ca="1" si="221"/>
        <v>437</v>
      </c>
      <c r="AC5146" s="9" t="s">
        <v>12740</v>
      </c>
      <c r="AD5146" s="9" t="s">
        <v>19</v>
      </c>
    </row>
    <row r="5147" spans="1:33">
      <c r="A5147" s="3" t="s">
        <v>4735</v>
      </c>
      <c r="D5147" s="3" t="s">
        <v>4738</v>
      </c>
      <c r="E5147" s="3" t="s">
        <v>4739</v>
      </c>
      <c r="J5147" s="9" t="s">
        <v>12120</v>
      </c>
      <c r="Q5147" s="10"/>
      <c r="U5147" s="9" t="str">
        <f t="shared" ca="1" si="220"/>
        <v/>
      </c>
      <c r="V5147" s="9" t="str">
        <f t="shared" ca="1" si="221"/>
        <v/>
      </c>
      <c r="AG5147" s="9" t="s">
        <v>20</v>
      </c>
    </row>
    <row r="5148" spans="1:33">
      <c r="A5148" s="3" t="s">
        <v>4735</v>
      </c>
      <c r="D5148" s="3" t="s">
        <v>4740</v>
      </c>
      <c r="E5148" s="3" t="s">
        <v>4741</v>
      </c>
      <c r="J5148" s="9" t="s">
        <v>12120</v>
      </c>
      <c r="Q5148" s="10"/>
      <c r="U5148" s="9" t="str">
        <f t="shared" ca="1" si="220"/>
        <v/>
      </c>
      <c r="V5148" s="9" t="str">
        <f t="shared" ca="1" si="221"/>
        <v/>
      </c>
      <c r="AG5148" s="9" t="s">
        <v>19</v>
      </c>
    </row>
    <row r="5149" spans="1:33">
      <c r="A5149" s="3" t="s">
        <v>4742</v>
      </c>
      <c r="D5149" s="3" t="s">
        <v>12012</v>
      </c>
      <c r="E5149" s="3" t="s">
        <v>12011</v>
      </c>
      <c r="G5149" t="s">
        <v>19</v>
      </c>
      <c r="J5149" s="9" t="s">
        <v>24</v>
      </c>
      <c r="L5149" s="9">
        <v>1</v>
      </c>
      <c r="M5149" s="9">
        <v>1</v>
      </c>
      <c r="N5149" s="9" t="s">
        <v>12078</v>
      </c>
      <c r="O5149" s="9" t="s">
        <v>12119</v>
      </c>
      <c r="Q5149" s="10"/>
      <c r="S5149" s="9">
        <v>11843</v>
      </c>
      <c r="U5149" s="9" t="str">
        <f t="shared" ca="1" si="220"/>
        <v/>
      </c>
      <c r="V5149" s="9" t="str">
        <f t="shared" ca="1" si="221"/>
        <v/>
      </c>
    </row>
    <row r="5150" spans="1:33">
      <c r="A5150" s="3" t="s">
        <v>4742</v>
      </c>
      <c r="D5150" s="3" t="s">
        <v>12014</v>
      </c>
      <c r="E5150" s="3" t="s">
        <v>12013</v>
      </c>
      <c r="J5150" s="9" t="s">
        <v>24</v>
      </c>
      <c r="L5150" s="9">
        <v>1</v>
      </c>
      <c r="M5150" s="9">
        <v>2</v>
      </c>
      <c r="N5150" s="9" t="s">
        <v>12087</v>
      </c>
      <c r="O5150" s="9" t="s">
        <v>12119</v>
      </c>
      <c r="Q5150" s="10"/>
      <c r="S5150" s="9">
        <v>166</v>
      </c>
      <c r="U5150" s="9" t="str">
        <f t="shared" ca="1" si="220"/>
        <v/>
      </c>
      <c r="V5150" s="9" t="str">
        <f t="shared" ca="1" si="221"/>
        <v/>
      </c>
      <c r="AG5150" s="9" t="s">
        <v>20</v>
      </c>
    </row>
    <row r="5151" spans="1:33" ht="116">
      <c r="A5151" s="3" t="s">
        <v>4742</v>
      </c>
      <c r="D5151" s="3" t="s">
        <v>12017</v>
      </c>
      <c r="E5151" s="3" t="s">
        <v>12018</v>
      </c>
      <c r="J5151" s="9" t="s">
        <v>12118</v>
      </c>
      <c r="Q5151" s="10"/>
      <c r="T5151" s="9" t="s">
        <v>12131</v>
      </c>
      <c r="U5151" s="9" t="str">
        <f t="shared" ca="1" si="220"/>
        <v/>
      </c>
      <c r="V5151" s="9" t="str">
        <f t="shared" ca="1" si="221"/>
        <v/>
      </c>
      <c r="AC5151" s="9" t="s">
        <v>12130</v>
      </c>
      <c r="AD5151" s="9" t="s">
        <v>19</v>
      </c>
      <c r="AE5151" s="9" t="s">
        <v>12086</v>
      </c>
    </row>
    <row r="5152" spans="1:33" ht="116">
      <c r="A5152" s="3" t="s">
        <v>4743</v>
      </c>
      <c r="D5152" s="3" t="s">
        <v>12019</v>
      </c>
      <c r="E5152" s="3" t="s">
        <v>12022</v>
      </c>
      <c r="F5152" t="s">
        <v>4774</v>
      </c>
      <c r="G5152" t="s">
        <v>19</v>
      </c>
      <c r="I5152" t="s">
        <v>12030</v>
      </c>
      <c r="J5152" s="15" t="s">
        <v>27</v>
      </c>
      <c r="K5152" s="15"/>
      <c r="L5152" s="15"/>
      <c r="M5152" s="15"/>
      <c r="N5152" s="15"/>
      <c r="O5152" s="15"/>
      <c r="P5152" s="15"/>
      <c r="Q5152" s="16"/>
      <c r="R5152" s="15"/>
      <c r="S5152" s="15"/>
      <c r="T5152" s="15"/>
      <c r="U5152" s="15" t="str">
        <f t="shared" ref="U5152" ca="1" si="222">IF(ISNUMBER(T5152),VALUE(MID(_xlfn.FORMULATEXT(T5152),SEARCH("-",_xlfn.FORMULATEXT(T5152))+1,LEN(_xlfn.FORMULATEXT(T5152))-SEARCH("-",_xlfn.FORMULATEXT(T5152)))), "")</f>
        <v/>
      </c>
      <c r="V5152" s="15" t="str">
        <f t="shared" ref="V5152" ca="1" si="223">IF(ISNUMBER(T5152), VALUE(MID(_xlfn.FORMULATEXT(T5152), 2, SEARCH("-", _xlfn.FORMULATEXT(T5152)) - 2)), "")</f>
        <v/>
      </c>
      <c r="W5152" s="15"/>
      <c r="X5152" s="15"/>
      <c r="Y5152" s="15"/>
      <c r="Z5152" s="15"/>
      <c r="AA5152" s="15"/>
      <c r="AB5152" s="15"/>
      <c r="AC5152" s="15" t="s">
        <v>12744</v>
      </c>
      <c r="AD5152" s="15" t="s">
        <v>19</v>
      </c>
      <c r="AE5152" s="15" t="s">
        <v>12086</v>
      </c>
      <c r="AF5152" s="15"/>
      <c r="AG5152" s="15"/>
    </row>
    <row r="5153" spans="1:32" ht="116">
      <c r="A5153" s="3" t="s">
        <v>4743</v>
      </c>
      <c r="D5153" s="3" t="s">
        <v>12019</v>
      </c>
      <c r="E5153" s="3" t="s">
        <v>12022</v>
      </c>
      <c r="F5153" t="s">
        <v>4774</v>
      </c>
      <c r="G5153" t="s">
        <v>19</v>
      </c>
      <c r="I5153" s="4"/>
      <c r="J5153" s="9" t="s">
        <v>12120</v>
      </c>
      <c r="Q5153" s="10"/>
      <c r="U5153" s="9" t="str">
        <f t="shared" ca="1" si="220"/>
        <v/>
      </c>
      <c r="V5153" s="9" t="str">
        <f t="shared" ca="1" si="221"/>
        <v/>
      </c>
      <c r="AC5153" s="9" t="s">
        <v>12744</v>
      </c>
      <c r="AD5153" s="9" t="s">
        <v>19</v>
      </c>
      <c r="AE5153" s="9" t="s">
        <v>12086</v>
      </c>
    </row>
    <row r="5154" spans="1:32" ht="116">
      <c r="A5154" s="3" t="s">
        <v>4743</v>
      </c>
      <c r="D5154" s="3" t="s">
        <v>12016</v>
      </c>
      <c r="E5154" s="3" t="s">
        <v>12020</v>
      </c>
      <c r="F5154" t="s">
        <v>4774</v>
      </c>
      <c r="G5154" t="s">
        <v>19</v>
      </c>
      <c r="I5154" s="4"/>
      <c r="J5154" s="9" t="s">
        <v>24</v>
      </c>
      <c r="L5154" s="9">
        <v>1</v>
      </c>
      <c r="M5154" s="9">
        <v>7</v>
      </c>
      <c r="N5154" s="9" t="s">
        <v>12125</v>
      </c>
      <c r="O5154" s="9" t="s">
        <v>12079</v>
      </c>
      <c r="Q5154" s="10"/>
      <c r="S5154" s="9">
        <v>437</v>
      </c>
      <c r="U5154" s="9" t="str">
        <f t="shared" ca="1" si="220"/>
        <v/>
      </c>
      <c r="V5154" s="9" t="str">
        <f t="shared" ca="1" si="221"/>
        <v/>
      </c>
    </row>
    <row r="5155" spans="1:32" ht="116">
      <c r="A5155" s="3" t="s">
        <v>4743</v>
      </c>
      <c r="D5155" s="3" t="s">
        <v>12016</v>
      </c>
      <c r="E5155" s="3" t="s">
        <v>12628</v>
      </c>
      <c r="F5155" t="s">
        <v>4774</v>
      </c>
      <c r="G5155" t="s">
        <v>19</v>
      </c>
      <c r="I5155" s="4"/>
      <c r="J5155" s="9" t="s">
        <v>24</v>
      </c>
      <c r="L5155" s="9">
        <v>2</v>
      </c>
      <c r="M5155" s="9">
        <v>13</v>
      </c>
      <c r="O5155" s="9" t="s">
        <v>12073</v>
      </c>
      <c r="P5155" s="9" t="s">
        <v>12135</v>
      </c>
      <c r="Q5155" s="10" t="s">
        <v>12136</v>
      </c>
      <c r="S5155" s="9">
        <v>136</v>
      </c>
      <c r="U5155" s="9" t="str">
        <f t="shared" ca="1" si="220"/>
        <v/>
      </c>
      <c r="V5155" s="9" t="str">
        <f t="shared" ca="1" si="221"/>
        <v/>
      </c>
    </row>
    <row r="5156" spans="1:32" ht="116">
      <c r="A5156" s="3" t="s">
        <v>4743</v>
      </c>
      <c r="D5156" s="3" t="s">
        <v>12016</v>
      </c>
      <c r="E5156" s="3" t="s">
        <v>12021</v>
      </c>
      <c r="F5156" t="s">
        <v>4774</v>
      </c>
      <c r="G5156" t="s">
        <v>19</v>
      </c>
      <c r="I5156" s="4"/>
      <c r="J5156" s="9" t="s">
        <v>24</v>
      </c>
      <c r="L5156" s="9">
        <v>1</v>
      </c>
      <c r="M5156" s="9">
        <v>2</v>
      </c>
      <c r="N5156" s="9" t="s">
        <v>12078</v>
      </c>
      <c r="O5156" s="9" t="s">
        <v>12119</v>
      </c>
      <c r="Q5156" s="10"/>
      <c r="S5156" s="9">
        <v>11843</v>
      </c>
      <c r="U5156" s="9" t="str">
        <f t="shared" ca="1" si="220"/>
        <v/>
      </c>
      <c r="V5156" s="9" t="str">
        <f t="shared" ca="1" si="221"/>
        <v/>
      </c>
    </row>
    <row r="5157" spans="1:32" ht="116">
      <c r="A5157" s="3" t="s">
        <v>4743</v>
      </c>
      <c r="D5157" s="3" t="s">
        <v>12024</v>
      </c>
      <c r="E5157" s="3" t="s">
        <v>12023</v>
      </c>
      <c r="F5157" t="s">
        <v>4774</v>
      </c>
      <c r="G5157" t="s">
        <v>19</v>
      </c>
      <c r="I5157" s="4"/>
      <c r="Q5157" s="10"/>
      <c r="U5157" s="9" t="str">
        <f t="shared" ca="1" si="220"/>
        <v/>
      </c>
      <c r="V5157" s="9" t="str">
        <f t="shared" ca="1" si="221"/>
        <v/>
      </c>
    </row>
    <row r="5158" spans="1:32" ht="116">
      <c r="A5158" s="3" t="s">
        <v>4743</v>
      </c>
      <c r="D5158" s="3" t="s">
        <v>12025</v>
      </c>
      <c r="E5158" s="3" t="s">
        <v>12015</v>
      </c>
      <c r="F5158" t="s">
        <v>4774</v>
      </c>
      <c r="G5158" t="s">
        <v>19</v>
      </c>
      <c r="I5158" s="4"/>
      <c r="J5158" s="9" t="s">
        <v>25</v>
      </c>
      <c r="L5158" s="9">
        <v>1</v>
      </c>
      <c r="M5158" s="9">
        <v>2</v>
      </c>
      <c r="N5158" s="9" t="s">
        <v>12094</v>
      </c>
      <c r="O5158" s="9" t="s">
        <v>12119</v>
      </c>
      <c r="Q5158" s="10"/>
      <c r="S5158" s="9">
        <v>1496</v>
      </c>
      <c r="U5158" s="9" t="str">
        <f t="shared" ca="1" si="220"/>
        <v/>
      </c>
      <c r="V5158" s="9" t="str">
        <f t="shared" ca="1" si="221"/>
        <v/>
      </c>
    </row>
    <row r="5159" spans="1:32" ht="29">
      <c r="A5159" s="3" t="s">
        <v>4744</v>
      </c>
      <c r="D5159" s="3" t="s">
        <v>12026</v>
      </c>
      <c r="E5159" s="3" t="s">
        <v>12027</v>
      </c>
      <c r="G5159" t="s">
        <v>19</v>
      </c>
      <c r="J5159" s="9" t="s">
        <v>12120</v>
      </c>
      <c r="Q5159" s="10"/>
      <c r="U5159" s="9" t="str">
        <f t="shared" ca="1" si="220"/>
        <v/>
      </c>
      <c r="V5159" s="9" t="str">
        <f t="shared" ca="1" si="221"/>
        <v/>
      </c>
      <c r="AE5159" s="9" t="s">
        <v>12089</v>
      </c>
    </row>
    <row r="5160" spans="1:32" ht="29">
      <c r="A5160" s="3" t="s">
        <v>4744</v>
      </c>
      <c r="D5160" s="3" t="s">
        <v>12029</v>
      </c>
      <c r="E5160" s="3" t="s">
        <v>12028</v>
      </c>
      <c r="G5160" t="s">
        <v>19</v>
      </c>
      <c r="J5160" s="9" t="s">
        <v>12118</v>
      </c>
      <c r="Q5160" s="10"/>
      <c r="T5160" s="9" t="s">
        <v>12131</v>
      </c>
      <c r="U5160" s="9" t="str">
        <f t="shared" ca="1" si="220"/>
        <v/>
      </c>
      <c r="V5160" s="9" t="str">
        <f t="shared" ca="1" si="221"/>
        <v/>
      </c>
      <c r="AB5160" s="9" t="s">
        <v>12124</v>
      </c>
      <c r="AC5160" s="9" t="s">
        <v>12166</v>
      </c>
      <c r="AD5160" s="9" t="s">
        <v>19</v>
      </c>
    </row>
    <row r="5161" spans="1:32">
      <c r="A5161" s="3" t="s">
        <v>4744</v>
      </c>
      <c r="D5161" s="3" t="s">
        <v>4745</v>
      </c>
      <c r="E5161" s="3" t="s">
        <v>4746</v>
      </c>
      <c r="J5161" s="9" t="s">
        <v>12118</v>
      </c>
      <c r="Q5161" s="10"/>
      <c r="T5161" s="9" t="s">
        <v>12131</v>
      </c>
      <c r="U5161" s="9" t="str">
        <f t="shared" ca="1" si="220"/>
        <v/>
      </c>
      <c r="V5161" s="9" t="str">
        <f t="shared" ca="1" si="221"/>
        <v/>
      </c>
      <c r="AC5161" s="9" t="s">
        <v>12130</v>
      </c>
      <c r="AD5161" s="9" t="s">
        <v>19</v>
      </c>
      <c r="AE5161" s="9" t="s">
        <v>12086</v>
      </c>
    </row>
    <row r="5162" spans="1:32">
      <c r="A5162" s="3" t="s">
        <v>4747</v>
      </c>
      <c r="D5162" s="3" t="s">
        <v>37</v>
      </c>
      <c r="E5162" s="3" t="s">
        <v>83</v>
      </c>
      <c r="F5162" t="s">
        <v>4774</v>
      </c>
      <c r="I5162" t="s">
        <v>12031</v>
      </c>
      <c r="Q5162" s="10"/>
      <c r="U5162" s="9" t="str">
        <f t="shared" ca="1" si="220"/>
        <v/>
      </c>
      <c r="V5162" s="9" t="str">
        <f t="shared" ca="1" si="221"/>
        <v/>
      </c>
      <c r="AF5162" s="9" t="s">
        <v>19</v>
      </c>
    </row>
    <row r="5163" spans="1:32">
      <c r="A5163" s="3" t="s">
        <v>4747</v>
      </c>
      <c r="D5163" s="3" t="s">
        <v>37</v>
      </c>
      <c r="E5163" s="3" t="s">
        <v>4748</v>
      </c>
      <c r="F5163" t="s">
        <v>4774</v>
      </c>
      <c r="Q5163" s="10"/>
      <c r="U5163" s="9" t="str">
        <f t="shared" ca="1" si="220"/>
        <v/>
      </c>
      <c r="V5163" s="9" t="str">
        <f t="shared" ca="1" si="221"/>
        <v/>
      </c>
    </row>
    <row r="5164" spans="1:32">
      <c r="A5164" s="3" t="s">
        <v>4747</v>
      </c>
      <c r="D5164" s="3" t="s">
        <v>37</v>
      </c>
      <c r="E5164" s="3" t="s">
        <v>213</v>
      </c>
      <c r="F5164" t="s">
        <v>4774</v>
      </c>
      <c r="Q5164" s="10"/>
      <c r="U5164" s="9" t="str">
        <f t="shared" ca="1" si="220"/>
        <v/>
      </c>
      <c r="V5164" s="9" t="str">
        <f t="shared" ca="1" si="221"/>
        <v/>
      </c>
    </row>
    <row r="5165" spans="1:32">
      <c r="A5165" s="3" t="s">
        <v>4747</v>
      </c>
      <c r="D5165" s="3" t="s">
        <v>37</v>
      </c>
      <c r="E5165" s="3" t="s">
        <v>326</v>
      </c>
      <c r="F5165" t="s">
        <v>4774</v>
      </c>
      <c r="Q5165" s="10"/>
      <c r="U5165" s="9" t="str">
        <f t="shared" ca="1" si="220"/>
        <v/>
      </c>
      <c r="V5165" s="9" t="str">
        <f t="shared" ca="1" si="221"/>
        <v/>
      </c>
    </row>
    <row r="5166" spans="1:32">
      <c r="A5166" s="3" t="s">
        <v>4749</v>
      </c>
      <c r="D5166" s="3" t="s">
        <v>37</v>
      </c>
      <c r="E5166" s="3" t="s">
        <v>146</v>
      </c>
      <c r="F5166" t="s">
        <v>4774</v>
      </c>
      <c r="Q5166" s="10"/>
      <c r="U5166" s="9" t="str">
        <f t="shared" ca="1" si="220"/>
        <v/>
      </c>
      <c r="V5166" s="9" t="str">
        <f t="shared" ca="1" si="221"/>
        <v/>
      </c>
    </row>
    <row r="5167" spans="1:32">
      <c r="A5167" s="3" t="s">
        <v>4750</v>
      </c>
      <c r="D5167" s="3" t="s">
        <v>37</v>
      </c>
      <c r="E5167" s="3" t="s">
        <v>4751</v>
      </c>
      <c r="F5167" t="s">
        <v>4774</v>
      </c>
      <c r="Q5167" s="10"/>
      <c r="U5167" s="9" t="str">
        <f t="shared" ca="1" si="220"/>
        <v/>
      </c>
      <c r="V5167" s="9" t="str">
        <f t="shared" ca="1" si="221"/>
        <v/>
      </c>
    </row>
    <row r="5168" spans="1:32">
      <c r="A5168" s="3" t="s">
        <v>4752</v>
      </c>
      <c r="D5168" s="3" t="s">
        <v>37</v>
      </c>
      <c r="E5168" s="3" t="s">
        <v>309</v>
      </c>
      <c r="F5168" t="s">
        <v>4774</v>
      </c>
      <c r="Q5168" s="10"/>
      <c r="U5168" s="9" t="str">
        <f t="shared" ca="1" si="220"/>
        <v/>
      </c>
      <c r="V5168" s="9" t="str">
        <f t="shared" ca="1" si="221"/>
        <v/>
      </c>
    </row>
    <row r="5169" spans="1:33">
      <c r="A5169" s="3" t="s">
        <v>4753</v>
      </c>
      <c r="D5169" s="3" t="s">
        <v>37</v>
      </c>
      <c r="E5169" s="3" t="s">
        <v>53</v>
      </c>
      <c r="F5169" t="s">
        <v>4774</v>
      </c>
      <c r="Q5169" s="10"/>
      <c r="U5169" s="9" t="str">
        <f t="shared" ca="1" si="220"/>
        <v/>
      </c>
      <c r="V5169" s="9" t="str">
        <f t="shared" ca="1" si="221"/>
        <v/>
      </c>
    </row>
    <row r="5170" spans="1:33">
      <c r="A5170" s="3" t="s">
        <v>4754</v>
      </c>
      <c r="D5170" s="3" t="s">
        <v>37</v>
      </c>
      <c r="E5170" s="3" t="s">
        <v>348</v>
      </c>
      <c r="F5170" t="s">
        <v>4774</v>
      </c>
      <c r="Q5170" s="10"/>
      <c r="U5170" s="9" t="str">
        <f t="shared" ca="1" si="220"/>
        <v/>
      </c>
      <c r="V5170" s="9" t="str">
        <f t="shared" ca="1" si="221"/>
        <v/>
      </c>
    </row>
    <row r="5171" spans="1:33">
      <c r="A5171" s="3" t="s">
        <v>4755</v>
      </c>
      <c r="D5171" s="3" t="s">
        <v>37</v>
      </c>
      <c r="E5171" s="3" t="s">
        <v>43</v>
      </c>
      <c r="F5171" t="s">
        <v>4774</v>
      </c>
      <c r="Q5171" s="10"/>
      <c r="U5171" s="9" t="str">
        <f t="shared" ca="1" si="220"/>
        <v/>
      </c>
      <c r="V5171" s="9" t="str">
        <f t="shared" ca="1" si="221"/>
        <v/>
      </c>
    </row>
    <row r="5172" spans="1:33">
      <c r="A5172" s="3" t="s">
        <v>4756</v>
      </c>
      <c r="D5172" s="3" t="s">
        <v>37</v>
      </c>
      <c r="E5172" s="3" t="s">
        <v>1105</v>
      </c>
      <c r="F5172" t="s">
        <v>4774</v>
      </c>
      <c r="Q5172" s="10"/>
      <c r="U5172" s="9" t="str">
        <f t="shared" ca="1" si="220"/>
        <v/>
      </c>
      <c r="V5172" s="9" t="str">
        <f t="shared" ca="1" si="221"/>
        <v/>
      </c>
    </row>
    <row r="5173" spans="1:33">
      <c r="A5173" s="3" t="s">
        <v>4757</v>
      </c>
      <c r="D5173" s="3" t="s">
        <v>37</v>
      </c>
      <c r="E5173" s="3" t="s">
        <v>43</v>
      </c>
      <c r="F5173" t="s">
        <v>4774</v>
      </c>
      <c r="Q5173" s="10"/>
      <c r="U5173" s="9" t="str">
        <f t="shared" ca="1" si="220"/>
        <v/>
      </c>
      <c r="V5173" s="9" t="str">
        <f t="shared" ca="1" si="221"/>
        <v/>
      </c>
    </row>
    <row r="5174" spans="1:33">
      <c r="A5174" s="3" t="s">
        <v>4759</v>
      </c>
      <c r="D5174" s="3" t="s">
        <v>37</v>
      </c>
      <c r="E5174" s="3" t="s">
        <v>3177</v>
      </c>
      <c r="F5174" t="s">
        <v>4774</v>
      </c>
      <c r="Q5174" s="10"/>
      <c r="U5174" s="9" t="str">
        <f t="shared" ca="1" si="220"/>
        <v/>
      </c>
      <c r="V5174" s="9" t="str">
        <f t="shared" ca="1" si="221"/>
        <v/>
      </c>
    </row>
    <row r="5175" spans="1:33">
      <c r="A5175" s="3" t="s">
        <v>4760</v>
      </c>
      <c r="D5175" s="3" t="s">
        <v>37</v>
      </c>
      <c r="E5175" s="3" t="s">
        <v>12032</v>
      </c>
      <c r="F5175" t="s">
        <v>4774</v>
      </c>
      <c r="Q5175" s="10"/>
      <c r="U5175" s="9" t="str">
        <f t="shared" ca="1" si="220"/>
        <v/>
      </c>
      <c r="V5175" s="9" t="str">
        <f t="shared" ca="1" si="221"/>
        <v/>
      </c>
    </row>
    <row r="5176" spans="1:33">
      <c r="A5176" s="3" t="s">
        <v>4760</v>
      </c>
      <c r="D5176" s="3" t="s">
        <v>12034</v>
      </c>
      <c r="E5176" s="3" t="s">
        <v>12033</v>
      </c>
      <c r="J5176" s="9" t="s">
        <v>25</v>
      </c>
      <c r="L5176" s="9">
        <v>1</v>
      </c>
      <c r="M5176" s="9">
        <v>3</v>
      </c>
      <c r="N5176" s="9" t="s">
        <v>12087</v>
      </c>
      <c r="O5176" s="9" t="s">
        <v>12079</v>
      </c>
      <c r="Q5176" s="10"/>
      <c r="S5176" s="9">
        <v>5676</v>
      </c>
      <c r="U5176" s="9" t="str">
        <f t="shared" ca="1" si="220"/>
        <v/>
      </c>
      <c r="V5176" s="9" t="str">
        <f t="shared" ca="1" si="221"/>
        <v/>
      </c>
      <c r="AG5176" s="9" t="s">
        <v>20</v>
      </c>
    </row>
    <row r="5177" spans="1:33">
      <c r="A5177" s="3" t="s">
        <v>4760</v>
      </c>
      <c r="D5177" s="3" t="s">
        <v>12035</v>
      </c>
      <c r="E5177" s="3" t="s">
        <v>12036</v>
      </c>
      <c r="F5177" t="s">
        <v>11</v>
      </c>
      <c r="Q5177" s="10"/>
      <c r="U5177" s="9" t="str">
        <f t="shared" ca="1" si="220"/>
        <v/>
      </c>
      <c r="V5177" s="9" t="str">
        <f t="shared" ca="1" si="221"/>
        <v/>
      </c>
    </row>
    <row r="5178" spans="1:33">
      <c r="A5178" s="3" t="s">
        <v>4761</v>
      </c>
      <c r="D5178" s="3" t="s">
        <v>12038</v>
      </c>
      <c r="E5178" s="3" t="s">
        <v>12037</v>
      </c>
      <c r="F5178" t="s">
        <v>11</v>
      </c>
      <c r="J5178" s="9" t="s">
        <v>12120</v>
      </c>
      <c r="Q5178" s="10"/>
      <c r="U5178" s="9" t="str">
        <f t="shared" ca="1" si="220"/>
        <v/>
      </c>
      <c r="V5178" s="9" t="str">
        <f t="shared" ca="1" si="221"/>
        <v/>
      </c>
      <c r="AB5178" s="9" t="s">
        <v>12082</v>
      </c>
      <c r="AD5178" s="9" t="s">
        <v>19</v>
      </c>
    </row>
    <row r="5179" spans="1:33">
      <c r="A5179" s="3" t="s">
        <v>4761</v>
      </c>
      <c r="D5179" s="3" t="s">
        <v>4762</v>
      </c>
      <c r="E5179" s="3" t="s">
        <v>4763</v>
      </c>
      <c r="J5179" s="9" t="s">
        <v>12120</v>
      </c>
      <c r="Q5179" s="10"/>
      <c r="U5179" s="9" t="str">
        <f t="shared" ca="1" si="220"/>
        <v/>
      </c>
      <c r="V5179" s="9" t="str">
        <f t="shared" ca="1" si="221"/>
        <v/>
      </c>
      <c r="AC5179" s="9" t="s">
        <v>12740</v>
      </c>
      <c r="AD5179" s="9" t="s">
        <v>19</v>
      </c>
    </row>
    <row r="5180" spans="1:33">
      <c r="A5180" s="3" t="s">
        <v>4764</v>
      </c>
      <c r="D5180" s="3" t="s">
        <v>3495</v>
      </c>
      <c r="E5180" s="3" t="s">
        <v>4135</v>
      </c>
      <c r="J5180" s="9" t="s">
        <v>12120</v>
      </c>
      <c r="Q5180" s="10"/>
      <c r="U5180" s="9" t="str">
        <f t="shared" ca="1" si="220"/>
        <v/>
      </c>
      <c r="V5180" s="9" t="str">
        <f t="shared" ca="1" si="221"/>
        <v/>
      </c>
      <c r="AG5180" s="9" t="s">
        <v>19</v>
      </c>
    </row>
    <row r="5181" spans="1:33">
      <c r="A5181" s="3" t="s">
        <v>4764</v>
      </c>
      <c r="D5181" s="3" t="s">
        <v>12040</v>
      </c>
      <c r="E5181" s="3" t="s">
        <v>12039</v>
      </c>
      <c r="I5181" t="s">
        <v>5457</v>
      </c>
      <c r="J5181" s="9" t="s">
        <v>26</v>
      </c>
      <c r="Q5181" s="10"/>
      <c r="U5181" s="9" t="str">
        <f t="shared" ca="1" si="220"/>
        <v/>
      </c>
      <c r="V5181" s="9" t="str">
        <f t="shared" ca="1" si="221"/>
        <v/>
      </c>
      <c r="AG5181" s="9" t="s">
        <v>20</v>
      </c>
    </row>
    <row r="5182" spans="1:33">
      <c r="A5182" s="3" t="s">
        <v>4764</v>
      </c>
      <c r="D5182" s="3" t="s">
        <v>4765</v>
      </c>
      <c r="E5182" s="3" t="s">
        <v>12041</v>
      </c>
      <c r="J5182" s="9" t="s">
        <v>12120</v>
      </c>
      <c r="Q5182" s="10"/>
      <c r="U5182" s="9" t="str">
        <f t="shared" ca="1" si="220"/>
        <v/>
      </c>
      <c r="V5182" s="9" t="str">
        <f t="shared" ca="1" si="221"/>
        <v/>
      </c>
      <c r="AE5182" s="9" t="s">
        <v>12083</v>
      </c>
    </row>
    <row r="5183" spans="1:33" ht="29">
      <c r="A5183" s="3" t="s">
        <v>4766</v>
      </c>
      <c r="D5183" s="3" t="s">
        <v>12042</v>
      </c>
      <c r="E5183" s="3" t="s">
        <v>12043</v>
      </c>
      <c r="J5183" s="9" t="s">
        <v>12118</v>
      </c>
      <c r="Q5183" s="10"/>
      <c r="T5183" s="9" t="s">
        <v>12131</v>
      </c>
      <c r="U5183" s="9" t="str">
        <f t="shared" ca="1" si="220"/>
        <v/>
      </c>
      <c r="V5183" s="9" t="str">
        <f t="shared" ca="1" si="221"/>
        <v/>
      </c>
      <c r="AC5183" s="9" t="s">
        <v>12130</v>
      </c>
      <c r="AD5183" s="9" t="s">
        <v>19</v>
      </c>
      <c r="AE5183" s="9" t="s">
        <v>12086</v>
      </c>
    </row>
    <row r="5184" spans="1:33" ht="29">
      <c r="A5184" s="3" t="s">
        <v>4766</v>
      </c>
      <c r="D5184" s="3" t="s">
        <v>12044</v>
      </c>
      <c r="E5184" s="3" t="s">
        <v>12629</v>
      </c>
      <c r="I5184" t="s">
        <v>5457</v>
      </c>
      <c r="J5184" s="9" t="s">
        <v>26</v>
      </c>
      <c r="Q5184" s="10"/>
      <c r="U5184" s="9" t="str">
        <f t="shared" ca="1" si="220"/>
        <v/>
      </c>
      <c r="V5184" s="9" t="str">
        <f t="shared" ca="1" si="221"/>
        <v/>
      </c>
      <c r="AG5184" s="9" t="s">
        <v>20</v>
      </c>
    </row>
    <row r="5185" spans="1:33">
      <c r="A5185" s="3" t="s">
        <v>4766</v>
      </c>
      <c r="D5185" s="3" t="s">
        <v>12045</v>
      </c>
      <c r="E5185" s="3" t="s">
        <v>12046</v>
      </c>
      <c r="F5185" t="s">
        <v>11</v>
      </c>
      <c r="J5185" s="9" t="s">
        <v>12120</v>
      </c>
      <c r="Q5185" s="10"/>
      <c r="U5185" s="9" t="str">
        <f t="shared" ca="1" si="220"/>
        <v/>
      </c>
      <c r="V5185" s="9" t="str">
        <f t="shared" ca="1" si="221"/>
        <v/>
      </c>
    </row>
    <row r="5186" spans="1:33">
      <c r="A5186" s="3" t="s">
        <v>4767</v>
      </c>
      <c r="D5186" s="3" t="s">
        <v>12048</v>
      </c>
      <c r="E5186" s="3" t="s">
        <v>12047</v>
      </c>
      <c r="H5186" t="s">
        <v>19</v>
      </c>
      <c r="J5186" s="9" t="s">
        <v>25</v>
      </c>
      <c r="L5186" s="9">
        <v>1</v>
      </c>
      <c r="M5186" s="9">
        <v>3</v>
      </c>
      <c r="N5186" s="9" t="s">
        <v>12078</v>
      </c>
      <c r="O5186" s="9" t="s">
        <v>12079</v>
      </c>
      <c r="Q5186" s="10"/>
      <c r="S5186" s="9">
        <v>11843</v>
      </c>
      <c r="U5186" s="9" t="str">
        <f t="shared" ca="1" si="220"/>
        <v/>
      </c>
      <c r="V5186" s="9" t="str">
        <f t="shared" ca="1" si="221"/>
        <v/>
      </c>
      <c r="AG5186" s="9" t="s">
        <v>20</v>
      </c>
    </row>
    <row r="5187" spans="1:33" ht="29">
      <c r="A5187" s="3" t="s">
        <v>4767</v>
      </c>
      <c r="D5187" s="3" t="s">
        <v>12050</v>
      </c>
      <c r="E5187" s="3" t="s">
        <v>12051</v>
      </c>
      <c r="J5187" s="9" t="s">
        <v>12118</v>
      </c>
      <c r="Q5187" s="10"/>
      <c r="T5187" s="9">
        <f xml:space="preserve"> 0-20</f>
        <v>-20</v>
      </c>
      <c r="U5187" s="9">
        <f t="shared" ca="1" si="220"/>
        <v>20</v>
      </c>
      <c r="V5187" s="9">
        <f t="shared" ca="1" si="221"/>
        <v>0</v>
      </c>
      <c r="AG5187" s="9" t="s">
        <v>19</v>
      </c>
    </row>
    <row r="5188" spans="1:33" ht="29">
      <c r="A5188" s="3" t="s">
        <v>4767</v>
      </c>
      <c r="D5188" s="3" t="s">
        <v>12049</v>
      </c>
      <c r="E5188" s="3" t="s">
        <v>12052</v>
      </c>
      <c r="J5188" s="9" t="s">
        <v>24</v>
      </c>
      <c r="L5188" s="9">
        <v>2</v>
      </c>
      <c r="M5188" s="9">
        <v>7</v>
      </c>
      <c r="O5188" s="9" t="s">
        <v>12079</v>
      </c>
      <c r="Q5188" s="10"/>
      <c r="S5188" s="9">
        <v>128</v>
      </c>
      <c r="U5188" s="9" t="str">
        <f t="shared" ca="1" si="220"/>
        <v/>
      </c>
      <c r="V5188" s="9" t="str">
        <f t="shared" ca="1" si="221"/>
        <v/>
      </c>
      <c r="AG5188" s="9" t="s">
        <v>19</v>
      </c>
    </row>
    <row r="5189" spans="1:33">
      <c r="A5189" s="3" t="s">
        <v>4768</v>
      </c>
      <c r="D5189" s="3" t="s">
        <v>12054</v>
      </c>
      <c r="E5189" s="3" t="s">
        <v>12053</v>
      </c>
      <c r="J5189" s="9" t="s">
        <v>24</v>
      </c>
      <c r="L5189" s="9">
        <v>1</v>
      </c>
      <c r="M5189" s="9">
        <v>2</v>
      </c>
      <c r="N5189" s="9" t="s">
        <v>12087</v>
      </c>
      <c r="O5189" s="9" t="s">
        <v>12119</v>
      </c>
      <c r="Q5189" s="10"/>
      <c r="S5189" s="9">
        <v>1966</v>
      </c>
      <c r="U5189" s="9" t="str">
        <f t="shared" ca="1" si="220"/>
        <v/>
      </c>
      <c r="V5189" s="9" t="str">
        <f t="shared" ca="1" si="221"/>
        <v/>
      </c>
      <c r="AG5189" s="9" t="s">
        <v>13141</v>
      </c>
    </row>
    <row r="5190" spans="1:33">
      <c r="A5190" s="3" t="s">
        <v>4768</v>
      </c>
      <c r="D5190" s="3" t="s">
        <v>4769</v>
      </c>
      <c r="E5190" s="3" t="s">
        <v>4770</v>
      </c>
      <c r="J5190" s="9" t="s">
        <v>12118</v>
      </c>
      <c r="Q5190" s="10"/>
      <c r="T5190" s="9">
        <f xml:space="preserve"> 0-20</f>
        <v>-20</v>
      </c>
      <c r="U5190" s="9">
        <f t="shared" ca="1" si="220"/>
        <v>20</v>
      </c>
      <c r="V5190" s="9">
        <f t="shared" ca="1" si="221"/>
        <v>0</v>
      </c>
      <c r="AG5190" s="9" t="s">
        <v>19</v>
      </c>
    </row>
    <row r="5191" spans="1:33" ht="29">
      <c r="A5191" s="3" t="s">
        <v>4768</v>
      </c>
      <c r="D5191" s="3" t="s">
        <v>12055</v>
      </c>
      <c r="E5191" s="5" t="s">
        <v>12056</v>
      </c>
      <c r="F5191" t="s">
        <v>32</v>
      </c>
      <c r="I5191" t="s">
        <v>13084</v>
      </c>
      <c r="J5191" s="9" t="s">
        <v>12118</v>
      </c>
      <c r="Q5191" s="10"/>
      <c r="T5191" s="9" t="s">
        <v>12131</v>
      </c>
      <c r="U5191" s="9" t="str">
        <f t="shared" ca="1" si="220"/>
        <v/>
      </c>
      <c r="V5191" s="9" t="str">
        <f t="shared" ca="1" si="221"/>
        <v/>
      </c>
      <c r="AC5191" s="9" t="s">
        <v>12130</v>
      </c>
      <c r="AD5191" s="9" t="s">
        <v>19</v>
      </c>
      <c r="AE5191" s="9" t="s">
        <v>12086</v>
      </c>
    </row>
    <row r="5192" spans="1:33" ht="29">
      <c r="A5192" s="3" t="s">
        <v>4768</v>
      </c>
      <c r="D5192" s="3" t="s">
        <v>12057</v>
      </c>
      <c r="E5192" s="3" t="s">
        <v>12058</v>
      </c>
      <c r="F5192" t="s">
        <v>11</v>
      </c>
      <c r="G5192" t="s">
        <v>19</v>
      </c>
      <c r="Q5192" s="10"/>
      <c r="U5192" s="9" t="str">
        <f t="shared" ca="1" si="220"/>
        <v/>
      </c>
      <c r="V5192" s="9" t="str">
        <f t="shared" ca="1" si="221"/>
        <v/>
      </c>
    </row>
    <row r="5193" spans="1:33" ht="29">
      <c r="A5193" s="3" t="s">
        <v>4768</v>
      </c>
      <c r="D5193" s="3" t="s">
        <v>12059</v>
      </c>
      <c r="E5193" s="3" t="s">
        <v>12060</v>
      </c>
      <c r="J5193" s="9" t="s">
        <v>12118</v>
      </c>
      <c r="Q5193" s="10"/>
      <c r="T5193" s="9">
        <f>2042-4240</f>
        <v>-2198</v>
      </c>
      <c r="U5193" s="9">
        <f t="shared" ca="1" si="220"/>
        <v>4240</v>
      </c>
      <c r="V5193" s="9">
        <f t="shared" ca="1" si="221"/>
        <v>2042</v>
      </c>
      <c r="AG5193" s="9" t="s">
        <v>19</v>
      </c>
    </row>
    <row r="5194" spans="1:33">
      <c r="A5194" s="3" t="s">
        <v>4768</v>
      </c>
      <c r="D5194" s="6" t="s">
        <v>12061</v>
      </c>
      <c r="E5194" s="3" t="s">
        <v>12062</v>
      </c>
      <c r="F5194" t="s">
        <v>11</v>
      </c>
      <c r="G5194" t="s">
        <v>19</v>
      </c>
      <c r="Q5194" s="10"/>
      <c r="U5194" s="9" t="str">
        <f t="shared" ca="1" si="220"/>
        <v/>
      </c>
      <c r="V5194" s="9" t="str">
        <f t="shared" ca="1" si="221"/>
        <v/>
      </c>
    </row>
    <row r="5195" spans="1:33" ht="29">
      <c r="A5195" s="3" t="s">
        <v>4768</v>
      </c>
      <c r="D5195" s="3" t="s">
        <v>12064</v>
      </c>
      <c r="E5195" s="3" t="s">
        <v>12063</v>
      </c>
      <c r="J5195" s="9" t="s">
        <v>25</v>
      </c>
      <c r="L5195" s="9">
        <v>2</v>
      </c>
      <c r="M5195" s="9">
        <v>12</v>
      </c>
      <c r="O5195" s="9" t="s">
        <v>12079</v>
      </c>
      <c r="Q5195" s="10"/>
      <c r="S5195" s="9">
        <v>12</v>
      </c>
      <c r="U5195" s="9" t="str">
        <f t="shared" ca="1" si="220"/>
        <v/>
      </c>
      <c r="V5195" s="9" t="str">
        <f t="shared" ca="1" si="221"/>
        <v/>
      </c>
      <c r="AE5195" s="9" t="s">
        <v>12083</v>
      </c>
    </row>
    <row r="5196" spans="1:33">
      <c r="A5196" s="3" t="s">
        <v>4771</v>
      </c>
      <c r="D5196" s="3" t="s">
        <v>13085</v>
      </c>
      <c r="E5196" s="3" t="s">
        <v>13086</v>
      </c>
      <c r="J5196" s="9" t="s">
        <v>12118</v>
      </c>
      <c r="Q5196" s="10"/>
      <c r="T5196" s="9" t="s">
        <v>12131</v>
      </c>
      <c r="U5196" s="9" t="str">
        <f t="shared" ca="1" si="220"/>
        <v/>
      </c>
      <c r="V5196" s="9" t="str">
        <f t="shared" ca="1" si="221"/>
        <v/>
      </c>
      <c r="AC5196" s="9" t="s">
        <v>12130</v>
      </c>
      <c r="AD5196" s="9" t="s">
        <v>19</v>
      </c>
      <c r="AE5196" s="9" t="s">
        <v>12086</v>
      </c>
    </row>
    <row r="5197" spans="1:33">
      <c r="A5197" s="3" t="s">
        <v>4771</v>
      </c>
      <c r="D5197" s="3" t="s">
        <v>4772</v>
      </c>
      <c r="E5197" s="3" t="s">
        <v>4773</v>
      </c>
      <c r="J5197" s="9" t="s">
        <v>12118</v>
      </c>
      <c r="Q5197" s="10"/>
      <c r="T5197" s="9" t="s">
        <v>12131</v>
      </c>
      <c r="U5197" s="9" t="str">
        <f t="shared" ca="1" si="220"/>
        <v/>
      </c>
      <c r="V5197" s="9" t="str">
        <f t="shared" ca="1" si="221"/>
        <v/>
      </c>
      <c r="AC5197" s="9" t="s">
        <v>12130</v>
      </c>
      <c r="AD5197" s="9" t="s">
        <v>19</v>
      </c>
      <c r="AE5197" s="9" t="s">
        <v>12086</v>
      </c>
    </row>
    <row r="5198" spans="1:33">
      <c r="Q5198" s="10"/>
    </row>
    <row r="5199" spans="1:33">
      <c r="Q5199" s="10"/>
    </row>
    <row r="5200" spans="1:33">
      <c r="D5200" s="11" t="s">
        <v>12126</v>
      </c>
      <c r="E5200" s="11">
        <f>SUBTOTAL(3,A2:A5197)</f>
        <v>5196</v>
      </c>
      <c r="Q5200" s="10"/>
    </row>
    <row r="5201" spans="4:17">
      <c r="D5201" s="11" t="s">
        <v>12127</v>
      </c>
      <c r="E5201" s="11">
        <f>COUNTA(A2:A5197)</f>
        <v>5196</v>
      </c>
      <c r="Q5201" s="10"/>
    </row>
    <row r="5202" spans="4:17">
      <c r="Q5202" s="10"/>
    </row>
    <row r="5204" spans="4:17">
      <c r="E5204" s="11">
        <f>COUNTIF(F:F, "Autograph transcript error, but still a variant") + COUNTIF(F:F, "Apograph transcript error, but still a variant") + COUNTIF(F:F, "Not a variant: autograph transcript error") + COUNTIF(F:F, "Not a variant: apograph transcript error")</f>
        <v>119</v>
      </c>
    </row>
  </sheetData>
  <conditionalFormatting sqref="J2:J5202">
    <cfRule type="expression" dxfId="520" priority="16">
      <formula>$J2&lt;&gt;""</formula>
    </cfRule>
    <cfRule type="expression" dxfId="519" priority="17">
      <formula>$J2=""</formula>
    </cfRule>
  </conditionalFormatting>
  <conditionalFormatting sqref="K2:S2716 K2717:R2717 K2718:S5202">
    <cfRule type="expression" dxfId="518" priority="50">
      <formula>AND(OR($J2="Addition",$J2="Omission"), K2&lt;&gt;"")</formula>
    </cfRule>
  </conditionalFormatting>
  <conditionalFormatting sqref="N2:N5202">
    <cfRule type="expression" dxfId="517" priority="22">
      <formula>AND($L2&lt;&gt;"",$L2&gt;1)</formula>
    </cfRule>
  </conditionalFormatting>
  <conditionalFormatting sqref="P2:Q5202">
    <cfRule type="expression" dxfId="516" priority="18">
      <formula>$O2="Absent"</formula>
    </cfRule>
    <cfRule type="expression" dxfId="515" priority="19">
      <formula>$O2="NA"</formula>
    </cfRule>
    <cfRule type="expression" dxfId="514" priority="20">
      <formula>AND(OR($J2="Addition",$J2="Omission"), P2="")</formula>
    </cfRule>
    <cfRule type="expression" dxfId="513" priority="21">
      <formula>AND($J2&lt;&gt;"Addition",$J2&lt;&gt;"Omission")</formula>
    </cfRule>
  </conditionalFormatting>
  <conditionalFormatting sqref="R2:R5202">
    <cfRule type="expression" dxfId="512" priority="23">
      <formula>OR($J2="Addition",$J2="Omission",$J2 = "Substitution - Word")</formula>
    </cfRule>
  </conditionalFormatting>
  <conditionalFormatting sqref="R2717">
    <cfRule type="expression" dxfId="511" priority="51">
      <formula>AND(OR($J2717="Addition",$J2717="Omission"), R2717="")</formula>
    </cfRule>
    <cfRule type="expression" dxfId="510" priority="52">
      <formula>AND($J2717&lt;&gt;"Addition",$J2717&lt;&gt;"Omission",$J2717&lt;&gt;"Substitution - Word")</formula>
    </cfRule>
  </conditionalFormatting>
  <conditionalFormatting sqref="R2:S2716 K2:O5202 R2718:S5202">
    <cfRule type="expression" dxfId="509" priority="29">
      <formula>AND($J2&lt;&gt;"Addition",$J2&lt;&gt;"Omission",$J2&lt;&gt;"Substitution - Word")</formula>
    </cfRule>
  </conditionalFormatting>
  <conditionalFormatting sqref="R2:S2716 R2718:S5202 K2:O5202">
    <cfRule type="expression" dxfId="508" priority="28">
      <formula>AND(OR($J2="Addition",$J2="Omission"), K2="")</formula>
    </cfRule>
  </conditionalFormatting>
  <conditionalFormatting sqref="S2717">
    <cfRule type="expression" dxfId="507" priority="1">
      <formula>AND(AND(LEFT($J2717,3)="Sub", RIGHT($J2717,4)&lt;&gt;"Form"),$T2717&lt;&gt;"")</formula>
    </cfRule>
    <cfRule type="expression" dxfId="506" priority="2">
      <formula>AND(AND(LEFT($J2717,3)="Sub", RIGHT($J2717,4)&lt;&gt;"Form"),$T2717="")</formula>
    </cfRule>
    <cfRule type="expression" dxfId="505" priority="3">
      <formula>"&lt;&gt;AND(LEFT($J2,3)=""Sub"", RIGHT($J2,4)&lt;&gt;""Form"")"</formula>
    </cfRule>
    <cfRule type="expression" dxfId="504" priority="4">
      <formula>AND(AND(LEFT($J2717,3)="Sub", RIGHT($J2717,4)&lt;&gt;"Form"),$T2717&lt;&gt;"")</formula>
    </cfRule>
    <cfRule type="expression" dxfId="503" priority="5">
      <formula>AND(AND(LEFT($J2717,3)="Sub", RIGHT($J2717,4)&lt;&gt;"Form"),$T2717="")</formula>
    </cfRule>
    <cfRule type="expression" dxfId="502" priority="6">
      <formula>"&lt;&gt;AND(LEFT($J2,3)=""Sub"", RIGHT($J2,4)&lt;&gt;""Form"")"</formula>
    </cfRule>
  </conditionalFormatting>
  <conditionalFormatting sqref="T2 T3:V1208 T1210:V5202">
    <cfRule type="expression" dxfId="501" priority="48">
      <formula>AND(AND(LEFT($J2,3)="Sub", RIGHT($J2,4)&lt;&gt;"Form"),$T2="")</formula>
    </cfRule>
    <cfRule type="expression" dxfId="500" priority="49">
      <formula>"&lt;&gt;AND(LEFT($J2,3)=""Sub"", RIGHT($J2,4)&lt;&gt;""Form"")"</formula>
    </cfRule>
  </conditionalFormatting>
  <conditionalFormatting sqref="T1209">
    <cfRule type="expression" dxfId="499" priority="25">
      <formula>AND(AND(LEFT($J1209,3)="Sub", RIGHT($J1209,4)&lt;&gt;"Form"),$V1209="")</formula>
    </cfRule>
    <cfRule type="expression" dxfId="498" priority="26">
      <formula>"&lt;&gt;AND(LEFT($J2,3)=""Sub"", RIGHT($J2,4)&lt;&gt;""Form"")"</formula>
    </cfRule>
    <cfRule type="expression" dxfId="497" priority="24">
      <formula>AND(AND(LEFT($J1209,3)="Sub", RIGHT($J1209,4)&lt;&gt;"Form"),$V1209&lt;&gt;"")</formula>
    </cfRule>
  </conditionalFormatting>
  <conditionalFormatting sqref="T3:V1208 T1210:V5202 T2">
    <cfRule type="expression" dxfId="496" priority="47">
      <formula>AND(AND(LEFT($J2,3)="Sub", RIGHT($J2,4)&lt;&gt;"Form"),$T2&lt;&gt;"")</formula>
    </cfRule>
  </conditionalFormatting>
  <conditionalFormatting sqref="U2:V5197">
    <cfRule type="expression" dxfId="495" priority="13">
      <formula>AND(AND(LEFT($J2,3)="Sub", RIGHT($J2,4)&lt;&gt;"Form"),$T2&lt;&gt;"")</formula>
    </cfRule>
    <cfRule type="expression" dxfId="494" priority="15">
      <formula>"&lt;&gt;AND(LEFT($J2,3)=""Sub"", RIGHT($J2,4)&lt;&gt;""Form"")"</formula>
    </cfRule>
    <cfRule type="expression" dxfId="493" priority="14">
      <formula>AND(AND(LEFT($J2,3)="Sub", RIGHT($J2,4)&lt;&gt;"Form"),$T2="")</formula>
    </cfRule>
  </conditionalFormatting>
  <conditionalFormatting sqref="W2:W5202">
    <cfRule type="expression" dxfId="492" priority="37">
      <formula>OR($AD2="Yes",$AE2&lt;&gt;"")</formula>
    </cfRule>
    <cfRule type="expression" dxfId="491" priority="36">
      <formula>AND($W2&lt;&gt;"",OR($AD2="Yes",$AE2&lt;&gt;""))</formula>
    </cfRule>
    <cfRule type="expression" dxfId="490" priority="55">
      <formula>AND($AD2&lt;&gt;"Yes",$AE2="")</formula>
    </cfRule>
  </conditionalFormatting>
  <conditionalFormatting sqref="W2:AG5202">
    <cfRule type="expression" dxfId="489" priority="53">
      <formula>AND($J2&lt;&gt;"",$J2&lt;&gt;"Unclear due to correction")</formula>
    </cfRule>
    <cfRule type="expression" dxfId="488" priority="54">
      <formula>OR($J2="",$J2="Unclear due to correction")</formula>
    </cfRule>
  </conditionalFormatting>
  <conditionalFormatting sqref="X2:X5202">
    <cfRule type="expression" dxfId="487" priority="35">
      <formula>AND($J2&lt;&gt;"",$J2&lt;&gt;"Unclear due to correction",$X2="")</formula>
    </cfRule>
  </conditionalFormatting>
  <conditionalFormatting sqref="Y2:Y5202">
    <cfRule type="expression" dxfId="486" priority="38">
      <formula>AND($X2="Yes",$Y2="")</formula>
    </cfRule>
    <cfRule type="expression" dxfId="485" priority="39">
      <formula>$X2=""</formula>
    </cfRule>
  </conditionalFormatting>
  <conditionalFormatting sqref="AD2:AD5202">
    <cfRule type="expression" dxfId="484" priority="40">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CF2233FB-2B28-4DCB-AE62-73C026274D66}">
          <x14:formula1>
            <xm:f>'Data Regularization'!$B$2:$B$1048576</xm:f>
          </x14:formula1>
          <xm:sqref>G4018:G1048576 G2:G4016</xm:sqref>
        </x14:dataValidation>
        <x14:dataValidation type="list" allowBlank="1" showInputMessage="1" showErrorMessage="1" xr:uid="{2E62E8AD-BAD3-4EB9-AFBF-45839D0B1E9E}">
          <x14:formula1>
            <xm:f>'Data Regularization'!$C$2:$C$29</xm:f>
          </x14:formula1>
          <xm:sqref>H2:H1048576</xm:sqref>
        </x14:dataValidation>
        <x14:dataValidation type="list" allowBlank="1" showInputMessage="1" showErrorMessage="1" xr:uid="{313D895C-DA90-4E1F-BA69-96C849A61552}">
          <x14:formula1>
            <xm:f>'Data Regularization'!$A$2:$A$1048576</xm:f>
          </x14:formula1>
          <xm:sqref>F2:F1048576</xm:sqref>
        </x14:dataValidation>
        <x14:dataValidation type="list" allowBlank="1" showInputMessage="1" showErrorMessage="1" xr:uid="{AABF5891-A04A-42AD-9514-A44C46EDBFFC}">
          <x14:formula1>
            <xm:f>'Data Regularization'!$D$2:$D$1048576</xm:f>
          </x14:formula1>
          <xm:sqref>J1:J1048576</xm:sqref>
        </x14:dataValidation>
        <x14:dataValidation type="list" allowBlank="1" showInputMessage="1" showErrorMessage="1" xr:uid="{549D9235-E1FA-427B-AB43-B520F2405B32}">
          <x14:formula1>
            <xm:f>'Data Regularization'!$E$2:$E$1048576</xm:f>
          </x14:formula1>
          <xm:sqref>N2:N1048576</xm:sqref>
        </x14:dataValidation>
        <x14:dataValidation type="list" allowBlank="1" showInputMessage="1" showErrorMessage="1" xr:uid="{1A8A6701-C4CB-460C-8C66-1BF30126CAF9}">
          <x14:formula1>
            <xm:f>'Data Regularization'!$F$2:$F$1048576</xm:f>
          </x14:formula1>
          <xm:sqref>O2:O1048576</xm:sqref>
        </x14:dataValidation>
        <x14:dataValidation type="list" allowBlank="1" showInputMessage="1" showErrorMessage="1" xr:uid="{1C5EF0C3-3048-4F1A-91FB-763FA03846D1}">
          <x14:formula1>
            <xm:f>'Data Regularization'!$G$2:$G$1048576</xm:f>
          </x14:formula1>
          <xm:sqref>R2:R1048576</xm:sqref>
        </x14:dataValidation>
        <x14:dataValidation type="list" allowBlank="1" showInputMessage="1" showErrorMessage="1" xr:uid="{01FBFBE8-DC2C-44E5-A5AA-FA1AA95793C8}">
          <x14:formula1>
            <xm:f>'Data Regularization'!$K$2:$K$1048576</xm:f>
          </x14:formula1>
          <xm:sqref>Y2:Y1048576</xm:sqref>
        </x14:dataValidation>
        <x14:dataValidation type="list" allowBlank="1" showInputMessage="1" showErrorMessage="1" xr:uid="{4AF62A55-F644-456F-8237-747A7A0DC3C2}">
          <x14:formula1>
            <xm:f>'Data Regularization'!$L$2:$L$1048576</xm:f>
          </x14:formula1>
          <xm:sqref>Z2:Z1048576</xm:sqref>
        </x14:dataValidation>
        <x14:dataValidation type="list" allowBlank="1" showInputMessage="1" showErrorMessage="1" xr:uid="{8334CDB0-C0F6-4AD2-B9BB-37930DD1B5D6}">
          <x14:formula1>
            <xm:f>'Data Regularization'!$N$2:$N$1048576</xm:f>
          </x14:formula1>
          <xm:sqref>AA2:AA1048576</xm:sqref>
        </x14:dataValidation>
        <x14:dataValidation type="list" allowBlank="1" showInputMessage="1" showErrorMessage="1" xr:uid="{DDFCBA69-3624-4609-81D6-0D1B48FEEE9B}">
          <x14:formula1>
            <xm:f>'Data Regularization'!$O$2:$O$1048576</xm:f>
          </x14:formula1>
          <xm:sqref>AB2:AB1048576</xm:sqref>
        </x14:dataValidation>
        <x14:dataValidation type="list" allowBlank="1" showInputMessage="1" showErrorMessage="1" xr:uid="{EB35FAFC-83A6-41ED-BA17-208C7609D186}">
          <x14:formula1>
            <xm:f>'Data Regularization'!$P$2:$P$1048576</xm:f>
          </x14:formula1>
          <xm:sqref>AD2:AD1048576</xm:sqref>
        </x14:dataValidation>
        <x14:dataValidation type="list" allowBlank="1" showInputMessage="1" showErrorMessage="1" xr:uid="{88E71BF4-01A9-4F1C-9EB4-D18B23DF59A9}">
          <x14:formula1>
            <xm:f>'Data Regularization'!$H$2:$H$1048576</xm:f>
          </x14:formula1>
          <xm:sqref>W2:W1048576</xm:sqref>
        </x14:dataValidation>
        <x14:dataValidation type="list" allowBlank="1" showInputMessage="1" xr:uid="{8C0F6CE4-CEA8-4DF7-BCDF-A7BDC921596C}">
          <x14:formula1>
            <xm:f>'Data Regularization'!$J$2:$J$1048576</xm:f>
          </x14:formula1>
          <xm:sqref>X2:X1048576</xm:sqref>
        </x14:dataValidation>
        <x14:dataValidation type="list" allowBlank="1" showInputMessage="1" showErrorMessage="1" xr:uid="{CBBE8EA8-A524-4810-B3A4-72495A8515EF}">
          <x14:formula1>
            <xm:f>'Data Regularization'!$R$2:$R$1048576</xm:f>
          </x14:formula1>
          <xm:sqref>AF2:AF1048576 AG5198:AG1048576</xm:sqref>
        </x14:dataValidation>
        <x14:dataValidation type="list" allowBlank="1" showInputMessage="1" showErrorMessage="1" xr:uid="{196BBADE-736D-41FA-A8E3-362AA02806D1}">
          <x14:formula1>
            <xm:f>'Data Regularization'!$Q$2:$Q$1048576</xm:f>
          </x14:formula1>
          <xm:sqref>AE2:AE1048576 AG5198:AG1048576</xm:sqref>
        </x14:dataValidation>
        <x14:dataValidation type="list" allowBlank="1" showInputMessage="1" showErrorMessage="1" xr:uid="{9FA89130-200D-4B48-8A9F-CC1A4D383C2B}">
          <x14:formula1>
            <xm:f>'Data Regularization'!$S$2:$S$4</xm:f>
          </x14:formula1>
          <xm:sqref>AG2:AG23 AG5194:AG5197</xm:sqref>
        </x14:dataValidation>
        <x14:dataValidation type="list" allowBlank="1" showInputMessage="1" showErrorMessage="1" xr:uid="{DA61F2B6-0CF6-4A59-BA26-934BD851A888}">
          <x14:formula1>
            <xm:f>'Data Regularization'!$S$2:$S$5</xm:f>
          </x14:formula1>
          <xm:sqref>AG24:AG5193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DE4A-A9EB-4322-BBFB-BD679D9ED354}">
  <dimension ref="A1:AD1883"/>
  <sheetViews>
    <sheetView workbookViewId="0">
      <pane xSplit="3" ySplit="1" topLeftCell="D1851" activePane="bottomRight" state="frozen"/>
      <selection pane="topRight" activeCell="D1" sqref="D1"/>
      <selection pane="bottomLeft" activeCell="A2" sqref="A2"/>
      <selection pane="bottomRight" activeCell="AD1884" sqref="AD1884"/>
    </sheetView>
  </sheetViews>
  <sheetFormatPr defaultRowHeight="14.5"/>
  <cols>
    <col min="2" max="3" width="20.81640625" customWidth="1"/>
    <col min="4" max="6" width="8.90625" customWidth="1"/>
  </cols>
  <sheetData>
    <row r="1" spans="1:30"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12112</v>
      </c>
      <c r="U1" s="1" t="s">
        <v>12113</v>
      </c>
      <c r="V1" s="1" t="s">
        <v>12114</v>
      </c>
      <c r="W1" s="1" t="s">
        <v>12068</v>
      </c>
      <c r="X1" s="1" t="s">
        <v>12069</v>
      </c>
      <c r="Y1" s="1" t="s">
        <v>12070</v>
      </c>
      <c r="Z1" s="1" t="s">
        <v>12111</v>
      </c>
      <c r="AA1" s="1" t="s">
        <v>12115</v>
      </c>
      <c r="AB1" s="1" t="s">
        <v>12071</v>
      </c>
      <c r="AC1" s="1" t="s">
        <v>12116</v>
      </c>
      <c r="AD1" s="1" t="s">
        <v>13140</v>
      </c>
    </row>
    <row r="2" spans="1:30" ht="29">
      <c r="A2" s="3" t="s">
        <v>89</v>
      </c>
      <c r="B2" s="3" t="s">
        <v>4778</v>
      </c>
      <c r="C2" s="3" t="s">
        <v>4779</v>
      </c>
      <c r="G2" s="9" t="s">
        <v>12118</v>
      </c>
      <c r="H2" s="9"/>
      <c r="I2" s="9"/>
      <c r="J2" s="9"/>
      <c r="K2" s="9"/>
      <c r="L2" s="9"/>
      <c r="M2" s="9"/>
      <c r="N2" s="10"/>
      <c r="O2" s="9"/>
      <c r="P2" s="9"/>
      <c r="Q2" s="9">
        <v>103</v>
      </c>
      <c r="R2" s="9">
        <v>93</v>
      </c>
      <c r="S2" s="9">
        <v>196</v>
      </c>
      <c r="T2" s="9" t="s">
        <v>12117</v>
      </c>
      <c r="U2" s="9"/>
      <c r="V2" s="9"/>
      <c r="W2" s="9"/>
      <c r="X2" s="9"/>
      <c r="Y2" s="9"/>
      <c r="Z2" s="9"/>
      <c r="AA2" s="9"/>
      <c r="AB2" s="9"/>
      <c r="AC2" s="9"/>
      <c r="AD2" s="9" t="s">
        <v>20</v>
      </c>
    </row>
    <row r="3" spans="1:30" ht="43.5">
      <c r="A3" s="3" t="s">
        <v>93</v>
      </c>
      <c r="B3" s="3" t="s">
        <v>4784</v>
      </c>
      <c r="C3" s="3" t="s">
        <v>4785</v>
      </c>
      <c r="G3" s="9" t="s">
        <v>26</v>
      </c>
      <c r="H3" s="9"/>
      <c r="I3" s="9"/>
      <c r="J3" s="9"/>
      <c r="K3" s="9"/>
      <c r="L3" s="9"/>
      <c r="M3" s="9"/>
      <c r="N3" s="10"/>
      <c r="O3" s="9"/>
      <c r="P3" s="9"/>
      <c r="Q3" s="9"/>
      <c r="R3" s="9" t="s">
        <v>12795</v>
      </c>
      <c r="S3" s="9" t="s">
        <v>12795</v>
      </c>
      <c r="T3" s="9"/>
      <c r="U3" s="9"/>
      <c r="V3" s="9"/>
      <c r="W3" s="9"/>
      <c r="X3" s="9"/>
      <c r="Y3" s="9"/>
      <c r="Z3" s="9"/>
      <c r="AA3" s="9"/>
      <c r="AB3" s="9"/>
      <c r="AC3" s="9"/>
      <c r="AD3" s="9" t="s">
        <v>19</v>
      </c>
    </row>
    <row r="4" spans="1:30" ht="29">
      <c r="A4" s="3" t="s">
        <v>95</v>
      </c>
      <c r="B4" s="3" t="s">
        <v>98</v>
      </c>
      <c r="C4" s="3" t="s">
        <v>99</v>
      </c>
      <c r="G4" s="9" t="s">
        <v>12120</v>
      </c>
      <c r="H4" s="9"/>
      <c r="I4" s="9"/>
      <c r="J4" s="9"/>
      <c r="K4" s="9"/>
      <c r="L4" s="9"/>
      <c r="M4" s="9"/>
      <c r="N4" s="10"/>
      <c r="O4" s="9"/>
      <c r="P4" s="9"/>
      <c r="Q4" s="9"/>
      <c r="R4" s="9" t="s">
        <v>12795</v>
      </c>
      <c r="S4" s="9" t="s">
        <v>12795</v>
      </c>
      <c r="T4" s="9"/>
      <c r="U4" s="9"/>
      <c r="V4" s="9"/>
      <c r="W4" s="9"/>
      <c r="X4" s="9"/>
      <c r="Y4" s="9"/>
      <c r="Z4" s="9"/>
      <c r="AA4" s="9"/>
      <c r="AB4" s="9"/>
      <c r="AC4" s="9"/>
      <c r="AD4" s="9" t="s">
        <v>19</v>
      </c>
    </row>
    <row r="5" spans="1:30" ht="29">
      <c r="A5" s="3" t="s">
        <v>100</v>
      </c>
      <c r="B5" s="3" t="s">
        <v>4792</v>
      </c>
      <c r="C5" s="3" t="s">
        <v>4793</v>
      </c>
      <c r="G5" s="9" t="s">
        <v>12120</v>
      </c>
      <c r="H5" s="9"/>
      <c r="I5" s="9"/>
      <c r="J5" s="9"/>
      <c r="K5" s="9"/>
      <c r="L5" s="9"/>
      <c r="M5" s="9"/>
      <c r="N5" s="10"/>
      <c r="O5" s="9"/>
      <c r="P5" s="9"/>
      <c r="Q5" s="9"/>
      <c r="R5" s="9" t="s">
        <v>12795</v>
      </c>
      <c r="S5" s="9" t="s">
        <v>12795</v>
      </c>
      <c r="T5" s="9"/>
      <c r="U5" s="9"/>
      <c r="V5" s="9"/>
      <c r="W5" s="9"/>
      <c r="X5" s="9"/>
      <c r="Y5" s="9"/>
      <c r="Z5" s="9"/>
      <c r="AA5" s="9"/>
      <c r="AB5" s="9"/>
      <c r="AC5" s="9"/>
      <c r="AD5" s="9" t="s">
        <v>20</v>
      </c>
    </row>
    <row r="6" spans="1:30" ht="29">
      <c r="A6" s="3" t="s">
        <v>102</v>
      </c>
      <c r="B6" s="3" t="s">
        <v>4794</v>
      </c>
      <c r="C6" s="3" t="s">
        <v>4795</v>
      </c>
      <c r="G6" s="9" t="s">
        <v>12118</v>
      </c>
      <c r="H6" s="9"/>
      <c r="I6" s="9"/>
      <c r="J6" s="9"/>
      <c r="K6" s="9"/>
      <c r="L6" s="9"/>
      <c r="M6" s="9"/>
      <c r="N6" s="10"/>
      <c r="O6" s="9"/>
      <c r="P6" s="9"/>
      <c r="Q6" s="9">
        <v>95</v>
      </c>
      <c r="R6" s="9">
        <v>4</v>
      </c>
      <c r="S6" s="9">
        <v>99</v>
      </c>
      <c r="T6" s="9" t="s">
        <v>4</v>
      </c>
      <c r="U6" s="9"/>
      <c r="V6" s="9"/>
      <c r="W6" s="9"/>
      <c r="X6" s="9"/>
      <c r="Y6" s="9"/>
      <c r="Z6" s="9"/>
      <c r="AA6" s="9"/>
      <c r="AB6" s="9"/>
      <c r="AC6" s="9"/>
      <c r="AD6" s="9" t="s">
        <v>19</v>
      </c>
    </row>
    <row r="7" spans="1:30" ht="29">
      <c r="A7" s="3" t="s">
        <v>108</v>
      </c>
      <c r="B7" s="3" t="s">
        <v>4804</v>
      </c>
      <c r="C7" s="3" t="s">
        <v>4805</v>
      </c>
      <c r="F7" t="s">
        <v>19</v>
      </c>
      <c r="G7" s="9" t="s">
        <v>25</v>
      </c>
      <c r="H7" s="9"/>
      <c r="I7" s="9">
        <v>1</v>
      </c>
      <c r="J7" s="9">
        <v>2</v>
      </c>
      <c r="K7" s="9" t="s">
        <v>12078</v>
      </c>
      <c r="L7" s="9" t="s">
        <v>12119</v>
      </c>
      <c r="M7" s="9"/>
      <c r="N7" s="10"/>
      <c r="O7" s="9"/>
      <c r="P7" s="9">
        <v>11843</v>
      </c>
      <c r="Q7" s="9"/>
      <c r="R7" s="9" t="s">
        <v>12795</v>
      </c>
      <c r="S7" s="9" t="s">
        <v>12795</v>
      </c>
      <c r="T7" s="9"/>
      <c r="U7" s="9"/>
      <c r="V7" s="9"/>
      <c r="W7" s="9"/>
      <c r="X7" s="9"/>
      <c r="Y7" s="9"/>
      <c r="Z7" s="9"/>
      <c r="AA7" s="9"/>
      <c r="AB7" s="9"/>
      <c r="AC7" s="9"/>
      <c r="AD7" s="9" t="s">
        <v>20</v>
      </c>
    </row>
    <row r="8" spans="1:30">
      <c r="A8" s="3" t="s">
        <v>114</v>
      </c>
      <c r="B8" s="3" t="s">
        <v>4810</v>
      </c>
      <c r="C8" s="3" t="s">
        <v>4811</v>
      </c>
      <c r="G8" s="9" t="s">
        <v>24</v>
      </c>
      <c r="H8" s="9"/>
      <c r="I8" s="9">
        <v>1</v>
      </c>
      <c r="J8" s="9">
        <v>2</v>
      </c>
      <c r="K8" s="9" t="s">
        <v>12087</v>
      </c>
      <c r="L8" s="9" t="s">
        <v>12119</v>
      </c>
      <c r="M8" s="9"/>
      <c r="N8" s="10"/>
      <c r="O8" s="9"/>
      <c r="P8" s="9">
        <v>1966</v>
      </c>
      <c r="Q8" s="9"/>
      <c r="R8" s="9" t="s">
        <v>12795</v>
      </c>
      <c r="S8" s="9" t="s">
        <v>12795</v>
      </c>
      <c r="T8" s="9"/>
      <c r="U8" s="9"/>
      <c r="V8" s="9"/>
      <c r="W8" s="9"/>
      <c r="X8" s="9"/>
      <c r="Y8" s="9"/>
      <c r="Z8" s="9"/>
      <c r="AA8" s="9"/>
      <c r="AB8" s="9"/>
      <c r="AC8" s="9"/>
      <c r="AD8" s="9" t="s">
        <v>19</v>
      </c>
    </row>
    <row r="9" spans="1:30" ht="29">
      <c r="A9" s="3" t="s">
        <v>140</v>
      </c>
      <c r="B9" s="3" t="s">
        <v>4824</v>
      </c>
      <c r="C9" s="3" t="s">
        <v>4825</v>
      </c>
      <c r="F9" t="s">
        <v>19</v>
      </c>
      <c r="G9" s="9" t="s">
        <v>12120</v>
      </c>
      <c r="H9" s="9"/>
      <c r="I9" s="9"/>
      <c r="J9" s="9"/>
      <c r="K9" s="9"/>
      <c r="L9" s="9"/>
      <c r="M9" s="9"/>
      <c r="N9" s="10"/>
      <c r="O9" s="9"/>
      <c r="P9" s="9"/>
      <c r="Q9" s="9"/>
      <c r="R9" s="9" t="s">
        <v>12795</v>
      </c>
      <c r="S9" s="9" t="s">
        <v>12795</v>
      </c>
      <c r="T9" s="9"/>
      <c r="U9" s="9"/>
      <c r="V9" s="9"/>
      <c r="W9" s="9"/>
      <c r="X9" s="9"/>
      <c r="Y9" s="9"/>
      <c r="Z9" s="9"/>
      <c r="AA9" s="9"/>
      <c r="AB9" s="9"/>
      <c r="AC9" s="9"/>
      <c r="AD9" s="9" t="s">
        <v>20</v>
      </c>
    </row>
    <row r="10" spans="1:30" ht="43.5">
      <c r="A10" s="3" t="s">
        <v>142</v>
      </c>
      <c r="B10" s="3" t="s">
        <v>4828</v>
      </c>
      <c r="C10" s="3" t="s">
        <v>12959</v>
      </c>
      <c r="G10" s="9" t="s">
        <v>25</v>
      </c>
      <c r="H10" s="9"/>
      <c r="I10" s="9">
        <v>4</v>
      </c>
      <c r="J10" s="9">
        <v>20</v>
      </c>
      <c r="K10" s="9"/>
      <c r="L10" s="9" t="s">
        <v>12073</v>
      </c>
      <c r="M10" s="9" t="s">
        <v>12135</v>
      </c>
      <c r="N10" s="10" t="s">
        <v>12136</v>
      </c>
      <c r="O10" s="9"/>
      <c r="P10" s="9">
        <v>507</v>
      </c>
      <c r="Q10" s="9"/>
      <c r="R10" s="9" t="s">
        <v>12795</v>
      </c>
      <c r="S10" s="9" t="s">
        <v>12795</v>
      </c>
      <c r="T10" s="9"/>
      <c r="U10" s="9"/>
      <c r="V10" s="9"/>
      <c r="W10" s="9"/>
      <c r="X10" s="9"/>
      <c r="Y10" s="9"/>
      <c r="Z10" s="9"/>
      <c r="AA10" s="9"/>
      <c r="AB10" s="9"/>
      <c r="AC10" s="9"/>
      <c r="AD10" s="9" t="s">
        <v>20</v>
      </c>
    </row>
    <row r="11" spans="1:30" ht="29">
      <c r="A11" s="3" t="s">
        <v>147</v>
      </c>
      <c r="B11" s="3" t="s">
        <v>4829</v>
      </c>
      <c r="C11" s="3" t="s">
        <v>4830</v>
      </c>
      <c r="G11" s="9" t="s">
        <v>25</v>
      </c>
      <c r="H11" s="9"/>
      <c r="I11" s="9">
        <v>1</v>
      </c>
      <c r="J11" s="9">
        <v>1</v>
      </c>
      <c r="K11" s="9" t="s">
        <v>12078</v>
      </c>
      <c r="L11" s="9" t="s">
        <v>12119</v>
      </c>
      <c r="M11" s="9"/>
      <c r="N11" s="10"/>
      <c r="O11" s="9"/>
      <c r="P11" s="9">
        <v>11843</v>
      </c>
      <c r="Q11" s="9"/>
      <c r="R11" s="9" t="s">
        <v>12795</v>
      </c>
      <c r="S11" s="9" t="s">
        <v>12795</v>
      </c>
      <c r="T11" s="9"/>
      <c r="U11" s="9"/>
      <c r="V11" s="9"/>
      <c r="W11" s="9"/>
      <c r="X11" s="9"/>
      <c r="Y11" s="9"/>
      <c r="Z11" s="9"/>
      <c r="AA11" s="9"/>
      <c r="AB11" s="9"/>
      <c r="AC11" s="9"/>
      <c r="AD11" s="9" t="s">
        <v>19</v>
      </c>
    </row>
    <row r="12" spans="1:30">
      <c r="A12" s="3" t="s">
        <v>148</v>
      </c>
      <c r="B12" s="3" t="s">
        <v>4831</v>
      </c>
      <c r="C12" s="3" t="s">
        <v>4832</v>
      </c>
      <c r="G12" s="9" t="s">
        <v>25</v>
      </c>
      <c r="H12" s="9"/>
      <c r="I12" s="9">
        <v>1</v>
      </c>
      <c r="J12" s="9">
        <v>3</v>
      </c>
      <c r="K12" s="9" t="s">
        <v>12078</v>
      </c>
      <c r="L12" s="9" t="s">
        <v>12079</v>
      </c>
      <c r="M12" s="9"/>
      <c r="N12" s="10"/>
      <c r="O12" s="9"/>
      <c r="P12" s="9">
        <v>11843</v>
      </c>
      <c r="Q12" s="9"/>
      <c r="R12" s="9" t="s">
        <v>12795</v>
      </c>
      <c r="S12" s="9" t="s">
        <v>12795</v>
      </c>
      <c r="T12" s="9"/>
      <c r="U12" s="9"/>
      <c r="V12" s="9"/>
      <c r="W12" s="9"/>
      <c r="X12" s="9"/>
      <c r="Y12" s="9"/>
      <c r="Z12" s="9"/>
      <c r="AA12" s="9"/>
      <c r="AB12" s="9"/>
      <c r="AC12" s="9"/>
      <c r="AD12" s="9" t="s">
        <v>20</v>
      </c>
    </row>
    <row r="13" spans="1:30">
      <c r="A13" s="3" t="s">
        <v>152</v>
      </c>
      <c r="B13" s="3" t="s">
        <v>4833</v>
      </c>
      <c r="C13" s="3" t="s">
        <v>4834</v>
      </c>
      <c r="G13" s="9" t="s">
        <v>25</v>
      </c>
      <c r="H13" s="9"/>
      <c r="I13" s="9">
        <v>1</v>
      </c>
      <c r="J13" s="9">
        <v>4</v>
      </c>
      <c r="K13" s="9" t="s">
        <v>12094</v>
      </c>
      <c r="L13" s="9" t="s">
        <v>12079</v>
      </c>
      <c r="M13" s="9"/>
      <c r="N13" s="10"/>
      <c r="O13" s="9"/>
      <c r="P13" s="9">
        <v>4240</v>
      </c>
      <c r="Q13" s="9"/>
      <c r="R13" s="9" t="s">
        <v>12795</v>
      </c>
      <c r="S13" s="9" t="s">
        <v>12795</v>
      </c>
      <c r="T13" s="9" t="s">
        <v>4</v>
      </c>
      <c r="U13" s="9"/>
      <c r="V13" s="9"/>
      <c r="W13" s="9"/>
      <c r="X13" s="9"/>
      <c r="Y13" s="9"/>
      <c r="Z13" s="9"/>
      <c r="AA13" s="9"/>
      <c r="AB13" s="9"/>
      <c r="AC13" s="9"/>
      <c r="AD13" s="9" t="s">
        <v>19</v>
      </c>
    </row>
    <row r="14" spans="1:30" ht="43.5">
      <c r="A14" s="3" t="s">
        <v>173</v>
      </c>
      <c r="B14" s="3" t="s">
        <v>12634</v>
      </c>
      <c r="C14" s="3" t="s">
        <v>12635</v>
      </c>
      <c r="G14" s="9" t="s">
        <v>25</v>
      </c>
      <c r="H14" s="9"/>
      <c r="I14" s="9">
        <v>2</v>
      </c>
      <c r="J14" s="9">
        <v>15</v>
      </c>
      <c r="K14" s="9"/>
      <c r="L14" s="9" t="s">
        <v>12073</v>
      </c>
      <c r="M14" s="9" t="s">
        <v>12140</v>
      </c>
      <c r="N14" s="10" t="s">
        <v>12137</v>
      </c>
      <c r="O14" s="9"/>
      <c r="P14" s="9">
        <v>83</v>
      </c>
      <c r="Q14" s="9"/>
      <c r="R14" s="9" t="s">
        <v>12795</v>
      </c>
      <c r="S14" s="9" t="s">
        <v>12795</v>
      </c>
      <c r="T14" s="9"/>
      <c r="U14" s="9"/>
      <c r="V14" s="9"/>
      <c r="W14" s="9"/>
      <c r="X14" s="9"/>
      <c r="Y14" s="9"/>
      <c r="Z14" s="9"/>
      <c r="AA14" s="9"/>
      <c r="AB14" s="9"/>
      <c r="AC14" s="9"/>
      <c r="AD14" s="9" t="s">
        <v>20</v>
      </c>
    </row>
    <row r="15" spans="1:30" ht="58">
      <c r="A15" s="3" t="s">
        <v>177</v>
      </c>
      <c r="B15" s="3" t="s">
        <v>4849</v>
      </c>
      <c r="C15" s="3" t="s">
        <v>4850</v>
      </c>
      <c r="G15" s="9" t="s">
        <v>26</v>
      </c>
      <c r="H15" s="9"/>
      <c r="I15" s="9"/>
      <c r="J15" s="9"/>
      <c r="K15" s="9"/>
      <c r="L15" s="9"/>
      <c r="M15" s="9"/>
      <c r="N15" s="10"/>
      <c r="O15" s="9"/>
      <c r="P15" s="9"/>
      <c r="Q15" s="9"/>
      <c r="R15" s="9" t="s">
        <v>12795</v>
      </c>
      <c r="S15" s="9" t="s">
        <v>12795</v>
      </c>
      <c r="T15" s="9"/>
      <c r="U15" s="9"/>
      <c r="V15" s="9"/>
      <c r="W15" s="9"/>
      <c r="X15" s="9"/>
      <c r="Y15" s="9"/>
      <c r="Z15" s="9"/>
      <c r="AA15" s="9"/>
      <c r="AB15" s="9"/>
      <c r="AC15" s="9"/>
      <c r="AD15" s="9" t="s">
        <v>20</v>
      </c>
    </row>
    <row r="16" spans="1:30" ht="29">
      <c r="A16" s="3" t="s">
        <v>188</v>
      </c>
      <c r="B16" s="3" t="s">
        <v>4857</v>
      </c>
      <c r="C16" s="3" t="s">
        <v>4858</v>
      </c>
      <c r="F16" t="s">
        <v>19</v>
      </c>
      <c r="G16" s="9" t="s">
        <v>25</v>
      </c>
      <c r="H16" s="9"/>
      <c r="I16" s="9">
        <v>1</v>
      </c>
      <c r="J16" s="9">
        <v>4</v>
      </c>
      <c r="K16" s="9" t="s">
        <v>12078</v>
      </c>
      <c r="L16" s="9" t="s">
        <v>12079</v>
      </c>
      <c r="M16" s="9"/>
      <c r="N16" s="10"/>
      <c r="O16" s="9"/>
      <c r="P16" s="9">
        <v>11843</v>
      </c>
      <c r="Q16" s="9"/>
      <c r="R16" s="9" t="s">
        <v>12795</v>
      </c>
      <c r="S16" s="9" t="s">
        <v>12795</v>
      </c>
      <c r="T16" s="9"/>
      <c r="U16" s="9"/>
      <c r="V16" s="9"/>
      <c r="W16" s="9"/>
      <c r="X16" s="9"/>
      <c r="Y16" s="9"/>
      <c r="Z16" s="9"/>
      <c r="AA16" s="9"/>
      <c r="AB16" s="9"/>
      <c r="AC16" s="9"/>
      <c r="AD16" s="9" t="s">
        <v>20</v>
      </c>
    </row>
    <row r="17" spans="1:30" ht="29">
      <c r="A17" s="3" t="s">
        <v>200</v>
      </c>
      <c r="B17" s="3" t="s">
        <v>4869</v>
      </c>
      <c r="C17" s="3" t="s">
        <v>4870</v>
      </c>
      <c r="G17" s="9" t="s">
        <v>26</v>
      </c>
      <c r="H17" s="9"/>
      <c r="I17" s="9">
        <v>1</v>
      </c>
      <c r="J17" s="9">
        <v>2</v>
      </c>
      <c r="K17" s="9" t="s">
        <v>12123</v>
      </c>
      <c r="L17" s="9" t="s">
        <v>12119</v>
      </c>
      <c r="M17" s="9"/>
      <c r="N17" s="10"/>
      <c r="O17" s="9"/>
      <c r="P17" s="9">
        <v>134</v>
      </c>
      <c r="Q17" s="9"/>
      <c r="R17" s="9" t="s">
        <v>12795</v>
      </c>
      <c r="S17" s="9" t="s">
        <v>12795</v>
      </c>
      <c r="T17" s="9"/>
      <c r="U17" s="9"/>
      <c r="V17" s="9"/>
      <c r="W17" s="9"/>
      <c r="X17" s="9"/>
      <c r="Y17" s="9"/>
      <c r="Z17" s="9"/>
      <c r="AA17" s="9"/>
      <c r="AB17" s="9"/>
      <c r="AC17" s="9"/>
      <c r="AD17" s="9" t="s">
        <v>20</v>
      </c>
    </row>
    <row r="18" spans="1:30" ht="29">
      <c r="A18" s="3" t="s">
        <v>201</v>
      </c>
      <c r="B18" s="3" t="s">
        <v>4871</v>
      </c>
      <c r="C18" s="3" t="s">
        <v>4872</v>
      </c>
      <c r="E18" t="s">
        <v>20</v>
      </c>
      <c r="G18" s="9" t="s">
        <v>24</v>
      </c>
      <c r="H18" s="9"/>
      <c r="I18" s="9">
        <v>1</v>
      </c>
      <c r="J18" s="9">
        <v>2</v>
      </c>
      <c r="K18" s="9" t="s">
        <v>12087</v>
      </c>
      <c r="L18" s="9" t="s">
        <v>12119</v>
      </c>
      <c r="M18" s="9"/>
      <c r="N18" s="10"/>
      <c r="O18" s="9"/>
      <c r="P18" s="9">
        <v>1966</v>
      </c>
      <c r="Q18" s="9"/>
      <c r="R18" s="9" t="s">
        <v>12795</v>
      </c>
      <c r="S18" s="9" t="s">
        <v>12795</v>
      </c>
      <c r="T18" s="9"/>
      <c r="U18" s="9"/>
      <c r="V18" s="9"/>
      <c r="W18" s="9"/>
      <c r="X18" s="9"/>
      <c r="Y18" s="9"/>
      <c r="Z18" s="9"/>
      <c r="AA18" s="9"/>
      <c r="AB18" s="9"/>
      <c r="AC18" s="9"/>
      <c r="AD18" s="9" t="s">
        <v>20</v>
      </c>
    </row>
    <row r="19" spans="1:30" ht="29">
      <c r="A19" s="3" t="s">
        <v>208</v>
      </c>
      <c r="B19" s="3" t="s">
        <v>4876</v>
      </c>
      <c r="C19" s="3" t="s">
        <v>4877</v>
      </c>
      <c r="G19" s="9" t="s">
        <v>12118</v>
      </c>
      <c r="H19" s="9"/>
      <c r="I19" s="9"/>
      <c r="J19" s="9"/>
      <c r="K19" s="9"/>
      <c r="L19" s="9"/>
      <c r="M19" s="9"/>
      <c r="N19" s="10"/>
      <c r="O19" s="9"/>
      <c r="P19" s="9"/>
      <c r="Q19" s="9">
        <v>-141</v>
      </c>
      <c r="R19" s="9">
        <v>148</v>
      </c>
      <c r="S19" s="9">
        <v>7</v>
      </c>
      <c r="T19" s="9"/>
      <c r="U19" s="9"/>
      <c r="V19" s="9"/>
      <c r="W19" s="9"/>
      <c r="X19" s="9"/>
      <c r="Y19" s="9"/>
      <c r="Z19" s="9"/>
      <c r="AA19" s="9"/>
      <c r="AB19" s="9"/>
      <c r="AC19" s="9"/>
      <c r="AD19" s="9" t="s">
        <v>20</v>
      </c>
    </row>
    <row r="20" spans="1:30" ht="29">
      <c r="A20" s="3" t="s">
        <v>230</v>
      </c>
      <c r="B20" s="3" t="s">
        <v>4886</v>
      </c>
      <c r="C20" s="3" t="s">
        <v>4887</v>
      </c>
      <c r="G20" s="9" t="s">
        <v>12120</v>
      </c>
      <c r="H20" s="9"/>
      <c r="I20" s="9"/>
      <c r="J20" s="9"/>
      <c r="K20" s="9"/>
      <c r="L20" s="9"/>
      <c r="M20" s="9"/>
      <c r="N20" s="10"/>
      <c r="O20" s="9"/>
      <c r="P20" s="9"/>
      <c r="Q20" s="9"/>
      <c r="R20" s="9" t="s">
        <v>12795</v>
      </c>
      <c r="S20" s="9" t="s">
        <v>12795</v>
      </c>
      <c r="T20" s="9"/>
      <c r="U20" s="9"/>
      <c r="V20" s="9"/>
      <c r="W20" s="9"/>
      <c r="X20" s="9"/>
      <c r="Y20" s="9"/>
      <c r="Z20" s="9"/>
      <c r="AA20" s="9"/>
      <c r="AB20" s="9"/>
      <c r="AC20" s="9"/>
      <c r="AD20" s="9" t="s">
        <v>19</v>
      </c>
    </row>
    <row r="21" spans="1:30">
      <c r="A21" s="3" t="s">
        <v>246</v>
      </c>
      <c r="B21" s="3" t="s">
        <v>4898</v>
      </c>
      <c r="C21" s="3" t="s">
        <v>4899</v>
      </c>
      <c r="G21" s="9" t="s">
        <v>25</v>
      </c>
      <c r="H21" s="9"/>
      <c r="I21" s="9">
        <v>1</v>
      </c>
      <c r="J21" s="9">
        <v>1</v>
      </c>
      <c r="K21" s="9" t="s">
        <v>12078</v>
      </c>
      <c r="L21" s="9" t="s">
        <v>12119</v>
      </c>
      <c r="M21" s="9"/>
      <c r="N21" s="10"/>
      <c r="O21" s="9"/>
      <c r="P21" s="9">
        <v>11843</v>
      </c>
      <c r="Q21" s="9"/>
      <c r="R21" s="9" t="s">
        <v>12795</v>
      </c>
      <c r="S21" s="9" t="s">
        <v>12795</v>
      </c>
      <c r="T21" s="9"/>
      <c r="U21" s="9"/>
      <c r="V21" s="9"/>
      <c r="W21" s="9"/>
      <c r="X21" s="9"/>
      <c r="Y21" s="9"/>
      <c r="Z21" s="9"/>
      <c r="AA21" s="9"/>
      <c r="AB21" s="9"/>
      <c r="AC21" s="9"/>
      <c r="AD21" s="9" t="s">
        <v>20</v>
      </c>
    </row>
    <row r="22" spans="1:30">
      <c r="A22" s="3" t="s">
        <v>247</v>
      </c>
      <c r="B22" s="3" t="s">
        <v>4900</v>
      </c>
      <c r="C22" s="3" t="s">
        <v>4901</v>
      </c>
      <c r="G22" s="9" t="s">
        <v>25</v>
      </c>
      <c r="H22" s="9"/>
      <c r="I22" s="9">
        <v>1</v>
      </c>
      <c r="J22" s="9">
        <v>2</v>
      </c>
      <c r="K22" s="9" t="s">
        <v>12078</v>
      </c>
      <c r="L22" s="9" t="s">
        <v>12119</v>
      </c>
      <c r="M22" s="9"/>
      <c r="N22" s="10"/>
      <c r="O22" s="9"/>
      <c r="P22" s="9">
        <v>11843</v>
      </c>
      <c r="Q22" s="9"/>
      <c r="R22" s="9" t="s">
        <v>12795</v>
      </c>
      <c r="S22" s="9" t="s">
        <v>12795</v>
      </c>
      <c r="T22" s="9" t="s">
        <v>12117</v>
      </c>
      <c r="U22" s="9"/>
      <c r="V22" s="9"/>
      <c r="W22" s="9"/>
      <c r="X22" s="9"/>
      <c r="Y22" s="9"/>
      <c r="Z22" s="9"/>
      <c r="AA22" s="9"/>
      <c r="AB22" s="9"/>
      <c r="AC22" s="9"/>
      <c r="AD22" s="9" t="s">
        <v>20</v>
      </c>
    </row>
    <row r="23" spans="1:30">
      <c r="A23" s="3" t="s">
        <v>249</v>
      </c>
      <c r="B23" s="3" t="s">
        <v>4904</v>
      </c>
      <c r="C23" s="3" t="s">
        <v>4905</v>
      </c>
      <c r="G23" s="9" t="s">
        <v>12118</v>
      </c>
      <c r="H23" s="9"/>
      <c r="I23" s="9"/>
      <c r="J23" s="9"/>
      <c r="K23" s="9"/>
      <c r="L23" s="9"/>
      <c r="M23" s="9"/>
      <c r="N23" s="10"/>
      <c r="O23" s="9"/>
      <c r="P23" s="9"/>
      <c r="Q23" s="9">
        <v>10102</v>
      </c>
      <c r="R23" s="9">
        <v>1741</v>
      </c>
      <c r="S23" s="9">
        <v>11843</v>
      </c>
      <c r="T23" s="9" t="s">
        <v>12117</v>
      </c>
      <c r="U23" s="9"/>
      <c r="V23" s="9"/>
      <c r="W23" s="9"/>
      <c r="X23" s="9"/>
      <c r="Y23" s="9"/>
      <c r="Z23" s="9"/>
      <c r="AA23" s="9"/>
      <c r="AB23" s="9"/>
      <c r="AC23" s="9"/>
      <c r="AD23" s="9" t="s">
        <v>20</v>
      </c>
    </row>
    <row r="24" spans="1:30" ht="29">
      <c r="A24" s="3" t="s">
        <v>265</v>
      </c>
      <c r="B24" s="3" t="s">
        <v>4913</v>
      </c>
      <c r="C24" s="3" t="s">
        <v>4914</v>
      </c>
      <c r="G24" s="9" t="s">
        <v>12118</v>
      </c>
      <c r="H24" s="9"/>
      <c r="I24" s="9"/>
      <c r="J24" s="9"/>
      <c r="K24" s="9"/>
      <c r="L24" s="9"/>
      <c r="M24" s="9"/>
      <c r="N24" s="10"/>
      <c r="O24" s="9"/>
      <c r="P24" s="9"/>
      <c r="Q24" s="9">
        <v>-190</v>
      </c>
      <c r="R24" s="9">
        <v>207</v>
      </c>
      <c r="S24" s="9">
        <v>17</v>
      </c>
      <c r="T24" s="9"/>
      <c r="U24" s="9"/>
      <c r="V24" s="9"/>
      <c r="W24" s="9"/>
      <c r="X24" s="9"/>
      <c r="Y24" s="9"/>
      <c r="Z24" s="9"/>
      <c r="AA24" s="9"/>
      <c r="AB24" s="9"/>
      <c r="AC24" s="9"/>
      <c r="AD24" s="9" t="s">
        <v>19</v>
      </c>
    </row>
    <row r="25" spans="1:30" ht="29">
      <c r="A25" s="3" t="s">
        <v>268</v>
      </c>
      <c r="B25" s="3" t="s">
        <v>4917</v>
      </c>
      <c r="C25" s="3" t="s">
        <v>4918</v>
      </c>
      <c r="G25" s="9" t="s">
        <v>25</v>
      </c>
      <c r="H25" s="9"/>
      <c r="I25" s="9">
        <v>1</v>
      </c>
      <c r="J25" s="9">
        <v>2</v>
      </c>
      <c r="K25" s="9" t="s">
        <v>12078</v>
      </c>
      <c r="L25" s="9" t="s">
        <v>12119</v>
      </c>
      <c r="M25" s="9"/>
      <c r="N25" s="10"/>
      <c r="O25" s="9"/>
      <c r="P25" s="9">
        <v>11843</v>
      </c>
      <c r="Q25" s="9"/>
      <c r="R25" s="9" t="s">
        <v>12795</v>
      </c>
      <c r="S25" s="9" t="s">
        <v>12795</v>
      </c>
      <c r="T25" s="9"/>
      <c r="U25" s="9"/>
      <c r="V25" s="9"/>
      <c r="W25" s="9"/>
      <c r="X25" s="9"/>
      <c r="Y25" s="9"/>
      <c r="Z25" s="9"/>
      <c r="AA25" s="9"/>
      <c r="AB25" s="9"/>
      <c r="AC25" s="9"/>
      <c r="AD25" s="9" t="s">
        <v>20</v>
      </c>
    </row>
    <row r="26" spans="1:30" ht="29">
      <c r="A26" s="3" t="s">
        <v>272</v>
      </c>
      <c r="B26" s="3" t="s">
        <v>273</v>
      </c>
      <c r="C26" s="3" t="s">
        <v>274</v>
      </c>
      <c r="G26" s="9" t="s">
        <v>12120</v>
      </c>
      <c r="H26" s="9"/>
      <c r="I26" s="9"/>
      <c r="J26" s="9"/>
      <c r="K26" s="9"/>
      <c r="L26" s="9"/>
      <c r="M26" s="9"/>
      <c r="N26" s="10"/>
      <c r="O26" s="9"/>
      <c r="P26" s="9"/>
      <c r="Q26" s="9"/>
      <c r="R26" s="9" t="s">
        <v>12795</v>
      </c>
      <c r="S26" s="9" t="s">
        <v>12795</v>
      </c>
      <c r="T26" s="9"/>
      <c r="U26" s="9"/>
      <c r="V26" s="9"/>
      <c r="W26" s="9"/>
      <c r="X26" s="9"/>
      <c r="Y26" s="9"/>
      <c r="Z26" s="9"/>
      <c r="AA26" s="9"/>
      <c r="AB26" s="9"/>
      <c r="AC26" s="9"/>
      <c r="AD26" s="9" t="s">
        <v>13141</v>
      </c>
    </row>
    <row r="27" spans="1:30" ht="29">
      <c r="A27" s="3" t="s">
        <v>306</v>
      </c>
      <c r="B27" s="3" t="s">
        <v>4950</v>
      </c>
      <c r="C27" s="3" t="s">
        <v>4949</v>
      </c>
      <c r="G27" s="9" t="s">
        <v>25</v>
      </c>
      <c r="H27" s="9"/>
      <c r="I27" s="9">
        <v>4</v>
      </c>
      <c r="J27" s="9">
        <v>8</v>
      </c>
      <c r="K27" s="9"/>
      <c r="L27" s="9" t="s">
        <v>12079</v>
      </c>
      <c r="M27" s="9"/>
      <c r="N27" s="10"/>
      <c r="O27" s="9"/>
      <c r="P27" s="9">
        <v>16</v>
      </c>
      <c r="Q27" s="9"/>
      <c r="R27" s="9" t="s">
        <v>12795</v>
      </c>
      <c r="S27" s="9" t="s">
        <v>12795</v>
      </c>
      <c r="T27" s="9"/>
      <c r="U27" s="9"/>
      <c r="V27" s="9"/>
      <c r="W27" s="9"/>
      <c r="X27" s="9"/>
      <c r="Y27" s="9"/>
      <c r="Z27" s="9"/>
      <c r="AA27" s="9"/>
      <c r="AB27" s="9"/>
      <c r="AC27" s="9"/>
      <c r="AD27" s="9" t="s">
        <v>20</v>
      </c>
    </row>
    <row r="28" spans="1:30" ht="29">
      <c r="A28" s="3" t="s">
        <v>327</v>
      </c>
      <c r="B28" s="3" t="s">
        <v>4966</v>
      </c>
      <c r="C28" s="3" t="s">
        <v>4967</v>
      </c>
      <c r="G28" s="9" t="s">
        <v>24</v>
      </c>
      <c r="H28" s="9"/>
      <c r="I28" s="9">
        <v>1</v>
      </c>
      <c r="J28" s="9">
        <v>1</v>
      </c>
      <c r="K28" s="9" t="s">
        <v>12078</v>
      </c>
      <c r="L28" s="9" t="s">
        <v>12119</v>
      </c>
      <c r="M28" s="9"/>
      <c r="N28" s="10"/>
      <c r="O28" s="9"/>
      <c r="P28" s="9">
        <v>11843</v>
      </c>
      <c r="Q28" s="9"/>
      <c r="R28" s="9" t="s">
        <v>12795</v>
      </c>
      <c r="S28" s="9" t="s">
        <v>12795</v>
      </c>
      <c r="T28" s="9"/>
      <c r="U28" s="9"/>
      <c r="V28" s="9"/>
      <c r="W28" s="9"/>
      <c r="X28" s="9"/>
      <c r="Y28" s="9"/>
      <c r="Z28" s="9"/>
      <c r="AA28" s="9"/>
      <c r="AB28" s="9"/>
      <c r="AC28" s="9"/>
      <c r="AD28" s="9" t="s">
        <v>19</v>
      </c>
    </row>
    <row r="29" spans="1:30" ht="29">
      <c r="A29" s="3" t="s">
        <v>332</v>
      </c>
      <c r="B29" s="3" t="s">
        <v>4970</v>
      </c>
      <c r="C29" s="3" t="s">
        <v>4971</v>
      </c>
      <c r="F29" t="s">
        <v>19</v>
      </c>
      <c r="G29" s="9" t="s">
        <v>25</v>
      </c>
      <c r="H29" s="9"/>
      <c r="I29" s="9">
        <v>1</v>
      </c>
      <c r="J29" s="9">
        <v>4</v>
      </c>
      <c r="K29" s="9" t="s">
        <v>12078</v>
      </c>
      <c r="L29" s="9" t="s">
        <v>12073</v>
      </c>
      <c r="M29" s="9" t="s">
        <v>12149</v>
      </c>
      <c r="N29" s="10" t="s">
        <v>12143</v>
      </c>
      <c r="O29" s="9"/>
      <c r="P29" s="9">
        <v>11843</v>
      </c>
      <c r="Q29" s="9"/>
      <c r="R29" s="9" t="s">
        <v>12795</v>
      </c>
      <c r="S29" s="9" t="s">
        <v>12795</v>
      </c>
      <c r="T29" s="9"/>
      <c r="U29" s="9"/>
      <c r="V29" s="9"/>
      <c r="W29" s="9"/>
      <c r="X29" s="9"/>
      <c r="Y29" s="9"/>
      <c r="Z29" s="9"/>
      <c r="AA29" s="9"/>
      <c r="AB29" s="9"/>
      <c r="AC29" s="9"/>
      <c r="AD29" s="9" t="s">
        <v>20</v>
      </c>
    </row>
    <row r="30" spans="1:30" ht="29">
      <c r="A30" s="3" t="s">
        <v>335</v>
      </c>
      <c r="B30" s="3" t="s">
        <v>4974</v>
      </c>
      <c r="C30" s="3" t="s">
        <v>4975</v>
      </c>
      <c r="G30" s="9" t="s">
        <v>25</v>
      </c>
      <c r="H30" s="9"/>
      <c r="I30" s="9">
        <v>1</v>
      </c>
      <c r="J30" s="9">
        <v>2</v>
      </c>
      <c r="K30" s="9" t="s">
        <v>12087</v>
      </c>
      <c r="L30" s="9" t="s">
        <v>12119</v>
      </c>
      <c r="M30" s="9"/>
      <c r="N30" s="10"/>
      <c r="O30" s="9"/>
      <c r="P30" s="9">
        <v>1966</v>
      </c>
      <c r="Q30" s="9"/>
      <c r="R30" s="9" t="s">
        <v>12795</v>
      </c>
      <c r="S30" s="9" t="s">
        <v>12795</v>
      </c>
      <c r="T30" s="9"/>
      <c r="U30" s="9"/>
      <c r="V30" s="9"/>
      <c r="W30" s="9"/>
      <c r="X30" s="9"/>
      <c r="Y30" s="9"/>
      <c r="Z30" s="9"/>
      <c r="AA30" s="9"/>
      <c r="AB30" s="9"/>
      <c r="AC30" s="9"/>
      <c r="AD30" s="9" t="s">
        <v>20</v>
      </c>
    </row>
    <row r="31" spans="1:30" ht="29">
      <c r="A31" s="3" t="s">
        <v>338</v>
      </c>
      <c r="B31" s="3" t="s">
        <v>4979</v>
      </c>
      <c r="C31" s="3" t="s">
        <v>4980</v>
      </c>
      <c r="G31" s="9" t="s">
        <v>24</v>
      </c>
      <c r="H31" s="9"/>
      <c r="I31" s="9">
        <v>1</v>
      </c>
      <c r="J31" s="9">
        <v>2</v>
      </c>
      <c r="K31" s="9" t="s">
        <v>12087</v>
      </c>
      <c r="L31" s="9" t="s">
        <v>12119</v>
      </c>
      <c r="M31" s="9"/>
      <c r="N31" s="10"/>
      <c r="O31" s="9"/>
      <c r="P31" s="9">
        <v>1966</v>
      </c>
      <c r="Q31" s="9"/>
      <c r="R31" s="9" t="s">
        <v>12795</v>
      </c>
      <c r="S31" s="9" t="s">
        <v>12795</v>
      </c>
      <c r="T31" s="9"/>
      <c r="U31" s="9"/>
      <c r="V31" s="9"/>
      <c r="W31" s="9"/>
      <c r="X31" s="9"/>
      <c r="Y31" s="9"/>
      <c r="Z31" s="9"/>
      <c r="AA31" s="9"/>
      <c r="AB31" s="9"/>
      <c r="AC31" s="9"/>
      <c r="AD31" s="9" t="s">
        <v>19</v>
      </c>
    </row>
    <row r="32" spans="1:30" ht="29">
      <c r="A32" s="3" t="s">
        <v>350</v>
      </c>
      <c r="B32" s="3" t="s">
        <v>351</v>
      </c>
      <c r="C32" s="3" t="s">
        <v>352</v>
      </c>
      <c r="G32" s="9" t="s">
        <v>12120</v>
      </c>
      <c r="H32" s="9"/>
      <c r="I32" s="9"/>
      <c r="J32" s="9"/>
      <c r="K32" s="9"/>
      <c r="L32" s="9"/>
      <c r="M32" s="9"/>
      <c r="N32" s="10"/>
      <c r="O32" s="9"/>
      <c r="P32" s="9"/>
      <c r="Q32" s="9"/>
      <c r="R32" s="9" t="s">
        <v>12795</v>
      </c>
      <c r="S32" s="9" t="s">
        <v>12795</v>
      </c>
      <c r="T32" s="9"/>
      <c r="U32" s="9"/>
      <c r="V32" s="9"/>
      <c r="W32" s="9"/>
      <c r="X32" s="9"/>
      <c r="Y32" s="9"/>
      <c r="Z32" s="9"/>
      <c r="AA32" s="9"/>
      <c r="AB32" s="9"/>
      <c r="AC32" s="9"/>
      <c r="AD32" s="9" t="s">
        <v>19</v>
      </c>
    </row>
    <row r="33" spans="1:30" ht="29">
      <c r="A33" s="3" t="s">
        <v>350</v>
      </c>
      <c r="B33" s="3" t="s">
        <v>4991</v>
      </c>
      <c r="C33" s="3" t="s">
        <v>4992</v>
      </c>
      <c r="G33" s="9" t="s">
        <v>12120</v>
      </c>
      <c r="H33" s="9"/>
      <c r="I33" s="9"/>
      <c r="J33" s="9"/>
      <c r="K33" s="9"/>
      <c r="L33" s="9"/>
      <c r="M33" s="9"/>
      <c r="N33" s="10"/>
      <c r="O33" s="9"/>
      <c r="P33" s="9"/>
      <c r="Q33" s="9"/>
      <c r="R33" s="9" t="s">
        <v>12795</v>
      </c>
      <c r="S33" s="9" t="s">
        <v>12795</v>
      </c>
      <c r="T33" s="9"/>
      <c r="U33" s="9"/>
      <c r="V33" s="9"/>
      <c r="W33" s="9"/>
      <c r="X33" s="9"/>
      <c r="Y33" s="9"/>
      <c r="Z33" s="9"/>
      <c r="AA33" s="9"/>
      <c r="AB33" s="9"/>
      <c r="AC33" s="9"/>
      <c r="AD33" s="9" t="s">
        <v>19</v>
      </c>
    </row>
    <row r="34" spans="1:30" ht="29">
      <c r="A34" s="3" t="s">
        <v>350</v>
      </c>
      <c r="B34" s="3" t="s">
        <v>4993</v>
      </c>
      <c r="C34" s="3" t="s">
        <v>4990</v>
      </c>
      <c r="G34" s="9" t="s">
        <v>25</v>
      </c>
      <c r="H34" s="9"/>
      <c r="I34" s="9">
        <v>1</v>
      </c>
      <c r="J34" s="9">
        <v>3</v>
      </c>
      <c r="K34" s="9" t="s">
        <v>12087</v>
      </c>
      <c r="L34" s="9" t="s">
        <v>12073</v>
      </c>
      <c r="M34" s="9" t="s">
        <v>12142</v>
      </c>
      <c r="N34" s="10" t="s">
        <v>12143</v>
      </c>
      <c r="O34" s="9"/>
      <c r="P34" s="9">
        <v>5676</v>
      </c>
      <c r="Q34" s="9"/>
      <c r="R34" s="9" t="s">
        <v>12795</v>
      </c>
      <c r="S34" s="9" t="s">
        <v>12795</v>
      </c>
      <c r="T34" s="9"/>
      <c r="U34" s="9"/>
      <c r="V34" s="9"/>
      <c r="W34" s="9"/>
      <c r="X34" s="9"/>
      <c r="Y34" s="9"/>
      <c r="Z34" s="9"/>
      <c r="AA34" s="9"/>
      <c r="AB34" s="9"/>
      <c r="AC34" s="9"/>
      <c r="AD34" s="9" t="s">
        <v>20</v>
      </c>
    </row>
    <row r="35" spans="1:30" ht="29">
      <c r="A35" s="3" t="s">
        <v>353</v>
      </c>
      <c r="B35" s="3" t="s">
        <v>4994</v>
      </c>
      <c r="C35" s="3" t="s">
        <v>4995</v>
      </c>
      <c r="G35" s="9" t="s">
        <v>12118</v>
      </c>
      <c r="H35" s="9"/>
      <c r="I35" s="9"/>
      <c r="J35" s="9"/>
      <c r="K35" s="9"/>
      <c r="L35" s="9"/>
      <c r="M35" s="9"/>
      <c r="N35" s="10"/>
      <c r="O35" s="9"/>
      <c r="P35" s="9"/>
      <c r="Q35" s="9">
        <v>8</v>
      </c>
      <c r="R35" s="9">
        <v>20</v>
      </c>
      <c r="S35" s="9">
        <v>28</v>
      </c>
      <c r="T35" s="9"/>
      <c r="U35" s="9"/>
      <c r="V35" s="9"/>
      <c r="W35" s="9"/>
      <c r="X35" s="9"/>
      <c r="Y35" s="9"/>
      <c r="Z35" s="9"/>
      <c r="AA35" s="9"/>
      <c r="AB35" s="9"/>
      <c r="AC35" s="9"/>
      <c r="AD35" s="9" t="s">
        <v>19</v>
      </c>
    </row>
    <row r="36" spans="1:30" ht="29">
      <c r="A36" s="3" t="s">
        <v>353</v>
      </c>
      <c r="B36" s="3" t="s">
        <v>4996</v>
      </c>
      <c r="C36" s="3" t="s">
        <v>4997</v>
      </c>
      <c r="G36" s="9" t="s">
        <v>12118</v>
      </c>
      <c r="H36" s="9"/>
      <c r="I36" s="9"/>
      <c r="J36" s="9"/>
      <c r="K36" s="9"/>
      <c r="L36" s="9"/>
      <c r="M36" s="9"/>
      <c r="N36" s="10"/>
      <c r="O36" s="9"/>
      <c r="P36" s="9"/>
      <c r="Q36" s="9">
        <v>8</v>
      </c>
      <c r="R36" s="9">
        <v>20</v>
      </c>
      <c r="S36" s="9">
        <v>28</v>
      </c>
      <c r="T36" s="9"/>
      <c r="U36" s="9"/>
      <c r="V36" s="9"/>
      <c r="W36" s="9"/>
      <c r="X36" s="9"/>
      <c r="Y36" s="9"/>
      <c r="Z36" s="9"/>
      <c r="AA36" s="9"/>
      <c r="AB36" s="9"/>
      <c r="AC36" s="9"/>
      <c r="AD36" s="9" t="s">
        <v>19</v>
      </c>
    </row>
    <row r="37" spans="1:30" ht="29">
      <c r="A37" s="3" t="s">
        <v>365</v>
      </c>
      <c r="B37" s="3" t="s">
        <v>5003</v>
      </c>
      <c r="C37" s="3" t="s">
        <v>5004</v>
      </c>
      <c r="G37" s="9" t="s">
        <v>25</v>
      </c>
      <c r="H37" s="9"/>
      <c r="I37" s="9">
        <v>1</v>
      </c>
      <c r="J37" s="9">
        <v>2</v>
      </c>
      <c r="K37" s="9" t="s">
        <v>12078</v>
      </c>
      <c r="L37" s="9" t="s">
        <v>12119</v>
      </c>
      <c r="M37" s="9"/>
      <c r="N37" s="10"/>
      <c r="O37" s="9"/>
      <c r="P37" s="9">
        <v>11843</v>
      </c>
      <c r="Q37" s="9"/>
      <c r="R37" s="9" t="s">
        <v>12795</v>
      </c>
      <c r="S37" s="9" t="s">
        <v>12795</v>
      </c>
      <c r="T37" s="9"/>
      <c r="U37" s="9"/>
      <c r="V37" s="9"/>
      <c r="W37" s="9"/>
      <c r="X37" s="9"/>
      <c r="Y37" s="9"/>
      <c r="Z37" s="9"/>
      <c r="AA37" s="9"/>
      <c r="AB37" s="9"/>
      <c r="AC37" s="9"/>
      <c r="AD37" s="9" t="s">
        <v>20</v>
      </c>
    </row>
    <row r="38" spans="1:30" ht="29">
      <c r="A38" s="3" t="s">
        <v>366</v>
      </c>
      <c r="B38" s="3" t="s">
        <v>5006</v>
      </c>
      <c r="C38" s="3" t="s">
        <v>5005</v>
      </c>
      <c r="G38" s="9" t="s">
        <v>24</v>
      </c>
      <c r="H38" s="9"/>
      <c r="I38" s="9">
        <v>1</v>
      </c>
      <c r="J38" s="9">
        <v>2</v>
      </c>
      <c r="K38" s="9" t="s">
        <v>12087</v>
      </c>
      <c r="L38" s="9" t="s">
        <v>12119</v>
      </c>
      <c r="M38" s="9"/>
      <c r="N38" s="10"/>
      <c r="O38" s="9"/>
      <c r="P38" s="9">
        <v>1966</v>
      </c>
      <c r="Q38" s="9"/>
      <c r="R38" s="9" t="s">
        <v>12795</v>
      </c>
      <c r="S38" s="9" t="s">
        <v>12795</v>
      </c>
      <c r="T38" s="9"/>
      <c r="U38" s="9"/>
      <c r="V38" s="9"/>
      <c r="W38" s="9"/>
      <c r="X38" s="9"/>
      <c r="Y38" s="9"/>
      <c r="Z38" s="9"/>
      <c r="AA38" s="9"/>
      <c r="AB38" s="9"/>
      <c r="AC38" s="9"/>
      <c r="AD38" s="9" t="s">
        <v>19</v>
      </c>
    </row>
    <row r="39" spans="1:30" ht="29">
      <c r="A39" s="3" t="s">
        <v>377</v>
      </c>
      <c r="B39" s="3" t="s">
        <v>5007</v>
      </c>
      <c r="C39" s="3" t="s">
        <v>5008</v>
      </c>
      <c r="G39" s="9" t="s">
        <v>24</v>
      </c>
      <c r="H39" s="9"/>
      <c r="I39" s="9">
        <v>1</v>
      </c>
      <c r="J39" s="9">
        <v>2</v>
      </c>
      <c r="K39" s="9" t="s">
        <v>12087</v>
      </c>
      <c r="L39" s="9" t="s">
        <v>12119</v>
      </c>
      <c r="M39" s="9"/>
      <c r="N39" s="10"/>
      <c r="O39" s="9"/>
      <c r="P39" s="9">
        <v>1966</v>
      </c>
      <c r="Q39" s="9"/>
      <c r="R39" s="9" t="s">
        <v>12795</v>
      </c>
      <c r="S39" s="9" t="s">
        <v>12795</v>
      </c>
      <c r="T39" s="9"/>
      <c r="U39" s="9"/>
      <c r="V39" s="9"/>
      <c r="W39" s="9"/>
      <c r="X39" s="9"/>
      <c r="Y39" s="9"/>
      <c r="Z39" s="9"/>
      <c r="AA39" s="9"/>
      <c r="AB39" s="9"/>
      <c r="AC39" s="9"/>
      <c r="AD39" s="9" t="s">
        <v>20</v>
      </c>
    </row>
    <row r="40" spans="1:30" ht="29">
      <c r="A40" s="3" t="s">
        <v>381</v>
      </c>
      <c r="B40" s="3" t="s">
        <v>5011</v>
      </c>
      <c r="C40" s="3" t="s">
        <v>5012</v>
      </c>
      <c r="G40" s="9" t="s">
        <v>25</v>
      </c>
      <c r="H40" s="9"/>
      <c r="I40" s="9">
        <v>1</v>
      </c>
      <c r="J40" s="9">
        <v>3</v>
      </c>
      <c r="K40" s="9" t="s">
        <v>12078</v>
      </c>
      <c r="L40" s="9" t="s">
        <v>12073</v>
      </c>
      <c r="M40" s="9" t="s">
        <v>12142</v>
      </c>
      <c r="N40" s="10" t="s">
        <v>12143</v>
      </c>
      <c r="O40" s="9"/>
      <c r="P40" s="9">
        <v>11843</v>
      </c>
      <c r="Q40" s="9"/>
      <c r="R40" s="9" t="s">
        <v>12795</v>
      </c>
      <c r="S40" s="9" t="s">
        <v>12795</v>
      </c>
      <c r="T40" s="9"/>
      <c r="U40" s="9"/>
      <c r="V40" s="9"/>
      <c r="W40" s="9"/>
      <c r="X40" s="9"/>
      <c r="Y40" s="9"/>
      <c r="Z40" s="9"/>
      <c r="AA40" s="9"/>
      <c r="AB40" s="9"/>
      <c r="AC40" s="9"/>
      <c r="AD40" s="9" t="s">
        <v>19</v>
      </c>
    </row>
    <row r="41" spans="1:30" ht="29">
      <c r="A41" s="3" t="s">
        <v>386</v>
      </c>
      <c r="B41" s="3" t="s">
        <v>5017</v>
      </c>
      <c r="C41" s="3" t="s">
        <v>5018</v>
      </c>
      <c r="F41" t="s">
        <v>19</v>
      </c>
      <c r="G41" s="9" t="s">
        <v>25</v>
      </c>
      <c r="H41" s="9"/>
      <c r="I41" s="9">
        <v>1</v>
      </c>
      <c r="J41" s="9">
        <v>2</v>
      </c>
      <c r="K41" s="9" t="s">
        <v>12123</v>
      </c>
      <c r="L41" s="9" t="s">
        <v>12119</v>
      </c>
      <c r="M41" s="9"/>
      <c r="N41" s="10"/>
      <c r="O41" s="9"/>
      <c r="P41" s="9">
        <v>134</v>
      </c>
      <c r="Q41" s="9"/>
      <c r="R41" s="9" t="s">
        <v>12795</v>
      </c>
      <c r="S41" s="9" t="s">
        <v>12795</v>
      </c>
      <c r="T41" s="9"/>
      <c r="U41" s="9"/>
      <c r="V41" s="9"/>
      <c r="W41" s="9"/>
      <c r="X41" s="9"/>
      <c r="Y41" s="9"/>
      <c r="Z41" s="9"/>
      <c r="AA41" s="9"/>
      <c r="AB41" s="9"/>
      <c r="AC41" s="9"/>
      <c r="AD41" s="9" t="s">
        <v>19</v>
      </c>
    </row>
    <row r="42" spans="1:30" ht="29">
      <c r="A42" s="3" t="s">
        <v>388</v>
      </c>
      <c r="B42" s="3" t="s">
        <v>5022</v>
      </c>
      <c r="C42" s="3" t="s">
        <v>5023</v>
      </c>
      <c r="G42" s="9" t="s">
        <v>24</v>
      </c>
      <c r="H42" s="9"/>
      <c r="I42" s="9">
        <v>1</v>
      </c>
      <c r="J42" s="9">
        <v>3</v>
      </c>
      <c r="K42" s="9" t="s">
        <v>12078</v>
      </c>
      <c r="L42" s="9" t="s">
        <v>12079</v>
      </c>
      <c r="M42" s="9"/>
      <c r="N42" s="10"/>
      <c r="O42" s="9"/>
      <c r="P42" s="9">
        <v>11843</v>
      </c>
      <c r="Q42" s="9"/>
      <c r="R42" s="9" t="s">
        <v>12795</v>
      </c>
      <c r="S42" s="9" t="s">
        <v>12795</v>
      </c>
      <c r="T42" s="9" t="s">
        <v>4</v>
      </c>
      <c r="U42" s="9"/>
      <c r="V42" s="9"/>
      <c r="W42" s="9"/>
      <c r="X42" s="9"/>
      <c r="Y42" s="9"/>
      <c r="Z42" s="9"/>
      <c r="AA42" s="9"/>
      <c r="AB42" s="9"/>
      <c r="AC42" s="9"/>
      <c r="AD42" s="9" t="s">
        <v>19</v>
      </c>
    </row>
    <row r="43" spans="1:30" ht="58">
      <c r="A43" s="3" t="s">
        <v>388</v>
      </c>
      <c r="B43" s="3" t="s">
        <v>5024</v>
      </c>
      <c r="C43" s="3" t="s">
        <v>5025</v>
      </c>
      <c r="G43" s="9" t="s">
        <v>25</v>
      </c>
      <c r="H43" s="9"/>
      <c r="I43" s="9">
        <v>6</v>
      </c>
      <c r="J43" s="9">
        <v>29</v>
      </c>
      <c r="K43" s="9"/>
      <c r="L43" s="9" t="s">
        <v>12073</v>
      </c>
      <c r="M43" s="9" t="s">
        <v>12154</v>
      </c>
      <c r="N43" s="10" t="s">
        <v>12155</v>
      </c>
      <c r="O43" s="9"/>
      <c r="P43" s="9">
        <v>4</v>
      </c>
      <c r="Q43" s="9"/>
      <c r="R43" s="9" t="s">
        <v>12795</v>
      </c>
      <c r="S43" s="9" t="s">
        <v>12795</v>
      </c>
      <c r="T43" s="9"/>
      <c r="U43" s="9"/>
      <c r="V43" s="9"/>
      <c r="W43" s="9"/>
      <c r="X43" s="9"/>
      <c r="Y43" s="9"/>
      <c r="Z43" s="9"/>
      <c r="AA43" s="9"/>
      <c r="AB43" s="9"/>
      <c r="AC43" s="9"/>
      <c r="AD43" s="9" t="s">
        <v>20</v>
      </c>
    </row>
    <row r="44" spans="1:30" ht="29">
      <c r="A44" s="3" t="s">
        <v>393</v>
      </c>
      <c r="B44" s="3" t="s">
        <v>5027</v>
      </c>
      <c r="C44" s="3" t="s">
        <v>5026</v>
      </c>
      <c r="G44" s="9" t="s">
        <v>26</v>
      </c>
      <c r="H44" s="9"/>
      <c r="I44" s="9"/>
      <c r="J44" s="9"/>
      <c r="K44" s="9"/>
      <c r="L44" s="9"/>
      <c r="M44" s="9"/>
      <c r="N44" s="10"/>
      <c r="O44" s="9"/>
      <c r="P44" s="9"/>
      <c r="Q44" s="9"/>
      <c r="R44" s="9" t="s">
        <v>12795</v>
      </c>
      <c r="S44" s="9" t="s">
        <v>12795</v>
      </c>
      <c r="T44" s="9"/>
      <c r="U44" s="9"/>
      <c r="V44" s="9"/>
      <c r="W44" s="9"/>
      <c r="X44" s="9"/>
      <c r="Y44" s="9"/>
      <c r="Z44" s="9"/>
      <c r="AA44" s="9"/>
      <c r="AB44" s="9"/>
      <c r="AC44" s="9"/>
      <c r="AD44" s="9" t="s">
        <v>20</v>
      </c>
    </row>
    <row r="45" spans="1:30" ht="29">
      <c r="A45" s="3" t="s">
        <v>398</v>
      </c>
      <c r="B45" s="3" t="s">
        <v>5028</v>
      </c>
      <c r="C45" s="3" t="s">
        <v>5029</v>
      </c>
      <c r="F45" t="s">
        <v>19</v>
      </c>
      <c r="G45" s="9" t="s">
        <v>25</v>
      </c>
      <c r="H45" s="9"/>
      <c r="I45" s="9">
        <v>1</v>
      </c>
      <c r="J45" s="9">
        <v>4</v>
      </c>
      <c r="K45" s="9" t="s">
        <v>12078</v>
      </c>
      <c r="L45" s="9" t="s">
        <v>12079</v>
      </c>
      <c r="M45" s="9"/>
      <c r="N45" s="10"/>
      <c r="O45" s="9"/>
      <c r="P45" s="9">
        <v>11843</v>
      </c>
      <c r="Q45" s="9"/>
      <c r="R45" s="9" t="s">
        <v>12795</v>
      </c>
      <c r="S45" s="9" t="s">
        <v>12795</v>
      </c>
      <c r="T45" s="9"/>
      <c r="U45" s="9"/>
      <c r="V45" s="9"/>
      <c r="W45" s="9"/>
      <c r="X45" s="9"/>
      <c r="Y45" s="9"/>
      <c r="Z45" s="9"/>
      <c r="AA45" s="9"/>
      <c r="AB45" s="9"/>
      <c r="AC45" s="9"/>
      <c r="AD45" s="9" t="s">
        <v>20</v>
      </c>
    </row>
    <row r="46" spans="1:30" ht="29">
      <c r="A46" s="3" t="s">
        <v>400</v>
      </c>
      <c r="B46" s="3" t="s">
        <v>5032</v>
      </c>
      <c r="C46" s="3" t="s">
        <v>5033</v>
      </c>
      <c r="G46" s="9" t="s">
        <v>24</v>
      </c>
      <c r="H46" s="9"/>
      <c r="I46" s="9">
        <v>1</v>
      </c>
      <c r="J46" s="9">
        <v>2</v>
      </c>
      <c r="K46" s="9" t="s">
        <v>12078</v>
      </c>
      <c r="L46" s="9" t="s">
        <v>12119</v>
      </c>
      <c r="M46" s="9"/>
      <c r="N46" s="10"/>
      <c r="O46" s="9"/>
      <c r="P46" s="9">
        <v>11843</v>
      </c>
      <c r="Q46" s="9"/>
      <c r="R46" s="9" t="s">
        <v>12795</v>
      </c>
      <c r="S46" s="9" t="s">
        <v>12795</v>
      </c>
      <c r="T46" s="9"/>
      <c r="U46" s="9"/>
      <c r="V46" s="9"/>
      <c r="W46" s="9"/>
      <c r="X46" s="9"/>
      <c r="Y46" s="9"/>
      <c r="Z46" s="9"/>
      <c r="AA46" s="9"/>
      <c r="AB46" s="9"/>
      <c r="AC46" s="9"/>
      <c r="AD46" s="9" t="s">
        <v>20</v>
      </c>
    </row>
    <row r="47" spans="1:30" ht="29">
      <c r="A47" s="3" t="s">
        <v>405</v>
      </c>
      <c r="B47" s="3" t="s">
        <v>5036</v>
      </c>
      <c r="C47" s="3" t="s">
        <v>5037</v>
      </c>
      <c r="G47" s="9" t="s">
        <v>24</v>
      </c>
      <c r="H47" s="9"/>
      <c r="I47" s="9">
        <v>1</v>
      </c>
      <c r="J47" s="9">
        <v>1</v>
      </c>
      <c r="K47" s="9" t="s">
        <v>12078</v>
      </c>
      <c r="L47" s="9" t="s">
        <v>12119</v>
      </c>
      <c r="M47" s="9"/>
      <c r="N47" s="10"/>
      <c r="O47" s="9"/>
      <c r="P47" s="9">
        <v>11843</v>
      </c>
      <c r="Q47" s="9"/>
      <c r="R47" s="9" t="s">
        <v>12795</v>
      </c>
      <c r="S47" s="9" t="s">
        <v>12795</v>
      </c>
      <c r="T47" s="9"/>
      <c r="U47" s="9"/>
      <c r="V47" s="9"/>
      <c r="W47" s="9"/>
      <c r="X47" s="9"/>
      <c r="Y47" s="9"/>
      <c r="Z47" s="9"/>
      <c r="AA47" s="9"/>
      <c r="AB47" s="9"/>
      <c r="AC47" s="9"/>
      <c r="AD47" s="9" t="s">
        <v>19</v>
      </c>
    </row>
    <row r="48" spans="1:30" ht="29">
      <c r="A48" s="3" t="s">
        <v>412</v>
      </c>
      <c r="B48" s="3" t="s">
        <v>5048</v>
      </c>
      <c r="C48" s="3" t="s">
        <v>5049</v>
      </c>
      <c r="G48" s="9" t="s">
        <v>26</v>
      </c>
      <c r="H48" s="9"/>
      <c r="I48" s="9"/>
      <c r="J48" s="9"/>
      <c r="K48" s="9"/>
      <c r="L48" s="9"/>
      <c r="M48" s="9"/>
      <c r="N48" s="10"/>
      <c r="O48" s="9"/>
      <c r="P48" s="9"/>
      <c r="Q48" s="9"/>
      <c r="R48" s="9" t="s">
        <v>12795</v>
      </c>
      <c r="S48" s="9" t="s">
        <v>12795</v>
      </c>
      <c r="T48" s="9"/>
      <c r="U48" s="9"/>
      <c r="V48" s="9"/>
      <c r="W48" s="9"/>
      <c r="X48" s="9"/>
      <c r="Y48" s="9"/>
      <c r="Z48" s="9"/>
      <c r="AA48" s="9"/>
      <c r="AB48" s="9"/>
      <c r="AC48" s="9"/>
      <c r="AD48" s="9" t="s">
        <v>20</v>
      </c>
    </row>
    <row r="49" spans="1:30" ht="29">
      <c r="A49" s="3" t="s">
        <v>414</v>
      </c>
      <c r="B49" s="3" t="s">
        <v>5054</v>
      </c>
      <c r="C49" s="3" t="s">
        <v>12159</v>
      </c>
      <c r="G49" s="9" t="s">
        <v>25</v>
      </c>
      <c r="H49" s="9"/>
      <c r="I49" s="9">
        <v>1</v>
      </c>
      <c r="J49" s="9">
        <v>4</v>
      </c>
      <c r="K49" s="9" t="s">
        <v>12078</v>
      </c>
      <c r="L49" s="9" t="s">
        <v>12073</v>
      </c>
      <c r="M49" s="9" t="s">
        <v>12149</v>
      </c>
      <c r="N49" s="10" t="s">
        <v>12160</v>
      </c>
      <c r="O49" s="9"/>
      <c r="P49" s="9">
        <v>11843</v>
      </c>
      <c r="Q49" s="9"/>
      <c r="R49" s="9" t="s">
        <v>12795</v>
      </c>
      <c r="S49" s="9" t="s">
        <v>12795</v>
      </c>
      <c r="T49" s="9"/>
      <c r="U49" s="9"/>
      <c r="V49" s="9"/>
      <c r="W49" s="9"/>
      <c r="X49" s="9"/>
      <c r="Y49" s="9"/>
      <c r="Z49" s="9"/>
      <c r="AA49" s="9"/>
      <c r="AB49" s="9"/>
      <c r="AC49" s="9"/>
      <c r="AD49" s="9" t="s">
        <v>20</v>
      </c>
    </row>
    <row r="50" spans="1:30" ht="29">
      <c r="A50" s="3" t="s">
        <v>415</v>
      </c>
      <c r="B50" s="3" t="s">
        <v>5055</v>
      </c>
      <c r="C50" s="3" t="s">
        <v>5056</v>
      </c>
      <c r="G50" s="9" t="s">
        <v>12118</v>
      </c>
      <c r="H50" s="9"/>
      <c r="I50" s="9"/>
      <c r="J50" s="9"/>
      <c r="K50" s="9"/>
      <c r="L50" s="9"/>
      <c r="M50" s="9"/>
      <c r="N50" s="10"/>
      <c r="O50" s="9"/>
      <c r="P50" s="9"/>
      <c r="Q50" s="9">
        <v>37</v>
      </c>
      <c r="R50" s="9">
        <v>17</v>
      </c>
      <c r="S50" s="9">
        <v>54</v>
      </c>
      <c r="T50" s="9" t="s">
        <v>12117</v>
      </c>
      <c r="U50" s="9"/>
      <c r="V50" s="9"/>
      <c r="W50" s="9"/>
      <c r="X50" s="9"/>
      <c r="Y50" s="9"/>
      <c r="Z50" s="9"/>
      <c r="AA50" s="9"/>
      <c r="AB50" s="9"/>
      <c r="AC50" s="9"/>
      <c r="AD50" s="9" t="s">
        <v>20</v>
      </c>
    </row>
    <row r="51" spans="1:30" ht="29">
      <c r="A51" s="3" t="s">
        <v>429</v>
      </c>
      <c r="B51" s="3" t="s">
        <v>5070</v>
      </c>
      <c r="C51" s="3" t="s">
        <v>5071</v>
      </c>
      <c r="G51" s="9" t="s">
        <v>26</v>
      </c>
      <c r="H51" s="9"/>
      <c r="I51" s="9"/>
      <c r="J51" s="9"/>
      <c r="K51" s="9"/>
      <c r="L51" s="9"/>
      <c r="M51" s="9"/>
      <c r="N51" s="10"/>
      <c r="O51" s="9"/>
      <c r="P51" s="9"/>
      <c r="Q51" s="9">
        <v>0</v>
      </c>
      <c r="R51" s="9">
        <v>3</v>
      </c>
      <c r="S51" s="9">
        <v>3</v>
      </c>
      <c r="T51" s="9"/>
      <c r="U51" s="9"/>
      <c r="V51" s="9"/>
      <c r="W51" s="9"/>
      <c r="X51" s="9"/>
      <c r="Y51" s="9"/>
      <c r="Z51" s="9"/>
      <c r="AA51" s="9"/>
      <c r="AB51" s="9"/>
      <c r="AC51" s="9"/>
      <c r="AD51" s="9" t="s">
        <v>20</v>
      </c>
    </row>
    <row r="52" spans="1:30" ht="29">
      <c r="A52" s="3" t="s">
        <v>435</v>
      </c>
      <c r="B52" s="3" t="s">
        <v>5075</v>
      </c>
      <c r="C52" s="3" t="s">
        <v>5074</v>
      </c>
      <c r="G52" s="9" t="s">
        <v>25</v>
      </c>
      <c r="H52" s="9"/>
      <c r="I52" s="9">
        <v>1</v>
      </c>
      <c r="J52" s="9">
        <v>3</v>
      </c>
      <c r="K52" s="9" t="s">
        <v>12094</v>
      </c>
      <c r="L52" s="9" t="s">
        <v>12079</v>
      </c>
      <c r="M52" s="9"/>
      <c r="N52" s="10"/>
      <c r="O52" s="9"/>
      <c r="P52" s="9">
        <v>301</v>
      </c>
      <c r="Q52" s="9"/>
      <c r="R52" s="9" t="s">
        <v>12795</v>
      </c>
      <c r="S52" s="9" t="s">
        <v>12795</v>
      </c>
      <c r="T52" s="9"/>
      <c r="U52" s="9"/>
      <c r="V52" s="9"/>
      <c r="W52" s="9"/>
      <c r="X52" s="9"/>
      <c r="Y52" s="9"/>
      <c r="Z52" s="9"/>
      <c r="AA52" s="9"/>
      <c r="AB52" s="9"/>
      <c r="AC52" s="9"/>
      <c r="AD52" s="9" t="s">
        <v>20</v>
      </c>
    </row>
    <row r="53" spans="1:30" ht="29">
      <c r="A53" s="3" t="s">
        <v>437</v>
      </c>
      <c r="B53" s="3" t="s">
        <v>438</v>
      </c>
      <c r="C53" s="3" t="s">
        <v>439</v>
      </c>
      <c r="G53" s="9" t="s">
        <v>12120</v>
      </c>
      <c r="H53" s="9"/>
      <c r="I53" s="9"/>
      <c r="J53" s="9"/>
      <c r="K53" s="9"/>
      <c r="L53" s="9"/>
      <c r="M53" s="9"/>
      <c r="N53" s="10"/>
      <c r="O53" s="9"/>
      <c r="P53" s="9"/>
      <c r="Q53" s="9"/>
      <c r="R53" s="9" t="s">
        <v>12795</v>
      </c>
      <c r="S53" s="9" t="s">
        <v>12795</v>
      </c>
      <c r="T53" s="9"/>
      <c r="U53" s="9"/>
      <c r="V53" s="9"/>
      <c r="W53" s="9"/>
      <c r="X53" s="9"/>
      <c r="Y53" s="9"/>
      <c r="Z53" s="9"/>
      <c r="AA53" s="9"/>
      <c r="AB53" s="9"/>
      <c r="AC53" s="9"/>
      <c r="AD53" s="9" t="s">
        <v>19</v>
      </c>
    </row>
    <row r="54" spans="1:30" ht="29">
      <c r="A54" s="3" t="s">
        <v>441</v>
      </c>
      <c r="B54" s="3" t="s">
        <v>12164</v>
      </c>
      <c r="C54" s="3" t="s">
        <v>12165</v>
      </c>
      <c r="G54" s="9" t="s">
        <v>25</v>
      </c>
      <c r="H54" s="9"/>
      <c r="I54" s="9">
        <v>1</v>
      </c>
      <c r="J54" s="9">
        <v>3</v>
      </c>
      <c r="K54" s="9" t="s">
        <v>12078</v>
      </c>
      <c r="L54" s="9" t="s">
        <v>12079</v>
      </c>
      <c r="M54" s="9"/>
      <c r="N54" s="10"/>
      <c r="O54" s="9"/>
      <c r="P54" s="9">
        <v>11843</v>
      </c>
      <c r="Q54" s="9"/>
      <c r="R54" s="9" t="s">
        <v>12795</v>
      </c>
      <c r="S54" s="9" t="s">
        <v>12795</v>
      </c>
      <c r="T54" s="9"/>
      <c r="U54" s="9"/>
      <c r="V54" s="9"/>
      <c r="W54" s="9"/>
      <c r="X54" s="9"/>
      <c r="Y54" s="9"/>
      <c r="Z54" s="9"/>
      <c r="AA54" s="9"/>
      <c r="AB54" s="9"/>
      <c r="AC54" s="9"/>
      <c r="AD54" s="9" t="s">
        <v>20</v>
      </c>
    </row>
    <row r="55" spans="1:30" ht="29">
      <c r="A55" s="3" t="s">
        <v>444</v>
      </c>
      <c r="B55" s="3" t="s">
        <v>5079</v>
      </c>
      <c r="C55" s="3" t="s">
        <v>5080</v>
      </c>
      <c r="G55" s="9" t="s">
        <v>26</v>
      </c>
      <c r="H55" s="9"/>
      <c r="I55" s="9"/>
      <c r="J55" s="9"/>
      <c r="K55" s="9"/>
      <c r="L55" s="9"/>
      <c r="M55" s="9"/>
      <c r="N55" s="10"/>
      <c r="O55" s="9"/>
      <c r="P55" s="9"/>
      <c r="Q55" s="9"/>
      <c r="R55" s="9" t="s">
        <v>12795</v>
      </c>
      <c r="S55" s="9" t="s">
        <v>12795</v>
      </c>
      <c r="T55" s="9"/>
      <c r="U55" s="9"/>
      <c r="V55" s="9"/>
      <c r="W55" s="9"/>
      <c r="X55" s="9"/>
      <c r="Y55" s="9"/>
      <c r="Z55" s="9"/>
      <c r="AA55" s="9"/>
      <c r="AB55" s="9"/>
      <c r="AC55" s="9"/>
      <c r="AD55" s="9" t="s">
        <v>20</v>
      </c>
    </row>
    <row r="56" spans="1:30" ht="29">
      <c r="A56" s="3" t="s">
        <v>448</v>
      </c>
      <c r="B56" s="3" t="s">
        <v>5084</v>
      </c>
      <c r="C56" s="3" t="s">
        <v>5085</v>
      </c>
      <c r="G56" s="9" t="s">
        <v>24</v>
      </c>
      <c r="H56" s="9"/>
      <c r="I56" s="9">
        <v>1</v>
      </c>
      <c r="J56" s="9">
        <v>3</v>
      </c>
      <c r="K56" s="9" t="s">
        <v>12123</v>
      </c>
      <c r="L56" s="9" t="s">
        <v>12079</v>
      </c>
      <c r="M56" s="9"/>
      <c r="N56" s="10"/>
      <c r="O56" s="9"/>
      <c r="P56" s="9">
        <v>92</v>
      </c>
      <c r="Q56" s="9"/>
      <c r="R56" s="9" t="s">
        <v>12795</v>
      </c>
      <c r="S56" s="9" t="s">
        <v>12795</v>
      </c>
      <c r="T56" s="9"/>
      <c r="U56" s="9"/>
      <c r="V56" s="9"/>
      <c r="W56" s="9"/>
      <c r="X56" s="9"/>
      <c r="Y56" s="9"/>
      <c r="Z56" s="9"/>
      <c r="AA56" s="9"/>
      <c r="AB56" s="9"/>
      <c r="AC56" s="9"/>
      <c r="AD56" s="9" t="s">
        <v>20</v>
      </c>
    </row>
    <row r="57" spans="1:30" ht="29">
      <c r="A57" s="3" t="s">
        <v>451</v>
      </c>
      <c r="B57" s="3" t="s">
        <v>5088</v>
      </c>
      <c r="C57" s="3" t="s">
        <v>5089</v>
      </c>
      <c r="G57" s="9" t="s">
        <v>24</v>
      </c>
      <c r="H57" s="9"/>
      <c r="I57" s="9">
        <v>1</v>
      </c>
      <c r="J57" s="9">
        <v>1</v>
      </c>
      <c r="K57" s="9" t="s">
        <v>12078</v>
      </c>
      <c r="L57" s="9" t="s">
        <v>12119</v>
      </c>
      <c r="M57" s="9"/>
      <c r="N57" s="10"/>
      <c r="O57" s="9"/>
      <c r="P57" s="9">
        <v>11843</v>
      </c>
      <c r="Q57" s="9"/>
      <c r="R57" s="9" t="s">
        <v>12795</v>
      </c>
      <c r="S57" s="9" t="s">
        <v>12795</v>
      </c>
      <c r="T57" s="9"/>
      <c r="U57" s="9"/>
      <c r="V57" s="9"/>
      <c r="W57" s="9"/>
      <c r="X57" s="9"/>
      <c r="Y57" s="9"/>
      <c r="Z57" s="9"/>
      <c r="AA57" s="9"/>
      <c r="AB57" s="9"/>
      <c r="AC57" s="9"/>
      <c r="AD57" s="9" t="s">
        <v>20</v>
      </c>
    </row>
    <row r="58" spans="1:30" ht="29">
      <c r="A58" s="3" t="s">
        <v>456</v>
      </c>
      <c r="B58" s="3" t="s">
        <v>5092</v>
      </c>
      <c r="C58" s="3" t="s">
        <v>5093</v>
      </c>
      <c r="G58" s="9" t="s">
        <v>25</v>
      </c>
      <c r="H58" s="9"/>
      <c r="I58" s="9">
        <v>1</v>
      </c>
      <c r="J58" s="9">
        <v>4</v>
      </c>
      <c r="K58" s="9" t="s">
        <v>12084</v>
      </c>
      <c r="L58" s="9" t="s">
        <v>12079</v>
      </c>
      <c r="M58" s="9"/>
      <c r="N58" s="10"/>
      <c r="O58" s="9"/>
      <c r="P58" s="9">
        <v>10</v>
      </c>
      <c r="Q58" s="9"/>
      <c r="R58" s="9" t="s">
        <v>12795</v>
      </c>
      <c r="S58" s="9" t="s">
        <v>12795</v>
      </c>
      <c r="T58" s="9"/>
      <c r="U58" s="9"/>
      <c r="V58" s="9"/>
      <c r="W58" s="9"/>
      <c r="X58" s="9"/>
      <c r="Y58" s="9"/>
      <c r="Z58" s="9"/>
      <c r="AA58" s="9"/>
      <c r="AB58" s="9"/>
      <c r="AC58" s="9"/>
      <c r="AD58" s="9" t="s">
        <v>19</v>
      </c>
    </row>
    <row r="59" spans="1:30" ht="29">
      <c r="A59" s="3" t="s">
        <v>476</v>
      </c>
      <c r="B59" s="3" t="s">
        <v>479</v>
      </c>
      <c r="C59" s="3" t="s">
        <v>480</v>
      </c>
      <c r="G59" s="9" t="s">
        <v>12118</v>
      </c>
      <c r="H59" s="9"/>
      <c r="I59" s="9"/>
      <c r="J59" s="9"/>
      <c r="K59" s="9"/>
      <c r="L59" s="9"/>
      <c r="M59" s="9"/>
      <c r="N59" s="10"/>
      <c r="O59" s="9"/>
      <c r="P59" s="9"/>
      <c r="Q59" s="9">
        <v>-30</v>
      </c>
      <c r="R59" s="9">
        <v>40</v>
      </c>
      <c r="S59" s="9">
        <v>10</v>
      </c>
      <c r="T59" s="9"/>
      <c r="U59" s="9"/>
      <c r="V59" s="9"/>
      <c r="W59" s="9"/>
      <c r="X59" s="9"/>
      <c r="Y59" s="9"/>
      <c r="Z59" s="9"/>
      <c r="AA59" s="9"/>
      <c r="AB59" s="9"/>
      <c r="AC59" s="9"/>
      <c r="AD59" s="9" t="s">
        <v>20</v>
      </c>
    </row>
    <row r="60" spans="1:30" ht="29">
      <c r="A60" s="3" t="s">
        <v>485</v>
      </c>
      <c r="B60" s="3" t="s">
        <v>5110</v>
      </c>
      <c r="C60" s="3" t="s">
        <v>5111</v>
      </c>
      <c r="G60" s="9" t="s">
        <v>25</v>
      </c>
      <c r="H60" s="9"/>
      <c r="I60" s="9">
        <v>1</v>
      </c>
      <c r="J60" s="9">
        <v>3</v>
      </c>
      <c r="K60" s="9" t="s">
        <v>12078</v>
      </c>
      <c r="L60" s="9" t="s">
        <v>12079</v>
      </c>
      <c r="M60" s="9"/>
      <c r="N60" s="10"/>
      <c r="O60" s="9"/>
      <c r="P60" s="9">
        <v>11843</v>
      </c>
      <c r="Q60" s="9"/>
      <c r="R60" s="9" t="s">
        <v>12795</v>
      </c>
      <c r="S60" s="9" t="s">
        <v>12795</v>
      </c>
      <c r="T60" s="9"/>
      <c r="U60" s="9"/>
      <c r="V60" s="9"/>
      <c r="W60" s="9"/>
      <c r="X60" s="9"/>
      <c r="Y60" s="9"/>
      <c r="Z60" s="9"/>
      <c r="AA60" s="9"/>
      <c r="AB60" s="9"/>
      <c r="AC60" s="9"/>
      <c r="AD60" s="9" t="s">
        <v>20</v>
      </c>
    </row>
    <row r="61" spans="1:30" ht="29">
      <c r="A61" s="3" t="s">
        <v>486</v>
      </c>
      <c r="B61" s="3" t="s">
        <v>5112</v>
      </c>
      <c r="C61" s="3" t="s">
        <v>5113</v>
      </c>
      <c r="G61" s="9" t="s">
        <v>25</v>
      </c>
      <c r="H61" s="9"/>
      <c r="I61" s="9">
        <v>1</v>
      </c>
      <c r="J61" s="9">
        <v>3</v>
      </c>
      <c r="K61" s="9" t="s">
        <v>12087</v>
      </c>
      <c r="L61" s="9" t="s">
        <v>12079</v>
      </c>
      <c r="M61" s="9"/>
      <c r="N61" s="10"/>
      <c r="O61" s="9"/>
      <c r="P61" s="9">
        <v>810</v>
      </c>
      <c r="Q61" s="9"/>
      <c r="R61" s="9" t="s">
        <v>12795</v>
      </c>
      <c r="S61" s="9" t="s">
        <v>12795</v>
      </c>
      <c r="T61" s="9"/>
      <c r="U61" s="9"/>
      <c r="V61" s="9"/>
      <c r="W61" s="9"/>
      <c r="X61" s="9"/>
      <c r="Y61" s="9"/>
      <c r="Z61" s="9"/>
      <c r="AA61" s="9"/>
      <c r="AB61" s="9"/>
      <c r="AC61" s="9"/>
      <c r="AD61" s="9" t="s">
        <v>19</v>
      </c>
    </row>
    <row r="62" spans="1:30" ht="29">
      <c r="A62" s="3" t="s">
        <v>486</v>
      </c>
      <c r="B62" s="3" t="s">
        <v>5114</v>
      </c>
      <c r="C62" s="3" t="s">
        <v>12167</v>
      </c>
      <c r="G62" s="9" t="s">
        <v>24</v>
      </c>
      <c r="H62" s="9"/>
      <c r="I62" s="9">
        <v>1</v>
      </c>
      <c r="J62" s="9">
        <v>3</v>
      </c>
      <c r="K62" s="9" t="s">
        <v>12078</v>
      </c>
      <c r="L62" s="9" t="s">
        <v>12079</v>
      </c>
      <c r="M62" s="9"/>
      <c r="N62" s="10"/>
      <c r="O62" s="9"/>
      <c r="P62" s="9">
        <v>11843</v>
      </c>
      <c r="Q62" s="9"/>
      <c r="R62" s="9" t="s">
        <v>12795</v>
      </c>
      <c r="S62" s="9" t="s">
        <v>12795</v>
      </c>
      <c r="T62" s="9"/>
      <c r="U62" s="9"/>
      <c r="V62" s="9"/>
      <c r="W62" s="9"/>
      <c r="X62" s="9"/>
      <c r="Y62" s="9"/>
      <c r="Z62" s="9"/>
      <c r="AA62" s="9"/>
      <c r="AB62" s="9"/>
      <c r="AC62" s="9"/>
      <c r="AD62" s="9" t="s">
        <v>20</v>
      </c>
    </row>
    <row r="63" spans="1:30" ht="29">
      <c r="A63" s="3" t="s">
        <v>487</v>
      </c>
      <c r="B63" s="3" t="s">
        <v>12971</v>
      </c>
      <c r="C63" s="3" t="s">
        <v>12973</v>
      </c>
      <c r="G63" s="9" t="s">
        <v>12120</v>
      </c>
      <c r="H63" s="9"/>
      <c r="I63" s="9"/>
      <c r="J63" s="9"/>
      <c r="K63" s="9"/>
      <c r="L63" s="9"/>
      <c r="M63" s="9"/>
      <c r="N63" s="10"/>
      <c r="O63" s="9"/>
      <c r="P63" s="9"/>
      <c r="Q63" s="9"/>
      <c r="R63" s="9" t="s">
        <v>12795</v>
      </c>
      <c r="S63" s="9" t="s">
        <v>12795</v>
      </c>
      <c r="T63" s="9"/>
      <c r="U63" s="9"/>
      <c r="V63" s="9"/>
      <c r="W63" s="9"/>
      <c r="X63" s="9"/>
      <c r="Y63" s="9"/>
      <c r="Z63" s="9"/>
      <c r="AA63" s="9"/>
      <c r="AB63" s="9"/>
      <c r="AC63" s="9"/>
      <c r="AD63" s="9" t="s">
        <v>20</v>
      </c>
    </row>
    <row r="64" spans="1:30" ht="29">
      <c r="A64" s="3" t="s">
        <v>491</v>
      </c>
      <c r="B64" s="3" t="s">
        <v>5117</v>
      </c>
      <c r="C64" s="3" t="s">
        <v>5118</v>
      </c>
      <c r="G64" s="9" t="s">
        <v>26</v>
      </c>
      <c r="H64" s="9"/>
      <c r="I64" s="9"/>
      <c r="J64" s="9"/>
      <c r="K64" s="9"/>
      <c r="L64" s="9"/>
      <c r="M64" s="9"/>
      <c r="N64" s="10"/>
      <c r="O64" s="9"/>
      <c r="P64" s="9"/>
      <c r="Q64" s="9"/>
      <c r="R64" s="9" t="s">
        <v>12795</v>
      </c>
      <c r="S64" s="9" t="s">
        <v>12795</v>
      </c>
      <c r="T64" s="9"/>
      <c r="U64" s="9"/>
      <c r="V64" s="9"/>
      <c r="W64" s="9"/>
      <c r="X64" s="9"/>
      <c r="Y64" s="9"/>
      <c r="Z64" s="9"/>
      <c r="AA64" s="9"/>
      <c r="AB64" s="9"/>
      <c r="AC64" s="9"/>
      <c r="AD64" s="9" t="s">
        <v>20</v>
      </c>
    </row>
    <row r="65" spans="1:30" ht="29">
      <c r="A65" s="3" t="s">
        <v>492</v>
      </c>
      <c r="B65" s="3" t="s">
        <v>5119</v>
      </c>
      <c r="C65" s="3" t="s">
        <v>5120</v>
      </c>
      <c r="G65" s="9" t="s">
        <v>25</v>
      </c>
      <c r="H65" s="9"/>
      <c r="I65" s="9">
        <v>1</v>
      </c>
      <c r="J65" s="9">
        <v>2</v>
      </c>
      <c r="K65" s="9" t="s">
        <v>12092</v>
      </c>
      <c r="L65" s="9" t="s">
        <v>12119</v>
      </c>
      <c r="M65" s="9"/>
      <c r="N65" s="10"/>
      <c r="O65" s="9"/>
      <c r="P65" s="9">
        <v>472</v>
      </c>
      <c r="Q65" s="9"/>
      <c r="R65" s="9" t="s">
        <v>12795</v>
      </c>
      <c r="S65" s="9" t="s">
        <v>12795</v>
      </c>
      <c r="T65" s="9"/>
      <c r="U65" s="9"/>
      <c r="V65" s="9"/>
      <c r="W65" s="9"/>
      <c r="X65" s="9"/>
      <c r="Y65" s="9"/>
      <c r="Z65" s="9"/>
      <c r="AA65" s="9"/>
      <c r="AB65" s="9"/>
      <c r="AC65" s="9"/>
      <c r="AD65" s="9" t="s">
        <v>20</v>
      </c>
    </row>
    <row r="66" spans="1:30" ht="29">
      <c r="A66" s="3" t="s">
        <v>494</v>
      </c>
      <c r="B66" s="3" t="s">
        <v>5122</v>
      </c>
      <c r="C66" s="3" t="s">
        <v>5123</v>
      </c>
      <c r="G66" s="9" t="s">
        <v>12118</v>
      </c>
      <c r="H66" s="9"/>
      <c r="I66" s="9"/>
      <c r="J66" s="9"/>
      <c r="K66" s="9"/>
      <c r="L66" s="9"/>
      <c r="M66" s="9"/>
      <c r="N66" s="10"/>
      <c r="O66" s="9"/>
      <c r="P66" s="9"/>
      <c r="Q66" s="9">
        <v>21</v>
      </c>
      <c r="R66" s="9">
        <v>165</v>
      </c>
      <c r="S66" s="9">
        <v>186</v>
      </c>
      <c r="T66" s="9"/>
      <c r="U66" s="9"/>
      <c r="V66" s="9"/>
      <c r="W66" s="9"/>
      <c r="X66" s="9"/>
      <c r="Y66" s="9"/>
      <c r="Z66" s="9"/>
      <c r="AA66" s="9"/>
      <c r="AB66" s="9"/>
      <c r="AC66" s="9"/>
      <c r="AD66" s="9" t="s">
        <v>20</v>
      </c>
    </row>
    <row r="67" spans="1:30" ht="29">
      <c r="A67" s="3" t="s">
        <v>494</v>
      </c>
      <c r="B67" s="3" t="s">
        <v>496</v>
      </c>
      <c r="C67" s="3" t="s">
        <v>497</v>
      </c>
      <c r="G67" s="9" t="s">
        <v>12120</v>
      </c>
      <c r="H67" s="9"/>
      <c r="I67" s="9"/>
      <c r="J67" s="9"/>
      <c r="K67" s="9"/>
      <c r="L67" s="9"/>
      <c r="M67" s="9"/>
      <c r="N67" s="10"/>
      <c r="O67" s="9"/>
      <c r="P67" s="9"/>
      <c r="Q67" s="9"/>
      <c r="R67" s="9" t="s">
        <v>12795</v>
      </c>
      <c r="S67" s="9" t="s">
        <v>12795</v>
      </c>
      <c r="T67" s="9"/>
      <c r="U67" s="9"/>
      <c r="V67" s="9"/>
      <c r="W67" s="9"/>
      <c r="X67" s="9"/>
      <c r="Y67" s="9"/>
      <c r="Z67" s="9"/>
      <c r="AA67" s="9"/>
      <c r="AB67" s="9"/>
      <c r="AC67" s="9"/>
      <c r="AD67" s="9" t="s">
        <v>20</v>
      </c>
    </row>
    <row r="68" spans="1:30" ht="29">
      <c r="A68" s="3" t="s">
        <v>499</v>
      </c>
      <c r="B68" s="3" t="s">
        <v>5128</v>
      </c>
      <c r="C68" s="3" t="s">
        <v>5129</v>
      </c>
      <c r="G68" s="9" t="s">
        <v>12120</v>
      </c>
      <c r="H68" s="9"/>
      <c r="I68" s="9"/>
      <c r="J68" s="9"/>
      <c r="K68" s="9"/>
      <c r="L68" s="9"/>
      <c r="M68" s="9"/>
      <c r="N68" s="10"/>
      <c r="O68" s="9"/>
      <c r="P68" s="9"/>
      <c r="Q68" s="9"/>
      <c r="R68" s="9" t="s">
        <v>12795</v>
      </c>
      <c r="S68" s="9" t="s">
        <v>12795</v>
      </c>
      <c r="T68" s="9"/>
      <c r="U68" s="9"/>
      <c r="V68" s="9"/>
      <c r="W68" s="9"/>
      <c r="X68" s="9"/>
      <c r="Y68" s="9"/>
      <c r="Z68" s="9"/>
      <c r="AA68" s="9"/>
      <c r="AB68" s="9"/>
      <c r="AC68" s="9"/>
      <c r="AD68" s="9" t="s">
        <v>20</v>
      </c>
    </row>
    <row r="69" spans="1:30" ht="29">
      <c r="A69" s="3" t="s">
        <v>507</v>
      </c>
      <c r="B69" s="3" t="s">
        <v>5134</v>
      </c>
      <c r="C69" s="3" t="s">
        <v>5135</v>
      </c>
      <c r="G69" s="9" t="s">
        <v>12118</v>
      </c>
      <c r="H69" s="9"/>
      <c r="I69" s="9"/>
      <c r="J69" s="9"/>
      <c r="K69" s="9"/>
      <c r="L69" s="9"/>
      <c r="M69" s="9"/>
      <c r="N69" s="10"/>
      <c r="O69" s="9"/>
      <c r="P69" s="9"/>
      <c r="Q69" s="9">
        <v>5483</v>
      </c>
      <c r="R69" s="9">
        <v>193</v>
      </c>
      <c r="S69" s="9">
        <v>5676</v>
      </c>
      <c r="T69" s="9"/>
      <c r="U69" s="9"/>
      <c r="V69" s="9"/>
      <c r="W69" s="9"/>
      <c r="X69" s="9"/>
      <c r="Y69" s="9"/>
      <c r="Z69" s="9"/>
      <c r="AA69" s="9"/>
      <c r="AB69" s="9"/>
      <c r="AC69" s="9"/>
      <c r="AD69" s="9" t="s">
        <v>19</v>
      </c>
    </row>
    <row r="70" spans="1:30" ht="29">
      <c r="A70" s="3" t="s">
        <v>510</v>
      </c>
      <c r="B70" s="3" t="s">
        <v>5147</v>
      </c>
      <c r="C70" s="3" t="s">
        <v>5148</v>
      </c>
      <c r="F70" t="s">
        <v>19</v>
      </c>
      <c r="G70" s="9" t="s">
        <v>24</v>
      </c>
      <c r="H70" s="9"/>
      <c r="I70" s="9">
        <v>1</v>
      </c>
      <c r="J70" s="9">
        <v>3</v>
      </c>
      <c r="K70" s="9" t="s">
        <v>12078</v>
      </c>
      <c r="L70" s="9" t="s">
        <v>12079</v>
      </c>
      <c r="M70" s="9"/>
      <c r="N70" s="10"/>
      <c r="O70" s="9"/>
      <c r="P70" s="9">
        <v>11843</v>
      </c>
      <c r="Q70" s="9"/>
      <c r="R70" s="9" t="s">
        <v>12795</v>
      </c>
      <c r="S70" s="9" t="s">
        <v>12795</v>
      </c>
      <c r="T70" s="9"/>
      <c r="U70" s="9"/>
      <c r="V70" s="9"/>
      <c r="W70" s="9"/>
      <c r="X70" s="9"/>
      <c r="Y70" s="9"/>
      <c r="Z70" s="9"/>
      <c r="AA70" s="9"/>
      <c r="AB70" s="9"/>
      <c r="AC70" s="9"/>
      <c r="AD70" s="9" t="s">
        <v>20</v>
      </c>
    </row>
    <row r="71" spans="1:30" ht="29">
      <c r="A71" s="3" t="s">
        <v>515</v>
      </c>
      <c r="B71" s="3" t="s">
        <v>5154</v>
      </c>
      <c r="C71" s="3" t="s">
        <v>5155</v>
      </c>
      <c r="G71" s="9" t="s">
        <v>12120</v>
      </c>
      <c r="H71" s="9"/>
      <c r="I71" s="9"/>
      <c r="J71" s="9"/>
      <c r="K71" s="9"/>
      <c r="L71" s="9"/>
      <c r="M71" s="9"/>
      <c r="N71" s="10"/>
      <c r="O71" s="9"/>
      <c r="P71" s="9"/>
      <c r="Q71" s="9"/>
      <c r="R71" s="9" t="s">
        <v>12795</v>
      </c>
      <c r="S71" s="9" t="s">
        <v>12795</v>
      </c>
      <c r="T71" s="9"/>
      <c r="U71" s="9"/>
      <c r="V71" s="9"/>
      <c r="W71" s="9"/>
      <c r="X71" s="9"/>
      <c r="Y71" s="9"/>
      <c r="Z71" s="9"/>
      <c r="AA71" s="9"/>
      <c r="AB71" s="9"/>
      <c r="AC71" s="9"/>
      <c r="AD71" s="9" t="s">
        <v>20</v>
      </c>
    </row>
    <row r="72" spans="1:30" ht="29">
      <c r="A72" s="3" t="s">
        <v>529</v>
      </c>
      <c r="B72" s="3" t="s">
        <v>5163</v>
      </c>
      <c r="C72" s="3" t="s">
        <v>5164</v>
      </c>
      <c r="G72" s="9" t="s">
        <v>12118</v>
      </c>
      <c r="H72" s="9"/>
      <c r="I72" s="9"/>
      <c r="J72" s="9"/>
      <c r="K72" s="9"/>
      <c r="L72" s="9"/>
      <c r="M72" s="9"/>
      <c r="N72" s="10"/>
      <c r="O72" s="9"/>
      <c r="P72" s="9"/>
      <c r="Q72" s="9">
        <v>5483</v>
      </c>
      <c r="R72" s="9">
        <v>193</v>
      </c>
      <c r="S72" s="9">
        <v>5676</v>
      </c>
      <c r="T72" s="9"/>
      <c r="U72" s="9"/>
      <c r="V72" s="9"/>
      <c r="W72" s="9"/>
      <c r="X72" s="9"/>
      <c r="Y72" s="9"/>
      <c r="Z72" s="9"/>
      <c r="AA72" s="9"/>
      <c r="AB72" s="9"/>
      <c r="AC72" s="9"/>
      <c r="AD72" s="9" t="s">
        <v>19</v>
      </c>
    </row>
    <row r="73" spans="1:30" ht="29">
      <c r="A73" s="3" t="s">
        <v>530</v>
      </c>
      <c r="B73" s="3" t="s">
        <v>5165</v>
      </c>
      <c r="C73" s="3" t="s">
        <v>5166</v>
      </c>
      <c r="G73" s="9" t="s">
        <v>24</v>
      </c>
      <c r="H73" s="9"/>
      <c r="I73" s="9">
        <v>1</v>
      </c>
      <c r="J73" s="9">
        <v>2</v>
      </c>
      <c r="K73" s="9" t="s">
        <v>12123</v>
      </c>
      <c r="L73" s="9" t="s">
        <v>12119</v>
      </c>
      <c r="M73" s="9"/>
      <c r="N73" s="10"/>
      <c r="O73" s="9"/>
      <c r="P73" s="9">
        <v>134</v>
      </c>
      <c r="Q73" s="9"/>
      <c r="R73" s="9" t="s">
        <v>12795</v>
      </c>
      <c r="S73" s="9" t="s">
        <v>12795</v>
      </c>
      <c r="T73" s="9"/>
      <c r="U73" s="9"/>
      <c r="V73" s="9"/>
      <c r="W73" s="9"/>
      <c r="X73" s="9"/>
      <c r="Y73" s="9"/>
      <c r="Z73" s="9"/>
      <c r="AA73" s="9"/>
      <c r="AB73" s="9"/>
      <c r="AC73" s="9"/>
      <c r="AD73" s="9" t="s">
        <v>19</v>
      </c>
    </row>
    <row r="74" spans="1:30" ht="29">
      <c r="A74" s="3" t="s">
        <v>537</v>
      </c>
      <c r="B74" s="3" t="s">
        <v>5169</v>
      </c>
      <c r="C74" s="3" t="s">
        <v>5170</v>
      </c>
      <c r="G74" s="9" t="s">
        <v>24</v>
      </c>
      <c r="H74" s="9"/>
      <c r="I74" s="9">
        <v>1</v>
      </c>
      <c r="J74" s="9">
        <v>3</v>
      </c>
      <c r="K74" s="9" t="s">
        <v>12078</v>
      </c>
      <c r="L74" s="9" t="s">
        <v>12079</v>
      </c>
      <c r="M74" s="9"/>
      <c r="N74" s="10"/>
      <c r="O74" s="9"/>
      <c r="P74" s="9">
        <v>11843</v>
      </c>
      <c r="Q74" s="9"/>
      <c r="R74" s="9" t="s">
        <v>12795</v>
      </c>
      <c r="S74" s="9" t="s">
        <v>12795</v>
      </c>
      <c r="T74" s="9"/>
      <c r="U74" s="9"/>
      <c r="V74" s="9"/>
      <c r="W74" s="9"/>
      <c r="X74" s="9"/>
      <c r="Y74" s="9"/>
      <c r="Z74" s="9"/>
      <c r="AA74" s="9"/>
      <c r="AB74" s="9"/>
      <c r="AC74" s="9"/>
      <c r="AD74" s="9" t="s">
        <v>19</v>
      </c>
    </row>
    <row r="75" spans="1:30" ht="29">
      <c r="A75" s="3" t="s">
        <v>538</v>
      </c>
      <c r="B75" s="3" t="s">
        <v>541</v>
      </c>
      <c r="C75" s="3" t="s">
        <v>542</v>
      </c>
      <c r="G75" s="9" t="s">
        <v>12120</v>
      </c>
      <c r="H75" s="9"/>
      <c r="I75" s="9"/>
      <c r="J75" s="9"/>
      <c r="K75" s="9"/>
      <c r="L75" s="9"/>
      <c r="M75" s="9"/>
      <c r="N75" s="10"/>
      <c r="O75" s="9"/>
      <c r="P75" s="9"/>
      <c r="Q75" s="9"/>
      <c r="R75" s="9" t="s">
        <v>12795</v>
      </c>
      <c r="S75" s="9" t="s">
        <v>12795</v>
      </c>
      <c r="T75" s="9" t="s">
        <v>12117</v>
      </c>
      <c r="U75" s="9"/>
      <c r="V75" s="9"/>
      <c r="W75" s="9"/>
      <c r="X75" s="9"/>
      <c r="Y75" s="9"/>
      <c r="Z75" s="9"/>
      <c r="AA75" s="9"/>
      <c r="AB75" s="9"/>
      <c r="AC75" s="9"/>
      <c r="AD75" s="9" t="s">
        <v>20</v>
      </c>
    </row>
    <row r="76" spans="1:30" ht="29">
      <c r="A76" s="3" t="s">
        <v>543</v>
      </c>
      <c r="B76" s="3" t="s">
        <v>5171</v>
      </c>
      <c r="C76" s="3" t="s">
        <v>5172</v>
      </c>
      <c r="G76" s="9" t="s">
        <v>12118</v>
      </c>
      <c r="H76" s="9"/>
      <c r="I76" s="9"/>
      <c r="J76" s="9"/>
      <c r="K76" s="9"/>
      <c r="L76" s="9"/>
      <c r="M76" s="9"/>
      <c r="N76" s="10"/>
      <c r="O76" s="9"/>
      <c r="P76" s="9"/>
      <c r="Q76" s="9">
        <v>-1874</v>
      </c>
      <c r="R76" s="9">
        <v>1966</v>
      </c>
      <c r="S76" s="9">
        <v>92</v>
      </c>
      <c r="T76" s="9"/>
      <c r="U76" s="9"/>
      <c r="V76" s="9"/>
      <c r="W76" s="9"/>
      <c r="X76" s="9"/>
      <c r="Y76" s="9"/>
      <c r="Z76" s="9"/>
      <c r="AA76" s="9"/>
      <c r="AB76" s="9"/>
      <c r="AC76" s="9"/>
      <c r="AD76" s="9" t="s">
        <v>20</v>
      </c>
    </row>
    <row r="77" spans="1:30" ht="29">
      <c r="A77" s="3" t="s">
        <v>547</v>
      </c>
      <c r="B77" s="3" t="s">
        <v>5177</v>
      </c>
      <c r="C77" s="3" t="s">
        <v>5178</v>
      </c>
      <c r="G77" s="9" t="s">
        <v>25</v>
      </c>
      <c r="H77" s="9"/>
      <c r="I77" s="9">
        <v>1</v>
      </c>
      <c r="J77" s="9">
        <v>2</v>
      </c>
      <c r="K77" s="9" t="s">
        <v>12123</v>
      </c>
      <c r="L77" s="9" t="s">
        <v>12119</v>
      </c>
      <c r="M77" s="9"/>
      <c r="N77" s="10"/>
      <c r="O77" s="9"/>
      <c r="P77" s="9">
        <v>887</v>
      </c>
      <c r="Q77" s="9"/>
      <c r="R77" s="9" t="s">
        <v>12795</v>
      </c>
      <c r="S77" s="9" t="s">
        <v>12795</v>
      </c>
      <c r="T77" s="9"/>
      <c r="U77" s="9"/>
      <c r="V77" s="9"/>
      <c r="W77" s="9"/>
      <c r="X77" s="9"/>
      <c r="Y77" s="9"/>
      <c r="Z77" s="9"/>
      <c r="AA77" s="9"/>
      <c r="AB77" s="9"/>
      <c r="AC77" s="9"/>
      <c r="AD77" s="9" t="s">
        <v>20</v>
      </c>
    </row>
    <row r="78" spans="1:30" ht="29">
      <c r="A78" s="3" t="s">
        <v>554</v>
      </c>
      <c r="B78" s="3" t="s">
        <v>5179</v>
      </c>
      <c r="C78" s="3" t="s">
        <v>5180</v>
      </c>
      <c r="G78" s="9" t="s">
        <v>24</v>
      </c>
      <c r="H78" s="9"/>
      <c r="I78" s="9">
        <v>1</v>
      </c>
      <c r="J78" s="9">
        <v>2</v>
      </c>
      <c r="K78" s="9" t="s">
        <v>12078</v>
      </c>
      <c r="L78" s="9" t="s">
        <v>12119</v>
      </c>
      <c r="M78" s="9"/>
      <c r="N78" s="10"/>
      <c r="O78" s="9"/>
      <c r="P78" s="9">
        <v>11843</v>
      </c>
      <c r="Q78" s="9"/>
      <c r="R78" s="9" t="s">
        <v>12795</v>
      </c>
      <c r="S78" s="9" t="s">
        <v>12795</v>
      </c>
      <c r="T78" s="9"/>
      <c r="U78" s="9"/>
      <c r="V78" s="9"/>
      <c r="W78" s="9"/>
      <c r="X78" s="9"/>
      <c r="Y78" s="9"/>
      <c r="Z78" s="9"/>
      <c r="AA78" s="9"/>
      <c r="AB78" s="9"/>
      <c r="AC78" s="9"/>
      <c r="AD78" s="9" t="s">
        <v>19</v>
      </c>
    </row>
    <row r="79" spans="1:30" ht="29">
      <c r="A79" s="3" t="s">
        <v>556</v>
      </c>
      <c r="B79" s="3" t="s">
        <v>557</v>
      </c>
      <c r="C79" s="3" t="s">
        <v>558</v>
      </c>
      <c r="G79" s="9" t="s">
        <v>12118</v>
      </c>
      <c r="H79" s="9"/>
      <c r="I79" s="9"/>
      <c r="J79" s="9"/>
      <c r="K79" s="9"/>
      <c r="L79" s="9"/>
      <c r="M79" s="9"/>
      <c r="N79" s="10"/>
      <c r="O79" s="9"/>
      <c r="P79" s="9"/>
      <c r="Q79" s="9">
        <v>19</v>
      </c>
      <c r="R79" s="9">
        <v>3</v>
      </c>
      <c r="S79" s="9">
        <v>22</v>
      </c>
      <c r="T79" s="9"/>
      <c r="U79" s="9"/>
      <c r="V79" s="9"/>
      <c r="W79" s="9"/>
      <c r="X79" s="9"/>
      <c r="Y79" s="9"/>
      <c r="Z79" s="9"/>
      <c r="AA79" s="9"/>
      <c r="AB79" s="9"/>
      <c r="AC79" s="9"/>
      <c r="AD79" s="9" t="s">
        <v>19</v>
      </c>
    </row>
    <row r="80" spans="1:30" ht="43.5">
      <c r="A80" s="3" t="s">
        <v>560</v>
      </c>
      <c r="B80" s="3" t="s">
        <v>5189</v>
      </c>
      <c r="C80" s="3" t="s">
        <v>5190</v>
      </c>
      <c r="G80" s="9" t="s">
        <v>26</v>
      </c>
      <c r="H80" s="9"/>
      <c r="I80" s="9"/>
      <c r="J80" s="9"/>
      <c r="K80" s="9"/>
      <c r="L80" s="9"/>
      <c r="M80" s="9"/>
      <c r="N80" s="10"/>
      <c r="O80" s="9"/>
      <c r="P80" s="9"/>
      <c r="Q80" s="9"/>
      <c r="R80" s="9" t="s">
        <v>12795</v>
      </c>
      <c r="S80" s="9" t="s">
        <v>12795</v>
      </c>
      <c r="T80" s="9"/>
      <c r="U80" s="9"/>
      <c r="V80" s="9"/>
      <c r="W80" s="9"/>
      <c r="X80" s="9"/>
      <c r="Y80" s="9"/>
      <c r="Z80" s="9"/>
      <c r="AA80" s="9"/>
      <c r="AB80" s="9"/>
      <c r="AC80" s="9"/>
      <c r="AD80" s="9" t="s">
        <v>20</v>
      </c>
    </row>
    <row r="81" spans="1:30" ht="29">
      <c r="A81" s="3" t="s">
        <v>564</v>
      </c>
      <c r="B81" s="3" t="s">
        <v>5191</v>
      </c>
      <c r="C81" s="3" t="s">
        <v>5192</v>
      </c>
      <c r="G81" s="9" t="s">
        <v>24</v>
      </c>
      <c r="H81" s="9"/>
      <c r="I81" s="9">
        <v>1</v>
      </c>
      <c r="J81" s="9">
        <v>6</v>
      </c>
      <c r="K81" s="9" t="s">
        <v>12096</v>
      </c>
      <c r="L81" s="9" t="s">
        <v>12079</v>
      </c>
      <c r="M81" s="9"/>
      <c r="N81" s="10"/>
      <c r="O81" s="9"/>
      <c r="P81" s="9">
        <v>930</v>
      </c>
      <c r="Q81" s="9"/>
      <c r="R81" s="9" t="s">
        <v>12795</v>
      </c>
      <c r="S81" s="9" t="s">
        <v>12795</v>
      </c>
      <c r="T81" s="9"/>
      <c r="U81" s="9"/>
      <c r="V81" s="9"/>
      <c r="W81" s="9"/>
      <c r="X81" s="9"/>
      <c r="Y81" s="9"/>
      <c r="Z81" s="9"/>
      <c r="AA81" s="9"/>
      <c r="AB81" s="9"/>
      <c r="AC81" s="9"/>
      <c r="AD81" s="9" t="s">
        <v>19</v>
      </c>
    </row>
    <row r="82" spans="1:30" ht="29">
      <c r="A82" s="3" t="s">
        <v>565</v>
      </c>
      <c r="B82" s="3" t="s">
        <v>566</v>
      </c>
      <c r="C82" s="3" t="s">
        <v>567</v>
      </c>
      <c r="G82" s="9" t="s">
        <v>12120</v>
      </c>
      <c r="H82" s="9"/>
      <c r="I82" s="9"/>
      <c r="J82" s="9"/>
      <c r="K82" s="9"/>
      <c r="L82" s="9"/>
      <c r="M82" s="9"/>
      <c r="N82" s="10"/>
      <c r="O82" s="9"/>
      <c r="P82" s="9"/>
      <c r="Q82" s="9"/>
      <c r="R82" s="9" t="s">
        <v>12795</v>
      </c>
      <c r="S82" s="9" t="s">
        <v>12795</v>
      </c>
      <c r="T82" s="9"/>
      <c r="U82" s="9"/>
      <c r="V82" s="9"/>
      <c r="W82" s="9"/>
      <c r="X82" s="9"/>
      <c r="Y82" s="9"/>
      <c r="Z82" s="9"/>
      <c r="AA82" s="9"/>
      <c r="AB82" s="9"/>
      <c r="AC82" s="9"/>
      <c r="AD82" s="9" t="s">
        <v>20</v>
      </c>
    </row>
    <row r="83" spans="1:30" ht="29">
      <c r="A83" s="3" t="s">
        <v>568</v>
      </c>
      <c r="B83" s="3" t="s">
        <v>5193</v>
      </c>
      <c r="C83" s="3" t="s">
        <v>5194</v>
      </c>
      <c r="G83" s="9" t="s">
        <v>26</v>
      </c>
      <c r="H83" s="9"/>
      <c r="I83" s="9"/>
      <c r="J83" s="9"/>
      <c r="K83" s="9"/>
      <c r="L83" s="9"/>
      <c r="M83" s="9"/>
      <c r="N83" s="10"/>
      <c r="O83" s="9"/>
      <c r="P83" s="9"/>
      <c r="Q83" s="9"/>
      <c r="R83" s="9" t="s">
        <v>12795</v>
      </c>
      <c r="S83" s="9" t="s">
        <v>12795</v>
      </c>
      <c r="T83" s="9"/>
      <c r="U83" s="9"/>
      <c r="V83" s="9"/>
      <c r="W83" s="9"/>
      <c r="X83" s="9"/>
      <c r="Y83" s="9"/>
      <c r="Z83" s="9"/>
      <c r="AA83" s="9"/>
      <c r="AB83" s="9"/>
      <c r="AC83" s="9"/>
      <c r="AD83" s="9" t="s">
        <v>20</v>
      </c>
    </row>
    <row r="84" spans="1:30" ht="29">
      <c r="A84" s="3" t="s">
        <v>573</v>
      </c>
      <c r="B84" s="3" t="s">
        <v>574</v>
      </c>
      <c r="C84" s="3" t="s">
        <v>575</v>
      </c>
      <c r="G84" s="9" t="s">
        <v>12120</v>
      </c>
      <c r="H84" s="9"/>
      <c r="I84" s="9"/>
      <c r="J84" s="9"/>
      <c r="K84" s="9"/>
      <c r="L84" s="9"/>
      <c r="M84" s="9"/>
      <c r="N84" s="10"/>
      <c r="O84" s="9"/>
      <c r="P84" s="9"/>
      <c r="Q84" s="9"/>
      <c r="R84" s="9" t="s">
        <v>12795</v>
      </c>
      <c r="S84" s="9" t="s">
        <v>12795</v>
      </c>
      <c r="T84" s="9"/>
      <c r="U84" s="9"/>
      <c r="V84" s="9"/>
      <c r="W84" s="9"/>
      <c r="X84" s="9"/>
      <c r="Y84" s="9"/>
      <c r="Z84" s="9"/>
      <c r="AA84" s="9"/>
      <c r="AB84" s="9"/>
      <c r="AC84" s="9"/>
      <c r="AD84" s="9" t="s">
        <v>19</v>
      </c>
    </row>
    <row r="85" spans="1:30" ht="29">
      <c r="A85" s="3" t="s">
        <v>580</v>
      </c>
      <c r="B85" s="3" t="s">
        <v>4815</v>
      </c>
      <c r="C85" s="3" t="s">
        <v>581</v>
      </c>
      <c r="G85" s="9" t="s">
        <v>12120</v>
      </c>
      <c r="H85" s="9"/>
      <c r="I85" s="9"/>
      <c r="J85" s="9"/>
      <c r="K85" s="9"/>
      <c r="L85" s="9"/>
      <c r="M85" s="9"/>
      <c r="N85" s="10"/>
      <c r="O85" s="9"/>
      <c r="P85" s="9"/>
      <c r="Q85" s="9"/>
      <c r="R85" s="9" t="s">
        <v>12795</v>
      </c>
      <c r="S85" s="9" t="s">
        <v>12795</v>
      </c>
      <c r="T85" s="9"/>
      <c r="U85" s="9"/>
      <c r="V85" s="9"/>
      <c r="W85" s="9"/>
      <c r="X85" s="9"/>
      <c r="Y85" s="9"/>
      <c r="Z85" s="9"/>
      <c r="AA85" s="9"/>
      <c r="AB85" s="9"/>
      <c r="AC85" s="9"/>
      <c r="AD85" s="9" t="s">
        <v>19</v>
      </c>
    </row>
    <row r="86" spans="1:30" ht="29">
      <c r="A86" s="3" t="s">
        <v>593</v>
      </c>
      <c r="B86" s="3" t="s">
        <v>594</v>
      </c>
      <c r="C86" s="3" t="s">
        <v>595</v>
      </c>
      <c r="G86" s="9" t="s">
        <v>12120</v>
      </c>
      <c r="H86" s="9"/>
      <c r="I86" s="9"/>
      <c r="J86" s="9"/>
      <c r="K86" s="9"/>
      <c r="L86" s="9"/>
      <c r="M86" s="9"/>
      <c r="N86" s="10"/>
      <c r="O86" s="9"/>
      <c r="P86" s="9"/>
      <c r="Q86" s="9"/>
      <c r="R86" s="9" t="s">
        <v>12795</v>
      </c>
      <c r="S86" s="9" t="s">
        <v>12795</v>
      </c>
      <c r="T86" s="9"/>
      <c r="U86" s="9"/>
      <c r="V86" s="9"/>
      <c r="W86" s="9"/>
      <c r="X86" s="9"/>
      <c r="Y86" s="9"/>
      <c r="Z86" s="9"/>
      <c r="AA86" s="9"/>
      <c r="AB86" s="9"/>
      <c r="AC86" s="9"/>
      <c r="AD86" s="9" t="s">
        <v>19</v>
      </c>
    </row>
    <row r="87" spans="1:30" ht="29">
      <c r="A87" s="3" t="s">
        <v>593</v>
      </c>
      <c r="B87" s="3" t="s">
        <v>5209</v>
      </c>
      <c r="C87" s="3" t="s">
        <v>5210</v>
      </c>
      <c r="G87" s="9" t="s">
        <v>24</v>
      </c>
      <c r="H87" s="9"/>
      <c r="I87" s="9">
        <v>1</v>
      </c>
      <c r="J87" s="9">
        <v>6</v>
      </c>
      <c r="K87" s="9" t="s">
        <v>12094</v>
      </c>
      <c r="L87" s="9" t="s">
        <v>12079</v>
      </c>
      <c r="M87" s="9"/>
      <c r="N87" s="10"/>
      <c r="O87" s="9"/>
      <c r="P87" s="9">
        <v>930</v>
      </c>
      <c r="Q87" s="9"/>
      <c r="R87" s="9" t="s">
        <v>12795</v>
      </c>
      <c r="S87" s="9" t="s">
        <v>12795</v>
      </c>
      <c r="T87" s="9"/>
      <c r="U87" s="9"/>
      <c r="V87" s="9"/>
      <c r="W87" s="9"/>
      <c r="X87" s="9"/>
      <c r="Y87" s="9"/>
      <c r="Z87" s="9"/>
      <c r="AA87" s="9"/>
      <c r="AB87" s="9"/>
      <c r="AC87" s="9"/>
      <c r="AD87" s="9" t="s">
        <v>19</v>
      </c>
    </row>
    <row r="88" spans="1:30" ht="29">
      <c r="A88" s="3" t="s">
        <v>611</v>
      </c>
      <c r="B88" s="3" t="s">
        <v>612</v>
      </c>
      <c r="C88" s="3" t="s">
        <v>613</v>
      </c>
      <c r="G88" s="9" t="s">
        <v>12120</v>
      </c>
      <c r="H88" s="9"/>
      <c r="I88" s="9"/>
      <c r="J88" s="9"/>
      <c r="K88" s="9"/>
      <c r="L88" s="9"/>
      <c r="M88" s="9"/>
      <c r="N88" s="10"/>
      <c r="O88" s="9"/>
      <c r="P88" s="9"/>
      <c r="Q88" s="9"/>
      <c r="R88" s="9" t="s">
        <v>12795</v>
      </c>
      <c r="S88" s="9" t="s">
        <v>12795</v>
      </c>
      <c r="T88" s="9"/>
      <c r="U88" s="9"/>
      <c r="V88" s="9"/>
      <c r="W88" s="9"/>
      <c r="X88" s="9"/>
      <c r="Y88" s="9"/>
      <c r="Z88" s="9"/>
      <c r="AA88" s="9"/>
      <c r="AB88" s="9"/>
      <c r="AC88" s="9"/>
      <c r="AD88" s="9" t="s">
        <v>20</v>
      </c>
    </row>
    <row r="89" spans="1:30" ht="29">
      <c r="A89" s="3" t="s">
        <v>611</v>
      </c>
      <c r="B89" s="3" t="s">
        <v>5213</v>
      </c>
      <c r="C89" s="3" t="s">
        <v>5212</v>
      </c>
      <c r="G89" s="9" t="s">
        <v>25</v>
      </c>
      <c r="H89" s="9"/>
      <c r="I89" s="9">
        <v>1</v>
      </c>
      <c r="J89" s="9">
        <v>2</v>
      </c>
      <c r="K89" s="9" t="s">
        <v>12078</v>
      </c>
      <c r="L89" s="9" t="s">
        <v>12119</v>
      </c>
      <c r="M89" s="9"/>
      <c r="N89" s="10"/>
      <c r="O89" s="9"/>
      <c r="P89" s="9">
        <v>11843</v>
      </c>
      <c r="Q89" s="9"/>
      <c r="R89" s="9" t="s">
        <v>12795</v>
      </c>
      <c r="S89" s="9" t="s">
        <v>12795</v>
      </c>
      <c r="T89" s="9"/>
      <c r="U89" s="9"/>
      <c r="V89" s="9"/>
      <c r="W89" s="9"/>
      <c r="X89" s="9"/>
      <c r="Y89" s="9"/>
      <c r="Z89" s="9"/>
      <c r="AA89" s="9"/>
      <c r="AB89" s="9"/>
      <c r="AC89" s="9"/>
      <c r="AD89" s="9" t="s">
        <v>19</v>
      </c>
    </row>
    <row r="90" spans="1:30" ht="43.5">
      <c r="A90" s="3" t="s">
        <v>616</v>
      </c>
      <c r="B90" s="3" t="s">
        <v>5216</v>
      </c>
      <c r="C90" s="3" t="s">
        <v>5217</v>
      </c>
      <c r="G90" s="9" t="s">
        <v>26</v>
      </c>
      <c r="H90" s="9"/>
      <c r="I90" s="9"/>
      <c r="J90" s="9"/>
      <c r="K90" s="9"/>
      <c r="L90" s="9"/>
      <c r="M90" s="9"/>
      <c r="N90" s="10"/>
      <c r="O90" s="9"/>
      <c r="P90" s="9"/>
      <c r="Q90" s="9"/>
      <c r="R90" s="9" t="s">
        <v>12795</v>
      </c>
      <c r="S90" s="9" t="s">
        <v>12795</v>
      </c>
      <c r="T90" s="9"/>
      <c r="U90" s="9"/>
      <c r="V90" s="9"/>
      <c r="W90" s="9"/>
      <c r="X90" s="9"/>
      <c r="Y90" s="9"/>
      <c r="Z90" s="9"/>
      <c r="AA90" s="9"/>
      <c r="AB90" s="9"/>
      <c r="AC90" s="9"/>
      <c r="AD90" s="9" t="s">
        <v>20</v>
      </c>
    </row>
    <row r="91" spans="1:30" ht="29">
      <c r="A91" s="3" t="s">
        <v>627</v>
      </c>
      <c r="B91" s="3" t="s">
        <v>5221</v>
      </c>
      <c r="C91" s="3" t="s">
        <v>5222</v>
      </c>
      <c r="G91" s="9" t="s">
        <v>24</v>
      </c>
      <c r="H91" s="9"/>
      <c r="I91" s="9">
        <v>1</v>
      </c>
      <c r="J91" s="9">
        <v>1</v>
      </c>
      <c r="K91" s="9" t="s">
        <v>12078</v>
      </c>
      <c r="L91" s="9" t="s">
        <v>12119</v>
      </c>
      <c r="M91" s="9"/>
      <c r="N91" s="10"/>
      <c r="O91" s="9"/>
      <c r="P91" s="9">
        <v>11843</v>
      </c>
      <c r="Q91" s="9"/>
      <c r="R91" s="9" t="s">
        <v>12795</v>
      </c>
      <c r="S91" s="9" t="s">
        <v>12795</v>
      </c>
      <c r="T91" s="9"/>
      <c r="U91" s="9"/>
      <c r="V91" s="9"/>
      <c r="W91" s="9"/>
      <c r="X91" s="9"/>
      <c r="Y91" s="9"/>
      <c r="Z91" s="9"/>
      <c r="AA91" s="9"/>
      <c r="AB91" s="9"/>
      <c r="AC91" s="9"/>
      <c r="AD91" s="9" t="s">
        <v>19</v>
      </c>
    </row>
    <row r="92" spans="1:30" ht="29">
      <c r="A92" s="3" t="s">
        <v>628</v>
      </c>
      <c r="B92" s="3" t="s">
        <v>5223</v>
      </c>
      <c r="C92" s="3" t="s">
        <v>5224</v>
      </c>
      <c r="G92" s="9" t="s">
        <v>12118</v>
      </c>
      <c r="H92" s="9"/>
      <c r="I92" s="9"/>
      <c r="J92" s="9"/>
      <c r="K92" s="9"/>
      <c r="L92" s="9"/>
      <c r="M92" s="9"/>
      <c r="N92" s="10"/>
      <c r="O92" s="9"/>
      <c r="P92" s="9"/>
      <c r="Q92" s="9">
        <v>-68</v>
      </c>
      <c r="R92" s="9">
        <v>171</v>
      </c>
      <c r="S92" s="9">
        <v>103</v>
      </c>
      <c r="T92" s="9"/>
      <c r="U92" s="9"/>
      <c r="V92" s="9"/>
      <c r="W92" s="9"/>
      <c r="X92" s="9"/>
      <c r="Y92" s="9"/>
      <c r="Z92" s="9"/>
      <c r="AA92" s="9"/>
      <c r="AB92" s="9"/>
      <c r="AC92" s="9"/>
      <c r="AD92" s="9" t="s">
        <v>20</v>
      </c>
    </row>
    <row r="93" spans="1:30" ht="29">
      <c r="A93" s="3" t="s">
        <v>633</v>
      </c>
      <c r="B93" s="3" t="s">
        <v>5228</v>
      </c>
      <c r="C93" s="3" t="s">
        <v>5226</v>
      </c>
      <c r="G93" s="9" t="s">
        <v>25</v>
      </c>
      <c r="H93" s="9"/>
      <c r="I93" s="9">
        <v>1</v>
      </c>
      <c r="J93" s="9">
        <v>7</v>
      </c>
      <c r="K93" s="9" t="s">
        <v>12092</v>
      </c>
      <c r="L93" s="9" t="s">
        <v>12079</v>
      </c>
      <c r="M93" s="9"/>
      <c r="N93" s="10"/>
      <c r="O93" s="9"/>
      <c r="P93" s="9">
        <v>131</v>
      </c>
      <c r="Q93" s="9"/>
      <c r="R93" s="9" t="s">
        <v>12795</v>
      </c>
      <c r="S93" s="9" t="s">
        <v>12795</v>
      </c>
      <c r="T93" s="9"/>
      <c r="U93" s="9"/>
      <c r="V93" s="9"/>
      <c r="W93" s="9"/>
      <c r="X93" s="9"/>
      <c r="Y93" s="9"/>
      <c r="Z93" s="9"/>
      <c r="AA93" s="9"/>
      <c r="AB93" s="9"/>
      <c r="AC93" s="9"/>
      <c r="AD93" s="9" t="s">
        <v>20</v>
      </c>
    </row>
    <row r="94" spans="1:30" ht="29">
      <c r="A94" s="3" t="s">
        <v>635</v>
      </c>
      <c r="B94" s="3" t="s">
        <v>5229</v>
      </c>
      <c r="C94" s="3" t="s">
        <v>5230</v>
      </c>
      <c r="G94" s="9" t="s">
        <v>25</v>
      </c>
      <c r="H94" s="9"/>
      <c r="I94" s="9">
        <v>1</v>
      </c>
      <c r="J94" s="9">
        <v>3</v>
      </c>
      <c r="K94" s="9" t="s">
        <v>12087</v>
      </c>
      <c r="L94" s="9" t="s">
        <v>12079</v>
      </c>
      <c r="M94" s="9"/>
      <c r="N94" s="10"/>
      <c r="O94" s="9"/>
      <c r="P94" s="9">
        <v>5676</v>
      </c>
      <c r="Q94" s="9"/>
      <c r="R94" s="9" t="s">
        <v>12795</v>
      </c>
      <c r="S94" s="9" t="s">
        <v>12795</v>
      </c>
      <c r="T94" s="9"/>
      <c r="U94" s="9"/>
      <c r="V94" s="9"/>
      <c r="W94" s="9"/>
      <c r="X94" s="9"/>
      <c r="Y94" s="9"/>
      <c r="Z94" s="9"/>
      <c r="AA94" s="9"/>
      <c r="AB94" s="9"/>
      <c r="AC94" s="9"/>
      <c r="AD94" s="9" t="s">
        <v>20</v>
      </c>
    </row>
    <row r="95" spans="1:30" ht="29">
      <c r="A95" s="3" t="s">
        <v>651</v>
      </c>
      <c r="B95" s="3" t="s">
        <v>5241</v>
      </c>
      <c r="C95" s="3" t="s">
        <v>5242</v>
      </c>
      <c r="G95" s="9" t="s">
        <v>25</v>
      </c>
      <c r="H95" s="9"/>
      <c r="I95" s="9">
        <v>1</v>
      </c>
      <c r="J95" s="9">
        <v>2</v>
      </c>
      <c r="K95" s="9" t="s">
        <v>12078</v>
      </c>
      <c r="L95" s="9" t="s">
        <v>12119</v>
      </c>
      <c r="M95" s="9"/>
      <c r="N95" s="10"/>
      <c r="O95" s="9"/>
      <c r="P95" s="9">
        <v>11843</v>
      </c>
      <c r="Q95" s="9"/>
      <c r="R95" s="9" t="s">
        <v>12795</v>
      </c>
      <c r="S95" s="9" t="s">
        <v>12795</v>
      </c>
      <c r="T95" s="9"/>
      <c r="U95" s="9"/>
      <c r="V95" s="9"/>
      <c r="W95" s="9"/>
      <c r="X95" s="9"/>
      <c r="Y95" s="9"/>
      <c r="Z95" s="9"/>
      <c r="AA95" s="9"/>
      <c r="AB95" s="9"/>
      <c r="AC95" s="9"/>
      <c r="AD95" s="9" t="s">
        <v>20</v>
      </c>
    </row>
    <row r="96" spans="1:30" ht="29">
      <c r="A96" s="3" t="s">
        <v>652</v>
      </c>
      <c r="B96" s="3" t="s">
        <v>653</v>
      </c>
      <c r="C96" s="3" t="s">
        <v>654</v>
      </c>
      <c r="G96" s="9" t="s">
        <v>12118</v>
      </c>
      <c r="H96" s="9"/>
      <c r="I96" s="9"/>
      <c r="J96" s="9"/>
      <c r="K96" s="9"/>
      <c r="L96" s="9"/>
      <c r="M96" s="9"/>
      <c r="N96" s="10"/>
      <c r="O96" s="9"/>
      <c r="P96" s="9"/>
      <c r="Q96" s="9">
        <v>-6</v>
      </c>
      <c r="R96" s="9">
        <v>6</v>
      </c>
      <c r="S96" s="9">
        <v>0</v>
      </c>
      <c r="T96" s="9"/>
      <c r="U96" s="9"/>
      <c r="V96" s="9"/>
      <c r="W96" s="9"/>
      <c r="X96" s="9"/>
      <c r="Y96" s="9"/>
      <c r="Z96" s="9"/>
      <c r="AA96" s="9"/>
      <c r="AB96" s="9"/>
      <c r="AC96" s="9"/>
      <c r="AD96" s="9" t="s">
        <v>20</v>
      </c>
    </row>
    <row r="97" spans="1:30" ht="29">
      <c r="A97" s="3" t="s">
        <v>666</v>
      </c>
      <c r="B97" s="3" t="s">
        <v>5252</v>
      </c>
      <c r="C97" s="3" t="s">
        <v>5253</v>
      </c>
      <c r="G97" s="9" t="s">
        <v>24</v>
      </c>
      <c r="H97" s="9"/>
      <c r="I97" s="9">
        <v>1</v>
      </c>
      <c r="J97" s="9">
        <v>3</v>
      </c>
      <c r="K97" s="9" t="s">
        <v>12087</v>
      </c>
      <c r="L97" s="9" t="s">
        <v>12079</v>
      </c>
      <c r="M97" s="9"/>
      <c r="N97" s="10"/>
      <c r="O97" s="9"/>
      <c r="P97" s="9">
        <v>5676</v>
      </c>
      <c r="Q97" s="9"/>
      <c r="R97" s="9" t="s">
        <v>12795</v>
      </c>
      <c r="S97" s="9" t="s">
        <v>12795</v>
      </c>
      <c r="T97" s="9"/>
      <c r="U97" s="9"/>
      <c r="V97" s="9"/>
      <c r="W97" s="9"/>
      <c r="X97" s="9"/>
      <c r="Y97" s="9"/>
      <c r="Z97" s="9"/>
      <c r="AA97" s="9"/>
      <c r="AB97" s="9"/>
      <c r="AC97" s="9"/>
      <c r="AD97" s="9" t="s">
        <v>19</v>
      </c>
    </row>
    <row r="98" spans="1:30" ht="29">
      <c r="A98" s="3" t="s">
        <v>673</v>
      </c>
      <c r="B98" s="3" t="s">
        <v>5261</v>
      </c>
      <c r="C98" s="3" t="s">
        <v>5258</v>
      </c>
      <c r="G98" s="9" t="s">
        <v>25</v>
      </c>
      <c r="H98" s="9"/>
      <c r="I98" s="9">
        <v>2</v>
      </c>
      <c r="J98" s="9">
        <v>11</v>
      </c>
      <c r="K98" s="9"/>
      <c r="L98" s="9" t="s">
        <v>12073</v>
      </c>
      <c r="M98" s="9" t="s">
        <v>12140</v>
      </c>
      <c r="N98" s="10" t="s">
        <v>12136</v>
      </c>
      <c r="O98" s="9"/>
      <c r="P98" s="9">
        <v>371</v>
      </c>
      <c r="Q98" s="9"/>
      <c r="R98" s="9" t="s">
        <v>12795</v>
      </c>
      <c r="S98" s="9" t="s">
        <v>12795</v>
      </c>
      <c r="T98" s="9" t="s">
        <v>12117</v>
      </c>
      <c r="U98" s="9"/>
      <c r="V98" s="9"/>
      <c r="W98" s="9"/>
      <c r="X98" s="9"/>
      <c r="Y98" s="9"/>
      <c r="Z98" s="9"/>
      <c r="AA98" s="9"/>
      <c r="AB98" s="9"/>
      <c r="AC98" s="9"/>
      <c r="AD98" s="9" t="s">
        <v>20</v>
      </c>
    </row>
    <row r="99" spans="1:30" ht="29">
      <c r="A99" s="3" t="s">
        <v>673</v>
      </c>
      <c r="B99" s="3" t="s">
        <v>5262</v>
      </c>
      <c r="C99" s="3" t="s">
        <v>5263</v>
      </c>
      <c r="G99" s="9" t="s">
        <v>25</v>
      </c>
      <c r="H99" s="9"/>
      <c r="I99" s="9">
        <v>1</v>
      </c>
      <c r="J99" s="9">
        <v>3</v>
      </c>
      <c r="K99" s="9" t="s">
        <v>12078</v>
      </c>
      <c r="L99" s="9" t="s">
        <v>12079</v>
      </c>
      <c r="M99" s="9"/>
      <c r="N99" s="10"/>
      <c r="O99" s="9"/>
      <c r="P99" s="9">
        <v>11843</v>
      </c>
      <c r="Q99" s="9"/>
      <c r="R99" s="9" t="s">
        <v>12795</v>
      </c>
      <c r="S99" s="9" t="s">
        <v>12795</v>
      </c>
      <c r="T99" s="9" t="s">
        <v>12117</v>
      </c>
      <c r="U99" s="9"/>
      <c r="V99" s="9"/>
      <c r="W99" s="9"/>
      <c r="X99" s="9"/>
      <c r="Y99" s="9"/>
      <c r="Z99" s="9"/>
      <c r="AA99" s="9"/>
      <c r="AB99" s="9"/>
      <c r="AC99" s="9"/>
      <c r="AD99" s="9" t="s">
        <v>20</v>
      </c>
    </row>
    <row r="100" spans="1:30" ht="29">
      <c r="A100" s="3" t="s">
        <v>676</v>
      </c>
      <c r="B100" s="3" t="s">
        <v>5264</v>
      </c>
      <c r="C100" s="3" t="s">
        <v>5265</v>
      </c>
      <c r="G100" s="9" t="s">
        <v>25</v>
      </c>
      <c r="H100" s="9"/>
      <c r="I100" s="9">
        <v>2</v>
      </c>
      <c r="J100" s="9">
        <v>11</v>
      </c>
      <c r="K100" s="9"/>
      <c r="L100" s="9" t="s">
        <v>12073</v>
      </c>
      <c r="M100" s="9" t="s">
        <v>12178</v>
      </c>
      <c r="N100" s="10" t="s">
        <v>12138</v>
      </c>
      <c r="O100" s="9"/>
      <c r="P100" s="9">
        <v>47</v>
      </c>
      <c r="Q100" s="9"/>
      <c r="R100" s="9" t="s">
        <v>12795</v>
      </c>
      <c r="S100" s="9" t="s">
        <v>12795</v>
      </c>
      <c r="T100" s="9"/>
      <c r="U100" s="9"/>
      <c r="V100" s="9"/>
      <c r="W100" s="9"/>
      <c r="X100" s="9"/>
      <c r="Y100" s="9"/>
      <c r="Z100" s="9"/>
      <c r="AA100" s="9"/>
      <c r="AB100" s="9"/>
      <c r="AC100" s="9"/>
      <c r="AD100" s="9" t="s">
        <v>20</v>
      </c>
    </row>
    <row r="101" spans="1:30" ht="29">
      <c r="A101" s="3" t="s">
        <v>676</v>
      </c>
      <c r="B101" s="3" t="s">
        <v>677</v>
      </c>
      <c r="C101" s="3" t="s">
        <v>678</v>
      </c>
      <c r="G101" s="9" t="s">
        <v>12120</v>
      </c>
      <c r="H101" s="9"/>
      <c r="I101" s="9"/>
      <c r="J101" s="9"/>
      <c r="K101" s="9"/>
      <c r="L101" s="9"/>
      <c r="M101" s="9"/>
      <c r="N101" s="10"/>
      <c r="O101" s="9"/>
      <c r="P101" s="9"/>
      <c r="Q101" s="9"/>
      <c r="R101" s="9" t="s">
        <v>12795</v>
      </c>
      <c r="S101" s="9" t="s">
        <v>12795</v>
      </c>
      <c r="T101" s="9"/>
      <c r="U101" s="9"/>
      <c r="V101" s="9"/>
      <c r="W101" s="9"/>
      <c r="X101" s="9"/>
      <c r="Y101" s="9"/>
      <c r="Z101" s="9"/>
      <c r="AA101" s="9"/>
      <c r="AB101" s="9"/>
      <c r="AC101" s="9"/>
      <c r="AD101" s="9" t="s">
        <v>19</v>
      </c>
    </row>
    <row r="102" spans="1:30" ht="29">
      <c r="A102" s="3" t="s">
        <v>693</v>
      </c>
      <c r="B102" s="3" t="s">
        <v>5271</v>
      </c>
      <c r="C102" s="3" t="s">
        <v>5270</v>
      </c>
      <c r="G102" s="9" t="s">
        <v>25</v>
      </c>
      <c r="H102" s="9"/>
      <c r="I102" s="9">
        <v>1</v>
      </c>
      <c r="J102" s="9">
        <v>3</v>
      </c>
      <c r="K102" s="9" t="s">
        <v>12078</v>
      </c>
      <c r="L102" s="9" t="s">
        <v>12079</v>
      </c>
      <c r="M102" s="9"/>
      <c r="N102" s="10"/>
      <c r="O102" s="9"/>
      <c r="P102" s="9">
        <v>11843</v>
      </c>
      <c r="Q102" s="9"/>
      <c r="R102" s="9" t="s">
        <v>12795</v>
      </c>
      <c r="S102" s="9" t="s">
        <v>12795</v>
      </c>
      <c r="T102" s="9"/>
      <c r="U102" s="9"/>
      <c r="V102" s="9"/>
      <c r="W102" s="9"/>
      <c r="X102" s="9"/>
      <c r="Y102" s="9"/>
      <c r="Z102" s="9"/>
      <c r="AA102" s="9"/>
      <c r="AB102" s="9"/>
      <c r="AC102" s="9"/>
      <c r="AD102" s="9" t="s">
        <v>20</v>
      </c>
    </row>
    <row r="103" spans="1:30" ht="29">
      <c r="A103" s="3" t="s">
        <v>693</v>
      </c>
      <c r="B103" s="3" t="s">
        <v>5272</v>
      </c>
      <c r="C103" s="3" t="s">
        <v>5273</v>
      </c>
      <c r="G103" s="9" t="s">
        <v>12118</v>
      </c>
      <c r="H103" s="9"/>
      <c r="I103" s="9"/>
      <c r="J103" s="9"/>
      <c r="K103" s="9"/>
      <c r="L103" s="9"/>
      <c r="M103" s="9"/>
      <c r="N103" s="10"/>
      <c r="O103" s="9"/>
      <c r="P103" s="9"/>
      <c r="Q103" s="9">
        <v>357</v>
      </c>
      <c r="R103" s="9">
        <v>4</v>
      </c>
      <c r="S103" s="9">
        <v>361</v>
      </c>
      <c r="T103" s="9"/>
      <c r="U103" s="9"/>
      <c r="V103" s="9"/>
      <c r="W103" s="9"/>
      <c r="X103" s="9"/>
      <c r="Y103" s="9"/>
      <c r="Z103" s="9"/>
      <c r="AA103" s="9"/>
      <c r="AB103" s="9"/>
      <c r="AC103" s="9"/>
      <c r="AD103" s="9" t="s">
        <v>19</v>
      </c>
    </row>
    <row r="104" spans="1:30" ht="29">
      <c r="A104" s="3" t="s">
        <v>703</v>
      </c>
      <c r="B104" s="3" t="s">
        <v>12854</v>
      </c>
      <c r="C104" s="3" t="s">
        <v>12855</v>
      </c>
      <c r="G104" s="9" t="s">
        <v>25</v>
      </c>
      <c r="H104" s="9"/>
      <c r="I104" s="9">
        <v>1</v>
      </c>
      <c r="J104" s="9">
        <v>3</v>
      </c>
      <c r="K104" s="9" t="s">
        <v>12087</v>
      </c>
      <c r="L104" s="9" t="s">
        <v>12079</v>
      </c>
      <c r="M104" s="9"/>
      <c r="N104" s="10"/>
      <c r="O104" s="9"/>
      <c r="P104" s="9">
        <v>5676</v>
      </c>
      <c r="Q104" s="9"/>
      <c r="R104" s="9" t="s">
        <v>12795</v>
      </c>
      <c r="S104" s="9" t="s">
        <v>12795</v>
      </c>
      <c r="T104" s="9"/>
      <c r="U104" s="9"/>
      <c r="V104" s="9"/>
      <c r="W104" s="9"/>
      <c r="X104" s="9"/>
      <c r="Y104" s="9"/>
      <c r="Z104" s="9"/>
      <c r="AA104" s="9"/>
      <c r="AB104" s="9"/>
      <c r="AC104" s="9"/>
      <c r="AD104" s="9" t="s">
        <v>19</v>
      </c>
    </row>
    <row r="105" spans="1:30" ht="29">
      <c r="A105" s="3" t="s">
        <v>713</v>
      </c>
      <c r="B105" s="3" t="s">
        <v>5282</v>
      </c>
      <c r="C105" s="3" t="s">
        <v>12181</v>
      </c>
      <c r="G105" s="9" t="s">
        <v>25</v>
      </c>
      <c r="H105" s="9"/>
      <c r="I105" s="9">
        <v>1</v>
      </c>
      <c r="J105" s="9">
        <v>3</v>
      </c>
      <c r="K105" s="9" t="s">
        <v>12087</v>
      </c>
      <c r="L105" s="9" t="s">
        <v>12079</v>
      </c>
      <c r="M105" s="9"/>
      <c r="N105" s="10"/>
      <c r="O105" s="9"/>
      <c r="P105" s="9">
        <v>5676</v>
      </c>
      <c r="Q105" s="9"/>
      <c r="R105" s="9" t="s">
        <v>12795</v>
      </c>
      <c r="S105" s="9" t="s">
        <v>12795</v>
      </c>
      <c r="T105" s="9"/>
      <c r="U105" s="9"/>
      <c r="V105" s="9"/>
      <c r="W105" s="9"/>
      <c r="X105" s="9"/>
      <c r="Y105" s="9"/>
      <c r="Z105" s="9"/>
      <c r="AA105" s="9"/>
      <c r="AB105" s="9"/>
      <c r="AC105" s="9"/>
      <c r="AD105" s="9" t="s">
        <v>19</v>
      </c>
    </row>
    <row r="106" spans="1:30" ht="29">
      <c r="A106" s="3" t="s">
        <v>715</v>
      </c>
      <c r="B106" s="3" t="s">
        <v>5288</v>
      </c>
      <c r="C106" s="3" t="s">
        <v>12182</v>
      </c>
      <c r="G106" s="9" t="s">
        <v>25</v>
      </c>
      <c r="H106" s="9"/>
      <c r="I106" s="9">
        <v>1</v>
      </c>
      <c r="J106" s="9">
        <v>3</v>
      </c>
      <c r="K106" s="9" t="s">
        <v>12078</v>
      </c>
      <c r="L106" s="9" t="s">
        <v>12079</v>
      </c>
      <c r="M106" s="9"/>
      <c r="N106" s="10"/>
      <c r="O106" s="9"/>
      <c r="P106" s="9">
        <v>11843</v>
      </c>
      <c r="Q106" s="9"/>
      <c r="R106" s="9" t="s">
        <v>12795</v>
      </c>
      <c r="S106" s="9" t="s">
        <v>12795</v>
      </c>
      <c r="T106" s="9"/>
      <c r="U106" s="9"/>
      <c r="V106" s="9"/>
      <c r="W106" s="9"/>
      <c r="X106" s="9"/>
      <c r="Y106" s="9"/>
      <c r="Z106" s="9"/>
      <c r="AA106" s="9"/>
      <c r="AB106" s="9"/>
      <c r="AC106" s="9"/>
      <c r="AD106" s="9" t="s">
        <v>19</v>
      </c>
    </row>
    <row r="107" spans="1:30" ht="29">
      <c r="A107" s="3" t="s">
        <v>725</v>
      </c>
      <c r="B107" s="3" t="s">
        <v>5297</v>
      </c>
      <c r="C107" s="3" t="s">
        <v>5298</v>
      </c>
      <c r="G107" s="9" t="s">
        <v>24</v>
      </c>
      <c r="H107" s="9"/>
      <c r="I107" s="9">
        <v>1</v>
      </c>
      <c r="J107" s="9">
        <v>2</v>
      </c>
      <c r="K107" s="9" t="s">
        <v>12087</v>
      </c>
      <c r="L107" s="9" t="s">
        <v>12119</v>
      </c>
      <c r="M107" s="9"/>
      <c r="N107" s="10"/>
      <c r="O107" s="9"/>
      <c r="P107" s="9">
        <v>1966</v>
      </c>
      <c r="Q107" s="9"/>
      <c r="R107" s="9" t="s">
        <v>12795</v>
      </c>
      <c r="S107" s="9" t="s">
        <v>12795</v>
      </c>
      <c r="T107" s="9"/>
      <c r="U107" s="9"/>
      <c r="V107" s="9"/>
      <c r="W107" s="9"/>
      <c r="X107" s="9"/>
      <c r="Y107" s="9"/>
      <c r="Z107" s="9"/>
      <c r="AA107" s="9"/>
      <c r="AB107" s="9"/>
      <c r="AC107" s="9"/>
      <c r="AD107" s="9" t="s">
        <v>19</v>
      </c>
    </row>
    <row r="108" spans="1:30" ht="29">
      <c r="A108" s="3" t="s">
        <v>726</v>
      </c>
      <c r="B108" s="3" t="s">
        <v>727</v>
      </c>
      <c r="C108" s="3" t="s">
        <v>728</v>
      </c>
      <c r="G108" s="9" t="s">
        <v>12118</v>
      </c>
      <c r="H108" s="9"/>
      <c r="I108" s="9"/>
      <c r="J108" s="9"/>
      <c r="K108" s="9"/>
      <c r="L108" s="9"/>
      <c r="M108" s="9"/>
      <c r="N108" s="10"/>
      <c r="O108" s="9"/>
      <c r="P108" s="9"/>
      <c r="Q108" s="9">
        <v>-50</v>
      </c>
      <c r="R108" s="9">
        <v>87</v>
      </c>
      <c r="S108" s="9">
        <v>37</v>
      </c>
      <c r="T108" s="9"/>
      <c r="U108" s="9"/>
      <c r="V108" s="9"/>
      <c r="W108" s="9"/>
      <c r="X108" s="9"/>
      <c r="Y108" s="9"/>
      <c r="Z108" s="9"/>
      <c r="AA108" s="9"/>
      <c r="AB108" s="9"/>
      <c r="AC108" s="9"/>
      <c r="AD108" s="9" t="s">
        <v>20</v>
      </c>
    </row>
    <row r="109" spans="1:30" ht="29">
      <c r="A109" s="3" t="s">
        <v>733</v>
      </c>
      <c r="B109" s="3" t="s">
        <v>5304</v>
      </c>
      <c r="C109" s="3" t="s">
        <v>5303</v>
      </c>
      <c r="G109" s="9" t="s">
        <v>24</v>
      </c>
      <c r="H109" s="9"/>
      <c r="I109" s="9">
        <v>1</v>
      </c>
      <c r="J109" s="9">
        <v>5</v>
      </c>
      <c r="K109" s="9" t="s">
        <v>12094</v>
      </c>
      <c r="L109" s="9" t="s">
        <v>12079</v>
      </c>
      <c r="M109" s="9"/>
      <c r="N109" s="10"/>
      <c r="O109" s="9"/>
      <c r="P109" s="9">
        <v>4240</v>
      </c>
      <c r="Q109" s="9"/>
      <c r="R109" s="9" t="s">
        <v>12795</v>
      </c>
      <c r="S109" s="9" t="s">
        <v>12795</v>
      </c>
      <c r="T109" s="9"/>
      <c r="U109" s="9"/>
      <c r="V109" s="9"/>
      <c r="W109" s="9"/>
      <c r="X109" s="9"/>
      <c r="Y109" s="9"/>
      <c r="Z109" s="9"/>
      <c r="AA109" s="9"/>
      <c r="AB109" s="9"/>
      <c r="AC109" s="9"/>
      <c r="AD109" s="9" t="s">
        <v>19</v>
      </c>
    </row>
    <row r="110" spans="1:30" ht="29">
      <c r="A110" s="3" t="s">
        <v>733</v>
      </c>
      <c r="B110" s="3" t="s">
        <v>5305</v>
      </c>
      <c r="C110" s="3" t="s">
        <v>5306</v>
      </c>
      <c r="G110" s="9" t="s">
        <v>26</v>
      </c>
      <c r="H110" s="9"/>
      <c r="I110" s="9"/>
      <c r="J110" s="9"/>
      <c r="K110" s="9"/>
      <c r="L110" s="9"/>
      <c r="M110" s="9"/>
      <c r="N110" s="10"/>
      <c r="O110" s="9"/>
      <c r="P110" s="9"/>
      <c r="Q110" s="9"/>
      <c r="R110" s="9" t="s">
        <v>12795</v>
      </c>
      <c r="S110" s="9" t="s">
        <v>12795</v>
      </c>
      <c r="T110" s="9" t="s">
        <v>12117</v>
      </c>
      <c r="U110" s="9"/>
      <c r="V110" s="9"/>
      <c r="W110" s="9"/>
      <c r="X110" s="9"/>
      <c r="Y110" s="9"/>
      <c r="Z110" s="9"/>
      <c r="AA110" s="9"/>
      <c r="AB110" s="9"/>
      <c r="AC110" s="9"/>
      <c r="AD110" s="9" t="s">
        <v>20</v>
      </c>
    </row>
    <row r="111" spans="1:30" ht="29">
      <c r="A111" s="3" t="s">
        <v>741</v>
      </c>
      <c r="B111" s="3" t="s">
        <v>5307</v>
      </c>
      <c r="C111" s="3" t="s">
        <v>5308</v>
      </c>
      <c r="F111" t="s">
        <v>19</v>
      </c>
      <c r="G111" s="9" t="s">
        <v>24</v>
      </c>
      <c r="H111" s="9"/>
      <c r="I111" s="9">
        <v>1</v>
      </c>
      <c r="J111" s="9">
        <v>6</v>
      </c>
      <c r="K111" s="9" t="s">
        <v>12092</v>
      </c>
      <c r="L111" s="9" t="s">
        <v>12079</v>
      </c>
      <c r="M111" s="9"/>
      <c r="N111" s="10"/>
      <c r="O111" s="9"/>
      <c r="P111" s="9">
        <v>152</v>
      </c>
      <c r="Q111" s="9"/>
      <c r="R111" s="9"/>
      <c r="S111" s="9"/>
      <c r="T111" s="9"/>
      <c r="U111" s="9"/>
      <c r="V111" s="9"/>
      <c r="W111" s="9"/>
      <c r="X111" s="9"/>
      <c r="Y111" s="9"/>
      <c r="Z111" s="9"/>
      <c r="AA111" s="9"/>
      <c r="AB111" s="9"/>
      <c r="AC111" s="9"/>
      <c r="AD111" s="9" t="s">
        <v>20</v>
      </c>
    </row>
    <row r="112" spans="1:30" ht="29">
      <c r="A112" s="3" t="s">
        <v>741</v>
      </c>
      <c r="B112" s="3" t="s">
        <v>12184</v>
      </c>
      <c r="C112" s="3" t="s">
        <v>12981</v>
      </c>
      <c r="G112" s="9" t="s">
        <v>12118</v>
      </c>
      <c r="H112" s="9"/>
      <c r="I112" s="9"/>
      <c r="J112" s="9"/>
      <c r="K112" s="9"/>
      <c r="L112" s="9"/>
      <c r="M112" s="9"/>
      <c r="N112" s="10"/>
      <c r="O112" s="9"/>
      <c r="P112" s="9"/>
      <c r="Q112" s="9">
        <v>-19</v>
      </c>
      <c r="R112" s="9">
        <v>66</v>
      </c>
      <c r="S112" s="9">
        <v>47</v>
      </c>
      <c r="T112" s="9"/>
      <c r="U112" s="9"/>
      <c r="V112" s="9"/>
      <c r="W112" s="9"/>
      <c r="X112" s="9"/>
      <c r="Y112" s="9"/>
      <c r="Z112" s="9"/>
      <c r="AA112" s="9"/>
      <c r="AB112" s="9"/>
      <c r="AC112" s="9"/>
      <c r="AD112" s="9" t="s">
        <v>19</v>
      </c>
    </row>
    <row r="113" spans="1:30" ht="29">
      <c r="A113" s="3" t="s">
        <v>743</v>
      </c>
      <c r="B113" s="3" t="s">
        <v>5309</v>
      </c>
      <c r="C113" s="3" t="s">
        <v>12982</v>
      </c>
      <c r="G113" s="9" t="s">
        <v>25</v>
      </c>
      <c r="H113" s="9"/>
      <c r="I113" s="9">
        <v>1</v>
      </c>
      <c r="J113" s="9">
        <v>2</v>
      </c>
      <c r="K113" s="9" t="s">
        <v>12087</v>
      </c>
      <c r="L113" s="9" t="s">
        <v>12119</v>
      </c>
      <c r="M113" s="9"/>
      <c r="N113" s="10"/>
      <c r="O113" s="9"/>
      <c r="P113" s="9">
        <v>1966</v>
      </c>
      <c r="Q113" s="9"/>
      <c r="R113" s="9" t="s">
        <v>12795</v>
      </c>
      <c r="S113" s="9" t="s">
        <v>12795</v>
      </c>
      <c r="T113" s="9"/>
      <c r="U113" s="9"/>
      <c r="V113" s="9"/>
      <c r="W113" s="9"/>
      <c r="X113" s="9"/>
      <c r="Y113" s="9"/>
      <c r="Z113" s="9"/>
      <c r="AA113" s="9"/>
      <c r="AB113" s="9"/>
      <c r="AC113" s="9"/>
      <c r="AD113" s="9" t="s">
        <v>19</v>
      </c>
    </row>
    <row r="114" spans="1:30" ht="29">
      <c r="A114" s="3" t="s">
        <v>744</v>
      </c>
      <c r="B114" s="3" t="s">
        <v>5311</v>
      </c>
      <c r="C114" s="3" t="s">
        <v>5312</v>
      </c>
      <c r="G114" s="9" t="s">
        <v>26</v>
      </c>
      <c r="H114" s="9"/>
      <c r="I114" s="9"/>
      <c r="J114" s="9"/>
      <c r="K114" s="9"/>
      <c r="L114" s="9"/>
      <c r="M114" s="9"/>
      <c r="N114" s="10"/>
      <c r="O114" s="9"/>
      <c r="P114" s="9"/>
      <c r="Q114" s="9"/>
      <c r="R114" s="9" t="s">
        <v>12795</v>
      </c>
      <c r="S114" s="9" t="s">
        <v>12795</v>
      </c>
      <c r="T114" s="9"/>
      <c r="U114" s="9"/>
      <c r="V114" s="9"/>
      <c r="W114" s="9"/>
      <c r="X114" s="9"/>
      <c r="Y114" s="9"/>
      <c r="Z114" s="9"/>
      <c r="AA114" s="9"/>
      <c r="AB114" s="9"/>
      <c r="AC114" s="9"/>
      <c r="AD114" s="9" t="s">
        <v>19</v>
      </c>
    </row>
    <row r="115" spans="1:30" ht="29">
      <c r="A115" s="3" t="s">
        <v>745</v>
      </c>
      <c r="B115" s="3" t="s">
        <v>5313</v>
      </c>
      <c r="C115" s="3" t="s">
        <v>5314</v>
      </c>
      <c r="G115" s="9" t="s">
        <v>26</v>
      </c>
      <c r="H115" s="9"/>
      <c r="I115" s="9"/>
      <c r="J115" s="9"/>
      <c r="K115" s="9"/>
      <c r="L115" s="9"/>
      <c r="M115" s="9"/>
      <c r="N115" s="10"/>
      <c r="O115" s="9"/>
      <c r="P115" s="9"/>
      <c r="Q115" s="9"/>
      <c r="R115" s="9" t="s">
        <v>12795</v>
      </c>
      <c r="S115" s="9" t="s">
        <v>12795</v>
      </c>
      <c r="T115" s="9"/>
      <c r="U115" s="9"/>
      <c r="V115" s="9"/>
      <c r="W115" s="9"/>
      <c r="X115" s="9"/>
      <c r="Y115" s="9"/>
      <c r="Z115" s="9"/>
      <c r="AA115" s="9"/>
      <c r="AB115" s="9"/>
      <c r="AC115" s="9"/>
      <c r="AD115" s="9" t="s">
        <v>19</v>
      </c>
    </row>
    <row r="116" spans="1:30" ht="29">
      <c r="A116" s="3" t="s">
        <v>746</v>
      </c>
      <c r="B116" s="3" t="s">
        <v>5316</v>
      </c>
      <c r="C116" s="3" t="s">
        <v>5315</v>
      </c>
      <c r="G116" s="9" t="s">
        <v>25</v>
      </c>
      <c r="H116" s="9"/>
      <c r="I116" s="9">
        <v>1</v>
      </c>
      <c r="J116" s="9">
        <v>5</v>
      </c>
      <c r="K116" s="9" t="s">
        <v>12094</v>
      </c>
      <c r="L116" s="9" t="s">
        <v>12079</v>
      </c>
      <c r="M116" s="9"/>
      <c r="N116" s="10"/>
      <c r="O116" s="9"/>
      <c r="P116" s="9">
        <v>930</v>
      </c>
      <c r="Q116" s="9"/>
      <c r="R116" s="9" t="s">
        <v>12795</v>
      </c>
      <c r="S116" s="9" t="s">
        <v>12795</v>
      </c>
      <c r="T116" s="9"/>
      <c r="U116" s="9"/>
      <c r="V116" s="9"/>
      <c r="W116" s="9"/>
      <c r="X116" s="9"/>
      <c r="Y116" s="9"/>
      <c r="Z116" s="9"/>
      <c r="AA116" s="9"/>
      <c r="AB116" s="9"/>
      <c r="AC116" s="9"/>
      <c r="AD116" s="9" t="s">
        <v>20</v>
      </c>
    </row>
    <row r="117" spans="1:30" ht="29">
      <c r="A117" s="3" t="s">
        <v>746</v>
      </c>
      <c r="B117" s="3" t="s">
        <v>5317</v>
      </c>
      <c r="C117" s="3" t="s">
        <v>5318</v>
      </c>
      <c r="G117" s="9" t="s">
        <v>26</v>
      </c>
      <c r="H117" s="9"/>
      <c r="I117" s="9"/>
      <c r="J117" s="9"/>
      <c r="K117" s="9"/>
      <c r="L117" s="9"/>
      <c r="M117" s="9"/>
      <c r="N117" s="10"/>
      <c r="O117" s="9"/>
      <c r="P117" s="9"/>
      <c r="Q117" s="9"/>
      <c r="R117" s="9" t="s">
        <v>12795</v>
      </c>
      <c r="S117" s="9" t="s">
        <v>12795</v>
      </c>
      <c r="T117" s="9"/>
      <c r="U117" s="9"/>
      <c r="V117" s="9"/>
      <c r="W117" s="9"/>
      <c r="X117" s="9"/>
      <c r="Y117" s="9"/>
      <c r="Z117" s="9"/>
      <c r="AA117" s="9"/>
      <c r="AB117" s="9"/>
      <c r="AC117" s="9"/>
      <c r="AD117" s="9" t="s">
        <v>20</v>
      </c>
    </row>
    <row r="118" spans="1:30" ht="43.5">
      <c r="A118" s="3" t="s">
        <v>749</v>
      </c>
      <c r="B118" s="3" t="s">
        <v>5319</v>
      </c>
      <c r="C118" s="3" t="s">
        <v>5320</v>
      </c>
      <c r="G118" s="9" t="s">
        <v>24</v>
      </c>
      <c r="H118" s="9"/>
      <c r="I118" s="9">
        <v>1</v>
      </c>
      <c r="J118" s="9">
        <v>1</v>
      </c>
      <c r="K118" s="9" t="s">
        <v>12078</v>
      </c>
      <c r="L118" s="9" t="s">
        <v>12119</v>
      </c>
      <c r="M118" s="9"/>
      <c r="N118" s="10"/>
      <c r="O118" s="9"/>
      <c r="P118" s="9">
        <v>11843</v>
      </c>
      <c r="Q118" s="9"/>
      <c r="R118" s="9" t="s">
        <v>12795</v>
      </c>
      <c r="S118" s="9" t="s">
        <v>12795</v>
      </c>
      <c r="T118" s="9"/>
      <c r="U118" s="9"/>
      <c r="V118" s="9"/>
      <c r="W118" s="9"/>
      <c r="X118" s="9"/>
      <c r="Y118" s="9"/>
      <c r="Z118" s="9"/>
      <c r="AA118" s="9"/>
      <c r="AB118" s="9"/>
      <c r="AC118" s="9"/>
      <c r="AD118" s="9" t="s">
        <v>19</v>
      </c>
    </row>
    <row r="119" spans="1:30" ht="43.5">
      <c r="A119" s="3" t="s">
        <v>749</v>
      </c>
      <c r="B119" s="3" t="s">
        <v>5319</v>
      </c>
      <c r="C119" s="3" t="s">
        <v>12186</v>
      </c>
      <c r="G119" s="9" t="s">
        <v>24</v>
      </c>
      <c r="H119" s="9"/>
      <c r="I119" s="9">
        <v>2</v>
      </c>
      <c r="J119" s="9">
        <v>12</v>
      </c>
      <c r="K119" s="9"/>
      <c r="L119" s="9" t="s">
        <v>12073</v>
      </c>
      <c r="M119" s="9" t="s">
        <v>12142</v>
      </c>
      <c r="N119" s="10" t="s">
        <v>12187</v>
      </c>
      <c r="O119" s="9" t="s">
        <v>12074</v>
      </c>
      <c r="P119" s="9">
        <v>261</v>
      </c>
      <c r="Q119" s="9"/>
      <c r="R119" s="9" t="s">
        <v>12795</v>
      </c>
      <c r="S119" s="9" t="s">
        <v>12795</v>
      </c>
      <c r="T119" s="9"/>
      <c r="U119" s="9"/>
      <c r="V119" s="9"/>
      <c r="W119" s="9"/>
      <c r="X119" s="9"/>
      <c r="Y119" s="9"/>
      <c r="Z119" s="9"/>
      <c r="AA119" s="9"/>
      <c r="AB119" s="9"/>
      <c r="AC119" s="9"/>
      <c r="AD119" s="9" t="s">
        <v>20</v>
      </c>
    </row>
    <row r="120" spans="1:30" ht="29">
      <c r="A120" s="3" t="s">
        <v>749</v>
      </c>
      <c r="B120" s="3" t="s">
        <v>5325</v>
      </c>
      <c r="C120" s="3" t="s">
        <v>5326</v>
      </c>
      <c r="G120" s="9" t="s">
        <v>12118</v>
      </c>
      <c r="H120" s="9"/>
      <c r="I120" s="9"/>
      <c r="J120" s="9"/>
      <c r="K120" s="9"/>
      <c r="L120" s="9"/>
      <c r="M120" s="9"/>
      <c r="N120" s="10"/>
      <c r="O120" s="9"/>
      <c r="P120" s="9"/>
      <c r="Q120" s="9">
        <v>330</v>
      </c>
      <c r="R120" s="9">
        <v>114</v>
      </c>
      <c r="S120" s="9">
        <v>444</v>
      </c>
      <c r="T120" s="9"/>
      <c r="U120" s="9"/>
      <c r="V120" s="9"/>
      <c r="W120" s="9"/>
      <c r="X120" s="9"/>
      <c r="Y120" s="9"/>
      <c r="Z120" s="9"/>
      <c r="AA120" s="9"/>
      <c r="AB120" s="9"/>
      <c r="AC120" s="9"/>
      <c r="AD120" s="9" t="s">
        <v>19</v>
      </c>
    </row>
    <row r="121" spans="1:30" ht="29">
      <c r="A121" s="3" t="s">
        <v>756</v>
      </c>
      <c r="B121" s="3" t="s">
        <v>5328</v>
      </c>
      <c r="C121" s="3" t="s">
        <v>5329</v>
      </c>
      <c r="G121" s="9" t="s">
        <v>26</v>
      </c>
      <c r="H121" s="9"/>
      <c r="I121" s="9"/>
      <c r="J121" s="9"/>
      <c r="K121" s="9"/>
      <c r="L121" s="9"/>
      <c r="M121" s="9"/>
      <c r="N121" s="10"/>
      <c r="O121" s="9"/>
      <c r="P121" s="9"/>
      <c r="Q121" s="9"/>
      <c r="R121" s="9" t="s">
        <v>12795</v>
      </c>
      <c r="S121" s="9" t="s">
        <v>12795</v>
      </c>
      <c r="T121" s="9"/>
      <c r="U121" s="9"/>
      <c r="V121" s="9"/>
      <c r="W121" s="9"/>
      <c r="X121" s="9"/>
      <c r="Y121" s="9"/>
      <c r="Z121" s="9"/>
      <c r="AA121" s="9"/>
      <c r="AB121" s="9"/>
      <c r="AC121" s="9"/>
      <c r="AD121" s="9" t="s">
        <v>13141</v>
      </c>
    </row>
    <row r="122" spans="1:30" ht="29">
      <c r="A122" s="3" t="s">
        <v>756</v>
      </c>
      <c r="B122" s="3" t="s">
        <v>5330</v>
      </c>
      <c r="C122" s="3" t="s">
        <v>5331</v>
      </c>
      <c r="G122" s="9" t="s">
        <v>24</v>
      </c>
      <c r="H122" s="9"/>
      <c r="I122" s="9">
        <v>1</v>
      </c>
      <c r="J122" s="9">
        <v>2</v>
      </c>
      <c r="K122" s="9" t="s">
        <v>12078</v>
      </c>
      <c r="L122" s="9" t="s">
        <v>12119</v>
      </c>
      <c r="M122" s="9"/>
      <c r="N122" s="10"/>
      <c r="O122" s="9"/>
      <c r="P122" s="9">
        <v>11843</v>
      </c>
      <c r="Q122" s="9"/>
      <c r="R122" s="9" t="s">
        <v>12795</v>
      </c>
      <c r="S122" s="9" t="s">
        <v>12795</v>
      </c>
      <c r="T122" s="9"/>
      <c r="U122" s="9"/>
      <c r="V122" s="9"/>
      <c r="W122" s="9"/>
      <c r="X122" s="9"/>
      <c r="Y122" s="9"/>
      <c r="Z122" s="9"/>
      <c r="AA122" s="9"/>
      <c r="AB122" s="9"/>
      <c r="AC122" s="9"/>
      <c r="AD122" s="9" t="s">
        <v>19</v>
      </c>
    </row>
    <row r="123" spans="1:30" ht="29">
      <c r="A123" s="3" t="s">
        <v>758</v>
      </c>
      <c r="B123" s="3" t="s">
        <v>759</v>
      </c>
      <c r="C123" s="3" t="s">
        <v>760</v>
      </c>
      <c r="G123" s="9" t="s">
        <v>12120</v>
      </c>
      <c r="H123" s="9"/>
      <c r="I123" s="9"/>
      <c r="J123" s="9"/>
      <c r="K123" s="9"/>
      <c r="L123" s="9"/>
      <c r="M123" s="9"/>
      <c r="N123" s="10"/>
      <c r="O123" s="9"/>
      <c r="P123" s="9"/>
      <c r="Q123" s="9"/>
      <c r="R123" s="9" t="s">
        <v>12795</v>
      </c>
      <c r="S123" s="9" t="s">
        <v>12795</v>
      </c>
      <c r="T123" s="9"/>
      <c r="U123" s="9"/>
      <c r="V123" s="9"/>
      <c r="W123" s="9"/>
      <c r="X123" s="9"/>
      <c r="Y123" s="9"/>
      <c r="Z123" s="9"/>
      <c r="AA123" s="9"/>
      <c r="AB123" s="9"/>
      <c r="AC123" s="9"/>
      <c r="AD123" s="9" t="s">
        <v>20</v>
      </c>
    </row>
    <row r="124" spans="1:30" ht="29">
      <c r="A124" s="3" t="s">
        <v>758</v>
      </c>
      <c r="B124" s="3" t="s">
        <v>761</v>
      </c>
      <c r="C124" s="3" t="s">
        <v>762</v>
      </c>
      <c r="G124" s="9" t="s">
        <v>12120</v>
      </c>
      <c r="H124" s="9"/>
      <c r="I124" s="9"/>
      <c r="J124" s="9"/>
      <c r="K124" s="9"/>
      <c r="L124" s="9"/>
      <c r="M124" s="9"/>
      <c r="N124" s="10"/>
      <c r="O124" s="9"/>
      <c r="P124" s="9"/>
      <c r="Q124" s="9"/>
      <c r="R124" s="9" t="s">
        <v>12795</v>
      </c>
      <c r="S124" s="9" t="s">
        <v>12795</v>
      </c>
      <c r="T124" s="9"/>
      <c r="U124" s="9"/>
      <c r="V124" s="9"/>
      <c r="W124" s="9"/>
      <c r="X124" s="9"/>
      <c r="Y124" s="9"/>
      <c r="Z124" s="9"/>
      <c r="AA124" s="9"/>
      <c r="AB124" s="9"/>
      <c r="AC124" s="9"/>
      <c r="AD124" s="9" t="s">
        <v>20</v>
      </c>
    </row>
    <row r="125" spans="1:30" ht="29">
      <c r="A125" s="3" t="s">
        <v>763</v>
      </c>
      <c r="B125" s="3" t="s">
        <v>5334</v>
      </c>
      <c r="C125" s="3" t="s">
        <v>5335</v>
      </c>
      <c r="G125" s="9" t="s">
        <v>25</v>
      </c>
      <c r="H125" s="9"/>
      <c r="I125" s="9">
        <v>1</v>
      </c>
      <c r="J125" s="9">
        <v>5</v>
      </c>
      <c r="K125" s="9" t="s">
        <v>12072</v>
      </c>
      <c r="L125" s="9" t="s">
        <v>12073</v>
      </c>
      <c r="M125" s="9" t="s">
        <v>12149</v>
      </c>
      <c r="N125" s="10" t="s">
        <v>12160</v>
      </c>
      <c r="O125" s="9"/>
      <c r="P125" s="9">
        <v>95</v>
      </c>
      <c r="Q125" s="9"/>
      <c r="R125" s="9" t="s">
        <v>12795</v>
      </c>
      <c r="S125" s="9" t="s">
        <v>12795</v>
      </c>
      <c r="T125" s="9"/>
      <c r="U125" s="9"/>
      <c r="V125" s="9"/>
      <c r="W125" s="9"/>
      <c r="X125" s="9"/>
      <c r="Y125" s="9"/>
      <c r="Z125" s="9"/>
      <c r="AA125" s="9"/>
      <c r="AB125" s="9"/>
      <c r="AC125" s="9"/>
      <c r="AD125" s="9" t="s">
        <v>19</v>
      </c>
    </row>
    <row r="126" spans="1:30" ht="29">
      <c r="A126" s="3" t="s">
        <v>765</v>
      </c>
      <c r="B126" s="3" t="s">
        <v>5338</v>
      </c>
      <c r="C126" s="3" t="s">
        <v>5339</v>
      </c>
      <c r="G126" s="9" t="s">
        <v>25</v>
      </c>
      <c r="H126" s="9"/>
      <c r="I126" s="9">
        <v>1</v>
      </c>
      <c r="J126" s="9">
        <v>3</v>
      </c>
      <c r="K126" s="9" t="s">
        <v>12078</v>
      </c>
      <c r="L126" s="9" t="s">
        <v>12119</v>
      </c>
      <c r="M126" s="9"/>
      <c r="N126" s="10"/>
      <c r="O126" s="9"/>
      <c r="P126" s="9">
        <v>11843</v>
      </c>
      <c r="Q126" s="9"/>
      <c r="R126" s="9" t="s">
        <v>12795</v>
      </c>
      <c r="S126" s="9" t="s">
        <v>12795</v>
      </c>
      <c r="T126" s="9"/>
      <c r="U126" s="9"/>
      <c r="V126" s="9"/>
      <c r="W126" s="9"/>
      <c r="X126" s="9"/>
      <c r="Y126" s="9"/>
      <c r="Z126" s="9"/>
      <c r="AA126" s="9"/>
      <c r="AB126" s="9"/>
      <c r="AC126" s="9"/>
      <c r="AD126" s="9" t="s">
        <v>19</v>
      </c>
    </row>
    <row r="127" spans="1:30" ht="29">
      <c r="A127" s="3" t="s">
        <v>768</v>
      </c>
      <c r="B127" s="3" t="s">
        <v>5346</v>
      </c>
      <c r="C127" s="3" t="s">
        <v>5347</v>
      </c>
      <c r="G127" s="9" t="s">
        <v>12120</v>
      </c>
      <c r="H127" s="9"/>
      <c r="I127" s="9"/>
      <c r="J127" s="9"/>
      <c r="K127" s="9"/>
      <c r="L127" s="9"/>
      <c r="M127" s="9"/>
      <c r="N127" s="10"/>
      <c r="O127" s="9"/>
      <c r="P127" s="9"/>
      <c r="Q127" s="9"/>
      <c r="R127" s="9" t="s">
        <v>12795</v>
      </c>
      <c r="S127" s="9" t="s">
        <v>12795</v>
      </c>
      <c r="T127" s="9"/>
      <c r="U127" s="9"/>
      <c r="V127" s="9"/>
      <c r="W127" s="9"/>
      <c r="X127" s="9"/>
      <c r="Y127" s="9"/>
      <c r="Z127" s="9"/>
      <c r="AA127" s="9"/>
      <c r="AB127" s="9"/>
      <c r="AC127" s="9"/>
      <c r="AD127" s="9" t="s">
        <v>20</v>
      </c>
    </row>
    <row r="128" spans="1:30" ht="29">
      <c r="A128" s="3" t="s">
        <v>769</v>
      </c>
      <c r="B128" s="3" t="s">
        <v>5351</v>
      </c>
      <c r="C128" s="3" t="s">
        <v>5352</v>
      </c>
      <c r="G128" s="9" t="s">
        <v>26</v>
      </c>
      <c r="H128" s="9"/>
      <c r="I128" s="9"/>
      <c r="J128" s="9"/>
      <c r="K128" s="9"/>
      <c r="L128" s="9"/>
      <c r="M128" s="9"/>
      <c r="N128" s="10"/>
      <c r="O128" s="9"/>
      <c r="P128" s="9"/>
      <c r="Q128" s="9"/>
      <c r="R128" s="9" t="s">
        <v>12795</v>
      </c>
      <c r="S128" s="9" t="s">
        <v>12795</v>
      </c>
      <c r="T128" s="9"/>
      <c r="U128" s="9"/>
      <c r="V128" s="9"/>
      <c r="W128" s="9"/>
      <c r="X128" s="9"/>
      <c r="Y128" s="9"/>
      <c r="Z128" s="9"/>
      <c r="AA128" s="9"/>
      <c r="AB128" s="9"/>
      <c r="AC128" s="9"/>
      <c r="AD128" s="9" t="s">
        <v>19</v>
      </c>
    </row>
    <row r="129" spans="1:30" ht="29">
      <c r="A129" s="3" t="s">
        <v>770</v>
      </c>
      <c r="B129" s="3" t="s">
        <v>771</v>
      </c>
      <c r="C129" s="3" t="s">
        <v>5353</v>
      </c>
      <c r="G129" s="9" t="s">
        <v>12120</v>
      </c>
      <c r="H129" s="9"/>
      <c r="I129" s="9"/>
      <c r="J129" s="9"/>
      <c r="K129" s="9"/>
      <c r="L129" s="9"/>
      <c r="M129" s="9"/>
      <c r="N129" s="10"/>
      <c r="O129" s="9"/>
      <c r="P129" s="9"/>
      <c r="Q129" s="9"/>
      <c r="R129" s="9" t="s">
        <v>12795</v>
      </c>
      <c r="S129" s="9" t="s">
        <v>12795</v>
      </c>
      <c r="T129" s="9"/>
      <c r="U129" s="9"/>
      <c r="V129" s="9"/>
      <c r="W129" s="9"/>
      <c r="X129" s="9"/>
      <c r="Y129" s="9"/>
      <c r="Z129" s="9"/>
      <c r="AA129" s="9"/>
      <c r="AB129" s="9"/>
      <c r="AC129" s="9"/>
      <c r="AD129" s="9" t="s">
        <v>19</v>
      </c>
    </row>
    <row r="130" spans="1:30" ht="29">
      <c r="A130" s="3" t="s">
        <v>774</v>
      </c>
      <c r="B130" s="3" t="s">
        <v>5355</v>
      </c>
      <c r="C130" s="3" t="s">
        <v>5356</v>
      </c>
      <c r="F130" t="s">
        <v>19</v>
      </c>
      <c r="G130" s="9" t="s">
        <v>25</v>
      </c>
      <c r="H130" s="9"/>
      <c r="I130" s="9">
        <v>1</v>
      </c>
      <c r="J130" s="9">
        <v>2</v>
      </c>
      <c r="K130" s="9" t="s">
        <v>12123</v>
      </c>
      <c r="L130" s="9" t="s">
        <v>12119</v>
      </c>
      <c r="M130" s="9"/>
      <c r="N130" s="10"/>
      <c r="O130" s="9"/>
      <c r="P130" s="9">
        <v>526</v>
      </c>
      <c r="Q130" s="9"/>
      <c r="R130" s="9" t="s">
        <v>12795</v>
      </c>
      <c r="S130" s="9" t="s">
        <v>12795</v>
      </c>
      <c r="T130" s="9"/>
      <c r="U130" s="9"/>
      <c r="V130" s="9"/>
      <c r="W130" s="9"/>
      <c r="X130" s="9"/>
      <c r="Y130" s="9"/>
      <c r="Z130" s="9"/>
      <c r="AA130" s="9"/>
      <c r="AB130" s="9"/>
      <c r="AC130" s="9"/>
      <c r="AD130" s="9" t="s">
        <v>20</v>
      </c>
    </row>
    <row r="131" spans="1:30" ht="29">
      <c r="A131" s="3" t="s">
        <v>780</v>
      </c>
      <c r="B131" s="3" t="s">
        <v>781</v>
      </c>
      <c r="C131" s="3" t="s">
        <v>782</v>
      </c>
      <c r="G131" s="9" t="s">
        <v>12120</v>
      </c>
      <c r="H131" s="9"/>
      <c r="I131" s="9"/>
      <c r="J131" s="9"/>
      <c r="K131" s="9"/>
      <c r="L131" s="9"/>
      <c r="M131" s="9"/>
      <c r="N131" s="10"/>
      <c r="O131" s="9"/>
      <c r="P131" s="9"/>
      <c r="Q131" s="9"/>
      <c r="R131" s="9" t="s">
        <v>12795</v>
      </c>
      <c r="S131" s="9" t="s">
        <v>12795</v>
      </c>
      <c r="T131" s="9"/>
      <c r="U131" s="9"/>
      <c r="V131" s="9"/>
      <c r="W131" s="9"/>
      <c r="X131" s="9"/>
      <c r="Y131" s="9"/>
      <c r="Z131" s="9"/>
      <c r="AA131" s="9"/>
      <c r="AB131" s="9"/>
      <c r="AC131" s="9"/>
      <c r="AD131" s="9" t="s">
        <v>19</v>
      </c>
    </row>
    <row r="132" spans="1:30" ht="29">
      <c r="A132" s="3" t="s">
        <v>787</v>
      </c>
      <c r="B132" s="3" t="s">
        <v>5361</v>
      </c>
      <c r="C132" s="3" t="s">
        <v>5362</v>
      </c>
      <c r="G132" s="9" t="s">
        <v>25</v>
      </c>
      <c r="H132" s="9"/>
      <c r="I132" s="9">
        <v>1</v>
      </c>
      <c r="J132" s="9">
        <v>6</v>
      </c>
      <c r="K132" s="9" t="s">
        <v>12084</v>
      </c>
      <c r="L132" s="9" t="s">
        <v>12079</v>
      </c>
      <c r="M132" s="9"/>
      <c r="N132" s="10"/>
      <c r="O132" s="9"/>
      <c r="P132" s="9">
        <v>0</v>
      </c>
      <c r="Q132" s="9"/>
      <c r="R132" s="9" t="s">
        <v>12795</v>
      </c>
      <c r="S132" s="9" t="s">
        <v>12795</v>
      </c>
      <c r="T132" s="9"/>
      <c r="U132" s="9"/>
      <c r="V132" s="9"/>
      <c r="W132" s="9"/>
      <c r="X132" s="9"/>
      <c r="Y132" s="9"/>
      <c r="Z132" s="9"/>
      <c r="AA132" s="9"/>
      <c r="AB132" s="9"/>
      <c r="AC132" s="9"/>
      <c r="AD132" s="9" t="s">
        <v>20</v>
      </c>
    </row>
    <row r="133" spans="1:30" ht="29">
      <c r="A133" s="3" t="s">
        <v>798</v>
      </c>
      <c r="B133" s="3" t="s">
        <v>12984</v>
      </c>
      <c r="C133" s="3" t="s">
        <v>12985</v>
      </c>
      <c r="G133" s="9" t="s">
        <v>12120</v>
      </c>
      <c r="H133" s="9"/>
      <c r="I133" s="9"/>
      <c r="J133" s="9"/>
      <c r="K133" s="9"/>
      <c r="L133" s="9"/>
      <c r="M133" s="9"/>
      <c r="N133" s="10"/>
      <c r="O133" s="9"/>
      <c r="P133" s="9"/>
      <c r="Q133" s="9"/>
      <c r="R133" s="9" t="s">
        <v>12795</v>
      </c>
      <c r="S133" s="9" t="s">
        <v>12795</v>
      </c>
      <c r="T133" s="9"/>
      <c r="U133" s="9"/>
      <c r="V133" s="9"/>
      <c r="W133" s="9"/>
      <c r="X133" s="9"/>
      <c r="Y133" s="9"/>
      <c r="Z133" s="9"/>
      <c r="AA133" s="9"/>
      <c r="AB133" s="9"/>
      <c r="AC133" s="9"/>
      <c r="AD133" s="9" t="s">
        <v>19</v>
      </c>
    </row>
    <row r="134" spans="1:30" ht="29">
      <c r="A134" s="3" t="s">
        <v>798</v>
      </c>
      <c r="B134" s="3" t="s">
        <v>12986</v>
      </c>
      <c r="C134" s="3" t="s">
        <v>12983</v>
      </c>
      <c r="G134" s="9" t="s">
        <v>25</v>
      </c>
      <c r="H134" s="9"/>
      <c r="I134" s="9">
        <v>1</v>
      </c>
      <c r="J134" s="9">
        <v>5</v>
      </c>
      <c r="K134" s="9" t="s">
        <v>12094</v>
      </c>
      <c r="L134" s="9" t="s">
        <v>12073</v>
      </c>
      <c r="M134" s="9" t="s">
        <v>12142</v>
      </c>
      <c r="N134" s="10" t="s">
        <v>12160</v>
      </c>
      <c r="O134" s="9"/>
      <c r="P134" s="9">
        <v>4240</v>
      </c>
      <c r="Q134" s="9"/>
      <c r="R134" s="9" t="s">
        <v>12795</v>
      </c>
      <c r="S134" s="9" t="s">
        <v>12795</v>
      </c>
      <c r="T134" s="9"/>
      <c r="U134" s="9"/>
      <c r="V134" s="9"/>
      <c r="W134" s="9"/>
      <c r="X134" s="9"/>
      <c r="Y134" s="9"/>
      <c r="Z134" s="9"/>
      <c r="AA134" s="9"/>
      <c r="AB134" s="9"/>
      <c r="AC134" s="9"/>
      <c r="AD134" s="9" t="s">
        <v>20</v>
      </c>
    </row>
    <row r="135" spans="1:30" ht="29">
      <c r="A135" s="3" t="s">
        <v>801</v>
      </c>
      <c r="B135" s="3" t="s">
        <v>5365</v>
      </c>
      <c r="C135" s="3" t="s">
        <v>5366</v>
      </c>
      <c r="G135" s="9" t="s">
        <v>12120</v>
      </c>
      <c r="H135" s="9"/>
      <c r="I135" s="9"/>
      <c r="J135" s="9"/>
      <c r="K135" s="9"/>
      <c r="L135" s="9"/>
      <c r="M135" s="9"/>
      <c r="N135" s="10"/>
      <c r="O135" s="9"/>
      <c r="P135" s="9"/>
      <c r="Q135" s="9"/>
      <c r="R135" s="9" t="s">
        <v>12795</v>
      </c>
      <c r="S135" s="9" t="s">
        <v>12795</v>
      </c>
      <c r="T135" s="9"/>
      <c r="U135" s="9"/>
      <c r="V135" s="9"/>
      <c r="W135" s="9"/>
      <c r="X135" s="9"/>
      <c r="Y135" s="9"/>
      <c r="Z135" s="9"/>
      <c r="AA135" s="9"/>
      <c r="AB135" s="9"/>
      <c r="AC135" s="9"/>
      <c r="AD135" s="9" t="s">
        <v>20</v>
      </c>
    </row>
    <row r="136" spans="1:30" ht="29">
      <c r="A136" s="3" t="s">
        <v>801</v>
      </c>
      <c r="B136" s="3" t="s">
        <v>802</v>
      </c>
      <c r="C136" s="3" t="s">
        <v>803</v>
      </c>
      <c r="G136" s="9" t="s">
        <v>12120</v>
      </c>
      <c r="H136" s="9"/>
      <c r="I136" s="9"/>
      <c r="J136" s="9"/>
      <c r="K136" s="9"/>
      <c r="L136" s="9"/>
      <c r="M136" s="9"/>
      <c r="N136" s="10"/>
      <c r="O136" s="9"/>
      <c r="P136" s="9"/>
      <c r="Q136" s="9"/>
      <c r="R136" s="9" t="s">
        <v>12795</v>
      </c>
      <c r="S136" s="9" t="s">
        <v>12795</v>
      </c>
      <c r="T136" s="9"/>
      <c r="U136" s="9"/>
      <c r="V136" s="9"/>
      <c r="W136" s="9"/>
      <c r="X136" s="9"/>
      <c r="Y136" s="9"/>
      <c r="Z136" s="9"/>
      <c r="AA136" s="9"/>
      <c r="AB136" s="9"/>
      <c r="AC136" s="9"/>
      <c r="AD136" s="9" t="s">
        <v>13141</v>
      </c>
    </row>
    <row r="137" spans="1:30" ht="29">
      <c r="A137" s="3" t="s">
        <v>801</v>
      </c>
      <c r="B137" s="3" t="s">
        <v>5367</v>
      </c>
      <c r="C137" s="3" t="s">
        <v>5368</v>
      </c>
      <c r="G137" s="9" t="s">
        <v>24</v>
      </c>
      <c r="H137" s="9"/>
      <c r="I137" s="9">
        <v>1</v>
      </c>
      <c r="J137" s="9">
        <v>2</v>
      </c>
      <c r="K137" s="9" t="s">
        <v>12078</v>
      </c>
      <c r="L137" s="9" t="s">
        <v>12119</v>
      </c>
      <c r="M137" s="9"/>
      <c r="N137" s="10"/>
      <c r="O137" s="9"/>
      <c r="P137" s="9">
        <v>11843</v>
      </c>
      <c r="Q137" s="9"/>
      <c r="R137" s="9" t="s">
        <v>12795</v>
      </c>
      <c r="S137" s="9" t="s">
        <v>12795</v>
      </c>
      <c r="T137" s="9"/>
      <c r="U137" s="9"/>
      <c r="V137" s="9"/>
      <c r="W137" s="9"/>
      <c r="X137" s="9"/>
      <c r="Y137" s="9"/>
      <c r="Z137" s="9"/>
      <c r="AA137" s="9"/>
      <c r="AB137" s="9"/>
      <c r="AC137" s="9"/>
      <c r="AD137" s="9" t="s">
        <v>19</v>
      </c>
    </row>
    <row r="138" spans="1:30" ht="29">
      <c r="A138" s="3" t="s">
        <v>801</v>
      </c>
      <c r="B138" s="3" t="s">
        <v>5370</v>
      </c>
      <c r="C138" s="3" t="s">
        <v>5369</v>
      </c>
      <c r="G138" s="9" t="s">
        <v>12120</v>
      </c>
      <c r="H138" s="9"/>
      <c r="I138" s="9"/>
      <c r="J138" s="9"/>
      <c r="K138" s="9"/>
      <c r="L138" s="9"/>
      <c r="M138" s="9"/>
      <c r="N138" s="10"/>
      <c r="O138" s="9"/>
      <c r="P138" s="9"/>
      <c r="Q138" s="9"/>
      <c r="R138" s="9" t="s">
        <v>12795</v>
      </c>
      <c r="S138" s="9" t="s">
        <v>12795</v>
      </c>
      <c r="T138" s="9"/>
      <c r="U138" s="9"/>
      <c r="V138" s="9"/>
      <c r="W138" s="9"/>
      <c r="X138" s="9"/>
      <c r="Y138" s="9"/>
      <c r="Z138" s="9" t="s">
        <v>12130</v>
      </c>
      <c r="AA138" s="9" t="s">
        <v>20</v>
      </c>
      <c r="AB138" s="9"/>
      <c r="AC138" s="9"/>
      <c r="AD138" s="9" t="s">
        <v>19</v>
      </c>
    </row>
    <row r="139" spans="1:30" ht="29">
      <c r="A139" s="3" t="s">
        <v>810</v>
      </c>
      <c r="B139" s="3" t="s">
        <v>5377</v>
      </c>
      <c r="C139" s="3" t="s">
        <v>5378</v>
      </c>
      <c r="G139" s="9" t="s">
        <v>12120</v>
      </c>
      <c r="H139" s="9"/>
      <c r="I139" s="9"/>
      <c r="J139" s="9"/>
      <c r="K139" s="9"/>
      <c r="L139" s="9"/>
      <c r="M139" s="9"/>
      <c r="N139" s="10"/>
      <c r="O139" s="9"/>
      <c r="P139" s="9"/>
      <c r="Q139" s="9"/>
      <c r="R139" s="9" t="s">
        <v>12795</v>
      </c>
      <c r="S139" s="9" t="s">
        <v>12795</v>
      </c>
      <c r="T139" s="9"/>
      <c r="U139" s="9"/>
      <c r="V139" s="9"/>
      <c r="W139" s="9"/>
      <c r="X139" s="9"/>
      <c r="Y139" s="9"/>
      <c r="Z139" s="9"/>
      <c r="AA139" s="9"/>
      <c r="AB139" s="9"/>
      <c r="AC139" s="9"/>
      <c r="AD139" s="9" t="s">
        <v>19</v>
      </c>
    </row>
    <row r="140" spans="1:30" ht="29">
      <c r="A140" s="3" t="s">
        <v>817</v>
      </c>
      <c r="B140" s="3" t="s">
        <v>5381</v>
      </c>
      <c r="C140" s="3" t="s">
        <v>5382</v>
      </c>
      <c r="G140" s="9" t="s">
        <v>25</v>
      </c>
      <c r="H140" s="9"/>
      <c r="I140" s="9">
        <v>1</v>
      </c>
      <c r="J140" s="9">
        <v>2</v>
      </c>
      <c r="K140" s="9" t="s">
        <v>12087</v>
      </c>
      <c r="L140" s="9" t="s">
        <v>12119</v>
      </c>
      <c r="M140" s="9"/>
      <c r="N140" s="10"/>
      <c r="O140" s="9"/>
      <c r="P140" s="9">
        <v>1966</v>
      </c>
      <c r="Q140" s="9"/>
      <c r="R140" s="9" t="s">
        <v>12795</v>
      </c>
      <c r="S140" s="9" t="s">
        <v>12795</v>
      </c>
      <c r="T140" s="9"/>
      <c r="U140" s="9"/>
      <c r="V140" s="9"/>
      <c r="W140" s="9"/>
      <c r="X140" s="9"/>
      <c r="Y140" s="9"/>
      <c r="Z140" s="9"/>
      <c r="AA140" s="9"/>
      <c r="AB140" s="9"/>
      <c r="AC140" s="9"/>
      <c r="AD140" s="9" t="s">
        <v>13141</v>
      </c>
    </row>
    <row r="141" spans="1:30" ht="29">
      <c r="A141" s="3" t="s">
        <v>818</v>
      </c>
      <c r="B141" s="3" t="s">
        <v>5385</v>
      </c>
      <c r="C141" s="3" t="s">
        <v>5386</v>
      </c>
      <c r="G141" s="9" t="s">
        <v>12120</v>
      </c>
      <c r="H141" s="9"/>
      <c r="I141" s="9"/>
      <c r="J141" s="9"/>
      <c r="K141" s="9"/>
      <c r="L141" s="9"/>
      <c r="M141" s="9"/>
      <c r="N141" s="10"/>
      <c r="O141" s="9"/>
      <c r="P141" s="9"/>
      <c r="Q141" s="9"/>
      <c r="R141" s="9" t="s">
        <v>12795</v>
      </c>
      <c r="S141" s="9" t="s">
        <v>12795</v>
      </c>
      <c r="T141" s="9" t="s">
        <v>12117</v>
      </c>
      <c r="U141" s="9"/>
      <c r="V141" s="9"/>
      <c r="W141" s="9"/>
      <c r="X141" s="9"/>
      <c r="Y141" s="9"/>
      <c r="Z141" s="9"/>
      <c r="AA141" s="9"/>
      <c r="AB141" s="9"/>
      <c r="AC141" s="9"/>
      <c r="AD141" s="9" t="s">
        <v>20</v>
      </c>
    </row>
    <row r="142" spans="1:30" ht="29">
      <c r="A142" s="3" t="s">
        <v>822</v>
      </c>
      <c r="B142" s="3" t="s">
        <v>5385</v>
      </c>
      <c r="C142" s="3" t="s">
        <v>5389</v>
      </c>
      <c r="G142" s="9" t="s">
        <v>12120</v>
      </c>
      <c r="H142" s="9"/>
      <c r="I142" s="9"/>
      <c r="J142" s="9"/>
      <c r="K142" s="9"/>
      <c r="L142" s="9"/>
      <c r="M142" s="9"/>
      <c r="N142" s="10"/>
      <c r="O142" s="9"/>
      <c r="P142" s="9"/>
      <c r="Q142" s="9"/>
      <c r="R142" s="9" t="s">
        <v>12795</v>
      </c>
      <c r="S142" s="9" t="s">
        <v>12795</v>
      </c>
      <c r="T142" s="9"/>
      <c r="U142" s="9"/>
      <c r="V142" s="9"/>
      <c r="W142" s="9"/>
      <c r="X142" s="9"/>
      <c r="Y142" s="9"/>
      <c r="Z142" s="9"/>
      <c r="AA142" s="9"/>
      <c r="AB142" s="9"/>
      <c r="AC142" s="9"/>
      <c r="AD142" s="9" t="s">
        <v>20</v>
      </c>
    </row>
    <row r="143" spans="1:30" ht="29">
      <c r="A143" s="3" t="s">
        <v>824</v>
      </c>
      <c r="B143" s="3" t="s">
        <v>5390</v>
      </c>
      <c r="C143" s="3" t="s">
        <v>5391</v>
      </c>
      <c r="G143" s="9" t="s">
        <v>12120</v>
      </c>
      <c r="H143" s="9"/>
      <c r="I143" s="9"/>
      <c r="J143" s="9"/>
      <c r="K143" s="9"/>
      <c r="L143" s="9"/>
      <c r="M143" s="9"/>
      <c r="N143" s="10"/>
      <c r="O143" s="9"/>
      <c r="P143" s="9"/>
      <c r="Q143" s="9"/>
      <c r="R143" s="9" t="s">
        <v>12795</v>
      </c>
      <c r="S143" s="9" t="s">
        <v>12795</v>
      </c>
      <c r="T143" s="9"/>
      <c r="U143" s="9"/>
      <c r="V143" s="9"/>
      <c r="W143" s="9"/>
      <c r="X143" s="9"/>
      <c r="Y143" s="9"/>
      <c r="Z143" s="9"/>
      <c r="AA143" s="9"/>
      <c r="AB143" s="9"/>
      <c r="AC143" s="9"/>
      <c r="AD143" s="9" t="s">
        <v>20</v>
      </c>
    </row>
    <row r="144" spans="1:30" ht="29">
      <c r="A144" s="3" t="s">
        <v>826</v>
      </c>
      <c r="B144" s="3" t="s">
        <v>5392</v>
      </c>
      <c r="C144" s="3" t="s">
        <v>5393</v>
      </c>
      <c r="G144" s="9" t="s">
        <v>25</v>
      </c>
      <c r="H144" s="9"/>
      <c r="I144" s="9">
        <v>1</v>
      </c>
      <c r="J144" s="9">
        <v>2</v>
      </c>
      <c r="K144" s="9" t="s">
        <v>12087</v>
      </c>
      <c r="L144" s="9" t="s">
        <v>12119</v>
      </c>
      <c r="M144" s="9"/>
      <c r="N144" s="10"/>
      <c r="O144" s="9"/>
      <c r="P144" s="9">
        <v>1966</v>
      </c>
      <c r="Q144" s="9"/>
      <c r="R144" s="9" t="s">
        <v>12795</v>
      </c>
      <c r="S144" s="9" t="s">
        <v>12795</v>
      </c>
      <c r="T144" s="9"/>
      <c r="U144" s="9"/>
      <c r="V144" s="9"/>
      <c r="W144" s="9"/>
      <c r="X144" s="9"/>
      <c r="Y144" s="9"/>
      <c r="Z144" s="9"/>
      <c r="AA144" s="9"/>
      <c r="AB144" s="9"/>
      <c r="AC144" s="9"/>
      <c r="AD144" s="9" t="s">
        <v>19</v>
      </c>
    </row>
    <row r="145" spans="1:30" ht="29">
      <c r="A145" s="3" t="s">
        <v>830</v>
      </c>
      <c r="B145" s="3" t="s">
        <v>5395</v>
      </c>
      <c r="C145" s="3" t="s">
        <v>5396</v>
      </c>
      <c r="G145" s="9" t="s">
        <v>12118</v>
      </c>
      <c r="H145" s="9"/>
      <c r="I145" s="9"/>
      <c r="J145" s="9"/>
      <c r="K145" s="9"/>
      <c r="L145" s="9"/>
      <c r="M145" s="9"/>
      <c r="N145" s="10"/>
      <c r="O145" s="9"/>
      <c r="P145" s="9"/>
      <c r="Q145" s="9">
        <v>245</v>
      </c>
      <c r="R145" s="9">
        <v>1496</v>
      </c>
      <c r="S145" s="9">
        <v>1741</v>
      </c>
      <c r="T145" s="9"/>
      <c r="U145" s="9"/>
      <c r="V145" s="9"/>
      <c r="W145" s="9"/>
      <c r="X145" s="9"/>
      <c r="Y145" s="9"/>
      <c r="Z145" s="9"/>
      <c r="AA145" s="9"/>
      <c r="AB145" s="9"/>
      <c r="AC145" s="9"/>
      <c r="AD145" s="9" t="s">
        <v>19</v>
      </c>
    </row>
    <row r="146" spans="1:30" ht="29">
      <c r="A146" s="3" t="s">
        <v>831</v>
      </c>
      <c r="B146" s="3" t="s">
        <v>5397</v>
      </c>
      <c r="C146" s="3" t="s">
        <v>5398</v>
      </c>
      <c r="G146" s="9" t="s">
        <v>24</v>
      </c>
      <c r="H146" s="9"/>
      <c r="I146" s="9">
        <v>1</v>
      </c>
      <c r="J146" s="9">
        <v>3</v>
      </c>
      <c r="K146" s="9" t="s">
        <v>12087</v>
      </c>
      <c r="L146" s="9" t="s">
        <v>12079</v>
      </c>
      <c r="M146" s="9"/>
      <c r="N146" s="10"/>
      <c r="O146" s="9"/>
      <c r="P146" s="9">
        <v>5676</v>
      </c>
      <c r="Q146" s="9"/>
      <c r="R146" s="9" t="s">
        <v>12795</v>
      </c>
      <c r="S146" s="9" t="s">
        <v>12795</v>
      </c>
      <c r="T146" s="9"/>
      <c r="U146" s="9"/>
      <c r="V146" s="9"/>
      <c r="W146" s="9"/>
      <c r="X146" s="9"/>
      <c r="Y146" s="9"/>
      <c r="Z146" s="9"/>
      <c r="AA146" s="9"/>
      <c r="AB146" s="9"/>
      <c r="AC146" s="9"/>
      <c r="AD146" s="9" t="s">
        <v>19</v>
      </c>
    </row>
    <row r="147" spans="1:30" ht="29">
      <c r="A147" s="3" t="s">
        <v>834</v>
      </c>
      <c r="B147" s="3" t="s">
        <v>5402</v>
      </c>
      <c r="C147" s="3" t="s">
        <v>5401</v>
      </c>
      <c r="G147" s="9" t="s">
        <v>24</v>
      </c>
      <c r="H147" s="9"/>
      <c r="I147" s="9">
        <v>1</v>
      </c>
      <c r="J147" s="9">
        <v>2</v>
      </c>
      <c r="K147" s="9" t="s">
        <v>12123</v>
      </c>
      <c r="L147" s="9" t="s">
        <v>12119</v>
      </c>
      <c r="M147" s="9"/>
      <c r="N147" s="10"/>
      <c r="O147" s="9"/>
      <c r="P147" s="9">
        <v>526</v>
      </c>
      <c r="Q147" s="9"/>
      <c r="R147" s="9" t="s">
        <v>12795</v>
      </c>
      <c r="S147" s="9" t="s">
        <v>12795</v>
      </c>
      <c r="T147" s="9"/>
      <c r="U147" s="9"/>
      <c r="V147" s="9"/>
      <c r="W147" s="9"/>
      <c r="X147" s="9"/>
      <c r="Y147" s="9"/>
      <c r="Z147" s="9"/>
      <c r="AA147" s="9"/>
      <c r="AB147" s="9"/>
      <c r="AC147" s="9"/>
      <c r="AD147" s="9" t="s">
        <v>20</v>
      </c>
    </row>
    <row r="148" spans="1:30" ht="43.5">
      <c r="A148" s="3" t="s">
        <v>836</v>
      </c>
      <c r="B148" s="3" t="s">
        <v>12856</v>
      </c>
      <c r="C148" s="3" t="s">
        <v>5408</v>
      </c>
      <c r="G148" s="9" t="s">
        <v>26</v>
      </c>
      <c r="H148" s="9"/>
      <c r="I148" s="9"/>
      <c r="J148" s="9"/>
      <c r="K148" s="9"/>
      <c r="L148" s="9"/>
      <c r="M148" s="9"/>
      <c r="N148" s="10"/>
      <c r="O148" s="9"/>
      <c r="P148" s="9"/>
      <c r="Q148" s="9"/>
      <c r="R148" s="9" t="s">
        <v>12795</v>
      </c>
      <c r="S148" s="9" t="s">
        <v>12795</v>
      </c>
      <c r="T148" s="9"/>
      <c r="U148" s="9"/>
      <c r="V148" s="9"/>
      <c r="W148" s="9"/>
      <c r="X148" s="9"/>
      <c r="Y148" s="9"/>
      <c r="Z148" s="9"/>
      <c r="AA148" s="9"/>
      <c r="AB148" s="9"/>
      <c r="AC148" s="9"/>
      <c r="AD148" s="9" t="s">
        <v>20</v>
      </c>
    </row>
    <row r="149" spans="1:30" ht="29">
      <c r="A149" s="3" t="s">
        <v>838</v>
      </c>
      <c r="B149" s="3" t="s">
        <v>5419</v>
      </c>
      <c r="C149" s="3" t="s">
        <v>5420</v>
      </c>
      <c r="G149" s="9" t="s">
        <v>24</v>
      </c>
      <c r="H149" s="9"/>
      <c r="I149" s="9">
        <v>1</v>
      </c>
      <c r="J149" s="9">
        <v>1</v>
      </c>
      <c r="K149" s="9" t="s">
        <v>12078</v>
      </c>
      <c r="L149" s="9" t="s">
        <v>12119</v>
      </c>
      <c r="M149" s="9"/>
      <c r="N149" s="10"/>
      <c r="O149" s="9"/>
      <c r="P149" s="9">
        <v>11843</v>
      </c>
      <c r="Q149" s="9"/>
      <c r="R149" s="9" t="s">
        <v>12795</v>
      </c>
      <c r="S149" s="9" t="s">
        <v>12795</v>
      </c>
      <c r="T149" s="9"/>
      <c r="U149" s="9"/>
      <c r="V149" s="9"/>
      <c r="W149" s="9"/>
      <c r="X149" s="9"/>
      <c r="Y149" s="9"/>
      <c r="Z149" s="9"/>
      <c r="AA149" s="9"/>
      <c r="AB149" s="9"/>
      <c r="AC149" s="9"/>
      <c r="AD149" s="9" t="s">
        <v>13141</v>
      </c>
    </row>
    <row r="150" spans="1:30" ht="29">
      <c r="A150" s="3" t="s">
        <v>838</v>
      </c>
      <c r="B150" s="3" t="s">
        <v>5421</v>
      </c>
      <c r="C150" s="3" t="s">
        <v>5422</v>
      </c>
      <c r="G150" s="9" t="s">
        <v>25</v>
      </c>
      <c r="H150" s="9"/>
      <c r="I150" s="9">
        <v>1</v>
      </c>
      <c r="J150" s="9">
        <v>4</v>
      </c>
      <c r="K150" s="9" t="s">
        <v>12094</v>
      </c>
      <c r="L150" s="9" t="s">
        <v>12079</v>
      </c>
      <c r="M150" s="9"/>
      <c r="N150" s="10"/>
      <c r="O150" s="9"/>
      <c r="P150" s="9">
        <v>4240</v>
      </c>
      <c r="Q150" s="9"/>
      <c r="R150" s="9" t="s">
        <v>12795</v>
      </c>
      <c r="S150" s="9" t="s">
        <v>12795</v>
      </c>
      <c r="T150" s="9"/>
      <c r="U150" s="9"/>
      <c r="V150" s="9"/>
      <c r="W150" s="9"/>
      <c r="X150" s="9"/>
      <c r="Y150" s="9"/>
      <c r="Z150" s="9"/>
      <c r="AA150" s="9"/>
      <c r="AB150" s="9"/>
      <c r="AC150" s="9"/>
      <c r="AD150" s="9" t="s">
        <v>19</v>
      </c>
    </row>
    <row r="151" spans="1:30" ht="29">
      <c r="A151" s="3" t="s">
        <v>841</v>
      </c>
      <c r="B151" s="3" t="s">
        <v>5429</v>
      </c>
      <c r="C151" s="3" t="s">
        <v>5430</v>
      </c>
      <c r="G151" s="9" t="s">
        <v>12120</v>
      </c>
      <c r="H151" s="9"/>
      <c r="I151" s="9"/>
      <c r="J151" s="9"/>
      <c r="K151" s="9"/>
      <c r="L151" s="9"/>
      <c r="M151" s="9"/>
      <c r="N151" s="10"/>
      <c r="O151" s="9"/>
      <c r="P151" s="9"/>
      <c r="Q151" s="9"/>
      <c r="R151" s="9" t="s">
        <v>12795</v>
      </c>
      <c r="S151" s="9" t="s">
        <v>12795</v>
      </c>
      <c r="T151" s="9"/>
      <c r="U151" s="9"/>
      <c r="V151" s="9"/>
      <c r="W151" s="9"/>
      <c r="X151" s="9"/>
      <c r="Y151" s="9"/>
      <c r="Z151" s="9"/>
      <c r="AA151" s="9"/>
      <c r="AB151" s="9"/>
      <c r="AC151" s="9"/>
      <c r="AD151" s="9" t="s">
        <v>20</v>
      </c>
    </row>
    <row r="152" spans="1:30" ht="29">
      <c r="A152" s="3" t="s">
        <v>841</v>
      </c>
      <c r="B152" s="3" t="s">
        <v>5431</v>
      </c>
      <c r="C152" s="3" t="s">
        <v>5432</v>
      </c>
      <c r="G152" s="9" t="s">
        <v>12118</v>
      </c>
      <c r="H152" s="9"/>
      <c r="I152" s="9"/>
      <c r="J152" s="9"/>
      <c r="K152" s="9"/>
      <c r="L152" s="9"/>
      <c r="M152" s="9"/>
      <c r="N152" s="10"/>
      <c r="O152" s="9"/>
      <c r="P152" s="9"/>
      <c r="Q152" s="9">
        <v>234</v>
      </c>
      <c r="R152" s="9">
        <v>31</v>
      </c>
      <c r="S152" s="9">
        <v>265</v>
      </c>
      <c r="T152" s="9"/>
      <c r="U152" s="9"/>
      <c r="V152" s="9"/>
      <c r="W152" s="9"/>
      <c r="X152" s="9"/>
      <c r="Y152" s="9"/>
      <c r="Z152" s="9"/>
      <c r="AA152" s="9"/>
      <c r="AB152" s="9"/>
      <c r="AC152" s="9"/>
      <c r="AD152" s="9" t="s">
        <v>20</v>
      </c>
    </row>
    <row r="153" spans="1:30" ht="29">
      <c r="A153" s="3" t="s">
        <v>841</v>
      </c>
      <c r="B153" s="3" t="s">
        <v>5433</v>
      </c>
      <c r="C153" s="3" t="s">
        <v>5434</v>
      </c>
      <c r="G153" s="9" t="s">
        <v>26</v>
      </c>
      <c r="H153" s="9"/>
      <c r="I153" s="9"/>
      <c r="J153" s="9"/>
      <c r="K153" s="9"/>
      <c r="L153" s="9"/>
      <c r="M153" s="9"/>
      <c r="N153" s="10"/>
      <c r="O153" s="9"/>
      <c r="P153" s="9"/>
      <c r="Q153" s="9"/>
      <c r="R153" s="9" t="s">
        <v>12795</v>
      </c>
      <c r="S153" s="9" t="s">
        <v>12795</v>
      </c>
      <c r="T153" s="9"/>
      <c r="U153" s="9"/>
      <c r="V153" s="9"/>
      <c r="W153" s="9"/>
      <c r="X153" s="9"/>
      <c r="Y153" s="9"/>
      <c r="Z153" s="9"/>
      <c r="AA153" s="9"/>
      <c r="AB153" s="9"/>
      <c r="AC153" s="9"/>
      <c r="AD153" s="9" t="s">
        <v>20</v>
      </c>
    </row>
    <row r="154" spans="1:30" ht="29">
      <c r="A154" s="3" t="s">
        <v>851</v>
      </c>
      <c r="B154" s="3" t="s">
        <v>5440</v>
      </c>
      <c r="C154" s="3" t="s">
        <v>5439</v>
      </c>
      <c r="G154" s="9" t="s">
        <v>24</v>
      </c>
      <c r="H154" s="9"/>
      <c r="I154" s="9">
        <v>1</v>
      </c>
      <c r="J154" s="9">
        <v>3</v>
      </c>
      <c r="K154" s="9" t="s">
        <v>12094</v>
      </c>
      <c r="L154" s="9" t="s">
        <v>12079</v>
      </c>
      <c r="M154" s="9"/>
      <c r="N154" s="10"/>
      <c r="O154" s="9"/>
      <c r="P154" s="9">
        <v>1496</v>
      </c>
      <c r="Q154" s="9"/>
      <c r="R154" s="9" t="s">
        <v>12795</v>
      </c>
      <c r="S154" s="9" t="s">
        <v>12795</v>
      </c>
      <c r="T154" s="9"/>
      <c r="U154" s="9"/>
      <c r="V154" s="9"/>
      <c r="W154" s="9"/>
      <c r="X154" s="9"/>
      <c r="Y154" s="9"/>
      <c r="Z154" s="9"/>
      <c r="AA154" s="9"/>
      <c r="AB154" s="9"/>
      <c r="AC154" s="9"/>
      <c r="AD154" s="9" t="s">
        <v>19</v>
      </c>
    </row>
    <row r="155" spans="1:30" ht="29">
      <c r="A155" s="3" t="s">
        <v>855</v>
      </c>
      <c r="B155" s="3" t="s">
        <v>5441</v>
      </c>
      <c r="C155" s="3" t="s">
        <v>5442</v>
      </c>
      <c r="G155" s="9" t="s">
        <v>12118</v>
      </c>
      <c r="H155" s="9"/>
      <c r="I155" s="9"/>
      <c r="J155" s="9"/>
      <c r="K155" s="9"/>
      <c r="L155" s="9"/>
      <c r="M155" s="9"/>
      <c r="N155" s="10"/>
      <c r="O155" s="9"/>
      <c r="P155" s="9"/>
      <c r="Q155" s="9">
        <v>1610</v>
      </c>
      <c r="R155" s="9">
        <v>356</v>
      </c>
      <c r="S155" s="9">
        <v>1966</v>
      </c>
      <c r="T155" s="9"/>
      <c r="U155" s="9"/>
      <c r="V155" s="9"/>
      <c r="W155" s="9"/>
      <c r="X155" s="9"/>
      <c r="Y155" s="9"/>
      <c r="Z155" s="9"/>
      <c r="AA155" s="9"/>
      <c r="AB155" s="9"/>
      <c r="AC155" s="9"/>
      <c r="AD155" s="9" t="s">
        <v>19</v>
      </c>
    </row>
    <row r="156" spans="1:30" ht="29">
      <c r="A156" s="3" t="s">
        <v>865</v>
      </c>
      <c r="B156" s="3" t="s">
        <v>5451</v>
      </c>
      <c r="C156" s="3" t="s">
        <v>5452</v>
      </c>
      <c r="G156" s="9" t="s">
        <v>25</v>
      </c>
      <c r="H156" s="9"/>
      <c r="I156" s="9">
        <v>1</v>
      </c>
      <c r="J156" s="9">
        <v>8</v>
      </c>
      <c r="K156" s="9" t="s">
        <v>12092</v>
      </c>
      <c r="L156" s="9" t="s">
        <v>12079</v>
      </c>
      <c r="M156" s="9"/>
      <c r="N156" s="10"/>
      <c r="O156" s="9"/>
      <c r="P156" s="9">
        <v>371</v>
      </c>
      <c r="Q156" s="9"/>
      <c r="R156" s="9" t="s">
        <v>12795</v>
      </c>
      <c r="S156" s="9" t="s">
        <v>12795</v>
      </c>
      <c r="T156" s="9"/>
      <c r="U156" s="9"/>
      <c r="V156" s="9"/>
      <c r="W156" s="9"/>
      <c r="X156" s="9"/>
      <c r="Y156" s="9"/>
      <c r="Z156" s="9"/>
      <c r="AA156" s="9"/>
      <c r="AB156" s="9"/>
      <c r="AC156" s="9"/>
      <c r="AD156" s="9" t="s">
        <v>20</v>
      </c>
    </row>
    <row r="157" spans="1:30" ht="43.5">
      <c r="A157" s="3" t="s">
        <v>866</v>
      </c>
      <c r="B157" s="3" t="s">
        <v>5453</v>
      </c>
      <c r="C157" s="3" t="s">
        <v>5454</v>
      </c>
      <c r="G157" s="9" t="s">
        <v>26</v>
      </c>
      <c r="H157" s="9"/>
      <c r="I157" s="9"/>
      <c r="J157" s="9"/>
      <c r="K157" s="9"/>
      <c r="L157" s="9"/>
      <c r="M157" s="9"/>
      <c r="N157" s="10"/>
      <c r="O157" s="9"/>
      <c r="P157" s="9"/>
      <c r="Q157" s="9"/>
      <c r="R157" s="9" t="s">
        <v>12795</v>
      </c>
      <c r="S157" s="9" t="s">
        <v>12795</v>
      </c>
      <c r="T157" s="9"/>
      <c r="U157" s="9"/>
      <c r="V157" s="9"/>
      <c r="W157" s="9"/>
      <c r="X157" s="9"/>
      <c r="Y157" s="9"/>
      <c r="Z157" s="9"/>
      <c r="AA157" s="9"/>
      <c r="AB157" s="9"/>
      <c r="AC157" s="9"/>
      <c r="AD157" s="9" t="s">
        <v>19</v>
      </c>
    </row>
    <row r="158" spans="1:30" ht="43.5">
      <c r="A158" s="3" t="s">
        <v>866</v>
      </c>
      <c r="B158" s="3" t="s">
        <v>5455</v>
      </c>
      <c r="C158" s="3" t="s">
        <v>5456</v>
      </c>
      <c r="G158" s="9" t="s">
        <v>26</v>
      </c>
      <c r="H158" s="9"/>
      <c r="I158" s="9"/>
      <c r="J158" s="9"/>
      <c r="K158" s="9"/>
      <c r="L158" s="9"/>
      <c r="M158" s="9"/>
      <c r="N158" s="10"/>
      <c r="O158" s="9"/>
      <c r="P158" s="9"/>
      <c r="Q158" s="9"/>
      <c r="R158" s="9" t="s">
        <v>12795</v>
      </c>
      <c r="S158" s="9" t="s">
        <v>12795</v>
      </c>
      <c r="T158" s="9"/>
      <c r="U158" s="9"/>
      <c r="V158" s="9"/>
      <c r="W158" s="9"/>
      <c r="X158" s="9"/>
      <c r="Y158" s="9"/>
      <c r="Z158" s="9"/>
      <c r="AA158" s="9"/>
      <c r="AB158" s="9"/>
      <c r="AC158" s="9"/>
      <c r="AD158" s="9" t="s">
        <v>20</v>
      </c>
    </row>
    <row r="159" spans="1:30" ht="29">
      <c r="A159" s="3" t="s">
        <v>868</v>
      </c>
      <c r="B159" s="3" t="s">
        <v>5459</v>
      </c>
      <c r="C159" s="3" t="s">
        <v>5460</v>
      </c>
      <c r="G159" s="9" t="s">
        <v>25</v>
      </c>
      <c r="H159" s="9"/>
      <c r="I159" s="9">
        <v>1</v>
      </c>
      <c r="J159" s="9">
        <v>1</v>
      </c>
      <c r="K159" s="9" t="s">
        <v>12078</v>
      </c>
      <c r="L159" s="9" t="s">
        <v>12119</v>
      </c>
      <c r="M159" s="9"/>
      <c r="N159" s="10"/>
      <c r="O159" s="9"/>
      <c r="P159" s="9">
        <v>11843</v>
      </c>
      <c r="Q159" s="9"/>
      <c r="R159" s="9" t="s">
        <v>12795</v>
      </c>
      <c r="S159" s="9" t="s">
        <v>12795</v>
      </c>
      <c r="T159" s="9"/>
      <c r="U159" s="9"/>
      <c r="V159" s="9"/>
      <c r="W159" s="9"/>
      <c r="X159" s="9"/>
      <c r="Y159" s="9"/>
      <c r="Z159" s="9"/>
      <c r="AA159" s="9"/>
      <c r="AB159" s="9"/>
      <c r="AC159" s="9"/>
      <c r="AD159" s="9" t="s">
        <v>19</v>
      </c>
    </row>
    <row r="160" spans="1:30" ht="29">
      <c r="A160" s="3" t="s">
        <v>876</v>
      </c>
      <c r="B160" s="3" t="s">
        <v>5465</v>
      </c>
      <c r="C160" s="3" t="s">
        <v>5466</v>
      </c>
      <c r="G160" s="9" t="s">
        <v>24</v>
      </c>
      <c r="H160" s="9"/>
      <c r="I160" s="9">
        <v>1</v>
      </c>
      <c r="J160" s="9">
        <v>2</v>
      </c>
      <c r="K160" s="9" t="s">
        <v>12078</v>
      </c>
      <c r="L160" s="9" t="s">
        <v>12119</v>
      </c>
      <c r="M160" s="9"/>
      <c r="N160" s="10"/>
      <c r="O160" s="9"/>
      <c r="P160" s="9">
        <v>11843</v>
      </c>
      <c r="Q160" s="9"/>
      <c r="R160" s="9" t="s">
        <v>12795</v>
      </c>
      <c r="S160" s="9" t="s">
        <v>12795</v>
      </c>
      <c r="T160" s="9"/>
      <c r="U160" s="9"/>
      <c r="V160" s="9"/>
      <c r="W160" s="9"/>
      <c r="X160" s="9"/>
      <c r="Y160" s="9"/>
      <c r="Z160" s="9"/>
      <c r="AA160" s="9"/>
      <c r="AB160" s="9"/>
      <c r="AC160" s="9"/>
      <c r="AD160" s="9" t="s">
        <v>19</v>
      </c>
    </row>
    <row r="161" spans="1:30" ht="29">
      <c r="A161" s="3" t="s">
        <v>878</v>
      </c>
      <c r="B161" s="3" t="s">
        <v>5467</v>
      </c>
      <c r="C161" s="3" t="s">
        <v>5468</v>
      </c>
      <c r="G161" s="9" t="s">
        <v>12120</v>
      </c>
      <c r="H161" s="9"/>
      <c r="I161" s="9"/>
      <c r="J161" s="9"/>
      <c r="K161" s="9"/>
      <c r="L161" s="9"/>
      <c r="M161" s="9"/>
      <c r="N161" s="10"/>
      <c r="O161" s="9"/>
      <c r="P161" s="9"/>
      <c r="Q161" s="9"/>
      <c r="R161" s="9" t="s">
        <v>12795</v>
      </c>
      <c r="S161" s="9" t="s">
        <v>12795</v>
      </c>
      <c r="T161" s="9"/>
      <c r="U161" s="9"/>
      <c r="V161" s="9"/>
      <c r="W161" s="9"/>
      <c r="X161" s="9"/>
      <c r="Y161" s="9"/>
      <c r="Z161" s="9"/>
      <c r="AA161" s="9"/>
      <c r="AB161" s="9"/>
      <c r="AC161" s="9"/>
      <c r="AD161" s="9" t="s">
        <v>19</v>
      </c>
    </row>
    <row r="162" spans="1:30" ht="29">
      <c r="A162" s="3" t="s">
        <v>881</v>
      </c>
      <c r="B162" s="3" t="s">
        <v>5471</v>
      </c>
      <c r="C162" s="3" t="s">
        <v>5472</v>
      </c>
      <c r="G162" s="9" t="s">
        <v>12118</v>
      </c>
      <c r="H162" s="9"/>
      <c r="I162" s="9"/>
      <c r="J162" s="9"/>
      <c r="K162" s="9"/>
      <c r="L162" s="9"/>
      <c r="M162" s="9"/>
      <c r="N162" s="10"/>
      <c r="O162" s="9"/>
      <c r="P162" s="9"/>
      <c r="Q162" s="9">
        <v>-293</v>
      </c>
      <c r="R162" s="9">
        <v>472</v>
      </c>
      <c r="S162" s="9">
        <v>179</v>
      </c>
      <c r="T162" s="9" t="s">
        <v>4</v>
      </c>
      <c r="U162" s="9"/>
      <c r="V162" s="9"/>
      <c r="W162" s="9"/>
      <c r="X162" s="9"/>
      <c r="Y162" s="9"/>
      <c r="Z162" s="9"/>
      <c r="AA162" s="9"/>
      <c r="AB162" s="9"/>
      <c r="AC162" s="9"/>
      <c r="AD162" s="9" t="s">
        <v>20</v>
      </c>
    </row>
    <row r="163" spans="1:30" ht="29">
      <c r="A163" s="3" t="s">
        <v>891</v>
      </c>
      <c r="B163" s="3" t="s">
        <v>5480</v>
      </c>
      <c r="C163" s="3" t="s">
        <v>5479</v>
      </c>
      <c r="G163" s="9" t="s">
        <v>25</v>
      </c>
      <c r="H163" s="9"/>
      <c r="I163" s="9">
        <v>2</v>
      </c>
      <c r="J163" s="9">
        <v>7</v>
      </c>
      <c r="K163" s="9"/>
      <c r="L163" s="9" t="s">
        <v>12079</v>
      </c>
      <c r="M163" s="9"/>
      <c r="N163" s="10"/>
      <c r="O163" s="9"/>
      <c r="P163" s="9">
        <v>75</v>
      </c>
      <c r="Q163" s="9"/>
      <c r="R163" s="9" t="s">
        <v>12795</v>
      </c>
      <c r="S163" s="9" t="s">
        <v>12795</v>
      </c>
      <c r="T163" s="9"/>
      <c r="U163" s="9"/>
      <c r="V163" s="9"/>
      <c r="W163" s="9"/>
      <c r="X163" s="9"/>
      <c r="Y163" s="9"/>
      <c r="Z163" s="9"/>
      <c r="AA163" s="9"/>
      <c r="AB163" s="9"/>
      <c r="AC163" s="9"/>
      <c r="AD163" s="9" t="s">
        <v>20</v>
      </c>
    </row>
    <row r="164" spans="1:30" ht="29">
      <c r="A164" s="3" t="s">
        <v>891</v>
      </c>
      <c r="B164" s="3" t="s">
        <v>5483</v>
      </c>
      <c r="C164" s="3" t="s">
        <v>5484</v>
      </c>
      <c r="G164" s="9" t="s">
        <v>12120</v>
      </c>
      <c r="H164" s="9"/>
      <c r="I164" s="9"/>
      <c r="J164" s="9"/>
      <c r="K164" s="9"/>
      <c r="L164" s="9"/>
      <c r="M164" s="9"/>
      <c r="N164" s="10"/>
      <c r="O164" s="9"/>
      <c r="P164" s="9"/>
      <c r="Q164" s="9"/>
      <c r="R164" s="9" t="s">
        <v>12795</v>
      </c>
      <c r="S164" s="9" t="s">
        <v>12795</v>
      </c>
      <c r="T164" s="9"/>
      <c r="U164" s="9"/>
      <c r="V164" s="9"/>
      <c r="W164" s="9"/>
      <c r="X164" s="9"/>
      <c r="Y164" s="9"/>
      <c r="Z164" s="9"/>
      <c r="AA164" s="9"/>
      <c r="AB164" s="9"/>
      <c r="AC164" s="9"/>
      <c r="AD164" s="9" t="s">
        <v>19</v>
      </c>
    </row>
    <row r="165" spans="1:30" ht="29">
      <c r="A165" s="3" t="s">
        <v>895</v>
      </c>
      <c r="B165" s="3" t="s">
        <v>5486</v>
      </c>
      <c r="C165" s="3" t="s">
        <v>5487</v>
      </c>
      <c r="G165" s="9" t="s">
        <v>12118</v>
      </c>
      <c r="H165" s="9"/>
      <c r="I165" s="9"/>
      <c r="J165" s="9"/>
      <c r="K165" s="9"/>
      <c r="L165" s="9"/>
      <c r="M165" s="9"/>
      <c r="N165" s="10"/>
      <c r="O165" s="9"/>
      <c r="P165" s="9"/>
      <c r="Q165" s="9">
        <v>186</v>
      </c>
      <c r="R165" s="9">
        <v>0</v>
      </c>
      <c r="S165" s="9">
        <v>186</v>
      </c>
      <c r="T165" s="9"/>
      <c r="U165" s="9"/>
      <c r="V165" s="9"/>
      <c r="W165" s="9"/>
      <c r="X165" s="9"/>
      <c r="Y165" s="9"/>
      <c r="Z165" s="9"/>
      <c r="AA165" s="9"/>
      <c r="AB165" s="9"/>
      <c r="AC165" s="9"/>
      <c r="AD165" s="9" t="s">
        <v>19</v>
      </c>
    </row>
    <row r="166" spans="1:30" ht="29">
      <c r="A166" s="3" t="s">
        <v>895</v>
      </c>
      <c r="B166" s="3" t="s">
        <v>5488</v>
      </c>
      <c r="C166" s="3" t="s">
        <v>5489</v>
      </c>
      <c r="G166" s="9" t="s">
        <v>24</v>
      </c>
      <c r="H166" s="9"/>
      <c r="I166" s="9">
        <v>1</v>
      </c>
      <c r="J166" s="9">
        <v>3</v>
      </c>
      <c r="K166" s="9" t="s">
        <v>12078</v>
      </c>
      <c r="L166" s="9" t="s">
        <v>12079</v>
      </c>
      <c r="M166" s="9"/>
      <c r="N166" s="10"/>
      <c r="O166" s="9"/>
      <c r="P166" s="9">
        <v>11843</v>
      </c>
      <c r="Q166" s="9"/>
      <c r="R166" s="9" t="s">
        <v>12795</v>
      </c>
      <c r="S166" s="9" t="s">
        <v>12795</v>
      </c>
      <c r="T166" s="9" t="s">
        <v>12117</v>
      </c>
      <c r="U166" s="9"/>
      <c r="V166" s="9"/>
      <c r="W166" s="9"/>
      <c r="X166" s="9"/>
      <c r="Y166" s="9"/>
      <c r="Z166" s="9"/>
      <c r="AA166" s="9"/>
      <c r="AB166" s="9"/>
      <c r="AC166" s="9"/>
      <c r="AD166" s="9" t="s">
        <v>13141</v>
      </c>
    </row>
    <row r="167" spans="1:30" ht="29">
      <c r="A167" s="3" t="s">
        <v>899</v>
      </c>
      <c r="B167" s="3" t="s">
        <v>5490</v>
      </c>
      <c r="C167" s="3" t="s">
        <v>5491</v>
      </c>
      <c r="G167" s="9" t="s">
        <v>25</v>
      </c>
      <c r="H167" s="9"/>
      <c r="I167" s="9">
        <v>1</v>
      </c>
      <c r="J167" s="9">
        <v>2</v>
      </c>
      <c r="K167" s="9" t="s">
        <v>12087</v>
      </c>
      <c r="L167" s="9" t="s">
        <v>12119</v>
      </c>
      <c r="M167" s="9"/>
      <c r="N167" s="10"/>
      <c r="O167" s="9"/>
      <c r="P167" s="9">
        <v>1966</v>
      </c>
      <c r="Q167" s="9"/>
      <c r="R167" s="9" t="s">
        <v>12795</v>
      </c>
      <c r="S167" s="9" t="s">
        <v>12795</v>
      </c>
      <c r="T167" s="9"/>
      <c r="U167" s="9"/>
      <c r="V167" s="9"/>
      <c r="W167" s="9"/>
      <c r="X167" s="9"/>
      <c r="Y167" s="9"/>
      <c r="Z167" s="9"/>
      <c r="AA167" s="9"/>
      <c r="AB167" s="9"/>
      <c r="AC167" s="9"/>
      <c r="AD167" s="9" t="s">
        <v>19</v>
      </c>
    </row>
    <row r="168" spans="1:30" ht="29">
      <c r="A168" s="3" t="s">
        <v>904</v>
      </c>
      <c r="B168" s="3" t="s">
        <v>12844</v>
      </c>
      <c r="C168" s="3" t="s">
        <v>12845</v>
      </c>
      <c r="G168" s="9" t="s">
        <v>12120</v>
      </c>
      <c r="H168" s="9"/>
      <c r="I168" s="9"/>
      <c r="J168" s="9"/>
      <c r="K168" s="9"/>
      <c r="L168" s="9"/>
      <c r="M168" s="9"/>
      <c r="N168" s="10"/>
      <c r="O168" s="9"/>
      <c r="P168" s="9"/>
      <c r="Q168" s="9"/>
      <c r="R168" s="9" t="s">
        <v>12795</v>
      </c>
      <c r="S168" s="9" t="s">
        <v>12795</v>
      </c>
      <c r="T168" s="9"/>
      <c r="U168" s="9"/>
      <c r="V168" s="9"/>
      <c r="W168" s="9"/>
      <c r="X168" s="9"/>
      <c r="Y168" s="9"/>
      <c r="Z168" s="9"/>
      <c r="AA168" s="9"/>
      <c r="AB168" s="9"/>
      <c r="AC168" s="9"/>
      <c r="AD168" s="9" t="s">
        <v>19</v>
      </c>
    </row>
    <row r="169" spans="1:30" ht="29">
      <c r="A169" s="3" t="s">
        <v>904</v>
      </c>
      <c r="B169" s="3" t="s">
        <v>5494</v>
      </c>
      <c r="C169" s="3" t="s">
        <v>12846</v>
      </c>
      <c r="G169" s="9" t="s">
        <v>24</v>
      </c>
      <c r="H169" s="9"/>
      <c r="I169" s="9">
        <v>1</v>
      </c>
      <c r="J169" s="9">
        <v>3</v>
      </c>
      <c r="K169" s="9" t="s">
        <v>12087</v>
      </c>
      <c r="L169" s="9" t="s">
        <v>12079</v>
      </c>
      <c r="M169" s="9"/>
      <c r="N169" s="10"/>
      <c r="O169" s="9"/>
      <c r="P169" s="9">
        <v>5776</v>
      </c>
      <c r="Q169" s="9"/>
      <c r="R169" s="9"/>
      <c r="S169" s="9"/>
      <c r="T169" s="9"/>
      <c r="U169" s="9"/>
      <c r="V169" s="9"/>
      <c r="W169" s="9"/>
      <c r="X169" s="9"/>
      <c r="Y169" s="9"/>
      <c r="Z169" s="9"/>
      <c r="AA169" s="9"/>
      <c r="AB169" s="9"/>
      <c r="AC169" s="9"/>
      <c r="AD169" s="9" t="s">
        <v>19</v>
      </c>
    </row>
    <row r="170" spans="1:30" ht="29">
      <c r="A170" s="3" t="s">
        <v>905</v>
      </c>
      <c r="B170" s="3" t="s">
        <v>906</v>
      </c>
      <c r="C170" s="3" t="s">
        <v>907</v>
      </c>
      <c r="G170" s="9" t="s">
        <v>12120</v>
      </c>
      <c r="H170" s="9"/>
      <c r="I170" s="9"/>
      <c r="J170" s="9"/>
      <c r="K170" s="9"/>
      <c r="L170" s="9"/>
      <c r="M170" s="9"/>
      <c r="N170" s="10"/>
      <c r="O170" s="9"/>
      <c r="P170" s="9"/>
      <c r="Q170" s="9"/>
      <c r="R170" s="9" t="s">
        <v>12795</v>
      </c>
      <c r="S170" s="9" t="s">
        <v>12795</v>
      </c>
      <c r="T170" s="9"/>
      <c r="U170" s="9"/>
      <c r="V170" s="9"/>
      <c r="W170" s="9"/>
      <c r="X170" s="9"/>
      <c r="Y170" s="9"/>
      <c r="Z170" s="9" t="s">
        <v>12744</v>
      </c>
      <c r="AA170" s="9" t="s">
        <v>20</v>
      </c>
      <c r="AB170" s="9"/>
      <c r="AC170" s="9"/>
      <c r="AD170" s="9" t="s">
        <v>19</v>
      </c>
    </row>
    <row r="171" spans="1:30" ht="29">
      <c r="A171" s="3" t="s">
        <v>910</v>
      </c>
      <c r="B171" s="3" t="s">
        <v>5497</v>
      </c>
      <c r="C171" s="3" t="s">
        <v>5498</v>
      </c>
      <c r="G171" s="9" t="s">
        <v>12118</v>
      </c>
      <c r="H171" s="9"/>
      <c r="I171" s="9"/>
      <c r="J171" s="9"/>
      <c r="K171" s="9"/>
      <c r="L171" s="9"/>
      <c r="M171" s="9"/>
      <c r="N171" s="10"/>
      <c r="O171" s="9"/>
      <c r="P171" s="9"/>
      <c r="Q171" s="9">
        <v>-34</v>
      </c>
      <c r="R171" s="9">
        <v>227</v>
      </c>
      <c r="S171" s="9">
        <v>193</v>
      </c>
      <c r="T171" s="9"/>
      <c r="U171" s="9"/>
      <c r="V171" s="9"/>
      <c r="W171" s="9"/>
      <c r="X171" s="9"/>
      <c r="Y171" s="9"/>
      <c r="Z171" s="9"/>
      <c r="AA171" s="9"/>
      <c r="AB171" s="9"/>
      <c r="AC171" s="9"/>
      <c r="AD171" s="9" t="s">
        <v>20</v>
      </c>
    </row>
    <row r="172" spans="1:30" ht="43.5">
      <c r="A172" s="3" t="s">
        <v>918</v>
      </c>
      <c r="B172" s="3" t="s">
        <v>5505</v>
      </c>
      <c r="C172" s="3" t="s">
        <v>5506</v>
      </c>
      <c r="G172" s="9" t="s">
        <v>26</v>
      </c>
      <c r="H172" s="9"/>
      <c r="I172" s="9"/>
      <c r="J172" s="9"/>
      <c r="K172" s="9"/>
      <c r="L172" s="9"/>
      <c r="M172" s="9"/>
      <c r="N172" s="10"/>
      <c r="O172" s="9"/>
      <c r="P172" s="9"/>
      <c r="Q172" s="9"/>
      <c r="R172" s="9" t="s">
        <v>12795</v>
      </c>
      <c r="S172" s="9" t="s">
        <v>12795</v>
      </c>
      <c r="T172" s="9"/>
      <c r="U172" s="9"/>
      <c r="V172" s="9"/>
      <c r="W172" s="9"/>
      <c r="X172" s="9"/>
      <c r="Y172" s="9"/>
      <c r="Z172" s="9"/>
      <c r="AA172" s="9"/>
      <c r="AB172" s="9"/>
      <c r="AC172" s="9"/>
      <c r="AD172" s="9" t="s">
        <v>19</v>
      </c>
    </row>
    <row r="173" spans="1:30" ht="58">
      <c r="A173" s="3" t="s">
        <v>919</v>
      </c>
      <c r="B173" s="3" t="s">
        <v>5507</v>
      </c>
      <c r="C173" s="3" t="s">
        <v>5509</v>
      </c>
      <c r="F173" t="s">
        <v>22</v>
      </c>
      <c r="G173" s="9" t="s">
        <v>25</v>
      </c>
      <c r="H173" s="9"/>
      <c r="I173" s="9">
        <v>4</v>
      </c>
      <c r="J173" s="9">
        <v>16</v>
      </c>
      <c r="K173" s="9"/>
      <c r="L173" s="9" t="s">
        <v>12073</v>
      </c>
      <c r="M173" s="9" t="s">
        <v>12140</v>
      </c>
      <c r="N173" s="10" t="s">
        <v>12136</v>
      </c>
      <c r="O173" s="9"/>
      <c r="P173" s="9">
        <v>8</v>
      </c>
      <c r="Q173" s="9"/>
      <c r="R173" s="9" t="s">
        <v>12795</v>
      </c>
      <c r="S173" s="9" t="s">
        <v>12795</v>
      </c>
      <c r="T173" s="9" t="s">
        <v>12117</v>
      </c>
      <c r="U173" s="9"/>
      <c r="V173" s="9"/>
      <c r="W173" s="9"/>
      <c r="X173" s="9"/>
      <c r="Y173" s="9"/>
      <c r="Z173" s="9"/>
      <c r="AA173" s="9"/>
      <c r="AB173" s="9"/>
      <c r="AC173" s="9"/>
      <c r="AD173" s="9" t="s">
        <v>20</v>
      </c>
    </row>
    <row r="174" spans="1:30" ht="58">
      <c r="A174" s="3" t="s">
        <v>919</v>
      </c>
      <c r="B174" s="3" t="s">
        <v>5508</v>
      </c>
      <c r="C174" s="3" t="s">
        <v>5509</v>
      </c>
      <c r="G174" s="9" t="s">
        <v>25</v>
      </c>
      <c r="H174" s="9"/>
      <c r="I174" s="9">
        <v>1</v>
      </c>
      <c r="J174" s="9">
        <v>4</v>
      </c>
      <c r="K174" s="9" t="s">
        <v>12094</v>
      </c>
      <c r="L174" s="9" t="s">
        <v>12079</v>
      </c>
      <c r="M174" s="9"/>
      <c r="N174" s="10"/>
      <c r="O174" s="9"/>
      <c r="P174" s="9">
        <v>50</v>
      </c>
      <c r="Q174" s="9"/>
      <c r="R174" s="9" t="s">
        <v>12795</v>
      </c>
      <c r="S174" s="9" t="s">
        <v>12795</v>
      </c>
      <c r="T174" s="9"/>
      <c r="U174" s="9"/>
      <c r="V174" s="9"/>
      <c r="W174" s="9"/>
      <c r="X174" s="9"/>
      <c r="Y174" s="9"/>
      <c r="Z174" s="9"/>
      <c r="AA174" s="9"/>
      <c r="AB174" s="9"/>
      <c r="AC174" s="9"/>
      <c r="AD174" s="9" t="s">
        <v>20</v>
      </c>
    </row>
    <row r="175" spans="1:30" ht="29">
      <c r="A175" s="3" t="s">
        <v>928</v>
      </c>
      <c r="B175" s="3" t="s">
        <v>5526</v>
      </c>
      <c r="C175" s="3" t="s">
        <v>5525</v>
      </c>
      <c r="G175" s="9" t="s">
        <v>26</v>
      </c>
      <c r="H175" s="9"/>
      <c r="I175" s="9"/>
      <c r="J175" s="9"/>
      <c r="K175" s="9"/>
      <c r="L175" s="9"/>
      <c r="M175" s="9"/>
      <c r="N175" s="10"/>
      <c r="O175" s="9"/>
      <c r="P175" s="9"/>
      <c r="Q175" s="9"/>
      <c r="R175" s="9" t="s">
        <v>12795</v>
      </c>
      <c r="S175" s="9" t="s">
        <v>12795</v>
      </c>
      <c r="T175" s="9" t="s">
        <v>12117</v>
      </c>
      <c r="U175" s="9"/>
      <c r="V175" s="9"/>
      <c r="W175" s="9"/>
      <c r="X175" s="9"/>
      <c r="Y175" s="9"/>
      <c r="Z175" s="9"/>
      <c r="AA175" s="9"/>
      <c r="AB175" s="9"/>
      <c r="AC175" s="9"/>
      <c r="AD175" s="9" t="s">
        <v>20</v>
      </c>
    </row>
    <row r="176" spans="1:30" ht="29">
      <c r="A176" s="3" t="s">
        <v>929</v>
      </c>
      <c r="B176" s="3" t="s">
        <v>5528</v>
      </c>
      <c r="C176" s="3" t="s">
        <v>5527</v>
      </c>
      <c r="G176" s="9" t="s">
        <v>25</v>
      </c>
      <c r="H176" s="9"/>
      <c r="I176" s="9">
        <v>1</v>
      </c>
      <c r="J176" s="9">
        <v>2</v>
      </c>
      <c r="K176" s="9" t="s">
        <v>12078</v>
      </c>
      <c r="L176" s="9" t="s">
        <v>12119</v>
      </c>
      <c r="M176" s="9"/>
      <c r="N176" s="10"/>
      <c r="O176" s="9"/>
      <c r="P176" s="9">
        <v>11843</v>
      </c>
      <c r="Q176" s="9"/>
      <c r="R176" s="9" t="s">
        <v>12795</v>
      </c>
      <c r="S176" s="9" t="s">
        <v>12795</v>
      </c>
      <c r="T176" s="9"/>
      <c r="U176" s="9"/>
      <c r="V176" s="9"/>
      <c r="W176" s="9"/>
      <c r="X176" s="9"/>
      <c r="Y176" s="9"/>
      <c r="Z176" s="9"/>
      <c r="AA176" s="9"/>
      <c r="AB176" s="9"/>
      <c r="AC176" s="9"/>
      <c r="AD176" s="9" t="s">
        <v>20</v>
      </c>
    </row>
    <row r="177" spans="1:30" ht="29">
      <c r="A177" s="3" t="s">
        <v>929</v>
      </c>
      <c r="B177" s="3" t="s">
        <v>5529</v>
      </c>
      <c r="C177" s="3" t="s">
        <v>5530</v>
      </c>
      <c r="G177" s="9" t="s">
        <v>26</v>
      </c>
      <c r="H177" s="9"/>
      <c r="I177" s="9"/>
      <c r="J177" s="9"/>
      <c r="K177" s="9"/>
      <c r="L177" s="9"/>
      <c r="M177" s="9"/>
      <c r="N177" s="10"/>
      <c r="O177" s="9"/>
      <c r="P177" s="9"/>
      <c r="Q177" s="9"/>
      <c r="R177" s="9" t="s">
        <v>12795</v>
      </c>
      <c r="S177" s="9" t="s">
        <v>12795</v>
      </c>
      <c r="T177" s="9"/>
      <c r="U177" s="9"/>
      <c r="V177" s="9"/>
      <c r="W177" s="9"/>
      <c r="X177" s="9"/>
      <c r="Y177" s="9"/>
      <c r="Z177" s="9"/>
      <c r="AA177" s="9"/>
      <c r="AB177" s="9"/>
      <c r="AC177" s="9"/>
      <c r="AD177" s="9" t="s">
        <v>20</v>
      </c>
    </row>
    <row r="178" spans="1:30" ht="29">
      <c r="A178" s="3" t="s">
        <v>930</v>
      </c>
      <c r="B178" s="3" t="s">
        <v>5533</v>
      </c>
      <c r="C178" s="3" t="s">
        <v>5534</v>
      </c>
      <c r="G178" s="9" t="s">
        <v>12118</v>
      </c>
      <c r="H178" s="9"/>
      <c r="I178" s="9"/>
      <c r="J178" s="9"/>
      <c r="K178" s="9"/>
      <c r="L178" s="9"/>
      <c r="M178" s="9"/>
      <c r="N178" s="10"/>
      <c r="O178" s="9"/>
      <c r="P178" s="9"/>
      <c r="Q178" s="9">
        <v>71</v>
      </c>
      <c r="R178" s="9">
        <v>2</v>
      </c>
      <c r="S178" s="9">
        <v>73</v>
      </c>
      <c r="T178" s="9"/>
      <c r="U178" s="9"/>
      <c r="V178" s="9"/>
      <c r="W178" s="9"/>
      <c r="X178" s="9"/>
      <c r="Y178" s="9"/>
      <c r="Z178" s="9"/>
      <c r="AA178" s="9"/>
      <c r="AB178" s="9"/>
      <c r="AC178" s="9"/>
      <c r="AD178" s="9" t="s">
        <v>19</v>
      </c>
    </row>
    <row r="179" spans="1:30" ht="29">
      <c r="A179" s="3" t="s">
        <v>940</v>
      </c>
      <c r="B179" s="3" t="s">
        <v>5538</v>
      </c>
      <c r="C179" s="3" t="s">
        <v>5539</v>
      </c>
      <c r="G179" s="9" t="s">
        <v>25</v>
      </c>
      <c r="H179" s="9"/>
      <c r="I179" s="9">
        <v>1</v>
      </c>
      <c r="J179" s="9">
        <v>3</v>
      </c>
      <c r="K179" s="9" t="s">
        <v>12087</v>
      </c>
      <c r="L179" s="9" t="s">
        <v>12079</v>
      </c>
      <c r="M179" s="9"/>
      <c r="N179" s="10"/>
      <c r="O179" s="9"/>
      <c r="P179" s="9">
        <v>5676</v>
      </c>
      <c r="Q179" s="9"/>
      <c r="R179" s="9" t="s">
        <v>12795</v>
      </c>
      <c r="S179" s="9" t="s">
        <v>12795</v>
      </c>
      <c r="T179" s="9"/>
      <c r="U179" s="9"/>
      <c r="V179" s="9"/>
      <c r="W179" s="9"/>
      <c r="X179" s="9"/>
      <c r="Y179" s="9"/>
      <c r="Z179" s="9"/>
      <c r="AA179" s="9"/>
      <c r="AB179" s="9"/>
      <c r="AC179" s="9"/>
      <c r="AD179" s="9" t="s">
        <v>19</v>
      </c>
    </row>
    <row r="180" spans="1:30" ht="29">
      <c r="A180" s="3" t="s">
        <v>940</v>
      </c>
      <c r="B180" s="3" t="s">
        <v>13097</v>
      </c>
      <c r="C180" s="3" t="s">
        <v>5541</v>
      </c>
      <c r="G180" s="9" t="s">
        <v>25</v>
      </c>
      <c r="H180" s="9"/>
      <c r="I180" s="9">
        <v>1</v>
      </c>
      <c r="J180" s="9">
        <v>2</v>
      </c>
      <c r="K180" s="9" t="s">
        <v>12096</v>
      </c>
      <c r="L180" s="9" t="s">
        <v>12119</v>
      </c>
      <c r="M180" s="9"/>
      <c r="N180" s="10"/>
      <c r="O180" s="9"/>
      <c r="P180" s="9">
        <v>560</v>
      </c>
      <c r="Q180" s="9"/>
      <c r="R180" s="9" t="s">
        <v>12795</v>
      </c>
      <c r="S180" s="9" t="s">
        <v>12795</v>
      </c>
      <c r="T180" s="9"/>
      <c r="U180" s="9"/>
      <c r="V180" s="9"/>
      <c r="W180" s="9"/>
      <c r="X180" s="9"/>
      <c r="Y180" s="9"/>
      <c r="Z180" s="9"/>
      <c r="AA180" s="9"/>
      <c r="AB180" s="9"/>
      <c r="AC180" s="9"/>
      <c r="AD180" s="9" t="s">
        <v>20</v>
      </c>
    </row>
    <row r="181" spans="1:30" ht="43.5">
      <c r="A181" s="3" t="s">
        <v>948</v>
      </c>
      <c r="B181" s="3" t="s">
        <v>5553</v>
      </c>
      <c r="C181" s="3" t="s">
        <v>5554</v>
      </c>
      <c r="G181" s="9" t="s">
        <v>25</v>
      </c>
      <c r="H181" s="9"/>
      <c r="I181" s="9">
        <v>3</v>
      </c>
      <c r="J181" s="9">
        <v>15</v>
      </c>
      <c r="K181" s="9"/>
      <c r="L181" s="9" t="s">
        <v>12073</v>
      </c>
      <c r="M181" s="9" t="s">
        <v>12140</v>
      </c>
      <c r="N181" s="10" t="s">
        <v>12137</v>
      </c>
      <c r="O181" s="9"/>
      <c r="P181" s="9">
        <v>62</v>
      </c>
      <c r="Q181" s="9"/>
      <c r="R181" s="9" t="s">
        <v>12795</v>
      </c>
      <c r="S181" s="9" t="s">
        <v>12795</v>
      </c>
      <c r="T181" s="9"/>
      <c r="U181" s="9"/>
      <c r="V181" s="9"/>
      <c r="W181" s="9"/>
      <c r="X181" s="9"/>
      <c r="Y181" s="9"/>
      <c r="Z181" s="9"/>
      <c r="AA181" s="9"/>
      <c r="AB181" s="9"/>
      <c r="AC181" s="9"/>
      <c r="AD181" s="9" t="s">
        <v>20</v>
      </c>
    </row>
    <row r="182" spans="1:30" ht="29">
      <c r="A182" s="3" t="s">
        <v>949</v>
      </c>
      <c r="B182" s="3" t="s">
        <v>5561</v>
      </c>
      <c r="C182" s="3" t="s">
        <v>5562</v>
      </c>
      <c r="G182" s="9" t="s">
        <v>24</v>
      </c>
      <c r="H182" s="9"/>
      <c r="I182" s="9">
        <v>1</v>
      </c>
      <c r="J182" s="9">
        <v>3</v>
      </c>
      <c r="K182" s="9" t="s">
        <v>12087</v>
      </c>
      <c r="L182" s="9" t="s">
        <v>12079</v>
      </c>
      <c r="M182" s="9"/>
      <c r="N182" s="10"/>
      <c r="O182" s="9"/>
      <c r="P182" s="9">
        <v>810</v>
      </c>
      <c r="Q182" s="9"/>
      <c r="R182" s="9" t="s">
        <v>12795</v>
      </c>
      <c r="S182" s="9" t="s">
        <v>12795</v>
      </c>
      <c r="T182" s="9"/>
      <c r="U182" s="9"/>
      <c r="V182" s="9"/>
      <c r="W182" s="9"/>
      <c r="X182" s="9"/>
      <c r="Y182" s="9"/>
      <c r="Z182" s="9"/>
      <c r="AA182" s="9"/>
      <c r="AB182" s="9"/>
      <c r="AC182" s="9"/>
      <c r="AD182" s="9" t="s">
        <v>19</v>
      </c>
    </row>
    <row r="183" spans="1:30" ht="29">
      <c r="A183" s="3" t="s">
        <v>949</v>
      </c>
      <c r="B183" s="3" t="s">
        <v>5561</v>
      </c>
      <c r="C183" s="3" t="s">
        <v>5563</v>
      </c>
      <c r="G183" s="9" t="s">
        <v>24</v>
      </c>
      <c r="H183" s="9"/>
      <c r="I183" s="9">
        <v>1</v>
      </c>
      <c r="J183" s="9">
        <v>3</v>
      </c>
      <c r="K183" s="9" t="s">
        <v>12078</v>
      </c>
      <c r="L183" s="9" t="s">
        <v>12079</v>
      </c>
      <c r="M183" s="9"/>
      <c r="N183" s="10"/>
      <c r="O183" s="9"/>
      <c r="P183" s="9">
        <v>11843</v>
      </c>
      <c r="Q183" s="9"/>
      <c r="R183" s="9" t="s">
        <v>12795</v>
      </c>
      <c r="S183" s="9" t="s">
        <v>12795</v>
      </c>
      <c r="T183" s="9"/>
      <c r="U183" s="9"/>
      <c r="V183" s="9"/>
      <c r="W183" s="9"/>
      <c r="X183" s="9"/>
      <c r="Y183" s="9"/>
      <c r="Z183" s="9"/>
      <c r="AA183" s="9"/>
      <c r="AB183" s="9"/>
      <c r="AC183" s="9"/>
      <c r="AD183" s="9" t="s">
        <v>20</v>
      </c>
    </row>
    <row r="184" spans="1:30" ht="29">
      <c r="A184" s="3" t="s">
        <v>961</v>
      </c>
      <c r="B184" s="3" t="s">
        <v>5568</v>
      </c>
      <c r="C184" s="3" t="s">
        <v>5569</v>
      </c>
      <c r="G184" s="9" t="s">
        <v>24</v>
      </c>
      <c r="H184" s="9"/>
      <c r="I184" s="9">
        <v>1</v>
      </c>
      <c r="J184" s="9">
        <v>2</v>
      </c>
      <c r="K184" s="9" t="s">
        <v>12123</v>
      </c>
      <c r="L184" s="9" t="s">
        <v>12119</v>
      </c>
      <c r="M184" s="9"/>
      <c r="N184" s="10"/>
      <c r="O184" s="9"/>
      <c r="P184" s="9">
        <v>134</v>
      </c>
      <c r="Q184" s="9"/>
      <c r="R184" s="9" t="s">
        <v>12795</v>
      </c>
      <c r="S184" s="9" t="s">
        <v>12795</v>
      </c>
      <c r="T184" s="9"/>
      <c r="U184" s="9"/>
      <c r="V184" s="9"/>
      <c r="W184" s="9"/>
      <c r="X184" s="9"/>
      <c r="Y184" s="9"/>
      <c r="Z184" s="9"/>
      <c r="AA184" s="9"/>
      <c r="AB184" s="9"/>
      <c r="AC184" s="9"/>
      <c r="AD184" s="9" t="s">
        <v>19</v>
      </c>
    </row>
    <row r="185" spans="1:30" ht="29">
      <c r="A185" s="3" t="s">
        <v>961</v>
      </c>
      <c r="B185" s="3" t="s">
        <v>962</v>
      </c>
      <c r="C185" s="3" t="s">
        <v>963</v>
      </c>
      <c r="G185" s="9" t="s">
        <v>12120</v>
      </c>
      <c r="H185" s="9"/>
      <c r="I185" s="9"/>
      <c r="J185" s="9"/>
      <c r="K185" s="9"/>
      <c r="L185" s="9"/>
      <c r="M185" s="9"/>
      <c r="N185" s="10"/>
      <c r="O185" s="9"/>
      <c r="P185" s="9"/>
      <c r="Q185" s="9"/>
      <c r="R185" s="9" t="s">
        <v>12795</v>
      </c>
      <c r="S185" s="9" t="s">
        <v>12795</v>
      </c>
      <c r="T185" s="9"/>
      <c r="U185" s="9"/>
      <c r="V185" s="9"/>
      <c r="W185" s="9"/>
      <c r="X185" s="9"/>
      <c r="Y185" s="9"/>
      <c r="Z185" s="9"/>
      <c r="AA185" s="9"/>
      <c r="AB185" s="9"/>
      <c r="AC185" s="9"/>
      <c r="AD185" s="9" t="s">
        <v>13141</v>
      </c>
    </row>
    <row r="186" spans="1:30" ht="29">
      <c r="A186" s="3" t="s">
        <v>967</v>
      </c>
      <c r="B186" s="3" t="s">
        <v>5575</v>
      </c>
      <c r="C186" s="3" t="s">
        <v>5576</v>
      </c>
      <c r="G186" s="9" t="s">
        <v>24</v>
      </c>
      <c r="H186" s="9"/>
      <c r="I186" s="9">
        <v>1</v>
      </c>
      <c r="J186" s="9">
        <v>3</v>
      </c>
      <c r="K186" s="9" t="s">
        <v>12087</v>
      </c>
      <c r="L186" s="9" t="s">
        <v>12079</v>
      </c>
      <c r="M186" s="9"/>
      <c r="N186" s="10"/>
      <c r="O186" s="9"/>
      <c r="P186" s="9">
        <v>356</v>
      </c>
      <c r="Q186" s="9"/>
      <c r="R186" s="9" t="s">
        <v>12795</v>
      </c>
      <c r="S186" s="9" t="s">
        <v>12795</v>
      </c>
      <c r="T186" s="9"/>
      <c r="U186" s="9"/>
      <c r="V186" s="9"/>
      <c r="W186" s="9"/>
      <c r="X186" s="9"/>
      <c r="Y186" s="9"/>
      <c r="Z186" s="9"/>
      <c r="AA186" s="9"/>
      <c r="AB186" s="9"/>
      <c r="AC186" s="9"/>
      <c r="AD186" s="9" t="s">
        <v>19</v>
      </c>
    </row>
    <row r="187" spans="1:30" ht="29">
      <c r="A187" s="3" t="s">
        <v>971</v>
      </c>
      <c r="B187" s="3" t="s">
        <v>5579</v>
      </c>
      <c r="C187" s="3" t="s">
        <v>5582</v>
      </c>
      <c r="G187" s="9" t="s">
        <v>24</v>
      </c>
      <c r="H187" s="9"/>
      <c r="I187" s="9">
        <v>1</v>
      </c>
      <c r="J187" s="9">
        <v>3</v>
      </c>
      <c r="K187" s="9" t="s">
        <v>12094</v>
      </c>
      <c r="L187" s="9" t="s">
        <v>12079</v>
      </c>
      <c r="M187" s="9"/>
      <c r="N187" s="10"/>
      <c r="O187" s="9"/>
      <c r="P187" s="9">
        <v>1496</v>
      </c>
      <c r="Q187" s="9"/>
      <c r="R187" s="9" t="s">
        <v>12795</v>
      </c>
      <c r="S187" s="9" t="s">
        <v>12795</v>
      </c>
      <c r="T187" s="9"/>
      <c r="U187" s="9"/>
      <c r="V187" s="9"/>
      <c r="W187" s="9"/>
      <c r="X187" s="9"/>
      <c r="Y187" s="9"/>
      <c r="Z187" s="9"/>
      <c r="AA187" s="9"/>
      <c r="AB187" s="9"/>
      <c r="AC187" s="9"/>
      <c r="AD187" s="9" t="s">
        <v>19</v>
      </c>
    </row>
    <row r="188" spans="1:30" ht="29">
      <c r="A188" s="3" t="s">
        <v>973</v>
      </c>
      <c r="B188" s="3" t="s">
        <v>5586</v>
      </c>
      <c r="C188" s="3" t="s">
        <v>5587</v>
      </c>
      <c r="G188" s="9" t="s">
        <v>25</v>
      </c>
      <c r="H188" s="9"/>
      <c r="I188" s="9">
        <v>1</v>
      </c>
      <c r="J188" s="9">
        <v>2</v>
      </c>
      <c r="K188" s="9" t="s">
        <v>12087</v>
      </c>
      <c r="L188" s="9" t="s">
        <v>12119</v>
      </c>
      <c r="M188" s="9"/>
      <c r="N188" s="10"/>
      <c r="O188" s="9"/>
      <c r="P188" s="9">
        <v>1966</v>
      </c>
      <c r="Q188" s="9"/>
      <c r="R188" s="9" t="s">
        <v>12795</v>
      </c>
      <c r="S188" s="9" t="s">
        <v>12795</v>
      </c>
      <c r="T188" s="9"/>
      <c r="U188" s="9"/>
      <c r="V188" s="9"/>
      <c r="W188" s="9"/>
      <c r="X188" s="9"/>
      <c r="Y188" s="9"/>
      <c r="Z188" s="9"/>
      <c r="AA188" s="9"/>
      <c r="AB188" s="9"/>
      <c r="AC188" s="9"/>
      <c r="AD188" s="9" t="s">
        <v>19</v>
      </c>
    </row>
    <row r="189" spans="1:30" ht="43.5">
      <c r="A189" s="3" t="s">
        <v>973</v>
      </c>
      <c r="B189" s="3" t="s">
        <v>5589</v>
      </c>
      <c r="C189" s="3" t="s">
        <v>5590</v>
      </c>
      <c r="G189" s="9" t="s">
        <v>26</v>
      </c>
      <c r="H189" s="9"/>
      <c r="I189" s="9"/>
      <c r="J189" s="9"/>
      <c r="K189" s="9"/>
      <c r="L189" s="9"/>
      <c r="M189" s="9"/>
      <c r="N189" s="10"/>
      <c r="O189" s="9"/>
      <c r="P189" s="9"/>
      <c r="Q189" s="9"/>
      <c r="R189" s="9" t="s">
        <v>12795</v>
      </c>
      <c r="S189" s="9" t="s">
        <v>12795</v>
      </c>
      <c r="T189" s="9"/>
      <c r="U189" s="9"/>
      <c r="V189" s="9"/>
      <c r="W189" s="9"/>
      <c r="X189" s="9"/>
      <c r="Y189" s="9"/>
      <c r="Z189" s="9"/>
      <c r="AA189" s="9"/>
      <c r="AB189" s="9"/>
      <c r="AC189" s="9"/>
      <c r="AD189" s="9" t="s">
        <v>20</v>
      </c>
    </row>
    <row r="190" spans="1:30" ht="43.5">
      <c r="A190" s="3" t="s">
        <v>973</v>
      </c>
      <c r="B190" s="3" t="s">
        <v>5591</v>
      </c>
      <c r="C190" s="3" t="s">
        <v>5588</v>
      </c>
      <c r="G190" s="9" t="s">
        <v>25</v>
      </c>
      <c r="H190" s="9"/>
      <c r="I190" s="9">
        <v>3</v>
      </c>
      <c r="J190" s="9">
        <v>13</v>
      </c>
      <c r="K190" s="9"/>
      <c r="L190" s="9" t="s">
        <v>12079</v>
      </c>
      <c r="M190" s="9"/>
      <c r="N190" s="10"/>
      <c r="O190" s="9"/>
      <c r="P190" s="9">
        <v>105</v>
      </c>
      <c r="Q190" s="9"/>
      <c r="R190" s="9" t="s">
        <v>12795</v>
      </c>
      <c r="S190" s="9" t="s">
        <v>12795</v>
      </c>
      <c r="T190" s="9"/>
      <c r="U190" s="9"/>
      <c r="V190" s="9"/>
      <c r="W190" s="9"/>
      <c r="X190" s="9"/>
      <c r="Y190" s="9"/>
      <c r="Z190" s="9"/>
      <c r="AA190" s="9"/>
      <c r="AB190" s="9"/>
      <c r="AC190" s="9"/>
      <c r="AD190" s="9" t="s">
        <v>20</v>
      </c>
    </row>
    <row r="191" spans="1:30" ht="29">
      <c r="A191" s="3" t="s">
        <v>984</v>
      </c>
      <c r="B191" s="3" t="s">
        <v>985</v>
      </c>
      <c r="C191" s="3" t="s">
        <v>986</v>
      </c>
      <c r="G191" s="9" t="s">
        <v>12120</v>
      </c>
      <c r="H191" s="9"/>
      <c r="I191" s="9"/>
      <c r="J191" s="9"/>
      <c r="K191" s="9"/>
      <c r="L191" s="9"/>
      <c r="M191" s="9"/>
      <c r="N191" s="10"/>
      <c r="O191" s="9"/>
      <c r="P191" s="9"/>
      <c r="Q191" s="9"/>
      <c r="R191" s="9" t="s">
        <v>12795</v>
      </c>
      <c r="S191" s="9" t="s">
        <v>12795</v>
      </c>
      <c r="T191" s="9"/>
      <c r="U191" s="9"/>
      <c r="V191" s="9"/>
      <c r="W191" s="9"/>
      <c r="X191" s="9"/>
      <c r="Y191" s="9"/>
      <c r="Z191" s="9"/>
      <c r="AA191" s="9"/>
      <c r="AB191" s="9"/>
      <c r="AC191" s="9"/>
      <c r="AD191" s="9" t="s">
        <v>19</v>
      </c>
    </row>
    <row r="192" spans="1:30" ht="29">
      <c r="A192" s="3" t="s">
        <v>987</v>
      </c>
      <c r="B192" s="3" t="s">
        <v>5600</v>
      </c>
      <c r="C192" s="3" t="s">
        <v>5601</v>
      </c>
      <c r="G192" s="9" t="s">
        <v>12120</v>
      </c>
      <c r="H192" s="9"/>
      <c r="I192" s="9"/>
      <c r="J192" s="9"/>
      <c r="K192" s="9"/>
      <c r="L192" s="9"/>
      <c r="M192" s="9"/>
      <c r="N192" s="10"/>
      <c r="O192" s="9"/>
      <c r="P192" s="9"/>
      <c r="Q192" s="9"/>
      <c r="R192" s="9" t="s">
        <v>12795</v>
      </c>
      <c r="S192" s="9" t="s">
        <v>12795</v>
      </c>
      <c r="T192" s="9"/>
      <c r="U192" s="9"/>
      <c r="V192" s="9"/>
      <c r="W192" s="9"/>
      <c r="X192" s="9"/>
      <c r="Y192" s="9"/>
      <c r="Z192" s="9"/>
      <c r="AA192" s="9"/>
      <c r="AB192" s="9"/>
      <c r="AC192" s="9"/>
      <c r="AD192" s="9" t="s">
        <v>20</v>
      </c>
    </row>
    <row r="193" spans="1:30" ht="29">
      <c r="A193" s="3" t="s">
        <v>995</v>
      </c>
      <c r="B193" s="3" t="s">
        <v>996</v>
      </c>
      <c r="C193" s="3" t="s">
        <v>997</v>
      </c>
      <c r="G193" s="9" t="s">
        <v>12120</v>
      </c>
      <c r="H193" s="9"/>
      <c r="I193" s="9"/>
      <c r="J193" s="9"/>
      <c r="K193" s="9"/>
      <c r="L193" s="9"/>
      <c r="M193" s="9"/>
      <c r="N193" s="10"/>
      <c r="O193" s="9"/>
      <c r="P193" s="9"/>
      <c r="Q193" s="9"/>
      <c r="R193" s="9" t="s">
        <v>12795</v>
      </c>
      <c r="S193" s="9" t="s">
        <v>12795</v>
      </c>
      <c r="T193" s="9"/>
      <c r="U193" s="9"/>
      <c r="V193" s="9"/>
      <c r="W193" s="9"/>
      <c r="X193" s="9"/>
      <c r="Y193" s="9"/>
      <c r="Z193" s="9"/>
      <c r="AA193" s="9"/>
      <c r="AB193" s="9"/>
      <c r="AC193" s="9"/>
      <c r="AD193" s="9" t="s">
        <v>20</v>
      </c>
    </row>
    <row r="194" spans="1:30" ht="29">
      <c r="A194" s="3" t="s">
        <v>1002</v>
      </c>
      <c r="B194" s="3" t="s">
        <v>5604</v>
      </c>
      <c r="C194" s="3" t="s">
        <v>5605</v>
      </c>
      <c r="G194" s="9" t="s">
        <v>12118</v>
      </c>
      <c r="H194" s="9"/>
      <c r="I194" s="9"/>
      <c r="J194" s="9"/>
      <c r="K194" s="9"/>
      <c r="L194" s="9"/>
      <c r="M194" s="9"/>
      <c r="N194" s="10"/>
      <c r="O194" s="9"/>
      <c r="P194" s="9"/>
      <c r="Q194" s="9">
        <v>541</v>
      </c>
      <c r="R194" s="9">
        <v>560</v>
      </c>
      <c r="S194" s="9">
        <v>1101</v>
      </c>
      <c r="T194" s="9"/>
      <c r="U194" s="9"/>
      <c r="V194" s="9"/>
      <c r="W194" s="9"/>
      <c r="X194" s="9"/>
      <c r="Y194" s="9"/>
      <c r="Z194" s="9"/>
      <c r="AA194" s="9"/>
      <c r="AB194" s="9"/>
      <c r="AC194" s="9"/>
      <c r="AD194" s="9" t="s">
        <v>19</v>
      </c>
    </row>
    <row r="195" spans="1:30" ht="29">
      <c r="A195" s="3" t="s">
        <v>1006</v>
      </c>
      <c r="B195" s="3" t="s">
        <v>5610</v>
      </c>
      <c r="C195" s="3" t="s">
        <v>5611</v>
      </c>
      <c r="G195" s="9" t="s">
        <v>24</v>
      </c>
      <c r="H195" s="9"/>
      <c r="I195" s="9">
        <v>1</v>
      </c>
      <c r="J195" s="9">
        <v>3</v>
      </c>
      <c r="K195" s="9" t="s">
        <v>12087</v>
      </c>
      <c r="L195" s="9" t="s">
        <v>12079</v>
      </c>
      <c r="M195" s="9"/>
      <c r="N195" s="10"/>
      <c r="O195" s="9"/>
      <c r="P195" s="9">
        <v>5676</v>
      </c>
      <c r="Q195" s="9"/>
      <c r="R195" s="9" t="s">
        <v>12795</v>
      </c>
      <c r="S195" s="9" t="s">
        <v>12795</v>
      </c>
      <c r="T195" s="9"/>
      <c r="U195" s="9"/>
      <c r="V195" s="9"/>
      <c r="W195" s="9"/>
      <c r="X195" s="9"/>
      <c r="Y195" s="9"/>
      <c r="Z195" s="9"/>
      <c r="AA195" s="9"/>
      <c r="AB195" s="9"/>
      <c r="AC195" s="9"/>
      <c r="AD195" s="9" t="s">
        <v>19</v>
      </c>
    </row>
    <row r="196" spans="1:30" ht="29">
      <c r="A196" s="3" t="s">
        <v>1007</v>
      </c>
      <c r="B196" s="3" t="s">
        <v>1008</v>
      </c>
      <c r="C196" s="3" t="s">
        <v>1009</v>
      </c>
      <c r="G196" s="9" t="s">
        <v>12120</v>
      </c>
      <c r="H196" s="9"/>
      <c r="I196" s="9"/>
      <c r="J196" s="9"/>
      <c r="K196" s="9"/>
      <c r="L196" s="9"/>
      <c r="M196" s="9"/>
      <c r="N196" s="10"/>
      <c r="O196" s="9"/>
      <c r="P196" s="9"/>
      <c r="Q196" s="9"/>
      <c r="R196" s="9" t="s">
        <v>12795</v>
      </c>
      <c r="S196" s="9" t="s">
        <v>12795</v>
      </c>
      <c r="T196" s="9"/>
      <c r="U196" s="9"/>
      <c r="V196" s="9"/>
      <c r="W196" s="9"/>
      <c r="X196" s="9"/>
      <c r="Y196" s="9"/>
      <c r="Z196" s="9"/>
      <c r="AA196" s="9"/>
      <c r="AB196" s="9"/>
      <c r="AC196" s="9"/>
      <c r="AD196" s="9" t="s">
        <v>19</v>
      </c>
    </row>
    <row r="197" spans="1:30" ht="29">
      <c r="A197" s="3" t="s">
        <v>1011</v>
      </c>
      <c r="B197" s="3" t="s">
        <v>5614</v>
      </c>
      <c r="C197" s="3" t="s">
        <v>5615</v>
      </c>
      <c r="G197" s="9" t="s">
        <v>24</v>
      </c>
      <c r="H197" s="9"/>
      <c r="I197" s="9">
        <v>2</v>
      </c>
      <c r="J197" s="9">
        <v>4</v>
      </c>
      <c r="K197" s="9"/>
      <c r="L197" s="9" t="s">
        <v>12079</v>
      </c>
      <c r="M197" s="9"/>
      <c r="N197" s="10"/>
      <c r="O197" s="9"/>
      <c r="P197" s="9">
        <v>5676</v>
      </c>
      <c r="Q197" s="9"/>
      <c r="R197" s="9" t="s">
        <v>12795</v>
      </c>
      <c r="S197" s="9" t="s">
        <v>12795</v>
      </c>
      <c r="T197" s="9"/>
      <c r="U197" s="9"/>
      <c r="V197" s="9"/>
      <c r="W197" s="9"/>
      <c r="X197" s="9"/>
      <c r="Y197" s="9"/>
      <c r="Z197" s="9"/>
      <c r="AA197" s="9"/>
      <c r="AB197" s="9"/>
      <c r="AC197" s="9"/>
      <c r="AD197" s="9" t="s">
        <v>20</v>
      </c>
    </row>
    <row r="198" spans="1:30" ht="29">
      <c r="A198" s="3" t="s">
        <v>1018</v>
      </c>
      <c r="B198" s="3" t="s">
        <v>5618</v>
      </c>
      <c r="C198" s="3" t="s">
        <v>5619</v>
      </c>
      <c r="G198" s="9" t="s">
        <v>12120</v>
      </c>
      <c r="H198" s="9"/>
      <c r="I198" s="9"/>
      <c r="J198" s="9"/>
      <c r="K198" s="9"/>
      <c r="L198" s="9"/>
      <c r="M198" s="9"/>
      <c r="N198" s="10"/>
      <c r="O198" s="9"/>
      <c r="P198" s="9"/>
      <c r="Q198" s="9"/>
      <c r="R198" s="9" t="s">
        <v>12795</v>
      </c>
      <c r="S198" s="9" t="s">
        <v>12795</v>
      </c>
      <c r="T198" s="9"/>
      <c r="U198" s="9"/>
      <c r="V198" s="9"/>
      <c r="W198" s="9"/>
      <c r="X198" s="9"/>
      <c r="Y198" s="9"/>
      <c r="Z198" s="9"/>
      <c r="AA198" s="9"/>
      <c r="AB198" s="9"/>
      <c r="AC198" s="9"/>
      <c r="AD198" s="9" t="s">
        <v>19</v>
      </c>
    </row>
    <row r="199" spans="1:30" ht="29">
      <c r="A199" s="3" t="s">
        <v>1019</v>
      </c>
      <c r="B199" s="3" t="s">
        <v>5620</v>
      </c>
      <c r="C199" s="3" t="s">
        <v>5621</v>
      </c>
      <c r="G199" s="9" t="s">
        <v>26</v>
      </c>
      <c r="H199" s="9"/>
      <c r="I199" s="9"/>
      <c r="J199" s="9"/>
      <c r="K199" s="9"/>
      <c r="L199" s="9"/>
      <c r="M199" s="9"/>
      <c r="N199" s="10"/>
      <c r="O199" s="9"/>
      <c r="P199" s="9"/>
      <c r="Q199" s="9"/>
      <c r="R199" s="9" t="s">
        <v>12795</v>
      </c>
      <c r="S199" s="9" t="s">
        <v>12795</v>
      </c>
      <c r="T199" s="9"/>
      <c r="U199" s="9"/>
      <c r="V199" s="9"/>
      <c r="W199" s="9"/>
      <c r="X199" s="9"/>
      <c r="Y199" s="9"/>
      <c r="Z199" s="9"/>
      <c r="AA199" s="9"/>
      <c r="AB199" s="9"/>
      <c r="AC199" s="9"/>
      <c r="AD199" s="9" t="s">
        <v>20</v>
      </c>
    </row>
    <row r="200" spans="1:30" ht="29">
      <c r="A200" s="3" t="s">
        <v>1032</v>
      </c>
      <c r="B200" s="3" t="s">
        <v>5624</v>
      </c>
      <c r="C200" s="3" t="s">
        <v>5625</v>
      </c>
      <c r="G200" s="9" t="s">
        <v>25</v>
      </c>
      <c r="H200" s="9"/>
      <c r="I200" s="9">
        <v>1</v>
      </c>
      <c r="J200" s="9">
        <v>1</v>
      </c>
      <c r="K200" s="9" t="s">
        <v>12078</v>
      </c>
      <c r="L200" s="9" t="s">
        <v>12119</v>
      </c>
      <c r="M200" s="9"/>
      <c r="N200" s="10"/>
      <c r="O200" s="9"/>
      <c r="P200" s="9">
        <v>11843</v>
      </c>
      <c r="Q200" s="9"/>
      <c r="R200" s="9" t="s">
        <v>12795</v>
      </c>
      <c r="S200" s="9" t="s">
        <v>12795</v>
      </c>
      <c r="T200" s="9"/>
      <c r="U200" s="9"/>
      <c r="V200" s="9"/>
      <c r="W200" s="9"/>
      <c r="X200" s="9"/>
      <c r="Y200" s="9"/>
      <c r="Z200" s="9"/>
      <c r="AA200" s="9"/>
      <c r="AB200" s="9"/>
      <c r="AC200" s="9"/>
      <c r="AD200" s="9" t="s">
        <v>20</v>
      </c>
    </row>
    <row r="201" spans="1:30" ht="29">
      <c r="A201" s="3" t="s">
        <v>1034</v>
      </c>
      <c r="B201" s="3" t="s">
        <v>5628</v>
      </c>
      <c r="C201" s="3" t="s">
        <v>5629</v>
      </c>
      <c r="G201" s="9" t="s">
        <v>26</v>
      </c>
      <c r="H201" s="9"/>
      <c r="I201" s="9"/>
      <c r="J201" s="9"/>
      <c r="K201" s="9"/>
      <c r="L201" s="9"/>
      <c r="M201" s="9"/>
      <c r="N201" s="10"/>
      <c r="O201" s="9"/>
      <c r="P201" s="9"/>
      <c r="Q201" s="9"/>
      <c r="R201" s="9" t="s">
        <v>12795</v>
      </c>
      <c r="S201" s="9" t="s">
        <v>12795</v>
      </c>
      <c r="T201" s="9"/>
      <c r="U201" s="9"/>
      <c r="V201" s="9"/>
      <c r="W201" s="9"/>
      <c r="X201" s="9"/>
      <c r="Y201" s="9"/>
      <c r="Z201" s="9"/>
      <c r="AA201" s="9"/>
      <c r="AB201" s="9"/>
      <c r="AC201" s="9"/>
      <c r="AD201" s="9" t="s">
        <v>19</v>
      </c>
    </row>
    <row r="202" spans="1:30" ht="29">
      <c r="A202" s="3" t="s">
        <v>1036</v>
      </c>
      <c r="B202" s="3" t="s">
        <v>5633</v>
      </c>
      <c r="C202" s="3" t="s">
        <v>12200</v>
      </c>
      <c r="G202" s="9" t="s">
        <v>12118</v>
      </c>
      <c r="H202" s="9"/>
      <c r="I202" s="9"/>
      <c r="J202" s="9"/>
      <c r="K202" s="9"/>
      <c r="L202" s="9"/>
      <c r="M202" s="9"/>
      <c r="N202" s="10"/>
      <c r="O202" s="9"/>
      <c r="P202" s="9"/>
      <c r="Q202" s="9">
        <v>-1800</v>
      </c>
      <c r="R202" s="9">
        <v>1966</v>
      </c>
      <c r="S202" s="9">
        <v>166</v>
      </c>
      <c r="T202" s="9"/>
      <c r="U202" s="9"/>
      <c r="V202" s="9"/>
      <c r="W202" s="9"/>
      <c r="X202" s="9"/>
      <c r="Y202" s="9"/>
      <c r="Z202" s="9"/>
      <c r="AA202" s="9"/>
      <c r="AB202" s="9"/>
      <c r="AC202" s="9"/>
      <c r="AD202" s="9" t="s">
        <v>19</v>
      </c>
    </row>
    <row r="203" spans="1:30" ht="29">
      <c r="A203" s="3" t="s">
        <v>1037</v>
      </c>
      <c r="B203" s="3" t="s">
        <v>5635</v>
      </c>
      <c r="C203" s="3" t="s">
        <v>5636</v>
      </c>
      <c r="G203" s="9" t="s">
        <v>25</v>
      </c>
      <c r="H203" s="9"/>
      <c r="I203" s="9">
        <v>1</v>
      </c>
      <c r="J203" s="9">
        <v>4</v>
      </c>
      <c r="K203" s="9" t="s">
        <v>12078</v>
      </c>
      <c r="L203" s="9" t="s">
        <v>12073</v>
      </c>
      <c r="M203" s="9" t="s">
        <v>12149</v>
      </c>
      <c r="N203" s="10" t="s">
        <v>12143</v>
      </c>
      <c r="O203" s="9"/>
      <c r="P203" s="9">
        <v>11843</v>
      </c>
      <c r="Q203" s="9"/>
      <c r="R203" s="9" t="s">
        <v>12795</v>
      </c>
      <c r="S203" s="9" t="s">
        <v>12795</v>
      </c>
      <c r="T203" s="9"/>
      <c r="U203" s="9"/>
      <c r="V203" s="9"/>
      <c r="W203" s="9"/>
      <c r="X203" s="9"/>
      <c r="Y203" s="9"/>
      <c r="Z203" s="9"/>
      <c r="AA203" s="9"/>
      <c r="AB203" s="9"/>
      <c r="AC203" s="9"/>
      <c r="AD203" s="9" t="s">
        <v>20</v>
      </c>
    </row>
    <row r="204" spans="1:30" ht="29">
      <c r="A204" s="3" t="s">
        <v>1039</v>
      </c>
      <c r="B204" s="3" t="s">
        <v>5637</v>
      </c>
      <c r="C204" s="3" t="s">
        <v>5638</v>
      </c>
      <c r="G204" s="9" t="s">
        <v>24</v>
      </c>
      <c r="H204" s="9"/>
      <c r="I204" s="9">
        <v>1</v>
      </c>
      <c r="J204" s="9">
        <v>4</v>
      </c>
      <c r="K204" s="9" t="s">
        <v>12078</v>
      </c>
      <c r="L204" s="9" t="s">
        <v>12073</v>
      </c>
      <c r="M204" s="9" t="s">
        <v>12149</v>
      </c>
      <c r="N204" s="10" t="s">
        <v>12143</v>
      </c>
      <c r="O204" s="9"/>
      <c r="P204" s="9">
        <v>11843</v>
      </c>
      <c r="Q204" s="9"/>
      <c r="R204" s="9" t="s">
        <v>12795</v>
      </c>
      <c r="S204" s="9" t="s">
        <v>12795</v>
      </c>
      <c r="T204" s="9"/>
      <c r="U204" s="9"/>
      <c r="V204" s="9"/>
      <c r="W204" s="9"/>
      <c r="X204" s="9"/>
      <c r="Y204" s="9"/>
      <c r="Z204" s="9"/>
      <c r="AA204" s="9"/>
      <c r="AB204" s="9"/>
      <c r="AC204" s="9"/>
      <c r="AD204" s="9" t="s">
        <v>19</v>
      </c>
    </row>
    <row r="205" spans="1:30" ht="29">
      <c r="A205" s="3" t="s">
        <v>1052</v>
      </c>
      <c r="B205" s="3" t="s">
        <v>5653</v>
      </c>
      <c r="C205" s="3" t="s">
        <v>5654</v>
      </c>
      <c r="G205" s="9" t="s">
        <v>12120</v>
      </c>
      <c r="H205" s="9"/>
      <c r="I205" s="9"/>
      <c r="J205" s="9"/>
      <c r="K205" s="9"/>
      <c r="L205" s="9"/>
      <c r="M205" s="9"/>
      <c r="N205" s="10"/>
      <c r="O205" s="9"/>
      <c r="P205" s="9"/>
      <c r="Q205" s="9"/>
      <c r="R205" s="9" t="s">
        <v>12795</v>
      </c>
      <c r="S205" s="9" t="s">
        <v>12795</v>
      </c>
      <c r="T205" s="9"/>
      <c r="U205" s="9"/>
      <c r="V205" s="9"/>
      <c r="W205" s="9"/>
      <c r="X205" s="9"/>
      <c r="Y205" s="9"/>
      <c r="Z205" s="9"/>
      <c r="AA205" s="9"/>
      <c r="AB205" s="9"/>
      <c r="AC205" s="9"/>
      <c r="AD205" s="9" t="s">
        <v>19</v>
      </c>
    </row>
    <row r="206" spans="1:30" ht="29">
      <c r="A206" s="3" t="s">
        <v>1058</v>
      </c>
      <c r="B206" s="3" t="s">
        <v>5655</v>
      </c>
      <c r="C206" s="3" t="s">
        <v>5656</v>
      </c>
      <c r="G206" s="9" t="s">
        <v>26</v>
      </c>
      <c r="H206" s="9"/>
      <c r="I206" s="9"/>
      <c r="J206" s="9"/>
      <c r="K206" s="9"/>
      <c r="L206" s="9"/>
      <c r="M206" s="9"/>
      <c r="N206" s="10"/>
      <c r="O206" s="9"/>
      <c r="P206" s="9"/>
      <c r="Q206" s="9"/>
      <c r="R206" s="9" t="s">
        <v>12795</v>
      </c>
      <c r="S206" s="9" t="s">
        <v>12795</v>
      </c>
      <c r="T206" s="9"/>
      <c r="U206" s="9"/>
      <c r="V206" s="9"/>
      <c r="W206" s="9"/>
      <c r="X206" s="9"/>
      <c r="Y206" s="9"/>
      <c r="Z206" s="9"/>
      <c r="AA206" s="9"/>
      <c r="AB206" s="9"/>
      <c r="AC206" s="9"/>
      <c r="AD206" s="9" t="s">
        <v>20</v>
      </c>
    </row>
    <row r="207" spans="1:30" ht="29">
      <c r="A207" s="3" t="s">
        <v>1063</v>
      </c>
      <c r="B207" s="3" t="s">
        <v>5657</v>
      </c>
      <c r="C207" s="3" t="s">
        <v>5658</v>
      </c>
      <c r="G207" s="9" t="s">
        <v>12120</v>
      </c>
      <c r="H207" s="9"/>
      <c r="I207" s="9"/>
      <c r="J207" s="9"/>
      <c r="K207" s="9"/>
      <c r="L207" s="9"/>
      <c r="M207" s="9"/>
      <c r="N207" s="10"/>
      <c r="O207" s="9"/>
      <c r="P207" s="9"/>
      <c r="Q207" s="9"/>
      <c r="R207" s="9" t="s">
        <v>12795</v>
      </c>
      <c r="S207" s="9" t="s">
        <v>12795</v>
      </c>
      <c r="T207" s="9"/>
      <c r="U207" s="9"/>
      <c r="V207" s="9"/>
      <c r="W207" s="9"/>
      <c r="X207" s="9"/>
      <c r="Y207" s="9"/>
      <c r="Z207" s="9"/>
      <c r="AA207" s="9"/>
      <c r="AB207" s="9"/>
      <c r="AC207" s="9"/>
      <c r="AD207" s="9" t="s">
        <v>19</v>
      </c>
    </row>
    <row r="208" spans="1:30" ht="29">
      <c r="A208" s="3" t="s">
        <v>1079</v>
      </c>
      <c r="B208" s="3" t="s">
        <v>5659</v>
      </c>
      <c r="C208" s="3" t="s">
        <v>5660</v>
      </c>
      <c r="G208" s="9" t="s">
        <v>12118</v>
      </c>
      <c r="H208" s="9"/>
      <c r="I208" s="9"/>
      <c r="J208" s="9"/>
      <c r="K208" s="9"/>
      <c r="L208" s="9"/>
      <c r="M208" s="9"/>
      <c r="N208" s="10"/>
      <c r="O208" s="9"/>
      <c r="P208" s="9"/>
      <c r="Q208" s="9">
        <v>-4080</v>
      </c>
      <c r="R208" s="9">
        <v>4240</v>
      </c>
      <c r="S208" s="9">
        <v>160</v>
      </c>
      <c r="T208" s="9"/>
      <c r="U208" s="9"/>
      <c r="V208" s="9"/>
      <c r="W208" s="9"/>
      <c r="X208" s="9"/>
      <c r="Y208" s="9"/>
      <c r="Z208" s="9"/>
      <c r="AA208" s="9"/>
      <c r="AB208" s="9"/>
      <c r="AC208" s="9"/>
      <c r="AD208" s="9" t="s">
        <v>19</v>
      </c>
    </row>
    <row r="209" spans="1:30" ht="29">
      <c r="A209" s="3" t="s">
        <v>1081</v>
      </c>
      <c r="B209" s="3" t="s">
        <v>5661</v>
      </c>
      <c r="C209" s="3" t="s">
        <v>5662</v>
      </c>
      <c r="G209" s="9" t="s">
        <v>24</v>
      </c>
      <c r="H209" s="9"/>
      <c r="I209" s="9">
        <v>1</v>
      </c>
      <c r="J209" s="9">
        <v>1</v>
      </c>
      <c r="K209" s="9" t="s">
        <v>12078</v>
      </c>
      <c r="L209" s="9" t="s">
        <v>12119</v>
      </c>
      <c r="M209" s="9"/>
      <c r="N209" s="10"/>
      <c r="O209" s="9"/>
      <c r="P209" s="9">
        <v>11843</v>
      </c>
      <c r="Q209" s="9"/>
      <c r="R209" s="9" t="s">
        <v>12795</v>
      </c>
      <c r="S209" s="9" t="s">
        <v>12795</v>
      </c>
      <c r="T209" s="9"/>
      <c r="U209" s="9"/>
      <c r="V209" s="9"/>
      <c r="W209" s="9"/>
      <c r="X209" s="9"/>
      <c r="Y209" s="9"/>
      <c r="Z209" s="9"/>
      <c r="AA209" s="9"/>
      <c r="AB209" s="9"/>
      <c r="AC209" s="9"/>
      <c r="AD209" s="9" t="s">
        <v>20</v>
      </c>
    </row>
    <row r="210" spans="1:30" ht="29">
      <c r="A210" s="3" t="s">
        <v>1082</v>
      </c>
      <c r="B210" s="3" t="s">
        <v>5663</v>
      </c>
      <c r="C210" s="3" t="s">
        <v>5664</v>
      </c>
      <c r="G210" s="9" t="s">
        <v>25</v>
      </c>
      <c r="H210" s="9"/>
      <c r="I210" s="9">
        <v>1</v>
      </c>
      <c r="J210" s="9">
        <v>3</v>
      </c>
      <c r="K210" s="9" t="s">
        <v>12087</v>
      </c>
      <c r="L210" s="9" t="s">
        <v>12079</v>
      </c>
      <c r="M210" s="9"/>
      <c r="N210" s="10"/>
      <c r="O210" s="9"/>
      <c r="P210" s="9">
        <v>810</v>
      </c>
      <c r="Q210" s="9"/>
      <c r="R210" s="9" t="s">
        <v>12795</v>
      </c>
      <c r="S210" s="9" t="s">
        <v>12795</v>
      </c>
      <c r="T210" s="9"/>
      <c r="U210" s="9"/>
      <c r="V210" s="9"/>
      <c r="W210" s="9"/>
      <c r="X210" s="9"/>
      <c r="Y210" s="9"/>
      <c r="Z210" s="9"/>
      <c r="AA210" s="9"/>
      <c r="AB210" s="9"/>
      <c r="AC210" s="9"/>
      <c r="AD210" s="9" t="s">
        <v>19</v>
      </c>
    </row>
    <row r="211" spans="1:30" ht="29">
      <c r="A211" s="3" t="s">
        <v>1083</v>
      </c>
      <c r="B211" s="3" t="s">
        <v>5663</v>
      </c>
      <c r="C211" s="3" t="s">
        <v>5664</v>
      </c>
      <c r="G211" s="9" t="s">
        <v>25</v>
      </c>
      <c r="H211" s="9"/>
      <c r="I211" s="9">
        <v>1</v>
      </c>
      <c r="J211" s="9">
        <v>3</v>
      </c>
      <c r="K211" s="9" t="s">
        <v>12087</v>
      </c>
      <c r="L211" s="9" t="s">
        <v>12079</v>
      </c>
      <c r="M211" s="9"/>
      <c r="N211" s="10"/>
      <c r="O211" s="9"/>
      <c r="P211" s="9">
        <v>810</v>
      </c>
      <c r="Q211" s="9"/>
      <c r="R211" s="9" t="s">
        <v>12795</v>
      </c>
      <c r="S211" s="9" t="s">
        <v>12795</v>
      </c>
      <c r="T211" s="9"/>
      <c r="U211" s="9"/>
      <c r="V211" s="9"/>
      <c r="W211" s="9"/>
      <c r="X211" s="9"/>
      <c r="Y211" s="9"/>
      <c r="Z211" s="9"/>
      <c r="AA211" s="9"/>
      <c r="AB211" s="9"/>
      <c r="AC211" s="9"/>
      <c r="AD211" s="9" t="s">
        <v>19</v>
      </c>
    </row>
    <row r="212" spans="1:30" ht="29">
      <c r="A212" s="3" t="s">
        <v>1084</v>
      </c>
      <c r="B212" s="3" t="s">
        <v>5665</v>
      </c>
      <c r="C212" s="3" t="s">
        <v>5666</v>
      </c>
      <c r="G212" s="9" t="s">
        <v>24</v>
      </c>
      <c r="H212" s="9"/>
      <c r="I212" s="9">
        <v>1</v>
      </c>
      <c r="J212" s="9">
        <v>2</v>
      </c>
      <c r="K212" s="9" t="s">
        <v>12094</v>
      </c>
      <c r="L212" s="9" t="s">
        <v>12119</v>
      </c>
      <c r="M212" s="9"/>
      <c r="N212" s="10"/>
      <c r="O212" s="9" t="s">
        <v>12074</v>
      </c>
      <c r="P212" s="9">
        <v>412</v>
      </c>
      <c r="Q212" s="9"/>
      <c r="R212" s="9" t="s">
        <v>12795</v>
      </c>
      <c r="S212" s="9" t="s">
        <v>12795</v>
      </c>
      <c r="T212" s="9"/>
      <c r="U212" s="9"/>
      <c r="V212" s="9"/>
      <c r="W212" s="9"/>
      <c r="X212" s="9"/>
      <c r="Y212" s="9"/>
      <c r="Z212" s="9"/>
      <c r="AA212" s="9"/>
      <c r="AB212" s="9"/>
      <c r="AC212" s="9"/>
      <c r="AD212" s="9" t="s">
        <v>20</v>
      </c>
    </row>
    <row r="213" spans="1:30" ht="29">
      <c r="A213" s="3" t="s">
        <v>1085</v>
      </c>
      <c r="B213" s="3" t="s">
        <v>5668</v>
      </c>
      <c r="C213" s="3" t="s">
        <v>5667</v>
      </c>
      <c r="G213" s="9" t="s">
        <v>24</v>
      </c>
      <c r="H213" s="9"/>
      <c r="I213" s="9">
        <v>1</v>
      </c>
      <c r="J213" s="9">
        <v>3</v>
      </c>
      <c r="K213" s="9" t="s">
        <v>12078</v>
      </c>
      <c r="L213" s="9" t="s">
        <v>12079</v>
      </c>
      <c r="M213" s="9"/>
      <c r="N213" s="10"/>
      <c r="O213" s="9"/>
      <c r="P213" s="9">
        <v>11843</v>
      </c>
      <c r="Q213" s="9"/>
      <c r="R213" s="9" t="s">
        <v>12795</v>
      </c>
      <c r="S213" s="9" t="s">
        <v>12795</v>
      </c>
      <c r="T213" s="9"/>
      <c r="U213" s="9"/>
      <c r="V213" s="9"/>
      <c r="W213" s="9"/>
      <c r="X213" s="9"/>
      <c r="Y213" s="9"/>
      <c r="Z213" s="9"/>
      <c r="AA213" s="9"/>
      <c r="AB213" s="9"/>
      <c r="AC213" s="9"/>
      <c r="AD213" s="9" t="s">
        <v>20</v>
      </c>
    </row>
    <row r="214" spans="1:30" ht="29">
      <c r="A214" s="3" t="s">
        <v>1096</v>
      </c>
      <c r="B214" s="3" t="s">
        <v>5677</v>
      </c>
      <c r="C214" s="3" t="s">
        <v>5680</v>
      </c>
      <c r="G214" s="9" t="s">
        <v>24</v>
      </c>
      <c r="H214" s="9"/>
      <c r="I214" s="9">
        <v>1</v>
      </c>
      <c r="J214" s="9">
        <v>2</v>
      </c>
      <c r="K214" s="9" t="s">
        <v>12078</v>
      </c>
      <c r="L214" s="9" t="s">
        <v>12119</v>
      </c>
      <c r="M214" s="9"/>
      <c r="N214" s="10"/>
      <c r="O214" s="9"/>
      <c r="P214" s="9">
        <v>11843</v>
      </c>
      <c r="Q214" s="9"/>
      <c r="R214" s="9" t="s">
        <v>12795</v>
      </c>
      <c r="S214" s="9" t="s">
        <v>12795</v>
      </c>
      <c r="T214" s="9"/>
      <c r="U214" s="9"/>
      <c r="V214" s="9"/>
      <c r="W214" s="9"/>
      <c r="X214" s="9"/>
      <c r="Y214" s="9"/>
      <c r="Z214" s="9"/>
      <c r="AA214" s="9"/>
      <c r="AB214" s="9"/>
      <c r="AC214" s="9"/>
      <c r="AD214" s="9" t="s">
        <v>20</v>
      </c>
    </row>
    <row r="215" spans="1:30" ht="29">
      <c r="A215" s="3" t="s">
        <v>1100</v>
      </c>
      <c r="B215" s="3" t="s">
        <v>5681</v>
      </c>
      <c r="C215" s="3" t="s">
        <v>5682</v>
      </c>
      <c r="G215" s="9" t="s">
        <v>25</v>
      </c>
      <c r="H215" s="9"/>
      <c r="I215" s="9">
        <v>1</v>
      </c>
      <c r="J215" s="9">
        <v>2</v>
      </c>
      <c r="K215" s="9" t="s">
        <v>12087</v>
      </c>
      <c r="L215" s="9" t="s">
        <v>12119</v>
      </c>
      <c r="M215" s="9"/>
      <c r="N215" s="10"/>
      <c r="O215" s="9"/>
      <c r="P215" s="9">
        <v>1966</v>
      </c>
      <c r="Q215" s="9"/>
      <c r="R215" s="9" t="s">
        <v>12795</v>
      </c>
      <c r="S215" s="9" t="s">
        <v>12795</v>
      </c>
      <c r="T215" s="9"/>
      <c r="U215" s="9"/>
      <c r="V215" s="9"/>
      <c r="W215" s="9"/>
      <c r="X215" s="9"/>
      <c r="Y215" s="9"/>
      <c r="Z215" s="9"/>
      <c r="AA215" s="9"/>
      <c r="AB215" s="9"/>
      <c r="AC215" s="9"/>
      <c r="AD215" s="9" t="s">
        <v>19</v>
      </c>
    </row>
    <row r="216" spans="1:30" ht="29">
      <c r="A216" s="3" t="s">
        <v>1106</v>
      </c>
      <c r="B216" s="3" t="s">
        <v>5687</v>
      </c>
      <c r="C216" s="3" t="s">
        <v>5688</v>
      </c>
      <c r="G216" s="9" t="s">
        <v>25</v>
      </c>
      <c r="H216" s="9"/>
      <c r="I216" s="9">
        <v>1</v>
      </c>
      <c r="J216" s="9">
        <v>3</v>
      </c>
      <c r="K216" s="9" t="s">
        <v>12087</v>
      </c>
      <c r="L216" s="9" t="s">
        <v>12079</v>
      </c>
      <c r="M216" s="9"/>
      <c r="N216" s="10"/>
      <c r="O216" s="9"/>
      <c r="P216" s="9">
        <v>5676</v>
      </c>
      <c r="Q216" s="9"/>
      <c r="R216" s="9" t="s">
        <v>12795</v>
      </c>
      <c r="S216" s="9" t="s">
        <v>12795</v>
      </c>
      <c r="T216" s="9"/>
      <c r="U216" s="9"/>
      <c r="V216" s="9"/>
      <c r="W216" s="9"/>
      <c r="X216" s="9"/>
      <c r="Y216" s="9"/>
      <c r="Z216" s="9"/>
      <c r="AA216" s="9"/>
      <c r="AB216" s="9"/>
      <c r="AC216" s="9"/>
      <c r="AD216" s="9" t="s">
        <v>20</v>
      </c>
    </row>
    <row r="217" spans="1:30" ht="29">
      <c r="A217" s="3" t="s">
        <v>1109</v>
      </c>
      <c r="B217" s="3" t="s">
        <v>5689</v>
      </c>
      <c r="C217" s="3" t="s">
        <v>5690</v>
      </c>
      <c r="G217" s="9" t="s">
        <v>12120</v>
      </c>
      <c r="H217" s="9"/>
      <c r="I217" s="9"/>
      <c r="J217" s="9"/>
      <c r="K217" s="9"/>
      <c r="L217" s="9"/>
      <c r="M217" s="9"/>
      <c r="N217" s="10"/>
      <c r="O217" s="9"/>
      <c r="P217" s="9"/>
      <c r="Q217" s="9"/>
      <c r="R217" s="9" t="s">
        <v>12795</v>
      </c>
      <c r="S217" s="9" t="s">
        <v>12795</v>
      </c>
      <c r="T217" s="9"/>
      <c r="U217" s="9"/>
      <c r="V217" s="9"/>
      <c r="W217" s="9"/>
      <c r="X217" s="9"/>
      <c r="Y217" s="9"/>
      <c r="Z217" s="9"/>
      <c r="AA217" s="9"/>
      <c r="AB217" s="9"/>
      <c r="AC217" s="9"/>
      <c r="AD217" s="9" t="s">
        <v>19</v>
      </c>
    </row>
    <row r="218" spans="1:30" ht="29">
      <c r="A218" s="3" t="s">
        <v>1112</v>
      </c>
      <c r="B218" s="3" t="s">
        <v>5691</v>
      </c>
      <c r="C218" s="3" t="s">
        <v>5692</v>
      </c>
      <c r="G218" s="9" t="s">
        <v>12120</v>
      </c>
      <c r="H218" s="9"/>
      <c r="I218" s="9"/>
      <c r="J218" s="9"/>
      <c r="K218" s="9"/>
      <c r="L218" s="9"/>
      <c r="M218" s="9"/>
      <c r="N218" s="10"/>
      <c r="O218" s="9"/>
      <c r="P218" s="9"/>
      <c r="Q218" s="9"/>
      <c r="R218" s="9" t="s">
        <v>12795</v>
      </c>
      <c r="S218" s="9" t="s">
        <v>12795</v>
      </c>
      <c r="T218" s="9"/>
      <c r="U218" s="9"/>
      <c r="V218" s="9"/>
      <c r="W218" s="9"/>
      <c r="X218" s="9"/>
      <c r="Y218" s="9"/>
      <c r="Z218" s="9"/>
      <c r="AA218" s="9"/>
      <c r="AB218" s="9"/>
      <c r="AC218" s="9"/>
      <c r="AD218" s="9" t="s">
        <v>20</v>
      </c>
    </row>
    <row r="219" spans="1:30" ht="29">
      <c r="A219" s="3" t="s">
        <v>1115</v>
      </c>
      <c r="B219" s="3" t="s">
        <v>5695</v>
      </c>
      <c r="C219" s="3" t="s">
        <v>5694</v>
      </c>
      <c r="G219" s="9" t="s">
        <v>25</v>
      </c>
      <c r="H219" s="9"/>
      <c r="I219" s="9">
        <v>1</v>
      </c>
      <c r="J219" s="9">
        <v>3</v>
      </c>
      <c r="K219" s="9" t="s">
        <v>12078</v>
      </c>
      <c r="L219" s="9" t="s">
        <v>12079</v>
      </c>
      <c r="M219" s="9"/>
      <c r="N219" s="10"/>
      <c r="O219" s="9"/>
      <c r="P219" s="9">
        <v>11843</v>
      </c>
      <c r="Q219" s="9"/>
      <c r="R219" s="9" t="s">
        <v>12795</v>
      </c>
      <c r="S219" s="9" t="s">
        <v>12795</v>
      </c>
      <c r="T219" s="9"/>
      <c r="U219" s="9"/>
      <c r="V219" s="9"/>
      <c r="W219" s="9"/>
      <c r="X219" s="9"/>
      <c r="Y219" s="9"/>
      <c r="Z219" s="9"/>
      <c r="AA219" s="9"/>
      <c r="AB219" s="9"/>
      <c r="AC219" s="9"/>
      <c r="AD219" s="9" t="s">
        <v>19</v>
      </c>
    </row>
    <row r="220" spans="1:30" ht="29">
      <c r="A220" s="3" t="s">
        <v>1115</v>
      </c>
      <c r="B220" s="3" t="s">
        <v>5693</v>
      </c>
      <c r="C220" s="3" t="s">
        <v>5696</v>
      </c>
      <c r="G220" s="9" t="s">
        <v>24</v>
      </c>
      <c r="H220" s="9"/>
      <c r="I220" s="9">
        <v>1</v>
      </c>
      <c r="J220" s="9">
        <v>4</v>
      </c>
      <c r="K220" s="9" t="s">
        <v>12078</v>
      </c>
      <c r="L220" s="9" t="s">
        <v>12073</v>
      </c>
      <c r="M220" s="9" t="s">
        <v>12149</v>
      </c>
      <c r="N220" s="10" t="s">
        <v>12143</v>
      </c>
      <c r="O220" s="9"/>
      <c r="P220" s="9">
        <v>11843</v>
      </c>
      <c r="Q220" s="9"/>
      <c r="R220" s="9" t="s">
        <v>12795</v>
      </c>
      <c r="S220" s="9" t="s">
        <v>12795</v>
      </c>
      <c r="T220" s="9"/>
      <c r="U220" s="9"/>
      <c r="V220" s="9"/>
      <c r="W220" s="9"/>
      <c r="X220" s="9"/>
      <c r="Y220" s="9"/>
      <c r="Z220" s="9"/>
      <c r="AA220" s="9"/>
      <c r="AB220" s="9"/>
      <c r="AC220" s="9"/>
      <c r="AD220" s="9" t="s">
        <v>13141</v>
      </c>
    </row>
    <row r="221" spans="1:30" ht="29">
      <c r="A221" s="3" t="s">
        <v>1115</v>
      </c>
      <c r="B221" s="3" t="s">
        <v>5697</v>
      </c>
      <c r="C221" s="3" t="s">
        <v>5698</v>
      </c>
      <c r="G221" s="9" t="s">
        <v>26</v>
      </c>
      <c r="H221" s="9"/>
      <c r="I221" s="9"/>
      <c r="J221" s="9"/>
      <c r="K221" s="9"/>
      <c r="L221" s="9"/>
      <c r="M221" s="9"/>
      <c r="N221" s="10"/>
      <c r="O221" s="9"/>
      <c r="P221" s="9"/>
      <c r="Q221" s="9"/>
      <c r="R221" s="9" t="s">
        <v>12795</v>
      </c>
      <c r="S221" s="9" t="s">
        <v>12795</v>
      </c>
      <c r="T221" s="9"/>
      <c r="U221" s="9"/>
      <c r="V221" s="9"/>
      <c r="W221" s="9"/>
      <c r="X221" s="9"/>
      <c r="Y221" s="9"/>
      <c r="Z221" s="9"/>
      <c r="AA221" s="9"/>
      <c r="AB221" s="9"/>
      <c r="AC221" s="9"/>
      <c r="AD221" s="9" t="s">
        <v>19</v>
      </c>
    </row>
    <row r="222" spans="1:30" ht="116">
      <c r="A222" s="3" t="s">
        <v>1116</v>
      </c>
      <c r="B222" s="3" t="s">
        <v>5702</v>
      </c>
      <c r="C222" s="3" t="s">
        <v>5701</v>
      </c>
      <c r="G222" s="15" t="s">
        <v>25</v>
      </c>
      <c r="H222" s="15"/>
      <c r="I222" s="15">
        <v>15</v>
      </c>
      <c r="J222" s="15">
        <v>90</v>
      </c>
      <c r="K222" s="15"/>
      <c r="L222" s="15" t="s">
        <v>12079</v>
      </c>
      <c r="M222" s="15"/>
      <c r="N222" s="16"/>
      <c r="O222" s="15"/>
      <c r="P222" s="15">
        <v>1</v>
      </c>
      <c r="Q222" s="15"/>
      <c r="R222" s="15" t="s">
        <v>12795</v>
      </c>
      <c r="S222" s="15" t="s">
        <v>12795</v>
      </c>
      <c r="T222" s="15"/>
      <c r="U222" s="15"/>
      <c r="V222" s="15"/>
      <c r="W222" s="15"/>
      <c r="X222" s="15"/>
      <c r="Y222" s="15"/>
      <c r="Z222" s="15"/>
      <c r="AA222" s="15"/>
      <c r="AB222" s="15"/>
      <c r="AC222" s="15"/>
      <c r="AD222" s="15" t="s">
        <v>19</v>
      </c>
    </row>
    <row r="223" spans="1:30" ht="29">
      <c r="A223" s="3" t="s">
        <v>1123</v>
      </c>
      <c r="B223" s="3" t="s">
        <v>1124</v>
      </c>
      <c r="C223" s="3" t="s">
        <v>1125</v>
      </c>
      <c r="G223" s="9" t="s">
        <v>12120</v>
      </c>
      <c r="H223" s="9"/>
      <c r="I223" s="9"/>
      <c r="J223" s="9"/>
      <c r="K223" s="9"/>
      <c r="L223" s="9"/>
      <c r="M223" s="9"/>
      <c r="N223" s="10"/>
      <c r="O223" s="9"/>
      <c r="P223" s="9"/>
      <c r="Q223" s="9"/>
      <c r="R223" s="9" t="s">
        <v>12795</v>
      </c>
      <c r="S223" s="9" t="s">
        <v>12795</v>
      </c>
      <c r="T223" s="9"/>
      <c r="U223" s="9"/>
      <c r="V223" s="9"/>
      <c r="W223" s="9"/>
      <c r="X223" s="9"/>
      <c r="Y223" s="9"/>
      <c r="Z223" s="9"/>
      <c r="AA223" s="9"/>
      <c r="AB223" s="9"/>
      <c r="AC223" s="9"/>
      <c r="AD223" s="9" t="s">
        <v>19</v>
      </c>
    </row>
    <row r="224" spans="1:30" ht="29">
      <c r="A224" s="3" t="s">
        <v>1126</v>
      </c>
      <c r="B224" s="3" t="s">
        <v>5703</v>
      </c>
      <c r="C224" s="3" t="s">
        <v>5704</v>
      </c>
      <c r="G224" s="9" t="s">
        <v>12120</v>
      </c>
      <c r="H224" s="9"/>
      <c r="I224" s="9"/>
      <c r="J224" s="9"/>
      <c r="K224" s="9"/>
      <c r="L224" s="9"/>
      <c r="M224" s="9"/>
      <c r="N224" s="10"/>
      <c r="O224" s="9"/>
      <c r="P224" s="9"/>
      <c r="Q224" s="9"/>
      <c r="R224" s="9" t="s">
        <v>12795</v>
      </c>
      <c r="S224" s="9" t="s">
        <v>12795</v>
      </c>
      <c r="T224" s="9"/>
      <c r="U224" s="9"/>
      <c r="V224" s="9"/>
      <c r="W224" s="9"/>
      <c r="X224" s="9"/>
      <c r="Y224" s="9"/>
      <c r="Z224" s="9"/>
      <c r="AA224" s="9"/>
      <c r="AB224" s="9"/>
      <c r="AC224" s="9"/>
      <c r="AD224" s="9" t="s">
        <v>20</v>
      </c>
    </row>
    <row r="225" spans="1:30" ht="29">
      <c r="A225" s="3" t="s">
        <v>1132</v>
      </c>
      <c r="B225" s="3" t="s">
        <v>5711</v>
      </c>
      <c r="C225" s="3" t="s">
        <v>12652</v>
      </c>
      <c r="G225" s="9" t="s">
        <v>26</v>
      </c>
      <c r="H225" s="9"/>
      <c r="I225" s="9"/>
      <c r="J225" s="9"/>
      <c r="K225" s="9"/>
      <c r="L225" s="9"/>
      <c r="M225" s="9"/>
      <c r="N225" s="10"/>
      <c r="O225" s="9"/>
      <c r="P225" s="9"/>
      <c r="Q225" s="9"/>
      <c r="R225" s="9" t="s">
        <v>12795</v>
      </c>
      <c r="S225" s="9" t="s">
        <v>12795</v>
      </c>
      <c r="T225" s="9"/>
      <c r="U225" s="9"/>
      <c r="V225" s="9"/>
      <c r="W225" s="9"/>
      <c r="X225" s="9"/>
      <c r="Y225" s="9"/>
      <c r="Z225" s="9"/>
      <c r="AA225" s="9"/>
      <c r="AB225" s="9"/>
      <c r="AC225" s="9"/>
      <c r="AD225" s="9" t="s">
        <v>20</v>
      </c>
    </row>
    <row r="226" spans="1:30" ht="29">
      <c r="A226" s="3" t="s">
        <v>1133</v>
      </c>
      <c r="B226" s="3" t="s">
        <v>5714</v>
      </c>
      <c r="C226" s="3" t="s">
        <v>5715</v>
      </c>
      <c r="G226" s="9" t="s">
        <v>12118</v>
      </c>
      <c r="H226" s="9"/>
      <c r="I226" s="9"/>
      <c r="J226" s="9"/>
      <c r="K226" s="9"/>
      <c r="L226" s="9"/>
      <c r="M226" s="9"/>
      <c r="N226" s="10"/>
      <c r="O226" s="9"/>
      <c r="P226" s="9"/>
      <c r="Q226" s="9">
        <v>-409</v>
      </c>
      <c r="R226" s="9">
        <v>431</v>
      </c>
      <c r="S226" s="9">
        <v>22</v>
      </c>
      <c r="T226" s="9"/>
      <c r="U226" s="9"/>
      <c r="V226" s="9"/>
      <c r="W226" s="9"/>
      <c r="X226" s="9"/>
      <c r="Y226" s="9"/>
      <c r="Z226" s="9"/>
      <c r="AA226" s="9"/>
      <c r="AB226" s="9"/>
      <c r="AC226" s="9"/>
      <c r="AD226" s="9" t="s">
        <v>19</v>
      </c>
    </row>
    <row r="227" spans="1:30" ht="29">
      <c r="A227" s="3" t="s">
        <v>1137</v>
      </c>
      <c r="B227" s="3" t="s">
        <v>5716</v>
      </c>
      <c r="C227" s="3" t="s">
        <v>5717</v>
      </c>
      <c r="G227" s="9" t="s">
        <v>12120</v>
      </c>
      <c r="H227" s="9"/>
      <c r="I227" s="9"/>
      <c r="J227" s="9"/>
      <c r="K227" s="9"/>
      <c r="L227" s="9"/>
      <c r="M227" s="9"/>
      <c r="N227" s="10"/>
      <c r="O227" s="9"/>
      <c r="P227" s="9"/>
      <c r="Q227" s="9"/>
      <c r="R227" s="9" t="s">
        <v>12795</v>
      </c>
      <c r="S227" s="9" t="s">
        <v>12795</v>
      </c>
      <c r="T227" s="9"/>
      <c r="U227" s="9"/>
      <c r="V227" s="9"/>
      <c r="W227" s="9"/>
      <c r="X227" s="9"/>
      <c r="Y227" s="9"/>
      <c r="Z227" s="9"/>
      <c r="AA227" s="9"/>
      <c r="AB227" s="9"/>
      <c r="AC227" s="9"/>
      <c r="AD227" s="9" t="s">
        <v>19</v>
      </c>
    </row>
    <row r="228" spans="1:30" ht="29">
      <c r="A228" s="3" t="s">
        <v>1137</v>
      </c>
      <c r="B228" s="3" t="s">
        <v>5718</v>
      </c>
      <c r="C228" s="3" t="s">
        <v>5719</v>
      </c>
      <c r="G228" s="9" t="s">
        <v>12120</v>
      </c>
      <c r="H228" s="9"/>
      <c r="I228" s="9"/>
      <c r="J228" s="9"/>
      <c r="K228" s="9"/>
      <c r="L228" s="9"/>
      <c r="M228" s="9"/>
      <c r="N228" s="10"/>
      <c r="O228" s="9"/>
      <c r="P228" s="9"/>
      <c r="Q228" s="9"/>
      <c r="R228" s="9" t="s">
        <v>12795</v>
      </c>
      <c r="S228" s="9" t="s">
        <v>12795</v>
      </c>
      <c r="T228" s="9"/>
      <c r="U228" s="9"/>
      <c r="V228" s="9"/>
      <c r="W228" s="9"/>
      <c r="X228" s="9"/>
      <c r="Y228" s="9"/>
      <c r="Z228" s="9"/>
      <c r="AA228" s="9"/>
      <c r="AB228" s="9"/>
      <c r="AC228" s="9"/>
      <c r="AD228" s="9" t="s">
        <v>19</v>
      </c>
    </row>
    <row r="229" spans="1:30" ht="29">
      <c r="A229" s="3" t="s">
        <v>1138</v>
      </c>
      <c r="B229" s="3" t="s">
        <v>5720</v>
      </c>
      <c r="C229" s="3" t="s">
        <v>5721</v>
      </c>
      <c r="G229" s="9" t="s">
        <v>12118</v>
      </c>
      <c r="H229" s="9"/>
      <c r="I229" s="9"/>
      <c r="J229" s="9"/>
      <c r="K229" s="9"/>
      <c r="L229" s="9"/>
      <c r="M229" s="9"/>
      <c r="N229" s="10"/>
      <c r="O229" s="9"/>
      <c r="P229" s="9"/>
      <c r="Q229" s="9">
        <v>193</v>
      </c>
      <c r="R229" s="9">
        <v>87</v>
      </c>
      <c r="S229" s="9">
        <v>280</v>
      </c>
      <c r="T229" s="9"/>
      <c r="U229" s="9"/>
      <c r="V229" s="9"/>
      <c r="W229" s="9"/>
      <c r="X229" s="9"/>
      <c r="Y229" s="9"/>
      <c r="Z229" s="9"/>
      <c r="AA229" s="9"/>
      <c r="AB229" s="9"/>
      <c r="AC229" s="9"/>
      <c r="AD229" s="9" t="s">
        <v>20</v>
      </c>
    </row>
    <row r="230" spans="1:30" ht="29">
      <c r="A230" s="3" t="s">
        <v>1139</v>
      </c>
      <c r="B230" s="3" t="s">
        <v>5724</v>
      </c>
      <c r="C230" s="3" t="s">
        <v>5725</v>
      </c>
      <c r="G230" s="9" t="s">
        <v>12118</v>
      </c>
      <c r="H230" s="9"/>
      <c r="I230" s="9"/>
      <c r="J230" s="9"/>
      <c r="K230" s="9"/>
      <c r="L230" s="9"/>
      <c r="M230" s="9"/>
      <c r="N230" s="10"/>
      <c r="O230" s="9"/>
      <c r="P230" s="9"/>
      <c r="Q230" s="9">
        <v>4080</v>
      </c>
      <c r="R230" s="9">
        <v>160</v>
      </c>
      <c r="S230" s="9">
        <v>4240</v>
      </c>
      <c r="T230" s="9" t="s">
        <v>4</v>
      </c>
      <c r="U230" s="9"/>
      <c r="V230" s="9"/>
      <c r="W230" s="9"/>
      <c r="X230" s="9"/>
      <c r="Y230" s="9"/>
      <c r="Z230" s="9"/>
      <c r="AA230" s="9"/>
      <c r="AB230" s="9"/>
      <c r="AC230" s="9"/>
      <c r="AD230" s="9" t="s">
        <v>19</v>
      </c>
    </row>
    <row r="231" spans="1:30" ht="29">
      <c r="A231" s="3" t="s">
        <v>1142</v>
      </c>
      <c r="B231" s="11" t="s">
        <v>5728</v>
      </c>
      <c r="C231" s="11" t="s">
        <v>5727</v>
      </c>
      <c r="G231" s="9" t="s">
        <v>24</v>
      </c>
      <c r="H231" s="9"/>
      <c r="I231" s="9">
        <v>1</v>
      </c>
      <c r="J231" s="9">
        <v>7</v>
      </c>
      <c r="K231" s="9" t="s">
        <v>12094</v>
      </c>
      <c r="L231" s="9" t="s">
        <v>12073</v>
      </c>
      <c r="M231" s="9" t="s">
        <v>12203</v>
      </c>
      <c r="N231" s="10" t="s">
        <v>12204</v>
      </c>
      <c r="O231" s="9"/>
      <c r="P231" s="9">
        <v>202</v>
      </c>
      <c r="Q231" s="9"/>
      <c r="R231" s="9" t="s">
        <v>12795</v>
      </c>
      <c r="S231" s="9" t="s">
        <v>12795</v>
      </c>
      <c r="T231" s="9"/>
      <c r="U231" s="9"/>
      <c r="V231" s="9"/>
      <c r="W231" s="9"/>
      <c r="X231" s="9"/>
      <c r="Y231" s="9"/>
      <c r="Z231" s="9"/>
      <c r="AA231" s="9"/>
      <c r="AB231" s="9"/>
      <c r="AC231" s="9"/>
      <c r="AD231" s="9" t="s">
        <v>19</v>
      </c>
    </row>
    <row r="232" spans="1:30" ht="29">
      <c r="A232" s="3" t="s">
        <v>1146</v>
      </c>
      <c r="B232" s="3" t="s">
        <v>1147</v>
      </c>
      <c r="C232" s="3" t="s">
        <v>1148</v>
      </c>
      <c r="G232" s="9" t="s">
        <v>12120</v>
      </c>
      <c r="H232" s="9"/>
      <c r="I232" s="9"/>
      <c r="J232" s="9"/>
      <c r="K232" s="9"/>
      <c r="L232" s="9"/>
      <c r="M232" s="9"/>
      <c r="N232" s="10"/>
      <c r="O232" s="9"/>
      <c r="P232" s="9"/>
      <c r="Q232" s="9"/>
      <c r="R232" s="9" t="s">
        <v>12795</v>
      </c>
      <c r="S232" s="9" t="s">
        <v>12795</v>
      </c>
      <c r="T232" s="9"/>
      <c r="U232" s="9"/>
      <c r="V232" s="9"/>
      <c r="W232" s="9"/>
      <c r="X232" s="9"/>
      <c r="Y232" s="9"/>
      <c r="Z232" s="9"/>
      <c r="AA232" s="9"/>
      <c r="AB232" s="9"/>
      <c r="AC232" s="9"/>
      <c r="AD232" s="9" t="s">
        <v>20</v>
      </c>
    </row>
    <row r="233" spans="1:30" ht="29">
      <c r="A233" s="3" t="s">
        <v>1152</v>
      </c>
      <c r="B233" s="3" t="s">
        <v>5736</v>
      </c>
      <c r="C233" s="3" t="s">
        <v>5737</v>
      </c>
      <c r="G233" s="9" t="s">
        <v>25</v>
      </c>
      <c r="H233" s="9"/>
      <c r="I233" s="9">
        <v>3</v>
      </c>
      <c r="J233" s="9">
        <v>4</v>
      </c>
      <c r="K233" s="9"/>
      <c r="L233" s="9" t="s">
        <v>12073</v>
      </c>
      <c r="M233" s="9" t="s">
        <v>12140</v>
      </c>
      <c r="N233" s="10" t="s">
        <v>12136</v>
      </c>
      <c r="O233" s="9"/>
      <c r="P233" s="9">
        <v>113</v>
      </c>
      <c r="Q233" s="9"/>
      <c r="R233" s="9" t="s">
        <v>12795</v>
      </c>
      <c r="S233" s="9" t="s">
        <v>12795</v>
      </c>
      <c r="T233" s="9"/>
      <c r="U233" s="9"/>
      <c r="V233" s="9"/>
      <c r="W233" s="9"/>
      <c r="X233" s="9"/>
      <c r="Y233" s="9"/>
      <c r="Z233" s="9"/>
      <c r="AA233" s="9"/>
      <c r="AB233" s="9"/>
      <c r="AC233" s="9"/>
      <c r="AD233" s="9" t="s">
        <v>20</v>
      </c>
    </row>
    <row r="234" spans="1:30" ht="29">
      <c r="A234" s="3" t="s">
        <v>1154</v>
      </c>
      <c r="B234" s="3" t="s">
        <v>5741</v>
      </c>
      <c r="C234" s="3" t="s">
        <v>5742</v>
      </c>
      <c r="G234" s="9" t="s">
        <v>12118</v>
      </c>
      <c r="H234" s="9"/>
      <c r="I234" s="9"/>
      <c r="J234" s="9"/>
      <c r="K234" s="9"/>
      <c r="L234" s="9"/>
      <c r="M234" s="9"/>
      <c r="N234" s="10"/>
      <c r="O234" s="9"/>
      <c r="P234" s="9"/>
      <c r="Q234" s="9">
        <v>9</v>
      </c>
      <c r="R234" s="9">
        <v>0</v>
      </c>
      <c r="S234" s="9">
        <v>9</v>
      </c>
      <c r="T234" s="9" t="s">
        <v>12117</v>
      </c>
      <c r="U234" s="9"/>
      <c r="V234" s="9"/>
      <c r="W234" s="9"/>
      <c r="X234" s="9"/>
      <c r="Y234" s="9"/>
      <c r="Z234" s="9"/>
      <c r="AA234" s="9"/>
      <c r="AB234" s="9"/>
      <c r="AC234" s="9"/>
      <c r="AD234" s="9" t="s">
        <v>19</v>
      </c>
    </row>
    <row r="235" spans="1:30" ht="29">
      <c r="A235" s="3" t="s">
        <v>1154</v>
      </c>
      <c r="B235" s="3" t="s">
        <v>5740</v>
      </c>
      <c r="C235" s="3" t="s">
        <v>5743</v>
      </c>
      <c r="G235" s="9" t="s">
        <v>24</v>
      </c>
      <c r="H235" s="9"/>
      <c r="I235" s="9">
        <v>2</v>
      </c>
      <c r="J235" s="9">
        <v>8</v>
      </c>
      <c r="K235" s="9"/>
      <c r="L235" s="9" t="s">
        <v>12079</v>
      </c>
      <c r="M235" s="9"/>
      <c r="N235" s="10"/>
      <c r="O235" s="9"/>
      <c r="P235" s="9">
        <v>560</v>
      </c>
      <c r="Q235" s="9"/>
      <c r="R235" s="9" t="s">
        <v>12795</v>
      </c>
      <c r="S235" s="9" t="s">
        <v>12795</v>
      </c>
      <c r="T235" s="9" t="s">
        <v>12117</v>
      </c>
      <c r="U235" s="9"/>
      <c r="V235" s="9"/>
      <c r="W235" s="9"/>
      <c r="X235" s="9"/>
      <c r="Y235" s="9"/>
      <c r="Z235" s="9"/>
      <c r="AA235" s="9"/>
      <c r="AB235" s="9"/>
      <c r="AC235" s="9"/>
      <c r="AD235" s="9" t="s">
        <v>19</v>
      </c>
    </row>
    <row r="236" spans="1:30" ht="29">
      <c r="A236" s="3" t="s">
        <v>1156</v>
      </c>
      <c r="B236" s="3" t="s">
        <v>5744</v>
      </c>
      <c r="C236" s="3" t="s">
        <v>5746</v>
      </c>
      <c r="G236" s="9" t="s">
        <v>24</v>
      </c>
      <c r="H236" s="9"/>
      <c r="I236" s="9">
        <v>1</v>
      </c>
      <c r="J236" s="9">
        <v>3</v>
      </c>
      <c r="K236" s="9" t="s">
        <v>12087</v>
      </c>
      <c r="L236" s="9" t="s">
        <v>12079</v>
      </c>
      <c r="M236" s="9"/>
      <c r="N236" s="10"/>
      <c r="O236" s="9"/>
      <c r="P236" s="9">
        <v>5676</v>
      </c>
      <c r="Q236" s="9"/>
      <c r="R236" s="9" t="s">
        <v>12795</v>
      </c>
      <c r="S236" s="9" t="s">
        <v>12795</v>
      </c>
      <c r="T236" s="9"/>
      <c r="U236" s="9"/>
      <c r="V236" s="9"/>
      <c r="W236" s="9"/>
      <c r="X236" s="9"/>
      <c r="Y236" s="9"/>
      <c r="Z236" s="9"/>
      <c r="AA236" s="9"/>
      <c r="AB236" s="9"/>
      <c r="AC236" s="9"/>
      <c r="AD236" s="9" t="s">
        <v>19</v>
      </c>
    </row>
    <row r="237" spans="1:30" ht="29">
      <c r="A237" s="3" t="s">
        <v>1156</v>
      </c>
      <c r="B237" s="3" t="s">
        <v>5747</v>
      </c>
      <c r="C237" s="3" t="s">
        <v>5745</v>
      </c>
      <c r="G237" s="9" t="s">
        <v>25</v>
      </c>
      <c r="H237" s="9"/>
      <c r="I237" s="9">
        <v>1</v>
      </c>
      <c r="J237" s="9">
        <v>2</v>
      </c>
      <c r="K237" s="9" t="s">
        <v>12078</v>
      </c>
      <c r="L237" s="9" t="s">
        <v>12119</v>
      </c>
      <c r="M237" s="9"/>
      <c r="N237" s="10"/>
      <c r="O237" s="9"/>
      <c r="P237" s="9">
        <v>11843</v>
      </c>
      <c r="Q237" s="9"/>
      <c r="R237" s="9" t="s">
        <v>12795</v>
      </c>
      <c r="S237" s="9" t="s">
        <v>12795</v>
      </c>
      <c r="T237" s="9"/>
      <c r="U237" s="9"/>
      <c r="V237" s="9"/>
      <c r="W237" s="9"/>
      <c r="X237" s="9"/>
      <c r="Y237" s="9"/>
      <c r="Z237" s="9"/>
      <c r="AA237" s="9"/>
      <c r="AB237" s="9"/>
      <c r="AC237" s="9"/>
      <c r="AD237" s="9" t="s">
        <v>20</v>
      </c>
    </row>
    <row r="238" spans="1:30" ht="29">
      <c r="A238" s="3" t="s">
        <v>1156</v>
      </c>
      <c r="B238" s="3" t="s">
        <v>5750</v>
      </c>
      <c r="C238" s="3" t="s">
        <v>5751</v>
      </c>
      <c r="G238" s="9" t="s">
        <v>12118</v>
      </c>
      <c r="H238" s="9"/>
      <c r="I238" s="9"/>
      <c r="J238" s="9"/>
      <c r="K238" s="9"/>
      <c r="L238" s="9"/>
      <c r="M238" s="9"/>
      <c r="N238" s="10"/>
      <c r="O238" s="9"/>
      <c r="P238" s="9"/>
      <c r="Q238" s="9">
        <v>-57</v>
      </c>
      <c r="R238" s="9">
        <v>65</v>
      </c>
      <c r="S238" s="9">
        <v>8</v>
      </c>
      <c r="T238" s="9"/>
      <c r="U238" s="9"/>
      <c r="V238" s="9"/>
      <c r="W238" s="9"/>
      <c r="X238" s="9"/>
      <c r="Y238" s="9"/>
      <c r="Z238" s="9"/>
      <c r="AA238" s="9"/>
      <c r="AB238" s="9"/>
      <c r="AC238" s="9"/>
      <c r="AD238" s="9" t="s">
        <v>19</v>
      </c>
    </row>
    <row r="239" spans="1:30" ht="29">
      <c r="A239" s="3" t="s">
        <v>1157</v>
      </c>
      <c r="B239" s="3" t="s">
        <v>5752</v>
      </c>
      <c r="C239" s="3" t="s">
        <v>5753</v>
      </c>
      <c r="G239" s="9" t="s">
        <v>12118</v>
      </c>
      <c r="H239" s="9"/>
      <c r="I239" s="9"/>
      <c r="J239" s="9"/>
      <c r="K239" s="9"/>
      <c r="L239" s="9"/>
      <c r="M239" s="9"/>
      <c r="N239" s="10"/>
      <c r="O239" s="9"/>
      <c r="P239" s="9"/>
      <c r="Q239" s="9">
        <v>57</v>
      </c>
      <c r="R239" s="9">
        <v>8</v>
      </c>
      <c r="S239" s="9">
        <v>65</v>
      </c>
      <c r="T239" s="9"/>
      <c r="U239" s="9"/>
      <c r="V239" s="9"/>
      <c r="W239" s="9"/>
      <c r="X239" s="9"/>
      <c r="Y239" s="9"/>
      <c r="Z239" s="9"/>
      <c r="AA239" s="9"/>
      <c r="AB239" s="9"/>
      <c r="AC239" s="9"/>
      <c r="AD239" s="9" t="s">
        <v>20</v>
      </c>
    </row>
    <row r="240" spans="1:30" ht="29">
      <c r="A240" s="3" t="s">
        <v>1158</v>
      </c>
      <c r="B240" s="3" t="s">
        <v>5754</v>
      </c>
      <c r="C240" s="3" t="s">
        <v>5755</v>
      </c>
      <c r="G240" s="9" t="s">
        <v>25</v>
      </c>
      <c r="H240" s="9"/>
      <c r="I240" s="9">
        <v>1</v>
      </c>
      <c r="J240" s="9">
        <v>2</v>
      </c>
      <c r="K240" s="9" t="s">
        <v>12123</v>
      </c>
      <c r="L240" s="9" t="s">
        <v>12119</v>
      </c>
      <c r="M240" s="9"/>
      <c r="N240" s="10"/>
      <c r="O240" s="9"/>
      <c r="P240" s="9">
        <v>134</v>
      </c>
      <c r="Q240" s="9"/>
      <c r="R240" s="9" t="s">
        <v>12795</v>
      </c>
      <c r="S240" s="9" t="s">
        <v>12795</v>
      </c>
      <c r="T240" s="9"/>
      <c r="U240" s="9"/>
      <c r="V240" s="9"/>
      <c r="W240" s="9"/>
      <c r="X240" s="9"/>
      <c r="Y240" s="9"/>
      <c r="Z240" s="9"/>
      <c r="AA240" s="9"/>
      <c r="AB240" s="9"/>
      <c r="AC240" s="9"/>
      <c r="AD240" s="9" t="s">
        <v>20</v>
      </c>
    </row>
    <row r="241" spans="1:30" ht="29">
      <c r="A241" s="3" t="s">
        <v>1162</v>
      </c>
      <c r="B241" s="3" t="s">
        <v>5756</v>
      </c>
      <c r="C241" s="3" t="s">
        <v>5757</v>
      </c>
      <c r="G241" s="9" t="s">
        <v>24</v>
      </c>
      <c r="H241" s="9"/>
      <c r="I241" s="9">
        <v>1</v>
      </c>
      <c r="J241" s="9">
        <v>5</v>
      </c>
      <c r="K241" s="9" t="s">
        <v>12072</v>
      </c>
      <c r="L241" s="9" t="s">
        <v>12073</v>
      </c>
      <c r="M241" s="9" t="s">
        <v>12142</v>
      </c>
      <c r="N241" s="10" t="s">
        <v>12143</v>
      </c>
      <c r="O241" s="9"/>
      <c r="P241" s="9">
        <v>591</v>
      </c>
      <c r="Q241" s="9"/>
      <c r="R241" s="9" t="s">
        <v>12795</v>
      </c>
      <c r="S241" s="9" t="s">
        <v>12795</v>
      </c>
      <c r="T241" s="9"/>
      <c r="U241" s="9"/>
      <c r="V241" s="9"/>
      <c r="W241" s="9"/>
      <c r="X241" s="9"/>
      <c r="Y241" s="9"/>
      <c r="Z241" s="9"/>
      <c r="AA241" s="9"/>
      <c r="AB241" s="9"/>
      <c r="AC241" s="9"/>
      <c r="AD241" s="9" t="s">
        <v>19</v>
      </c>
    </row>
    <row r="242" spans="1:30" ht="29">
      <c r="A242" s="3" t="s">
        <v>1162</v>
      </c>
      <c r="B242" s="3" t="s">
        <v>5758</v>
      </c>
      <c r="C242" s="3" t="s">
        <v>5759</v>
      </c>
      <c r="G242" s="9" t="s">
        <v>25</v>
      </c>
      <c r="H242" s="9"/>
      <c r="I242" s="9">
        <v>1</v>
      </c>
      <c r="J242" s="9">
        <v>2</v>
      </c>
      <c r="K242" s="9" t="s">
        <v>12087</v>
      </c>
      <c r="L242" s="9" t="s">
        <v>12119</v>
      </c>
      <c r="M242" s="9"/>
      <c r="N242" s="10"/>
      <c r="O242" s="9"/>
      <c r="P242" s="9">
        <v>1966</v>
      </c>
      <c r="Q242" s="9"/>
      <c r="R242" s="9" t="s">
        <v>12795</v>
      </c>
      <c r="S242" s="9" t="s">
        <v>12795</v>
      </c>
      <c r="T242" s="9"/>
      <c r="U242" s="9"/>
      <c r="V242" s="9"/>
      <c r="W242" s="9"/>
      <c r="X242" s="9"/>
      <c r="Y242" s="9"/>
      <c r="Z242" s="9"/>
      <c r="AA242" s="9"/>
      <c r="AB242" s="9"/>
      <c r="AC242" s="9"/>
      <c r="AD242" s="9" t="s">
        <v>19</v>
      </c>
    </row>
    <row r="243" spans="1:30" ht="29">
      <c r="A243" s="3" t="s">
        <v>1163</v>
      </c>
      <c r="B243" s="3" t="s">
        <v>5761</v>
      </c>
      <c r="C243" s="3" t="s">
        <v>5762</v>
      </c>
      <c r="G243" s="9" t="s">
        <v>12121</v>
      </c>
      <c r="H243" s="9"/>
      <c r="I243" s="9"/>
      <c r="J243" s="9"/>
      <c r="K243" s="9"/>
      <c r="L243" s="9"/>
      <c r="M243" s="9"/>
      <c r="N243" s="10"/>
      <c r="O243" s="9"/>
      <c r="P243" s="9"/>
      <c r="Q243" s="9">
        <v>-15</v>
      </c>
      <c r="R243" s="9">
        <v>92</v>
      </c>
      <c r="S243" s="9">
        <v>77</v>
      </c>
      <c r="T243" s="9"/>
      <c r="U243" s="9"/>
      <c r="V243" s="9"/>
      <c r="W243" s="9"/>
      <c r="X243" s="9"/>
      <c r="Y243" s="9"/>
      <c r="Z243" s="9"/>
      <c r="AA243" s="9"/>
      <c r="AB243" s="9"/>
      <c r="AC243" s="9"/>
      <c r="AD243" s="9" t="s">
        <v>13141</v>
      </c>
    </row>
    <row r="244" spans="1:30" ht="29">
      <c r="A244" s="3" t="s">
        <v>1163</v>
      </c>
      <c r="B244" s="3" t="s">
        <v>5763</v>
      </c>
      <c r="C244" s="3" t="s">
        <v>5760</v>
      </c>
      <c r="G244" s="9" t="s">
        <v>25</v>
      </c>
      <c r="H244" s="9"/>
      <c r="I244" s="9">
        <v>1</v>
      </c>
      <c r="J244" s="9">
        <v>3</v>
      </c>
      <c r="K244" s="9" t="s">
        <v>12084</v>
      </c>
      <c r="L244" s="9" t="s">
        <v>12079</v>
      </c>
      <c r="M244" s="9"/>
      <c r="N244" s="10"/>
      <c r="O244" s="9"/>
      <c r="P244" s="9">
        <v>52</v>
      </c>
      <c r="Q244" s="9"/>
      <c r="R244" s="9" t="s">
        <v>12795</v>
      </c>
      <c r="S244" s="9" t="s">
        <v>12795</v>
      </c>
      <c r="T244" s="9"/>
      <c r="U244" s="9"/>
      <c r="V244" s="9"/>
      <c r="W244" s="9"/>
      <c r="X244" s="9"/>
      <c r="Y244" s="9"/>
      <c r="Z244" s="9"/>
      <c r="AA244" s="9"/>
      <c r="AB244" s="9"/>
      <c r="AC244" s="9"/>
      <c r="AD244" s="9" t="s">
        <v>19</v>
      </c>
    </row>
    <row r="245" spans="1:30" ht="29">
      <c r="A245" s="3" t="s">
        <v>1163</v>
      </c>
      <c r="B245" s="3" t="s">
        <v>5764</v>
      </c>
      <c r="C245" s="3" t="s">
        <v>5765</v>
      </c>
      <c r="G245" s="9" t="s">
        <v>12118</v>
      </c>
      <c r="H245" s="9"/>
      <c r="I245" s="9"/>
      <c r="J245" s="9"/>
      <c r="K245" s="9"/>
      <c r="L245" s="9"/>
      <c r="M245" s="9"/>
      <c r="N245" s="10"/>
      <c r="O245" s="9"/>
      <c r="P245" s="9"/>
      <c r="Q245" s="9">
        <v>49</v>
      </c>
      <c r="R245" s="9">
        <v>3</v>
      </c>
      <c r="S245" s="9">
        <v>52</v>
      </c>
      <c r="T245" s="9"/>
      <c r="U245" s="9"/>
      <c r="V245" s="9"/>
      <c r="W245" s="9"/>
      <c r="X245" s="9"/>
      <c r="Y245" s="9"/>
      <c r="Z245" s="9"/>
      <c r="AA245" s="9"/>
      <c r="AB245" s="9"/>
      <c r="AC245" s="9"/>
      <c r="AD245" s="9" t="s">
        <v>20</v>
      </c>
    </row>
    <row r="246" spans="1:30" ht="29">
      <c r="A246" s="3" t="s">
        <v>1164</v>
      </c>
      <c r="B246" s="3" t="s">
        <v>5766</v>
      </c>
      <c r="C246" s="3" t="s">
        <v>5767</v>
      </c>
      <c r="G246" s="9" t="s">
        <v>24</v>
      </c>
      <c r="H246" s="9"/>
      <c r="I246" s="9">
        <v>1</v>
      </c>
      <c r="J246" s="9">
        <v>3</v>
      </c>
      <c r="K246" s="9" t="s">
        <v>12123</v>
      </c>
      <c r="L246" s="9" t="s">
        <v>12079</v>
      </c>
      <c r="M246" s="9"/>
      <c r="N246" s="10"/>
      <c r="O246" s="9"/>
      <c r="P246" s="9">
        <v>92</v>
      </c>
      <c r="Q246" s="9"/>
      <c r="R246" s="9" t="s">
        <v>12795</v>
      </c>
      <c r="S246" s="9" t="s">
        <v>12795</v>
      </c>
      <c r="T246" s="9"/>
      <c r="U246" s="9"/>
      <c r="V246" s="9"/>
      <c r="W246" s="9"/>
      <c r="X246" s="9"/>
      <c r="Y246" s="9"/>
      <c r="Z246" s="9"/>
      <c r="AA246" s="9"/>
      <c r="AB246" s="9"/>
      <c r="AC246" s="9"/>
      <c r="AD246" s="9" t="s">
        <v>19</v>
      </c>
    </row>
    <row r="247" spans="1:30" ht="29">
      <c r="A247" s="3" t="s">
        <v>1175</v>
      </c>
      <c r="B247" s="3" t="s">
        <v>5770</v>
      </c>
      <c r="C247" s="3" t="s">
        <v>5771</v>
      </c>
      <c r="G247" s="9" t="s">
        <v>26</v>
      </c>
      <c r="H247" s="9"/>
      <c r="I247" s="9"/>
      <c r="J247" s="9"/>
      <c r="K247" s="9"/>
      <c r="L247" s="9"/>
      <c r="M247" s="9"/>
      <c r="N247" s="10"/>
      <c r="O247" s="9"/>
      <c r="P247" s="9"/>
      <c r="Q247" s="9"/>
      <c r="R247" s="9" t="s">
        <v>12795</v>
      </c>
      <c r="S247" s="9" t="s">
        <v>12795</v>
      </c>
      <c r="T247" s="9"/>
      <c r="U247" s="9"/>
      <c r="V247" s="9"/>
      <c r="W247" s="9"/>
      <c r="X247" s="9"/>
      <c r="Y247" s="9"/>
      <c r="Z247" s="9"/>
      <c r="AA247" s="9"/>
      <c r="AB247" s="9"/>
      <c r="AC247" s="9"/>
      <c r="AD247" s="9" t="s">
        <v>19</v>
      </c>
    </row>
    <row r="248" spans="1:30" ht="29">
      <c r="A248" s="3" t="s">
        <v>1176</v>
      </c>
      <c r="B248" s="3" t="s">
        <v>5772</v>
      </c>
      <c r="C248" s="3" t="s">
        <v>5773</v>
      </c>
      <c r="G248" s="9" t="s">
        <v>12118</v>
      </c>
      <c r="H248" s="9"/>
      <c r="I248" s="9"/>
      <c r="J248" s="9"/>
      <c r="K248" s="9"/>
      <c r="L248" s="9"/>
      <c r="M248" s="9"/>
      <c r="N248" s="10"/>
      <c r="O248" s="9"/>
      <c r="P248" s="9"/>
      <c r="Q248" s="9">
        <v>5483</v>
      </c>
      <c r="R248" s="9">
        <v>193</v>
      </c>
      <c r="S248" s="9">
        <v>5676</v>
      </c>
      <c r="T248" s="9"/>
      <c r="U248" s="9"/>
      <c r="V248" s="9"/>
      <c r="W248" s="9"/>
      <c r="X248" s="9"/>
      <c r="Y248" s="9"/>
      <c r="Z248" s="9"/>
      <c r="AA248" s="9"/>
      <c r="AB248" s="9"/>
      <c r="AC248" s="9"/>
      <c r="AD248" s="9" t="s">
        <v>20</v>
      </c>
    </row>
    <row r="249" spans="1:30" ht="29">
      <c r="A249" s="3" t="s">
        <v>1177</v>
      </c>
      <c r="B249" s="3" t="s">
        <v>5777</v>
      </c>
      <c r="C249" s="3" t="s">
        <v>5774</v>
      </c>
      <c r="G249" s="9" t="s">
        <v>25</v>
      </c>
      <c r="H249" s="9"/>
      <c r="I249" s="9">
        <v>1</v>
      </c>
      <c r="J249" s="9">
        <v>4</v>
      </c>
      <c r="K249" s="9" t="s">
        <v>12125</v>
      </c>
      <c r="L249" s="9" t="s">
        <v>12073</v>
      </c>
      <c r="M249" s="9" t="s">
        <v>12142</v>
      </c>
      <c r="N249" s="10" t="s">
        <v>12143</v>
      </c>
      <c r="O249" s="9"/>
      <c r="P249" s="9">
        <v>2042</v>
      </c>
      <c r="Q249" s="9"/>
      <c r="R249" s="9" t="s">
        <v>12795</v>
      </c>
      <c r="S249" s="9" t="s">
        <v>12795</v>
      </c>
      <c r="T249" s="9"/>
      <c r="U249" s="9"/>
      <c r="V249" s="9"/>
      <c r="W249" s="9"/>
      <c r="X249" s="9"/>
      <c r="Y249" s="9"/>
      <c r="Z249" s="9"/>
      <c r="AA249" s="9"/>
      <c r="AB249" s="9"/>
      <c r="AC249" s="9"/>
      <c r="AD249" s="9" t="s">
        <v>20</v>
      </c>
    </row>
    <row r="250" spans="1:30" ht="29">
      <c r="A250" s="3" t="s">
        <v>1181</v>
      </c>
      <c r="B250" s="3" t="s">
        <v>5778</v>
      </c>
      <c r="C250" s="3" t="s">
        <v>5779</v>
      </c>
      <c r="G250" s="9" t="s">
        <v>25</v>
      </c>
      <c r="H250" s="9"/>
      <c r="I250" s="9">
        <v>1</v>
      </c>
      <c r="J250" s="9">
        <v>3</v>
      </c>
      <c r="K250" s="9" t="s">
        <v>12087</v>
      </c>
      <c r="L250" s="9" t="s">
        <v>12073</v>
      </c>
      <c r="M250" s="9" t="s">
        <v>12142</v>
      </c>
      <c r="N250" s="10" t="s">
        <v>12143</v>
      </c>
      <c r="O250" s="9"/>
      <c r="P250" s="9">
        <v>5676</v>
      </c>
      <c r="Q250" s="9"/>
      <c r="R250" s="9" t="s">
        <v>12795</v>
      </c>
      <c r="S250" s="9" t="s">
        <v>12795</v>
      </c>
      <c r="T250" s="9"/>
      <c r="U250" s="9"/>
      <c r="V250" s="9"/>
      <c r="W250" s="9"/>
      <c r="X250" s="9"/>
      <c r="Y250" s="9"/>
      <c r="Z250" s="9"/>
      <c r="AA250" s="9"/>
      <c r="AB250" s="9"/>
      <c r="AC250" s="9"/>
      <c r="AD250" s="9" t="s">
        <v>20</v>
      </c>
    </row>
    <row r="251" spans="1:30" ht="29">
      <c r="A251" s="3" t="s">
        <v>1183</v>
      </c>
      <c r="B251" s="3" t="s">
        <v>5785</v>
      </c>
      <c r="C251" s="3" t="s">
        <v>5786</v>
      </c>
      <c r="G251" s="9" t="s">
        <v>24</v>
      </c>
      <c r="H251" s="9"/>
      <c r="I251" s="9">
        <v>2</v>
      </c>
      <c r="J251" s="9">
        <v>11</v>
      </c>
      <c r="K251" s="9"/>
      <c r="L251" s="9" t="s">
        <v>12079</v>
      </c>
      <c r="M251" s="9"/>
      <c r="N251" s="10"/>
      <c r="O251" s="9"/>
      <c r="P251" s="9">
        <v>173</v>
      </c>
      <c r="Q251" s="9"/>
      <c r="R251" s="9" t="s">
        <v>12795</v>
      </c>
      <c r="S251" s="9" t="s">
        <v>12795</v>
      </c>
      <c r="T251" s="9"/>
      <c r="U251" s="9"/>
      <c r="V251" s="9"/>
      <c r="W251" s="9"/>
      <c r="X251" s="9"/>
      <c r="Y251" s="9"/>
      <c r="Z251" s="9"/>
      <c r="AA251" s="9"/>
      <c r="AB251" s="9"/>
      <c r="AC251" s="9"/>
      <c r="AD251" s="9" t="s">
        <v>19</v>
      </c>
    </row>
    <row r="252" spans="1:30" ht="29">
      <c r="A252" s="3" t="s">
        <v>1184</v>
      </c>
      <c r="B252" s="3" t="s">
        <v>5787</v>
      </c>
      <c r="C252" s="3" t="s">
        <v>5788</v>
      </c>
      <c r="G252" s="9" t="s">
        <v>12118</v>
      </c>
      <c r="H252" s="9"/>
      <c r="I252" s="9"/>
      <c r="J252" s="9"/>
      <c r="K252" s="9"/>
      <c r="L252" s="9"/>
      <c r="M252" s="9"/>
      <c r="N252" s="10"/>
      <c r="O252" s="9"/>
      <c r="P252" s="9"/>
      <c r="Q252" s="9">
        <v>-743</v>
      </c>
      <c r="R252" s="9">
        <v>810</v>
      </c>
      <c r="S252" s="9">
        <v>67</v>
      </c>
      <c r="T252" s="9"/>
      <c r="U252" s="9"/>
      <c r="V252" s="9"/>
      <c r="W252" s="9"/>
      <c r="X252" s="9"/>
      <c r="Y252" s="9"/>
      <c r="Z252" s="9"/>
      <c r="AA252" s="9"/>
      <c r="AB252" s="9"/>
      <c r="AC252" s="9"/>
      <c r="AD252" s="9" t="s">
        <v>20</v>
      </c>
    </row>
    <row r="253" spans="1:30" ht="43.5">
      <c r="A253" s="3" t="s">
        <v>1186</v>
      </c>
      <c r="B253" s="3" t="s">
        <v>5789</v>
      </c>
      <c r="C253" s="3" t="s">
        <v>5790</v>
      </c>
      <c r="G253" s="9" t="s">
        <v>24</v>
      </c>
      <c r="H253" s="9"/>
      <c r="I253" s="9">
        <v>3</v>
      </c>
      <c r="J253" s="9">
        <v>15</v>
      </c>
      <c r="K253" s="9"/>
      <c r="L253" s="9" t="s">
        <v>12073</v>
      </c>
      <c r="M253" s="9" t="s">
        <v>12154</v>
      </c>
      <c r="N253" s="10" t="s">
        <v>12207</v>
      </c>
      <c r="O253" s="9"/>
      <c r="P253" s="9">
        <v>62</v>
      </c>
      <c r="Q253" s="9"/>
      <c r="R253" s="9" t="s">
        <v>12795</v>
      </c>
      <c r="S253" s="9" t="s">
        <v>12795</v>
      </c>
      <c r="T253" s="9"/>
      <c r="U253" s="9"/>
      <c r="V253" s="9"/>
      <c r="W253" s="9"/>
      <c r="X253" s="9"/>
      <c r="Y253" s="9"/>
      <c r="Z253" s="9"/>
      <c r="AA253" s="9"/>
      <c r="AB253" s="9"/>
      <c r="AC253" s="9"/>
      <c r="AD253" s="9" t="s">
        <v>19</v>
      </c>
    </row>
    <row r="254" spans="1:30" ht="29">
      <c r="A254" s="3" t="s">
        <v>1189</v>
      </c>
      <c r="B254" s="3" t="s">
        <v>5791</v>
      </c>
      <c r="C254" s="3" t="s">
        <v>5792</v>
      </c>
      <c r="G254" s="9" t="s">
        <v>12120</v>
      </c>
      <c r="H254" s="9"/>
      <c r="I254" s="9"/>
      <c r="J254" s="9"/>
      <c r="K254" s="9"/>
      <c r="L254" s="9"/>
      <c r="M254" s="9"/>
      <c r="N254" s="10"/>
      <c r="O254" s="9"/>
      <c r="P254" s="9"/>
      <c r="Q254" s="9"/>
      <c r="R254" s="9" t="s">
        <v>12795</v>
      </c>
      <c r="S254" s="9" t="s">
        <v>12795</v>
      </c>
      <c r="T254" s="9"/>
      <c r="U254" s="9"/>
      <c r="V254" s="9"/>
      <c r="W254" s="9"/>
      <c r="X254" s="9"/>
      <c r="Y254" s="9"/>
      <c r="Z254" s="9"/>
      <c r="AA254" s="9"/>
      <c r="AB254" s="9"/>
      <c r="AC254" s="9"/>
      <c r="AD254" s="9" t="s">
        <v>20</v>
      </c>
    </row>
    <row r="255" spans="1:30" ht="29">
      <c r="A255" s="3" t="s">
        <v>1189</v>
      </c>
      <c r="B255" s="3" t="s">
        <v>5793</v>
      </c>
      <c r="C255" s="3" t="s">
        <v>12992</v>
      </c>
      <c r="G255" s="9" t="s">
        <v>26</v>
      </c>
      <c r="H255" s="9"/>
      <c r="I255" s="9"/>
      <c r="J255" s="9"/>
      <c r="K255" s="9"/>
      <c r="L255" s="9"/>
      <c r="M255" s="9"/>
      <c r="N255" s="10"/>
      <c r="O255" s="9"/>
      <c r="P255" s="9"/>
      <c r="Q255" s="9"/>
      <c r="R255" s="9" t="s">
        <v>12795</v>
      </c>
      <c r="S255" s="9" t="s">
        <v>12795</v>
      </c>
      <c r="T255" s="9"/>
      <c r="U255" s="9"/>
      <c r="V255" s="9"/>
      <c r="W255" s="9"/>
      <c r="X255" s="9"/>
      <c r="Y255" s="9"/>
      <c r="Z255" s="9"/>
      <c r="AA255" s="9"/>
      <c r="AB255" s="9"/>
      <c r="AC255" s="9"/>
      <c r="AD255" s="9" t="s">
        <v>19</v>
      </c>
    </row>
    <row r="256" spans="1:30" ht="29">
      <c r="A256" s="3" t="s">
        <v>1191</v>
      </c>
      <c r="B256" s="3" t="s">
        <v>5797</v>
      </c>
      <c r="C256" s="3" t="s">
        <v>5798</v>
      </c>
      <c r="G256" s="9" t="s">
        <v>12120</v>
      </c>
      <c r="H256" s="9"/>
      <c r="I256" s="9"/>
      <c r="J256" s="9"/>
      <c r="K256" s="9"/>
      <c r="L256" s="9"/>
      <c r="M256" s="9"/>
      <c r="N256" s="10"/>
      <c r="O256" s="9"/>
      <c r="P256" s="9"/>
      <c r="Q256" s="9"/>
      <c r="R256" s="9" t="s">
        <v>12795</v>
      </c>
      <c r="S256" s="9" t="s">
        <v>12795</v>
      </c>
      <c r="T256" s="9"/>
      <c r="U256" s="9"/>
      <c r="V256" s="9"/>
      <c r="W256" s="9"/>
      <c r="X256" s="9"/>
      <c r="Y256" s="9"/>
      <c r="Z256" s="9"/>
      <c r="AA256" s="9"/>
      <c r="AB256" s="9"/>
      <c r="AC256" s="9"/>
      <c r="AD256" s="9" t="s">
        <v>19</v>
      </c>
    </row>
    <row r="257" spans="1:30" ht="29">
      <c r="A257" s="3" t="s">
        <v>1191</v>
      </c>
      <c r="B257" s="3" t="s">
        <v>5799</v>
      </c>
      <c r="C257" s="3" t="s">
        <v>5796</v>
      </c>
      <c r="G257" s="9" t="s">
        <v>25</v>
      </c>
      <c r="H257" s="9"/>
      <c r="I257" s="9">
        <v>1</v>
      </c>
      <c r="J257" s="9">
        <v>5</v>
      </c>
      <c r="K257" s="9" t="s">
        <v>12094</v>
      </c>
      <c r="L257" s="9" t="s">
        <v>12073</v>
      </c>
      <c r="M257" s="9" t="s">
        <v>12149</v>
      </c>
      <c r="N257" s="10" t="s">
        <v>12143</v>
      </c>
      <c r="O257" s="9"/>
      <c r="P257" s="9">
        <v>4240</v>
      </c>
      <c r="Q257" s="9"/>
      <c r="R257" s="9" t="s">
        <v>12795</v>
      </c>
      <c r="S257" s="9" t="s">
        <v>12795</v>
      </c>
      <c r="T257" s="9"/>
      <c r="U257" s="9"/>
      <c r="V257" s="9"/>
      <c r="W257" s="9"/>
      <c r="X257" s="9"/>
      <c r="Y257" s="9"/>
      <c r="Z257" s="9"/>
      <c r="AA257" s="9"/>
      <c r="AB257" s="9"/>
      <c r="AC257" s="9"/>
      <c r="AD257" s="9" t="s">
        <v>20</v>
      </c>
    </row>
    <row r="258" spans="1:30" ht="29">
      <c r="A258" s="3" t="s">
        <v>1192</v>
      </c>
      <c r="B258" s="3" t="s">
        <v>5800</v>
      </c>
      <c r="C258" s="3" t="s">
        <v>5801</v>
      </c>
      <c r="G258" s="9" t="s">
        <v>24</v>
      </c>
      <c r="H258" s="9"/>
      <c r="I258" s="9">
        <v>1</v>
      </c>
      <c r="J258" s="9">
        <v>5</v>
      </c>
      <c r="K258" s="9" t="s">
        <v>12094</v>
      </c>
      <c r="L258" s="9" t="s">
        <v>12079</v>
      </c>
      <c r="M258" s="9"/>
      <c r="N258" s="10"/>
      <c r="O258" s="9"/>
      <c r="P258" s="9">
        <v>4240</v>
      </c>
      <c r="Q258" s="9"/>
      <c r="R258" s="9" t="s">
        <v>12795</v>
      </c>
      <c r="S258" s="9" t="s">
        <v>12795</v>
      </c>
      <c r="T258" s="9"/>
      <c r="U258" s="9"/>
      <c r="V258" s="9"/>
      <c r="W258" s="9"/>
      <c r="X258" s="9"/>
      <c r="Y258" s="9"/>
      <c r="Z258" s="9"/>
      <c r="AA258" s="9"/>
      <c r="AB258" s="9"/>
      <c r="AC258" s="9"/>
      <c r="AD258" s="9" t="s">
        <v>19</v>
      </c>
    </row>
    <row r="259" spans="1:30" ht="29">
      <c r="A259" s="3" t="s">
        <v>1193</v>
      </c>
      <c r="B259" s="3" t="s">
        <v>5802</v>
      </c>
      <c r="C259" s="3" t="s">
        <v>5803</v>
      </c>
      <c r="G259" s="9" t="s">
        <v>25</v>
      </c>
      <c r="H259" s="9"/>
      <c r="I259" s="9">
        <v>1</v>
      </c>
      <c r="J259" s="9">
        <v>5</v>
      </c>
      <c r="K259" s="9" t="s">
        <v>12094</v>
      </c>
      <c r="L259" s="9" t="s">
        <v>12079</v>
      </c>
      <c r="M259" s="9"/>
      <c r="N259" s="10"/>
      <c r="O259" s="9"/>
      <c r="P259" s="9">
        <v>930</v>
      </c>
      <c r="Q259" s="9"/>
      <c r="R259" s="9" t="s">
        <v>12795</v>
      </c>
      <c r="S259" s="9" t="s">
        <v>12795</v>
      </c>
      <c r="T259" s="9"/>
      <c r="U259" s="9"/>
      <c r="V259" s="9"/>
      <c r="W259" s="9"/>
      <c r="X259" s="9"/>
      <c r="Y259" s="9"/>
      <c r="Z259" s="9"/>
      <c r="AA259" s="9"/>
      <c r="AB259" s="9"/>
      <c r="AC259" s="9"/>
      <c r="AD259" s="9" t="s">
        <v>20</v>
      </c>
    </row>
    <row r="260" spans="1:30" ht="87">
      <c r="A260" s="3" t="s">
        <v>1196</v>
      </c>
      <c r="B260" s="3" t="s">
        <v>5810</v>
      </c>
      <c r="C260" s="3" t="s">
        <v>12994</v>
      </c>
      <c r="E260" t="s">
        <v>20</v>
      </c>
      <c r="G260" s="9" t="s">
        <v>12120</v>
      </c>
      <c r="H260" s="9"/>
      <c r="I260" s="9"/>
      <c r="J260" s="9"/>
      <c r="K260" s="9"/>
      <c r="L260" s="9"/>
      <c r="M260" s="9"/>
      <c r="N260" s="10"/>
      <c r="O260" s="9"/>
      <c r="P260" s="9"/>
      <c r="Q260" s="9"/>
      <c r="R260" s="9" t="s">
        <v>12795</v>
      </c>
      <c r="S260" s="9" t="s">
        <v>12795</v>
      </c>
      <c r="T260" s="9"/>
      <c r="U260" s="9"/>
      <c r="V260" s="9"/>
      <c r="W260" s="9"/>
      <c r="X260" s="9"/>
      <c r="Y260" s="9"/>
      <c r="Z260" s="9"/>
      <c r="AA260" s="9"/>
      <c r="AB260" s="9"/>
      <c r="AC260" s="9"/>
      <c r="AD260" s="9" t="s">
        <v>20</v>
      </c>
    </row>
    <row r="261" spans="1:30" ht="43.5">
      <c r="A261" s="3" t="s">
        <v>1203</v>
      </c>
      <c r="B261" s="3" t="s">
        <v>5816</v>
      </c>
      <c r="C261" s="3" t="s">
        <v>5815</v>
      </c>
      <c r="G261" s="9" t="s">
        <v>26</v>
      </c>
      <c r="H261" s="9"/>
      <c r="I261" s="9"/>
      <c r="J261" s="9"/>
      <c r="K261" s="9"/>
      <c r="L261" s="9"/>
      <c r="M261" s="9"/>
      <c r="N261" s="10"/>
      <c r="O261" s="9"/>
      <c r="P261" s="9"/>
      <c r="Q261" s="9"/>
      <c r="R261" s="9" t="s">
        <v>12795</v>
      </c>
      <c r="S261" s="9" t="s">
        <v>12795</v>
      </c>
      <c r="T261" s="9"/>
      <c r="U261" s="9"/>
      <c r="V261" s="9"/>
      <c r="W261" s="9"/>
      <c r="X261" s="9"/>
      <c r="Y261" s="9"/>
      <c r="Z261" s="9"/>
      <c r="AA261" s="9"/>
      <c r="AB261" s="9"/>
      <c r="AC261" s="9"/>
      <c r="AD261" s="9" t="s">
        <v>20</v>
      </c>
    </row>
    <row r="262" spans="1:30" ht="29">
      <c r="A262" s="3" t="s">
        <v>1204</v>
      </c>
      <c r="B262" s="3" t="s">
        <v>5817</v>
      </c>
      <c r="C262" s="3" t="s">
        <v>5818</v>
      </c>
      <c r="G262" s="9" t="s">
        <v>25</v>
      </c>
      <c r="H262" s="9"/>
      <c r="I262" s="9">
        <v>1</v>
      </c>
      <c r="J262" s="9">
        <v>3</v>
      </c>
      <c r="K262" s="9" t="s">
        <v>12087</v>
      </c>
      <c r="L262" s="9" t="s">
        <v>12079</v>
      </c>
      <c r="M262" s="9"/>
      <c r="N262" s="10"/>
      <c r="O262" s="9"/>
      <c r="P262" s="9">
        <v>356</v>
      </c>
      <c r="Q262" s="9"/>
      <c r="R262" s="9" t="s">
        <v>12795</v>
      </c>
      <c r="S262" s="9" t="s">
        <v>12795</v>
      </c>
      <c r="T262" s="9"/>
      <c r="U262" s="9"/>
      <c r="V262" s="9"/>
      <c r="W262" s="9"/>
      <c r="X262" s="9"/>
      <c r="Y262" s="9"/>
      <c r="Z262" s="9"/>
      <c r="AA262" s="9"/>
      <c r="AB262" s="9"/>
      <c r="AC262" s="9"/>
      <c r="AD262" s="9" t="s">
        <v>19</v>
      </c>
    </row>
    <row r="263" spans="1:30" ht="29">
      <c r="A263" s="3" t="s">
        <v>1205</v>
      </c>
      <c r="B263" s="3" t="s">
        <v>5819</v>
      </c>
      <c r="C263" s="3" t="s">
        <v>5820</v>
      </c>
      <c r="G263" s="9" t="s">
        <v>12118</v>
      </c>
      <c r="H263" s="9"/>
      <c r="I263" s="9"/>
      <c r="J263" s="9"/>
      <c r="K263" s="9"/>
      <c r="L263" s="9"/>
      <c r="M263" s="9"/>
      <c r="N263" s="10"/>
      <c r="O263" s="9"/>
      <c r="P263" s="9"/>
      <c r="Q263" s="9">
        <v>-12</v>
      </c>
      <c r="R263" s="9">
        <v>25</v>
      </c>
      <c r="S263" s="9">
        <v>13</v>
      </c>
      <c r="T263" s="9"/>
      <c r="U263" s="9"/>
      <c r="V263" s="9"/>
      <c r="W263" s="9"/>
      <c r="X263" s="9"/>
      <c r="Y263" s="9"/>
      <c r="Z263" s="9"/>
      <c r="AA263" s="9"/>
      <c r="AB263" s="9"/>
      <c r="AC263" s="9"/>
      <c r="AD263" s="9" t="s">
        <v>20</v>
      </c>
    </row>
    <row r="264" spans="1:30" ht="29">
      <c r="A264" s="3" t="s">
        <v>1211</v>
      </c>
      <c r="B264" s="3" t="s">
        <v>5821</v>
      </c>
      <c r="C264" s="3" t="s">
        <v>5822</v>
      </c>
      <c r="G264" s="9" t="s">
        <v>12118</v>
      </c>
      <c r="H264" s="9"/>
      <c r="I264" s="9"/>
      <c r="J264" s="9"/>
      <c r="K264" s="9"/>
      <c r="L264" s="9"/>
      <c r="M264" s="9"/>
      <c r="N264" s="10"/>
      <c r="O264" s="9"/>
      <c r="P264" s="9"/>
      <c r="Q264" s="9">
        <v>203</v>
      </c>
      <c r="R264" s="9">
        <v>32</v>
      </c>
      <c r="S264" s="9">
        <v>235</v>
      </c>
      <c r="T264" s="9"/>
      <c r="U264" s="9"/>
      <c r="V264" s="9"/>
      <c r="W264" s="9"/>
      <c r="X264" s="9"/>
      <c r="Y264" s="9"/>
      <c r="Z264" s="9"/>
      <c r="AA264" s="9"/>
      <c r="AB264" s="9"/>
      <c r="AC264" s="9"/>
      <c r="AD264" s="9" t="s">
        <v>19</v>
      </c>
    </row>
    <row r="265" spans="1:30" ht="29">
      <c r="A265" s="3" t="s">
        <v>1213</v>
      </c>
      <c r="B265" s="3" t="s">
        <v>5664</v>
      </c>
      <c r="C265" s="3" t="s">
        <v>5823</v>
      </c>
      <c r="G265" s="9" t="s">
        <v>24</v>
      </c>
      <c r="H265" s="9"/>
      <c r="I265" s="9">
        <v>1</v>
      </c>
      <c r="J265" s="9">
        <v>3</v>
      </c>
      <c r="K265" s="9" t="s">
        <v>12087</v>
      </c>
      <c r="L265" s="9" t="s">
        <v>12079</v>
      </c>
      <c r="M265" s="9"/>
      <c r="N265" s="10"/>
      <c r="O265" s="9"/>
      <c r="P265" s="9">
        <v>810</v>
      </c>
      <c r="Q265" s="9"/>
      <c r="R265" s="9" t="s">
        <v>12795</v>
      </c>
      <c r="S265" s="9" t="s">
        <v>12795</v>
      </c>
      <c r="T265" s="9"/>
      <c r="U265" s="9"/>
      <c r="V265" s="9"/>
      <c r="W265" s="9"/>
      <c r="X265" s="9"/>
      <c r="Y265" s="9"/>
      <c r="Z265" s="9"/>
      <c r="AA265" s="9"/>
      <c r="AB265" s="9"/>
      <c r="AC265" s="9"/>
      <c r="AD265" s="9" t="s">
        <v>19</v>
      </c>
    </row>
    <row r="266" spans="1:30" ht="29">
      <c r="A266" s="3" t="s">
        <v>1213</v>
      </c>
      <c r="B266" s="3" t="s">
        <v>5824</v>
      </c>
      <c r="C266" s="3" t="s">
        <v>5825</v>
      </c>
      <c r="G266" s="9" t="s">
        <v>12120</v>
      </c>
      <c r="H266" s="9"/>
      <c r="I266" s="9"/>
      <c r="J266" s="9"/>
      <c r="K266" s="9"/>
      <c r="L266" s="9"/>
      <c r="M266" s="9"/>
      <c r="N266" s="10"/>
      <c r="O266" s="9"/>
      <c r="P266" s="9"/>
      <c r="Q266" s="9"/>
      <c r="R266" s="9" t="s">
        <v>12795</v>
      </c>
      <c r="S266" s="9" t="s">
        <v>12795</v>
      </c>
      <c r="T266" s="9"/>
      <c r="U266" s="9"/>
      <c r="V266" s="9"/>
      <c r="W266" s="9"/>
      <c r="X266" s="9"/>
      <c r="Y266" s="9"/>
      <c r="Z266" s="9"/>
      <c r="AA266" s="9"/>
      <c r="AB266" s="9"/>
      <c r="AC266" s="9"/>
      <c r="AD266" s="9" t="s">
        <v>19</v>
      </c>
    </row>
    <row r="267" spans="1:30" ht="29">
      <c r="A267" s="3" t="s">
        <v>1214</v>
      </c>
      <c r="B267" s="3" t="s">
        <v>5827</v>
      </c>
      <c r="C267" s="3" t="s">
        <v>5828</v>
      </c>
      <c r="G267" s="9" t="s">
        <v>12118</v>
      </c>
      <c r="H267" s="9"/>
      <c r="I267" s="9"/>
      <c r="J267" s="9"/>
      <c r="K267" s="9"/>
      <c r="L267" s="9"/>
      <c r="M267" s="9"/>
      <c r="N267" s="10"/>
      <c r="O267" s="9"/>
      <c r="P267" s="9"/>
      <c r="Q267" s="9">
        <v>-21</v>
      </c>
      <c r="R267" s="9">
        <v>186</v>
      </c>
      <c r="S267" s="9">
        <v>165</v>
      </c>
      <c r="T267" s="9"/>
      <c r="U267" s="9"/>
      <c r="V267" s="9"/>
      <c r="W267" s="9"/>
      <c r="X267" s="9"/>
      <c r="Y267" s="9"/>
      <c r="Z267" s="9"/>
      <c r="AA267" s="9"/>
      <c r="AB267" s="9"/>
      <c r="AC267" s="9"/>
      <c r="AD267" s="9" t="s">
        <v>20</v>
      </c>
    </row>
    <row r="268" spans="1:30" ht="29">
      <c r="A268" s="3" t="s">
        <v>1216</v>
      </c>
      <c r="B268" s="3" t="s">
        <v>5829</v>
      </c>
      <c r="C268" s="3" t="s">
        <v>5830</v>
      </c>
      <c r="G268" s="9" t="s">
        <v>24</v>
      </c>
      <c r="H268" s="9"/>
      <c r="I268" s="9">
        <v>1</v>
      </c>
      <c r="J268" s="9">
        <v>3</v>
      </c>
      <c r="K268" s="9" t="s">
        <v>12087</v>
      </c>
      <c r="L268" s="9" t="s">
        <v>12079</v>
      </c>
      <c r="M268" s="9"/>
      <c r="N268" s="10"/>
      <c r="O268" s="9"/>
      <c r="P268" s="9">
        <v>5676</v>
      </c>
      <c r="Q268" s="9"/>
      <c r="R268" s="9" t="s">
        <v>12795</v>
      </c>
      <c r="S268" s="9" t="s">
        <v>12795</v>
      </c>
      <c r="T268" s="9"/>
      <c r="U268" s="9"/>
      <c r="V268" s="9"/>
      <c r="W268" s="9"/>
      <c r="X268" s="9"/>
      <c r="Y268" s="9"/>
      <c r="Z268" s="9"/>
      <c r="AA268" s="9"/>
      <c r="AB268" s="9"/>
      <c r="AC268" s="9"/>
      <c r="AD268" s="9" t="s">
        <v>19</v>
      </c>
    </row>
    <row r="269" spans="1:30" ht="29">
      <c r="A269" s="3" t="s">
        <v>1222</v>
      </c>
      <c r="B269" s="3" t="s">
        <v>5831</v>
      </c>
      <c r="C269" s="3" t="s">
        <v>5832</v>
      </c>
      <c r="G269" s="9" t="s">
        <v>24</v>
      </c>
      <c r="H269" s="9"/>
      <c r="I269" s="9">
        <v>1</v>
      </c>
      <c r="J269" s="9">
        <v>2</v>
      </c>
      <c r="K269" s="9" t="s">
        <v>12087</v>
      </c>
      <c r="L269" s="9" t="s">
        <v>12119</v>
      </c>
      <c r="M269" s="9"/>
      <c r="N269" s="10"/>
      <c r="O269" s="9"/>
      <c r="P269" s="9">
        <v>1966</v>
      </c>
      <c r="Q269" s="9"/>
      <c r="R269" s="9" t="s">
        <v>12795</v>
      </c>
      <c r="S269" s="9" t="s">
        <v>12795</v>
      </c>
      <c r="T269" s="9"/>
      <c r="U269" s="9"/>
      <c r="V269" s="9"/>
      <c r="W269" s="9"/>
      <c r="X269" s="9"/>
      <c r="Y269" s="9"/>
      <c r="Z269" s="9"/>
      <c r="AA269" s="9"/>
      <c r="AB269" s="9"/>
      <c r="AC269" s="9"/>
      <c r="AD269" s="9" t="s">
        <v>20</v>
      </c>
    </row>
    <row r="270" spans="1:30" ht="29">
      <c r="A270" s="3" t="s">
        <v>1228</v>
      </c>
      <c r="B270" s="3" t="s">
        <v>1229</v>
      </c>
      <c r="C270" s="3" t="s">
        <v>1230</v>
      </c>
      <c r="G270" s="9" t="s">
        <v>12118</v>
      </c>
      <c r="H270" s="9"/>
      <c r="I270" s="9"/>
      <c r="J270" s="9"/>
      <c r="K270" s="9"/>
      <c r="L270" s="9"/>
      <c r="M270" s="9"/>
      <c r="N270" s="10"/>
      <c r="O270" s="9"/>
      <c r="P270" s="9"/>
      <c r="Q270" s="9">
        <v>-69</v>
      </c>
      <c r="R270" s="9">
        <v>77</v>
      </c>
      <c r="S270" s="9">
        <v>8</v>
      </c>
      <c r="T270" s="9"/>
      <c r="U270" s="9"/>
      <c r="V270" s="9"/>
      <c r="W270" s="9"/>
      <c r="X270" s="9"/>
      <c r="Y270" s="9"/>
      <c r="Z270" s="9"/>
      <c r="AA270" s="9"/>
      <c r="AB270" s="9"/>
      <c r="AC270" s="9"/>
      <c r="AD270" s="9" t="s">
        <v>19</v>
      </c>
    </row>
    <row r="271" spans="1:30" ht="29">
      <c r="A271" s="3" t="s">
        <v>1232</v>
      </c>
      <c r="B271" s="3" t="s">
        <v>5837</v>
      </c>
      <c r="C271" s="3" t="s">
        <v>5836</v>
      </c>
      <c r="G271" s="9" t="s">
        <v>24</v>
      </c>
      <c r="H271" s="9"/>
      <c r="I271" s="9">
        <v>2</v>
      </c>
      <c r="J271" s="9">
        <v>6</v>
      </c>
      <c r="K271" s="9"/>
      <c r="L271" s="9" t="s">
        <v>12079</v>
      </c>
      <c r="M271" s="9"/>
      <c r="N271" s="10"/>
      <c r="O271" s="9"/>
      <c r="P271" s="9">
        <v>444</v>
      </c>
      <c r="Q271" s="9"/>
      <c r="R271" s="9" t="s">
        <v>12795</v>
      </c>
      <c r="S271" s="9" t="s">
        <v>12795</v>
      </c>
      <c r="T271" s="9"/>
      <c r="U271" s="9"/>
      <c r="V271" s="9"/>
      <c r="W271" s="9"/>
      <c r="X271" s="9"/>
      <c r="Y271" s="9"/>
      <c r="Z271" s="9"/>
      <c r="AA271" s="9"/>
      <c r="AB271" s="9"/>
      <c r="AC271" s="9"/>
      <c r="AD271" s="9" t="s">
        <v>19</v>
      </c>
    </row>
    <row r="272" spans="1:30" ht="29">
      <c r="A272" s="3" t="s">
        <v>1236</v>
      </c>
      <c r="B272" s="3" t="s">
        <v>5840</v>
      </c>
      <c r="C272" s="3" t="s">
        <v>5841</v>
      </c>
      <c r="G272" s="9" t="s">
        <v>12118</v>
      </c>
      <c r="H272" s="9"/>
      <c r="I272" s="9"/>
      <c r="J272" s="9"/>
      <c r="K272" s="9"/>
      <c r="L272" s="9"/>
      <c r="M272" s="9"/>
      <c r="N272" s="10"/>
      <c r="O272" s="9"/>
      <c r="P272" s="9"/>
      <c r="Q272" s="9">
        <v>3710</v>
      </c>
      <c r="R272" s="9">
        <v>1966</v>
      </c>
      <c r="S272" s="9">
        <v>5676</v>
      </c>
      <c r="T272" s="9"/>
      <c r="U272" s="9"/>
      <c r="V272" s="9"/>
      <c r="W272" s="9"/>
      <c r="X272" s="9"/>
      <c r="Y272" s="9"/>
      <c r="Z272" s="9"/>
      <c r="AA272" s="9"/>
      <c r="AB272" s="9"/>
      <c r="AC272" s="9"/>
      <c r="AD272" s="9" t="s">
        <v>19</v>
      </c>
    </row>
    <row r="273" spans="1:30" ht="29">
      <c r="A273" s="3" t="s">
        <v>1237</v>
      </c>
      <c r="B273" s="3" t="s">
        <v>5842</v>
      </c>
      <c r="C273" s="3" t="s">
        <v>5843</v>
      </c>
      <c r="G273" s="9" t="s">
        <v>25</v>
      </c>
      <c r="H273" s="9"/>
      <c r="I273" s="9">
        <v>1</v>
      </c>
      <c r="J273" s="9">
        <v>2</v>
      </c>
      <c r="K273" s="9" t="s">
        <v>12087</v>
      </c>
      <c r="L273" s="9" t="s">
        <v>12119</v>
      </c>
      <c r="M273" s="9"/>
      <c r="N273" s="10"/>
      <c r="O273" s="9"/>
      <c r="P273" s="9">
        <v>1966</v>
      </c>
      <c r="Q273" s="9"/>
      <c r="R273" s="9" t="s">
        <v>12795</v>
      </c>
      <c r="S273" s="9" t="s">
        <v>12795</v>
      </c>
      <c r="T273" s="9"/>
      <c r="U273" s="9"/>
      <c r="V273" s="9"/>
      <c r="W273" s="9"/>
      <c r="X273" s="9"/>
      <c r="Y273" s="9"/>
      <c r="Z273" s="9"/>
      <c r="AA273" s="9"/>
      <c r="AB273" s="9"/>
      <c r="AC273" s="9"/>
      <c r="AD273" s="9" t="s">
        <v>19</v>
      </c>
    </row>
    <row r="274" spans="1:30" ht="29">
      <c r="A274" s="3" t="s">
        <v>1238</v>
      </c>
      <c r="B274" s="3" t="s">
        <v>5846</v>
      </c>
      <c r="C274" s="3" t="s">
        <v>5847</v>
      </c>
      <c r="G274" s="9" t="s">
        <v>25</v>
      </c>
      <c r="H274" s="9"/>
      <c r="I274" s="9">
        <v>1</v>
      </c>
      <c r="J274" s="9">
        <v>3</v>
      </c>
      <c r="K274" s="9" t="s">
        <v>12087</v>
      </c>
      <c r="L274" s="9" t="s">
        <v>12079</v>
      </c>
      <c r="M274" s="9"/>
      <c r="N274" s="10"/>
      <c r="O274" s="9"/>
      <c r="P274" s="9">
        <v>5676</v>
      </c>
      <c r="Q274" s="9"/>
      <c r="R274" s="9" t="s">
        <v>12795</v>
      </c>
      <c r="S274" s="9" t="s">
        <v>12795</v>
      </c>
      <c r="T274" s="9"/>
      <c r="U274" s="9"/>
      <c r="V274" s="9"/>
      <c r="W274" s="9"/>
      <c r="X274" s="9"/>
      <c r="Y274" s="9"/>
      <c r="Z274" s="9"/>
      <c r="AA274" s="9"/>
      <c r="AB274" s="9"/>
      <c r="AC274" s="9"/>
      <c r="AD274" s="9" t="s">
        <v>19</v>
      </c>
    </row>
    <row r="275" spans="1:30" ht="43.5">
      <c r="A275" s="3" t="s">
        <v>1239</v>
      </c>
      <c r="B275" s="3" t="s">
        <v>5850</v>
      </c>
      <c r="C275" s="3" t="s">
        <v>5849</v>
      </c>
      <c r="G275" s="9" t="s">
        <v>25</v>
      </c>
      <c r="H275" s="9"/>
      <c r="I275" s="9">
        <v>2</v>
      </c>
      <c r="J275" s="9">
        <v>13</v>
      </c>
      <c r="K275" s="9"/>
      <c r="L275" s="9" t="s">
        <v>12073</v>
      </c>
      <c r="M275" s="9" t="s">
        <v>12135</v>
      </c>
      <c r="N275" s="10" t="s">
        <v>12136</v>
      </c>
      <c r="O275" s="9"/>
      <c r="P275" s="9">
        <v>25</v>
      </c>
      <c r="Q275" s="9"/>
      <c r="R275" s="9" t="s">
        <v>12795</v>
      </c>
      <c r="S275" s="9" t="s">
        <v>12795</v>
      </c>
      <c r="T275" s="9"/>
      <c r="U275" s="9"/>
      <c r="V275" s="9"/>
      <c r="W275" s="9"/>
      <c r="X275" s="9"/>
      <c r="Y275" s="9"/>
      <c r="Z275" s="9"/>
      <c r="AA275" s="9"/>
      <c r="AB275" s="9"/>
      <c r="AC275" s="9"/>
      <c r="AD275" s="9" t="s">
        <v>20</v>
      </c>
    </row>
    <row r="276" spans="1:30" ht="43.5">
      <c r="A276" s="3" t="s">
        <v>1239</v>
      </c>
      <c r="B276" s="3" t="s">
        <v>5848</v>
      </c>
      <c r="C276" s="3" t="s">
        <v>5851</v>
      </c>
      <c r="G276" s="9" t="s">
        <v>24</v>
      </c>
      <c r="H276" s="9"/>
      <c r="I276" s="9">
        <v>1</v>
      </c>
      <c r="J276" s="9">
        <v>1</v>
      </c>
      <c r="K276" s="9" t="s">
        <v>12123</v>
      </c>
      <c r="L276" s="9" t="s">
        <v>12119</v>
      </c>
      <c r="M276" s="9"/>
      <c r="N276" s="10"/>
      <c r="O276" s="9"/>
      <c r="P276" s="9">
        <v>193</v>
      </c>
      <c r="Q276" s="9"/>
      <c r="R276" s="9" t="s">
        <v>12795</v>
      </c>
      <c r="S276" s="9" t="s">
        <v>12795</v>
      </c>
      <c r="T276" s="9"/>
      <c r="U276" s="9"/>
      <c r="V276" s="9"/>
      <c r="W276" s="9"/>
      <c r="X276" s="9"/>
      <c r="Y276" s="9"/>
      <c r="Z276" s="9"/>
      <c r="AA276" s="9"/>
      <c r="AB276" s="9"/>
      <c r="AC276" s="9"/>
      <c r="AD276" s="9" t="s">
        <v>19</v>
      </c>
    </row>
    <row r="277" spans="1:30" ht="130.5">
      <c r="A277" s="3" t="s">
        <v>1246</v>
      </c>
      <c r="B277" s="3" t="s">
        <v>12998</v>
      </c>
      <c r="C277" s="3" t="s">
        <v>12999</v>
      </c>
      <c r="G277" s="9" t="s">
        <v>12120</v>
      </c>
      <c r="H277" s="9"/>
      <c r="I277" s="9"/>
      <c r="J277" s="9"/>
      <c r="K277" s="9"/>
      <c r="L277" s="9"/>
      <c r="M277" s="9"/>
      <c r="N277" s="10"/>
      <c r="O277" s="9"/>
      <c r="P277" s="9"/>
      <c r="Q277" s="9"/>
      <c r="R277" s="9" t="s">
        <v>12795</v>
      </c>
      <c r="S277" s="9" t="s">
        <v>12795</v>
      </c>
      <c r="T277" s="9"/>
      <c r="U277" s="9"/>
      <c r="V277" s="9"/>
      <c r="W277" s="9"/>
      <c r="X277" s="9"/>
      <c r="Y277" s="9"/>
      <c r="Z277" s="9"/>
      <c r="AA277" s="9"/>
      <c r="AB277" s="9"/>
      <c r="AC277" s="9"/>
      <c r="AD277" s="9" t="s">
        <v>19</v>
      </c>
    </row>
    <row r="278" spans="1:30" ht="116">
      <c r="A278" s="3" t="s">
        <v>1246</v>
      </c>
      <c r="B278" s="3" t="s">
        <v>13002</v>
      </c>
      <c r="C278" s="3" t="s">
        <v>12997</v>
      </c>
      <c r="G278" s="9" t="s">
        <v>25</v>
      </c>
      <c r="H278" s="9"/>
      <c r="I278" s="9">
        <v>1</v>
      </c>
      <c r="J278" s="9">
        <v>2</v>
      </c>
      <c r="K278" s="9" t="s">
        <v>12078</v>
      </c>
      <c r="L278" s="9" t="s">
        <v>12119</v>
      </c>
      <c r="M278" s="9"/>
      <c r="N278" s="10"/>
      <c r="O278" s="9"/>
      <c r="P278" s="9">
        <v>11843</v>
      </c>
      <c r="Q278" s="9"/>
      <c r="R278" s="9" t="s">
        <v>12795</v>
      </c>
      <c r="S278" s="9" t="s">
        <v>12795</v>
      </c>
      <c r="T278" s="9"/>
      <c r="U278" s="9"/>
      <c r="V278" s="9"/>
      <c r="W278" s="9"/>
      <c r="X278" s="9"/>
      <c r="Y278" s="9"/>
      <c r="Z278" s="9"/>
      <c r="AA278" s="9"/>
      <c r="AB278" s="9"/>
      <c r="AC278" s="9"/>
      <c r="AD278" s="9" t="s">
        <v>20</v>
      </c>
    </row>
    <row r="279" spans="1:30" ht="29">
      <c r="A279" s="3" t="s">
        <v>1249</v>
      </c>
      <c r="B279" s="3" t="s">
        <v>5859</v>
      </c>
      <c r="C279" s="3" t="s">
        <v>5860</v>
      </c>
      <c r="G279" s="9" t="s">
        <v>25</v>
      </c>
      <c r="H279" s="9"/>
      <c r="I279" s="9">
        <v>1</v>
      </c>
      <c r="J279" s="9">
        <v>2</v>
      </c>
      <c r="K279" s="9" t="s">
        <v>12125</v>
      </c>
      <c r="L279" s="9" t="s">
        <v>12119</v>
      </c>
      <c r="M279" s="9"/>
      <c r="N279" s="10"/>
      <c r="O279" s="9"/>
      <c r="P279" s="9">
        <v>1565</v>
      </c>
      <c r="Q279" s="9"/>
      <c r="R279" s="9" t="s">
        <v>12795</v>
      </c>
      <c r="S279" s="9" t="s">
        <v>12795</v>
      </c>
      <c r="T279" s="9"/>
      <c r="U279" s="9"/>
      <c r="V279" s="9"/>
      <c r="W279" s="9"/>
      <c r="X279" s="9"/>
      <c r="Y279" s="9"/>
      <c r="Z279" s="9"/>
      <c r="AA279" s="9"/>
      <c r="AB279" s="9"/>
      <c r="AC279" s="9"/>
      <c r="AD279" s="9" t="s">
        <v>20</v>
      </c>
    </row>
    <row r="280" spans="1:30" ht="29">
      <c r="A280" s="3" t="s">
        <v>1251</v>
      </c>
      <c r="B280" s="3" t="s">
        <v>5861</v>
      </c>
      <c r="C280" s="3" t="s">
        <v>5864</v>
      </c>
      <c r="G280" s="9" t="s">
        <v>24</v>
      </c>
      <c r="H280" s="9"/>
      <c r="I280" s="9">
        <v>1</v>
      </c>
      <c r="J280" s="9">
        <v>5</v>
      </c>
      <c r="K280" s="9" t="s">
        <v>12094</v>
      </c>
      <c r="L280" s="9" t="s">
        <v>12079</v>
      </c>
      <c r="M280" s="9"/>
      <c r="N280" s="10"/>
      <c r="O280" s="9"/>
      <c r="P280" s="9">
        <v>4240</v>
      </c>
      <c r="Q280" s="9"/>
      <c r="R280" s="9" t="s">
        <v>12795</v>
      </c>
      <c r="S280" s="9" t="s">
        <v>12795</v>
      </c>
      <c r="T280" s="9"/>
      <c r="U280" s="9"/>
      <c r="V280" s="9"/>
      <c r="W280" s="9"/>
      <c r="X280" s="9"/>
      <c r="Y280" s="9"/>
      <c r="Z280" s="9"/>
      <c r="AA280" s="9"/>
      <c r="AB280" s="9"/>
      <c r="AC280" s="9"/>
      <c r="AD280" s="9" t="s">
        <v>19</v>
      </c>
    </row>
    <row r="281" spans="1:30" ht="43.5">
      <c r="A281" s="3" t="s">
        <v>1252</v>
      </c>
      <c r="B281" s="3" t="s">
        <v>5865</v>
      </c>
      <c r="C281" s="3" t="s">
        <v>5866</v>
      </c>
      <c r="G281" s="9" t="s">
        <v>26</v>
      </c>
      <c r="H281" s="9"/>
      <c r="I281" s="9"/>
      <c r="J281" s="9"/>
      <c r="K281" s="9"/>
      <c r="L281" s="9"/>
      <c r="M281" s="9"/>
      <c r="N281" s="10"/>
      <c r="O281" s="9"/>
      <c r="P281" s="9"/>
      <c r="Q281" s="9"/>
      <c r="R281" s="9" t="s">
        <v>12795</v>
      </c>
      <c r="S281" s="9" t="s">
        <v>12795</v>
      </c>
      <c r="T281" s="9"/>
      <c r="U281" s="9"/>
      <c r="V281" s="9"/>
      <c r="W281" s="9"/>
      <c r="X281" s="9"/>
      <c r="Y281" s="9"/>
      <c r="Z281" s="9"/>
      <c r="AA281" s="9"/>
      <c r="AB281" s="9"/>
      <c r="AC281" s="9"/>
      <c r="AD281" s="9" t="s">
        <v>20</v>
      </c>
    </row>
    <row r="282" spans="1:30" ht="29">
      <c r="A282" s="3" t="s">
        <v>1256</v>
      </c>
      <c r="B282" s="3" t="s">
        <v>1257</v>
      </c>
      <c r="C282" s="3" t="s">
        <v>1258</v>
      </c>
      <c r="G282" s="9" t="s">
        <v>12120</v>
      </c>
      <c r="H282" s="9"/>
      <c r="I282" s="9"/>
      <c r="J282" s="9"/>
      <c r="K282" s="9"/>
      <c r="L282" s="9"/>
      <c r="M282" s="9"/>
      <c r="N282" s="10"/>
      <c r="O282" s="9"/>
      <c r="P282" s="9"/>
      <c r="Q282" s="9"/>
      <c r="R282" s="9" t="s">
        <v>12795</v>
      </c>
      <c r="S282" s="9" t="s">
        <v>12795</v>
      </c>
      <c r="T282" s="9"/>
      <c r="U282" s="9"/>
      <c r="V282" s="9"/>
      <c r="W282" s="9"/>
      <c r="X282" s="9"/>
      <c r="Y282" s="9"/>
      <c r="Z282" s="9"/>
      <c r="AA282" s="9"/>
      <c r="AB282" s="9"/>
      <c r="AC282" s="9"/>
      <c r="AD282" s="9" t="s">
        <v>20</v>
      </c>
    </row>
    <row r="283" spans="1:30" ht="29">
      <c r="A283" s="3" t="s">
        <v>1260</v>
      </c>
      <c r="B283" s="3" t="s">
        <v>5870</v>
      </c>
      <c r="C283" s="3" t="s">
        <v>5869</v>
      </c>
      <c r="G283" s="9" t="s">
        <v>24</v>
      </c>
      <c r="H283" s="9"/>
      <c r="I283" s="9">
        <v>1</v>
      </c>
      <c r="J283" s="9">
        <v>4</v>
      </c>
      <c r="K283" s="9" t="s">
        <v>12094</v>
      </c>
      <c r="L283" s="9" t="s">
        <v>12079</v>
      </c>
      <c r="M283" s="9"/>
      <c r="N283" s="10"/>
      <c r="O283" s="9"/>
      <c r="P283" s="9">
        <v>4240</v>
      </c>
      <c r="Q283" s="9"/>
      <c r="R283" s="9" t="s">
        <v>12795</v>
      </c>
      <c r="S283" s="9" t="s">
        <v>12795</v>
      </c>
      <c r="T283" s="9"/>
      <c r="U283" s="9"/>
      <c r="V283" s="9"/>
      <c r="W283" s="9"/>
      <c r="X283" s="9"/>
      <c r="Y283" s="9"/>
      <c r="Z283" s="9"/>
      <c r="AA283" s="9"/>
      <c r="AB283" s="9"/>
      <c r="AC283" s="9"/>
      <c r="AD283" s="9" t="s">
        <v>19</v>
      </c>
    </row>
    <row r="284" spans="1:30" ht="29">
      <c r="A284" s="3" t="s">
        <v>1261</v>
      </c>
      <c r="B284" s="3" t="s">
        <v>5873</v>
      </c>
      <c r="C284" s="3" t="s">
        <v>5874</v>
      </c>
      <c r="G284" s="9" t="s">
        <v>12118</v>
      </c>
      <c r="H284" s="9"/>
      <c r="I284" s="9"/>
      <c r="J284" s="9"/>
      <c r="K284" s="9"/>
      <c r="L284" s="9"/>
      <c r="M284" s="9"/>
      <c r="N284" s="10"/>
      <c r="O284" s="9"/>
      <c r="P284" s="9"/>
      <c r="Q284" s="9">
        <v>-268</v>
      </c>
      <c r="R284" s="9">
        <v>309</v>
      </c>
      <c r="S284" s="9">
        <v>41</v>
      </c>
      <c r="T284" s="9"/>
      <c r="U284" s="9"/>
      <c r="V284" s="9"/>
      <c r="W284" s="9"/>
      <c r="X284" s="9"/>
      <c r="Y284" s="9"/>
      <c r="Z284" s="9"/>
      <c r="AA284" s="9"/>
      <c r="AB284" s="9"/>
      <c r="AC284" s="9"/>
      <c r="AD284" s="9" t="s">
        <v>19</v>
      </c>
    </row>
    <row r="285" spans="1:30" ht="43.5">
      <c r="A285" s="3" t="s">
        <v>1262</v>
      </c>
      <c r="B285" s="3" t="s">
        <v>5875</v>
      </c>
      <c r="C285" s="3" t="s">
        <v>12220</v>
      </c>
      <c r="G285" s="9" t="s">
        <v>24</v>
      </c>
      <c r="H285" s="9"/>
      <c r="I285" s="9">
        <v>1</v>
      </c>
      <c r="J285" s="9">
        <v>3</v>
      </c>
      <c r="K285" s="9" t="s">
        <v>12094</v>
      </c>
      <c r="L285" s="9" t="s">
        <v>12079</v>
      </c>
      <c r="M285" s="9"/>
      <c r="N285" s="10"/>
      <c r="O285" s="9"/>
      <c r="P285" s="9">
        <v>1741</v>
      </c>
      <c r="Q285" s="9"/>
      <c r="R285" s="9" t="s">
        <v>12795</v>
      </c>
      <c r="S285" s="9" t="s">
        <v>12795</v>
      </c>
      <c r="T285" s="9"/>
      <c r="U285" s="9"/>
      <c r="V285" s="9"/>
      <c r="W285" s="9"/>
      <c r="X285" s="9"/>
      <c r="Y285" s="9"/>
      <c r="Z285" s="9"/>
      <c r="AA285" s="9"/>
      <c r="AB285" s="9"/>
      <c r="AC285" s="9"/>
      <c r="AD285" s="9" t="s">
        <v>13141</v>
      </c>
    </row>
    <row r="286" spans="1:30" ht="29">
      <c r="A286" s="3" t="s">
        <v>1264</v>
      </c>
      <c r="B286" s="3" t="s">
        <v>5876</v>
      </c>
      <c r="C286" s="3" t="s">
        <v>5877</v>
      </c>
      <c r="G286" s="9" t="s">
        <v>12118</v>
      </c>
      <c r="H286" s="9"/>
      <c r="I286" s="9"/>
      <c r="J286" s="9"/>
      <c r="K286" s="9"/>
      <c r="L286" s="9"/>
      <c r="M286" s="9"/>
      <c r="N286" s="10"/>
      <c r="O286" s="9"/>
      <c r="P286" s="9"/>
      <c r="Q286" s="9">
        <v>294</v>
      </c>
      <c r="R286" s="9">
        <v>214</v>
      </c>
      <c r="S286" s="9">
        <v>508</v>
      </c>
      <c r="T286" s="9"/>
      <c r="U286" s="9"/>
      <c r="V286" s="9"/>
      <c r="W286" s="9"/>
      <c r="X286" s="9"/>
      <c r="Y286" s="9"/>
      <c r="Z286" s="9"/>
      <c r="AA286" s="9"/>
      <c r="AB286" s="9"/>
      <c r="AC286" s="9"/>
      <c r="AD286" s="9" t="s">
        <v>20</v>
      </c>
    </row>
    <row r="287" spans="1:30" ht="29">
      <c r="A287" s="3" t="s">
        <v>1265</v>
      </c>
      <c r="B287" s="3" t="s">
        <v>5878</v>
      </c>
      <c r="C287" s="3" t="s">
        <v>5879</v>
      </c>
      <c r="G287" s="9" t="s">
        <v>25</v>
      </c>
      <c r="H287" s="9"/>
      <c r="I287" s="9">
        <v>1</v>
      </c>
      <c r="J287" s="9">
        <v>3</v>
      </c>
      <c r="K287" s="9" t="s">
        <v>12078</v>
      </c>
      <c r="L287" s="9" t="s">
        <v>12079</v>
      </c>
      <c r="M287" s="9"/>
      <c r="N287" s="10"/>
      <c r="O287" s="9"/>
      <c r="P287" s="9">
        <v>11843</v>
      </c>
      <c r="Q287" s="9"/>
      <c r="R287" s="9" t="s">
        <v>12795</v>
      </c>
      <c r="S287" s="9" t="s">
        <v>12795</v>
      </c>
      <c r="T287" s="9"/>
      <c r="U287" s="9"/>
      <c r="V287" s="9"/>
      <c r="W287" s="9"/>
      <c r="X287" s="9"/>
      <c r="Y287" s="9"/>
      <c r="Z287" s="9"/>
      <c r="AA287" s="9"/>
      <c r="AB287" s="9"/>
      <c r="AC287" s="9"/>
      <c r="AD287" s="9" t="s">
        <v>19</v>
      </c>
    </row>
    <row r="288" spans="1:30" ht="29">
      <c r="A288" s="3" t="s">
        <v>1266</v>
      </c>
      <c r="B288" s="3" t="s">
        <v>5880</v>
      </c>
      <c r="C288" s="3" t="s">
        <v>5881</v>
      </c>
      <c r="G288" s="9" t="s">
        <v>26</v>
      </c>
      <c r="H288" s="9"/>
      <c r="I288" s="9"/>
      <c r="J288" s="9"/>
      <c r="K288" s="9"/>
      <c r="L288" s="9"/>
      <c r="M288" s="9"/>
      <c r="N288" s="10"/>
      <c r="O288" s="9"/>
      <c r="P288" s="9"/>
      <c r="Q288" s="9"/>
      <c r="R288" s="9" t="s">
        <v>12795</v>
      </c>
      <c r="S288" s="9" t="s">
        <v>12795</v>
      </c>
      <c r="T288" s="9"/>
      <c r="U288" s="9"/>
      <c r="V288" s="9"/>
      <c r="W288" s="9"/>
      <c r="X288" s="9"/>
      <c r="Y288" s="9"/>
      <c r="Z288" s="9"/>
      <c r="AA288" s="9"/>
      <c r="AB288" s="9"/>
      <c r="AC288" s="9"/>
      <c r="AD288" s="9" t="s">
        <v>19</v>
      </c>
    </row>
    <row r="289" spans="1:30" ht="29">
      <c r="A289" s="3" t="s">
        <v>1267</v>
      </c>
      <c r="B289" s="3" t="s">
        <v>5883</v>
      </c>
      <c r="C289" s="3" t="s">
        <v>5884</v>
      </c>
      <c r="G289" s="9" t="s">
        <v>12118</v>
      </c>
      <c r="H289" s="9"/>
      <c r="I289" s="9"/>
      <c r="J289" s="9"/>
      <c r="K289" s="9"/>
      <c r="L289" s="9"/>
      <c r="M289" s="9"/>
      <c r="N289" s="10"/>
      <c r="O289" s="9"/>
      <c r="P289" s="9"/>
      <c r="Q289" s="9">
        <v>-68</v>
      </c>
      <c r="R289" s="9">
        <v>171</v>
      </c>
      <c r="S289" s="9">
        <v>103</v>
      </c>
      <c r="T289" s="9"/>
      <c r="U289" s="9"/>
      <c r="V289" s="9"/>
      <c r="W289" s="9"/>
      <c r="X289" s="9"/>
      <c r="Y289" s="9"/>
      <c r="Z289" s="9"/>
      <c r="AA289" s="9"/>
      <c r="AB289" s="9"/>
      <c r="AC289" s="9"/>
      <c r="AD289" s="9" t="s">
        <v>20</v>
      </c>
    </row>
    <row r="290" spans="1:30" ht="29">
      <c r="A290" s="3" t="s">
        <v>1267</v>
      </c>
      <c r="B290" s="3" t="s">
        <v>5882</v>
      </c>
      <c r="C290" s="3" t="s">
        <v>5885</v>
      </c>
      <c r="G290" s="9" t="s">
        <v>24</v>
      </c>
      <c r="H290" s="9"/>
      <c r="I290" s="9">
        <v>1</v>
      </c>
      <c r="J290" s="9">
        <v>3</v>
      </c>
      <c r="K290" s="9" t="s">
        <v>12087</v>
      </c>
      <c r="L290" s="9" t="s">
        <v>12079</v>
      </c>
      <c r="M290" s="9"/>
      <c r="N290" s="10"/>
      <c r="O290" s="9"/>
      <c r="P290" s="9">
        <v>5676</v>
      </c>
      <c r="Q290" s="9"/>
      <c r="R290" s="9" t="s">
        <v>12795</v>
      </c>
      <c r="S290" s="9" t="s">
        <v>12795</v>
      </c>
      <c r="T290" s="9"/>
      <c r="U290" s="9"/>
      <c r="V290" s="9"/>
      <c r="W290" s="9"/>
      <c r="X290" s="9"/>
      <c r="Y290" s="9"/>
      <c r="Z290" s="9"/>
      <c r="AA290" s="9"/>
      <c r="AB290" s="9"/>
      <c r="AC290" s="9"/>
      <c r="AD290" s="9" t="s">
        <v>20</v>
      </c>
    </row>
    <row r="291" spans="1:30" ht="29">
      <c r="A291" s="3" t="s">
        <v>1268</v>
      </c>
      <c r="B291" s="3" t="s">
        <v>1269</v>
      </c>
      <c r="C291" s="3" t="s">
        <v>1248</v>
      </c>
      <c r="G291" s="9" t="s">
        <v>12120</v>
      </c>
      <c r="H291" s="9"/>
      <c r="I291" s="9"/>
      <c r="J291" s="9"/>
      <c r="K291" s="9"/>
      <c r="L291" s="9"/>
      <c r="M291" s="9"/>
      <c r="N291" s="10"/>
      <c r="O291" s="9"/>
      <c r="P291" s="9"/>
      <c r="Q291" s="9"/>
      <c r="R291" s="9" t="s">
        <v>12795</v>
      </c>
      <c r="S291" s="9" t="s">
        <v>12795</v>
      </c>
      <c r="T291" s="9"/>
      <c r="U291" s="9"/>
      <c r="V291" s="9"/>
      <c r="W291" s="9"/>
      <c r="X291" s="9"/>
      <c r="Y291" s="9"/>
      <c r="Z291" s="9"/>
      <c r="AA291" s="9"/>
      <c r="AB291" s="9"/>
      <c r="AC291" s="9"/>
      <c r="AD291" s="9" t="s">
        <v>19</v>
      </c>
    </row>
    <row r="292" spans="1:30" ht="29">
      <c r="A292" s="3" t="s">
        <v>1271</v>
      </c>
      <c r="B292" s="3" t="s">
        <v>1272</v>
      </c>
      <c r="C292" s="3" t="s">
        <v>943</v>
      </c>
      <c r="G292" s="9" t="s">
        <v>12120</v>
      </c>
      <c r="H292" s="9"/>
      <c r="I292" s="9"/>
      <c r="J292" s="9"/>
      <c r="K292" s="9"/>
      <c r="L292" s="9"/>
      <c r="M292" s="9"/>
      <c r="N292" s="10"/>
      <c r="O292" s="9"/>
      <c r="P292" s="9"/>
      <c r="Q292" s="9"/>
      <c r="R292" s="9" t="s">
        <v>12795</v>
      </c>
      <c r="S292" s="9" t="s">
        <v>12795</v>
      </c>
      <c r="T292" s="9"/>
      <c r="U292" s="9"/>
      <c r="V292" s="9"/>
      <c r="W292" s="9"/>
      <c r="X292" s="9"/>
      <c r="Y292" s="9"/>
      <c r="Z292" s="9"/>
      <c r="AA292" s="9"/>
      <c r="AB292" s="9"/>
      <c r="AC292" s="9"/>
      <c r="AD292" s="9" t="s">
        <v>19</v>
      </c>
    </row>
    <row r="293" spans="1:30" ht="29">
      <c r="A293" s="3" t="s">
        <v>1273</v>
      </c>
      <c r="B293" s="3" t="s">
        <v>5888</v>
      </c>
      <c r="C293" s="3" t="s">
        <v>5889</v>
      </c>
      <c r="G293" s="9" t="s">
        <v>12118</v>
      </c>
      <c r="H293" s="9"/>
      <c r="I293" s="9"/>
      <c r="J293" s="9"/>
      <c r="K293" s="9"/>
      <c r="L293" s="9"/>
      <c r="M293" s="9"/>
      <c r="N293" s="10"/>
      <c r="O293" s="9"/>
      <c r="P293" s="9"/>
      <c r="Q293" s="9">
        <v>15</v>
      </c>
      <c r="R293" s="9">
        <v>1</v>
      </c>
      <c r="S293" s="9">
        <v>16</v>
      </c>
      <c r="T293" s="9"/>
      <c r="U293" s="9"/>
      <c r="V293" s="9"/>
      <c r="W293" s="9"/>
      <c r="X293" s="9"/>
      <c r="Y293" s="9"/>
      <c r="Z293" s="9"/>
      <c r="AA293" s="9"/>
      <c r="AB293" s="9"/>
      <c r="AC293" s="9"/>
      <c r="AD293" s="9" t="s">
        <v>20</v>
      </c>
    </row>
    <row r="294" spans="1:30" ht="29">
      <c r="A294" s="3" t="s">
        <v>1273</v>
      </c>
      <c r="B294" s="3" t="s">
        <v>5890</v>
      </c>
      <c r="C294" s="3" t="s">
        <v>5891</v>
      </c>
      <c r="F294" t="s">
        <v>19</v>
      </c>
      <c r="G294" s="9" t="s">
        <v>25</v>
      </c>
      <c r="H294" s="9"/>
      <c r="I294" s="9">
        <v>1</v>
      </c>
      <c r="J294" s="9">
        <v>3</v>
      </c>
      <c r="K294" s="9" t="s">
        <v>12078</v>
      </c>
      <c r="L294" s="9" t="s">
        <v>12079</v>
      </c>
      <c r="M294" s="9"/>
      <c r="N294" s="10"/>
      <c r="O294" s="9"/>
      <c r="P294" s="9">
        <v>11843</v>
      </c>
      <c r="Q294" s="9"/>
      <c r="R294" s="9" t="s">
        <v>12795</v>
      </c>
      <c r="S294" s="9" t="s">
        <v>12795</v>
      </c>
      <c r="T294" s="9"/>
      <c r="U294" s="9"/>
      <c r="V294" s="9"/>
      <c r="W294" s="9"/>
      <c r="X294" s="9"/>
      <c r="Y294" s="9"/>
      <c r="Z294" s="9"/>
      <c r="AA294" s="9"/>
      <c r="AB294" s="9"/>
      <c r="AC294" s="9"/>
      <c r="AD294" s="9" t="s">
        <v>20</v>
      </c>
    </row>
    <row r="295" spans="1:30" ht="29">
      <c r="A295" s="3" t="s">
        <v>1277</v>
      </c>
      <c r="B295" s="3" t="s">
        <v>5896</v>
      </c>
      <c r="C295" s="3" t="s">
        <v>5895</v>
      </c>
      <c r="G295" s="9" t="s">
        <v>25</v>
      </c>
      <c r="H295" s="9"/>
      <c r="I295" s="9">
        <v>1</v>
      </c>
      <c r="J295" s="9">
        <v>3</v>
      </c>
      <c r="K295" s="9" t="s">
        <v>12087</v>
      </c>
      <c r="L295" s="9" t="s">
        <v>12079</v>
      </c>
      <c r="M295" s="9"/>
      <c r="N295" s="10"/>
      <c r="O295" s="9"/>
      <c r="P295" s="9">
        <v>5676</v>
      </c>
      <c r="Q295" s="9"/>
      <c r="R295" s="9" t="s">
        <v>12795</v>
      </c>
      <c r="S295" s="9" t="s">
        <v>12795</v>
      </c>
      <c r="T295" s="9"/>
      <c r="U295" s="9"/>
      <c r="V295" s="9"/>
      <c r="W295" s="9"/>
      <c r="X295" s="9"/>
      <c r="Y295" s="9"/>
      <c r="Z295" s="9"/>
      <c r="AA295" s="9"/>
      <c r="AB295" s="9"/>
      <c r="AC295" s="9"/>
      <c r="AD295" s="9" t="s">
        <v>20</v>
      </c>
    </row>
    <row r="296" spans="1:30" ht="29">
      <c r="A296" s="3" t="s">
        <v>1278</v>
      </c>
      <c r="B296" s="3" t="s">
        <v>5901</v>
      </c>
      <c r="C296" s="3" t="s">
        <v>5900</v>
      </c>
      <c r="G296" s="9" t="s">
        <v>25</v>
      </c>
      <c r="H296" s="9"/>
      <c r="I296" s="9">
        <v>1</v>
      </c>
      <c r="J296" s="9">
        <v>2</v>
      </c>
      <c r="K296" s="9" t="s">
        <v>12078</v>
      </c>
      <c r="L296" s="9" t="s">
        <v>12119</v>
      </c>
      <c r="M296" s="9"/>
      <c r="N296" s="10"/>
      <c r="O296" s="9"/>
      <c r="P296" s="9">
        <v>11843</v>
      </c>
      <c r="Q296" s="9"/>
      <c r="R296" s="9" t="s">
        <v>12795</v>
      </c>
      <c r="S296" s="9" t="s">
        <v>12795</v>
      </c>
      <c r="T296" s="9"/>
      <c r="U296" s="9"/>
      <c r="V296" s="9"/>
      <c r="W296" s="9"/>
      <c r="X296" s="9"/>
      <c r="Y296" s="9"/>
      <c r="Z296" s="9"/>
      <c r="AA296" s="9"/>
      <c r="AB296" s="9"/>
      <c r="AC296" s="9"/>
      <c r="AD296" s="9" t="s">
        <v>20</v>
      </c>
    </row>
    <row r="297" spans="1:30" ht="29">
      <c r="A297" s="3" t="s">
        <v>1278</v>
      </c>
      <c r="B297" s="3" t="s">
        <v>5904</v>
      </c>
      <c r="C297" s="3" t="s">
        <v>5905</v>
      </c>
      <c r="G297" s="9" t="s">
        <v>12120</v>
      </c>
      <c r="H297" s="9"/>
      <c r="I297" s="9"/>
      <c r="J297" s="9"/>
      <c r="K297" s="9"/>
      <c r="L297" s="9"/>
      <c r="M297" s="9"/>
      <c r="N297" s="10"/>
      <c r="O297" s="9"/>
      <c r="P297" s="9"/>
      <c r="Q297" s="9"/>
      <c r="R297" s="9" t="s">
        <v>12795</v>
      </c>
      <c r="S297" s="9" t="s">
        <v>12795</v>
      </c>
      <c r="T297" s="9"/>
      <c r="U297" s="9"/>
      <c r="V297" s="9"/>
      <c r="W297" s="9"/>
      <c r="X297" s="9"/>
      <c r="Y297" s="9"/>
      <c r="Z297" s="9"/>
      <c r="AA297" s="9"/>
      <c r="AB297" s="9"/>
      <c r="AC297" s="9"/>
      <c r="AD297" s="9" t="s">
        <v>19</v>
      </c>
    </row>
    <row r="298" spans="1:30" ht="29">
      <c r="A298" s="3" t="s">
        <v>1281</v>
      </c>
      <c r="B298" s="3" t="s">
        <v>5906</v>
      </c>
      <c r="C298" s="3" t="s">
        <v>5907</v>
      </c>
      <c r="G298" s="9" t="s">
        <v>12120</v>
      </c>
      <c r="H298" s="9"/>
      <c r="I298" s="9"/>
      <c r="J298" s="9"/>
      <c r="K298" s="9"/>
      <c r="L298" s="9"/>
      <c r="M298" s="9"/>
      <c r="N298" s="10"/>
      <c r="O298" s="9"/>
      <c r="P298" s="9"/>
      <c r="Q298" s="9"/>
      <c r="R298" s="9" t="s">
        <v>12795</v>
      </c>
      <c r="S298" s="9" t="s">
        <v>12795</v>
      </c>
      <c r="T298" s="9"/>
      <c r="U298" s="9"/>
      <c r="V298" s="9"/>
      <c r="W298" s="9"/>
      <c r="X298" s="9"/>
      <c r="Y298" s="9"/>
      <c r="Z298" s="9"/>
      <c r="AA298" s="9"/>
      <c r="AB298" s="9"/>
      <c r="AC298" s="9"/>
      <c r="AD298" s="9" t="s">
        <v>20</v>
      </c>
    </row>
    <row r="299" spans="1:30" ht="29">
      <c r="A299" s="3" t="s">
        <v>1284</v>
      </c>
      <c r="B299" s="3" t="s">
        <v>5908</v>
      </c>
      <c r="C299" s="3" t="s">
        <v>5909</v>
      </c>
      <c r="G299" s="9" t="s">
        <v>12120</v>
      </c>
      <c r="H299" s="9"/>
      <c r="I299" s="9"/>
      <c r="J299" s="9"/>
      <c r="K299" s="9"/>
      <c r="L299" s="9"/>
      <c r="M299" s="9"/>
      <c r="N299" s="10"/>
      <c r="O299" s="9"/>
      <c r="P299" s="9"/>
      <c r="Q299" s="9"/>
      <c r="R299" s="9" t="s">
        <v>12795</v>
      </c>
      <c r="S299" s="9" t="s">
        <v>12795</v>
      </c>
      <c r="T299" s="9"/>
      <c r="U299" s="9"/>
      <c r="V299" s="9"/>
      <c r="W299" s="9"/>
      <c r="X299" s="9"/>
      <c r="Y299" s="9"/>
      <c r="Z299" s="9"/>
      <c r="AA299" s="9"/>
      <c r="AB299" s="9"/>
      <c r="AC299" s="9"/>
      <c r="AD299" s="9" t="s">
        <v>19</v>
      </c>
    </row>
    <row r="300" spans="1:30" ht="29">
      <c r="A300" s="3" t="s">
        <v>1287</v>
      </c>
      <c r="B300" s="3" t="s">
        <v>1288</v>
      </c>
      <c r="C300" s="3" t="s">
        <v>1289</v>
      </c>
      <c r="G300" s="9" t="s">
        <v>12120</v>
      </c>
      <c r="H300" s="9"/>
      <c r="I300" s="9"/>
      <c r="J300" s="9"/>
      <c r="K300" s="9"/>
      <c r="L300" s="9"/>
      <c r="M300" s="9"/>
      <c r="N300" s="10"/>
      <c r="O300" s="9"/>
      <c r="P300" s="9"/>
      <c r="Q300" s="9"/>
      <c r="R300" s="9" t="s">
        <v>12795</v>
      </c>
      <c r="S300" s="9" t="s">
        <v>12795</v>
      </c>
      <c r="T300" s="9"/>
      <c r="U300" s="9"/>
      <c r="V300" s="9"/>
      <c r="W300" s="9"/>
      <c r="X300" s="9"/>
      <c r="Y300" s="9"/>
      <c r="Z300" s="9"/>
      <c r="AA300" s="9"/>
      <c r="AB300" s="9"/>
      <c r="AC300" s="9"/>
      <c r="AD300" s="9" t="s">
        <v>19</v>
      </c>
    </row>
    <row r="301" spans="1:30" ht="29">
      <c r="A301" s="3" t="s">
        <v>1287</v>
      </c>
      <c r="B301" s="3" t="s">
        <v>5910</v>
      </c>
      <c r="C301" s="3" t="s">
        <v>5911</v>
      </c>
      <c r="G301" s="9" t="s">
        <v>12120</v>
      </c>
      <c r="H301" s="9"/>
      <c r="I301" s="9"/>
      <c r="J301" s="9"/>
      <c r="K301" s="9"/>
      <c r="L301" s="9"/>
      <c r="M301" s="9"/>
      <c r="N301" s="10"/>
      <c r="O301" s="9"/>
      <c r="P301" s="9"/>
      <c r="Q301" s="9"/>
      <c r="R301" s="9" t="s">
        <v>12795</v>
      </c>
      <c r="S301" s="9" t="s">
        <v>12795</v>
      </c>
      <c r="T301" s="9"/>
      <c r="U301" s="9"/>
      <c r="V301" s="9"/>
      <c r="W301" s="9"/>
      <c r="X301" s="9"/>
      <c r="Y301" s="9"/>
      <c r="Z301" s="9"/>
      <c r="AA301" s="9"/>
      <c r="AB301" s="9"/>
      <c r="AC301" s="9"/>
      <c r="AD301" s="9" t="s">
        <v>19</v>
      </c>
    </row>
    <row r="302" spans="1:30" ht="29">
      <c r="A302" s="3" t="s">
        <v>1287</v>
      </c>
      <c r="B302" s="3" t="s">
        <v>5912</v>
      </c>
      <c r="C302" s="3" t="s">
        <v>5913</v>
      </c>
      <c r="G302" s="9" t="s">
        <v>12120</v>
      </c>
      <c r="H302" s="9"/>
      <c r="I302" s="9"/>
      <c r="J302" s="9"/>
      <c r="K302" s="9"/>
      <c r="L302" s="9"/>
      <c r="M302" s="9"/>
      <c r="N302" s="10"/>
      <c r="O302" s="9"/>
      <c r="P302" s="9"/>
      <c r="Q302" s="9"/>
      <c r="R302" s="9" t="s">
        <v>12795</v>
      </c>
      <c r="S302" s="9" t="s">
        <v>12795</v>
      </c>
      <c r="T302" s="9"/>
      <c r="U302" s="9"/>
      <c r="V302" s="9"/>
      <c r="W302" s="9"/>
      <c r="X302" s="9"/>
      <c r="Y302" s="9"/>
      <c r="Z302" s="9"/>
      <c r="AA302" s="9"/>
      <c r="AB302" s="9"/>
      <c r="AC302" s="9"/>
      <c r="AD302" s="9" t="s">
        <v>19</v>
      </c>
    </row>
    <row r="303" spans="1:30" ht="29">
      <c r="A303" s="3" t="s">
        <v>1298</v>
      </c>
      <c r="B303" s="3" t="s">
        <v>5914</v>
      </c>
      <c r="C303" s="3" t="s">
        <v>5915</v>
      </c>
      <c r="G303" s="9" t="s">
        <v>12118</v>
      </c>
      <c r="H303" s="9"/>
      <c r="I303" s="9"/>
      <c r="J303" s="9"/>
      <c r="K303" s="9"/>
      <c r="L303" s="9"/>
      <c r="M303" s="9"/>
      <c r="N303" s="10"/>
      <c r="O303" s="9"/>
      <c r="P303" s="9"/>
      <c r="Q303" s="9">
        <v>29</v>
      </c>
      <c r="R303" s="9">
        <v>1</v>
      </c>
      <c r="S303" s="9">
        <v>30</v>
      </c>
      <c r="T303" s="9"/>
      <c r="U303" s="9"/>
      <c r="V303" s="9"/>
      <c r="W303" s="9"/>
      <c r="X303" s="9"/>
      <c r="Y303" s="9"/>
      <c r="Z303" s="9"/>
      <c r="AA303" s="9"/>
      <c r="AB303" s="9"/>
      <c r="AC303" s="9"/>
      <c r="AD303" s="9" t="s">
        <v>20</v>
      </c>
    </row>
    <row r="304" spans="1:30" ht="29">
      <c r="A304" s="3" t="s">
        <v>1298</v>
      </c>
      <c r="B304" s="3" t="s">
        <v>5916</v>
      </c>
      <c r="C304" s="3" t="s">
        <v>5917</v>
      </c>
      <c r="G304" s="9" t="s">
        <v>25</v>
      </c>
      <c r="H304" s="9"/>
      <c r="I304" s="9">
        <v>1</v>
      </c>
      <c r="J304" s="9">
        <v>3</v>
      </c>
      <c r="K304" s="9" t="s">
        <v>12087</v>
      </c>
      <c r="L304" s="9" t="s">
        <v>12073</v>
      </c>
      <c r="M304" s="9" t="s">
        <v>12149</v>
      </c>
      <c r="N304" s="10" t="s">
        <v>12143</v>
      </c>
      <c r="O304" s="9"/>
      <c r="P304" s="9">
        <v>5676</v>
      </c>
      <c r="Q304" s="9"/>
      <c r="R304" s="9" t="s">
        <v>12795</v>
      </c>
      <c r="S304" s="9" t="s">
        <v>12795</v>
      </c>
      <c r="T304" s="9"/>
      <c r="U304" s="9"/>
      <c r="V304" s="9"/>
      <c r="W304" s="9"/>
      <c r="X304" s="9"/>
      <c r="Y304" s="9"/>
      <c r="Z304" s="9"/>
      <c r="AA304" s="9"/>
      <c r="AB304" s="9"/>
      <c r="AC304" s="9"/>
      <c r="AD304" s="9" t="s">
        <v>19</v>
      </c>
    </row>
    <row r="305" spans="1:30" ht="29">
      <c r="A305" s="3" t="s">
        <v>1299</v>
      </c>
      <c r="B305" s="3" t="s">
        <v>5918</v>
      </c>
      <c r="C305" s="3" t="s">
        <v>5919</v>
      </c>
      <c r="G305" s="9" t="s">
        <v>25</v>
      </c>
      <c r="H305" s="9"/>
      <c r="I305" s="9">
        <v>1</v>
      </c>
      <c r="J305" s="9">
        <v>3</v>
      </c>
      <c r="K305" s="9" t="s">
        <v>12078</v>
      </c>
      <c r="L305" s="9" t="s">
        <v>12073</v>
      </c>
      <c r="M305" s="9" t="s">
        <v>12149</v>
      </c>
      <c r="N305" s="10" t="s">
        <v>12143</v>
      </c>
      <c r="O305" s="9"/>
      <c r="P305" s="9">
        <v>11843</v>
      </c>
      <c r="Q305" s="9"/>
      <c r="R305" s="9" t="s">
        <v>12795</v>
      </c>
      <c r="S305" s="9" t="s">
        <v>12795</v>
      </c>
      <c r="T305" s="9"/>
      <c r="U305" s="9"/>
      <c r="V305" s="9"/>
      <c r="W305" s="9"/>
      <c r="X305" s="9"/>
      <c r="Y305" s="9"/>
      <c r="Z305" s="9"/>
      <c r="AA305" s="9"/>
      <c r="AB305" s="9"/>
      <c r="AC305" s="9"/>
      <c r="AD305" s="9" t="s">
        <v>20</v>
      </c>
    </row>
    <row r="306" spans="1:30" ht="29">
      <c r="A306" s="3" t="s">
        <v>1300</v>
      </c>
      <c r="B306" s="3" t="s">
        <v>5921</v>
      </c>
      <c r="C306" s="11" t="s">
        <v>5920</v>
      </c>
      <c r="G306" s="9" t="s">
        <v>24</v>
      </c>
      <c r="H306" s="9"/>
      <c r="I306" s="9">
        <v>1</v>
      </c>
      <c r="J306" s="9">
        <v>2</v>
      </c>
      <c r="K306" s="9" t="s">
        <v>12087</v>
      </c>
      <c r="L306" s="9" t="s">
        <v>12119</v>
      </c>
      <c r="M306" s="9"/>
      <c r="N306" s="10"/>
      <c r="O306" s="9"/>
      <c r="P306" s="9">
        <v>227</v>
      </c>
      <c r="Q306" s="9"/>
      <c r="R306" s="9" t="s">
        <v>12795</v>
      </c>
      <c r="S306" s="9" t="s">
        <v>12795</v>
      </c>
      <c r="T306" s="9"/>
      <c r="U306" s="9"/>
      <c r="V306" s="9"/>
      <c r="W306" s="9"/>
      <c r="X306" s="9"/>
      <c r="Y306" s="9"/>
      <c r="Z306" s="9"/>
      <c r="AA306" s="9"/>
      <c r="AB306" s="9"/>
      <c r="AC306" s="9"/>
      <c r="AD306" s="9" t="s">
        <v>19</v>
      </c>
    </row>
    <row r="307" spans="1:30" ht="29">
      <c r="A307" s="3" t="s">
        <v>1302</v>
      </c>
      <c r="B307" s="3" t="s">
        <v>5922</v>
      </c>
      <c r="C307" s="3" t="s">
        <v>5923</v>
      </c>
      <c r="F307" t="s">
        <v>19</v>
      </c>
      <c r="G307" s="9" t="s">
        <v>24</v>
      </c>
      <c r="H307" s="9"/>
      <c r="I307" s="9">
        <v>1</v>
      </c>
      <c r="J307" s="9">
        <v>1</v>
      </c>
      <c r="K307" s="9" t="s">
        <v>12078</v>
      </c>
      <c r="L307" s="9" t="s">
        <v>12119</v>
      </c>
      <c r="M307" s="9"/>
      <c r="N307" s="10"/>
      <c r="O307" s="9"/>
      <c r="P307" s="9">
        <v>11843</v>
      </c>
      <c r="Q307" s="9"/>
      <c r="R307" s="9" t="s">
        <v>12795</v>
      </c>
      <c r="S307" s="9" t="s">
        <v>12795</v>
      </c>
      <c r="T307" s="9"/>
      <c r="U307" s="9"/>
      <c r="V307" s="9"/>
      <c r="W307" s="9"/>
      <c r="X307" s="9"/>
      <c r="Y307" s="9"/>
      <c r="Z307" s="9"/>
      <c r="AA307" s="9"/>
      <c r="AB307" s="9"/>
      <c r="AC307" s="9"/>
      <c r="AD307" s="9" t="s">
        <v>19</v>
      </c>
    </row>
    <row r="308" spans="1:30" ht="29">
      <c r="A308" s="3" t="s">
        <v>1302</v>
      </c>
      <c r="B308" s="3" t="s">
        <v>13003</v>
      </c>
      <c r="C308" s="3" t="s">
        <v>13004</v>
      </c>
      <c r="F308" t="s">
        <v>19</v>
      </c>
      <c r="G308" s="9" t="s">
        <v>26</v>
      </c>
      <c r="H308" s="9"/>
      <c r="I308" s="9"/>
      <c r="J308" s="9"/>
      <c r="K308" s="9"/>
      <c r="L308" s="9"/>
      <c r="M308" s="9"/>
      <c r="N308" s="10"/>
      <c r="O308" s="9"/>
      <c r="P308" s="9"/>
      <c r="Q308" s="9"/>
      <c r="R308" s="9" t="s">
        <v>12795</v>
      </c>
      <c r="S308" s="9" t="s">
        <v>12795</v>
      </c>
      <c r="T308" s="9"/>
      <c r="U308" s="9"/>
      <c r="V308" s="9"/>
      <c r="W308" s="9"/>
      <c r="X308" s="9"/>
      <c r="Y308" s="9"/>
      <c r="Z308" s="9"/>
      <c r="AA308" s="9"/>
      <c r="AB308" s="9"/>
      <c r="AC308" s="9"/>
      <c r="AD308" s="9" t="s">
        <v>20</v>
      </c>
    </row>
    <row r="309" spans="1:30" ht="29">
      <c r="A309" s="3" t="s">
        <v>1309</v>
      </c>
      <c r="B309" s="3" t="s">
        <v>5931</v>
      </c>
      <c r="C309" s="3" t="s">
        <v>5932</v>
      </c>
      <c r="G309" s="9" t="s">
        <v>26</v>
      </c>
      <c r="H309" s="9"/>
      <c r="I309" s="9"/>
      <c r="J309" s="9"/>
      <c r="K309" s="9"/>
      <c r="L309" s="9"/>
      <c r="M309" s="9"/>
      <c r="N309" s="10"/>
      <c r="O309" s="9"/>
      <c r="P309" s="9"/>
      <c r="Q309" s="9"/>
      <c r="R309" s="9" t="s">
        <v>12795</v>
      </c>
      <c r="S309" s="9" t="s">
        <v>12795</v>
      </c>
      <c r="T309" s="9"/>
      <c r="U309" s="9"/>
      <c r="V309" s="9"/>
      <c r="W309" s="9"/>
      <c r="X309" s="9"/>
      <c r="Y309" s="9"/>
      <c r="Z309" s="9"/>
      <c r="AA309" s="9"/>
      <c r="AB309" s="9"/>
      <c r="AC309" s="9"/>
      <c r="AD309" s="9" t="s">
        <v>19</v>
      </c>
    </row>
    <row r="310" spans="1:30" ht="29">
      <c r="A310" s="3" t="s">
        <v>1310</v>
      </c>
      <c r="B310" s="3" t="s">
        <v>5933</v>
      </c>
      <c r="C310" s="3" t="s">
        <v>5934</v>
      </c>
      <c r="F310" t="s">
        <v>19</v>
      </c>
      <c r="G310" s="9" t="s">
        <v>24</v>
      </c>
      <c r="H310" s="9"/>
      <c r="I310" s="9">
        <v>1</v>
      </c>
      <c r="J310" s="9">
        <v>4</v>
      </c>
      <c r="K310" s="9" t="s">
        <v>12084</v>
      </c>
      <c r="L310" s="9" t="s">
        <v>12079</v>
      </c>
      <c r="M310" s="9"/>
      <c r="N310" s="10"/>
      <c r="O310" s="9"/>
      <c r="P310" s="9">
        <v>10</v>
      </c>
      <c r="Q310" s="9"/>
      <c r="R310" s="9" t="s">
        <v>12795</v>
      </c>
      <c r="S310" s="9" t="s">
        <v>12795</v>
      </c>
      <c r="T310" s="9"/>
      <c r="U310" s="9"/>
      <c r="V310" s="9"/>
      <c r="W310" s="9"/>
      <c r="X310" s="9"/>
      <c r="Y310" s="9"/>
      <c r="Z310" s="9"/>
      <c r="AA310" s="9"/>
      <c r="AB310" s="9"/>
      <c r="AC310" s="9"/>
      <c r="AD310" s="9" t="s">
        <v>19</v>
      </c>
    </row>
    <row r="311" spans="1:30" ht="29">
      <c r="A311" s="3" t="s">
        <v>1317</v>
      </c>
      <c r="B311" s="3" t="s">
        <v>5943</v>
      </c>
      <c r="C311" s="3" t="s">
        <v>5944</v>
      </c>
      <c r="F311" t="s">
        <v>19</v>
      </c>
      <c r="G311" s="9" t="s">
        <v>25</v>
      </c>
      <c r="H311" s="9"/>
      <c r="I311" s="9">
        <v>1</v>
      </c>
      <c r="J311" s="9">
        <v>2</v>
      </c>
      <c r="K311" s="9" t="s">
        <v>12096</v>
      </c>
      <c r="L311" s="9" t="s">
        <v>12119</v>
      </c>
      <c r="M311" s="9"/>
      <c r="N311" s="10"/>
      <c r="O311" s="9"/>
      <c r="P311" s="9">
        <v>1294</v>
      </c>
      <c r="Q311" s="9"/>
      <c r="R311" s="9" t="s">
        <v>12795</v>
      </c>
      <c r="S311" s="9" t="s">
        <v>12795</v>
      </c>
      <c r="T311" s="9"/>
      <c r="U311" s="9"/>
      <c r="V311" s="9"/>
      <c r="W311" s="9"/>
      <c r="X311" s="9"/>
      <c r="Y311" s="9"/>
      <c r="Z311" s="9"/>
      <c r="AA311" s="9"/>
      <c r="AB311" s="9"/>
      <c r="AC311" s="9"/>
      <c r="AD311" s="9" t="s">
        <v>19</v>
      </c>
    </row>
    <row r="312" spans="1:30" ht="29">
      <c r="A312" s="3" t="s">
        <v>1322</v>
      </c>
      <c r="B312" s="3" t="s">
        <v>5948</v>
      </c>
      <c r="C312" s="3" t="s">
        <v>5947</v>
      </c>
      <c r="F312" t="s">
        <v>19</v>
      </c>
      <c r="G312" s="9" t="s">
        <v>24</v>
      </c>
      <c r="H312" s="9"/>
      <c r="I312" s="9">
        <v>1</v>
      </c>
      <c r="J312" s="9">
        <v>1</v>
      </c>
      <c r="K312" s="9" t="s">
        <v>12078</v>
      </c>
      <c r="L312" s="9" t="s">
        <v>12119</v>
      </c>
      <c r="M312" s="9"/>
      <c r="N312" s="10"/>
      <c r="O312" s="9"/>
      <c r="P312" s="9">
        <v>11843</v>
      </c>
      <c r="Q312" s="9"/>
      <c r="R312" s="9" t="s">
        <v>12795</v>
      </c>
      <c r="S312" s="9" t="s">
        <v>12795</v>
      </c>
      <c r="T312" s="9"/>
      <c r="U312" s="9"/>
      <c r="V312" s="9"/>
      <c r="W312" s="9"/>
      <c r="X312" s="9"/>
      <c r="Y312" s="9"/>
      <c r="Z312" s="9"/>
      <c r="AA312" s="9"/>
      <c r="AB312" s="9"/>
      <c r="AC312" s="9"/>
      <c r="AD312" s="9" t="s">
        <v>19</v>
      </c>
    </row>
    <row r="313" spans="1:30" ht="29">
      <c r="A313" s="3" t="s">
        <v>1326</v>
      </c>
      <c r="B313" s="3" t="s">
        <v>5952</v>
      </c>
      <c r="C313" s="3" t="s">
        <v>5951</v>
      </c>
      <c r="F313" t="s">
        <v>19</v>
      </c>
      <c r="G313" s="9" t="s">
        <v>24</v>
      </c>
      <c r="H313" s="9"/>
      <c r="I313" s="9">
        <v>1</v>
      </c>
      <c r="J313" s="9">
        <v>3</v>
      </c>
      <c r="K313" s="9" t="s">
        <v>12078</v>
      </c>
      <c r="L313" s="9" t="s">
        <v>12079</v>
      </c>
      <c r="M313" s="9"/>
      <c r="N313" s="10"/>
      <c r="O313" s="9"/>
      <c r="P313" s="9">
        <v>11843</v>
      </c>
      <c r="Q313" s="9"/>
      <c r="R313" s="9" t="s">
        <v>12795</v>
      </c>
      <c r="S313" s="9" t="s">
        <v>12795</v>
      </c>
      <c r="T313" s="9"/>
      <c r="U313" s="9"/>
      <c r="V313" s="9"/>
      <c r="W313" s="9"/>
      <c r="X313" s="9"/>
      <c r="Y313" s="9"/>
      <c r="Z313" s="9"/>
      <c r="AA313" s="9"/>
      <c r="AB313" s="9"/>
      <c r="AC313" s="9"/>
      <c r="AD313" s="9" t="s">
        <v>13141</v>
      </c>
    </row>
    <row r="314" spans="1:30" ht="29">
      <c r="A314" s="3" t="s">
        <v>1326</v>
      </c>
      <c r="B314" s="3" t="s">
        <v>5953</v>
      </c>
      <c r="C314" s="3" t="s">
        <v>5954</v>
      </c>
      <c r="F314" t="s">
        <v>19</v>
      </c>
      <c r="G314" s="9" t="s">
        <v>12120</v>
      </c>
      <c r="H314" s="9"/>
      <c r="I314" s="9"/>
      <c r="J314" s="9"/>
      <c r="K314" s="9"/>
      <c r="L314" s="9"/>
      <c r="M314" s="9"/>
      <c r="N314" s="10"/>
      <c r="O314" s="9"/>
      <c r="P314" s="9"/>
      <c r="Q314" s="9"/>
      <c r="R314" s="9" t="s">
        <v>12795</v>
      </c>
      <c r="S314" s="9" t="s">
        <v>12795</v>
      </c>
      <c r="T314" s="9"/>
      <c r="U314" s="9"/>
      <c r="V314" s="9"/>
      <c r="W314" s="9"/>
      <c r="X314" s="9"/>
      <c r="Y314" s="9"/>
      <c r="Z314" s="9"/>
      <c r="AA314" s="9"/>
      <c r="AB314" s="9"/>
      <c r="AC314" s="9"/>
      <c r="AD314" s="9" t="s">
        <v>19</v>
      </c>
    </row>
    <row r="315" spans="1:30" ht="29">
      <c r="A315" s="3" t="s">
        <v>1329</v>
      </c>
      <c r="B315" s="3" t="s">
        <v>5959</v>
      </c>
      <c r="C315" s="3" t="s">
        <v>5960</v>
      </c>
      <c r="F315" t="s">
        <v>19</v>
      </c>
      <c r="G315" s="9" t="s">
        <v>12118</v>
      </c>
      <c r="H315" s="9"/>
      <c r="I315" s="9"/>
      <c r="J315" s="9"/>
      <c r="K315" s="9"/>
      <c r="L315" s="9"/>
      <c r="M315" s="9"/>
      <c r="N315" s="10"/>
      <c r="O315" s="9"/>
      <c r="P315" s="9"/>
      <c r="Q315" s="9">
        <v>0</v>
      </c>
      <c r="R315" s="9">
        <v>3</v>
      </c>
      <c r="S315" s="9">
        <v>3</v>
      </c>
      <c r="T315" s="9"/>
      <c r="U315" s="9"/>
      <c r="V315" s="9"/>
      <c r="W315" s="9"/>
      <c r="X315" s="9"/>
      <c r="Y315" s="9"/>
      <c r="Z315" s="9"/>
      <c r="AA315" s="9"/>
      <c r="AB315" s="9"/>
      <c r="AC315" s="9"/>
      <c r="AD315" s="9" t="s">
        <v>19</v>
      </c>
    </row>
    <row r="316" spans="1:30" ht="29">
      <c r="A316" s="3" t="s">
        <v>1331</v>
      </c>
      <c r="B316" s="3" t="s">
        <v>5961</v>
      </c>
      <c r="C316" s="3" t="s">
        <v>5962</v>
      </c>
      <c r="D316" t="s">
        <v>12</v>
      </c>
      <c r="F316" t="s">
        <v>19</v>
      </c>
      <c r="G316" s="9" t="s">
        <v>12118</v>
      </c>
      <c r="H316" s="9"/>
      <c r="I316" s="9"/>
      <c r="J316" s="9"/>
      <c r="K316" s="9"/>
      <c r="L316" s="9"/>
      <c r="M316" s="9"/>
      <c r="N316" s="10"/>
      <c r="O316" s="9"/>
      <c r="P316" s="9"/>
      <c r="Q316" s="9">
        <v>41</v>
      </c>
      <c r="R316" s="9">
        <v>444</v>
      </c>
      <c r="S316" s="9">
        <v>485</v>
      </c>
      <c r="T316" s="9"/>
      <c r="U316" s="9"/>
      <c r="V316" s="9"/>
      <c r="W316" s="9"/>
      <c r="X316" s="9"/>
      <c r="Y316" s="9"/>
      <c r="Z316" s="9"/>
      <c r="AA316" s="9"/>
      <c r="AB316" s="9"/>
      <c r="AC316" s="9"/>
      <c r="AD316" s="9" t="s">
        <v>19</v>
      </c>
    </row>
    <row r="317" spans="1:30" ht="29">
      <c r="A317" s="3" t="s">
        <v>1331</v>
      </c>
      <c r="B317" s="3" t="s">
        <v>5963</v>
      </c>
      <c r="C317" s="5" t="s">
        <v>5964</v>
      </c>
      <c r="D317" t="s">
        <v>32</v>
      </c>
      <c r="F317" t="s">
        <v>19</v>
      </c>
      <c r="G317" s="9" t="s">
        <v>24</v>
      </c>
      <c r="H317" s="9"/>
      <c r="I317" s="9">
        <v>3</v>
      </c>
      <c r="J317" s="9">
        <v>11</v>
      </c>
      <c r="K317" s="9"/>
      <c r="L317" s="9" t="s">
        <v>12079</v>
      </c>
      <c r="M317" s="9"/>
      <c r="N317" s="10"/>
      <c r="O317" s="9"/>
      <c r="P317" s="9">
        <v>31</v>
      </c>
      <c r="Q317" s="9"/>
      <c r="R317" s="9" t="s">
        <v>12795</v>
      </c>
      <c r="S317" s="9" t="s">
        <v>12795</v>
      </c>
      <c r="T317" s="9"/>
      <c r="U317" s="9"/>
      <c r="V317" s="9"/>
      <c r="W317" s="9"/>
      <c r="X317" s="9"/>
      <c r="Y317" s="9"/>
      <c r="Z317" s="9"/>
      <c r="AA317" s="9"/>
      <c r="AB317" s="9"/>
      <c r="AC317" s="9"/>
      <c r="AD317" s="9" t="s">
        <v>19</v>
      </c>
    </row>
    <row r="318" spans="1:30" ht="43.5">
      <c r="A318" s="3" t="s">
        <v>1336</v>
      </c>
      <c r="B318" s="3" t="s">
        <v>5969</v>
      </c>
      <c r="C318" s="3" t="s">
        <v>5970</v>
      </c>
      <c r="F318" t="s">
        <v>19</v>
      </c>
      <c r="G318" s="9" t="s">
        <v>24</v>
      </c>
      <c r="H318" s="9"/>
      <c r="I318" s="9">
        <v>3</v>
      </c>
      <c r="J318" s="9">
        <v>12</v>
      </c>
      <c r="K318" s="9"/>
      <c r="L318" s="9" t="s">
        <v>12079</v>
      </c>
      <c r="M318" s="9"/>
      <c r="N318" s="10"/>
      <c r="O318" s="9"/>
      <c r="P318" s="9">
        <v>58</v>
      </c>
      <c r="Q318" s="9"/>
      <c r="R318" s="9" t="s">
        <v>12795</v>
      </c>
      <c r="S318" s="9" t="s">
        <v>12795</v>
      </c>
      <c r="T318" s="9"/>
      <c r="U318" s="9"/>
      <c r="V318" s="9"/>
      <c r="W318" s="9"/>
      <c r="X318" s="9"/>
      <c r="Y318" s="9"/>
      <c r="Z318" s="9"/>
      <c r="AA318" s="9"/>
      <c r="AB318" s="9"/>
      <c r="AC318" s="9"/>
      <c r="AD318" s="9" t="s">
        <v>19</v>
      </c>
    </row>
    <row r="319" spans="1:30" ht="29">
      <c r="A319" s="3" t="s">
        <v>1336</v>
      </c>
      <c r="B319" s="3" t="s">
        <v>5969</v>
      </c>
      <c r="C319" s="3" t="s">
        <v>5971</v>
      </c>
      <c r="F319" t="s">
        <v>19</v>
      </c>
      <c r="G319" s="9" t="s">
        <v>24</v>
      </c>
      <c r="H319" s="9"/>
      <c r="I319" s="9">
        <v>1</v>
      </c>
      <c r="J319" s="9">
        <v>4</v>
      </c>
      <c r="K319" s="9" t="s">
        <v>12099</v>
      </c>
      <c r="L319" s="9" t="s">
        <v>12079</v>
      </c>
      <c r="M319" s="9"/>
      <c r="N319" s="10"/>
      <c r="O319" s="9"/>
      <c r="P319" s="9">
        <v>153</v>
      </c>
      <c r="Q319" s="9"/>
      <c r="R319" s="9" t="s">
        <v>12795</v>
      </c>
      <c r="S319" s="9" t="s">
        <v>12795</v>
      </c>
      <c r="T319" s="9"/>
      <c r="U319" s="9"/>
      <c r="V319" s="9"/>
      <c r="W319" s="9"/>
      <c r="X319" s="9"/>
      <c r="Y319" s="9"/>
      <c r="Z319" s="9"/>
      <c r="AA319" s="9"/>
      <c r="AB319" s="9"/>
      <c r="AC319" s="9"/>
      <c r="AD319" s="9" t="s">
        <v>19</v>
      </c>
    </row>
    <row r="320" spans="1:30" ht="29">
      <c r="A320" s="3" t="s">
        <v>1337</v>
      </c>
      <c r="B320" s="3" t="s">
        <v>5975</v>
      </c>
      <c r="C320" s="3" t="s">
        <v>5974</v>
      </c>
      <c r="F320" t="s">
        <v>19</v>
      </c>
      <c r="G320" s="9" t="s">
        <v>25</v>
      </c>
      <c r="H320" s="9"/>
      <c r="I320" s="9">
        <v>1</v>
      </c>
      <c r="J320" s="9">
        <v>3</v>
      </c>
      <c r="K320" s="9" t="s">
        <v>12087</v>
      </c>
      <c r="L320" s="9" t="s">
        <v>12079</v>
      </c>
      <c r="M320" s="9"/>
      <c r="N320" s="10"/>
      <c r="O320" s="9"/>
      <c r="P320" s="9">
        <v>5676</v>
      </c>
      <c r="Q320" s="9"/>
      <c r="R320" s="9" t="s">
        <v>12795</v>
      </c>
      <c r="S320" s="9" t="s">
        <v>12795</v>
      </c>
      <c r="T320" s="9"/>
      <c r="U320" s="9"/>
      <c r="V320" s="9"/>
      <c r="W320" s="9"/>
      <c r="X320" s="9"/>
      <c r="Y320" s="9"/>
      <c r="Z320" s="9"/>
      <c r="AA320" s="9"/>
      <c r="AB320" s="9"/>
      <c r="AC320" s="9"/>
      <c r="AD320" s="9" t="s">
        <v>20</v>
      </c>
    </row>
    <row r="321" spans="1:30" ht="29">
      <c r="A321" s="3" t="s">
        <v>1337</v>
      </c>
      <c r="B321" s="3" t="s">
        <v>5976</v>
      </c>
      <c r="C321" s="3" t="s">
        <v>5974</v>
      </c>
      <c r="G321" s="9" t="s">
        <v>25</v>
      </c>
      <c r="H321" s="9"/>
      <c r="I321" s="9">
        <v>1</v>
      </c>
      <c r="J321" s="9">
        <v>1</v>
      </c>
      <c r="K321" s="9" t="s">
        <v>12078</v>
      </c>
      <c r="L321" s="9" t="s">
        <v>12119</v>
      </c>
      <c r="M321" s="9"/>
      <c r="N321" s="10"/>
      <c r="O321" s="9"/>
      <c r="P321" s="9">
        <v>11843</v>
      </c>
      <c r="Q321" s="9"/>
      <c r="R321" s="9" t="s">
        <v>12795</v>
      </c>
      <c r="S321" s="9" t="s">
        <v>12795</v>
      </c>
      <c r="T321" s="9"/>
      <c r="U321" s="9"/>
      <c r="V321" s="9"/>
      <c r="W321" s="9"/>
      <c r="X321" s="9"/>
      <c r="Y321" s="9"/>
      <c r="Z321" s="9"/>
      <c r="AA321" s="9"/>
      <c r="AB321" s="9"/>
      <c r="AC321" s="9"/>
      <c r="AD321" s="9" t="s">
        <v>20</v>
      </c>
    </row>
    <row r="322" spans="1:30" ht="29">
      <c r="A322" s="3" t="s">
        <v>1343</v>
      </c>
      <c r="B322" s="3" t="s">
        <v>5982</v>
      </c>
      <c r="C322" s="3" t="s">
        <v>5981</v>
      </c>
      <c r="G322" s="9" t="s">
        <v>25</v>
      </c>
      <c r="H322" s="9"/>
      <c r="I322" s="9">
        <v>1</v>
      </c>
      <c r="J322" s="9">
        <v>3</v>
      </c>
      <c r="K322" s="9" t="s">
        <v>12078</v>
      </c>
      <c r="L322" s="9" t="s">
        <v>12073</v>
      </c>
      <c r="M322" s="9" t="s">
        <v>12149</v>
      </c>
      <c r="N322" s="10" t="s">
        <v>12143</v>
      </c>
      <c r="O322" s="9"/>
      <c r="P322" s="9">
        <v>11843</v>
      </c>
      <c r="Q322" s="9"/>
      <c r="R322" s="9" t="s">
        <v>12795</v>
      </c>
      <c r="S322" s="9" t="s">
        <v>12795</v>
      </c>
      <c r="T322" s="9"/>
      <c r="U322" s="9"/>
      <c r="V322" s="9"/>
      <c r="W322" s="9"/>
      <c r="X322" s="9"/>
      <c r="Y322" s="9"/>
      <c r="Z322" s="9"/>
      <c r="AA322" s="9"/>
      <c r="AB322" s="9"/>
      <c r="AC322" s="9"/>
      <c r="AD322" s="9" t="s">
        <v>19</v>
      </c>
    </row>
    <row r="323" spans="1:30" ht="29">
      <c r="A323" s="3" t="s">
        <v>1343</v>
      </c>
      <c r="B323" s="3" t="s">
        <v>5983</v>
      </c>
      <c r="C323" s="3" t="s">
        <v>5984</v>
      </c>
      <c r="F323" t="s">
        <v>19</v>
      </c>
      <c r="G323" s="9" t="s">
        <v>12118</v>
      </c>
      <c r="H323" s="9"/>
      <c r="I323" s="9"/>
      <c r="J323" s="9"/>
      <c r="K323" s="9"/>
      <c r="L323" s="9"/>
      <c r="M323" s="9"/>
      <c r="N323" s="10"/>
      <c r="O323" s="9"/>
      <c r="P323" s="9"/>
      <c r="Q323" s="9">
        <v>-118</v>
      </c>
      <c r="R323" s="9">
        <v>124</v>
      </c>
      <c r="S323" s="9">
        <v>6</v>
      </c>
      <c r="T323" s="9"/>
      <c r="U323" s="9"/>
      <c r="V323" s="9"/>
      <c r="W323" s="9"/>
      <c r="X323" s="9"/>
      <c r="Y323" s="9"/>
      <c r="Z323" s="9"/>
      <c r="AA323" s="9"/>
      <c r="AB323" s="9"/>
      <c r="AC323" s="9"/>
      <c r="AD323" s="9" t="s">
        <v>19</v>
      </c>
    </row>
    <row r="324" spans="1:30" ht="29">
      <c r="A324" s="3" t="s">
        <v>1345</v>
      </c>
      <c r="B324" s="3" t="s">
        <v>4966</v>
      </c>
      <c r="C324" s="3" t="s">
        <v>4967</v>
      </c>
      <c r="G324" s="9" t="s">
        <v>24</v>
      </c>
      <c r="H324" s="9"/>
      <c r="I324" s="9">
        <v>1</v>
      </c>
      <c r="J324" s="9">
        <v>1</v>
      </c>
      <c r="K324" s="9" t="s">
        <v>12078</v>
      </c>
      <c r="L324" s="9" t="s">
        <v>12119</v>
      </c>
      <c r="M324" s="9"/>
      <c r="N324" s="10"/>
      <c r="O324" s="9"/>
      <c r="P324" s="9">
        <v>11843</v>
      </c>
      <c r="Q324" s="9"/>
      <c r="R324" s="9" t="s">
        <v>12795</v>
      </c>
      <c r="S324" s="9" t="s">
        <v>12795</v>
      </c>
      <c r="T324" s="9"/>
      <c r="U324" s="9"/>
      <c r="V324" s="9"/>
      <c r="W324" s="9"/>
      <c r="X324" s="9"/>
      <c r="Y324" s="9"/>
      <c r="Z324" s="9"/>
      <c r="AA324" s="9"/>
      <c r="AB324" s="9"/>
      <c r="AC324" s="9"/>
      <c r="AD324" s="9" t="s">
        <v>19</v>
      </c>
    </row>
    <row r="325" spans="1:30" ht="29">
      <c r="A325" s="3" t="s">
        <v>1346</v>
      </c>
      <c r="B325" s="3" t="s">
        <v>5985</v>
      </c>
      <c r="C325" s="3" t="s">
        <v>5986</v>
      </c>
      <c r="G325" s="9" t="s">
        <v>25</v>
      </c>
      <c r="H325" s="9"/>
      <c r="I325" s="9">
        <v>1</v>
      </c>
      <c r="J325" s="9">
        <v>3</v>
      </c>
      <c r="K325" s="9" t="s">
        <v>12078</v>
      </c>
      <c r="L325" s="9" t="s">
        <v>12079</v>
      </c>
      <c r="M325" s="9"/>
      <c r="N325" s="10"/>
      <c r="O325" s="9"/>
      <c r="P325" s="9">
        <v>11843</v>
      </c>
      <c r="Q325" s="9"/>
      <c r="R325" s="9" t="s">
        <v>12795</v>
      </c>
      <c r="S325" s="9" t="s">
        <v>12795</v>
      </c>
      <c r="T325" s="9"/>
      <c r="U325" s="9"/>
      <c r="V325" s="9"/>
      <c r="W325" s="9"/>
      <c r="X325" s="9"/>
      <c r="Y325" s="9"/>
      <c r="Z325" s="9"/>
      <c r="AA325" s="9"/>
      <c r="AB325" s="9"/>
      <c r="AC325" s="9"/>
      <c r="AD325" s="9" t="s">
        <v>19</v>
      </c>
    </row>
    <row r="326" spans="1:30" ht="29">
      <c r="A326" s="3" t="s">
        <v>1347</v>
      </c>
      <c r="B326" s="3" t="s">
        <v>1348</v>
      </c>
      <c r="C326" s="3" t="s">
        <v>1349</v>
      </c>
      <c r="F326" t="s">
        <v>19</v>
      </c>
      <c r="G326" s="9" t="s">
        <v>12120</v>
      </c>
      <c r="H326" s="9"/>
      <c r="I326" s="9"/>
      <c r="J326" s="9"/>
      <c r="K326" s="9"/>
      <c r="L326" s="9"/>
      <c r="M326" s="9"/>
      <c r="N326" s="10"/>
      <c r="O326" s="9"/>
      <c r="P326" s="9"/>
      <c r="Q326" s="9"/>
      <c r="R326" s="9" t="s">
        <v>12795</v>
      </c>
      <c r="S326" s="9" t="s">
        <v>12795</v>
      </c>
      <c r="T326" s="9"/>
      <c r="U326" s="9"/>
      <c r="V326" s="9"/>
      <c r="W326" s="9"/>
      <c r="X326" s="9"/>
      <c r="Y326" s="9"/>
      <c r="Z326" s="9"/>
      <c r="AA326" s="9"/>
      <c r="AB326" s="9"/>
      <c r="AC326" s="9"/>
      <c r="AD326" s="9" t="s">
        <v>19</v>
      </c>
    </row>
    <row r="327" spans="1:30">
      <c r="A327" s="3" t="s">
        <v>1356</v>
      </c>
      <c r="B327" s="11" t="s">
        <v>5990</v>
      </c>
      <c r="C327" s="11" t="s">
        <v>5989</v>
      </c>
      <c r="F327" t="s">
        <v>19</v>
      </c>
      <c r="G327" s="9" t="s">
        <v>24</v>
      </c>
      <c r="H327" s="9"/>
      <c r="I327" s="9">
        <v>1</v>
      </c>
      <c r="J327" s="9">
        <v>2</v>
      </c>
      <c r="K327" s="9" t="s">
        <v>12078</v>
      </c>
      <c r="L327" s="9" t="s">
        <v>12119</v>
      </c>
      <c r="M327" s="9"/>
      <c r="N327" s="10"/>
      <c r="O327" s="9"/>
      <c r="P327" s="9">
        <v>11843</v>
      </c>
      <c r="Q327" s="9"/>
      <c r="R327" s="9" t="s">
        <v>12795</v>
      </c>
      <c r="S327" s="9" t="s">
        <v>12795</v>
      </c>
      <c r="T327" s="9"/>
      <c r="U327" s="9"/>
      <c r="V327" s="9"/>
      <c r="W327" s="9"/>
      <c r="X327" s="9"/>
      <c r="Y327" s="9"/>
      <c r="Z327" s="9"/>
      <c r="AA327" s="9"/>
      <c r="AB327" s="9"/>
      <c r="AC327" s="9"/>
      <c r="AD327" s="9" t="s">
        <v>19</v>
      </c>
    </row>
    <row r="328" spans="1:30">
      <c r="A328" s="3" t="s">
        <v>1356</v>
      </c>
      <c r="B328" s="3" t="s">
        <v>5991</v>
      </c>
      <c r="C328" s="3" t="s">
        <v>5992</v>
      </c>
      <c r="G328" s="9" t="s">
        <v>24</v>
      </c>
      <c r="H328" s="9"/>
      <c r="I328" s="9">
        <v>1</v>
      </c>
      <c r="J328" s="9">
        <v>2</v>
      </c>
      <c r="K328" s="9" t="s">
        <v>12078</v>
      </c>
      <c r="L328" s="9" t="s">
        <v>12119</v>
      </c>
      <c r="M328" s="9"/>
      <c r="N328" s="10"/>
      <c r="O328" s="9"/>
      <c r="P328" s="9">
        <v>11843</v>
      </c>
      <c r="Q328" s="9"/>
      <c r="R328" s="9" t="s">
        <v>12795</v>
      </c>
      <c r="S328" s="9" t="s">
        <v>12795</v>
      </c>
      <c r="T328" s="9"/>
      <c r="U328" s="9"/>
      <c r="V328" s="9"/>
      <c r="W328" s="9"/>
      <c r="X328" s="9"/>
      <c r="Y328" s="9"/>
      <c r="Z328" s="9"/>
      <c r="AA328" s="9"/>
      <c r="AB328" s="9"/>
      <c r="AC328" s="9"/>
      <c r="AD328" s="9" t="s">
        <v>19</v>
      </c>
    </row>
    <row r="329" spans="1:30">
      <c r="A329" s="3" t="s">
        <v>1357</v>
      </c>
      <c r="B329" s="3" t="s">
        <v>5995</v>
      </c>
      <c r="C329" s="3" t="s">
        <v>5996</v>
      </c>
      <c r="F329" t="s">
        <v>19</v>
      </c>
      <c r="G329" s="9" t="s">
        <v>24</v>
      </c>
      <c r="H329" s="9"/>
      <c r="I329" s="9">
        <v>1</v>
      </c>
      <c r="J329" s="9">
        <v>1</v>
      </c>
      <c r="K329" s="9" t="s">
        <v>12078</v>
      </c>
      <c r="L329" s="9" t="s">
        <v>12119</v>
      </c>
      <c r="M329" s="9"/>
      <c r="N329" s="10"/>
      <c r="O329" s="9"/>
      <c r="P329" s="9">
        <v>11843</v>
      </c>
      <c r="Q329" s="9"/>
      <c r="R329" s="9" t="s">
        <v>12795</v>
      </c>
      <c r="S329" s="9" t="s">
        <v>12795</v>
      </c>
      <c r="T329" s="9"/>
      <c r="U329" s="9"/>
      <c r="V329" s="9"/>
      <c r="W329" s="9"/>
      <c r="X329" s="9"/>
      <c r="Y329" s="9"/>
      <c r="Z329" s="9"/>
      <c r="AA329" s="9"/>
      <c r="AB329" s="9"/>
      <c r="AC329" s="9"/>
      <c r="AD329" s="9" t="s">
        <v>20</v>
      </c>
    </row>
    <row r="330" spans="1:30">
      <c r="A330" s="3" t="s">
        <v>1359</v>
      </c>
      <c r="B330" s="3" t="s">
        <v>5998</v>
      </c>
      <c r="C330" s="3" t="s">
        <v>5999</v>
      </c>
      <c r="F330" t="s">
        <v>19</v>
      </c>
      <c r="G330" s="9" t="s">
        <v>24</v>
      </c>
      <c r="H330" s="9"/>
      <c r="I330" s="9">
        <v>1</v>
      </c>
      <c r="J330" s="9">
        <v>5</v>
      </c>
      <c r="K330" s="9" t="s">
        <v>12098</v>
      </c>
      <c r="L330" s="9" t="s">
        <v>12073</v>
      </c>
      <c r="M330" s="9" t="s">
        <v>12142</v>
      </c>
      <c r="N330" s="10" t="s">
        <v>12143</v>
      </c>
      <c r="O330" s="9"/>
      <c r="P330" s="9">
        <v>2</v>
      </c>
      <c r="Q330" s="9"/>
      <c r="R330" s="9" t="s">
        <v>12795</v>
      </c>
      <c r="S330" s="9" t="s">
        <v>12795</v>
      </c>
      <c r="T330" s="9"/>
      <c r="U330" s="9"/>
      <c r="V330" s="9"/>
      <c r="W330" s="9"/>
      <c r="X330" s="9"/>
      <c r="Y330" s="9"/>
      <c r="Z330" s="9"/>
      <c r="AA330" s="9"/>
      <c r="AB330" s="9"/>
      <c r="AC330" s="9"/>
      <c r="AD330" s="9" t="s">
        <v>19</v>
      </c>
    </row>
    <row r="331" spans="1:30" ht="58">
      <c r="A331" s="3" t="s">
        <v>1360</v>
      </c>
      <c r="B331" s="3" t="s">
        <v>6000</v>
      </c>
      <c r="C331" s="3" t="s">
        <v>6001</v>
      </c>
      <c r="F331" t="s">
        <v>20</v>
      </c>
      <c r="G331" s="9" t="s">
        <v>24</v>
      </c>
      <c r="H331" s="9"/>
      <c r="I331" s="9">
        <v>6</v>
      </c>
      <c r="J331" s="9">
        <v>25</v>
      </c>
      <c r="K331" s="9"/>
      <c r="L331" s="9" t="s">
        <v>12079</v>
      </c>
      <c r="M331" s="9"/>
      <c r="N331" s="10"/>
      <c r="O331" s="9"/>
      <c r="P331" s="9">
        <v>46</v>
      </c>
      <c r="Q331" s="9"/>
      <c r="R331" s="9" t="s">
        <v>12795</v>
      </c>
      <c r="S331" s="9" t="s">
        <v>12795</v>
      </c>
      <c r="T331" s="9"/>
      <c r="U331" s="9"/>
      <c r="V331" s="9"/>
      <c r="W331" s="9"/>
      <c r="X331" s="9"/>
      <c r="Y331" s="9"/>
      <c r="Z331" s="9"/>
      <c r="AA331" s="9"/>
      <c r="AB331" s="9"/>
      <c r="AC331" s="9"/>
      <c r="AD331" s="9" t="s">
        <v>19</v>
      </c>
    </row>
    <row r="332" spans="1:30" ht="43.5">
      <c r="A332" s="3" t="s">
        <v>1365</v>
      </c>
      <c r="B332" s="3" t="s">
        <v>6012</v>
      </c>
      <c r="C332" s="3" t="s">
        <v>6013</v>
      </c>
      <c r="F332" t="s">
        <v>19</v>
      </c>
      <c r="G332" s="9" t="s">
        <v>12118</v>
      </c>
      <c r="H332" s="9"/>
      <c r="I332" s="9"/>
      <c r="J332" s="9"/>
      <c r="K332" s="9"/>
      <c r="L332" s="9"/>
      <c r="M332" s="9"/>
      <c r="N332" s="10"/>
      <c r="O332" s="9"/>
      <c r="P332" s="9"/>
      <c r="Q332" s="9">
        <v>-3710</v>
      </c>
      <c r="R332" s="9">
        <v>5676</v>
      </c>
      <c r="S332" s="9">
        <v>1966</v>
      </c>
      <c r="T332" s="9"/>
      <c r="U332" s="9"/>
      <c r="V332" s="9"/>
      <c r="W332" s="9"/>
      <c r="X332" s="9"/>
      <c r="Y332" s="9"/>
      <c r="Z332" s="9"/>
      <c r="AA332" s="9"/>
      <c r="AB332" s="9"/>
      <c r="AC332" s="9"/>
      <c r="AD332" s="9" t="s">
        <v>19</v>
      </c>
    </row>
    <row r="333" spans="1:30" ht="43.5">
      <c r="A333" s="3" t="s">
        <v>1365</v>
      </c>
      <c r="B333" s="3" t="s">
        <v>6014</v>
      </c>
      <c r="C333" s="3" t="s">
        <v>6011</v>
      </c>
      <c r="F333" t="s">
        <v>19</v>
      </c>
      <c r="G333" s="9" t="s">
        <v>25</v>
      </c>
      <c r="H333" s="9"/>
      <c r="I333" s="9">
        <v>1</v>
      </c>
      <c r="J333" s="9">
        <v>3</v>
      </c>
      <c r="K333" s="9" t="s">
        <v>12078</v>
      </c>
      <c r="L333" s="9" t="s">
        <v>12079</v>
      </c>
      <c r="M333" s="9"/>
      <c r="N333" s="10"/>
      <c r="O333" s="9"/>
      <c r="P333" s="9">
        <v>11843</v>
      </c>
      <c r="Q333" s="9"/>
      <c r="R333" s="9" t="s">
        <v>12795</v>
      </c>
      <c r="S333" s="9" t="s">
        <v>12795</v>
      </c>
      <c r="T333" s="9"/>
      <c r="U333" s="9"/>
      <c r="V333" s="9"/>
      <c r="W333" s="9"/>
      <c r="X333" s="9"/>
      <c r="Y333" s="9"/>
      <c r="Z333" s="9"/>
      <c r="AA333" s="9"/>
      <c r="AB333" s="9"/>
      <c r="AC333" s="9"/>
      <c r="AD333" s="9" t="s">
        <v>20</v>
      </c>
    </row>
    <row r="334" spans="1:30" ht="29">
      <c r="A334" s="3" t="s">
        <v>1366</v>
      </c>
      <c r="B334" s="3" t="s">
        <v>1367</v>
      </c>
      <c r="C334" s="3" t="s">
        <v>1368</v>
      </c>
      <c r="F334" t="s">
        <v>19</v>
      </c>
      <c r="G334" s="9" t="s">
        <v>12120</v>
      </c>
      <c r="H334" s="9"/>
      <c r="I334" s="9"/>
      <c r="J334" s="9"/>
      <c r="K334" s="9"/>
      <c r="L334" s="9"/>
      <c r="M334" s="9"/>
      <c r="N334" s="10"/>
      <c r="O334" s="9"/>
      <c r="P334" s="9"/>
      <c r="Q334" s="9"/>
      <c r="R334" s="9" t="s">
        <v>12795</v>
      </c>
      <c r="S334" s="9" t="s">
        <v>12795</v>
      </c>
      <c r="T334" s="9"/>
      <c r="U334" s="9"/>
      <c r="V334" s="9"/>
      <c r="W334" s="9"/>
      <c r="X334" s="9"/>
      <c r="Y334" s="9"/>
      <c r="Z334" s="9"/>
      <c r="AA334" s="9"/>
      <c r="AB334" s="9"/>
      <c r="AC334" s="9"/>
      <c r="AD334" s="9" t="s">
        <v>19</v>
      </c>
    </row>
    <row r="335" spans="1:30" ht="43.5">
      <c r="A335" s="3" t="s">
        <v>1369</v>
      </c>
      <c r="B335" s="3" t="s">
        <v>6015</v>
      </c>
      <c r="C335" s="3" t="s">
        <v>6016</v>
      </c>
      <c r="F335" t="s">
        <v>19</v>
      </c>
      <c r="G335" s="9" t="s">
        <v>24</v>
      </c>
      <c r="H335" s="9"/>
      <c r="I335" s="9">
        <v>2</v>
      </c>
      <c r="J335" s="9">
        <v>10</v>
      </c>
      <c r="K335" s="9"/>
      <c r="L335" s="9" t="s">
        <v>12079</v>
      </c>
      <c r="M335" s="9"/>
      <c r="N335" s="10"/>
      <c r="O335" s="9"/>
      <c r="P335" s="9">
        <v>75</v>
      </c>
      <c r="Q335" s="9"/>
      <c r="R335" s="9" t="s">
        <v>12795</v>
      </c>
      <c r="S335" s="9" t="s">
        <v>12795</v>
      </c>
      <c r="T335" s="9"/>
      <c r="U335" s="9"/>
      <c r="V335" s="9"/>
      <c r="W335" s="9"/>
      <c r="X335" s="9"/>
      <c r="Y335" s="9"/>
      <c r="Z335" s="9"/>
      <c r="AA335" s="9"/>
      <c r="AB335" s="9"/>
      <c r="AC335" s="9"/>
      <c r="AD335" s="9" t="s">
        <v>19</v>
      </c>
    </row>
    <row r="336" spans="1:30" ht="29">
      <c r="A336" s="3" t="s">
        <v>1370</v>
      </c>
      <c r="B336" s="3" t="s">
        <v>6017</v>
      </c>
      <c r="C336" s="3" t="s">
        <v>6018</v>
      </c>
      <c r="G336" s="9" t="s">
        <v>24</v>
      </c>
      <c r="H336" s="9"/>
      <c r="I336" s="9">
        <v>1</v>
      </c>
      <c r="J336" s="9">
        <v>6</v>
      </c>
      <c r="K336" s="9" t="s">
        <v>12092</v>
      </c>
      <c r="L336" s="9" t="s">
        <v>12073</v>
      </c>
      <c r="M336" s="9" t="s">
        <v>12142</v>
      </c>
      <c r="N336" s="10" t="s">
        <v>12158</v>
      </c>
      <c r="O336" s="9" t="s">
        <v>12074</v>
      </c>
      <c r="P336" s="9">
        <v>5</v>
      </c>
      <c r="Q336" s="9"/>
      <c r="R336" s="9" t="s">
        <v>12795</v>
      </c>
      <c r="S336" s="9" t="s">
        <v>12795</v>
      </c>
      <c r="T336" s="9"/>
      <c r="U336" s="9"/>
      <c r="V336" s="9"/>
      <c r="W336" s="9"/>
      <c r="X336" s="9"/>
      <c r="Y336" s="9"/>
      <c r="Z336" s="9"/>
      <c r="AA336" s="9"/>
      <c r="AB336" s="9"/>
      <c r="AC336" s="9"/>
      <c r="AD336" s="9" t="s">
        <v>20</v>
      </c>
    </row>
    <row r="337" spans="1:30" ht="58">
      <c r="A337" s="3" t="s">
        <v>1373</v>
      </c>
      <c r="B337" s="3" t="s">
        <v>6020</v>
      </c>
      <c r="C337" s="3" t="s">
        <v>13008</v>
      </c>
      <c r="F337" t="s">
        <v>19</v>
      </c>
      <c r="G337" s="9" t="s">
        <v>26</v>
      </c>
      <c r="H337" s="9"/>
      <c r="I337" s="9"/>
      <c r="J337" s="9"/>
      <c r="K337" s="9"/>
      <c r="L337" s="9"/>
      <c r="M337" s="9"/>
      <c r="N337" s="10"/>
      <c r="O337" s="9"/>
      <c r="P337" s="9"/>
      <c r="Q337" s="9"/>
      <c r="R337" s="9" t="s">
        <v>12795</v>
      </c>
      <c r="S337" s="9" t="s">
        <v>12795</v>
      </c>
      <c r="T337" s="9"/>
      <c r="U337" s="9"/>
      <c r="V337" s="9"/>
      <c r="W337" s="9"/>
      <c r="X337" s="9"/>
      <c r="Y337" s="9"/>
      <c r="Z337" s="9"/>
      <c r="AA337" s="9"/>
      <c r="AB337" s="9"/>
      <c r="AC337" s="9"/>
      <c r="AD337" s="9" t="s">
        <v>20</v>
      </c>
    </row>
    <row r="338" spans="1:30" ht="58">
      <c r="A338" s="3" t="s">
        <v>1373</v>
      </c>
      <c r="B338" s="3" t="s">
        <v>6021</v>
      </c>
      <c r="C338" s="3" t="s">
        <v>6022</v>
      </c>
      <c r="F338" t="s">
        <v>19</v>
      </c>
      <c r="G338" s="9" t="s">
        <v>24</v>
      </c>
      <c r="H338" s="9"/>
      <c r="I338" s="9">
        <v>1</v>
      </c>
      <c r="J338" s="9">
        <v>5</v>
      </c>
      <c r="K338" s="9" t="s">
        <v>12096</v>
      </c>
      <c r="L338" s="9" t="s">
        <v>12079</v>
      </c>
      <c r="M338" s="9"/>
      <c r="N338" s="10"/>
      <c r="O338" s="9"/>
      <c r="P338" s="9">
        <v>28</v>
      </c>
      <c r="Q338" s="9"/>
      <c r="R338" s="9" t="s">
        <v>12795</v>
      </c>
      <c r="S338" s="9" t="s">
        <v>12795</v>
      </c>
      <c r="T338" s="9"/>
      <c r="U338" s="9"/>
      <c r="V338" s="9"/>
      <c r="W338" s="9"/>
      <c r="X338" s="9"/>
      <c r="Y338" s="9"/>
      <c r="Z338" s="9"/>
      <c r="AA338" s="9"/>
      <c r="AB338" s="9"/>
      <c r="AC338" s="9"/>
      <c r="AD338" s="9" t="s">
        <v>19</v>
      </c>
    </row>
    <row r="339" spans="1:30" ht="72.5">
      <c r="A339" s="3" t="s">
        <v>1380</v>
      </c>
      <c r="B339" s="3" t="s">
        <v>6030</v>
      </c>
      <c r="C339" s="3" t="s">
        <v>6031</v>
      </c>
      <c r="F339" t="s">
        <v>19</v>
      </c>
      <c r="G339" s="9" t="s">
        <v>26</v>
      </c>
      <c r="H339" s="9"/>
      <c r="I339" s="9"/>
      <c r="J339" s="9"/>
      <c r="K339" s="9"/>
      <c r="L339" s="9"/>
      <c r="M339" s="9"/>
      <c r="N339" s="10"/>
      <c r="O339" s="9"/>
      <c r="P339" s="9"/>
      <c r="Q339" s="9"/>
      <c r="R339" s="9" t="s">
        <v>12795</v>
      </c>
      <c r="S339" s="9" t="s">
        <v>12795</v>
      </c>
      <c r="T339" s="9"/>
      <c r="U339" s="9"/>
      <c r="V339" s="9"/>
      <c r="W339" s="9"/>
      <c r="X339" s="9"/>
      <c r="Y339" s="9"/>
      <c r="Z339" s="9"/>
      <c r="AA339" s="9"/>
      <c r="AB339" s="9"/>
      <c r="AC339" s="9"/>
      <c r="AD339" s="9" t="s">
        <v>20</v>
      </c>
    </row>
    <row r="340" spans="1:30" ht="72.5">
      <c r="A340" s="3" t="s">
        <v>1380</v>
      </c>
      <c r="B340" s="3" t="s">
        <v>6032</v>
      </c>
      <c r="C340" s="3" t="s">
        <v>6029</v>
      </c>
      <c r="F340" t="s">
        <v>22</v>
      </c>
      <c r="G340" s="9" t="s">
        <v>25</v>
      </c>
      <c r="H340" s="9"/>
      <c r="I340" s="9">
        <v>3</v>
      </c>
      <c r="J340" s="9">
        <v>14</v>
      </c>
      <c r="K340" s="9"/>
      <c r="L340" s="9" t="s">
        <v>12079</v>
      </c>
      <c r="M340" s="9"/>
      <c r="N340" s="10"/>
      <c r="O340" s="9"/>
      <c r="P340" s="9">
        <v>186</v>
      </c>
      <c r="Q340" s="9"/>
      <c r="R340" s="9" t="s">
        <v>12795</v>
      </c>
      <c r="S340" s="9" t="s">
        <v>12795</v>
      </c>
      <c r="T340" s="9"/>
      <c r="U340" s="9"/>
      <c r="V340" s="9"/>
      <c r="W340" s="9"/>
      <c r="X340" s="9"/>
      <c r="Y340" s="9"/>
      <c r="Z340" s="9"/>
      <c r="AA340" s="9"/>
      <c r="AB340" s="9"/>
      <c r="AC340" s="9"/>
      <c r="AD340" s="9" t="s">
        <v>20</v>
      </c>
    </row>
    <row r="341" spans="1:30" ht="29">
      <c r="A341" s="3" t="s">
        <v>1384</v>
      </c>
      <c r="B341" s="3" t="s">
        <v>1229</v>
      </c>
      <c r="C341" s="3" t="s">
        <v>1230</v>
      </c>
      <c r="G341" s="9" t="s">
        <v>12118</v>
      </c>
      <c r="H341" s="9"/>
      <c r="I341" s="9"/>
      <c r="J341" s="9"/>
      <c r="K341" s="9"/>
      <c r="L341" s="9"/>
      <c r="M341" s="9"/>
      <c r="N341" s="10"/>
      <c r="O341" s="9"/>
      <c r="P341" s="9"/>
      <c r="Q341" s="9">
        <v>-69</v>
      </c>
      <c r="R341" s="9">
        <v>77</v>
      </c>
      <c r="S341" s="9">
        <v>8</v>
      </c>
      <c r="T341" s="9"/>
      <c r="U341" s="9"/>
      <c r="V341" s="9"/>
      <c r="W341" s="9"/>
      <c r="X341" s="9"/>
      <c r="Y341" s="9"/>
      <c r="Z341" s="9"/>
      <c r="AA341" s="9"/>
      <c r="AB341" s="9"/>
      <c r="AC341" s="9"/>
      <c r="AD341" s="9" t="s">
        <v>20</v>
      </c>
    </row>
    <row r="342" spans="1:30" ht="43.5">
      <c r="A342" s="3" t="s">
        <v>1384</v>
      </c>
      <c r="B342" s="3" t="s">
        <v>6037</v>
      </c>
      <c r="C342" s="3" t="s">
        <v>6036</v>
      </c>
      <c r="F342" t="s">
        <v>19</v>
      </c>
      <c r="G342" s="9" t="s">
        <v>25</v>
      </c>
      <c r="H342" s="9"/>
      <c r="I342" s="9">
        <v>1</v>
      </c>
      <c r="J342" s="9">
        <v>8</v>
      </c>
      <c r="K342" s="9" t="s">
        <v>12098</v>
      </c>
      <c r="L342" s="9" t="s">
        <v>12079</v>
      </c>
      <c r="M342" s="9"/>
      <c r="N342" s="10"/>
      <c r="O342" s="9"/>
      <c r="P342" s="9">
        <v>35</v>
      </c>
      <c r="Q342" s="9"/>
      <c r="R342" s="9" t="s">
        <v>12795</v>
      </c>
      <c r="S342" s="9" t="s">
        <v>12795</v>
      </c>
      <c r="T342" s="9"/>
      <c r="U342" s="9"/>
      <c r="V342" s="9"/>
      <c r="W342" s="9"/>
      <c r="X342" s="9"/>
      <c r="Y342" s="9"/>
      <c r="Z342" s="9"/>
      <c r="AA342" s="9"/>
      <c r="AB342" s="9"/>
      <c r="AC342" s="9"/>
      <c r="AD342" s="9" t="s">
        <v>20</v>
      </c>
    </row>
    <row r="343" spans="1:30" ht="43.5">
      <c r="A343" s="3" t="s">
        <v>1384</v>
      </c>
      <c r="B343" s="3" t="s">
        <v>6038</v>
      </c>
      <c r="C343" s="3" t="s">
        <v>6036</v>
      </c>
      <c r="F343" t="s">
        <v>19</v>
      </c>
      <c r="G343" s="9" t="s">
        <v>25</v>
      </c>
      <c r="H343" s="9"/>
      <c r="I343" s="9">
        <v>1</v>
      </c>
      <c r="J343" s="9">
        <v>5</v>
      </c>
      <c r="K343" s="9" t="s">
        <v>12094</v>
      </c>
      <c r="L343" s="9" t="s">
        <v>12079</v>
      </c>
      <c r="M343" s="9"/>
      <c r="N343" s="10"/>
      <c r="O343" s="9"/>
      <c r="P343" s="9">
        <v>4240</v>
      </c>
      <c r="Q343" s="9"/>
      <c r="R343" s="9" t="s">
        <v>12795</v>
      </c>
      <c r="S343" s="9" t="s">
        <v>12795</v>
      </c>
      <c r="T343" s="9"/>
      <c r="U343" s="9"/>
      <c r="V343" s="9"/>
      <c r="W343" s="9"/>
      <c r="X343" s="9"/>
      <c r="Y343" s="9"/>
      <c r="Z343" s="9"/>
      <c r="AA343" s="9"/>
      <c r="AB343" s="9"/>
      <c r="AC343" s="9"/>
      <c r="AD343" s="9" t="s">
        <v>20</v>
      </c>
    </row>
    <row r="344" spans="1:30" ht="43.5">
      <c r="A344" s="3" t="s">
        <v>1384</v>
      </c>
      <c r="B344" s="3" t="s">
        <v>6039</v>
      </c>
      <c r="C344" s="3" t="s">
        <v>6036</v>
      </c>
      <c r="F344" t="s">
        <v>19</v>
      </c>
      <c r="G344" s="9" t="s">
        <v>25</v>
      </c>
      <c r="H344" s="9"/>
      <c r="I344" s="9">
        <v>1</v>
      </c>
      <c r="J344" s="9">
        <v>6</v>
      </c>
      <c r="K344" s="9" t="s">
        <v>12084</v>
      </c>
      <c r="L344" s="9" t="s">
        <v>12079</v>
      </c>
      <c r="M344" s="9"/>
      <c r="N344" s="10"/>
      <c r="O344" s="9"/>
      <c r="P344" s="9">
        <v>32</v>
      </c>
      <c r="Q344" s="9"/>
      <c r="R344" s="9" t="s">
        <v>12795</v>
      </c>
      <c r="S344" s="9" t="s">
        <v>12795</v>
      </c>
      <c r="T344" s="9"/>
      <c r="U344" s="9"/>
      <c r="V344" s="9"/>
      <c r="W344" s="9"/>
      <c r="X344" s="9"/>
      <c r="Y344" s="9"/>
      <c r="Z344" s="9"/>
      <c r="AA344" s="9"/>
      <c r="AB344" s="9"/>
      <c r="AC344" s="9"/>
      <c r="AD344" s="9" t="s">
        <v>20</v>
      </c>
    </row>
    <row r="345" spans="1:30" ht="29">
      <c r="A345" s="3" t="s">
        <v>1387</v>
      </c>
      <c r="B345" s="3" t="s">
        <v>6041</v>
      </c>
      <c r="C345" s="3" t="s">
        <v>6042</v>
      </c>
      <c r="G345" s="9" t="s">
        <v>25</v>
      </c>
      <c r="H345" s="9"/>
      <c r="I345" s="9">
        <v>1</v>
      </c>
      <c r="J345" s="9">
        <v>3</v>
      </c>
      <c r="K345" s="9" t="s">
        <v>12078</v>
      </c>
      <c r="L345" s="9" t="s">
        <v>12079</v>
      </c>
      <c r="M345" s="9"/>
      <c r="N345" s="10"/>
      <c r="O345" s="9"/>
      <c r="P345" s="9">
        <v>11843</v>
      </c>
      <c r="Q345" s="9"/>
      <c r="R345" s="9" t="s">
        <v>12795</v>
      </c>
      <c r="S345" s="9" t="s">
        <v>12795</v>
      </c>
      <c r="T345" s="9"/>
      <c r="U345" s="9"/>
      <c r="V345" s="9"/>
      <c r="W345" s="9"/>
      <c r="X345" s="9"/>
      <c r="Y345" s="9"/>
      <c r="Z345" s="9"/>
      <c r="AA345" s="9"/>
      <c r="AB345" s="9"/>
      <c r="AC345" s="9"/>
      <c r="AD345" s="9" t="s">
        <v>19</v>
      </c>
    </row>
    <row r="346" spans="1:30" ht="29">
      <c r="A346" s="3" t="s">
        <v>1391</v>
      </c>
      <c r="B346" s="3" t="s">
        <v>12847</v>
      </c>
      <c r="C346" s="3" t="s">
        <v>6046</v>
      </c>
      <c r="G346" s="9" t="s">
        <v>25</v>
      </c>
      <c r="H346" s="9"/>
      <c r="I346" s="9">
        <v>1</v>
      </c>
      <c r="J346" s="9">
        <v>3</v>
      </c>
      <c r="K346" s="9" t="s">
        <v>12087</v>
      </c>
      <c r="L346" s="9" t="s">
        <v>12079</v>
      </c>
      <c r="M346" s="9"/>
      <c r="N346" s="10"/>
      <c r="O346" s="9"/>
      <c r="P346" s="9">
        <v>1942</v>
      </c>
      <c r="Q346" s="9"/>
      <c r="R346" s="9"/>
      <c r="S346" s="9"/>
      <c r="T346" s="9"/>
      <c r="U346" s="9"/>
      <c r="V346" s="9"/>
      <c r="W346" s="9"/>
      <c r="X346" s="9"/>
      <c r="Y346" s="9"/>
      <c r="Z346" s="9"/>
      <c r="AA346" s="9"/>
      <c r="AB346" s="9"/>
      <c r="AC346" s="9"/>
      <c r="AD346" s="9" t="s">
        <v>19</v>
      </c>
    </row>
    <row r="347" spans="1:30" ht="29">
      <c r="A347" s="3" t="s">
        <v>1391</v>
      </c>
      <c r="B347" s="3" t="s">
        <v>12848</v>
      </c>
      <c r="C347" s="3" t="s">
        <v>12849</v>
      </c>
      <c r="G347" s="9" t="s">
        <v>12120</v>
      </c>
      <c r="H347" s="9"/>
      <c r="I347" s="9"/>
      <c r="J347" s="9"/>
      <c r="K347" s="9"/>
      <c r="L347" s="9"/>
      <c r="M347" s="9"/>
      <c r="N347" s="10"/>
      <c r="O347" s="9"/>
      <c r="P347" s="9"/>
      <c r="Q347" s="9"/>
      <c r="R347" s="9"/>
      <c r="S347" s="9"/>
      <c r="T347" s="9"/>
      <c r="U347" s="9"/>
      <c r="V347" s="9"/>
      <c r="W347" s="9"/>
      <c r="X347" s="9"/>
      <c r="Y347" s="9"/>
      <c r="Z347" s="9"/>
      <c r="AA347" s="9"/>
      <c r="AB347" s="9"/>
      <c r="AC347" s="9"/>
      <c r="AD347" s="9" t="s">
        <v>19</v>
      </c>
    </row>
    <row r="348" spans="1:30" ht="29">
      <c r="A348" s="3" t="s">
        <v>1402</v>
      </c>
      <c r="B348" s="3" t="s">
        <v>6053</v>
      </c>
      <c r="C348" s="3" t="s">
        <v>6052</v>
      </c>
      <c r="G348" s="9" t="s">
        <v>24</v>
      </c>
      <c r="H348" s="9"/>
      <c r="I348" s="9">
        <v>1</v>
      </c>
      <c r="J348" s="9">
        <v>3</v>
      </c>
      <c r="K348" s="9" t="s">
        <v>12078</v>
      </c>
      <c r="L348" s="9" t="s">
        <v>12079</v>
      </c>
      <c r="M348" s="9"/>
      <c r="N348" s="10"/>
      <c r="O348" s="9"/>
      <c r="P348" s="9">
        <v>11843</v>
      </c>
      <c r="Q348" s="9"/>
      <c r="R348" s="9" t="s">
        <v>12795</v>
      </c>
      <c r="S348" s="9" t="s">
        <v>12795</v>
      </c>
      <c r="T348" s="9"/>
      <c r="U348" s="9"/>
      <c r="V348" s="9"/>
      <c r="W348" s="9"/>
      <c r="X348" s="9"/>
      <c r="Y348" s="9"/>
      <c r="Z348" s="9"/>
      <c r="AA348" s="9"/>
      <c r="AB348" s="9"/>
      <c r="AC348" s="9"/>
      <c r="AD348" s="9" t="s">
        <v>20</v>
      </c>
    </row>
    <row r="349" spans="1:30" ht="29">
      <c r="A349" s="3" t="s">
        <v>1402</v>
      </c>
      <c r="B349" s="3" t="s">
        <v>1405</v>
      </c>
      <c r="C349" s="3" t="s">
        <v>1406</v>
      </c>
      <c r="G349" s="9" t="s">
        <v>12118</v>
      </c>
      <c r="H349" s="9"/>
      <c r="I349" s="9"/>
      <c r="J349" s="9"/>
      <c r="K349" s="9"/>
      <c r="L349" s="9"/>
      <c r="M349" s="9"/>
      <c r="N349" s="10"/>
      <c r="O349" s="9"/>
      <c r="P349" s="9"/>
      <c r="Q349" s="9">
        <v>-2</v>
      </c>
      <c r="R349" s="9">
        <v>2</v>
      </c>
      <c r="S349" s="9">
        <v>0</v>
      </c>
      <c r="T349" s="9"/>
      <c r="U349" s="9"/>
      <c r="V349" s="9"/>
      <c r="W349" s="9"/>
      <c r="X349" s="9"/>
      <c r="Y349" s="9"/>
      <c r="Z349" s="9"/>
      <c r="AA349" s="9"/>
      <c r="AB349" s="9"/>
      <c r="AC349" s="9"/>
      <c r="AD349" s="9" t="s">
        <v>19</v>
      </c>
    </row>
    <row r="350" spans="1:30" ht="29">
      <c r="A350" s="3" t="s">
        <v>1409</v>
      </c>
      <c r="B350" s="3" t="s">
        <v>6058</v>
      </c>
      <c r="C350" s="3" t="s">
        <v>6057</v>
      </c>
      <c r="G350" s="9" t="s">
        <v>12118</v>
      </c>
      <c r="H350" s="9"/>
      <c r="I350" s="9"/>
      <c r="J350" s="9"/>
      <c r="K350" s="9"/>
      <c r="L350" s="9"/>
      <c r="M350" s="9"/>
      <c r="N350" s="10"/>
      <c r="O350" s="9"/>
      <c r="P350" s="9"/>
      <c r="Q350" s="9">
        <v>-25</v>
      </c>
      <c r="R350" s="9">
        <v>27</v>
      </c>
      <c r="S350" s="9">
        <v>2</v>
      </c>
      <c r="T350" s="9"/>
      <c r="U350" s="9"/>
      <c r="V350" s="9"/>
      <c r="W350" s="9"/>
      <c r="X350" s="9"/>
      <c r="Y350" s="9"/>
      <c r="Z350" s="9"/>
      <c r="AA350" s="9"/>
      <c r="AB350" s="9"/>
      <c r="AC350" s="9"/>
      <c r="AD350" s="9" t="s">
        <v>20</v>
      </c>
    </row>
    <row r="351" spans="1:30" ht="29">
      <c r="A351" s="3" t="s">
        <v>1409</v>
      </c>
      <c r="B351" s="3" t="s">
        <v>6056</v>
      </c>
      <c r="C351" s="3" t="s">
        <v>6059</v>
      </c>
      <c r="G351" s="9" t="s">
        <v>24</v>
      </c>
      <c r="H351" s="9"/>
      <c r="I351" s="9">
        <v>1</v>
      </c>
      <c r="J351" s="9">
        <v>4</v>
      </c>
      <c r="K351" s="9" t="s">
        <v>12094</v>
      </c>
      <c r="L351" s="9" t="s">
        <v>12079</v>
      </c>
      <c r="M351" s="9"/>
      <c r="N351" s="10"/>
      <c r="O351" s="9"/>
      <c r="P351" s="9">
        <v>4240</v>
      </c>
      <c r="Q351" s="9"/>
      <c r="R351" s="9" t="s">
        <v>12795</v>
      </c>
      <c r="S351" s="9" t="s">
        <v>12795</v>
      </c>
      <c r="T351" s="9"/>
      <c r="U351" s="9"/>
      <c r="V351" s="9"/>
      <c r="W351" s="9"/>
      <c r="X351" s="9"/>
      <c r="Y351" s="9"/>
      <c r="Z351" s="9"/>
      <c r="AA351" s="9"/>
      <c r="AB351" s="9"/>
      <c r="AC351" s="9"/>
      <c r="AD351" s="9" t="s">
        <v>19</v>
      </c>
    </row>
    <row r="352" spans="1:30" ht="43.5">
      <c r="A352" s="3" t="s">
        <v>1412</v>
      </c>
      <c r="B352" s="3" t="s">
        <v>6062</v>
      </c>
      <c r="C352" s="3" t="s">
        <v>6063</v>
      </c>
      <c r="G352" s="9" t="s">
        <v>26</v>
      </c>
      <c r="H352" s="9"/>
      <c r="I352" s="9"/>
      <c r="J352" s="9"/>
      <c r="K352" s="9"/>
      <c r="L352" s="9"/>
      <c r="M352" s="9"/>
      <c r="N352" s="10"/>
      <c r="O352" s="9"/>
      <c r="P352" s="9"/>
      <c r="Q352" s="9"/>
      <c r="R352" s="9" t="s">
        <v>12795</v>
      </c>
      <c r="S352" s="9" t="s">
        <v>12795</v>
      </c>
      <c r="T352" s="9"/>
      <c r="U352" s="9"/>
      <c r="V352" s="9"/>
      <c r="W352" s="9"/>
      <c r="X352" s="9"/>
      <c r="Y352" s="9"/>
      <c r="Z352" s="9"/>
      <c r="AA352" s="9"/>
      <c r="AB352" s="9"/>
      <c r="AC352" s="9"/>
      <c r="AD352" s="9" t="s">
        <v>20</v>
      </c>
    </row>
    <row r="353" spans="1:30" ht="58">
      <c r="A353" s="3" t="s">
        <v>1412</v>
      </c>
      <c r="B353" s="3" t="s">
        <v>6064</v>
      </c>
      <c r="C353" s="3" t="s">
        <v>6065</v>
      </c>
      <c r="G353" s="9" t="s">
        <v>12121</v>
      </c>
      <c r="H353" s="9"/>
      <c r="I353" s="9"/>
      <c r="J353" s="9"/>
      <c r="K353" s="9"/>
      <c r="L353" s="9"/>
      <c r="M353" s="9"/>
      <c r="N353" s="10"/>
      <c r="O353" s="9"/>
      <c r="P353" s="9"/>
      <c r="Q353" s="9">
        <v>-6</v>
      </c>
      <c r="R353" s="9">
        <v>15</v>
      </c>
      <c r="S353" s="9">
        <v>9</v>
      </c>
      <c r="T353" s="9"/>
      <c r="U353" s="9"/>
      <c r="V353" s="9"/>
      <c r="W353" s="9"/>
      <c r="X353" s="9"/>
      <c r="Y353" s="9"/>
      <c r="Z353" s="9"/>
      <c r="AA353" s="9"/>
      <c r="AB353" s="9"/>
      <c r="AC353" s="9"/>
      <c r="AD353" s="9" t="s">
        <v>19</v>
      </c>
    </row>
    <row r="354" spans="1:30">
      <c r="A354" s="3" t="s">
        <v>1412</v>
      </c>
      <c r="B354" s="3" t="s">
        <v>6067</v>
      </c>
      <c r="C354" s="3" t="s">
        <v>6068</v>
      </c>
      <c r="G354" s="9" t="s">
        <v>24</v>
      </c>
      <c r="H354" s="9"/>
      <c r="I354" s="9">
        <v>1</v>
      </c>
      <c r="J354" s="9">
        <v>3</v>
      </c>
      <c r="K354" s="9" t="s">
        <v>12072</v>
      </c>
      <c r="L354" s="9" t="s">
        <v>12079</v>
      </c>
      <c r="M354" s="9"/>
      <c r="N354" s="10"/>
      <c r="O354" s="9"/>
      <c r="P354" s="9">
        <v>214</v>
      </c>
      <c r="Q354" s="9"/>
      <c r="R354" s="9" t="s">
        <v>12795</v>
      </c>
      <c r="S354" s="9" t="s">
        <v>12795</v>
      </c>
      <c r="T354" s="9"/>
      <c r="U354" s="9"/>
      <c r="V354" s="9"/>
      <c r="W354" s="9"/>
      <c r="X354" s="9"/>
      <c r="Y354" s="9"/>
      <c r="Z354" s="9"/>
      <c r="AA354" s="9"/>
      <c r="AB354" s="9"/>
      <c r="AC354" s="9"/>
      <c r="AD354" s="9" t="s">
        <v>19</v>
      </c>
    </row>
    <row r="355" spans="1:30" ht="87">
      <c r="A355" s="3" t="s">
        <v>1413</v>
      </c>
      <c r="B355" s="3" t="s">
        <v>6070</v>
      </c>
      <c r="C355" s="3" t="s">
        <v>6071</v>
      </c>
      <c r="G355" s="9" t="s">
        <v>26</v>
      </c>
      <c r="H355" s="9"/>
      <c r="I355" s="9"/>
      <c r="J355" s="9"/>
      <c r="K355" s="9"/>
      <c r="L355" s="9"/>
      <c r="M355" s="9"/>
      <c r="N355" s="10"/>
      <c r="O355" s="9"/>
      <c r="P355" s="9"/>
      <c r="Q355" s="9"/>
      <c r="R355" s="9" t="s">
        <v>12795</v>
      </c>
      <c r="S355" s="9" t="s">
        <v>12795</v>
      </c>
      <c r="T355" s="9"/>
      <c r="U355" s="9"/>
      <c r="V355" s="9"/>
      <c r="W355" s="9"/>
      <c r="X355" s="9"/>
      <c r="Y355" s="9"/>
      <c r="Z355" s="9"/>
      <c r="AA355" s="9"/>
      <c r="AB355" s="9"/>
      <c r="AC355" s="9"/>
      <c r="AD355" s="9" t="s">
        <v>20</v>
      </c>
    </row>
    <row r="356" spans="1:30" ht="29">
      <c r="A356" s="3" t="s">
        <v>1417</v>
      </c>
      <c r="B356" s="3" t="s">
        <v>6072</v>
      </c>
      <c r="C356" s="3" t="s">
        <v>6073</v>
      </c>
      <c r="G356" s="9" t="s">
        <v>12118</v>
      </c>
      <c r="H356" s="9"/>
      <c r="I356" s="9"/>
      <c r="J356" s="9"/>
      <c r="K356" s="9"/>
      <c r="L356" s="9"/>
      <c r="M356" s="9"/>
      <c r="N356" s="10"/>
      <c r="O356" s="9"/>
      <c r="P356" s="9"/>
      <c r="Q356" s="9">
        <v>-6</v>
      </c>
      <c r="R356" s="9">
        <v>16</v>
      </c>
      <c r="S356" s="9">
        <v>10</v>
      </c>
      <c r="T356" s="9"/>
      <c r="U356" s="9"/>
      <c r="V356" s="9"/>
      <c r="W356" s="9"/>
      <c r="X356" s="9"/>
      <c r="Y356" s="9"/>
      <c r="Z356" s="9"/>
      <c r="AA356" s="9"/>
      <c r="AB356" s="9"/>
      <c r="AC356" s="9"/>
      <c r="AD356" s="9" t="s">
        <v>20</v>
      </c>
    </row>
    <row r="357" spans="1:30" ht="29">
      <c r="A357" s="3" t="s">
        <v>1417</v>
      </c>
      <c r="B357" s="3" t="s">
        <v>6074</v>
      </c>
      <c r="C357" s="3" t="s">
        <v>6075</v>
      </c>
      <c r="G357" s="9" t="s">
        <v>26</v>
      </c>
      <c r="H357" s="9"/>
      <c r="I357" s="9"/>
      <c r="J357" s="9"/>
      <c r="K357" s="9"/>
      <c r="L357" s="9"/>
      <c r="M357" s="9"/>
      <c r="N357" s="10"/>
      <c r="O357" s="9"/>
      <c r="P357" s="9"/>
      <c r="Q357" s="9"/>
      <c r="R357" s="9" t="s">
        <v>12795</v>
      </c>
      <c r="S357" s="9" t="s">
        <v>12795</v>
      </c>
      <c r="T357" s="9"/>
      <c r="U357" s="9"/>
      <c r="V357" s="9"/>
      <c r="W357" s="9"/>
      <c r="X357" s="9"/>
      <c r="Y357" s="9"/>
      <c r="Z357" s="9"/>
      <c r="AA357" s="9"/>
      <c r="AB357" s="9"/>
      <c r="AC357" s="9"/>
      <c r="AD357" s="9" t="s">
        <v>19</v>
      </c>
    </row>
    <row r="358" spans="1:30" ht="29">
      <c r="A358" s="3" t="s">
        <v>1419</v>
      </c>
      <c r="B358" s="3" t="s">
        <v>6078</v>
      </c>
      <c r="C358" s="3" t="s">
        <v>6079</v>
      </c>
      <c r="G358" s="9" t="s">
        <v>25</v>
      </c>
      <c r="H358" s="9"/>
      <c r="I358" s="9">
        <v>1</v>
      </c>
      <c r="J358" s="9">
        <v>6</v>
      </c>
      <c r="K358" s="9" t="s">
        <v>12094</v>
      </c>
      <c r="L358" s="9" t="s">
        <v>12079</v>
      </c>
      <c r="M358" s="9"/>
      <c r="N358" s="10"/>
      <c r="O358" s="9"/>
      <c r="P358" s="9">
        <v>4240</v>
      </c>
      <c r="Q358" s="9"/>
      <c r="R358" s="9" t="s">
        <v>12795</v>
      </c>
      <c r="S358" s="9" t="s">
        <v>12795</v>
      </c>
      <c r="T358" s="9"/>
      <c r="U358" s="9"/>
      <c r="V358" s="9"/>
      <c r="W358" s="9"/>
      <c r="X358" s="9"/>
      <c r="Y358" s="9"/>
      <c r="Z358" s="9"/>
      <c r="AA358" s="9"/>
      <c r="AB358" s="9"/>
      <c r="AC358" s="9"/>
      <c r="AD358" s="9" t="s">
        <v>20</v>
      </c>
    </row>
    <row r="359" spans="1:30" ht="29">
      <c r="A359" s="3" t="s">
        <v>1420</v>
      </c>
      <c r="B359" s="3" t="s">
        <v>6080</v>
      </c>
      <c r="C359" s="3" t="s">
        <v>6081</v>
      </c>
      <c r="G359" s="9" t="s">
        <v>25</v>
      </c>
      <c r="H359" s="9"/>
      <c r="I359" s="9">
        <v>1</v>
      </c>
      <c r="J359" s="9">
        <v>2</v>
      </c>
      <c r="K359" s="9" t="s">
        <v>12078</v>
      </c>
      <c r="L359" s="9" t="s">
        <v>12119</v>
      </c>
      <c r="M359" s="9"/>
      <c r="N359" s="10"/>
      <c r="O359" s="9" t="s">
        <v>12074</v>
      </c>
      <c r="P359" s="9">
        <v>11843</v>
      </c>
      <c r="Q359" s="9"/>
      <c r="R359" s="9" t="s">
        <v>12795</v>
      </c>
      <c r="S359" s="9" t="s">
        <v>12795</v>
      </c>
      <c r="T359" s="9"/>
      <c r="U359" s="9"/>
      <c r="V359" s="9"/>
      <c r="W359" s="9"/>
      <c r="X359" s="9"/>
      <c r="Y359" s="9"/>
      <c r="Z359" s="9"/>
      <c r="AA359" s="9"/>
      <c r="AB359" s="9"/>
      <c r="AC359" s="9"/>
      <c r="AD359" s="9" t="s">
        <v>19</v>
      </c>
    </row>
    <row r="360" spans="1:30" ht="29">
      <c r="A360" s="3" t="s">
        <v>1421</v>
      </c>
      <c r="B360" s="3" t="s">
        <v>6082</v>
      </c>
      <c r="C360" s="3" t="s">
        <v>6083</v>
      </c>
      <c r="G360" s="9" t="s">
        <v>25</v>
      </c>
      <c r="H360" s="9"/>
      <c r="I360" s="9">
        <v>1</v>
      </c>
      <c r="J360" s="9">
        <v>3</v>
      </c>
      <c r="K360" s="9" t="s">
        <v>12078</v>
      </c>
      <c r="L360" s="9" t="s">
        <v>12073</v>
      </c>
      <c r="M360" s="9" t="s">
        <v>12149</v>
      </c>
      <c r="N360" s="10" t="s">
        <v>12143</v>
      </c>
      <c r="O360" s="9"/>
      <c r="P360" s="9">
        <v>11843</v>
      </c>
      <c r="Q360" s="9"/>
      <c r="R360" s="9" t="s">
        <v>12795</v>
      </c>
      <c r="S360" s="9" t="s">
        <v>12795</v>
      </c>
      <c r="T360" s="9"/>
      <c r="U360" s="9"/>
      <c r="V360" s="9"/>
      <c r="W360" s="9"/>
      <c r="X360" s="9"/>
      <c r="Y360" s="9"/>
      <c r="Z360" s="9"/>
      <c r="AA360" s="9"/>
      <c r="AB360" s="9"/>
      <c r="AC360" s="9"/>
      <c r="AD360" s="9" t="s">
        <v>20</v>
      </c>
    </row>
    <row r="361" spans="1:30" ht="29">
      <c r="A361" s="3" t="s">
        <v>1421</v>
      </c>
      <c r="B361" s="3" t="s">
        <v>6084</v>
      </c>
      <c r="C361" s="3" t="s">
        <v>6085</v>
      </c>
      <c r="G361" s="9" t="s">
        <v>25</v>
      </c>
      <c r="H361" s="9"/>
      <c r="I361" s="9">
        <v>1</v>
      </c>
      <c r="J361" s="9">
        <v>3</v>
      </c>
      <c r="K361" s="9" t="s">
        <v>12078</v>
      </c>
      <c r="L361" s="9" t="s">
        <v>12073</v>
      </c>
      <c r="M361" s="9" t="s">
        <v>12149</v>
      </c>
      <c r="N361" s="10" t="s">
        <v>12143</v>
      </c>
      <c r="O361" s="9"/>
      <c r="P361" s="9">
        <v>11843</v>
      </c>
      <c r="Q361" s="9"/>
      <c r="R361" s="9" t="s">
        <v>12795</v>
      </c>
      <c r="S361" s="9" t="s">
        <v>12795</v>
      </c>
      <c r="T361" s="9"/>
      <c r="U361" s="9"/>
      <c r="V361" s="9"/>
      <c r="W361" s="9"/>
      <c r="X361" s="9"/>
      <c r="Y361" s="9"/>
      <c r="Z361" s="9"/>
      <c r="AA361" s="9"/>
      <c r="AB361" s="9"/>
      <c r="AC361" s="9"/>
      <c r="AD361" s="9" t="s">
        <v>20</v>
      </c>
    </row>
    <row r="362" spans="1:30" ht="29">
      <c r="A362" s="3" t="s">
        <v>1423</v>
      </c>
      <c r="B362" s="3" t="s">
        <v>1426</v>
      </c>
      <c r="C362" s="3" t="s">
        <v>1427</v>
      </c>
      <c r="G362" s="9" t="s">
        <v>12118</v>
      </c>
      <c r="H362" s="9"/>
      <c r="I362" s="9"/>
      <c r="J362" s="9"/>
      <c r="K362" s="9"/>
      <c r="L362" s="9"/>
      <c r="M362" s="9"/>
      <c r="N362" s="10"/>
      <c r="O362" s="9"/>
      <c r="P362" s="9"/>
      <c r="Q362" s="9">
        <v>0</v>
      </c>
      <c r="R362" s="9">
        <v>0</v>
      </c>
      <c r="S362" s="9">
        <v>0</v>
      </c>
      <c r="T362" s="9"/>
      <c r="U362" s="9"/>
      <c r="V362" s="9"/>
      <c r="W362" s="9"/>
      <c r="X362" s="9"/>
      <c r="Y362" s="9"/>
      <c r="Z362" s="9"/>
      <c r="AA362" s="9"/>
      <c r="AB362" s="9"/>
      <c r="AC362" s="9"/>
      <c r="AD362" s="9" t="s">
        <v>20</v>
      </c>
    </row>
    <row r="363" spans="1:30" ht="29">
      <c r="A363" s="3" t="s">
        <v>1428</v>
      </c>
      <c r="B363" s="3" t="s">
        <v>1429</v>
      </c>
      <c r="C363" s="3" t="s">
        <v>307</v>
      </c>
      <c r="G363" s="9" t="s">
        <v>12120</v>
      </c>
      <c r="H363" s="9"/>
      <c r="I363" s="9"/>
      <c r="J363" s="9"/>
      <c r="K363" s="9"/>
      <c r="L363" s="9"/>
      <c r="M363" s="9"/>
      <c r="N363" s="10"/>
      <c r="O363" s="9"/>
      <c r="P363" s="9"/>
      <c r="Q363" s="9"/>
      <c r="R363" s="9" t="s">
        <v>12795</v>
      </c>
      <c r="S363" s="9" t="s">
        <v>12795</v>
      </c>
      <c r="T363" s="9"/>
      <c r="U363" s="9"/>
      <c r="V363" s="9"/>
      <c r="W363" s="9"/>
      <c r="X363" s="9"/>
      <c r="Y363" s="9"/>
      <c r="Z363" s="9"/>
      <c r="AA363" s="9"/>
      <c r="AB363" s="9"/>
      <c r="AC363" s="9"/>
      <c r="AD363" s="9" t="s">
        <v>19</v>
      </c>
    </row>
    <row r="364" spans="1:30" ht="29">
      <c r="A364" s="3" t="s">
        <v>1432</v>
      </c>
      <c r="B364" s="3" t="s">
        <v>6088</v>
      </c>
      <c r="C364" s="3" t="s">
        <v>6089</v>
      </c>
      <c r="G364" s="9" t="s">
        <v>24</v>
      </c>
      <c r="H364" s="9"/>
      <c r="I364" s="9">
        <v>1</v>
      </c>
      <c r="J364" s="9">
        <v>3</v>
      </c>
      <c r="K364" s="9" t="s">
        <v>12078</v>
      </c>
      <c r="L364" s="9" t="s">
        <v>12073</v>
      </c>
      <c r="M364" s="9" t="s">
        <v>12142</v>
      </c>
      <c r="N364" s="10" t="s">
        <v>12143</v>
      </c>
      <c r="O364" s="9" t="s">
        <v>12074</v>
      </c>
      <c r="P364" s="9">
        <v>11843</v>
      </c>
      <c r="Q364" s="9"/>
      <c r="R364" s="9" t="s">
        <v>12795</v>
      </c>
      <c r="S364" s="9" t="s">
        <v>12795</v>
      </c>
      <c r="T364" s="9"/>
      <c r="U364" s="9"/>
      <c r="V364" s="9"/>
      <c r="W364" s="9"/>
      <c r="X364" s="9"/>
      <c r="Y364" s="9"/>
      <c r="Z364" s="9"/>
      <c r="AA364" s="9"/>
      <c r="AB364" s="9"/>
      <c r="AC364" s="9"/>
      <c r="AD364" s="9" t="s">
        <v>20</v>
      </c>
    </row>
    <row r="365" spans="1:30" ht="43.5">
      <c r="A365" s="3" t="s">
        <v>1432</v>
      </c>
      <c r="B365" s="3" t="s">
        <v>6090</v>
      </c>
      <c r="C365" s="3" t="s">
        <v>6091</v>
      </c>
      <c r="G365" s="9" t="s">
        <v>25</v>
      </c>
      <c r="H365" s="9"/>
      <c r="I365" s="9">
        <v>6</v>
      </c>
      <c r="J365" s="9">
        <v>26</v>
      </c>
      <c r="K365" s="9"/>
      <c r="L365" s="9" t="s">
        <v>12079</v>
      </c>
      <c r="M365" s="9"/>
      <c r="N365" s="10"/>
      <c r="O365" s="9"/>
      <c r="P365" s="9">
        <v>265</v>
      </c>
      <c r="Q365" s="9"/>
      <c r="R365" s="9" t="s">
        <v>12795</v>
      </c>
      <c r="S365" s="9" t="s">
        <v>12795</v>
      </c>
      <c r="T365" s="9"/>
      <c r="U365" s="9"/>
      <c r="V365" s="9"/>
      <c r="W365" s="9"/>
      <c r="X365" s="9"/>
      <c r="Y365" s="9"/>
      <c r="Z365" s="9"/>
      <c r="AA365" s="9"/>
      <c r="AB365" s="9"/>
      <c r="AC365" s="9"/>
      <c r="AD365" s="9" t="s">
        <v>19</v>
      </c>
    </row>
    <row r="366" spans="1:30" ht="29">
      <c r="A366" s="3" t="s">
        <v>1433</v>
      </c>
      <c r="B366" s="3" t="s">
        <v>6092</v>
      </c>
      <c r="C366" s="3" t="s">
        <v>6093</v>
      </c>
      <c r="G366" s="9" t="s">
        <v>12120</v>
      </c>
      <c r="H366" s="9"/>
      <c r="I366" s="9"/>
      <c r="J366" s="9"/>
      <c r="K366" s="9"/>
      <c r="L366" s="9"/>
      <c r="M366" s="9"/>
      <c r="N366" s="10"/>
      <c r="O366" s="9"/>
      <c r="P366" s="9"/>
      <c r="Q366" s="9"/>
      <c r="R366" s="9" t="s">
        <v>12795</v>
      </c>
      <c r="S366" s="9" t="s">
        <v>12795</v>
      </c>
      <c r="T366" s="9"/>
      <c r="U366" s="9"/>
      <c r="V366" s="9"/>
      <c r="W366" s="9"/>
      <c r="X366" s="9"/>
      <c r="Y366" s="9"/>
      <c r="Z366" s="9"/>
      <c r="AA366" s="9"/>
      <c r="AB366" s="9"/>
      <c r="AC366" s="9"/>
      <c r="AD366" s="9" t="s">
        <v>19</v>
      </c>
    </row>
    <row r="367" spans="1:30" ht="29">
      <c r="A367" s="3" t="s">
        <v>1434</v>
      </c>
      <c r="B367" s="3" t="s">
        <v>6094</v>
      </c>
      <c r="C367" s="3" t="s">
        <v>6095</v>
      </c>
      <c r="E367" t="s">
        <v>20</v>
      </c>
      <c r="G367" s="9" t="s">
        <v>26</v>
      </c>
      <c r="H367" s="9"/>
      <c r="I367" s="9"/>
      <c r="J367" s="9"/>
      <c r="K367" s="9"/>
      <c r="L367" s="9"/>
      <c r="M367" s="9"/>
      <c r="N367" s="10"/>
      <c r="O367" s="9"/>
      <c r="P367" s="9"/>
      <c r="Q367" s="9"/>
      <c r="R367" s="9" t="s">
        <v>12795</v>
      </c>
      <c r="S367" s="9" t="s">
        <v>12795</v>
      </c>
      <c r="T367" s="9" t="s">
        <v>4</v>
      </c>
      <c r="U367" s="9"/>
      <c r="V367" s="9"/>
      <c r="W367" s="9"/>
      <c r="X367" s="9"/>
      <c r="Y367" s="9"/>
      <c r="Z367" s="9"/>
      <c r="AA367" s="9"/>
      <c r="AB367" s="9"/>
      <c r="AC367" s="9"/>
      <c r="AD367" s="9" t="s">
        <v>20</v>
      </c>
    </row>
    <row r="368" spans="1:30" ht="29">
      <c r="A368" s="3" t="s">
        <v>1434</v>
      </c>
      <c r="B368" s="3" t="s">
        <v>6096</v>
      </c>
      <c r="C368" s="3" t="s">
        <v>6097</v>
      </c>
      <c r="G368" s="9" t="s">
        <v>12118</v>
      </c>
      <c r="H368" s="9"/>
      <c r="I368" s="9"/>
      <c r="J368" s="9"/>
      <c r="K368" s="9"/>
      <c r="L368" s="9"/>
      <c r="M368" s="9"/>
      <c r="N368" s="10"/>
      <c r="O368" s="9"/>
      <c r="P368" s="9"/>
      <c r="Q368" s="9">
        <v>-4</v>
      </c>
      <c r="R368" s="9">
        <v>11</v>
      </c>
      <c r="S368" s="9">
        <v>7</v>
      </c>
      <c r="T368" s="9" t="s">
        <v>4</v>
      </c>
      <c r="U368" s="9"/>
      <c r="V368" s="9"/>
      <c r="W368" s="9"/>
      <c r="X368" s="9"/>
      <c r="Y368" s="9"/>
      <c r="Z368" s="9"/>
      <c r="AA368" s="9"/>
      <c r="AB368" s="9"/>
      <c r="AC368" s="9"/>
      <c r="AD368" s="9" t="s">
        <v>20</v>
      </c>
    </row>
    <row r="369" spans="1:30" ht="43.5">
      <c r="A369" s="3" t="s">
        <v>1435</v>
      </c>
      <c r="B369" s="3" t="s">
        <v>6099</v>
      </c>
      <c r="C369" s="3" t="s">
        <v>6098</v>
      </c>
      <c r="G369" s="9" t="s">
        <v>25</v>
      </c>
      <c r="H369" s="9"/>
      <c r="I369" s="9">
        <v>1</v>
      </c>
      <c r="J369" s="9">
        <v>2</v>
      </c>
      <c r="K369" s="9" t="s">
        <v>12096</v>
      </c>
      <c r="L369" s="9" t="s">
        <v>12119</v>
      </c>
      <c r="M369" s="9"/>
      <c r="N369" s="10"/>
      <c r="O369" s="9"/>
      <c r="P369" s="9">
        <v>1294</v>
      </c>
      <c r="Q369" s="9"/>
      <c r="R369" s="9" t="s">
        <v>12795</v>
      </c>
      <c r="S369" s="9" t="s">
        <v>12795</v>
      </c>
      <c r="T369" s="9"/>
      <c r="U369" s="9"/>
      <c r="V369" s="9"/>
      <c r="W369" s="9"/>
      <c r="X369" s="9"/>
      <c r="Y369" s="9"/>
      <c r="Z369" s="9"/>
      <c r="AA369" s="9"/>
      <c r="AB369" s="9"/>
      <c r="AC369" s="9"/>
      <c r="AD369" s="9" t="s">
        <v>19</v>
      </c>
    </row>
    <row r="370" spans="1:30" ht="43.5">
      <c r="A370" s="3" t="s">
        <v>1435</v>
      </c>
      <c r="B370" s="3" t="s">
        <v>6100</v>
      </c>
      <c r="C370" s="3" t="s">
        <v>6098</v>
      </c>
      <c r="G370" s="9" t="s">
        <v>25</v>
      </c>
      <c r="H370" s="9"/>
      <c r="I370" s="9">
        <v>1</v>
      </c>
      <c r="J370" s="9">
        <v>2</v>
      </c>
      <c r="K370" s="9" t="s">
        <v>12094</v>
      </c>
      <c r="L370" s="9" t="s">
        <v>12119</v>
      </c>
      <c r="M370" s="9"/>
      <c r="N370" s="10"/>
      <c r="O370" s="9"/>
      <c r="P370" s="9">
        <v>301</v>
      </c>
      <c r="Q370" s="9"/>
      <c r="R370" s="9" t="s">
        <v>12795</v>
      </c>
      <c r="S370" s="9" t="s">
        <v>12795</v>
      </c>
      <c r="T370" s="9"/>
      <c r="U370" s="9"/>
      <c r="V370" s="9"/>
      <c r="W370" s="9"/>
      <c r="X370" s="9"/>
      <c r="Y370" s="9"/>
      <c r="Z370" s="9"/>
      <c r="AA370" s="9"/>
      <c r="AB370" s="9"/>
      <c r="AC370" s="9"/>
      <c r="AD370" s="9" t="s">
        <v>19</v>
      </c>
    </row>
    <row r="371" spans="1:30" ht="43.5">
      <c r="A371" s="3" t="s">
        <v>1435</v>
      </c>
      <c r="B371" s="3" t="s">
        <v>6101</v>
      </c>
      <c r="C371" s="3" t="s">
        <v>6102</v>
      </c>
      <c r="G371" s="9" t="s">
        <v>12118</v>
      </c>
      <c r="H371" s="9"/>
      <c r="I371" s="9"/>
      <c r="J371" s="9"/>
      <c r="K371" s="9"/>
      <c r="L371" s="9"/>
      <c r="M371" s="9"/>
      <c r="N371" s="10"/>
      <c r="O371" s="9"/>
      <c r="P371" s="9"/>
      <c r="Q371" s="9">
        <v>-38</v>
      </c>
      <c r="R371" s="9">
        <v>42</v>
      </c>
      <c r="S371" s="9">
        <v>4</v>
      </c>
      <c r="T371" s="9"/>
      <c r="U371" s="9"/>
      <c r="V371" s="9"/>
      <c r="W371" s="9"/>
      <c r="X371" s="9"/>
      <c r="Y371" s="9"/>
      <c r="Z371" s="9"/>
      <c r="AA371" s="9"/>
      <c r="AB371" s="9"/>
      <c r="AC371" s="9"/>
      <c r="AD371" s="9" t="s">
        <v>19</v>
      </c>
    </row>
    <row r="372" spans="1:30" ht="29">
      <c r="A372" s="3" t="s">
        <v>1437</v>
      </c>
      <c r="B372" s="3" t="s">
        <v>6108</v>
      </c>
      <c r="C372" s="3" t="s">
        <v>6109</v>
      </c>
      <c r="G372" s="9" t="s">
        <v>12118</v>
      </c>
      <c r="H372" s="9"/>
      <c r="I372" s="9"/>
      <c r="J372" s="9"/>
      <c r="K372" s="9"/>
      <c r="L372" s="9"/>
      <c r="M372" s="9"/>
      <c r="N372" s="10"/>
      <c r="O372" s="9"/>
      <c r="P372" s="9"/>
      <c r="Q372" s="9">
        <v>-22</v>
      </c>
      <c r="R372" s="9">
        <v>32</v>
      </c>
      <c r="S372" s="9">
        <v>10</v>
      </c>
      <c r="T372" s="9"/>
      <c r="U372" s="9"/>
      <c r="V372" s="9"/>
      <c r="W372" s="9"/>
      <c r="X372" s="9"/>
      <c r="Y372" s="9"/>
      <c r="Z372" s="9"/>
      <c r="AA372" s="9"/>
      <c r="AB372" s="9"/>
      <c r="AC372" s="9"/>
      <c r="AD372" s="9" t="s">
        <v>19</v>
      </c>
    </row>
    <row r="373" spans="1:30" ht="29">
      <c r="A373" s="3" t="s">
        <v>1438</v>
      </c>
      <c r="B373" s="3" t="s">
        <v>6110</v>
      </c>
      <c r="C373" s="3" t="s">
        <v>6111</v>
      </c>
      <c r="G373" s="9" t="s">
        <v>24</v>
      </c>
      <c r="H373" s="9"/>
      <c r="I373" s="9">
        <v>1</v>
      </c>
      <c r="J373" s="9">
        <v>6</v>
      </c>
      <c r="K373" s="9" t="s">
        <v>12084</v>
      </c>
      <c r="L373" s="9" t="s">
        <v>12079</v>
      </c>
      <c r="M373" s="9"/>
      <c r="N373" s="10"/>
      <c r="O373" s="9"/>
      <c r="P373" s="9">
        <v>32</v>
      </c>
      <c r="Q373" s="9"/>
      <c r="R373" s="9" t="s">
        <v>12795</v>
      </c>
      <c r="S373" s="9" t="s">
        <v>12795</v>
      </c>
      <c r="T373" s="9"/>
      <c r="U373" s="9"/>
      <c r="V373" s="9"/>
      <c r="W373" s="9"/>
      <c r="X373" s="9"/>
      <c r="Y373" s="9"/>
      <c r="Z373" s="9"/>
      <c r="AA373" s="9"/>
      <c r="AB373" s="9"/>
      <c r="AC373" s="9"/>
      <c r="AD373" s="9" t="s">
        <v>19</v>
      </c>
    </row>
    <row r="374" spans="1:30" ht="29">
      <c r="A374" s="3" t="s">
        <v>1440</v>
      </c>
      <c r="B374" s="3" t="s">
        <v>12230</v>
      </c>
      <c r="C374" s="3" t="s">
        <v>12231</v>
      </c>
      <c r="G374" s="9" t="s">
        <v>12118</v>
      </c>
      <c r="H374" s="9"/>
      <c r="I374" s="9"/>
      <c r="J374" s="9"/>
      <c r="K374" s="9"/>
      <c r="L374" s="9"/>
      <c r="M374" s="9"/>
      <c r="N374" s="10"/>
      <c r="O374" s="9"/>
      <c r="P374" s="9"/>
      <c r="Q374" s="9">
        <v>-143</v>
      </c>
      <c r="R374" s="9">
        <v>171</v>
      </c>
      <c r="S374" s="9">
        <v>28</v>
      </c>
      <c r="T374" s="9"/>
      <c r="U374" s="9"/>
      <c r="V374" s="9"/>
      <c r="W374" s="9"/>
      <c r="X374" s="9"/>
      <c r="Y374" s="9"/>
      <c r="Z374" s="9"/>
      <c r="AA374" s="9"/>
      <c r="AB374" s="9"/>
      <c r="AC374" s="9"/>
      <c r="AD374" s="9" t="s">
        <v>19</v>
      </c>
    </row>
    <row r="375" spans="1:30" ht="58">
      <c r="A375" s="3" t="s">
        <v>1441</v>
      </c>
      <c r="B375" s="3" t="s">
        <v>6116</v>
      </c>
      <c r="C375" s="3" t="s">
        <v>6115</v>
      </c>
      <c r="G375" s="9" t="s">
        <v>25</v>
      </c>
      <c r="H375" s="9"/>
      <c r="I375" s="9">
        <v>1</v>
      </c>
      <c r="J375" s="9">
        <v>2</v>
      </c>
      <c r="K375" s="9" t="s">
        <v>12078</v>
      </c>
      <c r="L375" s="9" t="s">
        <v>12119</v>
      </c>
      <c r="M375" s="9"/>
      <c r="N375" s="10"/>
      <c r="O375" s="9"/>
      <c r="P375" s="9">
        <v>11843</v>
      </c>
      <c r="Q375" s="9"/>
      <c r="R375" s="9" t="s">
        <v>12795</v>
      </c>
      <c r="S375" s="9" t="s">
        <v>12795</v>
      </c>
      <c r="T375" s="9"/>
      <c r="U375" s="9"/>
      <c r="V375" s="9"/>
      <c r="W375" s="9"/>
      <c r="X375" s="9"/>
      <c r="Y375" s="9"/>
      <c r="Z375" s="9"/>
      <c r="AA375" s="9"/>
      <c r="AB375" s="9"/>
      <c r="AC375" s="9"/>
      <c r="AD375" s="9" t="s">
        <v>19</v>
      </c>
    </row>
    <row r="376" spans="1:30" ht="58">
      <c r="A376" s="3" t="s">
        <v>1441</v>
      </c>
      <c r="B376" s="3" t="s">
        <v>6117</v>
      </c>
      <c r="C376" s="3" t="s">
        <v>6115</v>
      </c>
      <c r="G376" s="9" t="s">
        <v>25</v>
      </c>
      <c r="H376" s="9"/>
      <c r="I376" s="9">
        <v>4</v>
      </c>
      <c r="J376" s="9">
        <v>14</v>
      </c>
      <c r="K376" s="9"/>
      <c r="L376" s="9" t="s">
        <v>12073</v>
      </c>
      <c r="M376" s="9" t="s">
        <v>12135</v>
      </c>
      <c r="N376" s="10" t="s">
        <v>12233</v>
      </c>
      <c r="O376" s="9"/>
      <c r="P376" s="9">
        <v>11</v>
      </c>
      <c r="Q376" s="9"/>
      <c r="R376" s="9" t="s">
        <v>12795</v>
      </c>
      <c r="S376" s="9" t="s">
        <v>12795</v>
      </c>
      <c r="T376" s="9"/>
      <c r="U376" s="9"/>
      <c r="V376" s="9"/>
      <c r="W376" s="9"/>
      <c r="X376" s="9"/>
      <c r="Y376" s="9"/>
      <c r="Z376" s="9"/>
      <c r="AA376" s="9"/>
      <c r="AB376" s="9"/>
      <c r="AC376" s="9"/>
      <c r="AD376" s="9" t="s">
        <v>20</v>
      </c>
    </row>
    <row r="377" spans="1:30">
      <c r="A377" s="3" t="s">
        <v>1442</v>
      </c>
      <c r="B377" s="3" t="s">
        <v>156</v>
      </c>
      <c r="C377" s="3" t="s">
        <v>1269</v>
      </c>
      <c r="G377" s="9" t="s">
        <v>12120</v>
      </c>
      <c r="H377" s="9"/>
      <c r="I377" s="9"/>
      <c r="J377" s="9"/>
      <c r="K377" s="9"/>
      <c r="L377" s="9"/>
      <c r="M377" s="9"/>
      <c r="N377" s="10"/>
      <c r="O377" s="9"/>
      <c r="P377" s="9"/>
      <c r="Q377" s="9"/>
      <c r="R377" s="9" t="s">
        <v>12795</v>
      </c>
      <c r="S377" s="9" t="s">
        <v>12795</v>
      </c>
      <c r="T377" s="9"/>
      <c r="U377" s="9"/>
      <c r="V377" s="9"/>
      <c r="W377" s="9"/>
      <c r="X377" s="9"/>
      <c r="Y377" s="9"/>
      <c r="Z377" s="9"/>
      <c r="AA377" s="9"/>
      <c r="AB377" s="9"/>
      <c r="AC377" s="9"/>
      <c r="AD377" s="9" t="s">
        <v>20</v>
      </c>
    </row>
    <row r="378" spans="1:30" ht="29">
      <c r="A378" s="3" t="s">
        <v>1442</v>
      </c>
      <c r="B378" s="3" t="s">
        <v>6118</v>
      </c>
      <c r="C378" s="3" t="s">
        <v>6119</v>
      </c>
      <c r="G378" s="9" t="s">
        <v>25</v>
      </c>
      <c r="H378" s="9"/>
      <c r="I378" s="9">
        <v>1</v>
      </c>
      <c r="J378" s="9">
        <v>6</v>
      </c>
      <c r="K378" s="9" t="s">
        <v>12072</v>
      </c>
      <c r="L378" s="9" t="s">
        <v>12073</v>
      </c>
      <c r="M378" s="9" t="s">
        <v>12149</v>
      </c>
      <c r="N378" s="10" t="s">
        <v>12170</v>
      </c>
      <c r="O378" s="9"/>
      <c r="P378" s="9">
        <v>287</v>
      </c>
      <c r="Q378" s="9"/>
      <c r="R378" s="9" t="s">
        <v>12795</v>
      </c>
      <c r="S378" s="9" t="s">
        <v>12795</v>
      </c>
      <c r="T378" s="9"/>
      <c r="U378" s="9"/>
      <c r="V378" s="9"/>
      <c r="W378" s="9"/>
      <c r="X378" s="9"/>
      <c r="Y378" s="9"/>
      <c r="Z378" s="9"/>
      <c r="AA378" s="9"/>
      <c r="AB378" s="9"/>
      <c r="AC378" s="9"/>
      <c r="AD378" s="9" t="s">
        <v>19</v>
      </c>
    </row>
    <row r="379" spans="1:30" ht="29">
      <c r="A379" s="3" t="s">
        <v>1443</v>
      </c>
      <c r="B379" s="3" t="s">
        <v>6120</v>
      </c>
      <c r="C379" s="3" t="s">
        <v>6121</v>
      </c>
      <c r="G379" s="9" t="s">
        <v>25</v>
      </c>
      <c r="H379" s="9"/>
      <c r="I379" s="9">
        <v>1</v>
      </c>
      <c r="J379" s="9">
        <v>2</v>
      </c>
      <c r="K379" s="9" t="s">
        <v>12096</v>
      </c>
      <c r="L379" s="9" t="s">
        <v>12119</v>
      </c>
      <c r="M379" s="9"/>
      <c r="N379" s="10"/>
      <c r="O379" s="9" t="s">
        <v>12074</v>
      </c>
      <c r="P379" s="9">
        <v>1294</v>
      </c>
      <c r="Q379" s="9"/>
      <c r="R379" s="9" t="s">
        <v>12795</v>
      </c>
      <c r="S379" s="9" t="s">
        <v>12795</v>
      </c>
      <c r="T379" s="9"/>
      <c r="U379" s="9"/>
      <c r="V379" s="9"/>
      <c r="W379" s="9"/>
      <c r="X379" s="9"/>
      <c r="Y379" s="9"/>
      <c r="Z379" s="9"/>
      <c r="AA379" s="9"/>
      <c r="AB379" s="9"/>
      <c r="AC379" s="9"/>
      <c r="AD379" s="9" t="s">
        <v>19</v>
      </c>
    </row>
    <row r="380" spans="1:30" ht="29">
      <c r="A380" s="3" t="s">
        <v>1444</v>
      </c>
      <c r="B380" s="3" t="s">
        <v>6122</v>
      </c>
      <c r="C380" s="3" t="s">
        <v>6123</v>
      </c>
      <c r="G380" s="9" t="s">
        <v>24</v>
      </c>
      <c r="H380" s="9"/>
      <c r="I380" s="9">
        <v>1</v>
      </c>
      <c r="J380" s="9">
        <v>2</v>
      </c>
      <c r="K380" s="9" t="s">
        <v>12078</v>
      </c>
      <c r="L380" s="9" t="s">
        <v>12119</v>
      </c>
      <c r="M380" s="9"/>
      <c r="N380" s="10"/>
      <c r="O380" s="9"/>
      <c r="P380" s="9">
        <v>11843</v>
      </c>
      <c r="Q380" s="9"/>
      <c r="R380" s="9" t="s">
        <v>12795</v>
      </c>
      <c r="S380" s="9" t="s">
        <v>12795</v>
      </c>
      <c r="T380" s="9"/>
      <c r="U380" s="9"/>
      <c r="V380" s="9"/>
      <c r="W380" s="9"/>
      <c r="X380" s="9"/>
      <c r="Y380" s="9"/>
      <c r="Z380" s="9"/>
      <c r="AA380" s="9"/>
      <c r="AB380" s="9"/>
      <c r="AC380" s="9"/>
      <c r="AD380" s="9" t="s">
        <v>19</v>
      </c>
    </row>
    <row r="381" spans="1:30" ht="29">
      <c r="A381" s="3" t="s">
        <v>1444</v>
      </c>
      <c r="B381" s="3" t="s">
        <v>6122</v>
      </c>
      <c r="C381" s="3" t="s">
        <v>6126</v>
      </c>
      <c r="G381" s="9" t="s">
        <v>24</v>
      </c>
      <c r="H381" s="9"/>
      <c r="I381" s="9">
        <v>1</v>
      </c>
      <c r="J381" s="9">
        <v>2</v>
      </c>
      <c r="K381" s="9" t="s">
        <v>12078</v>
      </c>
      <c r="L381" s="9" t="s">
        <v>12119</v>
      </c>
      <c r="M381" s="9"/>
      <c r="N381" s="10"/>
      <c r="O381" s="9" t="s">
        <v>12074</v>
      </c>
      <c r="P381" s="9">
        <v>11843</v>
      </c>
      <c r="Q381" s="9"/>
      <c r="R381" s="9" t="s">
        <v>12795</v>
      </c>
      <c r="S381" s="9" t="s">
        <v>12795</v>
      </c>
      <c r="T381" s="9"/>
      <c r="U381" s="9"/>
      <c r="V381" s="9"/>
      <c r="W381" s="9"/>
      <c r="X381" s="9"/>
      <c r="Y381" s="9"/>
      <c r="Z381" s="9"/>
      <c r="AA381" s="9"/>
      <c r="AB381" s="9"/>
      <c r="AC381" s="9"/>
      <c r="AD381" s="9" t="s">
        <v>19</v>
      </c>
    </row>
    <row r="382" spans="1:30" ht="29">
      <c r="A382" s="3" t="s">
        <v>1444</v>
      </c>
      <c r="B382" s="3" t="s">
        <v>6127</v>
      </c>
      <c r="C382" s="3" t="s">
        <v>6128</v>
      </c>
      <c r="G382" s="9" t="s">
        <v>24</v>
      </c>
      <c r="H382" s="9"/>
      <c r="I382" s="9">
        <v>1</v>
      </c>
      <c r="J382" s="9">
        <v>3</v>
      </c>
      <c r="K382" s="9" t="s">
        <v>12087</v>
      </c>
      <c r="L382" s="9" t="s">
        <v>12079</v>
      </c>
      <c r="M382" s="9"/>
      <c r="N382" s="10"/>
      <c r="O382" s="9"/>
      <c r="P382" s="9">
        <v>810</v>
      </c>
      <c r="Q382" s="9"/>
      <c r="R382" s="9" t="s">
        <v>12795</v>
      </c>
      <c r="S382" s="9" t="s">
        <v>12795</v>
      </c>
      <c r="T382" s="9"/>
      <c r="U382" s="9"/>
      <c r="V382" s="9"/>
      <c r="W382" s="9"/>
      <c r="X382" s="9"/>
      <c r="Y382" s="9"/>
      <c r="Z382" s="9"/>
      <c r="AA382" s="9"/>
      <c r="AB382" s="9"/>
      <c r="AC382" s="9"/>
      <c r="AD382" s="9" t="s">
        <v>19</v>
      </c>
    </row>
    <row r="383" spans="1:30" ht="29">
      <c r="A383" s="3" t="s">
        <v>1445</v>
      </c>
      <c r="B383" s="3" t="s">
        <v>1446</v>
      </c>
      <c r="C383" s="3" t="s">
        <v>1447</v>
      </c>
      <c r="G383" s="9" t="s">
        <v>12120</v>
      </c>
      <c r="H383" s="9"/>
      <c r="I383" s="9"/>
      <c r="J383" s="9"/>
      <c r="K383" s="9"/>
      <c r="L383" s="9"/>
      <c r="M383" s="9"/>
      <c r="N383" s="10"/>
      <c r="O383" s="9"/>
      <c r="P383" s="9"/>
      <c r="Q383" s="9"/>
      <c r="R383" s="9" t="s">
        <v>12795</v>
      </c>
      <c r="S383" s="9" t="s">
        <v>12795</v>
      </c>
      <c r="T383" s="9"/>
      <c r="U383" s="9"/>
      <c r="V383" s="9"/>
      <c r="W383" s="9"/>
      <c r="X383" s="9"/>
      <c r="Y383" s="9"/>
      <c r="Z383" s="9"/>
      <c r="AA383" s="9"/>
      <c r="AB383" s="9"/>
      <c r="AC383" s="9"/>
      <c r="AD383" s="9" t="s">
        <v>20</v>
      </c>
    </row>
    <row r="384" spans="1:30" ht="29">
      <c r="A384" s="3" t="s">
        <v>1445</v>
      </c>
      <c r="B384" s="3" t="s">
        <v>2035</v>
      </c>
      <c r="C384" s="3" t="s">
        <v>475</v>
      </c>
      <c r="G384" s="9" t="s">
        <v>12120</v>
      </c>
      <c r="H384" s="9"/>
      <c r="I384" s="9"/>
      <c r="J384" s="9"/>
      <c r="K384" s="9"/>
      <c r="L384" s="9"/>
      <c r="M384" s="9"/>
      <c r="N384" s="10"/>
      <c r="O384" s="9"/>
      <c r="P384" s="9"/>
      <c r="Q384" s="9"/>
      <c r="R384" s="9" t="s">
        <v>12795</v>
      </c>
      <c r="S384" s="9" t="s">
        <v>12795</v>
      </c>
      <c r="T384" s="9"/>
      <c r="U384" s="9"/>
      <c r="V384" s="9"/>
      <c r="W384" s="9"/>
      <c r="X384" s="9"/>
      <c r="Y384" s="9"/>
      <c r="Z384" s="9"/>
      <c r="AA384" s="9"/>
      <c r="AB384" s="9"/>
      <c r="AC384" s="9"/>
      <c r="AD384" s="9" t="s">
        <v>19</v>
      </c>
    </row>
    <row r="385" spans="1:30" ht="29">
      <c r="A385" s="3" t="s">
        <v>1450</v>
      </c>
      <c r="B385" s="3" t="s">
        <v>6131</v>
      </c>
      <c r="C385" s="3" t="s">
        <v>6130</v>
      </c>
      <c r="G385" s="9" t="s">
        <v>25</v>
      </c>
      <c r="H385" s="9"/>
      <c r="I385" s="9">
        <v>1</v>
      </c>
      <c r="J385" s="9">
        <v>3</v>
      </c>
      <c r="K385" s="9" t="s">
        <v>12078</v>
      </c>
      <c r="L385" s="9" t="s">
        <v>12079</v>
      </c>
      <c r="M385" s="9"/>
      <c r="N385" s="10"/>
      <c r="O385" s="9"/>
      <c r="P385" s="9">
        <v>11843</v>
      </c>
      <c r="Q385" s="9"/>
      <c r="R385" s="9" t="s">
        <v>12795</v>
      </c>
      <c r="S385" s="9" t="s">
        <v>12795</v>
      </c>
      <c r="T385" s="9"/>
      <c r="U385" s="9"/>
      <c r="V385" s="9"/>
      <c r="W385" s="9"/>
      <c r="X385" s="9"/>
      <c r="Y385" s="9"/>
      <c r="Z385" s="9"/>
      <c r="AA385" s="9"/>
      <c r="AB385" s="9"/>
      <c r="AC385" s="9"/>
      <c r="AD385" s="9" t="s">
        <v>19</v>
      </c>
    </row>
    <row r="386" spans="1:30" ht="29">
      <c r="A386" s="3" t="s">
        <v>1450</v>
      </c>
      <c r="B386" s="3" t="s">
        <v>6132</v>
      </c>
      <c r="C386" s="3" t="s">
        <v>6133</v>
      </c>
      <c r="G386" s="9" t="s">
        <v>12118</v>
      </c>
      <c r="H386" s="9"/>
      <c r="I386" s="9"/>
      <c r="J386" s="9"/>
      <c r="K386" s="9"/>
      <c r="L386" s="9"/>
      <c r="M386" s="9"/>
      <c r="N386" s="10"/>
      <c r="O386" s="9"/>
      <c r="P386" s="9"/>
      <c r="Q386" s="9">
        <v>-4204</v>
      </c>
      <c r="R386" s="9">
        <v>4240</v>
      </c>
      <c r="S386" s="9">
        <v>36</v>
      </c>
      <c r="T386" s="9"/>
      <c r="U386" s="9"/>
      <c r="V386" s="9"/>
      <c r="W386" s="9"/>
      <c r="X386" s="9"/>
      <c r="Y386" s="9"/>
      <c r="Z386" s="9"/>
      <c r="AA386" s="9"/>
      <c r="AB386" s="9"/>
      <c r="AC386" s="9"/>
      <c r="AD386" s="9" t="s">
        <v>19</v>
      </c>
    </row>
    <row r="387" spans="1:30" ht="29">
      <c r="A387" s="3" t="s">
        <v>1450</v>
      </c>
      <c r="B387" s="3" t="s">
        <v>6134</v>
      </c>
      <c r="C387" s="3" t="s">
        <v>6135</v>
      </c>
      <c r="G387" s="9" t="s">
        <v>12120</v>
      </c>
      <c r="H387" s="9"/>
      <c r="I387" s="9"/>
      <c r="J387" s="9"/>
      <c r="K387" s="9"/>
      <c r="L387" s="9"/>
      <c r="M387" s="9"/>
      <c r="N387" s="10"/>
      <c r="O387" s="9"/>
      <c r="P387" s="9"/>
      <c r="Q387" s="9"/>
      <c r="R387" s="9" t="s">
        <v>12795</v>
      </c>
      <c r="S387" s="9" t="s">
        <v>12795</v>
      </c>
      <c r="T387" s="9"/>
      <c r="U387" s="9"/>
      <c r="V387" s="9"/>
      <c r="W387" s="9"/>
      <c r="X387" s="9"/>
      <c r="Y387" s="9"/>
      <c r="Z387" s="9"/>
      <c r="AA387" s="9"/>
      <c r="AB387" s="9"/>
      <c r="AC387" s="9"/>
      <c r="AD387" s="9" t="s">
        <v>19</v>
      </c>
    </row>
    <row r="388" spans="1:30" ht="29">
      <c r="A388" s="3" t="s">
        <v>1453</v>
      </c>
      <c r="B388" s="3" t="s">
        <v>6143</v>
      </c>
      <c r="C388" s="3" t="s">
        <v>6142</v>
      </c>
      <c r="G388" s="9" t="s">
        <v>26</v>
      </c>
      <c r="H388" s="9"/>
      <c r="I388" s="9"/>
      <c r="J388" s="9"/>
      <c r="K388" s="9"/>
      <c r="L388" s="9"/>
      <c r="M388" s="9"/>
      <c r="N388" s="10"/>
      <c r="O388" s="9"/>
      <c r="P388" s="9"/>
      <c r="Q388" s="9"/>
      <c r="R388" s="9" t="s">
        <v>12795</v>
      </c>
      <c r="S388" s="9" t="s">
        <v>12795</v>
      </c>
      <c r="T388" s="9"/>
      <c r="U388" s="9"/>
      <c r="V388" s="9"/>
      <c r="W388" s="9"/>
      <c r="X388" s="9"/>
      <c r="Y388" s="9"/>
      <c r="Z388" s="9"/>
      <c r="AA388" s="9"/>
      <c r="AB388" s="9"/>
      <c r="AC388" s="9"/>
      <c r="AD388" s="9" t="s">
        <v>20</v>
      </c>
    </row>
    <row r="389" spans="1:30" ht="29">
      <c r="A389" s="3" t="s">
        <v>1454</v>
      </c>
      <c r="B389" s="3" t="s">
        <v>6151</v>
      </c>
      <c r="C389" s="3" t="s">
        <v>6148</v>
      </c>
      <c r="G389" s="9" t="s">
        <v>25</v>
      </c>
      <c r="H389" s="9"/>
      <c r="I389" s="9">
        <v>1</v>
      </c>
      <c r="J389" s="9">
        <v>6</v>
      </c>
      <c r="K389" s="9" t="s">
        <v>12094</v>
      </c>
      <c r="L389" s="9" t="s">
        <v>12079</v>
      </c>
      <c r="M389" s="9"/>
      <c r="N389" s="10"/>
      <c r="O389" s="9"/>
      <c r="P389" s="9">
        <v>4240</v>
      </c>
      <c r="Q389" s="9"/>
      <c r="R389" s="9" t="s">
        <v>12795</v>
      </c>
      <c r="S389" s="9" t="s">
        <v>12795</v>
      </c>
      <c r="T389" s="9"/>
      <c r="U389" s="9"/>
      <c r="V389" s="9"/>
      <c r="W389" s="9"/>
      <c r="X389" s="9"/>
      <c r="Y389" s="9"/>
      <c r="Z389" s="9"/>
      <c r="AA389" s="9"/>
      <c r="AB389" s="9"/>
      <c r="AC389" s="9"/>
      <c r="AD389" s="9" t="s">
        <v>19</v>
      </c>
    </row>
    <row r="390" spans="1:30" ht="29">
      <c r="A390" s="3" t="s">
        <v>1458</v>
      </c>
      <c r="B390" s="3" t="s">
        <v>6152</v>
      </c>
      <c r="C390" s="3" t="s">
        <v>6153</v>
      </c>
      <c r="G390" s="9" t="s">
        <v>24</v>
      </c>
      <c r="H390" s="9"/>
      <c r="I390" s="9">
        <v>1</v>
      </c>
      <c r="J390" s="9">
        <v>2</v>
      </c>
      <c r="K390" s="9" t="s">
        <v>12123</v>
      </c>
      <c r="L390" s="9" t="s">
        <v>12119</v>
      </c>
      <c r="M390" s="9"/>
      <c r="N390" s="10"/>
      <c r="O390" s="9" t="s">
        <v>12074</v>
      </c>
      <c r="P390" s="9">
        <v>887</v>
      </c>
      <c r="Q390" s="9"/>
      <c r="R390" s="9" t="s">
        <v>12795</v>
      </c>
      <c r="S390" s="9" t="s">
        <v>12795</v>
      </c>
      <c r="T390" s="9" t="s">
        <v>12117</v>
      </c>
      <c r="U390" s="9"/>
      <c r="V390" s="9"/>
      <c r="W390" s="9"/>
      <c r="X390" s="9"/>
      <c r="Y390" s="9"/>
      <c r="Z390" s="9"/>
      <c r="AA390" s="9"/>
      <c r="AB390" s="9"/>
      <c r="AC390" s="9"/>
      <c r="AD390" s="9" t="s">
        <v>20</v>
      </c>
    </row>
    <row r="391" spans="1:30" ht="29">
      <c r="A391" s="3" t="s">
        <v>1462</v>
      </c>
      <c r="B391" s="3" t="s">
        <v>6154</v>
      </c>
      <c r="C391" s="3" t="s">
        <v>6155</v>
      </c>
      <c r="G391" s="9" t="s">
        <v>12118</v>
      </c>
      <c r="H391" s="9"/>
      <c r="I391" s="9"/>
      <c r="J391" s="9"/>
      <c r="K391" s="9"/>
      <c r="L391" s="9"/>
      <c r="M391" s="9"/>
      <c r="N391" s="10"/>
      <c r="O391" s="9"/>
      <c r="P391" s="9"/>
      <c r="Q391" s="9">
        <v>79</v>
      </c>
      <c r="R391" s="9">
        <v>148</v>
      </c>
      <c r="S391" s="9">
        <v>227</v>
      </c>
      <c r="T391" s="9" t="s">
        <v>12117</v>
      </c>
      <c r="U391" s="9"/>
      <c r="V391" s="9"/>
      <c r="W391" s="9"/>
      <c r="X391" s="9"/>
      <c r="Y391" s="9"/>
      <c r="Z391" s="9"/>
      <c r="AA391" s="9"/>
      <c r="AB391" s="9"/>
      <c r="AC391" s="9"/>
      <c r="AD391" s="9" t="s">
        <v>19</v>
      </c>
    </row>
    <row r="392" spans="1:30" ht="29">
      <c r="A392" s="3" t="s">
        <v>1464</v>
      </c>
      <c r="B392" s="3" t="s">
        <v>1465</v>
      </c>
      <c r="C392" s="3" t="s">
        <v>497</v>
      </c>
      <c r="G392" s="9" t="s">
        <v>12120</v>
      </c>
      <c r="H392" s="9"/>
      <c r="I392" s="9"/>
      <c r="J392" s="9"/>
      <c r="K392" s="9"/>
      <c r="L392" s="9"/>
      <c r="M392" s="9"/>
      <c r="N392" s="10"/>
      <c r="O392" s="9"/>
      <c r="P392" s="9"/>
      <c r="Q392" s="9"/>
      <c r="R392" s="9" t="s">
        <v>12795</v>
      </c>
      <c r="S392" s="9" t="s">
        <v>12795</v>
      </c>
      <c r="T392" s="9"/>
      <c r="U392" s="9"/>
      <c r="V392" s="9"/>
      <c r="W392" s="9"/>
      <c r="X392" s="9"/>
      <c r="Y392" s="9"/>
      <c r="Z392" s="9"/>
      <c r="AA392" s="9"/>
      <c r="AB392" s="9"/>
      <c r="AC392" s="9"/>
      <c r="AD392" s="9" t="s">
        <v>13141</v>
      </c>
    </row>
    <row r="393" spans="1:30" ht="58">
      <c r="A393" s="3" t="s">
        <v>1466</v>
      </c>
      <c r="B393" s="3" t="s">
        <v>6158</v>
      </c>
      <c r="C393" s="3" t="s">
        <v>6157</v>
      </c>
      <c r="G393" s="9" t="s">
        <v>25</v>
      </c>
      <c r="H393" s="9"/>
      <c r="I393" s="9">
        <v>2</v>
      </c>
      <c r="J393" s="9">
        <v>12</v>
      </c>
      <c r="K393" s="9"/>
      <c r="L393" s="9" t="s">
        <v>12079</v>
      </c>
      <c r="M393" s="9"/>
      <c r="N393" s="10"/>
      <c r="O393" s="9"/>
      <c r="P393" s="9">
        <v>2</v>
      </c>
      <c r="Q393" s="9"/>
      <c r="R393" s="9" t="s">
        <v>12795</v>
      </c>
      <c r="S393" s="9" t="s">
        <v>12795</v>
      </c>
      <c r="T393" s="9"/>
      <c r="U393" s="9"/>
      <c r="V393" s="9"/>
      <c r="W393" s="9"/>
      <c r="X393" s="9"/>
      <c r="Y393" s="9"/>
      <c r="Z393" s="9"/>
      <c r="AA393" s="9"/>
      <c r="AB393" s="9"/>
      <c r="AC393" s="9"/>
      <c r="AD393" s="9" t="s">
        <v>19</v>
      </c>
    </row>
    <row r="394" spans="1:30" ht="58">
      <c r="A394" s="3" t="s">
        <v>1466</v>
      </c>
      <c r="B394" s="3" t="s">
        <v>6161</v>
      </c>
      <c r="C394" s="3" t="s">
        <v>6162</v>
      </c>
      <c r="G394" s="9" t="s">
        <v>12120</v>
      </c>
      <c r="H394" s="9"/>
      <c r="I394" s="9"/>
      <c r="J394" s="9"/>
      <c r="K394" s="9"/>
      <c r="L394" s="9"/>
      <c r="M394" s="9"/>
      <c r="N394" s="10"/>
      <c r="O394" s="9"/>
      <c r="P394" s="9"/>
      <c r="Q394" s="9"/>
      <c r="R394" s="9" t="s">
        <v>12795</v>
      </c>
      <c r="S394" s="9" t="s">
        <v>12795</v>
      </c>
      <c r="T394" s="9"/>
      <c r="U394" s="9"/>
      <c r="V394" s="9"/>
      <c r="W394" s="9"/>
      <c r="X394" s="9"/>
      <c r="Y394" s="9"/>
      <c r="Z394" s="9"/>
      <c r="AA394" s="9"/>
      <c r="AB394" s="9"/>
      <c r="AC394" s="9"/>
      <c r="AD394" s="9" t="s">
        <v>19</v>
      </c>
    </row>
    <row r="395" spans="1:30" ht="29">
      <c r="A395" s="3" t="s">
        <v>1467</v>
      </c>
      <c r="B395" s="3" t="s">
        <v>6163</v>
      </c>
      <c r="C395" s="3" t="s">
        <v>6164</v>
      </c>
      <c r="G395" s="9" t="s">
        <v>26</v>
      </c>
      <c r="H395" s="9"/>
      <c r="I395" s="9"/>
      <c r="J395" s="9"/>
      <c r="K395" s="9"/>
      <c r="L395" s="9"/>
      <c r="M395" s="9"/>
      <c r="N395" s="10"/>
      <c r="O395" s="9"/>
      <c r="P395" s="9"/>
      <c r="Q395" s="9"/>
      <c r="R395" s="9" t="s">
        <v>12795</v>
      </c>
      <c r="S395" s="9" t="s">
        <v>12795</v>
      </c>
      <c r="T395" s="9"/>
      <c r="U395" s="9"/>
      <c r="V395" s="9"/>
      <c r="W395" s="9"/>
      <c r="X395" s="9"/>
      <c r="Y395" s="9"/>
      <c r="Z395" s="9"/>
      <c r="AA395" s="9"/>
      <c r="AB395" s="9"/>
      <c r="AC395" s="9"/>
      <c r="AD395" s="9" t="s">
        <v>19</v>
      </c>
    </row>
    <row r="396" spans="1:30" ht="29">
      <c r="A396" s="3" t="s">
        <v>1467</v>
      </c>
      <c r="B396" s="3" t="s">
        <v>6169</v>
      </c>
      <c r="C396" s="3" t="s">
        <v>6170</v>
      </c>
      <c r="G396" s="9" t="s">
        <v>12118</v>
      </c>
      <c r="H396" s="9"/>
      <c r="I396" s="9"/>
      <c r="J396" s="9"/>
      <c r="K396" s="9"/>
      <c r="L396" s="9"/>
      <c r="M396" s="9"/>
      <c r="N396" s="10"/>
      <c r="O396" s="9"/>
      <c r="P396" s="9"/>
      <c r="Q396" s="9">
        <v>-207</v>
      </c>
      <c r="R396" s="9">
        <v>214</v>
      </c>
      <c r="S396" s="9">
        <v>7</v>
      </c>
      <c r="T396" s="9"/>
      <c r="U396" s="9"/>
      <c r="V396" s="9"/>
      <c r="W396" s="9"/>
      <c r="X396" s="9"/>
      <c r="Y396" s="9"/>
      <c r="Z396" s="9"/>
      <c r="AA396" s="9"/>
      <c r="AB396" s="9"/>
      <c r="AC396" s="9"/>
      <c r="AD396" s="9" t="s">
        <v>19</v>
      </c>
    </row>
    <row r="397" spans="1:30" ht="29">
      <c r="A397" s="3" t="s">
        <v>1468</v>
      </c>
      <c r="B397" s="3" t="s">
        <v>6171</v>
      </c>
      <c r="C397" s="3" t="s">
        <v>6172</v>
      </c>
      <c r="G397" s="9" t="s">
        <v>12120</v>
      </c>
      <c r="H397" s="9"/>
      <c r="I397" s="9"/>
      <c r="J397" s="9"/>
      <c r="K397" s="9"/>
      <c r="L397" s="9"/>
      <c r="M397" s="9"/>
      <c r="N397" s="10"/>
      <c r="O397" s="9"/>
      <c r="P397" s="9"/>
      <c r="Q397" s="9"/>
      <c r="R397" s="9" t="s">
        <v>12795</v>
      </c>
      <c r="S397" s="9" t="s">
        <v>12795</v>
      </c>
      <c r="T397" s="9"/>
      <c r="U397" s="9"/>
      <c r="V397" s="9"/>
      <c r="W397" s="9"/>
      <c r="X397" s="9"/>
      <c r="Y397" s="9"/>
      <c r="Z397" s="9"/>
      <c r="AA397" s="9"/>
      <c r="AB397" s="9"/>
      <c r="AC397" s="9"/>
      <c r="AD397" s="9" t="s">
        <v>19</v>
      </c>
    </row>
    <row r="398" spans="1:30" ht="29">
      <c r="A398" s="3" t="s">
        <v>1468</v>
      </c>
      <c r="B398" s="3" t="s">
        <v>6173</v>
      </c>
      <c r="C398" s="3" t="s">
        <v>6174</v>
      </c>
      <c r="G398" s="9" t="s">
        <v>12120</v>
      </c>
      <c r="H398" s="9"/>
      <c r="I398" s="9"/>
      <c r="J398" s="9"/>
      <c r="K398" s="9"/>
      <c r="L398" s="9"/>
      <c r="M398" s="9"/>
      <c r="N398" s="10"/>
      <c r="O398" s="9"/>
      <c r="P398" s="9"/>
      <c r="Q398" s="9"/>
      <c r="R398" s="9" t="s">
        <v>12795</v>
      </c>
      <c r="S398" s="9" t="s">
        <v>12795</v>
      </c>
      <c r="T398" s="9"/>
      <c r="U398" s="9"/>
      <c r="V398" s="9"/>
      <c r="W398" s="9"/>
      <c r="X398" s="9"/>
      <c r="Y398" s="9"/>
      <c r="Z398" s="9"/>
      <c r="AA398" s="9"/>
      <c r="AB398" s="9"/>
      <c r="AC398" s="9"/>
      <c r="AD398" s="9" t="s">
        <v>19</v>
      </c>
    </row>
    <row r="399" spans="1:30" ht="29">
      <c r="A399" s="3" t="s">
        <v>1469</v>
      </c>
      <c r="B399" s="3" t="s">
        <v>13010</v>
      </c>
      <c r="C399" s="3" t="s">
        <v>13009</v>
      </c>
      <c r="G399" s="9" t="s">
        <v>12118</v>
      </c>
      <c r="H399" s="9"/>
      <c r="I399" s="9"/>
      <c r="J399" s="9"/>
      <c r="K399" s="9"/>
      <c r="L399" s="9"/>
      <c r="M399" s="9"/>
      <c r="N399" s="10"/>
      <c r="O399" s="9"/>
      <c r="P399" s="9"/>
      <c r="Q399" s="9">
        <v>-380</v>
      </c>
      <c r="R399" s="9">
        <v>508</v>
      </c>
      <c r="S399" s="9">
        <v>128</v>
      </c>
      <c r="T399" s="9"/>
      <c r="U399" s="9"/>
      <c r="V399" s="9"/>
      <c r="W399" s="9"/>
      <c r="X399" s="9"/>
      <c r="Y399" s="9"/>
      <c r="Z399" s="9"/>
      <c r="AA399" s="9"/>
      <c r="AB399" s="9"/>
      <c r="AC399" s="9"/>
      <c r="AD399" s="9" t="s">
        <v>19</v>
      </c>
    </row>
    <row r="400" spans="1:30" ht="43.5">
      <c r="A400" s="3" t="s">
        <v>1471</v>
      </c>
      <c r="B400" s="3" t="s">
        <v>12869</v>
      </c>
      <c r="C400" s="3" t="s">
        <v>12866</v>
      </c>
      <c r="G400" s="9" t="s">
        <v>24</v>
      </c>
      <c r="H400" s="9"/>
      <c r="I400" s="9">
        <v>1</v>
      </c>
      <c r="J400" s="9">
        <v>7</v>
      </c>
      <c r="K400" s="9" t="s">
        <v>12125</v>
      </c>
      <c r="L400" s="9" t="s">
        <v>12073</v>
      </c>
      <c r="M400" s="9" t="s">
        <v>12149</v>
      </c>
      <c r="N400" s="10" t="s">
        <v>12143</v>
      </c>
      <c r="O400" s="9"/>
      <c r="P400" s="9">
        <v>437</v>
      </c>
      <c r="Q400" s="9"/>
      <c r="R400" s="9" t="s">
        <v>12795</v>
      </c>
      <c r="S400" s="9" t="s">
        <v>12795</v>
      </c>
      <c r="T400" s="9"/>
      <c r="U400" s="9"/>
      <c r="V400" s="9"/>
      <c r="W400" s="9"/>
      <c r="X400" s="9"/>
      <c r="Y400" s="9"/>
      <c r="Z400" s="9"/>
      <c r="AA400" s="9"/>
      <c r="AB400" s="9"/>
      <c r="AC400" s="9"/>
      <c r="AD400" s="9" t="s">
        <v>19</v>
      </c>
    </row>
    <row r="401" spans="1:30" ht="43.5">
      <c r="A401" s="3" t="s">
        <v>1471</v>
      </c>
      <c r="B401" s="3" t="s">
        <v>12870</v>
      </c>
      <c r="C401" s="3" t="s">
        <v>12868</v>
      </c>
      <c r="G401" s="9" t="s">
        <v>25</v>
      </c>
      <c r="H401" s="9"/>
      <c r="I401" s="9">
        <v>1</v>
      </c>
      <c r="J401" s="9">
        <v>1</v>
      </c>
      <c r="K401" s="9" t="s">
        <v>12087</v>
      </c>
      <c r="L401" s="9" t="s">
        <v>12119</v>
      </c>
      <c r="M401" s="9"/>
      <c r="N401" s="10"/>
      <c r="O401" s="9"/>
      <c r="P401" s="9">
        <v>166</v>
      </c>
      <c r="Q401" s="9"/>
      <c r="R401" s="9" t="s">
        <v>12795</v>
      </c>
      <c r="S401" s="9" t="s">
        <v>12795</v>
      </c>
      <c r="T401" s="9"/>
      <c r="U401" s="9"/>
      <c r="V401" s="9"/>
      <c r="W401" s="9"/>
      <c r="X401" s="9"/>
      <c r="Y401" s="9"/>
      <c r="Z401" s="9"/>
      <c r="AA401" s="9"/>
      <c r="AB401" s="9"/>
      <c r="AC401" s="9"/>
      <c r="AD401" s="9" t="s">
        <v>19</v>
      </c>
    </row>
    <row r="402" spans="1:30">
      <c r="A402" s="3" t="s">
        <v>1471</v>
      </c>
      <c r="B402" s="3" t="s">
        <v>1472</v>
      </c>
      <c r="C402" s="3" t="s">
        <v>1473</v>
      </c>
      <c r="G402" s="9" t="s">
        <v>12120</v>
      </c>
      <c r="H402" s="9"/>
      <c r="I402" s="9"/>
      <c r="J402" s="9"/>
      <c r="K402" s="9"/>
      <c r="L402" s="9"/>
      <c r="M402" s="9"/>
      <c r="N402" s="10"/>
      <c r="O402" s="9"/>
      <c r="P402" s="9"/>
      <c r="Q402" s="9"/>
      <c r="R402" s="9" t="s">
        <v>12795</v>
      </c>
      <c r="S402" s="9" t="s">
        <v>12795</v>
      </c>
      <c r="T402" s="9"/>
      <c r="U402" s="9"/>
      <c r="V402" s="9"/>
      <c r="W402" s="9"/>
      <c r="X402" s="9"/>
      <c r="Y402" s="9"/>
      <c r="Z402" s="9"/>
      <c r="AA402" s="9"/>
      <c r="AB402" s="9"/>
      <c r="AC402" s="9"/>
      <c r="AD402" s="9" t="s">
        <v>19</v>
      </c>
    </row>
    <row r="403" spans="1:30">
      <c r="A403" s="3" t="s">
        <v>1477</v>
      </c>
      <c r="B403" s="3" t="s">
        <v>6180</v>
      </c>
      <c r="C403" s="3" t="s">
        <v>6181</v>
      </c>
      <c r="G403" s="9" t="s">
        <v>12118</v>
      </c>
      <c r="H403" s="9"/>
      <c r="I403" s="9"/>
      <c r="J403" s="9"/>
      <c r="K403" s="9"/>
      <c r="L403" s="9"/>
      <c r="M403" s="9"/>
      <c r="N403" s="10"/>
      <c r="O403" s="9"/>
      <c r="P403" s="9"/>
      <c r="Q403" s="9">
        <v>541</v>
      </c>
      <c r="R403" s="9">
        <v>560</v>
      </c>
      <c r="S403" s="9">
        <v>1101</v>
      </c>
      <c r="T403" s="9"/>
      <c r="U403" s="9"/>
      <c r="V403" s="9"/>
      <c r="W403" s="9"/>
      <c r="X403" s="9"/>
      <c r="Y403" s="9"/>
      <c r="Z403" s="9"/>
      <c r="AA403" s="9"/>
      <c r="AB403" s="9"/>
      <c r="AC403" s="9"/>
      <c r="AD403" s="9" t="s">
        <v>19</v>
      </c>
    </row>
    <row r="404" spans="1:30" ht="29">
      <c r="A404" s="3" t="s">
        <v>1482</v>
      </c>
      <c r="B404" s="3" t="s">
        <v>6182</v>
      </c>
      <c r="C404" s="3" t="s">
        <v>6183</v>
      </c>
      <c r="G404" s="9" t="s">
        <v>12118</v>
      </c>
      <c r="H404" s="9"/>
      <c r="I404" s="9"/>
      <c r="J404" s="9"/>
      <c r="K404" s="9"/>
      <c r="L404" s="9"/>
      <c r="M404" s="9"/>
      <c r="N404" s="10"/>
      <c r="O404" s="9"/>
      <c r="P404" s="9"/>
      <c r="Q404" s="9">
        <v>-3710</v>
      </c>
      <c r="R404" s="9">
        <v>5676</v>
      </c>
      <c r="S404" s="9">
        <v>1966</v>
      </c>
      <c r="T404" s="9"/>
      <c r="U404" s="9"/>
      <c r="V404" s="9"/>
      <c r="W404" s="9"/>
      <c r="X404" s="9"/>
      <c r="Y404" s="9"/>
      <c r="Z404" s="9"/>
      <c r="AA404" s="9"/>
      <c r="AB404" s="9"/>
      <c r="AC404" s="9"/>
      <c r="AD404" s="9" t="s">
        <v>19</v>
      </c>
    </row>
    <row r="405" spans="1:30" ht="29">
      <c r="A405" s="3" t="s">
        <v>1486</v>
      </c>
      <c r="B405" s="3" t="s">
        <v>6186</v>
      </c>
      <c r="C405" s="3" t="s">
        <v>6187</v>
      </c>
      <c r="G405" s="9" t="s">
        <v>24</v>
      </c>
      <c r="H405" s="9"/>
      <c r="I405" s="9">
        <v>1</v>
      </c>
      <c r="J405" s="9">
        <v>6</v>
      </c>
      <c r="K405" s="9" t="s">
        <v>12084</v>
      </c>
      <c r="L405" s="9" t="s">
        <v>12079</v>
      </c>
      <c r="M405" s="9"/>
      <c r="N405" s="10"/>
      <c r="O405" s="9"/>
      <c r="P405" s="9">
        <v>32</v>
      </c>
      <c r="Q405" s="9"/>
      <c r="R405" s="9" t="s">
        <v>12795</v>
      </c>
      <c r="S405" s="9" t="s">
        <v>12795</v>
      </c>
      <c r="T405" s="9"/>
      <c r="U405" s="9"/>
      <c r="V405" s="9"/>
      <c r="W405" s="9"/>
      <c r="X405" s="9"/>
      <c r="Y405" s="9"/>
      <c r="Z405" s="9"/>
      <c r="AA405" s="9"/>
      <c r="AB405" s="9"/>
      <c r="AC405" s="9"/>
      <c r="AD405" s="9" t="s">
        <v>19</v>
      </c>
    </row>
    <row r="406" spans="1:30" ht="29">
      <c r="A406" s="3" t="s">
        <v>1487</v>
      </c>
      <c r="B406" s="3" t="s">
        <v>6188</v>
      </c>
      <c r="C406" s="3" t="s">
        <v>6189</v>
      </c>
      <c r="G406" s="9" t="s">
        <v>12118</v>
      </c>
      <c r="H406" s="9"/>
      <c r="I406" s="9"/>
      <c r="J406" s="9"/>
      <c r="K406" s="9"/>
      <c r="L406" s="9"/>
      <c r="M406" s="9"/>
      <c r="N406" s="10"/>
      <c r="O406" s="9"/>
      <c r="P406" s="9"/>
      <c r="Q406" s="9">
        <v>-5483</v>
      </c>
      <c r="R406" s="9">
        <v>5676</v>
      </c>
      <c r="S406" s="9">
        <v>193</v>
      </c>
      <c r="T406" s="9"/>
      <c r="U406" s="9"/>
      <c r="V406" s="9"/>
      <c r="W406" s="9"/>
      <c r="X406" s="9"/>
      <c r="Y406" s="9"/>
      <c r="Z406" s="9"/>
      <c r="AA406" s="9"/>
      <c r="AB406" s="9"/>
      <c r="AC406" s="9"/>
      <c r="AD406" s="9" t="s">
        <v>19</v>
      </c>
    </row>
    <row r="407" spans="1:30" ht="29">
      <c r="A407" s="3" t="s">
        <v>1488</v>
      </c>
      <c r="B407" s="3" t="s">
        <v>6193</v>
      </c>
      <c r="C407" s="3" t="s">
        <v>6194</v>
      </c>
      <c r="G407" s="9" t="s">
        <v>12118</v>
      </c>
      <c r="H407" s="9"/>
      <c r="I407" s="9"/>
      <c r="J407" s="9"/>
      <c r="K407" s="9"/>
      <c r="L407" s="9"/>
      <c r="M407" s="9"/>
      <c r="N407" s="10"/>
      <c r="O407" s="9"/>
      <c r="P407" s="9"/>
      <c r="Q407" s="9">
        <v>28</v>
      </c>
      <c r="R407" s="9">
        <v>6</v>
      </c>
      <c r="S407" s="9">
        <v>34</v>
      </c>
      <c r="T407" s="9"/>
      <c r="U407" s="9"/>
      <c r="V407" s="9"/>
      <c r="W407" s="9"/>
      <c r="X407" s="9"/>
      <c r="Y407" s="9"/>
      <c r="Z407" s="9"/>
      <c r="AA407" s="9"/>
      <c r="AB407" s="9"/>
      <c r="AC407" s="9"/>
      <c r="AD407" s="9" t="s">
        <v>19</v>
      </c>
    </row>
    <row r="408" spans="1:30" ht="29">
      <c r="A408" s="3" t="s">
        <v>1488</v>
      </c>
      <c r="B408" s="3" t="s">
        <v>6190</v>
      </c>
      <c r="C408" s="3" t="s">
        <v>6195</v>
      </c>
      <c r="G408" s="9" t="s">
        <v>24</v>
      </c>
      <c r="H408" s="9"/>
      <c r="I408" s="9">
        <v>1</v>
      </c>
      <c r="J408" s="9">
        <v>2</v>
      </c>
      <c r="K408" s="9" t="s">
        <v>12078</v>
      </c>
      <c r="L408" s="9" t="s">
        <v>12119</v>
      </c>
      <c r="M408" s="9"/>
      <c r="N408" s="10"/>
      <c r="O408" s="9"/>
      <c r="P408" s="9">
        <v>11843</v>
      </c>
      <c r="Q408" s="9"/>
      <c r="R408" s="9" t="s">
        <v>12795</v>
      </c>
      <c r="S408" s="9" t="s">
        <v>12795</v>
      </c>
      <c r="T408" s="9"/>
      <c r="U408" s="9"/>
      <c r="V408" s="9"/>
      <c r="W408" s="9"/>
      <c r="X408" s="9"/>
      <c r="Y408" s="9"/>
      <c r="Z408" s="9"/>
      <c r="AA408" s="9"/>
      <c r="AB408" s="9"/>
      <c r="AC408" s="9"/>
      <c r="AD408" s="9" t="s">
        <v>13141</v>
      </c>
    </row>
    <row r="409" spans="1:30" ht="29">
      <c r="A409" s="3" t="s">
        <v>1491</v>
      </c>
      <c r="B409" s="3" t="s">
        <v>1492</v>
      </c>
      <c r="C409" s="3" t="s">
        <v>1493</v>
      </c>
      <c r="G409" s="9" t="s">
        <v>12120</v>
      </c>
      <c r="H409" s="9"/>
      <c r="I409" s="9"/>
      <c r="J409" s="9"/>
      <c r="K409" s="9"/>
      <c r="L409" s="9"/>
      <c r="M409" s="9"/>
      <c r="N409" s="10"/>
      <c r="O409" s="9"/>
      <c r="P409" s="9"/>
      <c r="Q409" s="9"/>
      <c r="R409" s="9" t="s">
        <v>12795</v>
      </c>
      <c r="S409" s="9" t="s">
        <v>12795</v>
      </c>
      <c r="T409" s="9"/>
      <c r="U409" s="9"/>
      <c r="V409" s="9"/>
      <c r="W409" s="9"/>
      <c r="X409" s="9"/>
      <c r="Y409" s="9"/>
      <c r="Z409" s="9"/>
      <c r="AA409" s="9"/>
      <c r="AB409" s="9"/>
      <c r="AC409" s="9"/>
      <c r="AD409" s="9" t="s">
        <v>20</v>
      </c>
    </row>
    <row r="410" spans="1:30" ht="29">
      <c r="A410" s="3" t="s">
        <v>1494</v>
      </c>
      <c r="B410" s="3" t="s">
        <v>6196</v>
      </c>
      <c r="C410" s="3" t="s">
        <v>6197</v>
      </c>
      <c r="G410" s="9" t="s">
        <v>26</v>
      </c>
      <c r="H410" s="9"/>
      <c r="I410" s="9"/>
      <c r="J410" s="9"/>
      <c r="K410" s="9"/>
      <c r="L410" s="9"/>
      <c r="M410" s="9"/>
      <c r="N410" s="10"/>
      <c r="O410" s="9"/>
      <c r="P410" s="9"/>
      <c r="Q410" s="9"/>
      <c r="R410" s="9" t="s">
        <v>12795</v>
      </c>
      <c r="S410" s="9" t="s">
        <v>12795</v>
      </c>
      <c r="T410" s="9"/>
      <c r="U410" s="9"/>
      <c r="V410" s="9"/>
      <c r="W410" s="9"/>
      <c r="X410" s="9"/>
      <c r="Y410" s="9"/>
      <c r="Z410" s="9"/>
      <c r="AA410" s="9"/>
      <c r="AB410" s="9"/>
      <c r="AC410" s="9"/>
      <c r="AD410" s="9" t="s">
        <v>20</v>
      </c>
    </row>
    <row r="411" spans="1:30" ht="58">
      <c r="A411" s="3" t="s">
        <v>1495</v>
      </c>
      <c r="B411" s="3" t="s">
        <v>12252</v>
      </c>
      <c r="C411" s="3" t="s">
        <v>12251</v>
      </c>
      <c r="G411" s="9" t="s">
        <v>25</v>
      </c>
      <c r="H411" s="9"/>
      <c r="I411" s="9">
        <v>6</v>
      </c>
      <c r="J411" s="9">
        <v>31</v>
      </c>
      <c r="K411" s="9"/>
      <c r="L411" s="9" t="s">
        <v>12073</v>
      </c>
      <c r="M411" s="9" t="s">
        <v>12140</v>
      </c>
      <c r="N411" s="10" t="s">
        <v>12193</v>
      </c>
      <c r="O411" s="9"/>
      <c r="P411" s="9">
        <v>81</v>
      </c>
      <c r="Q411" s="9"/>
      <c r="R411" s="9" t="s">
        <v>12795</v>
      </c>
      <c r="S411" s="9" t="s">
        <v>12795</v>
      </c>
      <c r="T411" s="9"/>
      <c r="U411" s="9"/>
      <c r="V411" s="9"/>
      <c r="W411" s="9"/>
      <c r="X411" s="9"/>
      <c r="Y411" s="9"/>
      <c r="Z411" s="9"/>
      <c r="AA411" s="9"/>
      <c r="AB411" s="9"/>
      <c r="AC411" s="9"/>
      <c r="AD411" s="9" t="s">
        <v>20</v>
      </c>
    </row>
    <row r="412" spans="1:30" ht="29">
      <c r="A412" s="3" t="s">
        <v>1497</v>
      </c>
      <c r="B412" s="3" t="s">
        <v>6200</v>
      </c>
      <c r="C412" s="3" t="s">
        <v>6201</v>
      </c>
      <c r="G412" s="9" t="s">
        <v>12121</v>
      </c>
      <c r="H412" s="9"/>
      <c r="I412" s="9"/>
      <c r="J412" s="9"/>
      <c r="K412" s="9"/>
      <c r="L412" s="9"/>
      <c r="M412" s="9"/>
      <c r="N412" s="10"/>
      <c r="O412" s="9"/>
      <c r="P412" s="9"/>
      <c r="Q412" s="9">
        <v>1</v>
      </c>
      <c r="R412" s="9">
        <v>0</v>
      </c>
      <c r="S412" s="9">
        <v>1</v>
      </c>
      <c r="T412" s="9"/>
      <c r="U412" s="9"/>
      <c r="V412" s="9"/>
      <c r="W412" s="9"/>
      <c r="X412" s="9"/>
      <c r="Y412" s="9"/>
      <c r="Z412" s="9"/>
      <c r="AA412" s="9"/>
      <c r="AB412" s="9"/>
      <c r="AC412" s="9"/>
      <c r="AD412" s="9" t="s">
        <v>19</v>
      </c>
    </row>
    <row r="413" spans="1:30" ht="29">
      <c r="A413" s="3" t="s">
        <v>1503</v>
      </c>
      <c r="B413" s="3" t="s">
        <v>6203</v>
      </c>
      <c r="C413" s="3" t="s">
        <v>6202</v>
      </c>
      <c r="G413" s="9" t="s">
        <v>25</v>
      </c>
      <c r="H413" s="9"/>
      <c r="I413" s="9">
        <v>1</v>
      </c>
      <c r="J413" s="9">
        <v>5</v>
      </c>
      <c r="K413" s="9" t="s">
        <v>12125</v>
      </c>
      <c r="L413" s="9" t="s">
        <v>12079</v>
      </c>
      <c r="M413" s="9"/>
      <c r="N413" s="10"/>
      <c r="O413" s="9"/>
      <c r="P413" s="9">
        <v>1565</v>
      </c>
      <c r="Q413" s="9"/>
      <c r="R413" s="9" t="s">
        <v>12795</v>
      </c>
      <c r="S413" s="9" t="s">
        <v>12795</v>
      </c>
      <c r="T413" s="9"/>
      <c r="U413" s="9"/>
      <c r="V413" s="9"/>
      <c r="W413" s="9"/>
      <c r="X413" s="9"/>
      <c r="Y413" s="9"/>
      <c r="Z413" s="9"/>
      <c r="AA413" s="9"/>
      <c r="AB413" s="9"/>
      <c r="AC413" s="9"/>
      <c r="AD413" s="9" t="s">
        <v>20</v>
      </c>
    </row>
    <row r="414" spans="1:30" ht="29">
      <c r="A414" s="3" t="s">
        <v>1506</v>
      </c>
      <c r="B414" s="3" t="s">
        <v>13011</v>
      </c>
      <c r="C414" s="5" t="s">
        <v>13011</v>
      </c>
      <c r="D414" t="s">
        <v>32</v>
      </c>
      <c r="G414" s="9" t="s">
        <v>12120</v>
      </c>
      <c r="H414" s="9"/>
      <c r="I414" s="9"/>
      <c r="J414" s="9"/>
      <c r="K414" s="9"/>
      <c r="L414" s="9"/>
      <c r="M414" s="9"/>
      <c r="N414" s="10"/>
      <c r="O414" s="9"/>
      <c r="P414" s="9"/>
      <c r="Q414" s="9"/>
      <c r="R414" s="9" t="s">
        <v>12795</v>
      </c>
      <c r="S414" s="9" t="s">
        <v>12795</v>
      </c>
      <c r="T414" s="9"/>
      <c r="U414" s="9"/>
      <c r="V414" s="9"/>
      <c r="W414" s="9"/>
      <c r="X414" s="9"/>
      <c r="Y414" s="9"/>
      <c r="Z414" s="9"/>
      <c r="AA414" s="9"/>
      <c r="AB414" s="9"/>
      <c r="AC414" s="9"/>
      <c r="AD414" s="9" t="s">
        <v>20</v>
      </c>
    </row>
    <row r="415" spans="1:30" ht="29">
      <c r="A415" s="3" t="s">
        <v>1507</v>
      </c>
      <c r="B415" s="3" t="s">
        <v>6216</v>
      </c>
      <c r="C415" s="3" t="s">
        <v>6217</v>
      </c>
      <c r="G415" s="9" t="s">
        <v>12118</v>
      </c>
      <c r="H415" s="9"/>
      <c r="I415" s="9"/>
      <c r="J415" s="9"/>
      <c r="K415" s="9"/>
      <c r="L415" s="9"/>
      <c r="M415" s="9"/>
      <c r="N415" s="10"/>
      <c r="O415" s="9"/>
      <c r="P415" s="9"/>
      <c r="Q415" s="9">
        <v>-95</v>
      </c>
      <c r="R415" s="9">
        <v>99</v>
      </c>
      <c r="S415" s="9">
        <v>4</v>
      </c>
      <c r="T415" s="9"/>
      <c r="U415" s="9"/>
      <c r="V415" s="9"/>
      <c r="W415" s="9"/>
      <c r="X415" s="9"/>
      <c r="Y415" s="9"/>
      <c r="Z415" s="9"/>
      <c r="AA415" s="9"/>
      <c r="AB415" s="9"/>
      <c r="AC415" s="9"/>
      <c r="AD415" s="9" t="s">
        <v>19</v>
      </c>
    </row>
    <row r="416" spans="1:30" ht="29">
      <c r="A416" s="3" t="s">
        <v>1509</v>
      </c>
      <c r="B416" s="3" t="s">
        <v>1304</v>
      </c>
      <c r="C416" s="3" t="s">
        <v>1510</v>
      </c>
      <c r="G416" s="9" t="s">
        <v>12120</v>
      </c>
      <c r="H416" s="9"/>
      <c r="I416" s="9"/>
      <c r="J416" s="9"/>
      <c r="K416" s="9"/>
      <c r="L416" s="9"/>
      <c r="M416" s="9"/>
      <c r="N416" s="10"/>
      <c r="O416" s="9"/>
      <c r="P416" s="9"/>
      <c r="Q416" s="9"/>
      <c r="R416" s="9" t="s">
        <v>12795</v>
      </c>
      <c r="S416" s="9" t="s">
        <v>12795</v>
      </c>
      <c r="T416" s="9"/>
      <c r="U416" s="9"/>
      <c r="V416" s="9"/>
      <c r="W416" s="9"/>
      <c r="X416" s="9"/>
      <c r="Y416" s="9"/>
      <c r="Z416" s="9"/>
      <c r="AA416" s="9"/>
      <c r="AB416" s="9"/>
      <c r="AC416" s="9"/>
      <c r="AD416" s="9" t="s">
        <v>20</v>
      </c>
    </row>
    <row r="417" spans="1:30" ht="43.5">
      <c r="A417" s="3" t="s">
        <v>1509</v>
      </c>
      <c r="B417" s="3" t="s">
        <v>6219</v>
      </c>
      <c r="C417" s="3" t="s">
        <v>6220</v>
      </c>
      <c r="G417" s="9" t="s">
        <v>26</v>
      </c>
      <c r="H417" s="9"/>
      <c r="I417" s="9"/>
      <c r="J417" s="9"/>
      <c r="K417" s="9"/>
      <c r="L417" s="9"/>
      <c r="M417" s="9"/>
      <c r="N417" s="10"/>
      <c r="O417" s="9"/>
      <c r="P417" s="9"/>
      <c r="Q417" s="9"/>
      <c r="R417" s="9" t="s">
        <v>12795</v>
      </c>
      <c r="S417" s="9" t="s">
        <v>12795</v>
      </c>
      <c r="T417" s="9"/>
      <c r="U417" s="9"/>
      <c r="V417" s="9"/>
      <c r="W417" s="9"/>
      <c r="X417" s="9"/>
      <c r="Y417" s="9"/>
      <c r="Z417" s="9"/>
      <c r="AA417" s="9"/>
      <c r="AB417" s="9"/>
      <c r="AC417" s="9"/>
      <c r="AD417" s="9" t="s">
        <v>19</v>
      </c>
    </row>
    <row r="418" spans="1:30" ht="43.5">
      <c r="A418" s="3" t="s">
        <v>1509</v>
      </c>
      <c r="B418" s="3" t="s">
        <v>6221</v>
      </c>
      <c r="C418" s="3" t="s">
        <v>6222</v>
      </c>
      <c r="G418" s="9" t="s">
        <v>12120</v>
      </c>
      <c r="H418" s="9"/>
      <c r="I418" s="9"/>
      <c r="J418" s="9"/>
      <c r="K418" s="9"/>
      <c r="L418" s="9"/>
      <c r="M418" s="9"/>
      <c r="N418" s="10"/>
      <c r="O418" s="9"/>
      <c r="P418" s="9"/>
      <c r="Q418" s="9"/>
      <c r="R418" s="9" t="s">
        <v>12795</v>
      </c>
      <c r="S418" s="9" t="s">
        <v>12795</v>
      </c>
      <c r="T418" s="9"/>
      <c r="U418" s="9"/>
      <c r="V418" s="9"/>
      <c r="W418" s="9"/>
      <c r="X418" s="9"/>
      <c r="Y418" s="9"/>
      <c r="Z418" s="9"/>
      <c r="AA418" s="9"/>
      <c r="AB418" s="9"/>
      <c r="AC418" s="9"/>
      <c r="AD418" s="9" t="s">
        <v>19</v>
      </c>
    </row>
    <row r="419" spans="1:30" ht="43.5">
      <c r="A419" s="3" t="s">
        <v>1509</v>
      </c>
      <c r="B419" s="3" t="s">
        <v>6218</v>
      </c>
      <c r="C419" s="3" t="s">
        <v>6223</v>
      </c>
      <c r="G419" s="9" t="s">
        <v>24</v>
      </c>
      <c r="H419" s="9"/>
      <c r="I419" s="9">
        <v>1</v>
      </c>
      <c r="J419" s="9">
        <v>4</v>
      </c>
      <c r="K419" s="9" t="s">
        <v>12094</v>
      </c>
      <c r="L419" s="9" t="s">
        <v>12079</v>
      </c>
      <c r="M419" s="9"/>
      <c r="N419" s="10"/>
      <c r="O419" s="9"/>
      <c r="P419" s="9">
        <v>4240</v>
      </c>
      <c r="Q419" s="9"/>
      <c r="R419" s="9" t="s">
        <v>12795</v>
      </c>
      <c r="S419" s="9" t="s">
        <v>12795</v>
      </c>
      <c r="T419" s="9"/>
      <c r="U419" s="9"/>
      <c r="V419" s="9"/>
      <c r="W419" s="9"/>
      <c r="X419" s="9"/>
      <c r="Y419" s="9"/>
      <c r="Z419" s="9"/>
      <c r="AA419" s="9"/>
      <c r="AB419" s="9"/>
      <c r="AC419" s="9"/>
      <c r="AD419" s="9" t="s">
        <v>19</v>
      </c>
    </row>
    <row r="420" spans="1:30">
      <c r="A420" s="3" t="s">
        <v>1513</v>
      </c>
      <c r="B420" s="3" t="s">
        <v>6224</v>
      </c>
      <c r="C420" s="11" t="s">
        <v>6225</v>
      </c>
      <c r="G420" s="9" t="s">
        <v>12118</v>
      </c>
      <c r="H420" s="9"/>
      <c r="I420" s="9"/>
      <c r="J420" s="9"/>
      <c r="K420" s="9"/>
      <c r="L420" s="9"/>
      <c r="M420" s="9"/>
      <c r="N420" s="10"/>
      <c r="O420" s="9"/>
      <c r="P420" s="9"/>
      <c r="Q420" s="9">
        <v>-8</v>
      </c>
      <c r="R420" s="9">
        <v>10</v>
      </c>
      <c r="S420" s="9">
        <v>2</v>
      </c>
      <c r="T420" s="9"/>
      <c r="U420" s="9"/>
      <c r="V420" s="9"/>
      <c r="W420" s="9"/>
      <c r="X420" s="9"/>
      <c r="Y420" s="9"/>
      <c r="Z420" s="9"/>
      <c r="AA420" s="9"/>
      <c r="AB420" s="9"/>
      <c r="AC420" s="9"/>
      <c r="AD420" s="9" t="s">
        <v>19</v>
      </c>
    </row>
    <row r="421" spans="1:30">
      <c r="A421" s="3" t="s">
        <v>1517</v>
      </c>
      <c r="B421" s="3" t="s">
        <v>6226</v>
      </c>
      <c r="C421" s="3" t="s">
        <v>6227</v>
      </c>
      <c r="G421" s="9" t="s">
        <v>25</v>
      </c>
      <c r="H421" s="9"/>
      <c r="I421" s="9">
        <v>1</v>
      </c>
      <c r="J421" s="9">
        <v>3</v>
      </c>
      <c r="K421" s="9" t="s">
        <v>12078</v>
      </c>
      <c r="L421" s="9" t="s">
        <v>12073</v>
      </c>
      <c r="M421" s="9" t="s">
        <v>12149</v>
      </c>
      <c r="N421" s="10" t="s">
        <v>12136</v>
      </c>
      <c r="O421" s="9"/>
      <c r="P421" s="9">
        <v>11843</v>
      </c>
      <c r="Q421" s="9"/>
      <c r="R421" s="9" t="s">
        <v>12795</v>
      </c>
      <c r="S421" s="9" t="s">
        <v>12795</v>
      </c>
      <c r="T421" s="9"/>
      <c r="U421" s="9"/>
      <c r="V421" s="9"/>
      <c r="W421" s="9"/>
      <c r="X421" s="9"/>
      <c r="Y421" s="9"/>
      <c r="Z421" s="9"/>
      <c r="AA421" s="9"/>
      <c r="AB421" s="9"/>
      <c r="AC421" s="9"/>
      <c r="AD421" s="9" t="s">
        <v>20</v>
      </c>
    </row>
    <row r="422" spans="1:30">
      <c r="A422" s="3" t="s">
        <v>1517</v>
      </c>
      <c r="B422" s="3" t="s">
        <v>727</v>
      </c>
      <c r="C422" s="3" t="s">
        <v>728</v>
      </c>
      <c r="G422" s="9" t="s">
        <v>12118</v>
      </c>
      <c r="H422" s="9"/>
      <c r="I422" s="9"/>
      <c r="J422" s="9"/>
      <c r="K422" s="9"/>
      <c r="L422" s="9"/>
      <c r="M422" s="9"/>
      <c r="N422" s="10"/>
      <c r="O422" s="9"/>
      <c r="P422" s="9"/>
      <c r="Q422" s="9">
        <v>-50</v>
      </c>
      <c r="R422" s="9">
        <v>87</v>
      </c>
      <c r="S422" s="9">
        <v>37</v>
      </c>
      <c r="T422" s="9"/>
      <c r="U422" s="9"/>
      <c r="V422" s="9"/>
      <c r="W422" s="9"/>
      <c r="X422" s="9"/>
      <c r="Y422" s="9"/>
      <c r="Z422" s="9"/>
      <c r="AA422" s="9"/>
      <c r="AB422" s="9"/>
      <c r="AC422" s="9"/>
      <c r="AD422" s="9" t="s">
        <v>19</v>
      </c>
    </row>
    <row r="423" spans="1:30" ht="29">
      <c r="A423" s="3" t="s">
        <v>1518</v>
      </c>
      <c r="B423" s="3" t="s">
        <v>6230</v>
      </c>
      <c r="C423" s="3" t="s">
        <v>6231</v>
      </c>
      <c r="G423" s="9" t="s">
        <v>12121</v>
      </c>
      <c r="H423" s="9"/>
      <c r="I423" s="9"/>
      <c r="J423" s="9"/>
      <c r="K423" s="9"/>
      <c r="L423" s="9"/>
      <c r="M423" s="9"/>
      <c r="N423" s="10"/>
      <c r="O423" s="9"/>
      <c r="P423" s="9"/>
      <c r="Q423" s="9">
        <v>111</v>
      </c>
      <c r="R423" s="9">
        <v>45</v>
      </c>
      <c r="S423" s="9">
        <v>156</v>
      </c>
      <c r="T423" s="9"/>
      <c r="U423" s="9"/>
      <c r="V423" s="9"/>
      <c r="W423" s="9"/>
      <c r="X423" s="9"/>
      <c r="Y423" s="9"/>
      <c r="Z423" s="9"/>
      <c r="AA423" s="9"/>
      <c r="AB423" s="9"/>
      <c r="AC423" s="9"/>
      <c r="AD423" s="9" t="s">
        <v>19</v>
      </c>
    </row>
    <row r="424" spans="1:30">
      <c r="A424" s="3" t="s">
        <v>1521</v>
      </c>
      <c r="B424" s="3" t="s">
        <v>6235</v>
      </c>
      <c r="C424" s="11" t="s">
        <v>6236</v>
      </c>
      <c r="G424" s="9" t="s">
        <v>25</v>
      </c>
      <c r="H424" s="9"/>
      <c r="I424" s="9">
        <v>2</v>
      </c>
      <c r="J424" s="9">
        <v>5</v>
      </c>
      <c r="K424" s="9"/>
      <c r="L424" s="9" t="s">
        <v>12073</v>
      </c>
      <c r="M424" s="9" t="s">
        <v>12149</v>
      </c>
      <c r="N424" s="10" t="s">
        <v>12160</v>
      </c>
      <c r="O424" s="9"/>
      <c r="P424" s="9">
        <v>472</v>
      </c>
      <c r="Q424" s="9"/>
      <c r="R424" s="9" t="s">
        <v>12795</v>
      </c>
      <c r="S424" s="9" t="s">
        <v>12795</v>
      </c>
      <c r="T424" s="9"/>
      <c r="U424" s="9"/>
      <c r="V424" s="9"/>
      <c r="W424" s="9"/>
      <c r="X424" s="9"/>
      <c r="Y424" s="9"/>
      <c r="Z424" s="9"/>
      <c r="AA424" s="9"/>
      <c r="AB424" s="9"/>
      <c r="AC424" s="9"/>
      <c r="AD424" s="9" t="s">
        <v>20</v>
      </c>
    </row>
    <row r="425" spans="1:30">
      <c r="A425" s="3" t="s">
        <v>1522</v>
      </c>
      <c r="B425" s="3" t="s">
        <v>6237</v>
      </c>
      <c r="C425" s="3" t="s">
        <v>6238</v>
      </c>
      <c r="E425" t="s">
        <v>20</v>
      </c>
      <c r="G425" s="9" t="s">
        <v>25</v>
      </c>
      <c r="H425" s="9"/>
      <c r="I425" s="9">
        <v>2</v>
      </c>
      <c r="J425" s="9">
        <v>4</v>
      </c>
      <c r="K425" s="9"/>
      <c r="L425" s="9" t="s">
        <v>12079</v>
      </c>
      <c r="M425" s="9"/>
      <c r="N425" s="10"/>
      <c r="O425" s="9"/>
      <c r="P425" s="9">
        <v>635</v>
      </c>
      <c r="Q425" s="9"/>
      <c r="R425" s="9" t="s">
        <v>12795</v>
      </c>
      <c r="S425" s="9" t="s">
        <v>12795</v>
      </c>
      <c r="T425" s="9"/>
      <c r="U425" s="9"/>
      <c r="V425" s="9"/>
      <c r="W425" s="9"/>
      <c r="X425" s="9"/>
      <c r="Y425" s="9"/>
      <c r="Z425" s="9"/>
      <c r="AA425" s="9"/>
      <c r="AB425" s="9"/>
      <c r="AC425" s="9"/>
      <c r="AD425" s="9" t="s">
        <v>19</v>
      </c>
    </row>
    <row r="426" spans="1:30">
      <c r="A426" s="3" t="s">
        <v>1523</v>
      </c>
      <c r="B426" s="3" t="s">
        <v>6240</v>
      </c>
      <c r="C426" s="3" t="s">
        <v>6241</v>
      </c>
      <c r="G426" s="9" t="s">
        <v>25</v>
      </c>
      <c r="H426" s="9"/>
      <c r="I426" s="9">
        <v>1</v>
      </c>
      <c r="J426" s="9">
        <v>5</v>
      </c>
      <c r="K426" s="9" t="s">
        <v>12125</v>
      </c>
      <c r="L426" s="9" t="s">
        <v>12079</v>
      </c>
      <c r="M426" s="9"/>
      <c r="N426" s="10"/>
      <c r="O426" s="9"/>
      <c r="P426" s="9">
        <v>1565</v>
      </c>
      <c r="Q426" s="9"/>
      <c r="R426" s="9" t="s">
        <v>12795</v>
      </c>
      <c r="S426" s="9" t="s">
        <v>12795</v>
      </c>
      <c r="T426" s="9"/>
      <c r="U426" s="9"/>
      <c r="V426" s="9"/>
      <c r="W426" s="9"/>
      <c r="X426" s="9"/>
      <c r="Y426" s="9"/>
      <c r="Z426" s="9"/>
      <c r="AA426" s="9"/>
      <c r="AB426" s="9"/>
      <c r="AC426" s="9"/>
      <c r="AD426" s="9" t="s">
        <v>19</v>
      </c>
    </row>
    <row r="427" spans="1:30" ht="29">
      <c r="A427" s="3" t="s">
        <v>1525</v>
      </c>
      <c r="B427" s="3" t="s">
        <v>6242</v>
      </c>
      <c r="C427" s="3" t="s">
        <v>6243</v>
      </c>
      <c r="G427" s="9" t="s">
        <v>24</v>
      </c>
      <c r="H427" s="9"/>
      <c r="I427" s="9">
        <v>1</v>
      </c>
      <c r="J427" s="9">
        <v>6</v>
      </c>
      <c r="K427" s="9" t="s">
        <v>12072</v>
      </c>
      <c r="L427" s="9" t="s">
        <v>12079</v>
      </c>
      <c r="M427" s="9"/>
      <c r="N427" s="10"/>
      <c r="O427" s="9"/>
      <c r="P427" s="9">
        <v>130</v>
      </c>
      <c r="Q427" s="9"/>
      <c r="R427" s="9" t="s">
        <v>12795</v>
      </c>
      <c r="S427" s="9" t="s">
        <v>12795</v>
      </c>
      <c r="T427" s="9"/>
      <c r="U427" s="9"/>
      <c r="V427" s="9"/>
      <c r="W427" s="9"/>
      <c r="X427" s="9"/>
      <c r="Y427" s="9"/>
      <c r="Z427" s="9"/>
      <c r="AA427" s="9"/>
      <c r="AB427" s="9"/>
      <c r="AC427" s="9"/>
      <c r="AD427" s="9" t="s">
        <v>19</v>
      </c>
    </row>
    <row r="428" spans="1:30" ht="43.5">
      <c r="A428" s="3" t="s">
        <v>1527</v>
      </c>
      <c r="B428" s="3" t="s">
        <v>6248</v>
      </c>
      <c r="C428" s="3" t="s">
        <v>6249</v>
      </c>
      <c r="G428" s="9" t="s">
        <v>25</v>
      </c>
      <c r="H428" s="9"/>
      <c r="I428" s="9">
        <v>3</v>
      </c>
      <c r="J428" s="9">
        <v>14</v>
      </c>
      <c r="K428" s="9"/>
      <c r="L428" s="9" t="s">
        <v>12073</v>
      </c>
      <c r="M428" s="9" t="s">
        <v>12140</v>
      </c>
      <c r="N428" s="10" t="s">
        <v>12136</v>
      </c>
      <c r="O428" s="9"/>
      <c r="P428" s="9">
        <v>12</v>
      </c>
      <c r="Q428" s="9"/>
      <c r="R428" s="9" t="s">
        <v>12795</v>
      </c>
      <c r="S428" s="9" t="s">
        <v>12795</v>
      </c>
      <c r="T428" s="9"/>
      <c r="U428" s="9"/>
      <c r="V428" s="9"/>
      <c r="W428" s="9"/>
      <c r="X428" s="9"/>
      <c r="Y428" s="9"/>
      <c r="Z428" s="9"/>
      <c r="AA428" s="9"/>
      <c r="AB428" s="9"/>
      <c r="AC428" s="9"/>
      <c r="AD428" s="9" t="s">
        <v>20</v>
      </c>
    </row>
    <row r="429" spans="1:30" ht="29">
      <c r="A429" s="3" t="s">
        <v>1527</v>
      </c>
      <c r="B429" s="3" t="s">
        <v>6252</v>
      </c>
      <c r="C429" s="3" t="s">
        <v>6253</v>
      </c>
      <c r="G429" s="9" t="s">
        <v>24</v>
      </c>
      <c r="H429" s="9"/>
      <c r="I429" s="9">
        <v>2</v>
      </c>
      <c r="J429" s="9">
        <v>6</v>
      </c>
      <c r="K429" s="9"/>
      <c r="L429" s="9" t="s">
        <v>12079</v>
      </c>
      <c r="M429" s="9"/>
      <c r="N429" s="10"/>
      <c r="O429" s="9"/>
      <c r="P429" s="9">
        <v>1565</v>
      </c>
      <c r="Q429" s="9"/>
      <c r="R429" s="9" t="s">
        <v>12795</v>
      </c>
      <c r="S429" s="9" t="s">
        <v>12795</v>
      </c>
      <c r="T429" s="9"/>
      <c r="U429" s="9"/>
      <c r="V429" s="9"/>
      <c r="W429" s="9"/>
      <c r="X429" s="9"/>
      <c r="Y429" s="9"/>
      <c r="Z429" s="9"/>
      <c r="AA429" s="9"/>
      <c r="AB429" s="9"/>
      <c r="AC429" s="9"/>
      <c r="AD429" s="9" t="s">
        <v>19</v>
      </c>
    </row>
    <row r="430" spans="1:30" ht="29">
      <c r="A430" s="3" t="s">
        <v>1529</v>
      </c>
      <c r="B430" s="3" t="s">
        <v>6256</v>
      </c>
      <c r="C430" s="3" t="s">
        <v>6257</v>
      </c>
      <c r="G430" s="9" t="s">
        <v>25</v>
      </c>
      <c r="H430" s="9"/>
      <c r="I430" s="9">
        <v>1</v>
      </c>
      <c r="J430" s="9">
        <v>5</v>
      </c>
      <c r="K430" s="9" t="s">
        <v>12094</v>
      </c>
      <c r="L430" s="9" t="s">
        <v>12073</v>
      </c>
      <c r="M430" s="9" t="s">
        <v>12149</v>
      </c>
      <c r="N430" s="10" t="s">
        <v>12143</v>
      </c>
      <c r="O430" s="9"/>
      <c r="P430" s="9">
        <v>4240</v>
      </c>
      <c r="Q430" s="9"/>
      <c r="R430" s="9" t="s">
        <v>12795</v>
      </c>
      <c r="S430" s="9" t="s">
        <v>12795</v>
      </c>
      <c r="T430" s="9"/>
      <c r="U430" s="9"/>
      <c r="V430" s="9"/>
      <c r="W430" s="9"/>
      <c r="X430" s="9"/>
      <c r="Y430" s="9"/>
      <c r="Z430" s="9"/>
      <c r="AA430" s="9"/>
      <c r="AB430" s="9"/>
      <c r="AC430" s="9"/>
      <c r="AD430" s="9" t="s">
        <v>19</v>
      </c>
    </row>
    <row r="431" spans="1:30" ht="29">
      <c r="A431" s="3" t="s">
        <v>1530</v>
      </c>
      <c r="B431" s="3" t="s">
        <v>6258</v>
      </c>
      <c r="C431" s="3" t="s">
        <v>6259</v>
      </c>
      <c r="G431" s="9" t="s">
        <v>25</v>
      </c>
      <c r="H431" s="9"/>
      <c r="I431" s="9">
        <v>1</v>
      </c>
      <c r="J431" s="9">
        <v>5</v>
      </c>
      <c r="K431" s="9" t="s">
        <v>12094</v>
      </c>
      <c r="L431" s="9" t="s">
        <v>12079</v>
      </c>
      <c r="M431" s="9"/>
      <c r="N431" s="10"/>
      <c r="O431" s="9"/>
      <c r="P431" s="9">
        <v>4240</v>
      </c>
      <c r="Q431" s="9"/>
      <c r="R431" s="9" t="s">
        <v>12795</v>
      </c>
      <c r="S431" s="9" t="s">
        <v>12795</v>
      </c>
      <c r="T431" s="9"/>
      <c r="U431" s="9"/>
      <c r="V431" s="9"/>
      <c r="W431" s="9"/>
      <c r="X431" s="9"/>
      <c r="Y431" s="9"/>
      <c r="Z431" s="9"/>
      <c r="AA431" s="9"/>
      <c r="AB431" s="9"/>
      <c r="AC431" s="9"/>
      <c r="AD431" s="9" t="s">
        <v>19</v>
      </c>
    </row>
    <row r="432" spans="1:30" ht="29">
      <c r="A432" s="3" t="s">
        <v>1531</v>
      </c>
      <c r="B432" s="3" t="s">
        <v>6260</v>
      </c>
      <c r="C432" s="3" t="s">
        <v>6261</v>
      </c>
      <c r="G432" s="9" t="s">
        <v>12118</v>
      </c>
      <c r="H432" s="9"/>
      <c r="I432" s="9"/>
      <c r="J432" s="9"/>
      <c r="K432" s="9"/>
      <c r="L432" s="9"/>
      <c r="M432" s="9"/>
      <c r="N432" s="10"/>
      <c r="O432" s="9"/>
      <c r="P432" s="9"/>
      <c r="Q432" s="9">
        <v>-111</v>
      </c>
      <c r="R432" s="9">
        <v>472</v>
      </c>
      <c r="S432" s="9">
        <v>361</v>
      </c>
      <c r="T432" s="9"/>
      <c r="U432" s="9"/>
      <c r="V432" s="9"/>
      <c r="W432" s="9"/>
      <c r="X432" s="9"/>
      <c r="Y432" s="9"/>
      <c r="Z432" s="9"/>
      <c r="AA432" s="9"/>
      <c r="AB432" s="9"/>
      <c r="AC432" s="9"/>
      <c r="AD432" s="9" t="s">
        <v>19</v>
      </c>
    </row>
    <row r="433" spans="1:30" ht="29">
      <c r="A433" s="3" t="s">
        <v>1531</v>
      </c>
      <c r="B433" s="3" t="s">
        <v>6262</v>
      </c>
      <c r="C433" s="3" t="s">
        <v>6263</v>
      </c>
      <c r="G433" s="9" t="s">
        <v>25</v>
      </c>
      <c r="H433" s="9"/>
      <c r="I433" s="9">
        <v>1</v>
      </c>
      <c r="J433" s="9">
        <v>2</v>
      </c>
      <c r="K433" s="9" t="s">
        <v>12094</v>
      </c>
      <c r="L433" s="9" t="s">
        <v>12119</v>
      </c>
      <c r="M433" s="9"/>
      <c r="N433" s="10"/>
      <c r="O433" s="9"/>
      <c r="P433" s="9">
        <v>1741</v>
      </c>
      <c r="Q433" s="9"/>
      <c r="R433" s="9" t="s">
        <v>12795</v>
      </c>
      <c r="S433" s="9" t="s">
        <v>12795</v>
      </c>
      <c r="T433" s="9"/>
      <c r="U433" s="9"/>
      <c r="V433" s="9"/>
      <c r="W433" s="9"/>
      <c r="X433" s="9"/>
      <c r="Y433" s="9"/>
      <c r="Z433" s="9"/>
      <c r="AA433" s="9"/>
      <c r="AB433" s="9"/>
      <c r="AC433" s="9"/>
      <c r="AD433" s="9" t="s">
        <v>20</v>
      </c>
    </row>
    <row r="434" spans="1:30" ht="29">
      <c r="A434" s="3" t="s">
        <v>1532</v>
      </c>
      <c r="B434" s="3" t="s">
        <v>6264</v>
      </c>
      <c r="C434" s="3" t="s">
        <v>6265</v>
      </c>
      <c r="G434" s="9" t="s">
        <v>24</v>
      </c>
      <c r="H434" s="9"/>
      <c r="I434" s="9">
        <v>1</v>
      </c>
      <c r="J434" s="9">
        <v>3</v>
      </c>
      <c r="K434" s="9" t="s">
        <v>12087</v>
      </c>
      <c r="L434" s="9" t="s">
        <v>12079</v>
      </c>
      <c r="M434" s="9"/>
      <c r="N434" s="10"/>
      <c r="O434" s="9"/>
      <c r="P434" s="9">
        <v>5676</v>
      </c>
      <c r="Q434" s="9"/>
      <c r="R434" s="9" t="s">
        <v>12795</v>
      </c>
      <c r="S434" s="9" t="s">
        <v>12795</v>
      </c>
      <c r="T434" s="9"/>
      <c r="U434" s="9"/>
      <c r="V434" s="9"/>
      <c r="W434" s="9"/>
      <c r="X434" s="9"/>
      <c r="Y434" s="9"/>
      <c r="Z434" s="9"/>
      <c r="AA434" s="9"/>
      <c r="AB434" s="9"/>
      <c r="AC434" s="9"/>
      <c r="AD434" s="9" t="s">
        <v>19</v>
      </c>
    </row>
    <row r="435" spans="1:30" ht="29">
      <c r="A435" s="3" t="s">
        <v>1533</v>
      </c>
      <c r="B435" s="3" t="s">
        <v>6266</v>
      </c>
      <c r="C435" s="3" t="s">
        <v>6267</v>
      </c>
      <c r="G435" s="9" t="s">
        <v>12118</v>
      </c>
      <c r="H435" s="9"/>
      <c r="I435" s="9"/>
      <c r="J435" s="9"/>
      <c r="K435" s="9"/>
      <c r="L435" s="9"/>
      <c r="M435" s="9"/>
      <c r="N435" s="10"/>
      <c r="O435" s="9"/>
      <c r="P435" s="9"/>
      <c r="Q435" s="9">
        <v>34</v>
      </c>
      <c r="R435" s="9">
        <v>71</v>
      </c>
      <c r="S435" s="9">
        <v>105</v>
      </c>
      <c r="T435" s="9"/>
      <c r="U435" s="9"/>
      <c r="V435" s="9"/>
      <c r="W435" s="9"/>
      <c r="X435" s="9"/>
      <c r="Y435" s="9"/>
      <c r="Z435" s="9"/>
      <c r="AA435" s="9"/>
      <c r="AB435" s="9"/>
      <c r="AC435" s="9"/>
      <c r="AD435" s="9" t="s">
        <v>19</v>
      </c>
    </row>
    <row r="436" spans="1:30" ht="29">
      <c r="A436" s="3" t="s">
        <v>1535</v>
      </c>
      <c r="B436" s="3" t="s">
        <v>6268</v>
      </c>
      <c r="C436" s="3" t="s">
        <v>6269</v>
      </c>
      <c r="G436" s="9" t="s">
        <v>12118</v>
      </c>
      <c r="H436" s="9"/>
      <c r="I436" s="9"/>
      <c r="J436" s="9"/>
      <c r="K436" s="9"/>
      <c r="L436" s="9"/>
      <c r="M436" s="9"/>
      <c r="N436" s="10"/>
      <c r="O436" s="9"/>
      <c r="P436" s="9"/>
      <c r="Q436" s="9">
        <v>541</v>
      </c>
      <c r="R436" s="9">
        <v>560</v>
      </c>
      <c r="S436" s="9">
        <v>1101</v>
      </c>
      <c r="T436" s="9"/>
      <c r="U436" s="9"/>
      <c r="V436" s="9"/>
      <c r="W436" s="9"/>
      <c r="X436" s="9"/>
      <c r="Y436" s="9"/>
      <c r="Z436" s="9"/>
      <c r="AA436" s="9"/>
      <c r="AB436" s="9"/>
      <c r="AC436" s="9"/>
      <c r="AD436" s="9" t="s">
        <v>19</v>
      </c>
    </row>
    <row r="437" spans="1:30" ht="29">
      <c r="A437" s="3" t="s">
        <v>1536</v>
      </c>
      <c r="B437" s="3" t="s">
        <v>6273</v>
      </c>
      <c r="C437" s="3" t="s">
        <v>6275</v>
      </c>
      <c r="G437" s="9" t="s">
        <v>25</v>
      </c>
      <c r="H437" s="9"/>
      <c r="I437" s="9">
        <v>1</v>
      </c>
      <c r="J437" s="9">
        <v>5</v>
      </c>
      <c r="K437" s="9" t="s">
        <v>12094</v>
      </c>
      <c r="L437" s="9" t="s">
        <v>12073</v>
      </c>
      <c r="M437" s="9" t="s">
        <v>12142</v>
      </c>
      <c r="N437" s="10" t="s">
        <v>12160</v>
      </c>
      <c r="O437" s="9"/>
      <c r="P437" s="9">
        <v>4240</v>
      </c>
      <c r="Q437" s="9"/>
      <c r="R437" s="9" t="s">
        <v>12795</v>
      </c>
      <c r="S437" s="9" t="s">
        <v>12795</v>
      </c>
      <c r="T437" s="9" t="s">
        <v>4</v>
      </c>
      <c r="U437" s="9"/>
      <c r="V437" s="9"/>
      <c r="W437" s="9"/>
      <c r="X437" s="9"/>
      <c r="Y437" s="9"/>
      <c r="Z437" s="9"/>
      <c r="AA437" s="9"/>
      <c r="AB437" s="9"/>
      <c r="AC437" s="9"/>
      <c r="AD437" s="9" t="s">
        <v>20</v>
      </c>
    </row>
    <row r="438" spans="1:30" ht="43.5">
      <c r="A438" s="3" t="s">
        <v>1537</v>
      </c>
      <c r="B438" s="3" t="s">
        <v>6278</v>
      </c>
      <c r="C438" s="3" t="s">
        <v>6279</v>
      </c>
      <c r="G438" s="9" t="s">
        <v>26</v>
      </c>
      <c r="H438" s="9"/>
      <c r="I438" s="9"/>
      <c r="J438" s="9"/>
      <c r="K438" s="9"/>
      <c r="L438" s="9"/>
      <c r="M438" s="9"/>
      <c r="N438" s="10"/>
      <c r="O438" s="9"/>
      <c r="P438" s="9"/>
      <c r="Q438" s="9"/>
      <c r="R438" s="9" t="s">
        <v>12795</v>
      </c>
      <c r="S438" s="9" t="s">
        <v>12795</v>
      </c>
      <c r="T438" s="9"/>
      <c r="U438" s="9"/>
      <c r="V438" s="9"/>
      <c r="W438" s="9"/>
      <c r="X438" s="9"/>
      <c r="Y438" s="9"/>
      <c r="Z438" s="9"/>
      <c r="AA438" s="9"/>
      <c r="AB438" s="9"/>
      <c r="AC438" s="9"/>
      <c r="AD438" s="9" t="s">
        <v>20</v>
      </c>
    </row>
    <row r="439" spans="1:30" ht="29">
      <c r="A439" s="3" t="s">
        <v>1538</v>
      </c>
      <c r="B439" s="3" t="s">
        <v>6282</v>
      </c>
      <c r="C439" s="3" t="s">
        <v>6283</v>
      </c>
      <c r="G439" s="9" t="s">
        <v>12120</v>
      </c>
      <c r="H439" s="9"/>
      <c r="I439" s="9"/>
      <c r="J439" s="9"/>
      <c r="K439" s="9"/>
      <c r="L439" s="9"/>
      <c r="M439" s="9"/>
      <c r="N439" s="10"/>
      <c r="O439" s="9"/>
      <c r="P439" s="9"/>
      <c r="Q439" s="9"/>
      <c r="R439" s="9" t="s">
        <v>12795</v>
      </c>
      <c r="S439" s="9" t="s">
        <v>12795</v>
      </c>
      <c r="T439" s="9"/>
      <c r="U439" s="9"/>
      <c r="V439" s="9"/>
      <c r="W439" s="9"/>
      <c r="X439" s="9"/>
      <c r="Y439" s="9"/>
      <c r="Z439" s="9"/>
      <c r="AA439" s="9"/>
      <c r="AB439" s="9"/>
      <c r="AC439" s="9"/>
      <c r="AD439" s="9" t="s">
        <v>20</v>
      </c>
    </row>
    <row r="440" spans="1:30" ht="29">
      <c r="A440" s="3" t="s">
        <v>1538</v>
      </c>
      <c r="B440" s="11" t="s">
        <v>6285</v>
      </c>
      <c r="C440" s="11" t="s">
        <v>6284</v>
      </c>
      <c r="G440" s="9" t="s">
        <v>24</v>
      </c>
      <c r="H440" s="9"/>
      <c r="I440" s="9">
        <v>1</v>
      </c>
      <c r="J440" s="9">
        <v>2</v>
      </c>
      <c r="K440" s="9" t="s">
        <v>12096</v>
      </c>
      <c r="L440" s="9" t="s">
        <v>12119</v>
      </c>
      <c r="M440" s="9"/>
      <c r="N440" s="10"/>
      <c r="O440" s="9"/>
      <c r="P440" s="9">
        <v>560</v>
      </c>
      <c r="Q440" s="9"/>
      <c r="R440" s="9" t="s">
        <v>12795</v>
      </c>
      <c r="S440" s="9" t="s">
        <v>12795</v>
      </c>
      <c r="T440" s="9"/>
      <c r="U440" s="9"/>
      <c r="V440" s="9"/>
      <c r="W440" s="9"/>
      <c r="X440" s="9"/>
      <c r="Y440" s="9"/>
      <c r="Z440" s="9"/>
      <c r="AA440" s="9"/>
      <c r="AB440" s="9"/>
      <c r="AC440" s="9"/>
      <c r="AD440" s="9" t="s">
        <v>19</v>
      </c>
    </row>
    <row r="441" spans="1:30" ht="29">
      <c r="A441" s="3" t="s">
        <v>1541</v>
      </c>
      <c r="B441" s="3" t="s">
        <v>6290</v>
      </c>
      <c r="C441" s="3" t="s">
        <v>6291</v>
      </c>
      <c r="G441" s="9" t="s">
        <v>25</v>
      </c>
      <c r="H441" s="9"/>
      <c r="I441" s="9">
        <v>1</v>
      </c>
      <c r="J441" s="9">
        <v>4</v>
      </c>
      <c r="K441" s="9" t="s">
        <v>12094</v>
      </c>
      <c r="L441" s="9" t="s">
        <v>12079</v>
      </c>
      <c r="M441" s="9"/>
      <c r="N441" s="10"/>
      <c r="O441" s="9"/>
      <c r="P441" s="9">
        <v>4240</v>
      </c>
      <c r="Q441" s="9"/>
      <c r="R441" s="9" t="s">
        <v>12795</v>
      </c>
      <c r="S441" s="9" t="s">
        <v>12795</v>
      </c>
      <c r="T441" s="9"/>
      <c r="U441" s="9"/>
      <c r="V441" s="9"/>
      <c r="W441" s="9"/>
      <c r="X441" s="9"/>
      <c r="Y441" s="9"/>
      <c r="Z441" s="9"/>
      <c r="AA441" s="9"/>
      <c r="AB441" s="9"/>
      <c r="AC441" s="9"/>
      <c r="AD441" s="9" t="s">
        <v>19</v>
      </c>
    </row>
    <row r="442" spans="1:30" ht="29">
      <c r="A442" s="3" t="s">
        <v>1542</v>
      </c>
      <c r="B442" s="3" t="s">
        <v>6292</v>
      </c>
      <c r="C442" s="3" t="s">
        <v>6293</v>
      </c>
      <c r="F442" t="s">
        <v>19</v>
      </c>
      <c r="G442" s="9" t="s">
        <v>24</v>
      </c>
      <c r="H442" s="9"/>
      <c r="I442" s="9">
        <v>1</v>
      </c>
      <c r="J442" s="9">
        <v>5</v>
      </c>
      <c r="K442" s="9" t="s">
        <v>12094</v>
      </c>
      <c r="L442" s="9" t="s">
        <v>12073</v>
      </c>
      <c r="M442" s="9" t="s">
        <v>12149</v>
      </c>
      <c r="N442" s="10" t="s">
        <v>12143</v>
      </c>
      <c r="O442" s="9"/>
      <c r="P442" s="9">
        <v>930</v>
      </c>
      <c r="Q442" s="9"/>
      <c r="R442" s="9" t="s">
        <v>12795</v>
      </c>
      <c r="S442" s="9" t="s">
        <v>12795</v>
      </c>
      <c r="T442" s="9"/>
      <c r="U442" s="9"/>
      <c r="V442" s="9"/>
      <c r="W442" s="9"/>
      <c r="X442" s="9"/>
      <c r="Y442" s="9"/>
      <c r="Z442" s="9"/>
      <c r="AA442" s="9"/>
      <c r="AB442" s="9"/>
      <c r="AC442" s="9"/>
      <c r="AD442" s="9" t="s">
        <v>20</v>
      </c>
    </row>
    <row r="443" spans="1:30" ht="43.5">
      <c r="A443" s="3" t="s">
        <v>1543</v>
      </c>
      <c r="B443" s="3" t="s">
        <v>12873</v>
      </c>
      <c r="C443" s="3" t="s">
        <v>12874</v>
      </c>
      <c r="G443" s="9" t="s">
        <v>26</v>
      </c>
      <c r="H443" s="9"/>
      <c r="I443" s="9"/>
      <c r="J443" s="9"/>
      <c r="K443" s="9"/>
      <c r="L443" s="9"/>
      <c r="M443" s="9"/>
      <c r="N443" s="10"/>
      <c r="O443" s="9"/>
      <c r="P443" s="9"/>
      <c r="Q443" s="9"/>
      <c r="R443" s="9" t="s">
        <v>12795</v>
      </c>
      <c r="S443" s="9" t="s">
        <v>12795</v>
      </c>
      <c r="T443" s="9"/>
      <c r="U443" s="9"/>
      <c r="V443" s="9"/>
      <c r="W443" s="9"/>
      <c r="X443" s="9"/>
      <c r="Y443" s="9"/>
      <c r="Z443" s="9"/>
      <c r="AA443" s="9"/>
      <c r="AB443" s="9"/>
      <c r="AC443" s="9"/>
      <c r="AD443" s="9" t="s">
        <v>20</v>
      </c>
    </row>
    <row r="444" spans="1:30" ht="29">
      <c r="A444" s="3" t="s">
        <v>1549</v>
      </c>
      <c r="B444" s="3" t="s">
        <v>6295</v>
      </c>
      <c r="C444" s="3" t="s">
        <v>6294</v>
      </c>
      <c r="G444" s="9" t="s">
        <v>25</v>
      </c>
      <c r="H444" s="9"/>
      <c r="I444" s="9">
        <v>1</v>
      </c>
      <c r="J444" s="9">
        <v>5</v>
      </c>
      <c r="K444" s="9" t="s">
        <v>12098</v>
      </c>
      <c r="L444" s="9" t="s">
        <v>12079</v>
      </c>
      <c r="M444" s="9"/>
      <c r="N444" s="10"/>
      <c r="O444" s="9"/>
      <c r="P444" s="9">
        <v>1565</v>
      </c>
      <c r="Q444" s="9"/>
      <c r="R444" s="9" t="s">
        <v>12795</v>
      </c>
      <c r="S444" s="9" t="s">
        <v>12795</v>
      </c>
      <c r="T444" s="9"/>
      <c r="U444" s="9"/>
      <c r="V444" s="9"/>
      <c r="W444" s="9"/>
      <c r="X444" s="9"/>
      <c r="Y444" s="9"/>
      <c r="Z444" s="9"/>
      <c r="AA444" s="9"/>
      <c r="AB444" s="9"/>
      <c r="AC444" s="9"/>
      <c r="AD444" s="9" t="s">
        <v>19</v>
      </c>
    </row>
    <row r="445" spans="1:30" ht="29">
      <c r="A445" s="3" t="s">
        <v>1555</v>
      </c>
      <c r="B445" s="3" t="s">
        <v>6298</v>
      </c>
      <c r="C445" s="3" t="s">
        <v>6299</v>
      </c>
      <c r="G445" s="9" t="s">
        <v>12120</v>
      </c>
      <c r="H445" s="9"/>
      <c r="I445" s="9"/>
      <c r="J445" s="9"/>
      <c r="K445" s="9"/>
      <c r="L445" s="9"/>
      <c r="M445" s="9"/>
      <c r="N445" s="10"/>
      <c r="O445" s="9"/>
      <c r="P445" s="9"/>
      <c r="Q445" s="9"/>
      <c r="R445" s="9" t="s">
        <v>12795</v>
      </c>
      <c r="S445" s="9" t="s">
        <v>12795</v>
      </c>
      <c r="T445" s="9"/>
      <c r="U445" s="9"/>
      <c r="V445" s="9"/>
      <c r="W445" s="9"/>
      <c r="X445" s="9"/>
      <c r="Y445" s="9"/>
      <c r="Z445" s="9"/>
      <c r="AA445" s="9"/>
      <c r="AB445" s="9"/>
      <c r="AC445" s="9"/>
      <c r="AD445" s="9" t="s">
        <v>20</v>
      </c>
    </row>
    <row r="446" spans="1:30" ht="29">
      <c r="A446" s="3" t="s">
        <v>1555</v>
      </c>
      <c r="B446" s="3" t="s">
        <v>6300</v>
      </c>
      <c r="C446" s="3" t="s">
        <v>6301</v>
      </c>
      <c r="G446" s="9" t="s">
        <v>12120</v>
      </c>
      <c r="H446" s="9"/>
      <c r="I446" s="9"/>
      <c r="J446" s="9"/>
      <c r="K446" s="9"/>
      <c r="L446" s="9"/>
      <c r="M446" s="9"/>
      <c r="N446" s="10"/>
      <c r="O446" s="9"/>
      <c r="P446" s="9"/>
      <c r="Q446" s="9"/>
      <c r="R446" s="9" t="s">
        <v>12795</v>
      </c>
      <c r="S446" s="9" t="s">
        <v>12795</v>
      </c>
      <c r="T446" s="9"/>
      <c r="U446" s="9"/>
      <c r="V446" s="9"/>
      <c r="W446" s="9"/>
      <c r="X446" s="9"/>
      <c r="Y446" s="9"/>
      <c r="Z446" s="9"/>
      <c r="AA446" s="9"/>
      <c r="AB446" s="9"/>
      <c r="AC446" s="9"/>
      <c r="AD446" s="9" t="s">
        <v>19</v>
      </c>
    </row>
    <row r="447" spans="1:30">
      <c r="A447" s="3" t="s">
        <v>1555</v>
      </c>
      <c r="B447" s="3" t="s">
        <v>1556</v>
      </c>
      <c r="C447" s="3" t="s">
        <v>1557</v>
      </c>
      <c r="G447" s="9" t="s">
        <v>12120</v>
      </c>
      <c r="H447" s="9"/>
      <c r="I447" s="9"/>
      <c r="J447" s="9"/>
      <c r="K447" s="9"/>
      <c r="L447" s="9"/>
      <c r="M447" s="9"/>
      <c r="N447" s="10"/>
      <c r="O447" s="9"/>
      <c r="P447" s="9"/>
      <c r="Q447" s="9"/>
      <c r="R447" s="9" t="s">
        <v>12795</v>
      </c>
      <c r="S447" s="9" t="s">
        <v>12795</v>
      </c>
      <c r="T447" s="9"/>
      <c r="U447" s="9"/>
      <c r="V447" s="9"/>
      <c r="W447" s="9"/>
      <c r="X447" s="9"/>
      <c r="Y447" s="9"/>
      <c r="Z447" s="9"/>
      <c r="AA447" s="9"/>
      <c r="AB447" s="9"/>
      <c r="AC447" s="9"/>
      <c r="AD447" s="9" t="s">
        <v>19</v>
      </c>
    </row>
    <row r="448" spans="1:30">
      <c r="A448" s="3" t="s">
        <v>1558</v>
      </c>
      <c r="B448" s="3" t="s">
        <v>6306</v>
      </c>
      <c r="C448" s="3" t="s">
        <v>6307</v>
      </c>
      <c r="G448" s="9" t="s">
        <v>25</v>
      </c>
      <c r="H448" s="9"/>
      <c r="I448" s="9">
        <v>1</v>
      </c>
      <c r="J448" s="9">
        <v>2</v>
      </c>
      <c r="K448" s="9" t="s">
        <v>12078</v>
      </c>
      <c r="L448" s="9" t="s">
        <v>12119</v>
      </c>
      <c r="M448" s="9"/>
      <c r="N448" s="10"/>
      <c r="O448" s="9" t="s">
        <v>12074</v>
      </c>
      <c r="P448" s="9">
        <v>11843</v>
      </c>
      <c r="Q448" s="9"/>
      <c r="R448" s="9" t="s">
        <v>12795</v>
      </c>
      <c r="S448" s="9" t="s">
        <v>12795</v>
      </c>
      <c r="T448" s="9"/>
      <c r="U448" s="9"/>
      <c r="V448" s="9"/>
      <c r="W448" s="9"/>
      <c r="X448" s="9"/>
      <c r="Y448" s="9"/>
      <c r="Z448" s="9"/>
      <c r="AA448" s="9"/>
      <c r="AB448" s="9"/>
      <c r="AC448" s="9"/>
      <c r="AD448" s="9" t="s">
        <v>20</v>
      </c>
    </row>
    <row r="449" spans="1:30" ht="29">
      <c r="A449" s="3" t="s">
        <v>1563</v>
      </c>
      <c r="B449" s="3" t="s">
        <v>6311</v>
      </c>
      <c r="C449" s="3" t="s">
        <v>6312</v>
      </c>
      <c r="G449" s="9" t="s">
        <v>12120</v>
      </c>
      <c r="H449" s="9"/>
      <c r="I449" s="9"/>
      <c r="J449" s="9"/>
      <c r="K449" s="9"/>
      <c r="L449" s="9"/>
      <c r="M449" s="9"/>
      <c r="N449" s="10"/>
      <c r="O449" s="9"/>
      <c r="P449" s="9"/>
      <c r="Q449" s="9"/>
      <c r="R449" s="9" t="s">
        <v>12795</v>
      </c>
      <c r="S449" s="9" t="s">
        <v>12795</v>
      </c>
      <c r="T449" s="9"/>
      <c r="U449" s="9"/>
      <c r="V449" s="9"/>
      <c r="W449" s="9"/>
      <c r="X449" s="9"/>
      <c r="Y449" s="9"/>
      <c r="Z449" s="9"/>
      <c r="AA449" s="9"/>
      <c r="AB449" s="9"/>
      <c r="AC449" s="9"/>
      <c r="AD449" s="9" t="s">
        <v>19</v>
      </c>
    </row>
    <row r="450" spans="1:30" ht="29">
      <c r="A450" s="3" t="s">
        <v>1566</v>
      </c>
      <c r="B450" s="3" t="s">
        <v>553</v>
      </c>
      <c r="C450" s="3" t="s">
        <v>1493</v>
      </c>
      <c r="G450" s="9" t="s">
        <v>12120</v>
      </c>
      <c r="H450" s="9"/>
      <c r="I450" s="9"/>
      <c r="J450" s="9"/>
      <c r="K450" s="9"/>
      <c r="L450" s="9"/>
      <c r="M450" s="9"/>
      <c r="N450" s="10"/>
      <c r="O450" s="9"/>
      <c r="P450" s="9"/>
      <c r="Q450" s="9"/>
      <c r="R450" s="9" t="s">
        <v>12795</v>
      </c>
      <c r="S450" s="9" t="s">
        <v>12795</v>
      </c>
      <c r="T450" s="9"/>
      <c r="U450" s="9"/>
      <c r="V450" s="9"/>
      <c r="W450" s="9"/>
      <c r="X450" s="9"/>
      <c r="Y450" s="9"/>
      <c r="Z450" s="9"/>
      <c r="AA450" s="9"/>
      <c r="AB450" s="9"/>
      <c r="AC450" s="9"/>
      <c r="AD450" s="9" t="s">
        <v>20</v>
      </c>
    </row>
    <row r="451" spans="1:30" ht="29">
      <c r="A451" s="3" t="s">
        <v>1566</v>
      </c>
      <c r="B451" s="3" t="s">
        <v>1567</v>
      </c>
      <c r="C451" s="3" t="s">
        <v>1568</v>
      </c>
      <c r="G451" s="9" t="s">
        <v>12120</v>
      </c>
      <c r="H451" s="9"/>
      <c r="I451" s="9"/>
      <c r="J451" s="9"/>
      <c r="K451" s="9"/>
      <c r="L451" s="9"/>
      <c r="M451" s="9"/>
      <c r="N451" s="10"/>
      <c r="O451" s="9"/>
      <c r="P451" s="9"/>
      <c r="Q451" s="9"/>
      <c r="R451" s="9" t="s">
        <v>12795</v>
      </c>
      <c r="S451" s="9" t="s">
        <v>12795</v>
      </c>
      <c r="T451" s="9"/>
      <c r="U451" s="9"/>
      <c r="V451" s="9"/>
      <c r="W451" s="9"/>
      <c r="X451" s="9"/>
      <c r="Y451" s="9"/>
      <c r="Z451" s="9"/>
      <c r="AA451" s="9"/>
      <c r="AB451" s="9"/>
      <c r="AC451" s="9"/>
      <c r="AD451" s="9" t="s">
        <v>20</v>
      </c>
    </row>
    <row r="452" spans="1:30" ht="29">
      <c r="A452" s="3" t="s">
        <v>1569</v>
      </c>
      <c r="B452" s="3" t="s">
        <v>6318</v>
      </c>
      <c r="C452" s="3" t="s">
        <v>6317</v>
      </c>
      <c r="G452" s="9" t="s">
        <v>25</v>
      </c>
      <c r="H452" s="9"/>
      <c r="I452" s="9">
        <v>1</v>
      </c>
      <c r="J452" s="9">
        <v>1</v>
      </c>
      <c r="K452" s="9" t="s">
        <v>12078</v>
      </c>
      <c r="L452" s="9" t="s">
        <v>12119</v>
      </c>
      <c r="M452" s="9"/>
      <c r="N452" s="10"/>
      <c r="O452" s="9"/>
      <c r="P452" s="9">
        <v>11843</v>
      </c>
      <c r="Q452" s="9"/>
      <c r="R452" s="9" t="s">
        <v>12795</v>
      </c>
      <c r="S452" s="9" t="s">
        <v>12795</v>
      </c>
      <c r="T452" s="9"/>
      <c r="U452" s="9"/>
      <c r="V452" s="9"/>
      <c r="W452" s="9"/>
      <c r="X452" s="9"/>
      <c r="Y452" s="9"/>
      <c r="Z452" s="9"/>
      <c r="AA452" s="9"/>
      <c r="AB452" s="9"/>
      <c r="AC452" s="9"/>
      <c r="AD452" s="9" t="s">
        <v>20</v>
      </c>
    </row>
    <row r="453" spans="1:30" ht="29">
      <c r="A453" s="3" t="s">
        <v>1570</v>
      </c>
      <c r="B453" s="3" t="s">
        <v>6321</v>
      </c>
      <c r="C453" s="3" t="s">
        <v>6322</v>
      </c>
      <c r="G453" s="9" t="s">
        <v>24</v>
      </c>
      <c r="H453" s="9"/>
      <c r="I453" s="9">
        <v>1</v>
      </c>
      <c r="J453" s="9">
        <v>3</v>
      </c>
      <c r="K453" s="9" t="s">
        <v>12078</v>
      </c>
      <c r="L453" s="9" t="s">
        <v>12079</v>
      </c>
      <c r="M453" s="9"/>
      <c r="N453" s="10"/>
      <c r="O453" s="9"/>
      <c r="P453" s="9">
        <v>11843</v>
      </c>
      <c r="Q453" s="9"/>
      <c r="R453" s="9" t="s">
        <v>12795</v>
      </c>
      <c r="S453" s="9" t="s">
        <v>12795</v>
      </c>
      <c r="T453" s="9"/>
      <c r="U453" s="9"/>
      <c r="V453" s="9"/>
      <c r="W453" s="9"/>
      <c r="X453" s="9"/>
      <c r="Y453" s="9"/>
      <c r="Z453" s="9"/>
      <c r="AA453" s="9"/>
      <c r="AB453" s="9"/>
      <c r="AC453" s="9"/>
      <c r="AD453" s="9" t="s">
        <v>13141</v>
      </c>
    </row>
    <row r="454" spans="1:30" ht="29">
      <c r="A454" s="3" t="s">
        <v>1571</v>
      </c>
      <c r="B454" s="3" t="s">
        <v>6323</v>
      </c>
      <c r="C454" s="3" t="s">
        <v>6324</v>
      </c>
      <c r="G454" s="9" t="s">
        <v>24</v>
      </c>
      <c r="H454" s="9"/>
      <c r="I454" s="9">
        <v>1</v>
      </c>
      <c r="J454" s="9">
        <v>1</v>
      </c>
      <c r="K454" s="9" t="s">
        <v>12078</v>
      </c>
      <c r="L454" s="9" t="s">
        <v>12119</v>
      </c>
      <c r="M454" s="9"/>
      <c r="N454" s="10"/>
      <c r="O454" s="9"/>
      <c r="P454" s="9">
        <v>11843</v>
      </c>
      <c r="Q454" s="9"/>
      <c r="R454" s="9" t="s">
        <v>12795</v>
      </c>
      <c r="S454" s="9" t="s">
        <v>12795</v>
      </c>
      <c r="T454" s="9"/>
      <c r="U454" s="9"/>
      <c r="V454" s="9"/>
      <c r="W454" s="9"/>
      <c r="X454" s="9"/>
      <c r="Y454" s="9"/>
      <c r="Z454" s="9"/>
      <c r="AA454" s="9"/>
      <c r="AB454" s="9"/>
      <c r="AC454" s="9"/>
      <c r="AD454" s="9" t="s">
        <v>19</v>
      </c>
    </row>
    <row r="455" spans="1:30" ht="29">
      <c r="A455" s="3" t="s">
        <v>1571</v>
      </c>
      <c r="B455" s="3" t="s">
        <v>6325</v>
      </c>
      <c r="C455" s="3" t="s">
        <v>6326</v>
      </c>
      <c r="G455" s="9" t="s">
        <v>24</v>
      </c>
      <c r="H455" s="9"/>
      <c r="I455" s="9">
        <v>1</v>
      </c>
      <c r="J455" s="9">
        <v>3</v>
      </c>
      <c r="K455" s="9" t="s">
        <v>12087</v>
      </c>
      <c r="L455" s="9" t="s">
        <v>12079</v>
      </c>
      <c r="M455" s="9"/>
      <c r="N455" s="10"/>
      <c r="O455" s="9"/>
      <c r="P455" s="9">
        <v>810</v>
      </c>
      <c r="Q455" s="9"/>
      <c r="R455" s="9" t="s">
        <v>12795</v>
      </c>
      <c r="S455" s="9" t="s">
        <v>12795</v>
      </c>
      <c r="T455" s="9"/>
      <c r="U455" s="9"/>
      <c r="V455" s="9"/>
      <c r="W455" s="9"/>
      <c r="X455" s="9"/>
      <c r="Y455" s="9"/>
      <c r="Z455" s="9"/>
      <c r="AA455" s="9"/>
      <c r="AB455" s="9"/>
      <c r="AC455" s="9"/>
      <c r="AD455" s="9" t="s">
        <v>19</v>
      </c>
    </row>
    <row r="456" spans="1:30" ht="43.5">
      <c r="A456" s="3" t="s">
        <v>1572</v>
      </c>
      <c r="B456" s="3" t="s">
        <v>6335</v>
      </c>
      <c r="C456" s="3" t="s">
        <v>6336</v>
      </c>
      <c r="G456" s="9" t="s">
        <v>26</v>
      </c>
      <c r="H456" s="9"/>
      <c r="I456" s="9"/>
      <c r="J456" s="9"/>
      <c r="K456" s="9"/>
      <c r="L456" s="9"/>
      <c r="M456" s="9"/>
      <c r="N456" s="10"/>
      <c r="O456" s="9"/>
      <c r="P456" s="9"/>
      <c r="Q456" s="9"/>
      <c r="R456" s="9" t="s">
        <v>12795</v>
      </c>
      <c r="S456" s="9" t="s">
        <v>12795</v>
      </c>
      <c r="T456" s="9"/>
      <c r="U456" s="9"/>
      <c r="V456" s="9"/>
      <c r="W456" s="9"/>
      <c r="X456" s="9"/>
      <c r="Y456" s="9"/>
      <c r="Z456" s="9"/>
      <c r="AA456" s="9"/>
      <c r="AB456" s="9"/>
      <c r="AC456" s="9"/>
      <c r="AD456" s="9" t="s">
        <v>19</v>
      </c>
    </row>
    <row r="457" spans="1:30" ht="29">
      <c r="A457" s="3" t="s">
        <v>1573</v>
      </c>
      <c r="B457" s="3" t="s">
        <v>6340</v>
      </c>
      <c r="C457" s="3" t="s">
        <v>6339</v>
      </c>
      <c r="G457" s="9" t="s">
        <v>24</v>
      </c>
      <c r="H457" s="9"/>
      <c r="I457" s="9">
        <v>1</v>
      </c>
      <c r="J457" s="9">
        <v>3</v>
      </c>
      <c r="K457" s="9" t="s">
        <v>12087</v>
      </c>
      <c r="L457" s="9" t="s">
        <v>12079</v>
      </c>
      <c r="M457" s="9"/>
      <c r="N457" s="10"/>
      <c r="O457" s="9"/>
      <c r="P457" s="9">
        <v>67</v>
      </c>
      <c r="Q457" s="9"/>
      <c r="R457" s="9" t="s">
        <v>12795</v>
      </c>
      <c r="S457" s="9" t="s">
        <v>12795</v>
      </c>
      <c r="T457" s="9"/>
      <c r="U457" s="9"/>
      <c r="V457" s="9"/>
      <c r="W457" s="9"/>
      <c r="X457" s="9"/>
      <c r="Y457" s="9"/>
      <c r="Z457" s="9"/>
      <c r="AA457" s="9"/>
      <c r="AB457" s="9"/>
      <c r="AC457" s="9"/>
      <c r="AD457" s="9" t="s">
        <v>19</v>
      </c>
    </row>
    <row r="458" spans="1:30" ht="29">
      <c r="A458" s="3" t="s">
        <v>1573</v>
      </c>
      <c r="B458" s="3" t="s">
        <v>6342</v>
      </c>
      <c r="C458" s="3" t="s">
        <v>6343</v>
      </c>
      <c r="G458" s="9" t="s">
        <v>12120</v>
      </c>
      <c r="H458" s="9"/>
      <c r="I458" s="9"/>
      <c r="J458" s="9"/>
      <c r="K458" s="9"/>
      <c r="L458" s="9"/>
      <c r="M458" s="9"/>
      <c r="N458" s="10"/>
      <c r="O458" s="9"/>
      <c r="P458" s="9"/>
      <c r="Q458" s="9"/>
      <c r="R458" s="9" t="s">
        <v>12795</v>
      </c>
      <c r="S458" s="9" t="s">
        <v>12795</v>
      </c>
      <c r="T458" s="9"/>
      <c r="U458" s="9"/>
      <c r="V458" s="9"/>
      <c r="W458" s="9"/>
      <c r="X458" s="9"/>
      <c r="Y458" s="9"/>
      <c r="Z458" s="9"/>
      <c r="AA458" s="9"/>
      <c r="AB458" s="9"/>
      <c r="AC458" s="9"/>
      <c r="AD458" s="9" t="s">
        <v>19</v>
      </c>
    </row>
    <row r="459" spans="1:30" ht="29">
      <c r="A459" s="3" t="s">
        <v>1575</v>
      </c>
      <c r="B459" s="3" t="s">
        <v>1576</v>
      </c>
      <c r="C459" s="3" t="s">
        <v>1577</v>
      </c>
      <c r="G459" s="9" t="s">
        <v>12120</v>
      </c>
      <c r="H459" s="9"/>
      <c r="I459" s="9"/>
      <c r="J459" s="9"/>
      <c r="K459" s="9"/>
      <c r="L459" s="9"/>
      <c r="M459" s="9"/>
      <c r="N459" s="10"/>
      <c r="O459" s="9"/>
      <c r="P459" s="9"/>
      <c r="Q459" s="9"/>
      <c r="R459" s="9" t="s">
        <v>12795</v>
      </c>
      <c r="S459" s="9" t="s">
        <v>12795</v>
      </c>
      <c r="T459" s="9"/>
      <c r="U459" s="9"/>
      <c r="V459" s="9"/>
      <c r="W459" s="9"/>
      <c r="X459" s="9"/>
      <c r="Y459" s="9"/>
      <c r="Z459" s="9"/>
      <c r="AA459" s="9"/>
      <c r="AB459" s="9"/>
      <c r="AC459" s="9"/>
      <c r="AD459" s="9" t="s">
        <v>19</v>
      </c>
    </row>
    <row r="460" spans="1:30" ht="29">
      <c r="A460" s="3" t="s">
        <v>1578</v>
      </c>
      <c r="B460" s="3" t="s">
        <v>6345</v>
      </c>
      <c r="C460" s="3" t="s">
        <v>6346</v>
      </c>
      <c r="G460" s="9" t="s">
        <v>12118</v>
      </c>
      <c r="H460" s="9"/>
      <c r="I460" s="9"/>
      <c r="J460" s="9"/>
      <c r="K460" s="9"/>
      <c r="L460" s="9"/>
      <c r="M460" s="9"/>
      <c r="N460" s="10"/>
      <c r="O460" s="9"/>
      <c r="P460" s="9"/>
      <c r="Q460" s="9">
        <v>583</v>
      </c>
      <c r="R460" s="9">
        <v>227</v>
      </c>
      <c r="S460" s="9">
        <v>810</v>
      </c>
      <c r="T460" s="9"/>
      <c r="U460" s="9"/>
      <c r="V460" s="9"/>
      <c r="W460" s="9"/>
      <c r="X460" s="9"/>
      <c r="Y460" s="9"/>
      <c r="Z460" s="9"/>
      <c r="AA460" s="9"/>
      <c r="AB460" s="9"/>
      <c r="AC460" s="9"/>
      <c r="AD460" s="9" t="s">
        <v>19</v>
      </c>
    </row>
    <row r="461" spans="1:30" ht="29">
      <c r="A461" s="3" t="s">
        <v>1578</v>
      </c>
      <c r="B461" s="3" t="s">
        <v>6344</v>
      </c>
      <c r="C461" s="3" t="s">
        <v>6347</v>
      </c>
      <c r="G461" s="9" t="s">
        <v>24</v>
      </c>
      <c r="H461" s="9"/>
      <c r="I461" s="9">
        <v>1</v>
      </c>
      <c r="J461" s="9">
        <v>1</v>
      </c>
      <c r="K461" s="9" t="s">
        <v>12078</v>
      </c>
      <c r="L461" s="9" t="s">
        <v>12119</v>
      </c>
      <c r="M461" s="9"/>
      <c r="N461" s="10"/>
      <c r="O461" s="9"/>
      <c r="P461" s="9">
        <v>11843</v>
      </c>
      <c r="Q461" s="9"/>
      <c r="R461" s="9" t="s">
        <v>12795</v>
      </c>
      <c r="S461" s="9" t="s">
        <v>12795</v>
      </c>
      <c r="T461" s="9"/>
      <c r="U461" s="9"/>
      <c r="V461" s="9"/>
      <c r="W461" s="9"/>
      <c r="X461" s="9"/>
      <c r="Y461" s="9"/>
      <c r="Z461" s="9"/>
      <c r="AA461" s="9"/>
      <c r="AB461" s="9"/>
      <c r="AC461" s="9"/>
      <c r="AD461" s="9" t="s">
        <v>19</v>
      </c>
    </row>
    <row r="462" spans="1:30" ht="29">
      <c r="A462" s="3" t="s">
        <v>1583</v>
      </c>
      <c r="B462" s="3" t="s">
        <v>6351</v>
      </c>
      <c r="C462" s="3" t="s">
        <v>6352</v>
      </c>
      <c r="G462" s="9" t="s">
        <v>12118</v>
      </c>
      <c r="H462" s="9"/>
      <c r="I462" s="9"/>
      <c r="J462" s="9"/>
      <c r="K462" s="9"/>
      <c r="L462" s="9"/>
      <c r="M462" s="9"/>
      <c r="N462" s="10"/>
      <c r="O462" s="9"/>
      <c r="P462" s="9"/>
      <c r="Q462" s="9">
        <v>3710</v>
      </c>
      <c r="R462" s="9">
        <v>1966</v>
      </c>
      <c r="S462" s="9">
        <v>5676</v>
      </c>
      <c r="T462" s="9"/>
      <c r="U462" s="9"/>
      <c r="V462" s="9"/>
      <c r="W462" s="9"/>
      <c r="X462" s="9"/>
      <c r="Y462" s="9"/>
      <c r="Z462" s="9"/>
      <c r="AA462" s="9"/>
      <c r="AB462" s="9"/>
      <c r="AC462" s="9"/>
      <c r="AD462" s="9" t="s">
        <v>19</v>
      </c>
    </row>
    <row r="463" spans="1:30" ht="29">
      <c r="A463" s="3" t="s">
        <v>1584</v>
      </c>
      <c r="B463" s="3" t="s">
        <v>6353</v>
      </c>
      <c r="C463" s="3" t="s">
        <v>6354</v>
      </c>
      <c r="G463" s="9" t="s">
        <v>25</v>
      </c>
      <c r="H463" s="9"/>
      <c r="I463" s="9">
        <v>2</v>
      </c>
      <c r="J463" s="9">
        <v>4</v>
      </c>
      <c r="K463" s="9"/>
      <c r="L463" s="9" t="s">
        <v>12073</v>
      </c>
      <c r="M463" s="9" t="s">
        <v>12142</v>
      </c>
      <c r="N463" s="10" t="s">
        <v>12143</v>
      </c>
      <c r="O463" s="9"/>
      <c r="P463" s="9">
        <v>635</v>
      </c>
      <c r="Q463" s="9"/>
      <c r="R463" s="9" t="s">
        <v>12795</v>
      </c>
      <c r="S463" s="9" t="s">
        <v>12795</v>
      </c>
      <c r="T463" s="9"/>
      <c r="U463" s="9"/>
      <c r="V463" s="9"/>
      <c r="W463" s="9"/>
      <c r="X463" s="9"/>
      <c r="Y463" s="9"/>
      <c r="Z463" s="9"/>
      <c r="AA463" s="9"/>
      <c r="AB463" s="9"/>
      <c r="AC463" s="9"/>
      <c r="AD463" s="9" t="s">
        <v>19</v>
      </c>
    </row>
    <row r="464" spans="1:30" ht="43.5">
      <c r="A464" s="3" t="s">
        <v>1587</v>
      </c>
      <c r="B464" s="3" t="s">
        <v>6357</v>
      </c>
      <c r="C464" s="3" t="s">
        <v>6356</v>
      </c>
      <c r="G464" s="9" t="s">
        <v>25</v>
      </c>
      <c r="H464" s="9"/>
      <c r="I464" s="9">
        <v>1</v>
      </c>
      <c r="J464" s="9">
        <v>1</v>
      </c>
      <c r="K464" s="9" t="s">
        <v>12078</v>
      </c>
      <c r="L464" s="9" t="s">
        <v>12119</v>
      </c>
      <c r="M464" s="9"/>
      <c r="N464" s="10"/>
      <c r="O464" s="9"/>
      <c r="P464" s="9">
        <v>11843</v>
      </c>
      <c r="Q464" s="9"/>
      <c r="R464" s="9" t="s">
        <v>12795</v>
      </c>
      <c r="S464" s="9" t="s">
        <v>12795</v>
      </c>
      <c r="T464" s="9"/>
      <c r="U464" s="9"/>
      <c r="V464" s="9"/>
      <c r="W464" s="9"/>
      <c r="X464" s="9"/>
      <c r="Y464" s="9"/>
      <c r="Z464" s="9"/>
      <c r="AA464" s="9"/>
      <c r="AB464" s="9"/>
      <c r="AC464" s="9"/>
      <c r="AD464" s="9" t="s">
        <v>20</v>
      </c>
    </row>
    <row r="465" spans="1:30" ht="43.5">
      <c r="A465" s="3" t="s">
        <v>1587</v>
      </c>
      <c r="B465" s="3" t="s">
        <v>6360</v>
      </c>
      <c r="C465" s="3" t="s">
        <v>6361</v>
      </c>
      <c r="G465" s="9" t="s">
        <v>12120</v>
      </c>
      <c r="H465" s="9"/>
      <c r="I465" s="9"/>
      <c r="J465" s="9"/>
      <c r="K465" s="9"/>
      <c r="L465" s="9"/>
      <c r="M465" s="9"/>
      <c r="N465" s="10"/>
      <c r="O465" s="9"/>
      <c r="P465" s="9"/>
      <c r="Q465" s="9"/>
      <c r="R465" s="9" t="s">
        <v>12795</v>
      </c>
      <c r="S465" s="9" t="s">
        <v>12795</v>
      </c>
      <c r="T465" s="9"/>
      <c r="U465" s="9"/>
      <c r="V465" s="9"/>
      <c r="W465" s="9"/>
      <c r="X465" s="9"/>
      <c r="Y465" s="9"/>
      <c r="Z465" s="9"/>
      <c r="AA465" s="9"/>
      <c r="AB465" s="9"/>
      <c r="AC465" s="9"/>
      <c r="AD465" s="9" t="s">
        <v>19</v>
      </c>
    </row>
    <row r="466" spans="1:30" ht="29">
      <c r="A466" s="3" t="s">
        <v>1590</v>
      </c>
      <c r="B466" s="3" t="s">
        <v>6368</v>
      </c>
      <c r="C466" s="3" t="s">
        <v>6369</v>
      </c>
      <c r="G466" s="9" t="s">
        <v>25</v>
      </c>
      <c r="H466" s="9"/>
      <c r="I466" s="9">
        <v>1</v>
      </c>
      <c r="J466" s="9">
        <v>3</v>
      </c>
      <c r="K466" s="9" t="s">
        <v>12087</v>
      </c>
      <c r="L466" s="9" t="s">
        <v>12079</v>
      </c>
      <c r="M466" s="9"/>
      <c r="N466" s="10"/>
      <c r="O466" s="9"/>
      <c r="P466" s="9">
        <v>309</v>
      </c>
      <c r="Q466" s="9"/>
      <c r="R466" s="9" t="s">
        <v>12795</v>
      </c>
      <c r="S466" s="9" t="s">
        <v>12795</v>
      </c>
      <c r="T466" s="9"/>
      <c r="U466" s="9"/>
      <c r="V466" s="9"/>
      <c r="W466" s="9"/>
      <c r="X466" s="9"/>
      <c r="Y466" s="9"/>
      <c r="Z466" s="9"/>
      <c r="AA466" s="9"/>
      <c r="AB466" s="9"/>
      <c r="AC466" s="9"/>
      <c r="AD466" s="9" t="s">
        <v>19</v>
      </c>
    </row>
    <row r="467" spans="1:30" ht="29">
      <c r="A467" s="3" t="s">
        <v>1592</v>
      </c>
      <c r="B467" s="3" t="s">
        <v>6374</v>
      </c>
      <c r="C467" s="3" t="s">
        <v>6375</v>
      </c>
      <c r="G467" s="9" t="s">
        <v>12118</v>
      </c>
      <c r="H467" s="9"/>
      <c r="I467" s="9"/>
      <c r="J467" s="9"/>
      <c r="K467" s="9"/>
      <c r="L467" s="9"/>
      <c r="M467" s="9"/>
      <c r="N467" s="10"/>
      <c r="O467" s="9"/>
      <c r="P467" s="9"/>
      <c r="Q467" s="9">
        <v>734</v>
      </c>
      <c r="R467" s="9">
        <v>560</v>
      </c>
      <c r="S467" s="9">
        <v>1294</v>
      </c>
      <c r="T467" s="9"/>
      <c r="U467" s="9"/>
      <c r="V467" s="9"/>
      <c r="W467" s="9"/>
      <c r="X467" s="9"/>
      <c r="Y467" s="9"/>
      <c r="Z467" s="9"/>
      <c r="AA467" s="9"/>
      <c r="AB467" s="9"/>
      <c r="AC467" s="9"/>
      <c r="AD467" s="9" t="s">
        <v>20</v>
      </c>
    </row>
    <row r="468" spans="1:30" ht="29">
      <c r="A468" s="3" t="s">
        <v>1593</v>
      </c>
      <c r="B468" s="3" t="s">
        <v>6376</v>
      </c>
      <c r="C468" s="3" t="s">
        <v>6377</v>
      </c>
      <c r="G468" s="9" t="s">
        <v>25</v>
      </c>
      <c r="H468" s="9"/>
      <c r="I468" s="9">
        <v>1</v>
      </c>
      <c r="J468" s="9">
        <v>1</v>
      </c>
      <c r="K468" s="9" t="s">
        <v>12072</v>
      </c>
      <c r="L468" s="9" t="s">
        <v>12119</v>
      </c>
      <c r="M468" s="9"/>
      <c r="N468" s="10"/>
      <c r="O468" s="9"/>
      <c r="P468" s="9">
        <v>34</v>
      </c>
      <c r="Q468" s="9"/>
      <c r="R468" s="9" t="s">
        <v>12795</v>
      </c>
      <c r="S468" s="9" t="s">
        <v>12795</v>
      </c>
      <c r="T468" s="9"/>
      <c r="U468" s="9"/>
      <c r="V468" s="9"/>
      <c r="W468" s="9"/>
      <c r="X468" s="9"/>
      <c r="Y468" s="9"/>
      <c r="Z468" s="9"/>
      <c r="AA468" s="9"/>
      <c r="AB468" s="9"/>
      <c r="AC468" s="9"/>
      <c r="AD468" s="9" t="s">
        <v>20</v>
      </c>
    </row>
    <row r="469" spans="1:30" ht="29">
      <c r="A469" s="3" t="s">
        <v>1594</v>
      </c>
      <c r="B469" s="3" t="s">
        <v>6378</v>
      </c>
      <c r="C469" s="3" t="s">
        <v>6379</v>
      </c>
      <c r="G469" s="9" t="s">
        <v>25</v>
      </c>
      <c r="H469" s="9"/>
      <c r="I469" s="9">
        <v>1</v>
      </c>
      <c r="J469" s="9">
        <v>10</v>
      </c>
      <c r="K469" s="9" t="s">
        <v>12098</v>
      </c>
      <c r="L469" s="9" t="s">
        <v>12073</v>
      </c>
      <c r="M469" s="9" t="s">
        <v>12142</v>
      </c>
      <c r="N469" s="10" t="s">
        <v>12143</v>
      </c>
      <c r="O469" s="9"/>
      <c r="P469" s="9">
        <v>0</v>
      </c>
      <c r="Q469" s="9"/>
      <c r="R469" s="9" t="s">
        <v>12795</v>
      </c>
      <c r="S469" s="9" t="s">
        <v>12795</v>
      </c>
      <c r="T469" s="9"/>
      <c r="U469" s="9"/>
      <c r="V469" s="9"/>
      <c r="W469" s="9"/>
      <c r="X469" s="9"/>
      <c r="Y469" s="9"/>
      <c r="Z469" s="9"/>
      <c r="AA469" s="9"/>
      <c r="AB469" s="9"/>
      <c r="AC469" s="9"/>
      <c r="AD469" s="9" t="s">
        <v>19</v>
      </c>
    </row>
    <row r="470" spans="1:30" ht="29">
      <c r="A470" s="3" t="s">
        <v>1606</v>
      </c>
      <c r="B470" s="3" t="s">
        <v>6382</v>
      </c>
      <c r="C470" s="3" t="s">
        <v>6383</v>
      </c>
      <c r="G470" s="9" t="s">
        <v>12118</v>
      </c>
      <c r="H470" s="9"/>
      <c r="I470" s="9"/>
      <c r="J470" s="9"/>
      <c r="K470" s="9"/>
      <c r="L470" s="9"/>
      <c r="M470" s="9"/>
      <c r="N470" s="10"/>
      <c r="O470" s="9"/>
      <c r="P470" s="9"/>
      <c r="Q470" s="9">
        <v>31</v>
      </c>
      <c r="R470" s="9">
        <v>34</v>
      </c>
      <c r="S470" s="9">
        <v>65</v>
      </c>
      <c r="T470" s="9"/>
      <c r="U470" s="9"/>
      <c r="V470" s="9"/>
      <c r="W470" s="9"/>
      <c r="X470" s="9"/>
      <c r="Y470" s="9"/>
      <c r="Z470" s="9"/>
      <c r="AA470" s="9"/>
      <c r="AB470" s="9"/>
      <c r="AC470" s="9"/>
      <c r="AD470" s="9" t="s">
        <v>19</v>
      </c>
    </row>
    <row r="471" spans="1:30">
      <c r="A471" s="3" t="s">
        <v>1616</v>
      </c>
      <c r="B471" s="3" t="s">
        <v>6390</v>
      </c>
      <c r="C471" s="3" t="s">
        <v>6391</v>
      </c>
      <c r="G471" s="9" t="s">
        <v>12118</v>
      </c>
      <c r="H471" s="9"/>
      <c r="I471" s="9"/>
      <c r="J471" s="9"/>
      <c r="K471" s="9"/>
      <c r="L471" s="9"/>
      <c r="M471" s="9"/>
      <c r="N471" s="10"/>
      <c r="O471" s="9"/>
      <c r="P471" s="9"/>
      <c r="Q471" s="9">
        <v>-79</v>
      </c>
      <c r="R471" s="9">
        <v>111</v>
      </c>
      <c r="S471" s="9">
        <v>32</v>
      </c>
      <c r="T471" s="9"/>
      <c r="U471" s="9"/>
      <c r="V471" s="9"/>
      <c r="W471" s="9"/>
      <c r="X471" s="9"/>
      <c r="Y471" s="9"/>
      <c r="Z471" s="9"/>
      <c r="AA471" s="9"/>
      <c r="AB471" s="9"/>
      <c r="AC471" s="9"/>
      <c r="AD471" s="9" t="s">
        <v>13141</v>
      </c>
    </row>
    <row r="472" spans="1:30" ht="29">
      <c r="A472" s="3" t="s">
        <v>1619</v>
      </c>
      <c r="B472" s="3" t="s">
        <v>6392</v>
      </c>
      <c r="C472" s="3" t="s">
        <v>6393</v>
      </c>
      <c r="G472" s="9" t="s">
        <v>24</v>
      </c>
      <c r="H472" s="9"/>
      <c r="I472" s="9">
        <v>1</v>
      </c>
      <c r="J472" s="9">
        <v>3</v>
      </c>
      <c r="K472" s="9" t="s">
        <v>12094</v>
      </c>
      <c r="L472" s="9" t="s">
        <v>12079</v>
      </c>
      <c r="M472" s="9"/>
      <c r="N472" s="10"/>
      <c r="O472" s="9"/>
      <c r="P472" s="9">
        <v>1741</v>
      </c>
      <c r="Q472" s="9"/>
      <c r="R472" s="9" t="s">
        <v>12795</v>
      </c>
      <c r="S472" s="9" t="s">
        <v>12795</v>
      </c>
      <c r="T472" s="9"/>
      <c r="U472" s="9"/>
      <c r="V472" s="9"/>
      <c r="W472" s="9"/>
      <c r="X472" s="9"/>
      <c r="Y472" s="9"/>
      <c r="Z472" s="9"/>
      <c r="AA472" s="9"/>
      <c r="AB472" s="9"/>
      <c r="AC472" s="9"/>
      <c r="AD472" s="9" t="s">
        <v>19</v>
      </c>
    </row>
    <row r="473" spans="1:30" ht="29">
      <c r="A473" s="3" t="s">
        <v>1620</v>
      </c>
      <c r="B473" s="3" t="s">
        <v>6394</v>
      </c>
      <c r="C473" s="3" t="s">
        <v>12267</v>
      </c>
      <c r="G473" s="9" t="s">
        <v>24</v>
      </c>
      <c r="H473" s="9"/>
      <c r="I473" s="9">
        <v>1</v>
      </c>
      <c r="J473" s="9">
        <v>2</v>
      </c>
      <c r="K473" s="9" t="s">
        <v>12096</v>
      </c>
      <c r="L473" s="9" t="s">
        <v>12119</v>
      </c>
      <c r="M473" s="9"/>
      <c r="N473" s="10"/>
      <c r="O473" s="9"/>
      <c r="P473" s="9">
        <v>485</v>
      </c>
      <c r="Q473" s="9"/>
      <c r="R473" s="9" t="s">
        <v>12795</v>
      </c>
      <c r="S473" s="9" t="s">
        <v>12795</v>
      </c>
      <c r="T473" s="9"/>
      <c r="U473" s="9"/>
      <c r="V473" s="9"/>
      <c r="W473" s="9"/>
      <c r="X473" s="9"/>
      <c r="Y473" s="9"/>
      <c r="Z473" s="9"/>
      <c r="AA473" s="9"/>
      <c r="AB473" s="9"/>
      <c r="AC473" s="9"/>
      <c r="AD473" s="9" t="s">
        <v>19</v>
      </c>
    </row>
    <row r="474" spans="1:30" ht="29">
      <c r="A474" s="3" t="s">
        <v>1620</v>
      </c>
      <c r="B474" s="3" t="s">
        <v>12268</v>
      </c>
      <c r="C474" s="3" t="s">
        <v>12269</v>
      </c>
      <c r="G474" s="9" t="s">
        <v>12120</v>
      </c>
      <c r="H474" s="9"/>
      <c r="I474" s="9"/>
      <c r="J474" s="9"/>
      <c r="K474" s="9"/>
      <c r="L474" s="9"/>
      <c r="M474" s="9"/>
      <c r="N474" s="10"/>
      <c r="O474" s="9"/>
      <c r="P474" s="9"/>
      <c r="Q474" s="9"/>
      <c r="R474" s="9" t="s">
        <v>12795</v>
      </c>
      <c r="S474" s="9" t="s">
        <v>12795</v>
      </c>
      <c r="T474" s="9"/>
      <c r="U474" s="9"/>
      <c r="V474" s="9"/>
      <c r="W474" s="9"/>
      <c r="X474" s="9"/>
      <c r="Y474" s="9"/>
      <c r="Z474" s="9"/>
      <c r="AA474" s="9"/>
      <c r="AB474" s="9"/>
      <c r="AC474" s="9"/>
      <c r="AD474" s="9" t="s">
        <v>19</v>
      </c>
    </row>
    <row r="475" spans="1:30" ht="29">
      <c r="A475" s="3" t="s">
        <v>1630</v>
      </c>
      <c r="B475" s="3" t="s">
        <v>6402</v>
      </c>
      <c r="C475" s="3" t="s">
        <v>6403</v>
      </c>
      <c r="G475" s="9" t="s">
        <v>12118</v>
      </c>
      <c r="H475" s="9"/>
      <c r="I475" s="9"/>
      <c r="J475" s="9"/>
      <c r="K475" s="9"/>
      <c r="L475" s="9"/>
      <c r="M475" s="9"/>
      <c r="N475" s="10"/>
      <c r="O475" s="9"/>
      <c r="P475" s="9"/>
      <c r="Q475" s="9">
        <v>342</v>
      </c>
      <c r="R475" s="9">
        <v>165</v>
      </c>
      <c r="S475" s="9">
        <v>507</v>
      </c>
      <c r="T475" s="9"/>
      <c r="U475" s="9"/>
      <c r="V475" s="9"/>
      <c r="W475" s="9"/>
      <c r="X475" s="9"/>
      <c r="Y475" s="9"/>
      <c r="Z475" s="9"/>
      <c r="AA475" s="9"/>
      <c r="AB475" s="9"/>
      <c r="AC475" s="9"/>
      <c r="AD475" s="9" t="s">
        <v>20</v>
      </c>
    </row>
    <row r="476" spans="1:30" ht="29">
      <c r="A476" s="3" t="s">
        <v>1630</v>
      </c>
      <c r="B476" s="3" t="s">
        <v>6404</v>
      </c>
      <c r="C476" s="3" t="s">
        <v>6405</v>
      </c>
      <c r="G476" s="9" t="s">
        <v>12120</v>
      </c>
      <c r="H476" s="9"/>
      <c r="I476" s="9"/>
      <c r="J476" s="9"/>
      <c r="K476" s="9"/>
      <c r="L476" s="9"/>
      <c r="M476" s="9"/>
      <c r="N476" s="10"/>
      <c r="O476" s="9"/>
      <c r="P476" s="9"/>
      <c r="Q476" s="9"/>
      <c r="R476" s="9" t="s">
        <v>12795</v>
      </c>
      <c r="S476" s="9" t="s">
        <v>12795</v>
      </c>
      <c r="T476" s="9"/>
      <c r="U476" s="9"/>
      <c r="V476" s="9"/>
      <c r="W476" s="9"/>
      <c r="X476" s="9"/>
      <c r="Y476" s="9"/>
      <c r="Z476" s="9"/>
      <c r="AA476" s="9"/>
      <c r="AB476" s="9"/>
      <c r="AC476" s="9"/>
      <c r="AD476" s="9" t="s">
        <v>19</v>
      </c>
    </row>
    <row r="477" spans="1:30" ht="29">
      <c r="A477" s="3" t="s">
        <v>1631</v>
      </c>
      <c r="B477" s="3" t="s">
        <v>1304</v>
      </c>
      <c r="C477" s="3" t="s">
        <v>1496</v>
      </c>
      <c r="G477" s="9" t="s">
        <v>12120</v>
      </c>
      <c r="H477" s="9"/>
      <c r="I477" s="9"/>
      <c r="J477" s="9"/>
      <c r="K477" s="9"/>
      <c r="L477" s="9"/>
      <c r="M477" s="9"/>
      <c r="N477" s="10"/>
      <c r="O477" s="9"/>
      <c r="P477" s="9"/>
      <c r="Q477" s="9"/>
      <c r="R477" s="9" t="s">
        <v>12795</v>
      </c>
      <c r="S477" s="9" t="s">
        <v>12795</v>
      </c>
      <c r="T477" s="9"/>
      <c r="U477" s="9"/>
      <c r="V477" s="9"/>
      <c r="W477" s="9"/>
      <c r="X477" s="9"/>
      <c r="Y477" s="9"/>
      <c r="Z477" s="9"/>
      <c r="AA477" s="9"/>
      <c r="AB477" s="9"/>
      <c r="AC477" s="9"/>
      <c r="AD477" s="9" t="s">
        <v>19</v>
      </c>
    </row>
    <row r="478" spans="1:30" ht="29">
      <c r="A478" s="3" t="s">
        <v>1631</v>
      </c>
      <c r="B478" s="3" t="s">
        <v>6406</v>
      </c>
      <c r="C478" s="3" t="s">
        <v>6407</v>
      </c>
      <c r="G478" s="9" t="s">
        <v>12120</v>
      </c>
      <c r="H478" s="9"/>
      <c r="I478" s="9"/>
      <c r="J478" s="9"/>
      <c r="K478" s="9"/>
      <c r="L478" s="9"/>
      <c r="M478" s="9"/>
      <c r="N478" s="10"/>
      <c r="O478" s="9"/>
      <c r="P478" s="9"/>
      <c r="Q478" s="9"/>
      <c r="R478" s="9" t="s">
        <v>12795</v>
      </c>
      <c r="S478" s="9" t="s">
        <v>12795</v>
      </c>
      <c r="T478" s="9"/>
      <c r="U478" s="9"/>
      <c r="V478" s="9"/>
      <c r="W478" s="9"/>
      <c r="X478" s="9"/>
      <c r="Y478" s="9"/>
      <c r="Z478" s="9"/>
      <c r="AA478" s="9"/>
      <c r="AB478" s="9"/>
      <c r="AC478" s="9"/>
      <c r="AD478" s="9" t="s">
        <v>19</v>
      </c>
    </row>
    <row r="479" spans="1:30" ht="29">
      <c r="A479" s="3" t="s">
        <v>1632</v>
      </c>
      <c r="B479" s="3" t="s">
        <v>6410</v>
      </c>
      <c r="C479" s="3" t="s">
        <v>6409</v>
      </c>
      <c r="G479" s="9" t="s">
        <v>26</v>
      </c>
      <c r="H479" s="9"/>
      <c r="I479" s="9"/>
      <c r="J479" s="9"/>
      <c r="K479" s="9"/>
      <c r="L479" s="9"/>
      <c r="M479" s="9"/>
      <c r="N479" s="10"/>
      <c r="O479" s="9"/>
      <c r="P479" s="9"/>
      <c r="Q479" s="9"/>
      <c r="R479" s="9" t="s">
        <v>12795</v>
      </c>
      <c r="S479" s="9" t="s">
        <v>12795</v>
      </c>
      <c r="T479" s="9"/>
      <c r="U479" s="9"/>
      <c r="V479" s="9"/>
      <c r="W479" s="9"/>
      <c r="X479" s="9"/>
      <c r="Y479" s="9"/>
      <c r="Z479" s="9"/>
      <c r="AA479" s="9"/>
      <c r="AB479" s="9"/>
      <c r="AC479" s="9"/>
      <c r="AD479" s="9" t="s">
        <v>20</v>
      </c>
    </row>
    <row r="480" spans="1:30" ht="29">
      <c r="A480" s="3" t="s">
        <v>1638</v>
      </c>
      <c r="B480" s="3" t="s">
        <v>6418</v>
      </c>
      <c r="C480" s="3" t="s">
        <v>6419</v>
      </c>
      <c r="G480" s="9" t="s">
        <v>25</v>
      </c>
      <c r="H480" s="9"/>
      <c r="I480" s="9">
        <v>1</v>
      </c>
      <c r="J480" s="9">
        <v>2</v>
      </c>
      <c r="K480" s="9" t="s">
        <v>12078</v>
      </c>
      <c r="L480" s="9" t="s">
        <v>12119</v>
      </c>
      <c r="M480" s="9"/>
      <c r="N480" s="10"/>
      <c r="O480" s="9"/>
      <c r="P480" s="9">
        <v>11843</v>
      </c>
      <c r="Q480" s="9"/>
      <c r="R480" s="9" t="s">
        <v>12795</v>
      </c>
      <c r="S480" s="9" t="s">
        <v>12795</v>
      </c>
      <c r="T480" s="9"/>
      <c r="U480" s="9"/>
      <c r="V480" s="9"/>
      <c r="W480" s="9"/>
      <c r="X480" s="9"/>
      <c r="Y480" s="9"/>
      <c r="Z480" s="9"/>
      <c r="AA480" s="9"/>
      <c r="AB480" s="9"/>
      <c r="AC480" s="9"/>
      <c r="AD480" s="9" t="s">
        <v>20</v>
      </c>
    </row>
    <row r="481" spans="1:30" ht="29">
      <c r="A481" s="3" t="s">
        <v>1640</v>
      </c>
      <c r="B481" s="3" t="s">
        <v>12271</v>
      </c>
      <c r="C481" s="3" t="s">
        <v>12272</v>
      </c>
      <c r="G481" s="9" t="s">
        <v>12118</v>
      </c>
      <c r="H481" s="9"/>
      <c r="I481" s="9"/>
      <c r="J481" s="9"/>
      <c r="K481" s="9"/>
      <c r="L481" s="9"/>
      <c r="M481" s="9"/>
      <c r="N481" s="10"/>
      <c r="O481" s="9"/>
      <c r="P481" s="9"/>
      <c r="Q481" s="9">
        <v>-3710</v>
      </c>
      <c r="R481" s="9">
        <v>5676</v>
      </c>
      <c r="S481" s="9">
        <v>1966</v>
      </c>
      <c r="T481" s="9"/>
      <c r="U481" s="9"/>
      <c r="V481" s="9"/>
      <c r="W481" s="9"/>
      <c r="X481" s="9"/>
      <c r="Y481" s="9"/>
      <c r="Z481" s="9"/>
      <c r="AA481" s="9"/>
      <c r="AB481" s="9"/>
      <c r="AC481" s="9"/>
      <c r="AD481" s="9" t="s">
        <v>19</v>
      </c>
    </row>
    <row r="482" spans="1:30" ht="29">
      <c r="A482" s="3" t="s">
        <v>1640</v>
      </c>
      <c r="B482" s="3" t="s">
        <v>6420</v>
      </c>
      <c r="C482" s="3" t="s">
        <v>12273</v>
      </c>
      <c r="G482" s="9" t="s">
        <v>24</v>
      </c>
      <c r="H482" s="9"/>
      <c r="I482" s="9">
        <v>2</v>
      </c>
      <c r="J482" s="9">
        <v>7</v>
      </c>
      <c r="K482" s="9"/>
      <c r="L482" s="9" t="s">
        <v>12079</v>
      </c>
      <c r="M482" s="9"/>
      <c r="N482" s="10"/>
      <c r="O482" s="9"/>
      <c r="P482" s="9">
        <v>635</v>
      </c>
      <c r="Q482" s="9"/>
      <c r="R482" s="9" t="s">
        <v>12795</v>
      </c>
      <c r="S482" s="9" t="s">
        <v>12795</v>
      </c>
      <c r="T482" s="9"/>
      <c r="U482" s="9"/>
      <c r="V482" s="9"/>
      <c r="W482" s="9"/>
      <c r="X482" s="9"/>
      <c r="Y482" s="9"/>
      <c r="Z482" s="9"/>
      <c r="AA482" s="9"/>
      <c r="AB482" s="9"/>
      <c r="AC482" s="9"/>
      <c r="AD482" s="9" t="s">
        <v>19</v>
      </c>
    </row>
    <row r="483" spans="1:30" ht="29">
      <c r="A483" s="3" t="s">
        <v>1640</v>
      </c>
      <c r="B483" s="3" t="s">
        <v>12275</v>
      </c>
      <c r="C483" s="3" t="s">
        <v>12274</v>
      </c>
      <c r="G483" s="9" t="s">
        <v>12120</v>
      </c>
      <c r="H483" s="9"/>
      <c r="I483" s="9"/>
      <c r="J483" s="9"/>
      <c r="K483" s="9"/>
      <c r="L483" s="9"/>
      <c r="M483" s="9"/>
      <c r="N483" s="10"/>
      <c r="O483" s="9"/>
      <c r="P483" s="9"/>
      <c r="Q483" s="9"/>
      <c r="R483" s="9" t="s">
        <v>12795</v>
      </c>
      <c r="S483" s="9" t="s">
        <v>12795</v>
      </c>
      <c r="T483" s="9"/>
      <c r="U483" s="9"/>
      <c r="V483" s="9"/>
      <c r="W483" s="9"/>
      <c r="X483" s="9"/>
      <c r="Y483" s="9"/>
      <c r="Z483" s="9"/>
      <c r="AA483" s="9"/>
      <c r="AB483" s="9"/>
      <c r="AC483" s="9"/>
      <c r="AD483" s="9" t="s">
        <v>19</v>
      </c>
    </row>
    <row r="484" spans="1:30" ht="29">
      <c r="A484" s="3" t="s">
        <v>1640</v>
      </c>
      <c r="B484" s="3" t="s">
        <v>6421</v>
      </c>
      <c r="C484" s="3" t="s">
        <v>6422</v>
      </c>
      <c r="G484" s="9" t="s">
        <v>26</v>
      </c>
      <c r="H484" s="9"/>
      <c r="I484" s="9"/>
      <c r="J484" s="9"/>
      <c r="K484" s="9"/>
      <c r="L484" s="9"/>
      <c r="M484" s="9"/>
      <c r="N484" s="10"/>
      <c r="O484" s="9"/>
      <c r="P484" s="9"/>
      <c r="Q484" s="9"/>
      <c r="R484" s="9" t="s">
        <v>12795</v>
      </c>
      <c r="S484" s="9" t="s">
        <v>12795</v>
      </c>
      <c r="T484" s="9"/>
      <c r="U484" s="9"/>
      <c r="V484" s="9"/>
      <c r="W484" s="9"/>
      <c r="X484" s="9"/>
      <c r="Y484" s="9"/>
      <c r="Z484" s="9"/>
      <c r="AA484" s="9"/>
      <c r="AB484" s="9"/>
      <c r="AC484" s="9"/>
      <c r="AD484" s="9" t="s">
        <v>19</v>
      </c>
    </row>
    <row r="485" spans="1:30" ht="29">
      <c r="A485" s="3" t="s">
        <v>1641</v>
      </c>
      <c r="B485" s="3" t="s">
        <v>6423</v>
      </c>
      <c r="C485" s="3" t="s">
        <v>6424</v>
      </c>
      <c r="G485" s="9" t="s">
        <v>24</v>
      </c>
      <c r="H485" s="9"/>
      <c r="I485" s="9">
        <v>1</v>
      </c>
      <c r="J485" s="9">
        <v>3</v>
      </c>
      <c r="K485" s="9" t="s">
        <v>12084</v>
      </c>
      <c r="L485" s="9" t="s">
        <v>12079</v>
      </c>
      <c r="M485" s="9"/>
      <c r="N485" s="10"/>
      <c r="O485" s="9"/>
      <c r="P485" s="9">
        <v>18</v>
      </c>
      <c r="Q485" s="9"/>
      <c r="R485" s="9" t="s">
        <v>12795</v>
      </c>
      <c r="S485" s="9" t="s">
        <v>12795</v>
      </c>
      <c r="T485" s="9"/>
      <c r="U485" s="9"/>
      <c r="V485" s="9"/>
      <c r="W485" s="9"/>
      <c r="X485" s="9"/>
      <c r="Y485" s="9"/>
      <c r="Z485" s="9"/>
      <c r="AA485" s="9"/>
      <c r="AB485" s="9"/>
      <c r="AC485" s="9"/>
      <c r="AD485" s="9" t="s">
        <v>19</v>
      </c>
    </row>
    <row r="486" spans="1:30" ht="29">
      <c r="A486" s="3" t="s">
        <v>1641</v>
      </c>
      <c r="B486" s="3" t="s">
        <v>6427</v>
      </c>
      <c r="C486" s="3" t="s">
        <v>6428</v>
      </c>
      <c r="G486" s="9" t="s">
        <v>12118</v>
      </c>
      <c r="H486" s="9"/>
      <c r="I486" s="9"/>
      <c r="J486" s="9"/>
      <c r="K486" s="9"/>
      <c r="L486" s="9"/>
      <c r="M486" s="9"/>
      <c r="N486" s="10"/>
      <c r="O486" s="9"/>
      <c r="P486" s="9"/>
      <c r="Q486" s="9">
        <v>182</v>
      </c>
      <c r="R486" s="9">
        <v>249</v>
      </c>
      <c r="S486" s="9">
        <v>431</v>
      </c>
      <c r="T486" s="9"/>
      <c r="U486" s="9"/>
      <c r="V486" s="9"/>
      <c r="W486" s="9"/>
      <c r="X486" s="9"/>
      <c r="Y486" s="9"/>
      <c r="Z486" s="9"/>
      <c r="AA486" s="9"/>
      <c r="AB486" s="9"/>
      <c r="AC486" s="9"/>
      <c r="AD486" s="9" t="s">
        <v>19</v>
      </c>
    </row>
    <row r="487" spans="1:30" ht="29">
      <c r="A487" s="3" t="s">
        <v>1641</v>
      </c>
      <c r="B487" s="3" t="s">
        <v>1642</v>
      </c>
      <c r="C487" s="3" t="s">
        <v>1643</v>
      </c>
      <c r="G487" s="9" t="s">
        <v>12118</v>
      </c>
      <c r="H487" s="9"/>
      <c r="I487" s="9"/>
      <c r="J487" s="9"/>
      <c r="K487" s="9"/>
      <c r="L487" s="9"/>
      <c r="M487" s="9"/>
      <c r="N487" s="10"/>
      <c r="O487" s="9"/>
      <c r="P487" s="9"/>
      <c r="Q487" s="9">
        <v>46</v>
      </c>
      <c r="R487" s="9">
        <v>0</v>
      </c>
      <c r="S487" s="9">
        <v>46</v>
      </c>
      <c r="T487" s="9"/>
      <c r="U487" s="9"/>
      <c r="V487" s="9"/>
      <c r="W487" s="9"/>
      <c r="X487" s="9"/>
      <c r="Y487" s="9"/>
      <c r="Z487" s="9" t="s">
        <v>12188</v>
      </c>
      <c r="AA487" s="9" t="s">
        <v>20</v>
      </c>
      <c r="AB487" s="9"/>
      <c r="AC487" s="9"/>
      <c r="AD487" s="9" t="s">
        <v>19</v>
      </c>
    </row>
    <row r="488" spans="1:30" ht="29">
      <c r="A488" s="3" t="s">
        <v>1644</v>
      </c>
      <c r="B488" s="3" t="s">
        <v>6430</v>
      </c>
      <c r="C488" s="3" t="s">
        <v>6429</v>
      </c>
      <c r="G488" s="9" t="s">
        <v>24</v>
      </c>
      <c r="H488" s="9"/>
      <c r="I488" s="9">
        <v>1</v>
      </c>
      <c r="J488" s="9">
        <v>3</v>
      </c>
      <c r="K488" s="9" t="s">
        <v>12078</v>
      </c>
      <c r="L488" s="9" t="s">
        <v>12073</v>
      </c>
      <c r="M488" s="9" t="s">
        <v>12142</v>
      </c>
      <c r="N488" s="10" t="s">
        <v>12143</v>
      </c>
      <c r="O488" s="9" t="s">
        <v>12074</v>
      </c>
      <c r="P488" s="9">
        <v>11843</v>
      </c>
      <c r="Q488" s="9"/>
      <c r="R488" s="9" t="s">
        <v>12795</v>
      </c>
      <c r="S488" s="9" t="s">
        <v>12795</v>
      </c>
      <c r="T488" s="9"/>
      <c r="U488" s="9"/>
      <c r="V488" s="9"/>
      <c r="W488" s="9"/>
      <c r="X488" s="9"/>
      <c r="Y488" s="9"/>
      <c r="Z488" s="9"/>
      <c r="AA488" s="9"/>
      <c r="AB488" s="9"/>
      <c r="AC488" s="9"/>
      <c r="AD488" s="9" t="s">
        <v>19</v>
      </c>
    </row>
    <row r="489" spans="1:30" ht="29">
      <c r="A489" s="3" t="s">
        <v>1645</v>
      </c>
      <c r="B489" s="3" t="s">
        <v>6431</v>
      </c>
      <c r="C489" s="3" t="s">
        <v>6432</v>
      </c>
      <c r="G489" s="9" t="s">
        <v>24</v>
      </c>
      <c r="H489" s="9"/>
      <c r="I489" s="9">
        <v>1</v>
      </c>
      <c r="J489" s="9">
        <v>3</v>
      </c>
      <c r="K489" s="9" t="s">
        <v>12078</v>
      </c>
      <c r="L489" s="9" t="s">
        <v>12079</v>
      </c>
      <c r="M489" s="9"/>
      <c r="N489" s="10"/>
      <c r="O489" s="9"/>
      <c r="P489" s="9">
        <v>11843</v>
      </c>
      <c r="Q489" s="9"/>
      <c r="R489" s="9" t="s">
        <v>12795</v>
      </c>
      <c r="S489" s="9" t="s">
        <v>12795</v>
      </c>
      <c r="T489" s="9"/>
      <c r="U489" s="9"/>
      <c r="V489" s="9"/>
      <c r="W489" s="9"/>
      <c r="X489" s="9"/>
      <c r="Y489" s="9"/>
      <c r="Z489" s="9"/>
      <c r="AA489" s="9"/>
      <c r="AB489" s="9"/>
      <c r="AC489" s="9"/>
      <c r="AD489" s="9" t="s">
        <v>19</v>
      </c>
    </row>
    <row r="490" spans="1:30" ht="29">
      <c r="A490" s="3" t="s">
        <v>1645</v>
      </c>
      <c r="B490" s="3" t="s">
        <v>6433</v>
      </c>
      <c r="C490" s="3" t="s">
        <v>6434</v>
      </c>
      <c r="G490" s="9" t="s">
        <v>12120</v>
      </c>
      <c r="H490" s="9"/>
      <c r="I490" s="9"/>
      <c r="J490" s="9"/>
      <c r="K490" s="9"/>
      <c r="L490" s="9"/>
      <c r="M490" s="9"/>
      <c r="N490" s="10"/>
      <c r="O490" s="9"/>
      <c r="P490" s="9"/>
      <c r="Q490" s="9"/>
      <c r="R490" s="9" t="s">
        <v>12795</v>
      </c>
      <c r="S490" s="9" t="s">
        <v>12795</v>
      </c>
      <c r="T490" s="9"/>
      <c r="U490" s="9"/>
      <c r="V490" s="9"/>
      <c r="W490" s="9"/>
      <c r="X490" s="9"/>
      <c r="Y490" s="9"/>
      <c r="Z490" s="9"/>
      <c r="AA490" s="9"/>
      <c r="AB490" s="9"/>
      <c r="AC490" s="9"/>
      <c r="AD490" s="9" t="s">
        <v>19</v>
      </c>
    </row>
    <row r="491" spans="1:30" ht="29">
      <c r="A491" s="3" t="s">
        <v>1648</v>
      </c>
      <c r="B491" s="3" t="s">
        <v>6435</v>
      </c>
      <c r="C491" s="3" t="s">
        <v>6436</v>
      </c>
      <c r="G491" s="9" t="s">
        <v>25</v>
      </c>
      <c r="H491" s="9"/>
      <c r="I491" s="9">
        <v>1</v>
      </c>
      <c r="J491" s="9">
        <v>3</v>
      </c>
      <c r="K491" s="9" t="s">
        <v>12078</v>
      </c>
      <c r="L491" s="9" t="s">
        <v>12079</v>
      </c>
      <c r="M491" s="9"/>
      <c r="N491" s="10"/>
      <c r="O491" s="9"/>
      <c r="P491" s="9">
        <v>11843</v>
      </c>
      <c r="Q491" s="9"/>
      <c r="R491" s="9" t="s">
        <v>12795</v>
      </c>
      <c r="S491" s="9" t="s">
        <v>12795</v>
      </c>
      <c r="T491" s="9"/>
      <c r="U491" s="9"/>
      <c r="V491" s="9"/>
      <c r="W491" s="9"/>
      <c r="X491" s="9"/>
      <c r="Y491" s="9"/>
      <c r="Z491" s="9"/>
      <c r="AA491" s="9"/>
      <c r="AB491" s="9"/>
      <c r="AC491" s="9"/>
      <c r="AD491" s="9" t="s">
        <v>19</v>
      </c>
    </row>
    <row r="492" spans="1:30" ht="29">
      <c r="A492" s="3" t="s">
        <v>1649</v>
      </c>
      <c r="B492" s="3" t="s">
        <v>6440</v>
      </c>
      <c r="C492" s="3" t="s">
        <v>6437</v>
      </c>
      <c r="G492" s="9" t="s">
        <v>25</v>
      </c>
      <c r="H492" s="9"/>
      <c r="I492" s="9">
        <v>1</v>
      </c>
      <c r="J492" s="9">
        <v>5</v>
      </c>
      <c r="K492" s="9" t="s">
        <v>12094</v>
      </c>
      <c r="L492" s="9" t="s">
        <v>12073</v>
      </c>
      <c r="M492" s="9" t="s">
        <v>12142</v>
      </c>
      <c r="N492" s="10" t="s">
        <v>12143</v>
      </c>
      <c r="O492" s="9"/>
      <c r="P492" s="9">
        <v>4240</v>
      </c>
      <c r="Q492" s="9"/>
      <c r="R492" s="9" t="s">
        <v>12795</v>
      </c>
      <c r="S492" s="9" t="s">
        <v>12795</v>
      </c>
      <c r="T492" s="9"/>
      <c r="U492" s="9"/>
      <c r="V492" s="9"/>
      <c r="W492" s="9"/>
      <c r="X492" s="9"/>
      <c r="Y492" s="9"/>
      <c r="Z492" s="9"/>
      <c r="AA492" s="9"/>
      <c r="AB492" s="9"/>
      <c r="AC492" s="9"/>
      <c r="AD492" s="9" t="s">
        <v>20</v>
      </c>
    </row>
    <row r="493" spans="1:30" ht="29">
      <c r="A493" s="3" t="s">
        <v>1650</v>
      </c>
      <c r="B493" s="3" t="s">
        <v>1651</v>
      </c>
      <c r="C493" s="3" t="s">
        <v>1652</v>
      </c>
      <c r="G493" s="9" t="s">
        <v>12120</v>
      </c>
      <c r="H493" s="9"/>
      <c r="I493" s="9"/>
      <c r="J493" s="9"/>
      <c r="K493" s="9"/>
      <c r="L493" s="9"/>
      <c r="M493" s="9"/>
      <c r="N493" s="10"/>
      <c r="O493" s="9"/>
      <c r="P493" s="9"/>
      <c r="Q493" s="9"/>
      <c r="R493" s="9" t="s">
        <v>12795</v>
      </c>
      <c r="S493" s="9" t="s">
        <v>12795</v>
      </c>
      <c r="T493" s="9"/>
      <c r="U493" s="9"/>
      <c r="V493" s="9"/>
      <c r="W493" s="9"/>
      <c r="X493" s="9"/>
      <c r="Y493" s="9"/>
      <c r="Z493" s="9"/>
      <c r="AA493" s="9"/>
      <c r="AB493" s="9"/>
      <c r="AC493" s="9"/>
      <c r="AD493" s="9" t="s">
        <v>20</v>
      </c>
    </row>
    <row r="494" spans="1:30" ht="29">
      <c r="A494" s="3" t="s">
        <v>1656</v>
      </c>
      <c r="B494" s="3" t="s">
        <v>1657</v>
      </c>
      <c r="C494" s="3" t="s">
        <v>1658</v>
      </c>
      <c r="G494" s="9" t="s">
        <v>12118</v>
      </c>
      <c r="H494" s="9"/>
      <c r="I494" s="9"/>
      <c r="J494" s="9"/>
      <c r="K494" s="9"/>
      <c r="L494" s="9"/>
      <c r="M494" s="9"/>
      <c r="N494" s="10"/>
      <c r="O494" s="9"/>
      <c r="P494" s="9"/>
      <c r="Q494" s="9">
        <v>1</v>
      </c>
      <c r="R494" s="9">
        <v>0</v>
      </c>
      <c r="S494" s="9">
        <v>1</v>
      </c>
      <c r="T494" s="9"/>
      <c r="U494" s="9"/>
      <c r="V494" s="9"/>
      <c r="W494" s="9"/>
      <c r="X494" s="9"/>
      <c r="Y494" s="9"/>
      <c r="Z494" s="9"/>
      <c r="AA494" s="9"/>
      <c r="AB494" s="9"/>
      <c r="AC494" s="9"/>
      <c r="AD494" s="9" t="s">
        <v>19</v>
      </c>
    </row>
    <row r="495" spans="1:30">
      <c r="A495" s="3" t="s">
        <v>1659</v>
      </c>
      <c r="B495" s="3" t="s">
        <v>6445</v>
      </c>
      <c r="C495" s="3" t="s">
        <v>6447</v>
      </c>
      <c r="G495" s="9" t="s">
        <v>25</v>
      </c>
      <c r="H495" s="9"/>
      <c r="I495" s="9">
        <v>1</v>
      </c>
      <c r="J495" s="9">
        <v>5</v>
      </c>
      <c r="K495" s="9" t="s">
        <v>12084</v>
      </c>
      <c r="L495" s="9" t="s">
        <v>12079</v>
      </c>
      <c r="M495" s="9"/>
      <c r="N495" s="10"/>
      <c r="O495" s="9"/>
      <c r="P495" s="9">
        <v>98</v>
      </c>
      <c r="Q495" s="9"/>
      <c r="R495" s="9" t="s">
        <v>12795</v>
      </c>
      <c r="S495" s="9" t="s">
        <v>12795</v>
      </c>
      <c r="T495" s="9"/>
      <c r="U495" s="9"/>
      <c r="V495" s="9"/>
      <c r="W495" s="9"/>
      <c r="X495" s="9"/>
      <c r="Y495" s="9"/>
      <c r="Z495" s="9"/>
      <c r="AA495" s="9"/>
      <c r="AB495" s="9"/>
      <c r="AC495" s="9"/>
      <c r="AD495" s="9" t="s">
        <v>20</v>
      </c>
    </row>
    <row r="496" spans="1:30" ht="29">
      <c r="A496" s="3" t="s">
        <v>1659</v>
      </c>
      <c r="B496" s="3" t="s">
        <v>6446</v>
      </c>
      <c r="C496" s="3" t="s">
        <v>6448</v>
      </c>
      <c r="G496" s="9" t="s">
        <v>25</v>
      </c>
      <c r="H496" s="9"/>
      <c r="I496" s="9">
        <v>1</v>
      </c>
      <c r="J496" s="9">
        <v>5</v>
      </c>
      <c r="K496" s="9" t="s">
        <v>12094</v>
      </c>
      <c r="L496" s="9" t="s">
        <v>12073</v>
      </c>
      <c r="M496" s="9" t="s">
        <v>12142</v>
      </c>
      <c r="N496" s="10" t="s">
        <v>12143</v>
      </c>
      <c r="O496" s="9"/>
      <c r="P496" s="9">
        <v>4240</v>
      </c>
      <c r="Q496" s="9"/>
      <c r="R496" s="9" t="s">
        <v>12795</v>
      </c>
      <c r="S496" s="9" t="s">
        <v>12795</v>
      </c>
      <c r="T496" s="9"/>
      <c r="U496" s="9"/>
      <c r="V496" s="9"/>
      <c r="W496" s="9"/>
      <c r="X496" s="9"/>
      <c r="Y496" s="9"/>
      <c r="Z496" s="9"/>
      <c r="AA496" s="9"/>
      <c r="AB496" s="9"/>
      <c r="AC496" s="9"/>
      <c r="AD496" s="9" t="s">
        <v>19</v>
      </c>
    </row>
    <row r="497" spans="1:30" ht="29">
      <c r="A497" s="3" t="s">
        <v>1665</v>
      </c>
      <c r="B497" s="3" t="s">
        <v>6450</v>
      </c>
      <c r="C497" s="3" t="s">
        <v>6449</v>
      </c>
      <c r="G497" s="9" t="s">
        <v>25</v>
      </c>
      <c r="H497" s="9"/>
      <c r="I497" s="9">
        <v>1</v>
      </c>
      <c r="J497" s="9">
        <v>3</v>
      </c>
      <c r="K497" s="9" t="s">
        <v>12087</v>
      </c>
      <c r="L497" s="9" t="s">
        <v>12119</v>
      </c>
      <c r="M497" s="9"/>
      <c r="N497" s="10"/>
      <c r="O497" s="9"/>
      <c r="P497" s="9">
        <v>5676</v>
      </c>
      <c r="Q497" s="9"/>
      <c r="R497" s="9" t="s">
        <v>12795</v>
      </c>
      <c r="S497" s="9" t="s">
        <v>12795</v>
      </c>
      <c r="T497" s="9"/>
      <c r="U497" s="9"/>
      <c r="V497" s="9"/>
      <c r="W497" s="9"/>
      <c r="X497" s="9"/>
      <c r="Y497" s="9"/>
      <c r="Z497" s="9"/>
      <c r="AA497" s="9"/>
      <c r="AB497" s="9"/>
      <c r="AC497" s="9"/>
      <c r="AD497" s="9" t="s">
        <v>20</v>
      </c>
    </row>
    <row r="498" spans="1:30" ht="29">
      <c r="A498" s="3" t="s">
        <v>1670</v>
      </c>
      <c r="B498" s="3" t="s">
        <v>6453</v>
      </c>
      <c r="C498" s="3" t="s">
        <v>6454</v>
      </c>
      <c r="G498" s="9" t="s">
        <v>24</v>
      </c>
      <c r="H498" s="9"/>
      <c r="I498" s="9">
        <v>1</v>
      </c>
      <c r="J498" s="9">
        <v>4</v>
      </c>
      <c r="K498" s="9" t="s">
        <v>12078</v>
      </c>
      <c r="L498" s="9" t="s">
        <v>12073</v>
      </c>
      <c r="M498" s="9" t="s">
        <v>12149</v>
      </c>
      <c r="N498" s="10" t="s">
        <v>12160</v>
      </c>
      <c r="O498" s="9"/>
      <c r="P498" s="9">
        <v>11843</v>
      </c>
      <c r="Q498" s="9"/>
      <c r="R498" s="9" t="s">
        <v>12795</v>
      </c>
      <c r="S498" s="9" t="s">
        <v>12795</v>
      </c>
      <c r="T498" s="9"/>
      <c r="U498" s="9"/>
      <c r="V498" s="9"/>
      <c r="W498" s="9"/>
      <c r="X498" s="9"/>
      <c r="Y498" s="9"/>
      <c r="Z498" s="9"/>
      <c r="AA498" s="9"/>
      <c r="AB498" s="9"/>
      <c r="AC498" s="9"/>
      <c r="AD498" s="9" t="s">
        <v>20</v>
      </c>
    </row>
    <row r="499" spans="1:30" ht="29">
      <c r="A499" s="3" t="s">
        <v>1670</v>
      </c>
      <c r="B499" s="3" t="s">
        <v>6453</v>
      </c>
      <c r="C499" s="3" t="s">
        <v>6455</v>
      </c>
      <c r="G499" s="9" t="s">
        <v>24</v>
      </c>
      <c r="H499" s="9"/>
      <c r="I499" s="9">
        <v>1</v>
      </c>
      <c r="J499" s="9">
        <v>3</v>
      </c>
      <c r="K499" s="9" t="s">
        <v>12087</v>
      </c>
      <c r="L499" s="9" t="s">
        <v>12119</v>
      </c>
      <c r="M499" s="9"/>
      <c r="N499" s="10"/>
      <c r="O499" s="9"/>
      <c r="P499" s="9">
        <v>5676</v>
      </c>
      <c r="Q499" s="9"/>
      <c r="R499" s="9" t="s">
        <v>12795</v>
      </c>
      <c r="S499" s="9" t="s">
        <v>12795</v>
      </c>
      <c r="T499" s="9"/>
      <c r="U499" s="9"/>
      <c r="V499" s="9"/>
      <c r="W499" s="9"/>
      <c r="X499" s="9"/>
      <c r="Y499" s="9"/>
      <c r="Z499" s="9"/>
      <c r="AA499" s="9"/>
      <c r="AB499" s="9"/>
      <c r="AC499" s="9"/>
      <c r="AD499" s="9" t="s">
        <v>19</v>
      </c>
    </row>
    <row r="500" spans="1:30" ht="29">
      <c r="A500" s="3" t="s">
        <v>1671</v>
      </c>
      <c r="B500" s="3" t="s">
        <v>1672</v>
      </c>
      <c r="C500" s="3" t="s">
        <v>1673</v>
      </c>
      <c r="G500" s="9" t="s">
        <v>12120</v>
      </c>
      <c r="H500" s="9"/>
      <c r="I500" s="9"/>
      <c r="J500" s="9"/>
      <c r="K500" s="9"/>
      <c r="L500" s="9"/>
      <c r="M500" s="9"/>
      <c r="N500" s="10"/>
      <c r="O500" s="9"/>
      <c r="P500" s="9"/>
      <c r="Q500" s="9"/>
      <c r="R500" s="9" t="s">
        <v>12795</v>
      </c>
      <c r="S500" s="9" t="s">
        <v>12795</v>
      </c>
      <c r="T500" s="9"/>
      <c r="U500" s="9"/>
      <c r="V500" s="9"/>
      <c r="W500" s="9"/>
      <c r="X500" s="9"/>
      <c r="Y500" s="9"/>
      <c r="Z500" s="9"/>
      <c r="AA500" s="9"/>
      <c r="AB500" s="9"/>
      <c r="AC500" s="9"/>
      <c r="AD500" s="9" t="s">
        <v>20</v>
      </c>
    </row>
    <row r="501" spans="1:30" ht="29">
      <c r="A501" s="3" t="s">
        <v>1676</v>
      </c>
      <c r="B501" s="3" t="s">
        <v>6459</v>
      </c>
      <c r="C501" s="3" t="s">
        <v>13015</v>
      </c>
      <c r="G501" s="9" t="s">
        <v>12118</v>
      </c>
      <c r="H501" s="9"/>
      <c r="I501" s="9"/>
      <c r="J501" s="9"/>
      <c r="K501" s="9"/>
      <c r="L501" s="9"/>
      <c r="M501" s="9"/>
      <c r="N501" s="10"/>
      <c r="O501" s="9"/>
      <c r="P501" s="9"/>
      <c r="Q501" s="9">
        <v>800</v>
      </c>
      <c r="R501" s="9">
        <v>87</v>
      </c>
      <c r="S501" s="9">
        <v>887</v>
      </c>
      <c r="T501" s="9"/>
      <c r="U501" s="9"/>
      <c r="V501" s="9"/>
      <c r="W501" s="9"/>
      <c r="X501" s="9"/>
      <c r="Y501" s="9"/>
      <c r="Z501" s="9"/>
      <c r="AA501" s="9"/>
      <c r="AB501" s="9"/>
      <c r="AC501" s="9"/>
      <c r="AD501" s="9" t="s">
        <v>19</v>
      </c>
    </row>
    <row r="502" spans="1:30" ht="29">
      <c r="A502" s="3" t="s">
        <v>1677</v>
      </c>
      <c r="B502" s="3" t="s">
        <v>6461</v>
      </c>
      <c r="C502" s="3" t="s">
        <v>6460</v>
      </c>
      <c r="G502" s="9" t="s">
        <v>25</v>
      </c>
      <c r="H502" s="9"/>
      <c r="I502" s="9">
        <v>1</v>
      </c>
      <c r="J502" s="9">
        <v>4</v>
      </c>
      <c r="K502" s="9" t="s">
        <v>12078</v>
      </c>
      <c r="L502" s="9" t="s">
        <v>12073</v>
      </c>
      <c r="M502" s="9" t="s">
        <v>12142</v>
      </c>
      <c r="N502" s="10" t="s">
        <v>12160</v>
      </c>
      <c r="O502" s="9" t="s">
        <v>12074</v>
      </c>
      <c r="P502" s="9">
        <v>11843</v>
      </c>
      <c r="Q502" s="9"/>
      <c r="R502" s="9" t="s">
        <v>12795</v>
      </c>
      <c r="S502" s="9" t="s">
        <v>12795</v>
      </c>
      <c r="T502" s="9"/>
      <c r="U502" s="9"/>
      <c r="V502" s="9"/>
      <c r="W502" s="9"/>
      <c r="X502" s="9"/>
      <c r="Y502" s="9"/>
      <c r="Z502" s="9"/>
      <c r="AA502" s="9"/>
      <c r="AB502" s="9"/>
      <c r="AC502" s="9"/>
      <c r="AD502" s="9" t="s">
        <v>19</v>
      </c>
    </row>
    <row r="503" spans="1:30" ht="29">
      <c r="A503" s="3" t="s">
        <v>1677</v>
      </c>
      <c r="B503" s="3" t="s">
        <v>6462</v>
      </c>
      <c r="C503" s="3" t="s">
        <v>6463</v>
      </c>
      <c r="G503" s="9" t="s">
        <v>26</v>
      </c>
      <c r="H503" s="9"/>
      <c r="I503" s="9"/>
      <c r="J503" s="9"/>
      <c r="K503" s="9"/>
      <c r="L503" s="9"/>
      <c r="M503" s="9"/>
      <c r="N503" s="10"/>
      <c r="O503" s="9"/>
      <c r="P503" s="9"/>
      <c r="Q503" s="9"/>
      <c r="R503" s="9" t="s">
        <v>12795</v>
      </c>
      <c r="S503" s="9" t="s">
        <v>12795</v>
      </c>
      <c r="T503" s="9"/>
      <c r="U503" s="9"/>
      <c r="V503" s="9"/>
      <c r="W503" s="9"/>
      <c r="X503" s="9"/>
      <c r="Y503" s="9"/>
      <c r="Z503" s="9"/>
      <c r="AA503" s="9"/>
      <c r="AB503" s="9"/>
      <c r="AC503" s="9"/>
      <c r="AD503" s="9" t="s">
        <v>20</v>
      </c>
    </row>
    <row r="504" spans="1:30" ht="29">
      <c r="A504" s="3" t="s">
        <v>1678</v>
      </c>
      <c r="B504" s="3" t="s">
        <v>6464</v>
      </c>
      <c r="C504" s="3" t="s">
        <v>6465</v>
      </c>
      <c r="G504" s="9" t="s">
        <v>12120</v>
      </c>
      <c r="H504" s="9"/>
      <c r="I504" s="9"/>
      <c r="J504" s="9"/>
      <c r="K504" s="9"/>
      <c r="L504" s="9"/>
      <c r="M504" s="9"/>
      <c r="N504" s="10"/>
      <c r="O504" s="9"/>
      <c r="P504" s="9"/>
      <c r="Q504" s="9"/>
      <c r="R504" s="9" t="s">
        <v>12795</v>
      </c>
      <c r="S504" s="9" t="s">
        <v>12795</v>
      </c>
      <c r="T504" s="9"/>
      <c r="U504" s="9"/>
      <c r="V504" s="9"/>
      <c r="W504" s="9"/>
      <c r="X504" s="9"/>
      <c r="Y504" s="9"/>
      <c r="Z504" s="9"/>
      <c r="AA504" s="9"/>
      <c r="AB504" s="9"/>
      <c r="AC504" s="9"/>
      <c r="AD504" s="9" t="s">
        <v>19</v>
      </c>
    </row>
    <row r="505" spans="1:30" ht="29">
      <c r="A505" s="3" t="s">
        <v>1679</v>
      </c>
      <c r="B505" s="3" t="s">
        <v>1680</v>
      </c>
      <c r="C505" s="3" t="s">
        <v>1234</v>
      </c>
      <c r="G505" s="9" t="s">
        <v>12120</v>
      </c>
      <c r="H505" s="9"/>
      <c r="I505" s="9"/>
      <c r="J505" s="9"/>
      <c r="K505" s="9"/>
      <c r="L505" s="9"/>
      <c r="M505" s="9"/>
      <c r="N505" s="10"/>
      <c r="O505" s="9"/>
      <c r="P505" s="9"/>
      <c r="Q505" s="9"/>
      <c r="R505" s="9" t="s">
        <v>12795</v>
      </c>
      <c r="S505" s="9" t="s">
        <v>12795</v>
      </c>
      <c r="T505" s="9"/>
      <c r="U505" s="9"/>
      <c r="V505" s="9"/>
      <c r="W505" s="9"/>
      <c r="X505" s="9"/>
      <c r="Y505" s="9"/>
      <c r="Z505" s="9"/>
      <c r="AA505" s="9"/>
      <c r="AB505" s="9"/>
      <c r="AC505" s="9"/>
      <c r="AD505" s="9" t="s">
        <v>19</v>
      </c>
    </row>
    <row r="506" spans="1:30" ht="29">
      <c r="A506" s="3" t="s">
        <v>1682</v>
      </c>
      <c r="B506" s="3" t="s">
        <v>1683</v>
      </c>
      <c r="C506" s="3" t="s">
        <v>1562</v>
      </c>
      <c r="G506" s="9" t="s">
        <v>12120</v>
      </c>
      <c r="H506" s="9"/>
      <c r="I506" s="9"/>
      <c r="J506" s="9"/>
      <c r="K506" s="9"/>
      <c r="L506" s="9"/>
      <c r="M506" s="9"/>
      <c r="N506" s="10"/>
      <c r="O506" s="9"/>
      <c r="P506" s="9"/>
      <c r="Q506" s="9"/>
      <c r="R506" s="9" t="s">
        <v>12795</v>
      </c>
      <c r="S506" s="9" t="s">
        <v>12795</v>
      </c>
      <c r="T506" s="9"/>
      <c r="U506" s="9"/>
      <c r="V506" s="9"/>
      <c r="W506" s="9"/>
      <c r="X506" s="9"/>
      <c r="Y506" s="9"/>
      <c r="Z506" s="9"/>
      <c r="AA506" s="9"/>
      <c r="AB506" s="9"/>
      <c r="AC506" s="9"/>
      <c r="AD506" s="9" t="s">
        <v>20</v>
      </c>
    </row>
    <row r="507" spans="1:30" ht="29">
      <c r="A507" s="3" t="s">
        <v>1687</v>
      </c>
      <c r="B507" s="3" t="s">
        <v>6471</v>
      </c>
      <c r="C507" s="3" t="s">
        <v>6472</v>
      </c>
      <c r="G507" s="9" t="s">
        <v>26</v>
      </c>
      <c r="H507" s="9"/>
      <c r="I507" s="9"/>
      <c r="J507" s="9"/>
      <c r="K507" s="9"/>
      <c r="L507" s="9"/>
      <c r="M507" s="9"/>
      <c r="N507" s="10"/>
      <c r="O507" s="9"/>
      <c r="P507" s="9"/>
      <c r="Q507" s="9"/>
      <c r="R507" s="9" t="s">
        <v>12795</v>
      </c>
      <c r="S507" s="9" t="s">
        <v>12795</v>
      </c>
      <c r="T507" s="9"/>
      <c r="U507" s="9"/>
      <c r="V507" s="9"/>
      <c r="W507" s="9"/>
      <c r="X507" s="9"/>
      <c r="Y507" s="9"/>
      <c r="Z507" s="9"/>
      <c r="AA507" s="9"/>
      <c r="AB507" s="9"/>
      <c r="AC507" s="9"/>
      <c r="AD507" s="9" t="s">
        <v>19</v>
      </c>
    </row>
    <row r="508" spans="1:30" ht="29">
      <c r="A508" s="3" t="s">
        <v>1692</v>
      </c>
      <c r="B508" s="3" t="s">
        <v>6480</v>
      </c>
      <c r="C508" s="3" t="s">
        <v>6481</v>
      </c>
      <c r="G508" s="9" t="s">
        <v>24</v>
      </c>
      <c r="H508" s="9"/>
      <c r="I508" s="9">
        <v>1</v>
      </c>
      <c r="J508" s="9">
        <v>2</v>
      </c>
      <c r="K508" s="9" t="s">
        <v>12078</v>
      </c>
      <c r="L508" s="9" t="s">
        <v>12119</v>
      </c>
      <c r="M508" s="9"/>
      <c r="N508" s="10"/>
      <c r="O508" s="9"/>
      <c r="P508" s="9">
        <v>11843</v>
      </c>
      <c r="Q508" s="9"/>
      <c r="R508" s="9" t="s">
        <v>12795</v>
      </c>
      <c r="S508" s="9" t="s">
        <v>12795</v>
      </c>
      <c r="T508" s="9"/>
      <c r="U508" s="9"/>
      <c r="V508" s="9"/>
      <c r="W508" s="9"/>
      <c r="X508" s="9"/>
      <c r="Y508" s="9"/>
      <c r="Z508" s="9"/>
      <c r="AA508" s="9"/>
      <c r="AB508" s="9"/>
      <c r="AC508" s="9"/>
      <c r="AD508" s="9" t="s">
        <v>19</v>
      </c>
    </row>
    <row r="509" spans="1:30" ht="29">
      <c r="A509" s="3" t="s">
        <v>1697</v>
      </c>
      <c r="B509" s="3" t="s">
        <v>12281</v>
      </c>
      <c r="C509" s="3" t="s">
        <v>12282</v>
      </c>
      <c r="G509" s="9" t="s">
        <v>26</v>
      </c>
      <c r="H509" s="9"/>
      <c r="I509" s="9"/>
      <c r="J509" s="9"/>
      <c r="K509" s="9"/>
      <c r="L509" s="9"/>
      <c r="M509" s="9"/>
      <c r="N509" s="10"/>
      <c r="O509" s="9"/>
      <c r="P509" s="9"/>
      <c r="Q509" s="9"/>
      <c r="R509" s="9" t="s">
        <v>12795</v>
      </c>
      <c r="S509" s="9" t="s">
        <v>12795</v>
      </c>
      <c r="T509" s="9"/>
      <c r="U509" s="9"/>
      <c r="V509" s="9"/>
      <c r="W509" s="9"/>
      <c r="X509" s="9"/>
      <c r="Y509" s="9"/>
      <c r="Z509" s="9"/>
      <c r="AA509" s="9"/>
      <c r="AB509" s="9"/>
      <c r="AC509" s="9"/>
      <c r="AD509" s="9" t="s">
        <v>19</v>
      </c>
    </row>
    <row r="510" spans="1:30">
      <c r="A510" s="3" t="s">
        <v>1703</v>
      </c>
      <c r="B510" s="3" t="s">
        <v>6497</v>
      </c>
      <c r="C510" s="3" t="s">
        <v>6498</v>
      </c>
      <c r="G510" s="9" t="s">
        <v>12120</v>
      </c>
      <c r="H510" s="9"/>
      <c r="I510" s="9"/>
      <c r="J510" s="9"/>
      <c r="K510" s="9"/>
      <c r="L510" s="9"/>
      <c r="M510" s="9"/>
      <c r="N510" s="10"/>
      <c r="O510" s="9"/>
      <c r="P510" s="9"/>
      <c r="Q510" s="9"/>
      <c r="R510" s="9" t="s">
        <v>12795</v>
      </c>
      <c r="S510" s="9" t="s">
        <v>12795</v>
      </c>
      <c r="T510" s="9"/>
      <c r="U510" s="9"/>
      <c r="V510" s="9"/>
      <c r="W510" s="9"/>
      <c r="X510" s="9"/>
      <c r="Y510" s="9"/>
      <c r="Z510" s="9"/>
      <c r="AA510" s="9"/>
      <c r="AB510" s="9"/>
      <c r="AC510" s="9"/>
      <c r="AD510" s="9" t="s">
        <v>19</v>
      </c>
    </row>
    <row r="511" spans="1:30">
      <c r="A511" s="3" t="s">
        <v>1703</v>
      </c>
      <c r="B511" s="3" t="s">
        <v>6499</v>
      </c>
      <c r="C511" s="3" t="s">
        <v>6500</v>
      </c>
      <c r="G511" s="9" t="s">
        <v>12120</v>
      </c>
      <c r="H511" s="9"/>
      <c r="I511" s="9"/>
      <c r="J511" s="9"/>
      <c r="K511" s="9"/>
      <c r="L511" s="9"/>
      <c r="M511" s="9"/>
      <c r="N511" s="10"/>
      <c r="O511" s="9"/>
      <c r="P511" s="9"/>
      <c r="Q511" s="9"/>
      <c r="R511" s="9" t="s">
        <v>12795</v>
      </c>
      <c r="S511" s="9" t="s">
        <v>12795</v>
      </c>
      <c r="T511" s="9"/>
      <c r="U511" s="9"/>
      <c r="V511" s="9"/>
      <c r="W511" s="9"/>
      <c r="X511" s="9"/>
      <c r="Y511" s="9"/>
      <c r="Z511" s="9"/>
      <c r="AA511" s="9"/>
      <c r="AB511" s="9"/>
      <c r="AC511" s="9"/>
      <c r="AD511" s="9" t="s">
        <v>20</v>
      </c>
    </row>
    <row r="512" spans="1:30" ht="29">
      <c r="A512" s="3" t="s">
        <v>1708</v>
      </c>
      <c r="B512" s="3" t="s">
        <v>5839</v>
      </c>
      <c r="C512" s="3" t="s">
        <v>6506</v>
      </c>
      <c r="G512" s="9" t="s">
        <v>25</v>
      </c>
      <c r="H512" s="9"/>
      <c r="I512" s="9">
        <v>1</v>
      </c>
      <c r="J512" s="9">
        <v>4</v>
      </c>
      <c r="K512" s="9" t="s">
        <v>12078</v>
      </c>
      <c r="L512" s="9" t="s">
        <v>12079</v>
      </c>
      <c r="M512" s="9"/>
      <c r="N512" s="10"/>
      <c r="O512" s="9"/>
      <c r="P512" s="9">
        <v>11843</v>
      </c>
      <c r="Q512" s="9"/>
      <c r="R512" s="9" t="s">
        <v>12795</v>
      </c>
      <c r="S512" s="9" t="s">
        <v>12795</v>
      </c>
      <c r="T512" s="9"/>
      <c r="U512" s="9"/>
      <c r="V512" s="9"/>
      <c r="W512" s="9"/>
      <c r="X512" s="9"/>
      <c r="Y512" s="9"/>
      <c r="Z512" s="9"/>
      <c r="AA512" s="9"/>
      <c r="AB512" s="9"/>
      <c r="AC512" s="9"/>
      <c r="AD512" s="9" t="s">
        <v>20</v>
      </c>
    </row>
    <row r="513" spans="1:30" ht="29">
      <c r="A513" s="3" t="s">
        <v>1709</v>
      </c>
      <c r="B513" s="3" t="s">
        <v>6076</v>
      </c>
      <c r="C513" s="3" t="s">
        <v>6077</v>
      </c>
      <c r="G513" s="9" t="s">
        <v>24</v>
      </c>
      <c r="H513" s="9"/>
      <c r="I513" s="9">
        <v>1</v>
      </c>
      <c r="J513" s="9">
        <v>1</v>
      </c>
      <c r="K513" s="9" t="s">
        <v>12078</v>
      </c>
      <c r="L513" s="9" t="s">
        <v>12119</v>
      </c>
      <c r="M513" s="9"/>
      <c r="N513" s="10"/>
      <c r="O513" s="9" t="s">
        <v>12074</v>
      </c>
      <c r="P513" s="9">
        <v>11843</v>
      </c>
      <c r="Q513" s="9"/>
      <c r="R513" s="9" t="s">
        <v>12795</v>
      </c>
      <c r="S513" s="9" t="s">
        <v>12795</v>
      </c>
      <c r="T513" s="9"/>
      <c r="U513" s="9"/>
      <c r="V513" s="9"/>
      <c r="W513" s="9"/>
      <c r="X513" s="9"/>
      <c r="Y513" s="9"/>
      <c r="Z513" s="9"/>
      <c r="AA513" s="9"/>
      <c r="AB513" s="9"/>
      <c r="AC513" s="9"/>
      <c r="AD513" s="9" t="s">
        <v>19</v>
      </c>
    </row>
    <row r="514" spans="1:30" ht="29">
      <c r="A514" s="3" t="s">
        <v>1710</v>
      </c>
      <c r="B514" s="3" t="s">
        <v>6507</v>
      </c>
      <c r="C514" s="3" t="s">
        <v>6508</v>
      </c>
      <c r="G514" s="9" t="s">
        <v>26</v>
      </c>
      <c r="H514" s="9"/>
      <c r="I514" s="9"/>
      <c r="J514" s="9"/>
      <c r="K514" s="9"/>
      <c r="L514" s="9"/>
      <c r="M514" s="9"/>
      <c r="N514" s="10"/>
      <c r="O514" s="9"/>
      <c r="P514" s="9"/>
      <c r="Q514" s="9"/>
      <c r="R514" s="9" t="s">
        <v>12795</v>
      </c>
      <c r="S514" s="9" t="s">
        <v>12795</v>
      </c>
      <c r="T514" s="9"/>
      <c r="U514" s="9"/>
      <c r="V514" s="9"/>
      <c r="W514" s="9"/>
      <c r="X514" s="9"/>
      <c r="Y514" s="9"/>
      <c r="Z514" s="9"/>
      <c r="AA514" s="9"/>
      <c r="AB514" s="9"/>
      <c r="AC514" s="9"/>
      <c r="AD514" s="9" t="s">
        <v>20</v>
      </c>
    </row>
    <row r="515" spans="1:30" ht="29">
      <c r="A515" s="3" t="s">
        <v>1711</v>
      </c>
      <c r="B515" s="3" t="s">
        <v>6511</v>
      </c>
      <c r="C515" s="3" t="s">
        <v>6509</v>
      </c>
      <c r="G515" s="9" t="s">
        <v>25</v>
      </c>
      <c r="H515" s="9"/>
      <c r="I515" s="9">
        <v>1</v>
      </c>
      <c r="J515" s="9">
        <v>4</v>
      </c>
      <c r="K515" s="9" t="s">
        <v>12094</v>
      </c>
      <c r="L515" s="9" t="s">
        <v>12079</v>
      </c>
      <c r="M515" s="9"/>
      <c r="N515" s="10"/>
      <c r="O515" s="9"/>
      <c r="P515" s="9">
        <v>4240</v>
      </c>
      <c r="Q515" s="9"/>
      <c r="R515" s="9" t="s">
        <v>12795</v>
      </c>
      <c r="S515" s="9" t="s">
        <v>12795</v>
      </c>
      <c r="T515" s="9"/>
      <c r="U515" s="9"/>
      <c r="V515" s="9"/>
      <c r="W515" s="9"/>
      <c r="X515" s="9"/>
      <c r="Y515" s="9"/>
      <c r="Z515" s="9"/>
      <c r="AA515" s="9"/>
      <c r="AB515" s="9"/>
      <c r="AC515" s="9"/>
      <c r="AD515" s="9" t="s">
        <v>19</v>
      </c>
    </row>
    <row r="516" spans="1:30" ht="29">
      <c r="A516" s="3" t="s">
        <v>1711</v>
      </c>
      <c r="B516" s="3" t="s">
        <v>6512</v>
      </c>
      <c r="C516" s="3" t="s">
        <v>6513</v>
      </c>
      <c r="G516" s="9" t="s">
        <v>26</v>
      </c>
      <c r="H516" s="9"/>
      <c r="I516" s="9"/>
      <c r="J516" s="9"/>
      <c r="K516" s="9"/>
      <c r="L516" s="9"/>
      <c r="M516" s="9"/>
      <c r="N516" s="10"/>
      <c r="O516" s="9"/>
      <c r="P516" s="9"/>
      <c r="Q516" s="9"/>
      <c r="R516" s="9" t="s">
        <v>12795</v>
      </c>
      <c r="S516" s="9" t="s">
        <v>12795</v>
      </c>
      <c r="T516" s="9"/>
      <c r="U516" s="9"/>
      <c r="V516" s="9"/>
      <c r="W516" s="9"/>
      <c r="X516" s="9"/>
      <c r="Y516" s="9"/>
      <c r="Z516" s="9"/>
      <c r="AA516" s="9"/>
      <c r="AB516" s="9"/>
      <c r="AC516" s="9"/>
      <c r="AD516" s="9" t="s">
        <v>20</v>
      </c>
    </row>
    <row r="517" spans="1:30" ht="29">
      <c r="A517" s="3" t="s">
        <v>1711</v>
      </c>
      <c r="B517" s="3" t="s">
        <v>6510</v>
      </c>
      <c r="C517" s="3" t="s">
        <v>6514</v>
      </c>
      <c r="G517" s="9" t="s">
        <v>24</v>
      </c>
      <c r="H517" s="9"/>
      <c r="I517" s="9">
        <v>2</v>
      </c>
      <c r="J517" s="9">
        <v>7</v>
      </c>
      <c r="K517" s="9"/>
      <c r="L517" s="9" t="s">
        <v>12079</v>
      </c>
      <c r="M517" s="9"/>
      <c r="N517" s="10"/>
      <c r="O517" s="9"/>
      <c r="P517" s="9">
        <v>2042</v>
      </c>
      <c r="Q517" s="9"/>
      <c r="R517" s="9" t="s">
        <v>12795</v>
      </c>
      <c r="S517" s="9" t="s">
        <v>12795</v>
      </c>
      <c r="T517" s="9"/>
      <c r="U517" s="9"/>
      <c r="V517" s="9"/>
      <c r="W517" s="9"/>
      <c r="X517" s="9"/>
      <c r="Y517" s="9"/>
      <c r="Z517" s="9"/>
      <c r="AA517" s="9"/>
      <c r="AB517" s="9"/>
      <c r="AC517" s="9"/>
      <c r="AD517" s="9" t="s">
        <v>13141</v>
      </c>
    </row>
    <row r="518" spans="1:30" ht="58">
      <c r="A518" s="3" t="s">
        <v>1712</v>
      </c>
      <c r="B518" s="3" t="s">
        <v>6516</v>
      </c>
      <c r="C518" s="3" t="s">
        <v>6517</v>
      </c>
      <c r="G518" s="9" t="s">
        <v>26</v>
      </c>
      <c r="H518" s="9"/>
      <c r="I518" s="9"/>
      <c r="J518" s="9"/>
      <c r="K518" s="9"/>
      <c r="L518" s="9"/>
      <c r="M518" s="9"/>
      <c r="N518" s="10"/>
      <c r="O518" s="9"/>
      <c r="P518" s="9"/>
      <c r="Q518" s="9"/>
      <c r="R518" s="9" t="s">
        <v>12795</v>
      </c>
      <c r="S518" s="9" t="s">
        <v>12795</v>
      </c>
      <c r="T518" s="9"/>
      <c r="U518" s="9"/>
      <c r="V518" s="9"/>
      <c r="W518" s="9"/>
      <c r="X518" s="9"/>
      <c r="Y518" s="9"/>
      <c r="Z518" s="9"/>
      <c r="AA518" s="9"/>
      <c r="AB518" s="9"/>
      <c r="AC518" s="9"/>
      <c r="AD518" s="9" t="s">
        <v>20</v>
      </c>
    </row>
    <row r="519" spans="1:30" ht="58">
      <c r="A519" s="3" t="s">
        <v>1712</v>
      </c>
      <c r="B519" s="3" t="s">
        <v>6518</v>
      </c>
      <c r="C519" s="3" t="s">
        <v>6515</v>
      </c>
      <c r="G519" s="9" t="s">
        <v>25</v>
      </c>
      <c r="H519" s="9"/>
      <c r="I519" s="9">
        <v>2</v>
      </c>
      <c r="J519" s="9">
        <v>12</v>
      </c>
      <c r="K519" s="9"/>
      <c r="L519" s="9" t="s">
        <v>12073</v>
      </c>
      <c r="M519" s="9" t="s">
        <v>12135</v>
      </c>
      <c r="N519" s="10" t="s">
        <v>12137</v>
      </c>
      <c r="O519" s="9"/>
      <c r="P519" s="9">
        <v>77</v>
      </c>
      <c r="Q519" s="9"/>
      <c r="R519" s="9" t="s">
        <v>12795</v>
      </c>
      <c r="S519" s="9" t="s">
        <v>12795</v>
      </c>
      <c r="T519" s="9"/>
      <c r="U519" s="9"/>
      <c r="V519" s="9"/>
      <c r="W519" s="9"/>
      <c r="X519" s="9"/>
      <c r="Y519" s="9"/>
      <c r="Z519" s="9"/>
      <c r="AA519" s="9"/>
      <c r="AB519" s="9"/>
      <c r="AC519" s="9"/>
      <c r="AD519" s="9" t="s">
        <v>19</v>
      </c>
    </row>
    <row r="520" spans="1:30" ht="58">
      <c r="A520" s="3" t="s">
        <v>1713</v>
      </c>
      <c r="B520" s="3" t="s">
        <v>6519</v>
      </c>
      <c r="C520" s="3" t="s">
        <v>6520</v>
      </c>
      <c r="G520" s="9" t="s">
        <v>12120</v>
      </c>
      <c r="H520" s="9"/>
      <c r="I520" s="9"/>
      <c r="J520" s="9"/>
      <c r="K520" s="9"/>
      <c r="L520" s="9"/>
      <c r="M520" s="9"/>
      <c r="N520" s="10"/>
      <c r="O520" s="9"/>
      <c r="P520" s="9"/>
      <c r="Q520" s="9"/>
      <c r="R520" s="9" t="s">
        <v>12795</v>
      </c>
      <c r="S520" s="9" t="s">
        <v>12795</v>
      </c>
      <c r="T520" s="9"/>
      <c r="U520" s="9"/>
      <c r="V520" s="9"/>
      <c r="W520" s="9"/>
      <c r="X520" s="9"/>
      <c r="Y520" s="9"/>
      <c r="Z520" s="9"/>
      <c r="AA520" s="9"/>
      <c r="AB520" s="9"/>
      <c r="AC520" s="9"/>
      <c r="AD520" s="9" t="s">
        <v>20</v>
      </c>
    </row>
    <row r="521" spans="1:30" ht="29">
      <c r="A521" s="3" t="s">
        <v>1713</v>
      </c>
      <c r="B521" s="3" t="s">
        <v>6521</v>
      </c>
      <c r="C521" s="3" t="s">
        <v>6522</v>
      </c>
      <c r="G521" s="9" t="s">
        <v>24</v>
      </c>
      <c r="H521" s="9"/>
      <c r="I521" s="9">
        <v>1</v>
      </c>
      <c r="J521" s="9">
        <v>3</v>
      </c>
      <c r="K521" s="9" t="s">
        <v>12087</v>
      </c>
      <c r="L521" s="9" t="s">
        <v>12079</v>
      </c>
      <c r="M521" s="9"/>
      <c r="N521" s="10"/>
      <c r="O521" s="9"/>
      <c r="P521" s="9">
        <v>5676</v>
      </c>
      <c r="Q521" s="9"/>
      <c r="R521" s="9" t="s">
        <v>12795</v>
      </c>
      <c r="S521" s="9" t="s">
        <v>12795</v>
      </c>
      <c r="T521" s="9"/>
      <c r="U521" s="9"/>
      <c r="V521" s="9"/>
      <c r="W521" s="9"/>
      <c r="X521" s="9"/>
      <c r="Y521" s="9"/>
      <c r="Z521" s="9"/>
      <c r="AA521" s="9"/>
      <c r="AB521" s="9"/>
      <c r="AC521" s="9"/>
      <c r="AD521" s="9" t="s">
        <v>20</v>
      </c>
    </row>
    <row r="522" spans="1:30" ht="29">
      <c r="A522" s="3" t="s">
        <v>1715</v>
      </c>
      <c r="B522" s="3" t="s">
        <v>6523</v>
      </c>
      <c r="C522" s="3" t="s">
        <v>6524</v>
      </c>
      <c r="G522" s="9" t="s">
        <v>24</v>
      </c>
      <c r="H522" s="9"/>
      <c r="I522" s="9">
        <v>1</v>
      </c>
      <c r="J522" s="9">
        <v>3</v>
      </c>
      <c r="K522" s="9" t="s">
        <v>12087</v>
      </c>
      <c r="L522" s="9" t="s">
        <v>12079</v>
      </c>
      <c r="M522" s="9"/>
      <c r="N522" s="10"/>
      <c r="O522" s="9"/>
      <c r="P522" s="9">
        <v>5676</v>
      </c>
      <c r="Q522" s="9"/>
      <c r="R522" s="9" t="s">
        <v>12795</v>
      </c>
      <c r="S522" s="9" t="s">
        <v>12795</v>
      </c>
      <c r="T522" s="9"/>
      <c r="U522" s="9"/>
      <c r="V522" s="9"/>
      <c r="W522" s="9"/>
      <c r="X522" s="9"/>
      <c r="Y522" s="9"/>
      <c r="Z522" s="9"/>
      <c r="AA522" s="9"/>
      <c r="AB522" s="9"/>
      <c r="AC522" s="9"/>
      <c r="AD522" s="9" t="s">
        <v>19</v>
      </c>
    </row>
    <row r="523" spans="1:30" ht="43.5">
      <c r="A523" s="3" t="s">
        <v>1715</v>
      </c>
      <c r="B523" s="3" t="s">
        <v>6525</v>
      </c>
      <c r="C523" s="3" t="s">
        <v>6526</v>
      </c>
      <c r="G523" s="9" t="s">
        <v>26</v>
      </c>
      <c r="H523" s="9"/>
      <c r="I523" s="9"/>
      <c r="J523" s="9"/>
      <c r="K523" s="9"/>
      <c r="L523" s="9"/>
      <c r="M523" s="9"/>
      <c r="N523" s="10"/>
      <c r="O523" s="9"/>
      <c r="P523" s="9"/>
      <c r="Q523" s="9"/>
      <c r="R523" s="9" t="s">
        <v>12795</v>
      </c>
      <c r="S523" s="9" t="s">
        <v>12795</v>
      </c>
      <c r="T523" s="9"/>
      <c r="U523" s="9"/>
      <c r="V523" s="9"/>
      <c r="W523" s="9"/>
      <c r="X523" s="9"/>
      <c r="Y523" s="9"/>
      <c r="Z523" s="9"/>
      <c r="AA523" s="9"/>
      <c r="AB523" s="9"/>
      <c r="AC523" s="9"/>
      <c r="AD523" s="9" t="s">
        <v>13141</v>
      </c>
    </row>
    <row r="524" spans="1:30" ht="29">
      <c r="A524" s="3" t="s">
        <v>1715</v>
      </c>
      <c r="B524" s="3" t="s">
        <v>6530</v>
      </c>
      <c r="C524" s="3" t="s">
        <v>6529</v>
      </c>
      <c r="G524" s="9" t="s">
        <v>25</v>
      </c>
      <c r="H524" s="9"/>
      <c r="I524" s="9">
        <v>1</v>
      </c>
      <c r="J524" s="9">
        <v>2</v>
      </c>
      <c r="K524" s="9" t="s">
        <v>12092</v>
      </c>
      <c r="L524" s="9" t="s">
        <v>12119</v>
      </c>
      <c r="M524" s="9"/>
      <c r="N524" s="10"/>
      <c r="O524" s="9"/>
      <c r="P524" s="9">
        <v>361</v>
      </c>
      <c r="Q524" s="9"/>
      <c r="R524" s="9" t="s">
        <v>12795</v>
      </c>
      <c r="S524" s="9" t="s">
        <v>12795</v>
      </c>
      <c r="T524" s="9"/>
      <c r="U524" s="9"/>
      <c r="V524" s="9"/>
      <c r="W524" s="9"/>
      <c r="X524" s="9"/>
      <c r="Y524" s="9"/>
      <c r="Z524" s="9"/>
      <c r="AA524" s="9"/>
      <c r="AB524" s="9"/>
      <c r="AC524" s="9"/>
      <c r="AD524" s="9" t="s">
        <v>19</v>
      </c>
    </row>
    <row r="525" spans="1:30" ht="29">
      <c r="A525" s="3" t="s">
        <v>1716</v>
      </c>
      <c r="B525" s="3" t="s">
        <v>6531</v>
      </c>
      <c r="C525" s="3" t="s">
        <v>6532</v>
      </c>
      <c r="G525" s="9" t="s">
        <v>24</v>
      </c>
      <c r="H525" s="9"/>
      <c r="I525" s="9">
        <v>1</v>
      </c>
      <c r="J525" s="9">
        <v>2</v>
      </c>
      <c r="K525" s="9" t="s">
        <v>12078</v>
      </c>
      <c r="L525" s="9" t="s">
        <v>12119</v>
      </c>
      <c r="M525" s="9"/>
      <c r="N525" s="10"/>
      <c r="O525" s="9"/>
      <c r="P525" s="9">
        <v>11843</v>
      </c>
      <c r="Q525" s="9"/>
      <c r="R525" s="9" t="s">
        <v>12795</v>
      </c>
      <c r="S525" s="9" t="s">
        <v>12795</v>
      </c>
      <c r="T525" s="9"/>
      <c r="U525" s="9"/>
      <c r="V525" s="9"/>
      <c r="W525" s="9"/>
      <c r="X525" s="9"/>
      <c r="Y525" s="9"/>
      <c r="Z525" s="9"/>
      <c r="AA525" s="9"/>
      <c r="AB525" s="9"/>
      <c r="AC525" s="9"/>
      <c r="AD525" s="9" t="s">
        <v>19</v>
      </c>
    </row>
    <row r="526" spans="1:30" ht="29">
      <c r="A526" s="3" t="s">
        <v>1717</v>
      </c>
      <c r="B526" s="3" t="s">
        <v>6533</v>
      </c>
      <c r="C526" s="3" t="s">
        <v>6534</v>
      </c>
      <c r="G526" s="9" t="s">
        <v>12120</v>
      </c>
      <c r="H526" s="9"/>
      <c r="I526" s="9"/>
      <c r="J526" s="9"/>
      <c r="K526" s="9"/>
      <c r="L526" s="9"/>
      <c r="M526" s="9"/>
      <c r="N526" s="10"/>
      <c r="O526" s="9"/>
      <c r="P526" s="9"/>
      <c r="Q526" s="9"/>
      <c r="R526" s="9" t="s">
        <v>12795</v>
      </c>
      <c r="S526" s="9" t="s">
        <v>12795</v>
      </c>
      <c r="T526" s="9"/>
      <c r="U526" s="9"/>
      <c r="V526" s="9"/>
      <c r="W526" s="9"/>
      <c r="X526" s="9"/>
      <c r="Y526" s="9"/>
      <c r="Z526" s="9"/>
      <c r="AA526" s="9"/>
      <c r="AB526" s="9"/>
      <c r="AC526" s="9"/>
      <c r="AD526" s="9" t="s">
        <v>19</v>
      </c>
    </row>
    <row r="527" spans="1:30" ht="29">
      <c r="A527" s="3" t="s">
        <v>1718</v>
      </c>
      <c r="B527" s="3" t="s">
        <v>6539</v>
      </c>
      <c r="C527" s="3" t="s">
        <v>6540</v>
      </c>
      <c r="G527" s="9" t="s">
        <v>12120</v>
      </c>
      <c r="H527" s="9"/>
      <c r="I527" s="9"/>
      <c r="J527" s="9"/>
      <c r="K527" s="9"/>
      <c r="L527" s="9"/>
      <c r="M527" s="9"/>
      <c r="N527" s="10"/>
      <c r="O527" s="9"/>
      <c r="P527" s="9"/>
      <c r="Q527" s="9"/>
      <c r="R527" s="9" t="s">
        <v>12795</v>
      </c>
      <c r="S527" s="9" t="s">
        <v>12795</v>
      </c>
      <c r="T527" s="9"/>
      <c r="U527" s="9"/>
      <c r="V527" s="9"/>
      <c r="W527" s="9"/>
      <c r="X527" s="9"/>
      <c r="Y527" s="9"/>
      <c r="Z527" s="9"/>
      <c r="AA527" s="9"/>
      <c r="AB527" s="9"/>
      <c r="AC527" s="9"/>
      <c r="AD527" s="9" t="s">
        <v>19</v>
      </c>
    </row>
    <row r="528" spans="1:30" ht="29">
      <c r="A528" s="3" t="s">
        <v>1720</v>
      </c>
      <c r="B528" s="3" t="s">
        <v>6541</v>
      </c>
      <c r="C528" s="3" t="s">
        <v>6542</v>
      </c>
      <c r="G528" s="9" t="s">
        <v>12118</v>
      </c>
      <c r="H528" s="9"/>
      <c r="I528" s="9"/>
      <c r="J528" s="9"/>
      <c r="K528" s="9"/>
      <c r="L528" s="9"/>
      <c r="M528" s="9"/>
      <c r="N528" s="10"/>
      <c r="O528" s="9"/>
      <c r="P528" s="9"/>
      <c r="Q528" s="9">
        <v>41</v>
      </c>
      <c r="R528" s="9">
        <v>444</v>
      </c>
      <c r="S528" s="9">
        <v>485</v>
      </c>
      <c r="T528" s="9" t="s">
        <v>4</v>
      </c>
      <c r="U528" s="9"/>
      <c r="V528" s="9"/>
      <c r="W528" s="9"/>
      <c r="X528" s="9"/>
      <c r="Y528" s="9"/>
      <c r="Z528" s="9"/>
      <c r="AA528" s="9"/>
      <c r="AB528" s="9"/>
      <c r="AC528" s="9"/>
      <c r="AD528" s="9" t="s">
        <v>20</v>
      </c>
    </row>
    <row r="529" spans="1:30" ht="29">
      <c r="A529" s="3" t="s">
        <v>1720</v>
      </c>
      <c r="B529" s="3" t="s">
        <v>6543</v>
      </c>
      <c r="C529" s="3" t="s">
        <v>6544</v>
      </c>
      <c r="G529" s="9" t="s">
        <v>12118</v>
      </c>
      <c r="H529" s="9"/>
      <c r="I529" s="9"/>
      <c r="J529" s="9"/>
      <c r="K529" s="9"/>
      <c r="L529" s="9"/>
      <c r="M529" s="9"/>
      <c r="N529" s="10"/>
      <c r="O529" s="9"/>
      <c r="P529" s="9"/>
      <c r="Q529" s="9">
        <v>-188</v>
      </c>
      <c r="R529" s="9">
        <v>207</v>
      </c>
      <c r="S529" s="9">
        <v>19</v>
      </c>
      <c r="T529" s="9"/>
      <c r="U529" s="9"/>
      <c r="V529" s="9"/>
      <c r="W529" s="9"/>
      <c r="X529" s="9"/>
      <c r="Y529" s="9"/>
      <c r="Z529" s="9"/>
      <c r="AA529" s="9"/>
      <c r="AB529" s="9"/>
      <c r="AC529" s="9"/>
      <c r="AD529" s="9" t="s">
        <v>19</v>
      </c>
    </row>
    <row r="530" spans="1:30" ht="29">
      <c r="A530" s="3" t="s">
        <v>1721</v>
      </c>
      <c r="B530" s="3" t="s">
        <v>6545</v>
      </c>
      <c r="C530" s="3" t="s">
        <v>6546</v>
      </c>
      <c r="G530" s="9" t="s">
        <v>26</v>
      </c>
      <c r="H530" s="9"/>
      <c r="I530" s="9">
        <v>1</v>
      </c>
      <c r="J530" s="9">
        <v>5</v>
      </c>
      <c r="K530" s="9" t="s">
        <v>12094</v>
      </c>
      <c r="L530" s="9" t="s">
        <v>12079</v>
      </c>
      <c r="M530" s="9"/>
      <c r="N530" s="10"/>
      <c r="O530" s="9"/>
      <c r="P530" s="9">
        <v>4240</v>
      </c>
      <c r="Q530" s="9"/>
      <c r="R530" s="9" t="s">
        <v>12795</v>
      </c>
      <c r="S530" s="9" t="s">
        <v>12795</v>
      </c>
      <c r="T530" s="9"/>
      <c r="U530" s="9"/>
      <c r="V530" s="9"/>
      <c r="W530" s="9"/>
      <c r="X530" s="9"/>
      <c r="Y530" s="9"/>
      <c r="Z530" s="9"/>
      <c r="AA530" s="9"/>
      <c r="AB530" s="9"/>
      <c r="AC530" s="9"/>
      <c r="AD530" s="9" t="s">
        <v>13141</v>
      </c>
    </row>
    <row r="531" spans="1:30" ht="29">
      <c r="A531" s="3" t="s">
        <v>1722</v>
      </c>
      <c r="B531" s="3" t="s">
        <v>1723</v>
      </c>
      <c r="C531" s="3" t="s">
        <v>96</v>
      </c>
      <c r="G531" s="9" t="s">
        <v>12118</v>
      </c>
      <c r="H531" s="9"/>
      <c r="I531" s="9"/>
      <c r="J531" s="9"/>
      <c r="K531" s="9"/>
      <c r="L531" s="9"/>
      <c r="M531" s="9"/>
      <c r="N531" s="10"/>
      <c r="O531" s="9"/>
      <c r="P531" s="9"/>
      <c r="Q531" s="9">
        <v>-86</v>
      </c>
      <c r="R531" s="9">
        <v>86</v>
      </c>
      <c r="S531" s="9">
        <v>0</v>
      </c>
      <c r="T531" s="9"/>
      <c r="U531" s="9"/>
      <c r="V531" s="9"/>
      <c r="W531" s="9"/>
      <c r="X531" s="9"/>
      <c r="Y531" s="9"/>
      <c r="Z531" s="9"/>
      <c r="AA531" s="9"/>
      <c r="AB531" s="9"/>
      <c r="AC531" s="9"/>
      <c r="AD531" s="9" t="s">
        <v>20</v>
      </c>
    </row>
    <row r="532" spans="1:30" ht="29">
      <c r="A532" s="3" t="s">
        <v>1728</v>
      </c>
      <c r="B532" s="3" t="s">
        <v>6556</v>
      </c>
      <c r="C532" s="3" t="s">
        <v>6557</v>
      </c>
      <c r="G532" s="9" t="s">
        <v>12120</v>
      </c>
      <c r="H532" s="9"/>
      <c r="I532" s="9"/>
      <c r="J532" s="9"/>
      <c r="K532" s="9"/>
      <c r="L532" s="9"/>
      <c r="M532" s="9"/>
      <c r="N532" s="10"/>
      <c r="O532" s="9"/>
      <c r="P532" s="9"/>
      <c r="Q532" s="9"/>
      <c r="R532" s="9" t="s">
        <v>12795</v>
      </c>
      <c r="S532" s="9" t="s">
        <v>12795</v>
      </c>
      <c r="T532" s="9"/>
      <c r="U532" s="9"/>
      <c r="V532" s="9"/>
      <c r="W532" s="9"/>
      <c r="X532" s="9"/>
      <c r="Y532" s="9"/>
      <c r="Z532" s="9"/>
      <c r="AA532" s="9"/>
      <c r="AB532" s="9"/>
      <c r="AC532" s="9"/>
      <c r="AD532" s="9" t="s">
        <v>19</v>
      </c>
    </row>
    <row r="533" spans="1:30" ht="29">
      <c r="A533" s="3" t="s">
        <v>1729</v>
      </c>
      <c r="B533" s="3" t="s">
        <v>823</v>
      </c>
      <c r="C533" s="3" t="s">
        <v>814</v>
      </c>
      <c r="G533" s="9" t="s">
        <v>12120</v>
      </c>
      <c r="H533" s="9"/>
      <c r="I533" s="9"/>
      <c r="J533" s="9"/>
      <c r="K533" s="9"/>
      <c r="L533" s="9"/>
      <c r="M533" s="9"/>
      <c r="N533" s="10"/>
      <c r="O533" s="9"/>
      <c r="P533" s="9"/>
      <c r="Q533" s="9"/>
      <c r="R533" s="9" t="s">
        <v>12795</v>
      </c>
      <c r="S533" s="9" t="s">
        <v>12795</v>
      </c>
      <c r="T533" s="9"/>
      <c r="U533" s="9"/>
      <c r="V533" s="9"/>
      <c r="W533" s="9"/>
      <c r="X533" s="9"/>
      <c r="Y533" s="9"/>
      <c r="Z533" s="9"/>
      <c r="AA533" s="9"/>
      <c r="AB533" s="9"/>
      <c r="AC533" s="9"/>
      <c r="AD533" s="9" t="s">
        <v>19</v>
      </c>
    </row>
    <row r="534" spans="1:30" ht="29">
      <c r="A534" s="3" t="s">
        <v>1729</v>
      </c>
      <c r="B534" s="3" t="s">
        <v>12876</v>
      </c>
      <c r="C534" s="3" t="s">
        <v>6560</v>
      </c>
      <c r="G534" s="9" t="s">
        <v>12120</v>
      </c>
      <c r="H534" s="9"/>
      <c r="I534" s="9"/>
      <c r="J534" s="9"/>
      <c r="K534" s="9"/>
      <c r="L534" s="9"/>
      <c r="M534" s="9"/>
      <c r="N534" s="10"/>
      <c r="O534" s="9"/>
      <c r="P534" s="9"/>
      <c r="Q534" s="9"/>
      <c r="R534" s="9" t="s">
        <v>12795</v>
      </c>
      <c r="S534" s="9" t="s">
        <v>12795</v>
      </c>
      <c r="T534" s="9"/>
      <c r="U534" s="9"/>
      <c r="V534" s="9"/>
      <c r="W534" s="9"/>
      <c r="X534" s="9"/>
      <c r="Y534" s="9"/>
      <c r="Z534" s="9"/>
      <c r="AA534" s="9"/>
      <c r="AB534" s="9"/>
      <c r="AC534" s="9"/>
      <c r="AD534" s="9" t="s">
        <v>20</v>
      </c>
    </row>
    <row r="535" spans="1:30" ht="29">
      <c r="A535" s="3" t="s">
        <v>1729</v>
      </c>
      <c r="B535" s="3" t="s">
        <v>12877</v>
      </c>
      <c r="C535" s="3" t="s">
        <v>6561</v>
      </c>
      <c r="G535" s="9" t="s">
        <v>12118</v>
      </c>
      <c r="H535" s="9"/>
      <c r="I535" s="9"/>
      <c r="J535" s="9"/>
      <c r="K535" s="9"/>
      <c r="L535" s="9"/>
      <c r="M535" s="9"/>
      <c r="N535" s="10"/>
      <c r="O535" s="9"/>
      <c r="P535" s="9"/>
      <c r="Q535" s="9">
        <v>41</v>
      </c>
      <c r="R535" s="9">
        <v>1</v>
      </c>
      <c r="S535" s="9">
        <v>42</v>
      </c>
      <c r="T535" s="9"/>
      <c r="U535" s="9"/>
      <c r="V535" s="9"/>
      <c r="W535" s="9"/>
      <c r="X535" s="9"/>
      <c r="Y535" s="9"/>
      <c r="Z535" s="9"/>
      <c r="AA535" s="9"/>
      <c r="AB535" s="9"/>
      <c r="AC535" s="9"/>
      <c r="AD535" s="9" t="s">
        <v>13141</v>
      </c>
    </row>
    <row r="536" spans="1:30" ht="29">
      <c r="A536" s="3" t="s">
        <v>1730</v>
      </c>
      <c r="B536" s="3" t="s">
        <v>12289</v>
      </c>
      <c r="C536" s="3" t="s">
        <v>12290</v>
      </c>
      <c r="G536" s="9" t="s">
        <v>12118</v>
      </c>
      <c r="H536" s="9"/>
      <c r="I536" s="9"/>
      <c r="J536" s="9"/>
      <c r="K536" s="9"/>
      <c r="L536" s="9"/>
      <c r="M536" s="9"/>
      <c r="N536" s="10"/>
      <c r="O536" s="9"/>
      <c r="P536" s="9"/>
      <c r="Q536" s="9">
        <v>-342</v>
      </c>
      <c r="R536" s="9">
        <v>507</v>
      </c>
      <c r="S536" s="9">
        <v>165</v>
      </c>
      <c r="T536" s="9"/>
      <c r="U536" s="9"/>
      <c r="V536" s="9"/>
      <c r="W536" s="9"/>
      <c r="X536" s="9"/>
      <c r="Y536" s="9"/>
      <c r="Z536" s="9"/>
      <c r="AA536" s="9"/>
      <c r="AB536" s="9"/>
      <c r="AC536" s="9"/>
      <c r="AD536" s="9" t="s">
        <v>19</v>
      </c>
    </row>
    <row r="537" spans="1:30" ht="43.5">
      <c r="A537" s="3" t="s">
        <v>1734</v>
      </c>
      <c r="B537" s="3" t="s">
        <v>6563</v>
      </c>
      <c r="C537" s="3" t="s">
        <v>6565</v>
      </c>
      <c r="G537" s="9" t="s">
        <v>26</v>
      </c>
      <c r="H537" s="9"/>
      <c r="I537" s="9"/>
      <c r="J537" s="9"/>
      <c r="K537" s="9"/>
      <c r="L537" s="9"/>
      <c r="M537" s="9"/>
      <c r="N537" s="10"/>
      <c r="O537" s="9"/>
      <c r="P537" s="9"/>
      <c r="Q537" s="9"/>
      <c r="R537" s="9" t="s">
        <v>12795</v>
      </c>
      <c r="S537" s="9" t="s">
        <v>12795</v>
      </c>
      <c r="T537" s="9"/>
      <c r="U537" s="9"/>
      <c r="V537" s="9"/>
      <c r="W537" s="9"/>
      <c r="X537" s="9"/>
      <c r="Y537" s="9"/>
      <c r="Z537" s="9"/>
      <c r="AA537" s="9"/>
      <c r="AB537" s="9"/>
      <c r="AC537" s="9"/>
      <c r="AD537" s="9" t="s">
        <v>19</v>
      </c>
    </row>
    <row r="538" spans="1:30" ht="43.5">
      <c r="A538" s="3" t="s">
        <v>1734</v>
      </c>
      <c r="B538" s="3" t="s">
        <v>6564</v>
      </c>
      <c r="C538" s="3" t="s">
        <v>6566</v>
      </c>
      <c r="G538" s="9" t="s">
        <v>26</v>
      </c>
      <c r="H538" s="9"/>
      <c r="I538" s="9"/>
      <c r="J538" s="9"/>
      <c r="K538" s="9"/>
      <c r="L538" s="9"/>
      <c r="M538" s="9"/>
      <c r="N538" s="10"/>
      <c r="O538" s="9"/>
      <c r="P538" s="9"/>
      <c r="Q538" s="9"/>
      <c r="R538" s="9" t="s">
        <v>12795</v>
      </c>
      <c r="S538" s="9" t="s">
        <v>12795</v>
      </c>
      <c r="T538" s="9"/>
      <c r="U538" s="9"/>
      <c r="V538" s="9"/>
      <c r="W538" s="9"/>
      <c r="X538" s="9"/>
      <c r="Y538" s="9"/>
      <c r="Z538" s="9"/>
      <c r="AA538" s="9"/>
      <c r="AB538" s="9"/>
      <c r="AC538" s="9"/>
      <c r="AD538" s="9" t="s">
        <v>13141</v>
      </c>
    </row>
    <row r="539" spans="1:30" ht="29">
      <c r="A539" s="3" t="s">
        <v>1735</v>
      </c>
      <c r="B539" s="3" t="s">
        <v>6567</v>
      </c>
      <c r="C539" s="3" t="s">
        <v>6568</v>
      </c>
      <c r="G539" s="9" t="s">
        <v>24</v>
      </c>
      <c r="H539" s="9"/>
      <c r="I539" s="9">
        <v>1</v>
      </c>
      <c r="J539" s="9">
        <v>3</v>
      </c>
      <c r="K539" s="9" t="s">
        <v>12087</v>
      </c>
      <c r="L539" s="9" t="s">
        <v>12079</v>
      </c>
      <c r="M539" s="9"/>
      <c r="N539" s="10"/>
      <c r="O539" s="9"/>
      <c r="P539" s="9">
        <v>148</v>
      </c>
      <c r="Q539" s="9"/>
      <c r="R539" s="9" t="s">
        <v>12795</v>
      </c>
      <c r="S539" s="9" t="s">
        <v>12795</v>
      </c>
      <c r="T539" s="9"/>
      <c r="U539" s="9"/>
      <c r="V539" s="9"/>
      <c r="W539" s="9"/>
      <c r="X539" s="9"/>
      <c r="Y539" s="9"/>
      <c r="Z539" s="9"/>
      <c r="AA539" s="9"/>
      <c r="AB539" s="9"/>
      <c r="AC539" s="9"/>
      <c r="AD539" s="9" t="s">
        <v>19</v>
      </c>
    </row>
    <row r="540" spans="1:30" ht="29">
      <c r="A540" s="3" t="s">
        <v>1735</v>
      </c>
      <c r="B540" s="3" t="s">
        <v>6571</v>
      </c>
      <c r="C540" s="3" t="s">
        <v>6572</v>
      </c>
      <c r="G540" s="9" t="s">
        <v>26</v>
      </c>
      <c r="H540" s="9"/>
      <c r="I540" s="9"/>
      <c r="J540" s="9"/>
      <c r="K540" s="9"/>
      <c r="L540" s="9"/>
      <c r="M540" s="9"/>
      <c r="N540" s="10"/>
      <c r="O540" s="9"/>
      <c r="P540" s="9"/>
      <c r="Q540" s="9"/>
      <c r="R540" s="9" t="s">
        <v>12795</v>
      </c>
      <c r="S540" s="9" t="s">
        <v>12795</v>
      </c>
      <c r="T540" s="9"/>
      <c r="U540" s="9"/>
      <c r="V540" s="9"/>
      <c r="W540" s="9"/>
      <c r="X540" s="9"/>
      <c r="Y540" s="9"/>
      <c r="Z540" s="9"/>
      <c r="AA540" s="9"/>
      <c r="AB540" s="9"/>
      <c r="AC540" s="9"/>
      <c r="AD540" s="9" t="s">
        <v>20</v>
      </c>
    </row>
    <row r="541" spans="1:30" ht="29">
      <c r="A541" s="3" t="s">
        <v>1735</v>
      </c>
      <c r="B541" s="3" t="s">
        <v>6573</v>
      </c>
      <c r="C541" s="3" t="s">
        <v>6576</v>
      </c>
      <c r="G541" s="9" t="s">
        <v>24</v>
      </c>
      <c r="H541" s="9"/>
      <c r="I541" s="9">
        <v>2</v>
      </c>
      <c r="J541" s="9">
        <v>8</v>
      </c>
      <c r="K541" s="9"/>
      <c r="L541" s="9" t="s">
        <v>12079</v>
      </c>
      <c r="M541" s="9"/>
      <c r="N541" s="10"/>
      <c r="O541" s="9"/>
      <c r="P541" s="9">
        <v>28</v>
      </c>
      <c r="Q541" s="9"/>
      <c r="R541" s="9" t="s">
        <v>12795</v>
      </c>
      <c r="S541" s="9" t="s">
        <v>12795</v>
      </c>
      <c r="T541" s="9" t="s">
        <v>12117</v>
      </c>
      <c r="U541" s="9"/>
      <c r="V541" s="9"/>
      <c r="W541" s="9"/>
      <c r="X541" s="9"/>
      <c r="Y541" s="9"/>
      <c r="Z541" s="9"/>
      <c r="AA541" s="9"/>
      <c r="AB541" s="9"/>
      <c r="AC541" s="9"/>
      <c r="AD541" s="9" t="s">
        <v>19</v>
      </c>
    </row>
    <row r="542" spans="1:30" ht="29">
      <c r="A542" s="3" t="s">
        <v>1737</v>
      </c>
      <c r="B542" s="3" t="s">
        <v>2411</v>
      </c>
      <c r="C542" s="3" t="s">
        <v>1738</v>
      </c>
      <c r="G542" s="9" t="s">
        <v>12120</v>
      </c>
      <c r="H542" s="9"/>
      <c r="I542" s="9"/>
      <c r="J542" s="9"/>
      <c r="K542" s="9"/>
      <c r="L542" s="9"/>
      <c r="M542" s="9"/>
      <c r="N542" s="10"/>
      <c r="O542" s="9"/>
      <c r="P542" s="9"/>
      <c r="Q542" s="9"/>
      <c r="R542" s="9" t="s">
        <v>12795</v>
      </c>
      <c r="S542" s="9" t="s">
        <v>12795</v>
      </c>
      <c r="T542" s="9"/>
      <c r="U542" s="9"/>
      <c r="V542" s="9"/>
      <c r="W542" s="9"/>
      <c r="X542" s="9"/>
      <c r="Y542" s="9"/>
      <c r="Z542" s="9"/>
      <c r="AA542" s="9"/>
      <c r="AB542" s="9"/>
      <c r="AC542" s="9"/>
      <c r="AD542" s="9" t="s">
        <v>20</v>
      </c>
    </row>
    <row r="543" spans="1:30" ht="29">
      <c r="A543" s="3" t="s">
        <v>1739</v>
      </c>
      <c r="B543" s="3" t="s">
        <v>6581</v>
      </c>
      <c r="C543" s="3" t="s">
        <v>6582</v>
      </c>
      <c r="G543" s="9" t="s">
        <v>25</v>
      </c>
      <c r="H543" s="9"/>
      <c r="I543" s="9">
        <v>1</v>
      </c>
      <c r="J543" s="9">
        <v>1</v>
      </c>
      <c r="K543" s="9" t="s">
        <v>12078</v>
      </c>
      <c r="L543" s="9" t="s">
        <v>12119</v>
      </c>
      <c r="M543" s="9"/>
      <c r="N543" s="10"/>
      <c r="O543" s="9" t="s">
        <v>12074</v>
      </c>
      <c r="P543" s="9">
        <v>11843</v>
      </c>
      <c r="Q543" s="9"/>
      <c r="R543" s="9" t="s">
        <v>12795</v>
      </c>
      <c r="S543" s="9" t="s">
        <v>12795</v>
      </c>
      <c r="T543" s="9"/>
      <c r="U543" s="9"/>
      <c r="V543" s="9"/>
      <c r="W543" s="9"/>
      <c r="X543" s="9"/>
      <c r="Y543" s="9"/>
      <c r="Z543" s="9"/>
      <c r="AA543" s="9"/>
      <c r="AB543" s="9"/>
      <c r="AC543" s="9"/>
      <c r="AD543" s="9" t="s">
        <v>20</v>
      </c>
    </row>
    <row r="544" spans="1:30" ht="29">
      <c r="A544" s="3" t="s">
        <v>1739</v>
      </c>
      <c r="B544" s="11" t="s">
        <v>6584</v>
      </c>
      <c r="C544" s="3" t="s">
        <v>6583</v>
      </c>
      <c r="G544" s="9" t="s">
        <v>26</v>
      </c>
      <c r="H544" s="9"/>
      <c r="I544" s="9"/>
      <c r="J544" s="9"/>
      <c r="K544" s="9"/>
      <c r="L544" s="9"/>
      <c r="M544" s="9"/>
      <c r="N544" s="10"/>
      <c r="O544" s="9"/>
      <c r="P544" s="9"/>
      <c r="Q544" s="9"/>
      <c r="R544" s="9" t="s">
        <v>12795</v>
      </c>
      <c r="S544" s="9" t="s">
        <v>12795</v>
      </c>
      <c r="T544" s="9"/>
      <c r="U544" s="9"/>
      <c r="V544" s="9"/>
      <c r="W544" s="9"/>
      <c r="X544" s="9"/>
      <c r="Y544" s="9"/>
      <c r="Z544" s="9"/>
      <c r="AA544" s="9"/>
      <c r="AB544" s="9"/>
      <c r="AC544" s="9"/>
      <c r="AD544" s="9" t="s">
        <v>20</v>
      </c>
    </row>
    <row r="545" spans="1:30" ht="29">
      <c r="A545" s="3" t="s">
        <v>1746</v>
      </c>
      <c r="B545" s="3" t="s">
        <v>6593</v>
      </c>
      <c r="C545" s="3" t="s">
        <v>6594</v>
      </c>
      <c r="G545" s="9" t="s">
        <v>25</v>
      </c>
      <c r="H545" s="9"/>
      <c r="I545" s="9">
        <v>1</v>
      </c>
      <c r="J545" s="9">
        <v>5</v>
      </c>
      <c r="K545" s="9" t="s">
        <v>12094</v>
      </c>
      <c r="L545" s="9" t="s">
        <v>12079</v>
      </c>
      <c r="M545" s="9"/>
      <c r="N545" s="10"/>
      <c r="O545" s="9"/>
      <c r="P545" s="9">
        <v>4240</v>
      </c>
      <c r="Q545" s="9"/>
      <c r="R545" s="9" t="s">
        <v>12795</v>
      </c>
      <c r="S545" s="9" t="s">
        <v>12795</v>
      </c>
      <c r="T545" s="9"/>
      <c r="U545" s="9"/>
      <c r="V545" s="9"/>
      <c r="W545" s="9"/>
      <c r="X545" s="9"/>
      <c r="Y545" s="9"/>
      <c r="Z545" s="9"/>
      <c r="AA545" s="9"/>
      <c r="AB545" s="9"/>
      <c r="AC545" s="9"/>
      <c r="AD545" s="9" t="s">
        <v>19</v>
      </c>
    </row>
    <row r="546" spans="1:30" ht="29">
      <c r="A546" s="3" t="s">
        <v>1747</v>
      </c>
      <c r="B546" s="3" t="s">
        <v>12662</v>
      </c>
      <c r="C546" s="3" t="s">
        <v>12663</v>
      </c>
      <c r="G546" s="9" t="s">
        <v>25</v>
      </c>
      <c r="H546" s="9"/>
      <c r="I546" s="9">
        <v>1</v>
      </c>
      <c r="J546" s="9">
        <v>4</v>
      </c>
      <c r="K546" s="9" t="s">
        <v>12094</v>
      </c>
      <c r="L546" s="9" t="s">
        <v>12073</v>
      </c>
      <c r="M546" s="9" t="s">
        <v>12142</v>
      </c>
      <c r="N546" s="10" t="s">
        <v>12143</v>
      </c>
      <c r="O546" s="9"/>
      <c r="P546" s="9">
        <v>4240</v>
      </c>
      <c r="Q546" s="9"/>
      <c r="R546" s="9" t="s">
        <v>12795</v>
      </c>
      <c r="S546" s="9" t="s">
        <v>12795</v>
      </c>
      <c r="T546" s="9"/>
      <c r="U546" s="9"/>
      <c r="V546" s="9"/>
      <c r="W546" s="9"/>
      <c r="X546" s="9"/>
      <c r="Y546" s="9"/>
      <c r="Z546" s="9"/>
      <c r="AA546" s="9"/>
      <c r="AB546" s="9"/>
      <c r="AC546" s="9"/>
      <c r="AD546" s="9" t="s">
        <v>20</v>
      </c>
    </row>
    <row r="547" spans="1:30" ht="29">
      <c r="A547" s="3" t="s">
        <v>1751</v>
      </c>
      <c r="B547" s="3" t="s">
        <v>1564</v>
      </c>
      <c r="C547" s="3" t="s">
        <v>1752</v>
      </c>
      <c r="G547" s="9" t="s">
        <v>12120</v>
      </c>
      <c r="H547" s="9"/>
      <c r="I547" s="9"/>
      <c r="J547" s="9"/>
      <c r="K547" s="9"/>
      <c r="L547" s="9"/>
      <c r="M547" s="9"/>
      <c r="N547" s="10"/>
      <c r="O547" s="9"/>
      <c r="P547" s="9"/>
      <c r="Q547" s="9"/>
      <c r="R547" s="9" t="s">
        <v>12795</v>
      </c>
      <c r="S547" s="9" t="s">
        <v>12795</v>
      </c>
      <c r="T547" s="9"/>
      <c r="U547" s="9"/>
      <c r="V547" s="9"/>
      <c r="W547" s="9"/>
      <c r="X547" s="9"/>
      <c r="Y547" s="9"/>
      <c r="Z547" s="9"/>
      <c r="AA547" s="9"/>
      <c r="AB547" s="9"/>
      <c r="AC547" s="9"/>
      <c r="AD547" s="9" t="s">
        <v>20</v>
      </c>
    </row>
    <row r="548" spans="1:30" ht="43.5">
      <c r="A548" s="3" t="s">
        <v>1753</v>
      </c>
      <c r="B548" s="3" t="s">
        <v>6600</v>
      </c>
      <c r="C548" s="3" t="s">
        <v>6599</v>
      </c>
      <c r="G548" s="9" t="s">
        <v>25</v>
      </c>
      <c r="H548" s="9"/>
      <c r="I548" s="9">
        <v>3</v>
      </c>
      <c r="J548" s="9">
        <v>15</v>
      </c>
      <c r="K548" s="9"/>
      <c r="L548" s="9" t="s">
        <v>12079</v>
      </c>
      <c r="M548" s="9"/>
      <c r="N548" s="10"/>
      <c r="O548" s="9"/>
      <c r="P548" s="9">
        <v>57</v>
      </c>
      <c r="Q548" s="9"/>
      <c r="R548" s="9" t="s">
        <v>12795</v>
      </c>
      <c r="S548" s="9" t="s">
        <v>12795</v>
      </c>
      <c r="T548" s="9"/>
      <c r="U548" s="9"/>
      <c r="V548" s="9"/>
      <c r="W548" s="9"/>
      <c r="X548" s="9"/>
      <c r="Y548" s="9"/>
      <c r="Z548" s="9"/>
      <c r="AA548" s="9"/>
      <c r="AB548" s="9"/>
      <c r="AC548" s="9"/>
      <c r="AD548" s="9" t="s">
        <v>20</v>
      </c>
    </row>
    <row r="549" spans="1:30" ht="29">
      <c r="A549" s="3" t="s">
        <v>1754</v>
      </c>
      <c r="B549" s="3" t="s">
        <v>1755</v>
      </c>
      <c r="C549" s="3" t="s">
        <v>1756</v>
      </c>
      <c r="G549" s="9" t="s">
        <v>12120</v>
      </c>
      <c r="H549" s="9"/>
      <c r="I549" s="9"/>
      <c r="J549" s="9"/>
      <c r="K549" s="9"/>
      <c r="L549" s="9"/>
      <c r="M549" s="9"/>
      <c r="N549" s="10"/>
      <c r="O549" s="9"/>
      <c r="P549" s="9"/>
      <c r="Q549" s="9"/>
      <c r="R549" s="9" t="s">
        <v>12795</v>
      </c>
      <c r="S549" s="9" t="s">
        <v>12795</v>
      </c>
      <c r="T549" s="9"/>
      <c r="U549" s="9"/>
      <c r="V549" s="9"/>
      <c r="W549" s="9"/>
      <c r="X549" s="9"/>
      <c r="Y549" s="9"/>
      <c r="Z549" s="9"/>
      <c r="AA549" s="9"/>
      <c r="AB549" s="9"/>
      <c r="AC549" s="9"/>
      <c r="AD549" s="9" t="s">
        <v>19</v>
      </c>
    </row>
    <row r="550" spans="1:30" ht="29">
      <c r="A550" s="3" t="s">
        <v>1759</v>
      </c>
      <c r="B550" s="3" t="s">
        <v>6601</v>
      </c>
      <c r="C550" s="3" t="s">
        <v>6602</v>
      </c>
      <c r="G550" s="9" t="s">
        <v>25</v>
      </c>
      <c r="H550" s="9"/>
      <c r="I550" s="9">
        <v>1</v>
      </c>
      <c r="J550" s="9">
        <v>3</v>
      </c>
      <c r="K550" s="9" t="s">
        <v>12096</v>
      </c>
      <c r="L550" s="9" t="s">
        <v>12079</v>
      </c>
      <c r="M550" s="9"/>
      <c r="N550" s="10"/>
      <c r="O550" s="9"/>
      <c r="P550" s="9">
        <v>1101</v>
      </c>
      <c r="Q550" s="9"/>
      <c r="R550" s="9" t="s">
        <v>12795</v>
      </c>
      <c r="S550" s="9" t="s">
        <v>12795</v>
      </c>
      <c r="T550" s="9"/>
      <c r="U550" s="9"/>
      <c r="V550" s="9"/>
      <c r="W550" s="9"/>
      <c r="X550" s="9"/>
      <c r="Y550" s="9"/>
      <c r="Z550" s="9"/>
      <c r="AA550" s="9"/>
      <c r="AB550" s="9"/>
      <c r="AC550" s="9"/>
      <c r="AD550" s="9" t="s">
        <v>20</v>
      </c>
    </row>
    <row r="551" spans="1:30" ht="29">
      <c r="A551" s="3" t="s">
        <v>1759</v>
      </c>
      <c r="B551" s="11" t="s">
        <v>12878</v>
      </c>
      <c r="C551" s="11" t="s">
        <v>12881</v>
      </c>
      <c r="G551" s="9" t="s">
        <v>24</v>
      </c>
      <c r="H551" s="9"/>
      <c r="I551" s="9">
        <v>1</v>
      </c>
      <c r="J551" s="9">
        <v>3</v>
      </c>
      <c r="K551" s="9" t="s">
        <v>12078</v>
      </c>
      <c r="L551" s="9" t="s">
        <v>12079</v>
      </c>
      <c r="M551" s="9"/>
      <c r="N551" s="10"/>
      <c r="O551" s="9"/>
      <c r="P551" s="9">
        <v>11843</v>
      </c>
      <c r="Q551" s="9"/>
      <c r="R551" s="9" t="s">
        <v>12795</v>
      </c>
      <c r="S551" s="9" t="s">
        <v>12795</v>
      </c>
      <c r="T551" s="9"/>
      <c r="U551" s="9"/>
      <c r="V551" s="9"/>
      <c r="W551" s="9"/>
      <c r="X551" s="9"/>
      <c r="Y551" s="9"/>
      <c r="Z551" s="9"/>
      <c r="AA551" s="9"/>
      <c r="AB551" s="9"/>
      <c r="AC551" s="9"/>
      <c r="AD551" s="9" t="s">
        <v>19</v>
      </c>
    </row>
    <row r="552" spans="1:30" ht="29">
      <c r="A552" s="3" t="s">
        <v>1763</v>
      </c>
      <c r="B552" s="3" t="s">
        <v>883</v>
      </c>
      <c r="C552" s="3" t="s">
        <v>1764</v>
      </c>
      <c r="G552" s="9" t="s">
        <v>12118</v>
      </c>
      <c r="H552" s="9"/>
      <c r="I552" s="9"/>
      <c r="J552" s="9"/>
      <c r="K552" s="9"/>
      <c r="L552" s="9"/>
      <c r="M552" s="9"/>
      <c r="N552" s="10"/>
      <c r="O552" s="9"/>
      <c r="P552" s="9"/>
      <c r="Q552" s="9">
        <v>-12</v>
      </c>
      <c r="R552" s="9">
        <v>12</v>
      </c>
      <c r="S552" s="9">
        <v>0</v>
      </c>
      <c r="T552" s="9"/>
      <c r="U552" s="9"/>
      <c r="V552" s="9"/>
      <c r="W552" s="9"/>
      <c r="X552" s="9"/>
      <c r="Y552" s="9"/>
      <c r="Z552" s="9"/>
      <c r="AA552" s="9"/>
      <c r="AB552" s="9"/>
      <c r="AC552" s="9"/>
      <c r="AD552" s="9" t="s">
        <v>20</v>
      </c>
    </row>
    <row r="553" spans="1:30" ht="29">
      <c r="A553" s="3" t="s">
        <v>1766</v>
      </c>
      <c r="B553" s="3" t="s">
        <v>6606</v>
      </c>
      <c r="C553" s="3" t="s">
        <v>6605</v>
      </c>
      <c r="G553" s="9" t="s">
        <v>24</v>
      </c>
      <c r="H553" s="9"/>
      <c r="I553" s="9">
        <v>1</v>
      </c>
      <c r="J553" s="9">
        <v>4</v>
      </c>
      <c r="K553" s="9" t="s">
        <v>12078</v>
      </c>
      <c r="L553" s="9" t="s">
        <v>12079</v>
      </c>
      <c r="M553" s="9"/>
      <c r="N553" s="10"/>
      <c r="O553" s="9"/>
      <c r="P553" s="9">
        <v>11843</v>
      </c>
      <c r="Q553" s="9"/>
      <c r="R553" s="9" t="s">
        <v>12795</v>
      </c>
      <c r="S553" s="9" t="s">
        <v>12795</v>
      </c>
      <c r="T553" s="9"/>
      <c r="U553" s="9"/>
      <c r="V553" s="9"/>
      <c r="W553" s="9"/>
      <c r="X553" s="9"/>
      <c r="Y553" s="9"/>
      <c r="Z553" s="9"/>
      <c r="AA553" s="9"/>
      <c r="AB553" s="9"/>
      <c r="AC553" s="9"/>
      <c r="AD553" s="9" t="s">
        <v>19</v>
      </c>
    </row>
    <row r="554" spans="1:30" ht="29">
      <c r="A554" s="3" t="s">
        <v>1766</v>
      </c>
      <c r="B554" s="3" t="s">
        <v>6607</v>
      </c>
      <c r="C554" s="3" t="s">
        <v>6608</v>
      </c>
      <c r="G554" s="9" t="s">
        <v>12120</v>
      </c>
      <c r="H554" s="9"/>
      <c r="I554" s="9"/>
      <c r="J554" s="9"/>
      <c r="K554" s="9"/>
      <c r="L554" s="9"/>
      <c r="M554" s="9"/>
      <c r="N554" s="10"/>
      <c r="O554" s="9"/>
      <c r="P554" s="9"/>
      <c r="Q554" s="9"/>
      <c r="R554" s="9" t="s">
        <v>12795</v>
      </c>
      <c r="S554" s="9" t="s">
        <v>12795</v>
      </c>
      <c r="T554" s="9"/>
      <c r="U554" s="9"/>
      <c r="V554" s="9"/>
      <c r="W554" s="9"/>
      <c r="X554" s="9"/>
      <c r="Y554" s="9"/>
      <c r="Z554" s="9"/>
      <c r="AA554" s="9"/>
      <c r="AB554" s="9"/>
      <c r="AC554" s="9"/>
      <c r="AD554" s="9" t="s">
        <v>19</v>
      </c>
    </row>
    <row r="555" spans="1:30" ht="43.5">
      <c r="A555" s="3" t="s">
        <v>1768</v>
      </c>
      <c r="B555" s="3" t="s">
        <v>12882</v>
      </c>
      <c r="C555" s="3" t="s">
        <v>12883</v>
      </c>
      <c r="G555" s="9" t="s">
        <v>26</v>
      </c>
      <c r="H555" s="9"/>
      <c r="I555" s="9"/>
      <c r="J555" s="9"/>
      <c r="K555" s="9"/>
      <c r="L555" s="9"/>
      <c r="M555" s="9"/>
      <c r="N555" s="10"/>
      <c r="O555" s="9"/>
      <c r="P555" s="9"/>
      <c r="Q555" s="9"/>
      <c r="R555" s="9" t="s">
        <v>12795</v>
      </c>
      <c r="S555" s="9" t="s">
        <v>12795</v>
      </c>
      <c r="T555" s="9"/>
      <c r="U555" s="9"/>
      <c r="V555" s="9"/>
      <c r="W555" s="9"/>
      <c r="X555" s="9"/>
      <c r="Y555" s="9"/>
      <c r="Z555" s="9"/>
      <c r="AA555" s="9"/>
      <c r="AB555" s="9"/>
      <c r="AC555" s="9"/>
      <c r="AD555" s="9" t="s">
        <v>20</v>
      </c>
    </row>
    <row r="556" spans="1:30" ht="29">
      <c r="A556" s="3" t="s">
        <v>1770</v>
      </c>
      <c r="B556" s="3" t="s">
        <v>1772</v>
      </c>
      <c r="C556" s="3" t="s">
        <v>1773</v>
      </c>
      <c r="G556" s="9" t="s">
        <v>12120</v>
      </c>
      <c r="H556" s="9"/>
      <c r="I556" s="9"/>
      <c r="J556" s="9"/>
      <c r="K556" s="9"/>
      <c r="L556" s="9"/>
      <c r="M556" s="9"/>
      <c r="N556" s="10"/>
      <c r="O556" s="9"/>
      <c r="P556" s="9"/>
      <c r="Q556" s="9"/>
      <c r="R556" s="9" t="s">
        <v>12795</v>
      </c>
      <c r="S556" s="9" t="s">
        <v>12795</v>
      </c>
      <c r="T556" s="9"/>
      <c r="U556" s="9"/>
      <c r="V556" s="9"/>
      <c r="W556" s="9"/>
      <c r="X556" s="9"/>
      <c r="Y556" s="9"/>
      <c r="Z556" s="9"/>
      <c r="AA556" s="9"/>
      <c r="AB556" s="9"/>
      <c r="AC556" s="9"/>
      <c r="AD556" s="9" t="s">
        <v>20</v>
      </c>
    </row>
    <row r="557" spans="1:30" ht="29">
      <c r="A557" s="3" t="s">
        <v>1774</v>
      </c>
      <c r="B557" s="3" t="s">
        <v>6610</v>
      </c>
      <c r="C557" s="3" t="s">
        <v>6611</v>
      </c>
      <c r="G557" s="9" t="s">
        <v>25</v>
      </c>
      <c r="H557" s="9"/>
      <c r="I557" s="9">
        <v>1</v>
      </c>
      <c r="J557" s="9">
        <v>2</v>
      </c>
      <c r="K557" s="9" t="s">
        <v>12096</v>
      </c>
      <c r="L557" s="9" t="s">
        <v>12119</v>
      </c>
      <c r="M557" s="9"/>
      <c r="N557" s="10"/>
      <c r="O557" s="9" t="s">
        <v>12074</v>
      </c>
      <c r="P557" s="9">
        <v>1294</v>
      </c>
      <c r="Q557" s="9"/>
      <c r="R557" s="9" t="s">
        <v>12795</v>
      </c>
      <c r="S557" s="9" t="s">
        <v>12795</v>
      </c>
      <c r="T557" s="9"/>
      <c r="U557" s="9"/>
      <c r="V557" s="9"/>
      <c r="W557" s="9"/>
      <c r="X557" s="9"/>
      <c r="Y557" s="9"/>
      <c r="Z557" s="9"/>
      <c r="AA557" s="9"/>
      <c r="AB557" s="9"/>
      <c r="AC557" s="9"/>
      <c r="AD557" s="9" t="s">
        <v>20</v>
      </c>
    </row>
    <row r="558" spans="1:30" ht="29">
      <c r="A558" s="3" t="s">
        <v>1775</v>
      </c>
      <c r="B558" s="3" t="s">
        <v>1288</v>
      </c>
      <c r="C558" s="3" t="s">
        <v>1289</v>
      </c>
      <c r="G558" s="9" t="s">
        <v>12120</v>
      </c>
      <c r="H558" s="9"/>
      <c r="I558" s="9"/>
      <c r="J558" s="9"/>
      <c r="K558" s="9"/>
      <c r="L558" s="9"/>
      <c r="M558" s="9"/>
      <c r="N558" s="10"/>
      <c r="O558" s="9"/>
      <c r="P558" s="9"/>
      <c r="Q558" s="9"/>
      <c r="R558" s="9" t="s">
        <v>12795</v>
      </c>
      <c r="S558" s="9" t="s">
        <v>12795</v>
      </c>
      <c r="T558" s="9"/>
      <c r="U558" s="9"/>
      <c r="V558" s="9"/>
      <c r="W558" s="9"/>
      <c r="X558" s="9"/>
      <c r="Y558" s="9"/>
      <c r="Z558" s="9"/>
      <c r="AA558" s="9"/>
      <c r="AB558" s="9"/>
      <c r="AC558" s="9"/>
      <c r="AD558" s="9" t="s">
        <v>19</v>
      </c>
    </row>
    <row r="559" spans="1:30" ht="29">
      <c r="A559" s="3" t="s">
        <v>1781</v>
      </c>
      <c r="B559" s="3" t="s">
        <v>6612</v>
      </c>
      <c r="C559" s="3" t="s">
        <v>6613</v>
      </c>
      <c r="G559" s="9" t="s">
        <v>25</v>
      </c>
      <c r="H559" s="9"/>
      <c r="I559" s="9">
        <v>1</v>
      </c>
      <c r="J559" s="9">
        <v>1</v>
      </c>
      <c r="K559" s="9" t="s">
        <v>12072</v>
      </c>
      <c r="L559" s="9" t="s">
        <v>12119</v>
      </c>
      <c r="M559" s="9"/>
      <c r="N559" s="10"/>
      <c r="O559" s="9" t="s">
        <v>12074</v>
      </c>
      <c r="P559" s="9">
        <v>16</v>
      </c>
      <c r="Q559" s="9"/>
      <c r="R559" s="9" t="s">
        <v>12795</v>
      </c>
      <c r="S559" s="9" t="s">
        <v>12795</v>
      </c>
      <c r="T559" s="9"/>
      <c r="U559" s="9"/>
      <c r="V559" s="9"/>
      <c r="W559" s="9"/>
      <c r="X559" s="9"/>
      <c r="Y559" s="9"/>
      <c r="Z559" s="9"/>
      <c r="AA559" s="9"/>
      <c r="AB559" s="9"/>
      <c r="AC559" s="9"/>
      <c r="AD559" s="9" t="s">
        <v>20</v>
      </c>
    </row>
    <row r="560" spans="1:30" ht="87">
      <c r="A560" s="3" t="s">
        <v>1782</v>
      </c>
      <c r="B560" s="3" t="s">
        <v>6614</v>
      </c>
      <c r="C560" s="3" t="s">
        <v>6615</v>
      </c>
      <c r="G560" s="9" t="s">
        <v>12120</v>
      </c>
      <c r="H560" s="9"/>
      <c r="I560" s="9"/>
      <c r="J560" s="9"/>
      <c r="K560" s="9"/>
      <c r="L560" s="9"/>
      <c r="M560" s="9"/>
      <c r="N560" s="10"/>
      <c r="O560" s="9"/>
      <c r="P560" s="9"/>
      <c r="Q560" s="9"/>
      <c r="R560" s="9" t="s">
        <v>12795</v>
      </c>
      <c r="S560" s="9" t="s">
        <v>12795</v>
      </c>
      <c r="T560" s="9"/>
      <c r="U560" s="9"/>
      <c r="V560" s="9"/>
      <c r="W560" s="9"/>
      <c r="X560" s="9"/>
      <c r="Y560" s="9"/>
      <c r="Z560" s="9"/>
      <c r="AA560" s="9"/>
      <c r="AB560" s="9"/>
      <c r="AC560" s="9"/>
      <c r="AD560" s="9" t="s">
        <v>19</v>
      </c>
    </row>
    <row r="561" spans="1:30" ht="87">
      <c r="A561" s="3" t="s">
        <v>1782</v>
      </c>
      <c r="B561" s="3" t="s">
        <v>6617</v>
      </c>
      <c r="C561" s="3" t="s">
        <v>6616</v>
      </c>
      <c r="G561" s="9" t="s">
        <v>25</v>
      </c>
      <c r="H561" s="9"/>
      <c r="I561" s="9">
        <v>6</v>
      </c>
      <c r="J561" s="9">
        <v>38</v>
      </c>
      <c r="K561" s="9"/>
      <c r="L561" s="9" t="s">
        <v>12073</v>
      </c>
      <c r="M561" s="9" t="s">
        <v>12140</v>
      </c>
      <c r="N561" s="10" t="s">
        <v>12295</v>
      </c>
      <c r="O561" s="9"/>
      <c r="P561" s="9">
        <v>2</v>
      </c>
      <c r="Q561" s="9"/>
      <c r="R561" s="9" t="s">
        <v>12795</v>
      </c>
      <c r="S561" s="9" t="s">
        <v>12795</v>
      </c>
      <c r="T561" s="9"/>
      <c r="U561" s="9"/>
      <c r="V561" s="9"/>
      <c r="W561" s="9"/>
      <c r="X561" s="9"/>
      <c r="Y561" s="9"/>
      <c r="Z561" s="9"/>
      <c r="AA561" s="9"/>
      <c r="AB561" s="9"/>
      <c r="AC561" s="9"/>
      <c r="AD561" s="9" t="s">
        <v>20</v>
      </c>
    </row>
    <row r="562" spans="1:30" ht="29">
      <c r="A562" s="3" t="s">
        <v>1784</v>
      </c>
      <c r="B562" s="3" t="s">
        <v>6623</v>
      </c>
      <c r="C562" s="3" t="s">
        <v>6624</v>
      </c>
      <c r="G562" s="9" t="s">
        <v>12118</v>
      </c>
      <c r="H562" s="9"/>
      <c r="I562" s="9"/>
      <c r="J562" s="9"/>
      <c r="K562" s="9"/>
      <c r="L562" s="9"/>
      <c r="M562" s="9"/>
      <c r="N562" s="10"/>
      <c r="O562" s="9"/>
      <c r="P562" s="9"/>
      <c r="Q562" s="9">
        <v>-1</v>
      </c>
      <c r="R562" s="9">
        <v>2</v>
      </c>
      <c r="S562" s="9">
        <v>1</v>
      </c>
      <c r="T562" s="9"/>
      <c r="U562" s="9"/>
      <c r="V562" s="9"/>
      <c r="W562" s="9"/>
      <c r="X562" s="9"/>
      <c r="Y562" s="9"/>
      <c r="Z562" s="9"/>
      <c r="AA562" s="9"/>
      <c r="AB562" s="9"/>
      <c r="AC562" s="9"/>
      <c r="AD562" s="9" t="s">
        <v>19</v>
      </c>
    </row>
    <row r="563" spans="1:30" ht="29">
      <c r="A563" s="3" t="s">
        <v>1786</v>
      </c>
      <c r="B563" s="3" t="s">
        <v>6626</v>
      </c>
      <c r="C563" s="3" t="s">
        <v>6625</v>
      </c>
      <c r="G563" s="9" t="s">
        <v>24</v>
      </c>
      <c r="H563" s="9"/>
      <c r="I563" s="9">
        <v>1</v>
      </c>
      <c r="J563" s="9">
        <v>1</v>
      </c>
      <c r="K563" s="9" t="s">
        <v>12078</v>
      </c>
      <c r="L563" s="9" t="s">
        <v>12119</v>
      </c>
      <c r="M563" s="9"/>
      <c r="N563" s="10"/>
      <c r="O563" s="9"/>
      <c r="P563" s="9">
        <v>11843</v>
      </c>
      <c r="Q563" s="9"/>
      <c r="R563" s="9" t="s">
        <v>12795</v>
      </c>
      <c r="S563" s="9" t="s">
        <v>12795</v>
      </c>
      <c r="T563" s="9"/>
      <c r="U563" s="9"/>
      <c r="V563" s="9"/>
      <c r="W563" s="9"/>
      <c r="X563" s="9"/>
      <c r="Y563" s="9"/>
      <c r="Z563" s="9"/>
      <c r="AA563" s="9"/>
      <c r="AB563" s="9"/>
      <c r="AC563" s="9"/>
      <c r="AD563" s="9" t="s">
        <v>19</v>
      </c>
    </row>
    <row r="564" spans="1:30" ht="29">
      <c r="A564" s="3" t="s">
        <v>1790</v>
      </c>
      <c r="B564" s="3" t="s">
        <v>6632</v>
      </c>
      <c r="C564" s="3" t="s">
        <v>6633</v>
      </c>
      <c r="G564" s="9" t="s">
        <v>12120</v>
      </c>
      <c r="H564" s="9"/>
      <c r="I564" s="9"/>
      <c r="J564" s="9"/>
      <c r="K564" s="9"/>
      <c r="L564" s="9"/>
      <c r="M564" s="9"/>
      <c r="N564" s="10"/>
      <c r="O564" s="9"/>
      <c r="P564" s="9"/>
      <c r="Q564" s="9"/>
      <c r="R564" s="9" t="s">
        <v>12795</v>
      </c>
      <c r="S564" s="9" t="s">
        <v>12795</v>
      </c>
      <c r="T564" s="9"/>
      <c r="U564" s="9"/>
      <c r="V564" s="9"/>
      <c r="W564" s="9"/>
      <c r="X564" s="9"/>
      <c r="Y564" s="9"/>
      <c r="Z564" s="9"/>
      <c r="AA564" s="9"/>
      <c r="AB564" s="9"/>
      <c r="AC564" s="9"/>
      <c r="AD564" s="9" t="s">
        <v>19</v>
      </c>
    </row>
    <row r="565" spans="1:30" ht="29">
      <c r="A565" s="3" t="s">
        <v>1790</v>
      </c>
      <c r="B565" s="3" t="s">
        <v>6631</v>
      </c>
      <c r="C565" s="3" t="s">
        <v>6634</v>
      </c>
      <c r="G565" s="9" t="s">
        <v>24</v>
      </c>
      <c r="H565" s="9"/>
      <c r="I565" s="9">
        <v>2</v>
      </c>
      <c r="J565" s="9">
        <v>12</v>
      </c>
      <c r="K565" s="9"/>
      <c r="L565" s="9" t="s">
        <v>12079</v>
      </c>
      <c r="M565" s="9"/>
      <c r="N565" s="10"/>
      <c r="O565" s="9"/>
      <c r="P565" s="9">
        <v>2042</v>
      </c>
      <c r="Q565" s="9"/>
      <c r="R565" s="9" t="s">
        <v>12795</v>
      </c>
      <c r="S565" s="9" t="s">
        <v>12795</v>
      </c>
      <c r="T565" s="9"/>
      <c r="U565" s="9"/>
      <c r="V565" s="9"/>
      <c r="W565" s="9"/>
      <c r="X565" s="9"/>
      <c r="Y565" s="9"/>
      <c r="Z565" s="9"/>
      <c r="AA565" s="9"/>
      <c r="AB565" s="9"/>
      <c r="AC565" s="9"/>
      <c r="AD565" s="9" t="s">
        <v>19</v>
      </c>
    </row>
    <row r="566" spans="1:30" ht="29">
      <c r="A566" s="3" t="s">
        <v>1797</v>
      </c>
      <c r="B566" s="3" t="s">
        <v>6640</v>
      </c>
      <c r="C566" s="3" t="s">
        <v>6641</v>
      </c>
      <c r="G566" s="9" t="s">
        <v>26</v>
      </c>
      <c r="H566" s="9"/>
      <c r="I566" s="9"/>
      <c r="J566" s="9"/>
      <c r="K566" s="9"/>
      <c r="L566" s="9"/>
      <c r="M566" s="9"/>
      <c r="N566" s="10"/>
      <c r="O566" s="9"/>
      <c r="P566" s="9"/>
      <c r="Q566" s="9"/>
      <c r="R566" s="9" t="s">
        <v>12795</v>
      </c>
      <c r="S566" s="9" t="s">
        <v>12795</v>
      </c>
      <c r="T566" s="9"/>
      <c r="U566" s="9"/>
      <c r="V566" s="9"/>
      <c r="W566" s="9"/>
      <c r="X566" s="9"/>
      <c r="Y566" s="9"/>
      <c r="Z566" s="9"/>
      <c r="AA566" s="9"/>
      <c r="AB566" s="9"/>
      <c r="AC566" s="9"/>
      <c r="AD566" s="9" t="s">
        <v>20</v>
      </c>
    </row>
    <row r="567" spans="1:30" ht="29">
      <c r="A567" s="3" t="s">
        <v>1797</v>
      </c>
      <c r="B567" s="3" t="s">
        <v>6642</v>
      </c>
      <c r="C567" s="3" t="s">
        <v>6643</v>
      </c>
      <c r="G567" s="9" t="s">
        <v>25</v>
      </c>
      <c r="H567" s="9"/>
      <c r="I567" s="9">
        <v>1</v>
      </c>
      <c r="J567" s="9">
        <v>1</v>
      </c>
      <c r="K567" s="9" t="s">
        <v>12078</v>
      </c>
      <c r="L567" s="9" t="s">
        <v>12119</v>
      </c>
      <c r="M567" s="9"/>
      <c r="N567" s="10"/>
      <c r="O567" s="9"/>
      <c r="P567" s="9">
        <v>11843</v>
      </c>
      <c r="Q567" s="9"/>
      <c r="R567" s="9" t="s">
        <v>12795</v>
      </c>
      <c r="S567" s="9" t="s">
        <v>12795</v>
      </c>
      <c r="T567" s="9"/>
      <c r="U567" s="9"/>
      <c r="V567" s="9"/>
      <c r="W567" s="9"/>
      <c r="X567" s="9"/>
      <c r="Y567" s="9"/>
      <c r="Z567" s="9"/>
      <c r="AA567" s="9"/>
      <c r="AB567" s="9"/>
      <c r="AC567" s="9"/>
      <c r="AD567" s="9" t="s">
        <v>20</v>
      </c>
    </row>
    <row r="568" spans="1:30" ht="29">
      <c r="A568" s="3" t="s">
        <v>1797</v>
      </c>
      <c r="B568" s="3" t="s">
        <v>143</v>
      </c>
      <c r="C568" s="3" t="s">
        <v>563</v>
      </c>
      <c r="G568" s="9" t="s">
        <v>12118</v>
      </c>
      <c r="H568" s="9"/>
      <c r="I568" s="9"/>
      <c r="J568" s="9"/>
      <c r="K568" s="9"/>
      <c r="L568" s="9"/>
      <c r="M568" s="9"/>
      <c r="N568" s="10"/>
      <c r="O568" s="9"/>
      <c r="P568" s="9"/>
      <c r="Q568" s="9">
        <v>-19</v>
      </c>
      <c r="R568" s="9">
        <v>51</v>
      </c>
      <c r="S568" s="9">
        <v>32</v>
      </c>
      <c r="T568" s="9"/>
      <c r="U568" s="9"/>
      <c r="V568" s="9"/>
      <c r="W568" s="9"/>
      <c r="X568" s="9"/>
      <c r="Y568" s="9"/>
      <c r="Z568" s="9"/>
      <c r="AA568" s="9"/>
      <c r="AB568" s="9"/>
      <c r="AC568" s="9"/>
      <c r="AD568" s="9" t="s">
        <v>19</v>
      </c>
    </row>
    <row r="569" spans="1:30" ht="29">
      <c r="A569" s="3" t="s">
        <v>1800</v>
      </c>
      <c r="B569" s="11" t="s">
        <v>6645</v>
      </c>
      <c r="C569" s="11" t="s">
        <v>6644</v>
      </c>
      <c r="G569" s="9" t="s">
        <v>24</v>
      </c>
      <c r="H569" s="9"/>
      <c r="I569" s="9">
        <v>1</v>
      </c>
      <c r="J569" s="9">
        <v>3</v>
      </c>
      <c r="K569" s="9" t="s">
        <v>12078</v>
      </c>
      <c r="L569" s="9" t="s">
        <v>12079</v>
      </c>
      <c r="M569" s="9"/>
      <c r="N569" s="10"/>
      <c r="O569" s="9"/>
      <c r="P569" s="9">
        <v>11843</v>
      </c>
      <c r="Q569" s="9"/>
      <c r="R569" s="9" t="s">
        <v>12795</v>
      </c>
      <c r="S569" s="9" t="s">
        <v>12795</v>
      </c>
      <c r="T569" s="9"/>
      <c r="U569" s="9"/>
      <c r="V569" s="9"/>
      <c r="W569" s="9"/>
      <c r="X569" s="9"/>
      <c r="Y569" s="9"/>
      <c r="Z569" s="9"/>
      <c r="AA569" s="9"/>
      <c r="AB569" s="9"/>
      <c r="AC569" s="9"/>
      <c r="AD569" s="9" t="s">
        <v>19</v>
      </c>
    </row>
    <row r="570" spans="1:30" ht="29">
      <c r="A570" s="3" t="s">
        <v>1801</v>
      </c>
      <c r="B570" s="3" t="s">
        <v>1802</v>
      </c>
      <c r="C570" s="3" t="s">
        <v>1803</v>
      </c>
      <c r="G570" s="9" t="s">
        <v>12120</v>
      </c>
      <c r="H570" s="9"/>
      <c r="I570" s="9"/>
      <c r="J570" s="9"/>
      <c r="K570" s="9"/>
      <c r="L570" s="9"/>
      <c r="M570" s="9"/>
      <c r="N570" s="10"/>
      <c r="O570" s="9"/>
      <c r="P570" s="9"/>
      <c r="Q570" s="9"/>
      <c r="R570" s="9" t="s">
        <v>12795</v>
      </c>
      <c r="S570" s="9" t="s">
        <v>12795</v>
      </c>
      <c r="T570" s="9"/>
      <c r="U570" s="9"/>
      <c r="V570" s="9"/>
      <c r="W570" s="9"/>
      <c r="X570" s="9"/>
      <c r="Y570" s="9"/>
      <c r="Z570" s="9"/>
      <c r="AA570" s="9"/>
      <c r="AB570" s="9"/>
      <c r="AC570" s="9"/>
      <c r="AD570" s="9" t="s">
        <v>20</v>
      </c>
    </row>
    <row r="571" spans="1:30" ht="29">
      <c r="A571" s="3" t="s">
        <v>1805</v>
      </c>
      <c r="B571" s="3" t="s">
        <v>12885</v>
      </c>
      <c r="C571" s="3" t="s">
        <v>1806</v>
      </c>
      <c r="G571" s="9" t="s">
        <v>12118</v>
      </c>
      <c r="H571" s="9"/>
      <c r="I571" s="9"/>
      <c r="J571" s="9"/>
      <c r="K571" s="9"/>
      <c r="L571" s="9"/>
      <c r="M571" s="9"/>
      <c r="N571" s="10"/>
      <c r="O571" s="9"/>
      <c r="P571" s="9"/>
      <c r="Q571" s="9">
        <v>13</v>
      </c>
      <c r="R571" s="9">
        <v>3</v>
      </c>
      <c r="S571" s="9">
        <v>16</v>
      </c>
      <c r="T571" s="9"/>
      <c r="U571" s="9"/>
      <c r="V571" s="9"/>
      <c r="W571" s="9"/>
      <c r="X571" s="9"/>
      <c r="Y571" s="9"/>
      <c r="Z571" s="9"/>
      <c r="AA571" s="9"/>
      <c r="AB571" s="9"/>
      <c r="AC571" s="9"/>
      <c r="AD571" s="9" t="s">
        <v>19</v>
      </c>
    </row>
    <row r="572" spans="1:30" ht="29">
      <c r="A572" s="3" t="s">
        <v>1809</v>
      </c>
      <c r="B572" s="3" t="s">
        <v>6651</v>
      </c>
      <c r="C572" s="3" t="s">
        <v>6654</v>
      </c>
      <c r="G572" s="9" t="s">
        <v>24</v>
      </c>
      <c r="H572" s="9"/>
      <c r="I572" s="9">
        <v>2</v>
      </c>
      <c r="J572" s="9">
        <v>7</v>
      </c>
      <c r="K572" s="9"/>
      <c r="L572" s="9" t="s">
        <v>12073</v>
      </c>
      <c r="M572" s="9" t="s">
        <v>12140</v>
      </c>
      <c r="N572" s="10" t="s">
        <v>12137</v>
      </c>
      <c r="O572" s="9"/>
      <c r="P572" s="9">
        <v>635</v>
      </c>
      <c r="Q572" s="9"/>
      <c r="R572" s="9" t="s">
        <v>12795</v>
      </c>
      <c r="S572" s="9" t="s">
        <v>12795</v>
      </c>
      <c r="T572" s="9"/>
      <c r="U572" s="9"/>
      <c r="V572" s="9"/>
      <c r="W572" s="9"/>
      <c r="X572" s="9"/>
      <c r="Y572" s="9"/>
      <c r="Z572" s="9"/>
      <c r="AA572" s="9"/>
      <c r="AB572" s="9"/>
      <c r="AC572" s="9"/>
      <c r="AD572" s="9" t="s">
        <v>19</v>
      </c>
    </row>
    <row r="573" spans="1:30" ht="29">
      <c r="A573" s="3" t="s">
        <v>1809</v>
      </c>
      <c r="B573" s="3" t="s">
        <v>6657</v>
      </c>
      <c r="C573" s="3" t="s">
        <v>6660</v>
      </c>
      <c r="G573" s="9" t="s">
        <v>24</v>
      </c>
      <c r="H573" s="9"/>
      <c r="I573" s="9">
        <v>1</v>
      </c>
      <c r="J573" s="9">
        <v>3</v>
      </c>
      <c r="K573" s="9" t="s">
        <v>12078</v>
      </c>
      <c r="L573" s="9" t="s">
        <v>12079</v>
      </c>
      <c r="M573" s="9"/>
      <c r="N573" s="10"/>
      <c r="O573" s="9"/>
      <c r="P573" s="9">
        <v>11843</v>
      </c>
      <c r="Q573" s="9"/>
      <c r="R573" s="9" t="s">
        <v>12795</v>
      </c>
      <c r="S573" s="9" t="s">
        <v>12795</v>
      </c>
      <c r="T573" s="9"/>
      <c r="U573" s="9"/>
      <c r="V573" s="9"/>
      <c r="W573" s="9"/>
      <c r="X573" s="9"/>
      <c r="Y573" s="9"/>
      <c r="Z573" s="9"/>
      <c r="AA573" s="9"/>
      <c r="AB573" s="9"/>
      <c r="AC573" s="9"/>
      <c r="AD573" s="9" t="s">
        <v>19</v>
      </c>
    </row>
    <row r="574" spans="1:30" ht="29">
      <c r="A574" s="3" t="s">
        <v>1811</v>
      </c>
      <c r="B574" s="3" t="s">
        <v>6663</v>
      </c>
      <c r="C574" s="3" t="s">
        <v>6664</v>
      </c>
      <c r="G574" s="9" t="s">
        <v>25</v>
      </c>
      <c r="H574" s="9"/>
      <c r="I574" s="9">
        <v>1</v>
      </c>
      <c r="J574" s="9">
        <v>1</v>
      </c>
      <c r="K574" s="9" t="s">
        <v>12078</v>
      </c>
      <c r="L574" s="9" t="s">
        <v>12119</v>
      </c>
      <c r="M574" s="9"/>
      <c r="N574" s="10"/>
      <c r="O574" s="9"/>
      <c r="P574" s="9">
        <v>11843</v>
      </c>
      <c r="Q574" s="9"/>
      <c r="R574" s="9" t="s">
        <v>12795</v>
      </c>
      <c r="S574" s="9" t="s">
        <v>12795</v>
      </c>
      <c r="T574" s="9"/>
      <c r="U574" s="9"/>
      <c r="V574" s="9"/>
      <c r="W574" s="9"/>
      <c r="X574" s="9"/>
      <c r="Y574" s="9"/>
      <c r="Z574" s="9"/>
      <c r="AA574" s="9"/>
      <c r="AB574" s="9"/>
      <c r="AC574" s="9"/>
      <c r="AD574" s="9" t="s">
        <v>19</v>
      </c>
    </row>
    <row r="575" spans="1:30" ht="29">
      <c r="A575" s="3" t="s">
        <v>1817</v>
      </c>
      <c r="B575" s="3" t="s">
        <v>1818</v>
      </c>
      <c r="C575" s="3" t="s">
        <v>1819</v>
      </c>
      <c r="G575" s="9" t="s">
        <v>12120</v>
      </c>
      <c r="H575" s="9"/>
      <c r="I575" s="9"/>
      <c r="J575" s="9"/>
      <c r="K575" s="9"/>
      <c r="L575" s="9"/>
      <c r="M575" s="9"/>
      <c r="N575" s="10"/>
      <c r="O575" s="9"/>
      <c r="P575" s="9"/>
      <c r="Q575" s="9"/>
      <c r="R575" s="9" t="s">
        <v>12795</v>
      </c>
      <c r="S575" s="9" t="s">
        <v>12795</v>
      </c>
      <c r="T575" s="9"/>
      <c r="U575" s="9"/>
      <c r="V575" s="9"/>
      <c r="W575" s="9"/>
      <c r="X575" s="9"/>
      <c r="Y575" s="9"/>
      <c r="Z575" s="9"/>
      <c r="AA575" s="9"/>
      <c r="AB575" s="9"/>
      <c r="AC575" s="9"/>
      <c r="AD575" s="9" t="s">
        <v>19</v>
      </c>
    </row>
    <row r="576" spans="1:30" ht="29">
      <c r="A576" s="3" t="s">
        <v>1820</v>
      </c>
      <c r="B576" s="3" t="s">
        <v>6674</v>
      </c>
      <c r="C576" s="3" t="s">
        <v>6673</v>
      </c>
      <c r="G576" s="9" t="s">
        <v>25</v>
      </c>
      <c r="H576" s="9"/>
      <c r="I576" s="9">
        <v>1</v>
      </c>
      <c r="J576" s="9">
        <v>2</v>
      </c>
      <c r="K576" s="9" t="s">
        <v>12078</v>
      </c>
      <c r="L576" s="9" t="s">
        <v>12119</v>
      </c>
      <c r="M576" s="9"/>
      <c r="N576" s="10"/>
      <c r="O576" s="9"/>
      <c r="P576" s="9">
        <v>11843</v>
      </c>
      <c r="Q576" s="9"/>
      <c r="R576" s="9" t="s">
        <v>12795</v>
      </c>
      <c r="S576" s="9" t="s">
        <v>12795</v>
      </c>
      <c r="T576" s="9"/>
      <c r="U576" s="9"/>
      <c r="V576" s="9"/>
      <c r="W576" s="9"/>
      <c r="X576" s="9"/>
      <c r="Y576" s="9"/>
      <c r="Z576" s="9"/>
      <c r="AA576" s="9"/>
      <c r="AB576" s="9"/>
      <c r="AC576" s="9"/>
      <c r="AD576" s="9" t="s">
        <v>13141</v>
      </c>
    </row>
    <row r="577" spans="1:30" ht="43.5">
      <c r="A577" s="3" t="s">
        <v>1822</v>
      </c>
      <c r="B577" s="3" t="s">
        <v>6680</v>
      </c>
      <c r="C577" s="3" t="s">
        <v>6679</v>
      </c>
      <c r="G577" s="9" t="s">
        <v>25</v>
      </c>
      <c r="H577" s="9"/>
      <c r="I577" s="9">
        <v>1</v>
      </c>
      <c r="J577" s="9">
        <v>3</v>
      </c>
      <c r="K577" s="9" t="s">
        <v>12087</v>
      </c>
      <c r="L577" s="9" t="s">
        <v>12079</v>
      </c>
      <c r="M577" s="9"/>
      <c r="N577" s="10"/>
      <c r="O577" s="9"/>
      <c r="P577" s="9">
        <v>5676</v>
      </c>
      <c r="Q577" s="9"/>
      <c r="R577" s="9" t="s">
        <v>12795</v>
      </c>
      <c r="S577" s="9" t="s">
        <v>12795</v>
      </c>
      <c r="T577" s="9"/>
      <c r="U577" s="9"/>
      <c r="V577" s="9"/>
      <c r="W577" s="9"/>
      <c r="X577" s="9"/>
      <c r="Y577" s="9"/>
      <c r="Z577" s="9"/>
      <c r="AA577" s="9"/>
      <c r="AB577" s="9"/>
      <c r="AC577" s="9"/>
      <c r="AD577" s="9" t="s">
        <v>19</v>
      </c>
    </row>
    <row r="578" spans="1:30" ht="43.5">
      <c r="A578" s="3" t="s">
        <v>1822</v>
      </c>
      <c r="B578" s="3" t="s">
        <v>6681</v>
      </c>
      <c r="C578" s="3" t="s">
        <v>6682</v>
      </c>
      <c r="G578" s="9" t="s">
        <v>26</v>
      </c>
      <c r="H578" s="9"/>
      <c r="I578" s="9"/>
      <c r="J578" s="9"/>
      <c r="K578" s="9"/>
      <c r="L578" s="9"/>
      <c r="M578" s="9"/>
      <c r="N578" s="10"/>
      <c r="O578" s="9"/>
      <c r="P578" s="9"/>
      <c r="Q578" s="9"/>
      <c r="R578" s="9" t="s">
        <v>12795</v>
      </c>
      <c r="S578" s="9" t="s">
        <v>12795</v>
      </c>
      <c r="T578" s="9"/>
      <c r="U578" s="9"/>
      <c r="V578" s="9"/>
      <c r="W578" s="9"/>
      <c r="X578" s="9"/>
      <c r="Y578" s="9"/>
      <c r="Z578" s="9"/>
      <c r="AA578" s="9"/>
      <c r="AB578" s="9"/>
      <c r="AC578" s="9"/>
      <c r="AD578" s="9" t="s">
        <v>20</v>
      </c>
    </row>
    <row r="579" spans="1:30" ht="43.5">
      <c r="A579" s="3" t="s">
        <v>1822</v>
      </c>
      <c r="B579" s="3" t="s">
        <v>6683</v>
      </c>
      <c r="C579" s="3" t="s">
        <v>6684</v>
      </c>
      <c r="G579" s="9" t="s">
        <v>12120</v>
      </c>
      <c r="H579" s="9"/>
      <c r="I579" s="9"/>
      <c r="J579" s="9"/>
      <c r="K579" s="9"/>
      <c r="L579" s="9"/>
      <c r="M579" s="9"/>
      <c r="N579" s="10"/>
      <c r="O579" s="9"/>
      <c r="P579" s="9"/>
      <c r="Q579" s="9"/>
      <c r="R579" s="9" t="s">
        <v>12795</v>
      </c>
      <c r="S579" s="9" t="s">
        <v>12795</v>
      </c>
      <c r="T579" s="9"/>
      <c r="U579" s="9"/>
      <c r="V579" s="9"/>
      <c r="W579" s="9"/>
      <c r="X579" s="9"/>
      <c r="Y579" s="9"/>
      <c r="Z579" s="9"/>
      <c r="AA579" s="9"/>
      <c r="AB579" s="9"/>
      <c r="AC579" s="9"/>
      <c r="AD579" s="9" t="s">
        <v>19</v>
      </c>
    </row>
    <row r="580" spans="1:30" ht="29">
      <c r="A580" s="3" t="s">
        <v>1828</v>
      </c>
      <c r="B580" s="3" t="s">
        <v>6687</v>
      </c>
      <c r="C580" s="3" t="s">
        <v>6688</v>
      </c>
      <c r="G580" s="9" t="s">
        <v>12120</v>
      </c>
      <c r="H580" s="9"/>
      <c r="I580" s="9"/>
      <c r="J580" s="9"/>
      <c r="K580" s="9"/>
      <c r="L580" s="9"/>
      <c r="M580" s="9"/>
      <c r="N580" s="10"/>
      <c r="O580" s="9"/>
      <c r="P580" s="9"/>
      <c r="Q580" s="9"/>
      <c r="R580" s="9" t="s">
        <v>12795</v>
      </c>
      <c r="S580" s="9" t="s">
        <v>12795</v>
      </c>
      <c r="T580" s="9"/>
      <c r="U580" s="9"/>
      <c r="V580" s="9"/>
      <c r="W580" s="9"/>
      <c r="X580" s="9"/>
      <c r="Y580" s="9"/>
      <c r="Z580" s="9"/>
      <c r="AA580" s="9"/>
      <c r="AB580" s="9"/>
      <c r="AC580" s="9"/>
      <c r="AD580" s="9" t="s">
        <v>20</v>
      </c>
    </row>
    <row r="581" spans="1:30" ht="29">
      <c r="A581" s="3" t="s">
        <v>1828</v>
      </c>
      <c r="B581" s="3" t="s">
        <v>6689</v>
      </c>
      <c r="C581" s="3" t="s">
        <v>6690</v>
      </c>
      <c r="G581" s="9" t="s">
        <v>12120</v>
      </c>
      <c r="H581" s="9"/>
      <c r="I581" s="9"/>
      <c r="J581" s="9"/>
      <c r="K581" s="9"/>
      <c r="L581" s="9"/>
      <c r="M581" s="9"/>
      <c r="N581" s="10"/>
      <c r="O581" s="9"/>
      <c r="P581" s="9"/>
      <c r="Q581" s="9"/>
      <c r="R581" s="9" t="s">
        <v>12795</v>
      </c>
      <c r="S581" s="9" t="s">
        <v>12795</v>
      </c>
      <c r="T581" s="9"/>
      <c r="U581" s="9"/>
      <c r="V581" s="9"/>
      <c r="W581" s="9"/>
      <c r="X581" s="9"/>
      <c r="Y581" s="9"/>
      <c r="Z581" s="9"/>
      <c r="AA581" s="9"/>
      <c r="AB581" s="9"/>
      <c r="AC581" s="9"/>
      <c r="AD581" s="9" t="s">
        <v>19</v>
      </c>
    </row>
    <row r="582" spans="1:30" ht="29">
      <c r="A582" s="3" t="s">
        <v>1830</v>
      </c>
      <c r="B582" s="3" t="s">
        <v>6695</v>
      </c>
      <c r="C582" s="3" t="s">
        <v>6696</v>
      </c>
      <c r="G582" s="9" t="s">
        <v>12120</v>
      </c>
      <c r="H582" s="9"/>
      <c r="I582" s="9"/>
      <c r="J582" s="9"/>
      <c r="K582" s="9"/>
      <c r="L582" s="9"/>
      <c r="M582" s="9"/>
      <c r="N582" s="10"/>
      <c r="O582" s="9"/>
      <c r="P582" s="9"/>
      <c r="Q582" s="9"/>
      <c r="R582" s="9" t="s">
        <v>12795</v>
      </c>
      <c r="S582" s="9" t="s">
        <v>12795</v>
      </c>
      <c r="T582" s="9"/>
      <c r="U582" s="9"/>
      <c r="V582" s="9"/>
      <c r="W582" s="9"/>
      <c r="X582" s="9"/>
      <c r="Y582" s="9"/>
      <c r="Z582" s="9"/>
      <c r="AA582" s="9"/>
      <c r="AB582" s="9"/>
      <c r="AC582" s="9"/>
      <c r="AD582" s="9" t="s">
        <v>20</v>
      </c>
    </row>
    <row r="583" spans="1:30" ht="29">
      <c r="A583" s="3" t="s">
        <v>1831</v>
      </c>
      <c r="B583" s="3" t="s">
        <v>6697</v>
      </c>
      <c r="C583" s="11" t="s">
        <v>6698</v>
      </c>
      <c r="G583" s="9" t="s">
        <v>25</v>
      </c>
      <c r="H583" s="9"/>
      <c r="I583" s="9">
        <v>1</v>
      </c>
      <c r="J583" s="9">
        <v>1</v>
      </c>
      <c r="K583" s="9" t="s">
        <v>12078</v>
      </c>
      <c r="L583" s="9" t="s">
        <v>12119</v>
      </c>
      <c r="M583" s="9"/>
      <c r="N583" s="10"/>
      <c r="O583" s="9"/>
      <c r="P583" s="9">
        <v>11843</v>
      </c>
      <c r="Q583" s="9"/>
      <c r="R583" s="9" t="s">
        <v>12795</v>
      </c>
      <c r="S583" s="9" t="s">
        <v>12795</v>
      </c>
      <c r="T583" s="9"/>
      <c r="U583" s="9"/>
      <c r="V583" s="9"/>
      <c r="W583" s="9"/>
      <c r="X583" s="9"/>
      <c r="Y583" s="9"/>
      <c r="Z583" s="9"/>
      <c r="AA583" s="9"/>
      <c r="AB583" s="9"/>
      <c r="AC583" s="9"/>
      <c r="AD583" s="9" t="s">
        <v>20</v>
      </c>
    </row>
    <row r="584" spans="1:30" ht="43.5">
      <c r="A584" s="3" t="s">
        <v>1831</v>
      </c>
      <c r="B584" s="3" t="s">
        <v>6703</v>
      </c>
      <c r="C584" s="3" t="s">
        <v>6704</v>
      </c>
      <c r="G584" s="9" t="s">
        <v>12118</v>
      </c>
      <c r="H584" s="9"/>
      <c r="I584" s="9"/>
      <c r="J584" s="9"/>
      <c r="K584" s="9"/>
      <c r="L584" s="9"/>
      <c r="M584" s="9"/>
      <c r="N584" s="10"/>
      <c r="O584" s="9"/>
      <c r="P584" s="9"/>
      <c r="Q584" s="9">
        <v>193</v>
      </c>
      <c r="R584" s="9">
        <v>1101</v>
      </c>
      <c r="S584" s="9">
        <v>1294</v>
      </c>
      <c r="T584" s="9" t="s">
        <v>4</v>
      </c>
      <c r="U584" s="9"/>
      <c r="V584" s="9"/>
      <c r="W584" s="9"/>
      <c r="X584" s="9"/>
      <c r="Y584" s="9"/>
      <c r="Z584" s="9"/>
      <c r="AA584" s="9"/>
      <c r="AB584" s="9"/>
      <c r="AC584" s="9"/>
      <c r="AD584" s="9" t="s">
        <v>19</v>
      </c>
    </row>
    <row r="585" spans="1:30" ht="29">
      <c r="A585" s="3" t="s">
        <v>1834</v>
      </c>
      <c r="B585" s="3" t="s">
        <v>6706</v>
      </c>
      <c r="C585" s="3" t="s">
        <v>6707</v>
      </c>
      <c r="G585" s="9" t="s">
        <v>25</v>
      </c>
      <c r="H585" s="9"/>
      <c r="I585" s="9">
        <v>2</v>
      </c>
      <c r="J585" s="9">
        <v>9</v>
      </c>
      <c r="K585" s="9"/>
      <c r="L585" s="9" t="s">
        <v>12073</v>
      </c>
      <c r="M585" s="9" t="s">
        <v>12140</v>
      </c>
      <c r="N585" s="10" t="s">
        <v>12136</v>
      </c>
      <c r="O585" s="9"/>
      <c r="P585" s="9">
        <v>508</v>
      </c>
      <c r="Q585" s="9"/>
      <c r="R585" s="9" t="s">
        <v>12795</v>
      </c>
      <c r="S585" s="9" t="s">
        <v>12795</v>
      </c>
      <c r="T585" s="9"/>
      <c r="U585" s="9"/>
      <c r="V585" s="9"/>
      <c r="W585" s="9"/>
      <c r="X585" s="9"/>
      <c r="Y585" s="9"/>
      <c r="Z585" s="9"/>
      <c r="AA585" s="9"/>
      <c r="AB585" s="9"/>
      <c r="AC585" s="9"/>
      <c r="AD585" s="9" t="s">
        <v>19</v>
      </c>
    </row>
    <row r="586" spans="1:30" ht="43.5">
      <c r="A586" s="3" t="s">
        <v>1841</v>
      </c>
      <c r="B586" s="3" t="s">
        <v>6713</v>
      </c>
      <c r="C586" s="3" t="s">
        <v>6712</v>
      </c>
      <c r="G586" s="9" t="s">
        <v>25</v>
      </c>
      <c r="H586" s="9"/>
      <c r="I586" s="9">
        <v>1</v>
      </c>
      <c r="J586" s="9">
        <v>2</v>
      </c>
      <c r="K586" s="9" t="s">
        <v>12087</v>
      </c>
      <c r="L586" s="9" t="s">
        <v>12119</v>
      </c>
      <c r="M586" s="9"/>
      <c r="N586" s="10"/>
      <c r="O586" s="9"/>
      <c r="P586" s="9">
        <v>227</v>
      </c>
      <c r="Q586" s="9"/>
      <c r="R586" s="9" t="s">
        <v>12795</v>
      </c>
      <c r="S586" s="9" t="s">
        <v>12795</v>
      </c>
      <c r="T586" s="9"/>
      <c r="U586" s="9"/>
      <c r="V586" s="9"/>
      <c r="W586" s="9"/>
      <c r="X586" s="9"/>
      <c r="Y586" s="9"/>
      <c r="Z586" s="9"/>
      <c r="AA586" s="9"/>
      <c r="AB586" s="9"/>
      <c r="AC586" s="9"/>
      <c r="AD586" s="9" t="s">
        <v>13141</v>
      </c>
    </row>
    <row r="587" spans="1:30" ht="43.5">
      <c r="A587" s="3" t="s">
        <v>1841</v>
      </c>
      <c r="B587" s="3" t="s">
        <v>6714</v>
      </c>
      <c r="C587" s="3" t="s">
        <v>6712</v>
      </c>
      <c r="G587" s="9" t="s">
        <v>25</v>
      </c>
      <c r="H587" s="9"/>
      <c r="I587" s="9">
        <v>1</v>
      </c>
      <c r="J587" s="9">
        <v>4</v>
      </c>
      <c r="K587" s="9" t="s">
        <v>12094</v>
      </c>
      <c r="L587" s="9" t="s">
        <v>12079</v>
      </c>
      <c r="M587" s="9"/>
      <c r="N587" s="10"/>
      <c r="O587" s="9"/>
      <c r="P587" s="9"/>
      <c r="Q587" s="9"/>
      <c r="R587" s="9" t="s">
        <v>12795</v>
      </c>
      <c r="S587" s="9" t="s">
        <v>12795</v>
      </c>
      <c r="T587" s="9"/>
      <c r="U587" s="9"/>
      <c r="V587" s="9"/>
      <c r="W587" s="9"/>
      <c r="X587" s="9"/>
      <c r="Y587" s="9"/>
      <c r="Z587" s="9"/>
      <c r="AA587" s="9"/>
      <c r="AB587" s="9"/>
      <c r="AC587" s="9"/>
      <c r="AD587" s="9" t="s">
        <v>19</v>
      </c>
    </row>
    <row r="588" spans="1:30" ht="43.5">
      <c r="A588" s="3" t="s">
        <v>1841</v>
      </c>
      <c r="B588" s="3" t="s">
        <v>6715</v>
      </c>
      <c r="C588" s="3" t="s">
        <v>6716</v>
      </c>
      <c r="G588" s="9" t="s">
        <v>26</v>
      </c>
      <c r="H588" s="9"/>
      <c r="I588" s="9"/>
      <c r="J588" s="9"/>
      <c r="K588" s="9"/>
      <c r="L588" s="9"/>
      <c r="M588" s="9"/>
      <c r="N588" s="10"/>
      <c r="O588" s="9"/>
      <c r="P588" s="9"/>
      <c r="Q588" s="9"/>
      <c r="R588" s="9" t="s">
        <v>12795</v>
      </c>
      <c r="S588" s="9" t="s">
        <v>12795</v>
      </c>
      <c r="T588" s="9"/>
      <c r="U588" s="9"/>
      <c r="V588" s="9"/>
      <c r="W588" s="9"/>
      <c r="X588" s="9"/>
      <c r="Y588" s="9"/>
      <c r="Z588" s="9"/>
      <c r="AA588" s="9"/>
      <c r="AB588" s="9"/>
      <c r="AC588" s="9"/>
      <c r="AD588" s="9" t="s">
        <v>20</v>
      </c>
    </row>
    <row r="589" spans="1:30" ht="58">
      <c r="A589" s="3" t="s">
        <v>1841</v>
      </c>
      <c r="B589" s="3" t="s">
        <v>6711</v>
      </c>
      <c r="C589" s="3" t="s">
        <v>6719</v>
      </c>
      <c r="G589" s="9" t="s">
        <v>24</v>
      </c>
      <c r="H589" s="9"/>
      <c r="I589" s="9">
        <v>1</v>
      </c>
      <c r="J589" s="9">
        <v>8</v>
      </c>
      <c r="K589" s="9" t="s">
        <v>12092</v>
      </c>
      <c r="L589" s="9" t="s">
        <v>12073</v>
      </c>
      <c r="M589" s="9" t="s">
        <v>12142</v>
      </c>
      <c r="N589" s="10" t="s">
        <v>12160</v>
      </c>
      <c r="O589" s="9"/>
      <c r="P589" s="9">
        <v>28</v>
      </c>
      <c r="Q589" s="9"/>
      <c r="R589" s="9" t="s">
        <v>12795</v>
      </c>
      <c r="S589" s="9" t="s">
        <v>12795</v>
      </c>
      <c r="T589" s="9"/>
      <c r="U589" s="9"/>
      <c r="V589" s="9"/>
      <c r="W589" s="9"/>
      <c r="X589" s="9"/>
      <c r="Y589" s="9"/>
      <c r="Z589" s="9"/>
      <c r="AA589" s="9"/>
      <c r="AB589" s="9"/>
      <c r="AC589" s="9"/>
      <c r="AD589" s="9" t="s">
        <v>20</v>
      </c>
    </row>
    <row r="590" spans="1:30" ht="29">
      <c r="A590" s="3" t="s">
        <v>1842</v>
      </c>
      <c r="B590" s="3" t="s">
        <v>6720</v>
      </c>
      <c r="C590" s="5" t="s">
        <v>6721</v>
      </c>
      <c r="D590" t="s">
        <v>32</v>
      </c>
      <c r="G590" s="9" t="s">
        <v>12118</v>
      </c>
      <c r="H590" s="9"/>
      <c r="I590" s="9">
        <v>1</v>
      </c>
      <c r="J590" s="9">
        <v>2</v>
      </c>
      <c r="K590" s="9" t="s">
        <v>12087</v>
      </c>
      <c r="L590" s="9" t="s">
        <v>12119</v>
      </c>
      <c r="M590" s="9"/>
      <c r="N590" s="10"/>
      <c r="O590" s="9"/>
      <c r="P590" s="9"/>
      <c r="Q590" s="9">
        <v>-3710</v>
      </c>
      <c r="R590" s="9">
        <v>5676</v>
      </c>
      <c r="S590" s="9">
        <v>1966</v>
      </c>
      <c r="T590" s="9"/>
      <c r="U590" s="9"/>
      <c r="V590" s="9"/>
      <c r="W590" s="9"/>
      <c r="X590" s="9"/>
      <c r="Y590" s="9"/>
      <c r="Z590" s="9"/>
      <c r="AA590" s="9"/>
      <c r="AB590" s="9"/>
      <c r="AC590" s="9"/>
      <c r="AD590" s="9" t="s">
        <v>19</v>
      </c>
    </row>
    <row r="591" spans="1:30" ht="29">
      <c r="A591" s="3" t="s">
        <v>1842</v>
      </c>
      <c r="B591" s="3" t="s">
        <v>6724</v>
      </c>
      <c r="C591" s="3" t="s">
        <v>6723</v>
      </c>
      <c r="F591" t="s">
        <v>19</v>
      </c>
      <c r="G591" s="9" t="s">
        <v>25</v>
      </c>
      <c r="H591" s="9"/>
      <c r="I591" s="9">
        <v>1</v>
      </c>
      <c r="J591" s="9">
        <v>3</v>
      </c>
      <c r="K591" s="9" t="s">
        <v>12078</v>
      </c>
      <c r="L591" s="9" t="s">
        <v>12079</v>
      </c>
      <c r="M591" s="9"/>
      <c r="N591" s="10"/>
      <c r="O591" s="9"/>
      <c r="P591" s="9">
        <v>11843</v>
      </c>
      <c r="Q591" s="9"/>
      <c r="R591" s="9" t="s">
        <v>12795</v>
      </c>
      <c r="S591" s="9" t="s">
        <v>12795</v>
      </c>
      <c r="T591" s="9"/>
      <c r="U591" s="9"/>
      <c r="V591" s="9"/>
      <c r="W591" s="9"/>
      <c r="X591" s="9"/>
      <c r="Y591" s="9"/>
      <c r="Z591" s="9"/>
      <c r="AA591" s="9"/>
      <c r="AB591" s="9"/>
      <c r="AC591" s="9"/>
      <c r="AD591" s="9" t="s">
        <v>19</v>
      </c>
    </row>
    <row r="592" spans="1:30" ht="29">
      <c r="A592" s="3" t="s">
        <v>1842</v>
      </c>
      <c r="B592" s="3" t="s">
        <v>6725</v>
      </c>
      <c r="C592" s="3" t="s">
        <v>6723</v>
      </c>
      <c r="F592" t="s">
        <v>19</v>
      </c>
      <c r="G592" s="9" t="s">
        <v>25</v>
      </c>
      <c r="H592" s="9"/>
      <c r="I592" s="9">
        <v>1</v>
      </c>
      <c r="J592" s="9">
        <v>2</v>
      </c>
      <c r="K592" s="9" t="s">
        <v>12078</v>
      </c>
      <c r="L592" s="9" t="s">
        <v>12119</v>
      </c>
      <c r="M592" s="9"/>
      <c r="N592" s="10"/>
      <c r="O592" s="9"/>
      <c r="P592" s="9">
        <v>11843</v>
      </c>
      <c r="Q592" s="9"/>
      <c r="R592" s="9" t="s">
        <v>12795</v>
      </c>
      <c r="S592" s="9" t="s">
        <v>12795</v>
      </c>
      <c r="T592" s="9"/>
      <c r="U592" s="9"/>
      <c r="V592" s="9"/>
      <c r="W592" s="9"/>
      <c r="X592" s="9"/>
      <c r="Y592" s="9"/>
      <c r="Z592" s="9"/>
      <c r="AA592" s="9"/>
      <c r="AB592" s="9"/>
      <c r="AC592" s="9"/>
      <c r="AD592" s="9" t="s">
        <v>19</v>
      </c>
    </row>
    <row r="593" spans="1:30" ht="29">
      <c r="A593" s="3" t="s">
        <v>1842</v>
      </c>
      <c r="B593" s="3" t="s">
        <v>6726</v>
      </c>
      <c r="C593" s="3" t="s">
        <v>6727</v>
      </c>
      <c r="E593" t="s">
        <v>20</v>
      </c>
      <c r="G593" s="9" t="s">
        <v>12120</v>
      </c>
      <c r="H593" s="9"/>
      <c r="I593" s="9"/>
      <c r="J593" s="9"/>
      <c r="K593" s="9"/>
      <c r="L593" s="9"/>
      <c r="M593" s="9"/>
      <c r="N593" s="10"/>
      <c r="O593" s="9"/>
      <c r="P593" s="9"/>
      <c r="Q593" s="9"/>
      <c r="R593" s="9" t="s">
        <v>12795</v>
      </c>
      <c r="S593" s="9" t="s">
        <v>12795</v>
      </c>
      <c r="T593" s="9"/>
      <c r="U593" s="9"/>
      <c r="V593" s="9"/>
      <c r="W593" s="9"/>
      <c r="X593" s="9"/>
      <c r="Y593" s="9"/>
      <c r="Z593" s="9"/>
      <c r="AA593" s="9"/>
      <c r="AB593" s="9"/>
      <c r="AC593" s="9"/>
      <c r="AD593" s="9" t="s">
        <v>19</v>
      </c>
    </row>
    <row r="594" spans="1:30" ht="29">
      <c r="A594" s="3" t="s">
        <v>1843</v>
      </c>
      <c r="B594" s="3" t="s">
        <v>6729</v>
      </c>
      <c r="C594" s="3" t="s">
        <v>6728</v>
      </c>
      <c r="G594" s="9" t="s">
        <v>26</v>
      </c>
      <c r="H594" s="9"/>
      <c r="I594" s="9"/>
      <c r="J594" s="9"/>
      <c r="K594" s="9"/>
      <c r="L594" s="9"/>
      <c r="M594" s="9"/>
      <c r="N594" s="10"/>
      <c r="O594" s="9"/>
      <c r="P594" s="9"/>
      <c r="Q594" s="9"/>
      <c r="R594" s="9" t="s">
        <v>12795</v>
      </c>
      <c r="S594" s="9" t="s">
        <v>12795</v>
      </c>
      <c r="T594" s="9"/>
      <c r="U594" s="9"/>
      <c r="V594" s="9"/>
      <c r="W594" s="9"/>
      <c r="X594" s="9"/>
      <c r="Y594" s="9"/>
      <c r="Z594" s="9"/>
      <c r="AA594" s="9"/>
      <c r="AB594" s="9"/>
      <c r="AC594" s="9"/>
      <c r="AD594" s="9" t="s">
        <v>20</v>
      </c>
    </row>
    <row r="595" spans="1:30" ht="43.5">
      <c r="A595" s="3" t="s">
        <v>1844</v>
      </c>
      <c r="B595" s="3" t="s">
        <v>6732</v>
      </c>
      <c r="C595" s="3" t="s">
        <v>6733</v>
      </c>
      <c r="G595" s="9" t="s">
        <v>24</v>
      </c>
      <c r="H595" s="9"/>
      <c r="I595" s="9">
        <v>2</v>
      </c>
      <c r="J595" s="9">
        <v>7</v>
      </c>
      <c r="K595" s="9"/>
      <c r="L595" s="9" t="s">
        <v>12079</v>
      </c>
      <c r="M595" s="9"/>
      <c r="N595" s="10"/>
      <c r="O595" s="9"/>
      <c r="P595" s="9">
        <v>28</v>
      </c>
      <c r="Q595" s="9"/>
      <c r="R595" s="9" t="s">
        <v>12795</v>
      </c>
      <c r="S595" s="9" t="s">
        <v>12795</v>
      </c>
      <c r="T595" s="9"/>
      <c r="U595" s="9"/>
      <c r="V595" s="9"/>
      <c r="W595" s="9"/>
      <c r="X595" s="9"/>
      <c r="Y595" s="9"/>
      <c r="Z595" s="9"/>
      <c r="AA595" s="9"/>
      <c r="AB595" s="9"/>
      <c r="AC595" s="9"/>
      <c r="AD595" s="9" t="s">
        <v>19</v>
      </c>
    </row>
    <row r="596" spans="1:30" ht="43.5">
      <c r="A596" s="3" t="s">
        <v>1844</v>
      </c>
      <c r="B596" s="3" t="s">
        <v>6732</v>
      </c>
      <c r="C596" s="3" t="s">
        <v>6734</v>
      </c>
      <c r="G596" s="9" t="s">
        <v>24</v>
      </c>
      <c r="H596" s="9"/>
      <c r="I596" s="9">
        <v>2</v>
      </c>
      <c r="J596" s="9">
        <v>6</v>
      </c>
      <c r="K596" s="9"/>
      <c r="L596" s="9" t="s">
        <v>12079</v>
      </c>
      <c r="M596" s="9"/>
      <c r="N596" s="10"/>
      <c r="O596" s="9"/>
      <c r="P596" s="9">
        <v>887</v>
      </c>
      <c r="Q596" s="9"/>
      <c r="R596" s="9" t="s">
        <v>12795</v>
      </c>
      <c r="S596" s="9" t="s">
        <v>12795</v>
      </c>
      <c r="T596" s="9"/>
      <c r="U596" s="9"/>
      <c r="V596" s="9"/>
      <c r="W596" s="9"/>
      <c r="X596" s="9"/>
      <c r="Y596" s="9"/>
      <c r="Z596" s="9"/>
      <c r="AA596" s="9"/>
      <c r="AB596" s="9"/>
      <c r="AC596" s="9"/>
      <c r="AD596" s="9" t="s">
        <v>13141</v>
      </c>
    </row>
    <row r="597" spans="1:30" ht="29">
      <c r="A597" s="3" t="s">
        <v>1845</v>
      </c>
      <c r="B597" s="3" t="s">
        <v>6735</v>
      </c>
      <c r="C597" s="3" t="s">
        <v>6736</v>
      </c>
      <c r="G597" s="9" t="s">
        <v>25</v>
      </c>
      <c r="H597" s="9"/>
      <c r="I597" s="9">
        <v>1</v>
      </c>
      <c r="J597" s="9">
        <v>6</v>
      </c>
      <c r="K597" s="9" t="s">
        <v>12125</v>
      </c>
      <c r="L597" s="9" t="s">
        <v>12079</v>
      </c>
      <c r="M597" s="9"/>
      <c r="N597" s="10"/>
      <c r="O597" s="9"/>
      <c r="P597" s="9">
        <v>173</v>
      </c>
      <c r="Q597" s="9"/>
      <c r="R597" s="9" t="s">
        <v>12795</v>
      </c>
      <c r="S597" s="9" t="s">
        <v>12795</v>
      </c>
      <c r="T597" s="9"/>
      <c r="U597" s="9"/>
      <c r="V597" s="9"/>
      <c r="W597" s="9"/>
      <c r="X597" s="9"/>
      <c r="Y597" s="9"/>
      <c r="Z597" s="9"/>
      <c r="AA597" s="9"/>
      <c r="AB597" s="9"/>
      <c r="AC597" s="9"/>
      <c r="AD597" s="9" t="s">
        <v>19</v>
      </c>
    </row>
    <row r="598" spans="1:30" ht="29">
      <c r="A598" s="3" t="s">
        <v>1846</v>
      </c>
      <c r="B598" s="3" t="s">
        <v>727</v>
      </c>
      <c r="C598" s="3" t="s">
        <v>728</v>
      </c>
      <c r="G598" s="9" t="s">
        <v>12118</v>
      </c>
      <c r="H598" s="9"/>
      <c r="I598" s="9"/>
      <c r="J598" s="9"/>
      <c r="K598" s="9"/>
      <c r="L598" s="9"/>
      <c r="M598" s="9"/>
      <c r="N598" s="10"/>
      <c r="O598" s="9"/>
      <c r="P598" s="9"/>
      <c r="Q598" s="9">
        <v>-50</v>
      </c>
      <c r="R598" s="9">
        <v>87</v>
      </c>
      <c r="S598" s="9">
        <v>37</v>
      </c>
      <c r="T598" s="9"/>
      <c r="U598" s="9"/>
      <c r="V598" s="9"/>
      <c r="W598" s="9"/>
      <c r="X598" s="9"/>
      <c r="Y598" s="9"/>
      <c r="Z598" s="9"/>
      <c r="AA598" s="9"/>
      <c r="AB598" s="9"/>
      <c r="AC598" s="9"/>
      <c r="AD598" s="9" t="s">
        <v>19</v>
      </c>
    </row>
    <row r="599" spans="1:30" ht="29">
      <c r="A599" s="3" t="s">
        <v>1848</v>
      </c>
      <c r="B599" s="3" t="s">
        <v>6740</v>
      </c>
      <c r="C599" s="3" t="s">
        <v>6741</v>
      </c>
      <c r="G599" s="9" t="s">
        <v>25</v>
      </c>
      <c r="H599" s="9"/>
      <c r="I599" s="9">
        <v>1</v>
      </c>
      <c r="J599" s="9">
        <v>7</v>
      </c>
      <c r="K599" s="9" t="s">
        <v>12092</v>
      </c>
      <c r="L599" s="9" t="s">
        <v>12079</v>
      </c>
      <c r="M599" s="9"/>
      <c r="N599" s="10"/>
      <c r="O599" s="9"/>
      <c r="P599" s="9">
        <v>57</v>
      </c>
      <c r="Q599" s="9"/>
      <c r="R599" s="9" t="s">
        <v>12795</v>
      </c>
      <c r="S599" s="9" t="s">
        <v>12795</v>
      </c>
      <c r="T599" s="9"/>
      <c r="U599" s="9"/>
      <c r="V599" s="9"/>
      <c r="W599" s="9"/>
      <c r="X599" s="9"/>
      <c r="Y599" s="9"/>
      <c r="Z599" s="9"/>
      <c r="AA599" s="9"/>
      <c r="AB599" s="9"/>
      <c r="AC599" s="9"/>
      <c r="AD599" s="9" t="s">
        <v>20</v>
      </c>
    </row>
    <row r="600" spans="1:30" ht="29">
      <c r="A600" s="3" t="s">
        <v>1851</v>
      </c>
      <c r="B600" s="3" t="s">
        <v>6744</v>
      </c>
      <c r="C600" s="3" t="s">
        <v>6745</v>
      </c>
      <c r="G600" s="9" t="s">
        <v>25</v>
      </c>
      <c r="H600" s="9"/>
      <c r="I600" s="9">
        <v>1</v>
      </c>
      <c r="J600" s="9">
        <v>9</v>
      </c>
      <c r="K600" s="9" t="s">
        <v>12092</v>
      </c>
      <c r="L600" s="9" t="s">
        <v>12079</v>
      </c>
      <c r="M600" s="9"/>
      <c r="N600" s="10"/>
      <c r="O600" s="9"/>
      <c r="P600" s="9">
        <v>50</v>
      </c>
      <c r="Q600" s="9"/>
      <c r="R600" s="9" t="s">
        <v>12795</v>
      </c>
      <c r="S600" s="9" t="s">
        <v>12795</v>
      </c>
      <c r="T600" s="9"/>
      <c r="U600" s="9"/>
      <c r="V600" s="9"/>
      <c r="W600" s="9"/>
      <c r="X600" s="9"/>
      <c r="Y600" s="9"/>
      <c r="Z600" s="9"/>
      <c r="AA600" s="9"/>
      <c r="AB600" s="9"/>
      <c r="AC600" s="9"/>
      <c r="AD600" s="9" t="s">
        <v>20</v>
      </c>
    </row>
    <row r="601" spans="1:30" ht="29">
      <c r="A601" s="3" t="s">
        <v>1855</v>
      </c>
      <c r="B601" s="3" t="s">
        <v>6748</v>
      </c>
      <c r="C601" s="3" t="s">
        <v>6749</v>
      </c>
      <c r="G601" s="9" t="s">
        <v>26</v>
      </c>
      <c r="H601" s="9"/>
      <c r="I601" s="9"/>
      <c r="J601" s="9"/>
      <c r="K601" s="9"/>
      <c r="L601" s="9"/>
      <c r="M601" s="9"/>
      <c r="N601" s="10"/>
      <c r="O601" s="9"/>
      <c r="P601" s="9"/>
      <c r="Q601" s="9"/>
      <c r="R601" s="9" t="s">
        <v>12795</v>
      </c>
      <c r="S601" s="9" t="s">
        <v>12795</v>
      </c>
      <c r="T601" s="9"/>
      <c r="U601" s="9"/>
      <c r="V601" s="9"/>
      <c r="W601" s="9"/>
      <c r="X601" s="9"/>
      <c r="Y601" s="9"/>
      <c r="Z601" s="9"/>
      <c r="AA601" s="9"/>
      <c r="AB601" s="9"/>
      <c r="AC601" s="9"/>
      <c r="AD601" s="9" t="s">
        <v>20</v>
      </c>
    </row>
    <row r="602" spans="1:30" ht="29">
      <c r="A602" s="3" t="s">
        <v>1855</v>
      </c>
      <c r="B602" s="3" t="s">
        <v>6750</v>
      </c>
      <c r="C602" s="3" t="s">
        <v>6751</v>
      </c>
      <c r="G602" s="9" t="s">
        <v>12120</v>
      </c>
      <c r="H602" s="9"/>
      <c r="I602" s="9"/>
      <c r="J602" s="9"/>
      <c r="K602" s="9"/>
      <c r="L602" s="9"/>
      <c r="M602" s="9"/>
      <c r="N602" s="10"/>
      <c r="O602" s="9"/>
      <c r="P602" s="9"/>
      <c r="Q602" s="9"/>
      <c r="R602" s="9" t="s">
        <v>12795</v>
      </c>
      <c r="S602" s="9" t="s">
        <v>12795</v>
      </c>
      <c r="T602" s="9"/>
      <c r="U602" s="9"/>
      <c r="V602" s="9"/>
      <c r="W602" s="9"/>
      <c r="X602" s="9"/>
      <c r="Y602" s="9"/>
      <c r="Z602" s="9"/>
      <c r="AA602" s="9"/>
      <c r="AB602" s="9"/>
      <c r="AC602" s="9"/>
      <c r="AD602" s="9" t="s">
        <v>20</v>
      </c>
    </row>
    <row r="603" spans="1:30" ht="29">
      <c r="A603" s="3" t="s">
        <v>1856</v>
      </c>
      <c r="B603" s="3" t="s">
        <v>6752</v>
      </c>
      <c r="C603" s="3" t="s">
        <v>6753</v>
      </c>
      <c r="G603" s="9" t="s">
        <v>24</v>
      </c>
      <c r="H603" s="9"/>
      <c r="I603" s="9">
        <v>1</v>
      </c>
      <c r="J603" s="9">
        <v>2</v>
      </c>
      <c r="K603" s="9" t="s">
        <v>12123</v>
      </c>
      <c r="L603" s="9" t="s">
        <v>12119</v>
      </c>
      <c r="M603" s="9"/>
      <c r="N603" s="10"/>
      <c r="O603" s="9"/>
      <c r="P603" s="9">
        <v>134</v>
      </c>
      <c r="Q603" s="9"/>
      <c r="R603" s="9" t="s">
        <v>12795</v>
      </c>
      <c r="S603" s="9" t="s">
        <v>12795</v>
      </c>
      <c r="T603" s="9"/>
      <c r="U603" s="9"/>
      <c r="V603" s="9"/>
      <c r="W603" s="9"/>
      <c r="X603" s="9"/>
      <c r="Y603" s="9"/>
      <c r="Z603" s="9"/>
      <c r="AA603" s="9"/>
      <c r="AB603" s="9"/>
      <c r="AC603" s="9"/>
      <c r="AD603" s="9" t="s">
        <v>19</v>
      </c>
    </row>
    <row r="604" spans="1:30" ht="29">
      <c r="A604" s="3" t="s">
        <v>1857</v>
      </c>
      <c r="B604" s="3" t="s">
        <v>6759</v>
      </c>
      <c r="C604" s="3" t="s">
        <v>6760</v>
      </c>
      <c r="G604" s="9" t="s">
        <v>25</v>
      </c>
      <c r="H604" s="9"/>
      <c r="I604" s="9">
        <v>1</v>
      </c>
      <c r="J604" s="9">
        <v>3</v>
      </c>
      <c r="K604" s="9" t="s">
        <v>12087</v>
      </c>
      <c r="L604" s="9" t="s">
        <v>12079</v>
      </c>
      <c r="M604" s="9"/>
      <c r="N604" s="10"/>
      <c r="O604" s="9"/>
      <c r="P604" s="9">
        <v>5676</v>
      </c>
      <c r="Q604" s="9"/>
      <c r="R604" s="9" t="s">
        <v>12795</v>
      </c>
      <c r="S604" s="9" t="s">
        <v>12795</v>
      </c>
      <c r="T604" s="9"/>
      <c r="U604" s="9"/>
      <c r="V604" s="9"/>
      <c r="W604" s="9"/>
      <c r="X604" s="9"/>
      <c r="Y604" s="9"/>
      <c r="Z604" s="9"/>
      <c r="AA604" s="9"/>
      <c r="AB604" s="9"/>
      <c r="AC604" s="9"/>
      <c r="AD604" s="9" t="s">
        <v>13141</v>
      </c>
    </row>
    <row r="605" spans="1:30" ht="29">
      <c r="A605" s="3" t="s">
        <v>1858</v>
      </c>
      <c r="B605" s="3" t="s">
        <v>6762</v>
      </c>
      <c r="C605" s="3" t="s">
        <v>6761</v>
      </c>
      <c r="G605" s="9" t="s">
        <v>24</v>
      </c>
      <c r="H605" s="9"/>
      <c r="I605" s="9">
        <v>1</v>
      </c>
      <c r="J605" s="9">
        <v>3</v>
      </c>
      <c r="K605" s="9" t="s">
        <v>12078</v>
      </c>
      <c r="L605" s="9" t="s">
        <v>12079</v>
      </c>
      <c r="M605" s="9"/>
      <c r="N605" s="10"/>
      <c r="O605" s="9"/>
      <c r="P605" s="9">
        <v>11843</v>
      </c>
      <c r="Q605" s="9"/>
      <c r="R605" s="9" t="s">
        <v>12795</v>
      </c>
      <c r="S605" s="9" t="s">
        <v>12795</v>
      </c>
      <c r="T605" s="9"/>
      <c r="U605" s="9"/>
      <c r="V605" s="9"/>
      <c r="W605" s="9"/>
      <c r="X605" s="9"/>
      <c r="Y605" s="9"/>
      <c r="Z605" s="9"/>
      <c r="AA605" s="9"/>
      <c r="AB605" s="9"/>
      <c r="AC605" s="9"/>
      <c r="AD605" s="9" t="s">
        <v>19</v>
      </c>
    </row>
    <row r="606" spans="1:30" ht="29">
      <c r="A606" s="3" t="s">
        <v>1858</v>
      </c>
      <c r="B606" s="3" t="s">
        <v>6764</v>
      </c>
      <c r="C606" s="3" t="s">
        <v>6763</v>
      </c>
      <c r="G606" s="9" t="s">
        <v>24</v>
      </c>
      <c r="H606" s="9"/>
      <c r="I606" s="9">
        <v>1</v>
      </c>
      <c r="J606" s="9">
        <v>3</v>
      </c>
      <c r="K606" s="9" t="s">
        <v>12087</v>
      </c>
      <c r="L606" s="9" t="s">
        <v>12079</v>
      </c>
      <c r="M606" s="9"/>
      <c r="N606" s="10"/>
      <c r="O606" s="9"/>
      <c r="P606" s="9">
        <v>5676</v>
      </c>
      <c r="Q606" s="9"/>
      <c r="R606" s="9" t="s">
        <v>12795</v>
      </c>
      <c r="S606" s="9" t="s">
        <v>12795</v>
      </c>
      <c r="T606" s="9"/>
      <c r="U606" s="9"/>
      <c r="V606" s="9"/>
      <c r="W606" s="9"/>
      <c r="X606" s="9"/>
      <c r="Y606" s="9"/>
      <c r="Z606" s="9"/>
      <c r="AA606" s="9"/>
      <c r="AB606" s="9"/>
      <c r="AC606" s="9"/>
      <c r="AD606" s="9" t="s">
        <v>19</v>
      </c>
    </row>
    <row r="607" spans="1:30" ht="29">
      <c r="A607" s="3" t="s">
        <v>1865</v>
      </c>
      <c r="B607" s="3" t="s">
        <v>6773</v>
      </c>
      <c r="C607" s="3" t="s">
        <v>12303</v>
      </c>
      <c r="G607" s="9" t="s">
        <v>12120</v>
      </c>
      <c r="H607" s="9"/>
      <c r="I607" s="9"/>
      <c r="J607" s="9"/>
      <c r="K607" s="9"/>
      <c r="L607" s="9"/>
      <c r="M607" s="9"/>
      <c r="N607" s="10"/>
      <c r="O607" s="9"/>
      <c r="P607" s="9"/>
      <c r="Q607" s="9"/>
      <c r="R607" s="9" t="s">
        <v>12795</v>
      </c>
      <c r="S607" s="9" t="s">
        <v>12795</v>
      </c>
      <c r="T607" s="9"/>
      <c r="U607" s="9"/>
      <c r="V607" s="9"/>
      <c r="W607" s="9"/>
      <c r="X607" s="9"/>
      <c r="Y607" s="9"/>
      <c r="Z607" s="9"/>
      <c r="AA607" s="9"/>
      <c r="AB607" s="9"/>
      <c r="AC607" s="9"/>
      <c r="AD607" s="9" t="s">
        <v>19</v>
      </c>
    </row>
    <row r="608" spans="1:30" ht="29">
      <c r="A608" s="3" t="s">
        <v>1872</v>
      </c>
      <c r="B608" s="3" t="s">
        <v>6785</v>
      </c>
      <c r="C608" s="11" t="s">
        <v>6786</v>
      </c>
      <c r="G608" s="9" t="s">
        <v>12118</v>
      </c>
      <c r="H608" s="9"/>
      <c r="I608" s="9"/>
      <c r="J608" s="9"/>
      <c r="K608" s="9"/>
      <c r="L608" s="9"/>
      <c r="M608" s="9"/>
      <c r="N608" s="10"/>
      <c r="O608" s="9"/>
      <c r="P608" s="9"/>
      <c r="Q608" s="9">
        <v>-3310</v>
      </c>
      <c r="R608" s="9">
        <v>4240</v>
      </c>
      <c r="S608" s="9">
        <v>930</v>
      </c>
      <c r="T608" s="9"/>
      <c r="U608" s="9"/>
      <c r="V608" s="9"/>
      <c r="W608" s="9"/>
      <c r="X608" s="9"/>
      <c r="Y608" s="9"/>
      <c r="Z608" s="9"/>
      <c r="AA608" s="9"/>
      <c r="AB608" s="9"/>
      <c r="AC608" s="9"/>
      <c r="AD608" s="9" t="s">
        <v>19</v>
      </c>
    </row>
    <row r="609" spans="1:30" ht="29">
      <c r="A609" s="3" t="s">
        <v>1880</v>
      </c>
      <c r="B609" s="11" t="s">
        <v>6789</v>
      </c>
      <c r="C609" s="11" t="s">
        <v>6788</v>
      </c>
      <c r="G609" s="9" t="s">
        <v>24</v>
      </c>
      <c r="H609" s="9"/>
      <c r="I609" s="9">
        <v>1</v>
      </c>
      <c r="J609" s="9">
        <v>2</v>
      </c>
      <c r="K609" s="9" t="s">
        <v>12087</v>
      </c>
      <c r="L609" s="9" t="s">
        <v>12119</v>
      </c>
      <c r="M609" s="9"/>
      <c r="N609" s="10"/>
      <c r="O609" s="9"/>
      <c r="P609" s="9">
        <v>1966</v>
      </c>
      <c r="Q609" s="9"/>
      <c r="R609" s="9" t="s">
        <v>12795</v>
      </c>
      <c r="S609" s="9" t="s">
        <v>12795</v>
      </c>
      <c r="T609" s="9"/>
      <c r="U609" s="9"/>
      <c r="V609" s="9"/>
      <c r="W609" s="9"/>
      <c r="X609" s="9"/>
      <c r="Y609" s="9"/>
      <c r="Z609" s="9"/>
      <c r="AA609" s="9"/>
      <c r="AB609" s="9"/>
      <c r="AC609" s="9"/>
      <c r="AD609" s="9" t="s">
        <v>19</v>
      </c>
    </row>
    <row r="610" spans="1:30" ht="29">
      <c r="A610" s="3" t="s">
        <v>1881</v>
      </c>
      <c r="B610" s="3" t="s">
        <v>6790</v>
      </c>
      <c r="C610" s="11" t="s">
        <v>6791</v>
      </c>
      <c r="G610" s="9" t="s">
        <v>12118</v>
      </c>
      <c r="H610" s="9"/>
      <c r="I610" s="9"/>
      <c r="J610" s="9"/>
      <c r="K610" s="9"/>
      <c r="L610" s="9"/>
      <c r="M610" s="9"/>
      <c r="N610" s="10"/>
      <c r="O610" s="9"/>
      <c r="P610" s="9"/>
      <c r="Q610" s="9">
        <v>4</v>
      </c>
      <c r="R610" s="9">
        <v>134</v>
      </c>
      <c r="S610" s="9">
        <v>138</v>
      </c>
      <c r="T610" s="9"/>
      <c r="U610" s="9"/>
      <c r="V610" s="9"/>
      <c r="W610" s="9"/>
      <c r="X610" s="9"/>
      <c r="Y610" s="9"/>
      <c r="Z610" s="9"/>
      <c r="AA610" s="9"/>
      <c r="AB610" s="9"/>
      <c r="AC610" s="9"/>
      <c r="AD610" s="9" t="s">
        <v>19</v>
      </c>
    </row>
    <row r="611" spans="1:30" ht="29">
      <c r="A611" s="3" t="s">
        <v>1881</v>
      </c>
      <c r="B611" s="3" t="s">
        <v>6794</v>
      </c>
      <c r="C611" s="3" t="s">
        <v>6795</v>
      </c>
      <c r="G611" s="9" t="s">
        <v>12120</v>
      </c>
      <c r="H611" s="9"/>
      <c r="I611" s="9"/>
      <c r="J611" s="9"/>
      <c r="K611" s="9"/>
      <c r="L611" s="9"/>
      <c r="M611" s="9"/>
      <c r="N611" s="10"/>
      <c r="O611" s="9"/>
      <c r="P611" s="9"/>
      <c r="Q611" s="9"/>
      <c r="R611" s="9" t="s">
        <v>12795</v>
      </c>
      <c r="S611" s="9" t="s">
        <v>12795</v>
      </c>
      <c r="T611" s="9"/>
      <c r="U611" s="9"/>
      <c r="V611" s="9"/>
      <c r="W611" s="9"/>
      <c r="X611" s="9"/>
      <c r="Y611" s="9"/>
      <c r="Z611" s="9"/>
      <c r="AA611" s="9"/>
      <c r="AB611" s="9"/>
      <c r="AC611" s="9"/>
      <c r="AD611" s="9" t="s">
        <v>19</v>
      </c>
    </row>
    <row r="612" spans="1:30" ht="29">
      <c r="A612" s="3" t="s">
        <v>1885</v>
      </c>
      <c r="B612" s="3" t="s">
        <v>6802</v>
      </c>
      <c r="C612" s="3" t="s">
        <v>6803</v>
      </c>
      <c r="G612" s="9" t="s">
        <v>12120</v>
      </c>
      <c r="H612" s="9"/>
      <c r="I612" s="9"/>
      <c r="J612" s="9"/>
      <c r="K612" s="9"/>
      <c r="L612" s="9"/>
      <c r="M612" s="9"/>
      <c r="N612" s="10"/>
      <c r="O612" s="9"/>
      <c r="P612" s="9"/>
      <c r="Q612" s="9"/>
      <c r="R612" s="9" t="s">
        <v>12795</v>
      </c>
      <c r="S612" s="9" t="s">
        <v>12795</v>
      </c>
      <c r="T612" s="9"/>
      <c r="U612" s="9"/>
      <c r="V612" s="9"/>
      <c r="W612" s="9"/>
      <c r="X612" s="9"/>
      <c r="Y612" s="9"/>
      <c r="Z612" s="9"/>
      <c r="AA612" s="9"/>
      <c r="AB612" s="9"/>
      <c r="AC612" s="9"/>
      <c r="AD612" s="9" t="s">
        <v>20</v>
      </c>
    </row>
    <row r="613" spans="1:30" ht="29">
      <c r="A613" s="3" t="s">
        <v>1886</v>
      </c>
      <c r="B613" s="3" t="s">
        <v>6805</v>
      </c>
      <c r="C613" s="3" t="s">
        <v>6804</v>
      </c>
      <c r="G613" s="9" t="s">
        <v>12118</v>
      </c>
      <c r="H613" s="9"/>
      <c r="I613" s="9"/>
      <c r="J613" s="9"/>
      <c r="K613" s="9"/>
      <c r="L613" s="9"/>
      <c r="M613" s="9"/>
      <c r="N613" s="10"/>
      <c r="O613" s="9"/>
      <c r="P613" s="9"/>
      <c r="Q613" s="9">
        <v>-118</v>
      </c>
      <c r="R613" s="9">
        <v>124</v>
      </c>
      <c r="S613" s="9">
        <v>6</v>
      </c>
      <c r="T613" s="9"/>
      <c r="U613" s="9"/>
      <c r="V613" s="9"/>
      <c r="W613" s="9"/>
      <c r="X613" s="9"/>
      <c r="Y613" s="9"/>
      <c r="Z613" s="9"/>
      <c r="AA613" s="9"/>
      <c r="AB613" s="9"/>
      <c r="AC613" s="9"/>
      <c r="AD613" s="9" t="s">
        <v>19</v>
      </c>
    </row>
    <row r="614" spans="1:30" ht="29">
      <c r="A614" s="3" t="s">
        <v>1888</v>
      </c>
      <c r="B614" s="3" t="s">
        <v>6808</v>
      </c>
      <c r="C614" s="3" t="s">
        <v>6809</v>
      </c>
      <c r="G614" s="9" t="s">
        <v>24</v>
      </c>
      <c r="H614" s="9"/>
      <c r="I614" s="9">
        <v>1</v>
      </c>
      <c r="J614" s="9">
        <v>3</v>
      </c>
      <c r="K614" s="9" t="s">
        <v>12087</v>
      </c>
      <c r="L614" s="9" t="s">
        <v>12079</v>
      </c>
      <c r="M614" s="9"/>
      <c r="N614" s="10"/>
      <c r="O614" s="9"/>
      <c r="P614" s="9">
        <v>5676</v>
      </c>
      <c r="Q614" s="9"/>
      <c r="R614" s="9" t="s">
        <v>12795</v>
      </c>
      <c r="S614" s="9" t="s">
        <v>12795</v>
      </c>
      <c r="T614" s="9"/>
      <c r="U614" s="9"/>
      <c r="V614" s="9"/>
      <c r="W614" s="9"/>
      <c r="X614" s="9"/>
      <c r="Y614" s="9"/>
      <c r="Z614" s="9"/>
      <c r="AA614" s="9"/>
      <c r="AB614" s="9"/>
      <c r="AC614" s="9"/>
      <c r="AD614" s="9" t="s">
        <v>20</v>
      </c>
    </row>
    <row r="615" spans="1:30" ht="29">
      <c r="A615" s="3" t="s">
        <v>1892</v>
      </c>
      <c r="B615" s="3" t="s">
        <v>6813</v>
      </c>
      <c r="C615" s="3" t="s">
        <v>6814</v>
      </c>
      <c r="G615" s="9" t="s">
        <v>26</v>
      </c>
      <c r="H615" s="9"/>
      <c r="I615" s="9"/>
      <c r="J615" s="9"/>
      <c r="K615" s="9"/>
      <c r="L615" s="9"/>
      <c r="M615" s="9"/>
      <c r="N615" s="10"/>
      <c r="O615" s="9"/>
      <c r="P615" s="9"/>
      <c r="Q615" s="9"/>
      <c r="R615" s="9" t="s">
        <v>12795</v>
      </c>
      <c r="S615" s="9" t="s">
        <v>12795</v>
      </c>
      <c r="T615" s="9"/>
      <c r="U615" s="9"/>
      <c r="V615" s="9"/>
      <c r="W615" s="9"/>
      <c r="X615" s="9"/>
      <c r="Y615" s="9"/>
      <c r="Z615" s="9"/>
      <c r="AA615" s="9"/>
      <c r="AB615" s="9"/>
      <c r="AC615" s="9"/>
      <c r="AD615" s="9" t="s">
        <v>19</v>
      </c>
    </row>
    <row r="616" spans="1:30" ht="29">
      <c r="A616" s="3" t="s">
        <v>1895</v>
      </c>
      <c r="B616" s="3" t="s">
        <v>6817</v>
      </c>
      <c r="C616" s="3" t="s">
        <v>12306</v>
      </c>
      <c r="G616" s="9" t="s">
        <v>26</v>
      </c>
      <c r="H616" s="9"/>
      <c r="I616" s="9"/>
      <c r="J616" s="9"/>
      <c r="K616" s="9"/>
      <c r="L616" s="9"/>
      <c r="M616" s="9"/>
      <c r="N616" s="10"/>
      <c r="O616" s="9"/>
      <c r="P616" s="9"/>
      <c r="Q616" s="9"/>
      <c r="R616" s="9" t="s">
        <v>12795</v>
      </c>
      <c r="S616" s="9" t="s">
        <v>12795</v>
      </c>
      <c r="T616" s="9"/>
      <c r="U616" s="9"/>
      <c r="V616" s="9"/>
      <c r="W616" s="9"/>
      <c r="X616" s="9"/>
      <c r="Y616" s="9"/>
      <c r="Z616" s="9"/>
      <c r="AA616" s="9"/>
      <c r="AB616" s="9"/>
      <c r="AC616" s="9"/>
      <c r="AD616" s="9" t="s">
        <v>19</v>
      </c>
    </row>
    <row r="617" spans="1:30" ht="29">
      <c r="A617" s="3" t="s">
        <v>1895</v>
      </c>
      <c r="B617" s="3" t="s">
        <v>6816</v>
      </c>
      <c r="C617" s="3" t="s">
        <v>6818</v>
      </c>
      <c r="G617" s="9" t="s">
        <v>24</v>
      </c>
      <c r="H617" s="9"/>
      <c r="I617" s="9">
        <v>1</v>
      </c>
      <c r="J617" s="9">
        <v>3</v>
      </c>
      <c r="K617" s="9" t="s">
        <v>12078</v>
      </c>
      <c r="L617" s="9" t="s">
        <v>12079</v>
      </c>
      <c r="M617" s="9"/>
      <c r="N617" s="10"/>
      <c r="O617" s="9"/>
      <c r="P617" s="9">
        <v>11843</v>
      </c>
      <c r="Q617" s="9"/>
      <c r="R617" s="9" t="s">
        <v>12795</v>
      </c>
      <c r="S617" s="9" t="s">
        <v>12795</v>
      </c>
      <c r="T617" s="9"/>
      <c r="U617" s="9"/>
      <c r="V617" s="9"/>
      <c r="W617" s="9"/>
      <c r="X617" s="9"/>
      <c r="Y617" s="9"/>
      <c r="Z617" s="9"/>
      <c r="AA617" s="9"/>
      <c r="AB617" s="9"/>
      <c r="AC617" s="9"/>
      <c r="AD617" s="9" t="s">
        <v>20</v>
      </c>
    </row>
    <row r="618" spans="1:30" ht="29">
      <c r="A618" s="3" t="s">
        <v>1896</v>
      </c>
      <c r="B618" s="3" t="s">
        <v>1897</v>
      </c>
      <c r="C618" s="3" t="s">
        <v>1898</v>
      </c>
      <c r="G618" s="9" t="s">
        <v>12120</v>
      </c>
      <c r="H618" s="9"/>
      <c r="I618" s="9"/>
      <c r="J618" s="9"/>
      <c r="K618" s="9"/>
      <c r="L618" s="9"/>
      <c r="M618" s="9"/>
      <c r="N618" s="10"/>
      <c r="O618" s="9"/>
      <c r="P618" s="9"/>
      <c r="Q618" s="9"/>
      <c r="R618" s="9" t="s">
        <v>12795</v>
      </c>
      <c r="S618" s="9" t="s">
        <v>12795</v>
      </c>
      <c r="T618" s="9"/>
      <c r="U618" s="9"/>
      <c r="V618" s="9"/>
      <c r="W618" s="9"/>
      <c r="X618" s="9"/>
      <c r="Y618" s="9"/>
      <c r="Z618" s="9"/>
      <c r="AA618" s="9"/>
      <c r="AB618" s="9"/>
      <c r="AC618" s="9"/>
      <c r="AD618" s="9" t="s">
        <v>19</v>
      </c>
    </row>
    <row r="619" spans="1:30" ht="29">
      <c r="A619" s="3" t="s">
        <v>1901</v>
      </c>
      <c r="B619" s="3" t="s">
        <v>6828</v>
      </c>
      <c r="C619" s="3" t="s">
        <v>6829</v>
      </c>
      <c r="G619" s="9" t="s">
        <v>12120</v>
      </c>
      <c r="H619" s="9"/>
      <c r="I619" s="9"/>
      <c r="J619" s="9"/>
      <c r="K619" s="9"/>
      <c r="L619" s="9"/>
      <c r="M619" s="9"/>
      <c r="N619" s="10"/>
      <c r="O619" s="9"/>
      <c r="P619" s="9"/>
      <c r="Q619" s="9"/>
      <c r="R619" s="9" t="s">
        <v>12795</v>
      </c>
      <c r="S619" s="9" t="s">
        <v>12795</v>
      </c>
      <c r="T619" s="9"/>
      <c r="U619" s="9"/>
      <c r="V619" s="9"/>
      <c r="W619" s="9"/>
      <c r="X619" s="9"/>
      <c r="Y619" s="9"/>
      <c r="Z619" s="9"/>
      <c r="AA619" s="9"/>
      <c r="AB619" s="9"/>
      <c r="AC619" s="9"/>
      <c r="AD619" s="9" t="s">
        <v>20</v>
      </c>
    </row>
    <row r="620" spans="1:30" ht="29">
      <c r="A620" s="3" t="s">
        <v>1902</v>
      </c>
      <c r="B620" s="11" t="s">
        <v>6831</v>
      </c>
      <c r="C620" s="11" t="s">
        <v>6830</v>
      </c>
      <c r="G620" s="9" t="s">
        <v>25</v>
      </c>
      <c r="H620" s="9"/>
      <c r="I620" s="9">
        <v>1</v>
      </c>
      <c r="J620" s="9">
        <v>2</v>
      </c>
      <c r="K620" s="9" t="s">
        <v>12087</v>
      </c>
      <c r="L620" s="9" t="s">
        <v>12119</v>
      </c>
      <c r="M620" s="9"/>
      <c r="N620" s="10"/>
      <c r="O620" s="9"/>
      <c r="P620" s="9">
        <v>1966</v>
      </c>
      <c r="Q620" s="9"/>
      <c r="R620" s="9" t="s">
        <v>12795</v>
      </c>
      <c r="S620" s="9" t="s">
        <v>12795</v>
      </c>
      <c r="T620" s="9"/>
      <c r="U620" s="9"/>
      <c r="V620" s="9"/>
      <c r="W620" s="9"/>
      <c r="X620" s="9"/>
      <c r="Y620" s="9"/>
      <c r="Z620" s="9"/>
      <c r="AA620" s="9"/>
      <c r="AB620" s="9"/>
      <c r="AC620" s="9"/>
      <c r="AD620" s="9" t="s">
        <v>19</v>
      </c>
    </row>
    <row r="621" spans="1:30" ht="29">
      <c r="A621" s="3" t="s">
        <v>1903</v>
      </c>
      <c r="B621" s="3" t="s">
        <v>6832</v>
      </c>
      <c r="C621" s="3" t="s">
        <v>6833</v>
      </c>
      <c r="G621" s="9" t="s">
        <v>24</v>
      </c>
      <c r="H621" s="9"/>
      <c r="I621" s="9">
        <v>1</v>
      </c>
      <c r="J621" s="9">
        <v>6</v>
      </c>
      <c r="K621" s="9" t="s">
        <v>12094</v>
      </c>
      <c r="L621" s="9" t="s">
        <v>12079</v>
      </c>
      <c r="M621" s="9"/>
      <c r="N621" s="10"/>
      <c r="O621" s="9"/>
      <c r="P621" s="9">
        <v>4240</v>
      </c>
      <c r="Q621" s="9"/>
      <c r="R621" s="9" t="s">
        <v>12795</v>
      </c>
      <c r="S621" s="9" t="s">
        <v>12795</v>
      </c>
      <c r="T621" s="9"/>
      <c r="U621" s="9"/>
      <c r="V621" s="9"/>
      <c r="W621" s="9"/>
      <c r="X621" s="9"/>
      <c r="Y621" s="9"/>
      <c r="Z621" s="9"/>
      <c r="AA621" s="9"/>
      <c r="AB621" s="9"/>
      <c r="AC621" s="9"/>
      <c r="AD621" s="9" t="s">
        <v>19</v>
      </c>
    </row>
    <row r="622" spans="1:30" ht="29">
      <c r="A622" s="3" t="s">
        <v>1906</v>
      </c>
      <c r="B622" s="3" t="s">
        <v>6839</v>
      </c>
      <c r="C622" s="3" t="s">
        <v>6838</v>
      </c>
      <c r="G622" s="9" t="s">
        <v>26</v>
      </c>
      <c r="H622" s="9"/>
      <c r="I622" s="9"/>
      <c r="J622" s="9"/>
      <c r="K622" s="9"/>
      <c r="L622" s="9"/>
      <c r="M622" s="9"/>
      <c r="N622" s="10"/>
      <c r="O622" s="9"/>
      <c r="P622" s="9"/>
      <c r="Q622" s="9"/>
      <c r="R622" s="9" t="s">
        <v>12795</v>
      </c>
      <c r="S622" s="9" t="s">
        <v>12795</v>
      </c>
      <c r="T622" s="9"/>
      <c r="U622" s="9"/>
      <c r="V622" s="9"/>
      <c r="W622" s="9"/>
      <c r="X622" s="9"/>
      <c r="Y622" s="9"/>
      <c r="Z622" s="9"/>
      <c r="AA622" s="9"/>
      <c r="AB622" s="9"/>
      <c r="AC622" s="9"/>
      <c r="AD622" s="9" t="s">
        <v>20</v>
      </c>
    </row>
    <row r="623" spans="1:30" ht="29">
      <c r="A623" s="3" t="s">
        <v>1908</v>
      </c>
      <c r="B623" s="3" t="s">
        <v>6840</v>
      </c>
      <c r="C623" s="3" t="s">
        <v>6841</v>
      </c>
      <c r="G623" s="9" t="s">
        <v>25</v>
      </c>
      <c r="H623" s="9"/>
      <c r="I623" s="9">
        <v>2</v>
      </c>
      <c r="J623" s="9">
        <v>3</v>
      </c>
      <c r="K623" s="9"/>
      <c r="L623" s="9" t="s">
        <v>12079</v>
      </c>
      <c r="M623" s="9"/>
      <c r="N623" s="10"/>
      <c r="O623" s="9"/>
      <c r="P623" s="9">
        <v>1966</v>
      </c>
      <c r="Q623" s="9"/>
      <c r="R623" s="9" t="s">
        <v>12795</v>
      </c>
      <c r="S623" s="9" t="s">
        <v>12795</v>
      </c>
      <c r="T623" s="9"/>
      <c r="U623" s="9"/>
      <c r="V623" s="9"/>
      <c r="W623" s="9"/>
      <c r="X623" s="9"/>
      <c r="Y623" s="9"/>
      <c r="Z623" s="9"/>
      <c r="AA623" s="9"/>
      <c r="AB623" s="9"/>
      <c r="AC623" s="9"/>
      <c r="AD623" s="9" t="s">
        <v>20</v>
      </c>
    </row>
    <row r="624" spans="1:30" ht="29">
      <c r="A624" s="3" t="s">
        <v>1908</v>
      </c>
      <c r="B624" s="3" t="s">
        <v>6842</v>
      </c>
      <c r="C624" s="3" t="s">
        <v>6843</v>
      </c>
      <c r="G624" s="9" t="s">
        <v>25</v>
      </c>
      <c r="H624" s="9"/>
      <c r="I624" s="9">
        <v>1</v>
      </c>
      <c r="J624" s="9">
        <v>1</v>
      </c>
      <c r="K624" s="9" t="s">
        <v>12078</v>
      </c>
      <c r="L624" s="9" t="s">
        <v>12119</v>
      </c>
      <c r="M624" s="9"/>
      <c r="N624" s="10"/>
      <c r="O624" s="9"/>
      <c r="P624" s="9">
        <v>11843</v>
      </c>
      <c r="Q624" s="9"/>
      <c r="R624" s="9" t="s">
        <v>12795</v>
      </c>
      <c r="S624" s="9" t="s">
        <v>12795</v>
      </c>
      <c r="T624" s="9"/>
      <c r="U624" s="9"/>
      <c r="V624" s="9"/>
      <c r="W624" s="9"/>
      <c r="X624" s="9"/>
      <c r="Y624" s="9"/>
      <c r="Z624" s="9"/>
      <c r="AA624" s="9"/>
      <c r="AB624" s="9"/>
      <c r="AC624" s="9"/>
      <c r="AD624" s="9" t="s">
        <v>20</v>
      </c>
    </row>
    <row r="625" spans="1:30" ht="29">
      <c r="A625" s="3" t="s">
        <v>1912</v>
      </c>
      <c r="B625" s="3" t="s">
        <v>6850</v>
      </c>
      <c r="C625" s="3" t="s">
        <v>6849</v>
      </c>
      <c r="G625" s="9" t="s">
        <v>12118</v>
      </c>
      <c r="H625" s="9"/>
      <c r="I625" s="9"/>
      <c r="J625" s="9"/>
      <c r="K625" s="9"/>
      <c r="L625" s="9"/>
      <c r="M625" s="9"/>
      <c r="N625" s="10"/>
      <c r="O625" s="9"/>
      <c r="P625" s="9"/>
      <c r="Q625" s="9">
        <v>16</v>
      </c>
      <c r="R625" s="9">
        <v>6</v>
      </c>
      <c r="S625" s="9">
        <v>22</v>
      </c>
      <c r="T625" s="9"/>
      <c r="U625" s="9"/>
      <c r="V625" s="9"/>
      <c r="W625" s="9"/>
      <c r="X625" s="9"/>
      <c r="Y625" s="9"/>
      <c r="Z625" s="9"/>
      <c r="AA625" s="9"/>
      <c r="AB625" s="9"/>
      <c r="AC625" s="9"/>
      <c r="AD625" s="9" t="s">
        <v>20</v>
      </c>
    </row>
    <row r="626" spans="1:30" ht="29">
      <c r="A626" s="3" t="s">
        <v>1915</v>
      </c>
      <c r="B626" s="3" t="s">
        <v>6854</v>
      </c>
      <c r="C626" s="3" t="s">
        <v>6855</v>
      </c>
      <c r="G626" s="9" t="s">
        <v>12118</v>
      </c>
      <c r="H626" s="9"/>
      <c r="I626" s="9"/>
      <c r="J626" s="9"/>
      <c r="K626" s="9"/>
      <c r="L626" s="9"/>
      <c r="M626" s="9"/>
      <c r="N626" s="10"/>
      <c r="O626" s="9"/>
      <c r="P626" s="9"/>
      <c r="Q626" s="9">
        <v>3</v>
      </c>
      <c r="R626" s="9">
        <v>1</v>
      </c>
      <c r="S626" s="9">
        <v>4</v>
      </c>
      <c r="T626" s="9"/>
      <c r="U626" s="9"/>
      <c r="V626" s="9"/>
      <c r="W626" s="9"/>
      <c r="X626" s="9"/>
      <c r="Y626" s="9"/>
      <c r="Z626" s="9"/>
      <c r="AA626" s="9"/>
      <c r="AB626" s="9"/>
      <c r="AC626" s="9"/>
      <c r="AD626" s="9" t="s">
        <v>20</v>
      </c>
    </row>
    <row r="627" spans="1:30" ht="29">
      <c r="A627" s="3" t="s">
        <v>1915</v>
      </c>
      <c r="B627" s="3" t="s">
        <v>6860</v>
      </c>
      <c r="C627" s="3" t="s">
        <v>6859</v>
      </c>
      <c r="G627" s="9" t="s">
        <v>25</v>
      </c>
      <c r="H627" s="9"/>
      <c r="I627" s="9">
        <v>1</v>
      </c>
      <c r="J627" s="9">
        <v>2</v>
      </c>
      <c r="K627" s="9" t="s">
        <v>12094</v>
      </c>
      <c r="L627" s="9" t="s">
        <v>12119</v>
      </c>
      <c r="M627" s="9"/>
      <c r="N627" s="10"/>
      <c r="O627" s="9"/>
      <c r="P627" s="9">
        <v>1741</v>
      </c>
      <c r="Q627" s="9"/>
      <c r="R627" s="9" t="s">
        <v>12795</v>
      </c>
      <c r="S627" s="9" t="s">
        <v>12795</v>
      </c>
      <c r="T627" s="9"/>
      <c r="U627" s="9"/>
      <c r="V627" s="9"/>
      <c r="W627" s="9"/>
      <c r="X627" s="9"/>
      <c r="Y627" s="9"/>
      <c r="Z627" s="9"/>
      <c r="AA627" s="9"/>
      <c r="AB627" s="9"/>
      <c r="AC627" s="9"/>
      <c r="AD627" s="9" t="s">
        <v>20</v>
      </c>
    </row>
    <row r="628" spans="1:30" ht="29">
      <c r="A628" s="3" t="s">
        <v>1915</v>
      </c>
      <c r="B628" s="3" t="s">
        <v>6862</v>
      </c>
      <c r="C628" s="3" t="s">
        <v>6861</v>
      </c>
      <c r="G628" s="9" t="s">
        <v>24</v>
      </c>
      <c r="H628" s="9"/>
      <c r="I628" s="9">
        <v>1</v>
      </c>
      <c r="J628" s="9">
        <v>3</v>
      </c>
      <c r="K628" s="9" t="s">
        <v>12087</v>
      </c>
      <c r="L628" s="9" t="s">
        <v>12079</v>
      </c>
      <c r="M628" s="9"/>
      <c r="N628" s="10"/>
      <c r="O628" s="9"/>
      <c r="P628" s="9">
        <v>5676</v>
      </c>
      <c r="Q628" s="9"/>
      <c r="R628" s="9" t="s">
        <v>12795</v>
      </c>
      <c r="S628" s="9" t="s">
        <v>12795</v>
      </c>
      <c r="T628" s="9"/>
      <c r="U628" s="9"/>
      <c r="V628" s="9"/>
      <c r="W628" s="9"/>
      <c r="X628" s="9"/>
      <c r="Y628" s="9"/>
      <c r="Z628" s="9"/>
      <c r="AA628" s="9"/>
      <c r="AB628" s="9"/>
      <c r="AC628" s="9"/>
      <c r="AD628" s="9" t="s">
        <v>19</v>
      </c>
    </row>
    <row r="629" spans="1:30" ht="29">
      <c r="A629" s="3" t="s">
        <v>1921</v>
      </c>
      <c r="B629" s="3" t="s">
        <v>1229</v>
      </c>
      <c r="C629" s="3" t="s">
        <v>1230</v>
      </c>
      <c r="G629" s="9" t="s">
        <v>12118</v>
      </c>
      <c r="H629" s="9"/>
      <c r="I629" s="9"/>
      <c r="J629" s="9"/>
      <c r="K629" s="9"/>
      <c r="L629" s="9"/>
      <c r="M629" s="9"/>
      <c r="N629" s="10"/>
      <c r="O629" s="9"/>
      <c r="P629" s="9"/>
      <c r="Q629" s="9">
        <v>-69</v>
      </c>
      <c r="R629" s="9">
        <v>77</v>
      </c>
      <c r="S629" s="9">
        <v>8</v>
      </c>
      <c r="T629" s="9"/>
      <c r="U629" s="9"/>
      <c r="V629" s="9"/>
      <c r="W629" s="9"/>
      <c r="X629" s="9"/>
      <c r="Y629" s="9"/>
      <c r="Z629" s="9"/>
      <c r="AA629" s="9"/>
      <c r="AB629" s="9"/>
      <c r="AC629" s="9"/>
      <c r="AD629" s="9" t="s">
        <v>19</v>
      </c>
    </row>
    <row r="630" spans="1:30" ht="29">
      <c r="A630" s="3" t="s">
        <v>1921</v>
      </c>
      <c r="B630" s="3" t="s">
        <v>6865</v>
      </c>
      <c r="C630" s="3" t="s">
        <v>6868</v>
      </c>
      <c r="G630" s="9" t="s">
        <v>24</v>
      </c>
      <c r="H630" s="9"/>
      <c r="I630" s="9">
        <v>1</v>
      </c>
      <c r="J630" s="9">
        <v>3</v>
      </c>
      <c r="K630" s="9" t="s">
        <v>12087</v>
      </c>
      <c r="L630" s="9" t="s">
        <v>12079</v>
      </c>
      <c r="M630" s="9"/>
      <c r="N630" s="10"/>
      <c r="O630" s="9"/>
      <c r="P630" s="9">
        <v>309</v>
      </c>
      <c r="Q630" s="9"/>
      <c r="R630" s="9" t="s">
        <v>12795</v>
      </c>
      <c r="S630" s="9" t="s">
        <v>12795</v>
      </c>
      <c r="T630" s="9"/>
      <c r="U630" s="9"/>
      <c r="V630" s="9"/>
      <c r="W630" s="9"/>
      <c r="X630" s="9"/>
      <c r="Y630" s="9"/>
      <c r="Z630" s="9"/>
      <c r="AA630" s="9"/>
      <c r="AB630" s="9"/>
      <c r="AC630" s="9"/>
      <c r="AD630" s="9" t="s">
        <v>19</v>
      </c>
    </row>
    <row r="631" spans="1:30" ht="29">
      <c r="A631" s="3" t="s">
        <v>1924</v>
      </c>
      <c r="B631" s="3" t="s">
        <v>6871</v>
      </c>
      <c r="C631" s="11" t="s">
        <v>6872</v>
      </c>
      <c r="G631" s="9" t="s">
        <v>24</v>
      </c>
      <c r="H631" s="9"/>
      <c r="I631" s="9">
        <v>1</v>
      </c>
      <c r="J631" s="9">
        <v>2</v>
      </c>
      <c r="K631" s="9" t="s">
        <v>12078</v>
      </c>
      <c r="L631" s="9" t="s">
        <v>12119</v>
      </c>
      <c r="M631" s="9"/>
      <c r="N631" s="10"/>
      <c r="O631" s="9"/>
      <c r="P631" s="9">
        <v>11843</v>
      </c>
      <c r="Q631" s="9"/>
      <c r="R631" s="9" t="s">
        <v>12795</v>
      </c>
      <c r="S631" s="9" t="s">
        <v>12795</v>
      </c>
      <c r="T631" s="9"/>
      <c r="U631" s="9"/>
      <c r="V631" s="9"/>
      <c r="W631" s="9"/>
      <c r="X631" s="9"/>
      <c r="Y631" s="9"/>
      <c r="Z631" s="9"/>
      <c r="AA631" s="9"/>
      <c r="AB631" s="9"/>
      <c r="AC631" s="9"/>
      <c r="AD631" s="9" t="s">
        <v>19</v>
      </c>
    </row>
    <row r="632" spans="1:30" ht="29">
      <c r="A632" s="3" t="s">
        <v>1925</v>
      </c>
      <c r="B632" s="3" t="s">
        <v>6873</v>
      </c>
      <c r="C632" s="3" t="s">
        <v>6874</v>
      </c>
      <c r="G632" s="9" t="s">
        <v>12118</v>
      </c>
      <c r="H632" s="9"/>
      <c r="I632" s="9"/>
      <c r="J632" s="9"/>
      <c r="K632" s="9"/>
      <c r="L632" s="9"/>
      <c r="M632" s="9"/>
      <c r="N632" s="10"/>
      <c r="O632" s="9"/>
      <c r="P632" s="9"/>
      <c r="Q632" s="9">
        <v>-134</v>
      </c>
      <c r="R632" s="9">
        <v>444</v>
      </c>
      <c r="S632" s="9">
        <v>310</v>
      </c>
      <c r="T632" s="9"/>
      <c r="U632" s="9"/>
      <c r="V632" s="9"/>
      <c r="W632" s="9"/>
      <c r="X632" s="9"/>
      <c r="Y632" s="9"/>
      <c r="Z632" s="9"/>
      <c r="AA632" s="9"/>
      <c r="AB632" s="9"/>
      <c r="AC632" s="9"/>
      <c r="AD632" s="9" t="s">
        <v>20</v>
      </c>
    </row>
    <row r="633" spans="1:30" ht="29">
      <c r="A633" s="3" t="s">
        <v>1926</v>
      </c>
      <c r="B633" s="3" t="s">
        <v>6876</v>
      </c>
      <c r="C633" s="3" t="s">
        <v>6875</v>
      </c>
      <c r="G633" s="9" t="s">
        <v>26</v>
      </c>
      <c r="H633" s="9"/>
      <c r="I633" s="9"/>
      <c r="J633" s="9"/>
      <c r="K633" s="9"/>
      <c r="L633" s="9"/>
      <c r="M633" s="9"/>
      <c r="N633" s="10"/>
      <c r="O633" s="9"/>
      <c r="P633" s="9"/>
      <c r="Q633" s="9"/>
      <c r="R633" s="9" t="s">
        <v>12795</v>
      </c>
      <c r="S633" s="9" t="s">
        <v>12795</v>
      </c>
      <c r="T633" s="9"/>
      <c r="U633" s="9"/>
      <c r="V633" s="9"/>
      <c r="W633" s="9"/>
      <c r="X633" s="9"/>
      <c r="Y633" s="9"/>
      <c r="Z633" s="9"/>
      <c r="AA633" s="9"/>
      <c r="AB633" s="9"/>
      <c r="AC633" s="9"/>
      <c r="AD633" s="9" t="s">
        <v>19</v>
      </c>
    </row>
    <row r="634" spans="1:30" ht="87">
      <c r="A634" s="3" t="s">
        <v>1927</v>
      </c>
      <c r="B634" s="3" t="s">
        <v>12311</v>
      </c>
      <c r="C634" s="3" t="s">
        <v>12312</v>
      </c>
      <c r="G634" s="9" t="s">
        <v>25</v>
      </c>
      <c r="H634" s="9"/>
      <c r="I634" s="9">
        <v>9</v>
      </c>
      <c r="J634" s="9">
        <v>42</v>
      </c>
      <c r="K634" s="9"/>
      <c r="L634" s="9" t="s">
        <v>12073</v>
      </c>
      <c r="M634" s="9" t="s">
        <v>12140</v>
      </c>
      <c r="N634" s="10" t="s">
        <v>12278</v>
      </c>
      <c r="O634" s="9"/>
      <c r="P634" s="9">
        <v>17</v>
      </c>
      <c r="Q634" s="9"/>
      <c r="R634" s="9" t="s">
        <v>12795</v>
      </c>
      <c r="S634" s="9" t="s">
        <v>12795</v>
      </c>
      <c r="T634" s="9"/>
      <c r="U634" s="9"/>
      <c r="V634" s="9"/>
      <c r="W634" s="9"/>
      <c r="X634" s="9"/>
      <c r="Y634" s="9"/>
      <c r="Z634" s="9"/>
      <c r="AA634" s="9"/>
      <c r="AB634" s="9"/>
      <c r="AC634" s="9"/>
      <c r="AD634" s="9" t="s">
        <v>20</v>
      </c>
    </row>
    <row r="635" spans="1:30" ht="43.5">
      <c r="A635" s="3" t="s">
        <v>1928</v>
      </c>
      <c r="B635" s="3" t="s">
        <v>6877</v>
      </c>
      <c r="C635" s="3" t="s">
        <v>6878</v>
      </c>
      <c r="G635" s="9" t="s">
        <v>24</v>
      </c>
      <c r="H635" s="9"/>
      <c r="I635" s="9">
        <v>1</v>
      </c>
      <c r="J635" s="9">
        <v>3</v>
      </c>
      <c r="K635" s="9" t="s">
        <v>12078</v>
      </c>
      <c r="L635" s="9" t="s">
        <v>12079</v>
      </c>
      <c r="M635" s="9"/>
      <c r="N635" s="10"/>
      <c r="O635" s="9"/>
      <c r="P635" s="9">
        <v>11843</v>
      </c>
      <c r="Q635" s="9"/>
      <c r="R635" s="9" t="s">
        <v>12795</v>
      </c>
      <c r="S635" s="9" t="s">
        <v>12795</v>
      </c>
      <c r="T635" s="9"/>
      <c r="U635" s="9"/>
      <c r="V635" s="9"/>
      <c r="W635" s="9"/>
      <c r="X635" s="9"/>
      <c r="Y635" s="9"/>
      <c r="Z635" s="9"/>
      <c r="AA635" s="9"/>
      <c r="AB635" s="9"/>
      <c r="AC635" s="9"/>
      <c r="AD635" s="9" t="s">
        <v>19</v>
      </c>
    </row>
    <row r="636" spans="1:30" ht="29">
      <c r="A636" s="3" t="s">
        <v>1929</v>
      </c>
      <c r="B636" s="3" t="s">
        <v>6286</v>
      </c>
      <c r="C636" s="3" t="s">
        <v>6883</v>
      </c>
      <c r="G636" s="9" t="s">
        <v>12118</v>
      </c>
      <c r="H636" s="9"/>
      <c r="I636" s="9"/>
      <c r="J636" s="9"/>
      <c r="K636" s="9"/>
      <c r="L636" s="9"/>
      <c r="M636" s="9"/>
      <c r="N636" s="10"/>
      <c r="O636" s="9"/>
      <c r="P636" s="9"/>
      <c r="Q636" s="9">
        <v>3710</v>
      </c>
      <c r="R636" s="9">
        <v>1966</v>
      </c>
      <c r="S636" s="9">
        <v>5676</v>
      </c>
      <c r="T636" s="9"/>
      <c r="U636" s="9"/>
      <c r="V636" s="9"/>
      <c r="W636" s="9"/>
      <c r="X636" s="9"/>
      <c r="Y636" s="9"/>
      <c r="Z636" s="9"/>
      <c r="AA636" s="9"/>
      <c r="AB636" s="9"/>
      <c r="AC636" s="9"/>
      <c r="AD636" s="9" t="s">
        <v>19</v>
      </c>
    </row>
    <row r="637" spans="1:30" ht="43.5">
      <c r="A637" s="3" t="s">
        <v>1930</v>
      </c>
      <c r="B637" s="3" t="s">
        <v>6884</v>
      </c>
      <c r="C637" s="3" t="s">
        <v>6885</v>
      </c>
      <c r="G637" s="9" t="s">
        <v>12120</v>
      </c>
      <c r="H637" s="9"/>
      <c r="I637" s="9"/>
      <c r="J637" s="9"/>
      <c r="K637" s="9"/>
      <c r="L637" s="9"/>
      <c r="M637" s="9"/>
      <c r="N637" s="10"/>
      <c r="O637" s="9"/>
      <c r="P637" s="9"/>
      <c r="Q637" s="9"/>
      <c r="R637" s="9" t="s">
        <v>12795</v>
      </c>
      <c r="S637" s="9" t="s">
        <v>12795</v>
      </c>
      <c r="T637" s="9"/>
      <c r="U637" s="9"/>
      <c r="V637" s="9"/>
      <c r="W637" s="9"/>
      <c r="X637" s="9"/>
      <c r="Y637" s="9"/>
      <c r="Z637" s="9"/>
      <c r="AA637" s="9"/>
      <c r="AB637" s="9"/>
      <c r="AC637" s="9"/>
      <c r="AD637" s="9" t="s">
        <v>19</v>
      </c>
    </row>
    <row r="638" spans="1:30" ht="29">
      <c r="A638" s="3" t="s">
        <v>1938</v>
      </c>
      <c r="B638" s="3" t="s">
        <v>6889</v>
      </c>
      <c r="C638" s="3" t="s">
        <v>6888</v>
      </c>
      <c r="E638" t="s">
        <v>20</v>
      </c>
      <c r="G638" s="9" t="s">
        <v>25</v>
      </c>
      <c r="H638" s="9"/>
      <c r="I638" s="9">
        <v>1</v>
      </c>
      <c r="J638" s="9">
        <v>6</v>
      </c>
      <c r="K638" s="9" t="s">
        <v>12125</v>
      </c>
      <c r="L638" s="9" t="s">
        <v>12073</v>
      </c>
      <c r="M638" s="9" t="s">
        <v>12142</v>
      </c>
      <c r="N638" s="10" t="s">
        <v>12160</v>
      </c>
      <c r="O638" s="9"/>
      <c r="P638" s="9">
        <v>2042</v>
      </c>
      <c r="Q638" s="9"/>
      <c r="R638" s="9" t="s">
        <v>12795</v>
      </c>
      <c r="S638" s="9" t="s">
        <v>12795</v>
      </c>
      <c r="T638" s="9" t="s">
        <v>12117</v>
      </c>
      <c r="U638" s="9"/>
      <c r="V638" s="9"/>
      <c r="W638" s="9"/>
      <c r="X638" s="9"/>
      <c r="Y638" s="9"/>
      <c r="Z638" s="9"/>
      <c r="AA638" s="9"/>
      <c r="AB638" s="9"/>
      <c r="AC638" s="9"/>
      <c r="AD638" s="9" t="s">
        <v>19</v>
      </c>
    </row>
    <row r="639" spans="1:30" ht="29">
      <c r="A639" s="3" t="s">
        <v>1942</v>
      </c>
      <c r="B639" s="3" t="s">
        <v>6890</v>
      </c>
      <c r="C639" s="3" t="s">
        <v>6891</v>
      </c>
      <c r="G639" s="9" t="s">
        <v>12120</v>
      </c>
      <c r="H639" s="9"/>
      <c r="I639" s="9"/>
      <c r="J639" s="9"/>
      <c r="K639" s="9"/>
      <c r="L639" s="9"/>
      <c r="M639" s="9"/>
      <c r="N639" s="10"/>
      <c r="O639" s="9"/>
      <c r="P639" s="9"/>
      <c r="Q639" s="9"/>
      <c r="R639" s="9" t="s">
        <v>12795</v>
      </c>
      <c r="S639" s="9" t="s">
        <v>12795</v>
      </c>
      <c r="T639" s="9"/>
      <c r="U639" s="9"/>
      <c r="V639" s="9"/>
      <c r="W639" s="9"/>
      <c r="X639" s="9"/>
      <c r="Y639" s="9"/>
      <c r="Z639" s="9"/>
      <c r="AA639" s="9"/>
      <c r="AB639" s="9"/>
      <c r="AC639" s="9"/>
      <c r="AD639" s="9" t="s">
        <v>19</v>
      </c>
    </row>
    <row r="640" spans="1:30" ht="29">
      <c r="A640" s="3" t="s">
        <v>1943</v>
      </c>
      <c r="B640" s="3" t="s">
        <v>12314</v>
      </c>
      <c r="C640" s="3" t="s">
        <v>6892</v>
      </c>
      <c r="G640" s="9" t="s">
        <v>25</v>
      </c>
      <c r="H640" s="9"/>
      <c r="I640" s="9">
        <v>1</v>
      </c>
      <c r="J640" s="9">
        <v>10</v>
      </c>
      <c r="K640" s="9" t="s">
        <v>12098</v>
      </c>
      <c r="L640" s="9" t="s">
        <v>12079</v>
      </c>
      <c r="M640" s="9"/>
      <c r="N640" s="10"/>
      <c r="O640" s="9"/>
      <c r="P640" s="9">
        <v>229</v>
      </c>
      <c r="Q640" s="9"/>
      <c r="R640" s="9" t="s">
        <v>12795</v>
      </c>
      <c r="S640" s="9" t="s">
        <v>12795</v>
      </c>
      <c r="T640" s="9"/>
      <c r="U640" s="9"/>
      <c r="V640" s="9"/>
      <c r="W640" s="9"/>
      <c r="X640" s="9"/>
      <c r="Y640" s="9"/>
      <c r="Z640" s="9"/>
      <c r="AA640" s="9"/>
      <c r="AB640" s="9"/>
      <c r="AC640" s="9"/>
      <c r="AD640" s="9" t="s">
        <v>19</v>
      </c>
    </row>
    <row r="641" spans="1:30" ht="29">
      <c r="A641" s="3" t="s">
        <v>1943</v>
      </c>
      <c r="B641" s="3" t="s">
        <v>12315</v>
      </c>
      <c r="C641" s="3" t="s">
        <v>12316</v>
      </c>
      <c r="G641" s="9" t="s">
        <v>12120</v>
      </c>
      <c r="H641" s="9"/>
      <c r="I641" s="9"/>
      <c r="J641" s="9"/>
      <c r="K641" s="9"/>
      <c r="L641" s="9"/>
      <c r="M641" s="9"/>
      <c r="N641" s="10"/>
      <c r="O641" s="9"/>
      <c r="P641" s="9"/>
      <c r="Q641" s="9"/>
      <c r="R641" s="9" t="s">
        <v>12795</v>
      </c>
      <c r="S641" s="9" t="s">
        <v>12795</v>
      </c>
      <c r="T641" s="9"/>
      <c r="U641" s="9"/>
      <c r="V641" s="9"/>
      <c r="W641" s="9"/>
      <c r="X641" s="9"/>
      <c r="Y641" s="9"/>
      <c r="Z641" s="9"/>
      <c r="AA641" s="9"/>
      <c r="AB641" s="9"/>
      <c r="AC641" s="9"/>
      <c r="AD641" s="9" t="s">
        <v>19</v>
      </c>
    </row>
    <row r="642" spans="1:30" ht="29">
      <c r="A642" s="3" t="s">
        <v>1943</v>
      </c>
      <c r="B642" s="3" t="s">
        <v>12317</v>
      </c>
      <c r="C642" s="3" t="s">
        <v>6892</v>
      </c>
      <c r="G642" s="9" t="s">
        <v>25</v>
      </c>
      <c r="H642" s="9"/>
      <c r="I642" s="9">
        <v>1</v>
      </c>
      <c r="J642" s="9">
        <v>4</v>
      </c>
      <c r="K642" s="9" t="s">
        <v>12094</v>
      </c>
      <c r="L642" s="9" t="s">
        <v>12079</v>
      </c>
      <c r="M642" s="9"/>
      <c r="N642" s="10"/>
      <c r="O642" s="9"/>
      <c r="P642" s="9">
        <v>4240</v>
      </c>
      <c r="Q642" s="9"/>
      <c r="R642" s="9" t="s">
        <v>12795</v>
      </c>
      <c r="S642" s="9" t="s">
        <v>12795</v>
      </c>
      <c r="T642" s="9"/>
      <c r="U642" s="9"/>
      <c r="V642" s="9"/>
      <c r="W642" s="9"/>
      <c r="X642" s="9"/>
      <c r="Y642" s="9"/>
      <c r="Z642" s="9"/>
      <c r="AA642" s="9"/>
      <c r="AB642" s="9"/>
      <c r="AC642" s="9"/>
      <c r="AD642" s="9" t="s">
        <v>19</v>
      </c>
    </row>
    <row r="643" spans="1:30" ht="29">
      <c r="A643" s="3" t="s">
        <v>1944</v>
      </c>
      <c r="B643" s="3" t="s">
        <v>6898</v>
      </c>
      <c r="C643" s="3" t="s">
        <v>6895</v>
      </c>
      <c r="G643" s="9" t="s">
        <v>25</v>
      </c>
      <c r="H643" s="9"/>
      <c r="I643" s="9">
        <v>1</v>
      </c>
      <c r="J643" s="9">
        <v>3</v>
      </c>
      <c r="K643" s="9" t="s">
        <v>12087</v>
      </c>
      <c r="L643" s="9" t="s">
        <v>12079</v>
      </c>
      <c r="M643" s="9"/>
      <c r="N643" s="10"/>
      <c r="O643" s="9"/>
      <c r="P643" s="9">
        <v>5676</v>
      </c>
      <c r="Q643" s="9"/>
      <c r="R643" s="9" t="s">
        <v>12795</v>
      </c>
      <c r="S643" s="9" t="s">
        <v>12795</v>
      </c>
      <c r="T643" s="9"/>
      <c r="U643" s="9"/>
      <c r="V643" s="9"/>
      <c r="W643" s="9"/>
      <c r="X643" s="9"/>
      <c r="Y643" s="9"/>
      <c r="Z643" s="9"/>
      <c r="AA643" s="9"/>
      <c r="AB643" s="9"/>
      <c r="AC643" s="9"/>
      <c r="AD643" s="9" t="s">
        <v>19</v>
      </c>
    </row>
    <row r="644" spans="1:30" ht="43.5">
      <c r="A644" s="3" t="s">
        <v>1946</v>
      </c>
      <c r="B644" s="3" t="s">
        <v>6901</v>
      </c>
      <c r="C644" s="3" t="s">
        <v>6904</v>
      </c>
      <c r="G644" s="9" t="s">
        <v>24</v>
      </c>
      <c r="H644" s="9"/>
      <c r="I644" s="9">
        <v>3</v>
      </c>
      <c r="J644" s="9">
        <v>20</v>
      </c>
      <c r="K644" s="9"/>
      <c r="L644" s="9" t="s">
        <v>12073</v>
      </c>
      <c r="M644" s="9" t="s">
        <v>12140</v>
      </c>
      <c r="N644" s="10" t="s">
        <v>12193</v>
      </c>
      <c r="O644" s="9"/>
      <c r="P644" s="9">
        <v>2</v>
      </c>
      <c r="Q644" s="9"/>
      <c r="R644" s="9" t="s">
        <v>12795</v>
      </c>
      <c r="S644" s="9" t="s">
        <v>12795</v>
      </c>
      <c r="T644" s="9"/>
      <c r="U644" s="9"/>
      <c r="V644" s="9"/>
      <c r="W644" s="9"/>
      <c r="X644" s="9"/>
      <c r="Y644" s="9"/>
      <c r="Z644" s="9"/>
      <c r="AA644" s="9"/>
      <c r="AB644" s="9"/>
      <c r="AC644" s="9"/>
      <c r="AD644" s="9" t="s">
        <v>19</v>
      </c>
    </row>
    <row r="645" spans="1:30" ht="29">
      <c r="A645" s="3" t="s">
        <v>1951</v>
      </c>
      <c r="B645" s="3" t="s">
        <v>6911</v>
      </c>
      <c r="C645" s="3" t="s">
        <v>6910</v>
      </c>
      <c r="G645" s="9" t="s">
        <v>26</v>
      </c>
      <c r="H645" s="9"/>
      <c r="I645" s="9"/>
      <c r="J645" s="9"/>
      <c r="K645" s="9"/>
      <c r="L645" s="9"/>
      <c r="M645" s="9"/>
      <c r="N645" s="10"/>
      <c r="O645" s="9"/>
      <c r="P645" s="9"/>
      <c r="Q645" s="9"/>
      <c r="R645" s="9" t="s">
        <v>12795</v>
      </c>
      <c r="S645" s="9" t="s">
        <v>12795</v>
      </c>
      <c r="T645" s="9"/>
      <c r="U645" s="9"/>
      <c r="V645" s="9"/>
      <c r="W645" s="9"/>
      <c r="X645" s="9"/>
      <c r="Y645" s="9"/>
      <c r="Z645" s="9"/>
      <c r="AA645" s="9"/>
      <c r="AB645" s="9"/>
      <c r="AC645" s="9"/>
      <c r="AD645" s="9" t="s">
        <v>20</v>
      </c>
    </row>
    <row r="646" spans="1:30" ht="29">
      <c r="A646" s="3" t="s">
        <v>1951</v>
      </c>
      <c r="B646" s="3" t="s">
        <v>1952</v>
      </c>
      <c r="C646" s="3" t="s">
        <v>1953</v>
      </c>
      <c r="G646" s="9" t="s">
        <v>12120</v>
      </c>
      <c r="H646" s="9"/>
      <c r="I646" s="9"/>
      <c r="J646" s="9"/>
      <c r="K646" s="9"/>
      <c r="L646" s="9"/>
      <c r="M646" s="9"/>
      <c r="N646" s="10"/>
      <c r="O646" s="9"/>
      <c r="P646" s="9"/>
      <c r="Q646" s="9"/>
      <c r="R646" s="9" t="s">
        <v>12795</v>
      </c>
      <c r="S646" s="9" t="s">
        <v>12795</v>
      </c>
      <c r="T646" s="9"/>
      <c r="U646" s="9"/>
      <c r="V646" s="9"/>
      <c r="W646" s="9"/>
      <c r="X646" s="9"/>
      <c r="Y646" s="9"/>
      <c r="Z646" s="9"/>
      <c r="AA646" s="9"/>
      <c r="AB646" s="9"/>
      <c r="AC646" s="9"/>
      <c r="AD646" s="9" t="s">
        <v>20</v>
      </c>
    </row>
    <row r="647" spans="1:30" ht="29">
      <c r="A647" s="3" t="s">
        <v>1951</v>
      </c>
      <c r="B647" s="3" t="s">
        <v>6913</v>
      </c>
      <c r="C647" s="3" t="s">
        <v>6912</v>
      </c>
      <c r="G647" s="9" t="s">
        <v>25</v>
      </c>
      <c r="H647" s="9"/>
      <c r="I647" s="9">
        <v>1</v>
      </c>
      <c r="J647" s="9">
        <v>3</v>
      </c>
      <c r="K647" s="9" t="s">
        <v>12087</v>
      </c>
      <c r="L647" s="9" t="s">
        <v>12079</v>
      </c>
      <c r="M647" s="9"/>
      <c r="N647" s="10"/>
      <c r="O647" s="9"/>
      <c r="P647" s="9">
        <v>5676</v>
      </c>
      <c r="Q647" s="9"/>
      <c r="R647" s="9" t="s">
        <v>12795</v>
      </c>
      <c r="S647" s="9" t="s">
        <v>12795</v>
      </c>
      <c r="T647" s="9"/>
      <c r="U647" s="9"/>
      <c r="V647" s="9"/>
      <c r="W647" s="9"/>
      <c r="X647" s="9"/>
      <c r="Y647" s="9"/>
      <c r="Z647" s="9"/>
      <c r="AA647" s="9"/>
      <c r="AB647" s="9"/>
      <c r="AC647" s="9"/>
      <c r="AD647" s="9" t="s">
        <v>19</v>
      </c>
    </row>
    <row r="648" spans="1:30" ht="29">
      <c r="A648" s="3" t="s">
        <v>1951</v>
      </c>
      <c r="B648" s="3" t="s">
        <v>6914</v>
      </c>
      <c r="C648" s="3" t="s">
        <v>6915</v>
      </c>
      <c r="G648" s="9" t="s">
        <v>12118</v>
      </c>
      <c r="H648" s="9"/>
      <c r="I648" s="9"/>
      <c r="J648" s="9"/>
      <c r="K648" s="9"/>
      <c r="L648" s="9"/>
      <c r="M648" s="9"/>
      <c r="N648" s="10"/>
      <c r="O648" s="9"/>
      <c r="P648" s="9"/>
      <c r="Q648" s="9">
        <v>-3310</v>
      </c>
      <c r="R648" s="9">
        <v>4240</v>
      </c>
      <c r="S648" s="9">
        <v>930</v>
      </c>
      <c r="T648" s="9"/>
      <c r="U648" s="9"/>
      <c r="V648" s="9"/>
      <c r="W648" s="9"/>
      <c r="X648" s="9"/>
      <c r="Y648" s="9"/>
      <c r="Z648" s="9"/>
      <c r="AA648" s="9"/>
      <c r="AB648" s="9"/>
      <c r="AC648" s="9"/>
      <c r="AD648" s="9" t="s">
        <v>19</v>
      </c>
    </row>
    <row r="649" spans="1:30" ht="29">
      <c r="A649" s="3" t="s">
        <v>1954</v>
      </c>
      <c r="B649" s="3" t="s">
        <v>6916</v>
      </c>
      <c r="C649" s="3" t="s">
        <v>6917</v>
      </c>
      <c r="G649" s="9" t="s">
        <v>24</v>
      </c>
      <c r="H649" s="9"/>
      <c r="I649" s="9">
        <v>1</v>
      </c>
      <c r="J649" s="9">
        <v>6</v>
      </c>
      <c r="K649" s="9" t="s">
        <v>12094</v>
      </c>
      <c r="L649" s="9" t="s">
        <v>12079</v>
      </c>
      <c r="M649" s="9"/>
      <c r="N649" s="10"/>
      <c r="O649" s="9"/>
      <c r="P649" s="9">
        <v>930</v>
      </c>
      <c r="Q649" s="9"/>
      <c r="R649" s="9" t="s">
        <v>12795</v>
      </c>
      <c r="S649" s="9" t="s">
        <v>12795</v>
      </c>
      <c r="T649" s="9"/>
      <c r="U649" s="9"/>
      <c r="V649" s="9"/>
      <c r="W649" s="9"/>
      <c r="X649" s="9"/>
      <c r="Y649" s="9"/>
      <c r="Z649" s="9"/>
      <c r="AA649" s="9"/>
      <c r="AB649" s="9"/>
      <c r="AC649" s="9"/>
      <c r="AD649" s="9" t="s">
        <v>19</v>
      </c>
    </row>
    <row r="650" spans="1:30" ht="29">
      <c r="A650" s="3" t="s">
        <v>1957</v>
      </c>
      <c r="B650" s="3" t="s">
        <v>1958</v>
      </c>
      <c r="C650" s="3" t="s">
        <v>1959</v>
      </c>
      <c r="G650" s="9" t="s">
        <v>12120</v>
      </c>
      <c r="H650" s="9"/>
      <c r="I650" s="9"/>
      <c r="J650" s="9"/>
      <c r="K650" s="9"/>
      <c r="L650" s="9"/>
      <c r="M650" s="9"/>
      <c r="N650" s="10"/>
      <c r="O650" s="9"/>
      <c r="P650" s="9"/>
      <c r="Q650" s="9"/>
      <c r="R650" s="9" t="s">
        <v>12795</v>
      </c>
      <c r="S650" s="9" t="s">
        <v>12795</v>
      </c>
      <c r="T650" s="9"/>
      <c r="U650" s="9"/>
      <c r="V650" s="9"/>
      <c r="W650" s="9"/>
      <c r="X650" s="9"/>
      <c r="Y650" s="9"/>
      <c r="Z650" s="9"/>
      <c r="AA650" s="9"/>
      <c r="AB650" s="9"/>
      <c r="AC650" s="9"/>
      <c r="AD650" s="9" t="s">
        <v>20</v>
      </c>
    </row>
    <row r="651" spans="1:30" ht="29">
      <c r="A651" s="3" t="s">
        <v>1961</v>
      </c>
      <c r="B651" s="3" t="s">
        <v>12319</v>
      </c>
      <c r="C651" s="3" t="s">
        <v>12318</v>
      </c>
      <c r="G651" s="9" t="s">
        <v>12118</v>
      </c>
      <c r="H651" s="9"/>
      <c r="I651" s="9"/>
      <c r="J651" s="9"/>
      <c r="K651" s="9"/>
      <c r="L651" s="9"/>
      <c r="M651" s="9"/>
      <c r="N651" s="10"/>
      <c r="O651" s="9"/>
      <c r="P651" s="9"/>
      <c r="Q651" s="9">
        <v>11614</v>
      </c>
      <c r="R651" s="9">
        <v>229</v>
      </c>
      <c r="S651" s="9">
        <v>11843</v>
      </c>
      <c r="T651" s="9"/>
      <c r="U651" s="9"/>
      <c r="V651" s="9"/>
      <c r="W651" s="9"/>
      <c r="X651" s="9"/>
      <c r="Y651" s="9"/>
      <c r="Z651" s="9"/>
      <c r="AA651" s="9"/>
      <c r="AB651" s="9"/>
      <c r="AC651" s="9"/>
      <c r="AD651" s="9" t="s">
        <v>20</v>
      </c>
    </row>
    <row r="652" spans="1:30" ht="29">
      <c r="A652" s="3" t="s">
        <v>1962</v>
      </c>
      <c r="B652" s="3" t="s">
        <v>6924</v>
      </c>
      <c r="C652" s="3" t="s">
        <v>6921</v>
      </c>
      <c r="G652" s="9" t="s">
        <v>25</v>
      </c>
      <c r="H652" s="9"/>
      <c r="I652" s="9">
        <v>1</v>
      </c>
      <c r="J652" s="9">
        <v>3</v>
      </c>
      <c r="K652" s="9" t="s">
        <v>12072</v>
      </c>
      <c r="L652" s="9" t="s">
        <v>12079</v>
      </c>
      <c r="M652" s="9"/>
      <c r="N652" s="10"/>
      <c r="O652" s="9"/>
      <c r="P652" s="9">
        <v>214</v>
      </c>
      <c r="Q652" s="9"/>
      <c r="R652" s="9" t="s">
        <v>12795</v>
      </c>
      <c r="S652" s="9" t="s">
        <v>12795</v>
      </c>
      <c r="T652" s="9"/>
      <c r="U652" s="9"/>
      <c r="V652" s="9"/>
      <c r="W652" s="9"/>
      <c r="X652" s="9"/>
      <c r="Y652" s="9"/>
      <c r="Z652" s="9"/>
      <c r="AA652" s="9"/>
      <c r="AB652" s="9"/>
      <c r="AC652" s="9"/>
      <c r="AD652" s="9" t="s">
        <v>20</v>
      </c>
    </row>
    <row r="653" spans="1:30" ht="29">
      <c r="A653" s="3" t="s">
        <v>1963</v>
      </c>
      <c r="B653" s="3" t="s">
        <v>6926</v>
      </c>
      <c r="C653" s="3" t="s">
        <v>6925</v>
      </c>
      <c r="G653" s="9" t="s">
        <v>25</v>
      </c>
      <c r="H653" s="9"/>
      <c r="I653" s="9">
        <v>1</v>
      </c>
      <c r="J653" s="9">
        <v>5</v>
      </c>
      <c r="K653" s="9" t="s">
        <v>12094</v>
      </c>
      <c r="L653" s="9" t="s">
        <v>12079</v>
      </c>
      <c r="M653" s="9"/>
      <c r="N653" s="10"/>
      <c r="O653" s="9"/>
      <c r="P653" s="9">
        <v>4240</v>
      </c>
      <c r="Q653" s="9"/>
      <c r="R653" s="9" t="s">
        <v>12795</v>
      </c>
      <c r="S653" s="9" t="s">
        <v>12795</v>
      </c>
      <c r="T653" s="9"/>
      <c r="U653" s="9"/>
      <c r="V653" s="9"/>
      <c r="W653" s="9"/>
      <c r="X653" s="9"/>
      <c r="Y653" s="9"/>
      <c r="Z653" s="9"/>
      <c r="AA653" s="9"/>
      <c r="AB653" s="9"/>
      <c r="AC653" s="9"/>
      <c r="AD653" s="9" t="s">
        <v>19</v>
      </c>
    </row>
    <row r="654" spans="1:30" ht="29">
      <c r="A654" s="3" t="s">
        <v>1963</v>
      </c>
      <c r="B654" s="3" t="s">
        <v>6927</v>
      </c>
      <c r="C654" s="3" t="s">
        <v>6928</v>
      </c>
      <c r="G654" s="9" t="s">
        <v>12120</v>
      </c>
      <c r="H654" s="9"/>
      <c r="I654" s="9"/>
      <c r="J654" s="9"/>
      <c r="K654" s="9"/>
      <c r="L654" s="9"/>
      <c r="M654" s="9"/>
      <c r="N654" s="10"/>
      <c r="O654" s="9"/>
      <c r="P654" s="9"/>
      <c r="Q654" s="9"/>
      <c r="R654" s="9" t="s">
        <v>12795</v>
      </c>
      <c r="S654" s="9" t="s">
        <v>12795</v>
      </c>
      <c r="T654" s="9"/>
      <c r="U654" s="9"/>
      <c r="V654" s="9"/>
      <c r="W654" s="9"/>
      <c r="X654" s="9"/>
      <c r="Y654" s="9"/>
      <c r="Z654" s="9"/>
      <c r="AA654" s="9"/>
      <c r="AB654" s="9"/>
      <c r="AC654" s="9"/>
      <c r="AD654" s="9" t="s">
        <v>19</v>
      </c>
    </row>
    <row r="655" spans="1:30" ht="29">
      <c r="A655" s="3" t="s">
        <v>1967</v>
      </c>
      <c r="B655" s="3" t="s">
        <v>6934</v>
      </c>
      <c r="C655" s="3" t="s">
        <v>6933</v>
      </c>
      <c r="G655" s="9" t="s">
        <v>25</v>
      </c>
      <c r="H655" s="9"/>
      <c r="I655" s="9">
        <v>1</v>
      </c>
      <c r="J655" s="9">
        <v>8</v>
      </c>
      <c r="K655" s="9" t="s">
        <v>12098</v>
      </c>
      <c r="L655" s="9" t="s">
        <v>12079</v>
      </c>
      <c r="M655" s="9"/>
      <c r="N655" s="10"/>
      <c r="O655" s="9"/>
      <c r="P655" s="9">
        <v>2042</v>
      </c>
      <c r="Q655" s="9"/>
      <c r="R655" s="9" t="s">
        <v>12795</v>
      </c>
      <c r="S655" s="9" t="s">
        <v>12795</v>
      </c>
      <c r="T655" s="9"/>
      <c r="U655" s="9"/>
      <c r="V655" s="9"/>
      <c r="W655" s="9"/>
      <c r="X655" s="9"/>
      <c r="Y655" s="9"/>
      <c r="Z655" s="9"/>
      <c r="AA655" s="9"/>
      <c r="AB655" s="9"/>
      <c r="AC655" s="9"/>
      <c r="AD655" s="9" t="s">
        <v>20</v>
      </c>
    </row>
    <row r="656" spans="1:30" ht="29">
      <c r="A656" s="3" t="s">
        <v>1968</v>
      </c>
      <c r="B656" s="3" t="s">
        <v>6936</v>
      </c>
      <c r="C656" s="3" t="s">
        <v>6935</v>
      </c>
      <c r="G656" s="9" t="s">
        <v>24</v>
      </c>
      <c r="H656" s="9"/>
      <c r="I656" s="9">
        <v>1</v>
      </c>
      <c r="J656" s="9">
        <v>2</v>
      </c>
      <c r="K656" s="9" t="s">
        <v>12094</v>
      </c>
      <c r="L656" s="9" t="s">
        <v>12119</v>
      </c>
      <c r="M656" s="9"/>
      <c r="N656" s="10"/>
      <c r="O656" s="9" t="s">
        <v>12074</v>
      </c>
      <c r="P656" s="9">
        <v>412</v>
      </c>
      <c r="Q656" s="9"/>
      <c r="R656" s="9" t="s">
        <v>12795</v>
      </c>
      <c r="S656" s="9" t="s">
        <v>12795</v>
      </c>
      <c r="T656" s="9"/>
      <c r="U656" s="9"/>
      <c r="V656" s="9"/>
      <c r="W656" s="9"/>
      <c r="X656" s="9"/>
      <c r="Y656" s="9"/>
      <c r="Z656" s="9"/>
      <c r="AA656" s="9"/>
      <c r="AB656" s="9"/>
      <c r="AC656" s="9"/>
      <c r="AD656" s="9" t="s">
        <v>20</v>
      </c>
    </row>
    <row r="657" spans="1:30" ht="58">
      <c r="A657" s="3" t="s">
        <v>1970</v>
      </c>
      <c r="B657" s="3" t="s">
        <v>6937</v>
      </c>
      <c r="C657" s="3" t="s">
        <v>6938</v>
      </c>
      <c r="G657" s="9" t="s">
        <v>25</v>
      </c>
      <c r="H657" s="9"/>
      <c r="I657" s="9">
        <v>6</v>
      </c>
      <c r="J657" s="9">
        <v>30</v>
      </c>
      <c r="K657" s="9"/>
      <c r="L657" s="9" t="s">
        <v>12073</v>
      </c>
      <c r="M657" s="9" t="s">
        <v>12140</v>
      </c>
      <c r="N657" s="10" t="s">
        <v>12136</v>
      </c>
      <c r="O657" s="9"/>
      <c r="P657" s="9">
        <v>3</v>
      </c>
      <c r="Q657" s="9"/>
      <c r="R657" s="9" t="s">
        <v>12795</v>
      </c>
      <c r="S657" s="9" t="s">
        <v>12795</v>
      </c>
      <c r="T657" s="9"/>
      <c r="U657" s="9"/>
      <c r="V657" s="9"/>
      <c r="W657" s="9"/>
      <c r="X657" s="9"/>
      <c r="Y657" s="9"/>
      <c r="Z657" s="9"/>
      <c r="AA657" s="9"/>
      <c r="AB657" s="9"/>
      <c r="AC657" s="9"/>
      <c r="AD657" s="9" t="s">
        <v>20</v>
      </c>
    </row>
    <row r="658" spans="1:30" ht="29">
      <c r="A658" s="3" t="s">
        <v>1970</v>
      </c>
      <c r="B658" s="3" t="s">
        <v>1971</v>
      </c>
      <c r="C658" s="3" t="s">
        <v>1972</v>
      </c>
      <c r="G658" s="9" t="s">
        <v>12120</v>
      </c>
      <c r="H658" s="9"/>
      <c r="I658" s="9"/>
      <c r="J658" s="9"/>
      <c r="K658" s="9"/>
      <c r="L658" s="9"/>
      <c r="M658" s="9"/>
      <c r="N658" s="10"/>
      <c r="O658" s="9"/>
      <c r="P658" s="9"/>
      <c r="Q658" s="9"/>
      <c r="R658" s="9" t="s">
        <v>12795</v>
      </c>
      <c r="S658" s="9" t="s">
        <v>12795</v>
      </c>
      <c r="T658" s="9"/>
      <c r="U658" s="9"/>
      <c r="V658" s="9"/>
      <c r="W658" s="9"/>
      <c r="X658" s="9"/>
      <c r="Y658" s="9"/>
      <c r="Z658" s="9"/>
      <c r="AA658" s="9"/>
      <c r="AB658" s="9"/>
      <c r="AC658" s="9"/>
      <c r="AD658" s="9" t="s">
        <v>19</v>
      </c>
    </row>
    <row r="659" spans="1:30" ht="29">
      <c r="A659" s="3" t="s">
        <v>1976</v>
      </c>
      <c r="B659" s="3" t="s">
        <v>6941</v>
      </c>
      <c r="C659" s="3" t="s">
        <v>6942</v>
      </c>
      <c r="G659" s="9" t="s">
        <v>12118</v>
      </c>
      <c r="H659" s="9"/>
      <c r="I659" s="9"/>
      <c r="J659" s="9"/>
      <c r="K659" s="9"/>
      <c r="L659" s="9"/>
      <c r="M659" s="9"/>
      <c r="N659" s="10"/>
      <c r="O659" s="9"/>
      <c r="P659" s="9"/>
      <c r="Q659" s="9">
        <v>-9</v>
      </c>
      <c r="R659" s="9">
        <v>59</v>
      </c>
      <c r="S659" s="9">
        <v>50</v>
      </c>
      <c r="T659" s="9"/>
      <c r="U659" s="9"/>
      <c r="V659" s="9"/>
      <c r="W659" s="9"/>
      <c r="X659" s="9"/>
      <c r="Y659" s="9"/>
      <c r="Z659" s="9"/>
      <c r="AA659" s="9"/>
      <c r="AB659" s="9"/>
      <c r="AC659" s="9"/>
      <c r="AD659" s="9" t="s">
        <v>19</v>
      </c>
    </row>
    <row r="660" spans="1:30" ht="29">
      <c r="A660" s="3" t="s">
        <v>1983</v>
      </c>
      <c r="B660" s="3" t="s">
        <v>6947</v>
      </c>
      <c r="C660" s="3" t="s">
        <v>6948</v>
      </c>
      <c r="G660" s="9" t="s">
        <v>12118</v>
      </c>
      <c r="H660" s="9"/>
      <c r="I660" s="9"/>
      <c r="J660" s="9"/>
      <c r="K660" s="9"/>
      <c r="L660" s="9"/>
      <c r="M660" s="9"/>
      <c r="N660" s="10"/>
      <c r="O660" s="9"/>
      <c r="P660" s="9"/>
      <c r="Q660" s="9">
        <v>29</v>
      </c>
      <c r="R660" s="9">
        <v>1</v>
      </c>
      <c r="S660" s="9">
        <v>30</v>
      </c>
      <c r="T660" s="9"/>
      <c r="U660" s="9"/>
      <c r="V660" s="9"/>
      <c r="W660" s="9"/>
      <c r="X660" s="9"/>
      <c r="Y660" s="9"/>
      <c r="Z660" s="9"/>
      <c r="AA660" s="9"/>
      <c r="AB660" s="9"/>
      <c r="AC660" s="9"/>
      <c r="AD660" s="9" t="s">
        <v>20</v>
      </c>
    </row>
    <row r="661" spans="1:30" ht="29">
      <c r="A661" s="3" t="s">
        <v>1984</v>
      </c>
      <c r="B661" s="11" t="s">
        <v>6950</v>
      </c>
      <c r="C661" s="3" t="s">
        <v>6949</v>
      </c>
      <c r="G661" s="9" t="s">
        <v>24</v>
      </c>
      <c r="H661" s="9"/>
      <c r="I661" s="9">
        <v>1</v>
      </c>
      <c r="J661" s="9">
        <v>3</v>
      </c>
      <c r="K661" s="9" t="s">
        <v>12087</v>
      </c>
      <c r="L661" s="9" t="s">
        <v>12079</v>
      </c>
      <c r="M661" s="9"/>
      <c r="N661" s="10"/>
      <c r="O661" s="9"/>
      <c r="P661" s="9">
        <v>5676</v>
      </c>
      <c r="Q661" s="9"/>
      <c r="R661" s="9" t="s">
        <v>12795</v>
      </c>
      <c r="S661" s="9" t="s">
        <v>12795</v>
      </c>
      <c r="T661" s="9"/>
      <c r="U661" s="9"/>
      <c r="V661" s="9"/>
      <c r="W661" s="9"/>
      <c r="X661" s="9"/>
      <c r="Y661" s="9"/>
      <c r="Z661" s="9"/>
      <c r="AA661" s="9"/>
      <c r="AB661" s="9"/>
      <c r="AC661" s="9"/>
      <c r="AD661" s="9" t="s">
        <v>19</v>
      </c>
    </row>
    <row r="662" spans="1:30" ht="29">
      <c r="A662" s="3" t="s">
        <v>1988</v>
      </c>
      <c r="B662" s="3" t="s">
        <v>6951</v>
      </c>
      <c r="C662" s="3" t="s">
        <v>6952</v>
      </c>
      <c r="G662" s="9" t="s">
        <v>12118</v>
      </c>
      <c r="H662" s="9"/>
      <c r="I662" s="9"/>
      <c r="J662" s="9"/>
      <c r="K662" s="9"/>
      <c r="L662" s="9"/>
      <c r="M662" s="9"/>
      <c r="N662" s="10"/>
      <c r="O662" s="9"/>
      <c r="P662" s="9"/>
      <c r="Q662" s="9">
        <v>-3680</v>
      </c>
      <c r="R662" s="9">
        <v>5676</v>
      </c>
      <c r="S662" s="9">
        <v>1996</v>
      </c>
      <c r="T662" s="9"/>
      <c r="U662" s="9"/>
      <c r="V662" s="9"/>
      <c r="W662" s="9"/>
      <c r="X662" s="9"/>
      <c r="Y662" s="9"/>
      <c r="Z662" s="9"/>
      <c r="AA662" s="9"/>
      <c r="AB662" s="9"/>
      <c r="AC662" s="9"/>
      <c r="AD662" s="9" t="s">
        <v>19</v>
      </c>
    </row>
    <row r="663" spans="1:30" ht="29">
      <c r="A663" s="3" t="s">
        <v>1989</v>
      </c>
      <c r="B663" s="3" t="s">
        <v>6953</v>
      </c>
      <c r="C663" s="3" t="s">
        <v>6954</v>
      </c>
      <c r="G663" s="9" t="s">
        <v>12120</v>
      </c>
      <c r="H663" s="9"/>
      <c r="I663" s="9"/>
      <c r="J663" s="9"/>
      <c r="K663" s="9"/>
      <c r="L663" s="9"/>
      <c r="M663" s="9"/>
      <c r="N663" s="10"/>
      <c r="O663" s="9"/>
      <c r="P663" s="9"/>
      <c r="Q663" s="9"/>
      <c r="R663" s="9" t="s">
        <v>12795</v>
      </c>
      <c r="S663" s="9" t="s">
        <v>12795</v>
      </c>
      <c r="T663" s="9"/>
      <c r="U663" s="9"/>
      <c r="V663" s="9"/>
      <c r="W663" s="9"/>
      <c r="X663" s="9"/>
      <c r="Y663" s="9"/>
      <c r="Z663" s="9"/>
      <c r="AA663" s="9"/>
      <c r="AB663" s="9"/>
      <c r="AC663" s="9"/>
      <c r="AD663" s="9" t="s">
        <v>20</v>
      </c>
    </row>
    <row r="664" spans="1:30" ht="29">
      <c r="A664" s="3" t="s">
        <v>1992</v>
      </c>
      <c r="B664" s="3" t="s">
        <v>1993</v>
      </c>
      <c r="C664" s="3" t="s">
        <v>1994</v>
      </c>
      <c r="G664" s="9" t="s">
        <v>12120</v>
      </c>
      <c r="H664" s="9"/>
      <c r="I664" s="9"/>
      <c r="J664" s="9"/>
      <c r="K664" s="9"/>
      <c r="L664" s="9"/>
      <c r="M664" s="9"/>
      <c r="N664" s="10"/>
      <c r="O664" s="9"/>
      <c r="P664" s="9"/>
      <c r="Q664" s="9"/>
      <c r="R664" s="9" t="s">
        <v>12795</v>
      </c>
      <c r="S664" s="9" t="s">
        <v>12795</v>
      </c>
      <c r="T664" s="9"/>
      <c r="U664" s="9"/>
      <c r="V664" s="9"/>
      <c r="W664" s="9"/>
      <c r="X664" s="9"/>
      <c r="Y664" s="9"/>
      <c r="Z664" s="9"/>
      <c r="AA664" s="9"/>
      <c r="AB664" s="9"/>
      <c r="AC664" s="9"/>
      <c r="AD664" s="9" t="s">
        <v>19</v>
      </c>
    </row>
    <row r="665" spans="1:30" ht="29">
      <c r="A665" s="3" t="s">
        <v>1995</v>
      </c>
      <c r="B665" s="3" t="s">
        <v>6955</v>
      </c>
      <c r="C665" s="3" t="s">
        <v>6956</v>
      </c>
      <c r="G665" s="9" t="s">
        <v>12118</v>
      </c>
      <c r="H665" s="9"/>
      <c r="I665" s="9"/>
      <c r="J665" s="9"/>
      <c r="K665" s="9"/>
      <c r="L665" s="9"/>
      <c r="M665" s="9"/>
      <c r="N665" s="10"/>
      <c r="O665" s="9"/>
      <c r="P665" s="9"/>
      <c r="Q665" s="9">
        <v>-29</v>
      </c>
      <c r="R665" s="9">
        <v>36</v>
      </c>
      <c r="S665" s="9">
        <v>7</v>
      </c>
      <c r="T665" s="9"/>
      <c r="U665" s="9"/>
      <c r="V665" s="9"/>
      <c r="W665" s="9"/>
      <c r="X665" s="9"/>
      <c r="Y665" s="9"/>
      <c r="Z665" s="9"/>
      <c r="AA665" s="9"/>
      <c r="AB665" s="9"/>
      <c r="AC665" s="9"/>
      <c r="AD665" s="9" t="s">
        <v>19</v>
      </c>
    </row>
    <row r="666" spans="1:30" ht="29">
      <c r="A666" s="3" t="s">
        <v>2002</v>
      </c>
      <c r="B666" s="3" t="s">
        <v>6970</v>
      </c>
      <c r="C666" s="3" t="s">
        <v>6971</v>
      </c>
      <c r="G666" s="9" t="s">
        <v>26</v>
      </c>
      <c r="H666" s="9"/>
      <c r="I666" s="9"/>
      <c r="J666" s="9"/>
      <c r="K666" s="9"/>
      <c r="L666" s="9"/>
      <c r="M666" s="9"/>
      <c r="N666" s="10"/>
      <c r="O666" s="9"/>
      <c r="P666" s="9"/>
      <c r="Q666" s="9"/>
      <c r="R666" s="9" t="s">
        <v>12795</v>
      </c>
      <c r="S666" s="9" t="s">
        <v>12795</v>
      </c>
      <c r="T666" s="9"/>
      <c r="U666" s="9"/>
      <c r="V666" s="9"/>
      <c r="W666" s="9"/>
      <c r="X666" s="9"/>
      <c r="Y666" s="9"/>
      <c r="Z666" s="9"/>
      <c r="AA666" s="9"/>
      <c r="AB666" s="9"/>
      <c r="AC666" s="9"/>
      <c r="AD666" s="9" t="s">
        <v>19</v>
      </c>
    </row>
    <row r="667" spans="1:30" ht="43.5">
      <c r="A667" s="3" t="s">
        <v>2004</v>
      </c>
      <c r="B667" s="3" t="s">
        <v>12331</v>
      </c>
      <c r="C667" s="3" t="s">
        <v>12334</v>
      </c>
      <c r="G667" s="9" t="s">
        <v>25</v>
      </c>
      <c r="H667" s="9"/>
      <c r="I667" s="9">
        <v>1</v>
      </c>
      <c r="J667" s="9">
        <v>5</v>
      </c>
      <c r="K667" s="9" t="s">
        <v>12094</v>
      </c>
      <c r="L667" s="9" t="s">
        <v>12079</v>
      </c>
      <c r="M667" s="9"/>
      <c r="N667" s="10"/>
      <c r="O667" s="9"/>
      <c r="P667" s="9">
        <v>4240</v>
      </c>
      <c r="Q667" s="9"/>
      <c r="R667" s="9" t="s">
        <v>12795</v>
      </c>
      <c r="S667" s="9" t="s">
        <v>12795</v>
      </c>
      <c r="T667" s="9"/>
      <c r="U667" s="9"/>
      <c r="V667" s="9"/>
      <c r="W667" s="9"/>
      <c r="X667" s="9"/>
      <c r="Y667" s="9"/>
      <c r="Z667" s="9"/>
      <c r="AA667" s="9"/>
      <c r="AB667" s="9"/>
      <c r="AC667" s="9"/>
      <c r="AD667" s="9" t="s">
        <v>19</v>
      </c>
    </row>
    <row r="668" spans="1:30" ht="43.5">
      <c r="A668" s="3" t="s">
        <v>2007</v>
      </c>
      <c r="B668" s="3" t="s">
        <v>12332</v>
      </c>
      <c r="C668" s="3" t="s">
        <v>12334</v>
      </c>
      <c r="G668" s="9" t="s">
        <v>25</v>
      </c>
      <c r="H668" s="9"/>
      <c r="I668" s="9">
        <v>2</v>
      </c>
      <c r="J668" s="9">
        <v>6</v>
      </c>
      <c r="K668" s="9"/>
      <c r="L668" s="9" t="s">
        <v>12079</v>
      </c>
      <c r="M668" s="9"/>
      <c r="N668" s="10"/>
      <c r="O668" s="9"/>
      <c r="P668" s="9">
        <v>32</v>
      </c>
      <c r="Q668" s="9"/>
      <c r="R668" s="9" t="s">
        <v>12795</v>
      </c>
      <c r="S668" s="9" t="s">
        <v>12795</v>
      </c>
      <c r="T668" s="9"/>
      <c r="U668" s="9"/>
      <c r="V668" s="9"/>
      <c r="W668" s="9"/>
      <c r="X668" s="9"/>
      <c r="Y668" s="9"/>
      <c r="Z668" s="9"/>
      <c r="AA668" s="9"/>
      <c r="AB668" s="9"/>
      <c r="AC668" s="9"/>
      <c r="AD668" s="9" t="s">
        <v>19</v>
      </c>
    </row>
    <row r="669" spans="1:30" ht="43.5">
      <c r="A669" s="3" t="s">
        <v>2007</v>
      </c>
      <c r="B669" s="3" t="s">
        <v>12333</v>
      </c>
      <c r="C669" s="3" t="s">
        <v>12335</v>
      </c>
      <c r="G669" s="9" t="s">
        <v>12118</v>
      </c>
      <c r="H669" s="9"/>
      <c r="I669" s="9"/>
      <c r="J669" s="9"/>
      <c r="K669" s="9"/>
      <c r="L669" s="9"/>
      <c r="M669" s="9"/>
      <c r="N669" s="10"/>
      <c r="O669" s="9"/>
      <c r="P669" s="9"/>
      <c r="Q669" s="9">
        <v>3710</v>
      </c>
      <c r="R669" s="9">
        <v>1966</v>
      </c>
      <c r="S669" s="9">
        <v>5676</v>
      </c>
      <c r="T669" s="9"/>
      <c r="U669" s="9"/>
      <c r="V669" s="9"/>
      <c r="W669" s="9"/>
      <c r="X669" s="9"/>
      <c r="Y669" s="9"/>
      <c r="Z669" s="9"/>
      <c r="AA669" s="9"/>
      <c r="AB669" s="9"/>
      <c r="AC669" s="9"/>
      <c r="AD669" s="9" t="s">
        <v>19</v>
      </c>
    </row>
    <row r="670" spans="1:30" ht="29">
      <c r="A670" s="3" t="s">
        <v>2007</v>
      </c>
      <c r="B670" s="3" t="s">
        <v>6980</v>
      </c>
      <c r="C670" s="3" t="s">
        <v>6979</v>
      </c>
      <c r="G670" s="9" t="s">
        <v>24</v>
      </c>
      <c r="H670" s="9"/>
      <c r="I670" s="9">
        <v>1</v>
      </c>
      <c r="J670" s="9">
        <v>3</v>
      </c>
      <c r="K670" s="9" t="s">
        <v>12087</v>
      </c>
      <c r="L670" s="9" t="s">
        <v>12079</v>
      </c>
      <c r="M670" s="9"/>
      <c r="N670" s="10"/>
      <c r="O670" s="9"/>
      <c r="P670" s="9">
        <v>5676</v>
      </c>
      <c r="Q670" s="9"/>
      <c r="R670" s="9" t="s">
        <v>12795</v>
      </c>
      <c r="S670" s="9" t="s">
        <v>12795</v>
      </c>
      <c r="T670" s="9"/>
      <c r="U670" s="9"/>
      <c r="V670" s="9"/>
      <c r="W670" s="9"/>
      <c r="X670" s="9"/>
      <c r="Y670" s="9"/>
      <c r="Z670" s="9"/>
      <c r="AA670" s="9"/>
      <c r="AB670" s="9"/>
      <c r="AC670" s="9"/>
      <c r="AD670" s="9" t="s">
        <v>19</v>
      </c>
    </row>
    <row r="671" spans="1:30" ht="29">
      <c r="A671" s="3" t="s">
        <v>2012</v>
      </c>
      <c r="B671" s="3" t="s">
        <v>6981</v>
      </c>
      <c r="C671" s="3" t="s">
        <v>6982</v>
      </c>
      <c r="G671" s="9" t="s">
        <v>25</v>
      </c>
      <c r="H671" s="9"/>
      <c r="I671" s="9">
        <v>1</v>
      </c>
      <c r="J671" s="9">
        <v>3</v>
      </c>
      <c r="K671" s="9" t="s">
        <v>12078</v>
      </c>
      <c r="L671" s="9" t="s">
        <v>12073</v>
      </c>
      <c r="M671" s="9" t="s">
        <v>12149</v>
      </c>
      <c r="N671" s="10" t="s">
        <v>12143</v>
      </c>
      <c r="O671" s="9"/>
      <c r="P671" s="9">
        <v>11843</v>
      </c>
      <c r="Q671" s="9"/>
      <c r="R671" s="9" t="s">
        <v>12795</v>
      </c>
      <c r="S671" s="9" t="s">
        <v>12795</v>
      </c>
      <c r="T671" s="9"/>
      <c r="U671" s="9"/>
      <c r="V671" s="9"/>
      <c r="W671" s="9"/>
      <c r="X671" s="9"/>
      <c r="Y671" s="9"/>
      <c r="Z671" s="9"/>
      <c r="AA671" s="9"/>
      <c r="AB671" s="9"/>
      <c r="AC671" s="9"/>
      <c r="AD671" s="9" t="s">
        <v>20</v>
      </c>
    </row>
    <row r="672" spans="1:30" ht="43.5">
      <c r="A672" s="3" t="s">
        <v>2012</v>
      </c>
      <c r="B672" s="3" t="s">
        <v>6983</v>
      </c>
      <c r="C672" s="3" t="s">
        <v>6984</v>
      </c>
      <c r="G672" s="9" t="s">
        <v>12118</v>
      </c>
      <c r="H672" s="9"/>
      <c r="I672" s="9"/>
      <c r="J672" s="9"/>
      <c r="K672" s="9"/>
      <c r="L672" s="9"/>
      <c r="M672" s="9"/>
      <c r="N672" s="10"/>
      <c r="O672" s="9"/>
      <c r="P672" s="9"/>
      <c r="Q672" s="9">
        <v>-31</v>
      </c>
      <c r="R672" s="9">
        <v>65</v>
      </c>
      <c r="S672" s="9">
        <v>34</v>
      </c>
      <c r="T672" s="9"/>
      <c r="U672" s="9"/>
      <c r="V672" s="9"/>
      <c r="W672" s="9"/>
      <c r="X672" s="9"/>
      <c r="Y672" s="9"/>
      <c r="Z672" s="9"/>
      <c r="AA672" s="9"/>
      <c r="AB672" s="9"/>
      <c r="AC672" s="9"/>
      <c r="AD672" s="9" t="s">
        <v>19</v>
      </c>
    </row>
    <row r="673" spans="1:30" ht="29">
      <c r="A673" s="3" t="s">
        <v>2013</v>
      </c>
      <c r="B673" s="3" t="s">
        <v>6988</v>
      </c>
      <c r="C673" s="3" t="s">
        <v>6987</v>
      </c>
      <c r="G673" s="9" t="s">
        <v>25</v>
      </c>
      <c r="H673" s="9"/>
      <c r="I673" s="9">
        <v>1</v>
      </c>
      <c r="J673" s="9">
        <v>8</v>
      </c>
      <c r="K673" s="9" t="s">
        <v>12125</v>
      </c>
      <c r="L673" s="9" t="s">
        <v>12073</v>
      </c>
      <c r="M673" s="9" t="s">
        <v>12203</v>
      </c>
      <c r="N673" s="10" t="s">
        <v>12204</v>
      </c>
      <c r="O673" s="9"/>
      <c r="P673" s="9">
        <v>20</v>
      </c>
      <c r="Q673" s="9"/>
      <c r="R673" s="9" t="s">
        <v>12795</v>
      </c>
      <c r="S673" s="9" t="s">
        <v>12795</v>
      </c>
      <c r="T673" s="9"/>
      <c r="U673" s="9"/>
      <c r="V673" s="9"/>
      <c r="W673" s="9"/>
      <c r="X673" s="9"/>
      <c r="Y673" s="9"/>
      <c r="Z673" s="9"/>
      <c r="AA673" s="9"/>
      <c r="AB673" s="9"/>
      <c r="AC673" s="9"/>
      <c r="AD673" s="9" t="s">
        <v>20</v>
      </c>
    </row>
    <row r="674" spans="1:30" ht="29">
      <c r="A674" s="3" t="s">
        <v>2016</v>
      </c>
      <c r="B674" s="3" t="s">
        <v>6989</v>
      </c>
      <c r="C674" s="3" t="s">
        <v>6990</v>
      </c>
      <c r="G674" s="9" t="s">
        <v>12120</v>
      </c>
      <c r="H674" s="9"/>
      <c r="I674" s="9"/>
      <c r="J674" s="9"/>
      <c r="K674" s="9"/>
      <c r="L674" s="9"/>
      <c r="M674" s="9"/>
      <c r="N674" s="10"/>
      <c r="O674" s="9"/>
      <c r="P674" s="9"/>
      <c r="Q674" s="9"/>
      <c r="R674" s="9" t="s">
        <v>12795</v>
      </c>
      <c r="S674" s="9" t="s">
        <v>12795</v>
      </c>
      <c r="T674" s="9"/>
      <c r="U674" s="9"/>
      <c r="V674" s="9"/>
      <c r="W674" s="9"/>
      <c r="X674" s="9"/>
      <c r="Y674" s="9"/>
      <c r="Z674" s="9"/>
      <c r="AA674" s="9"/>
      <c r="AB674" s="9"/>
      <c r="AC674" s="9"/>
      <c r="AD674" s="9" t="s">
        <v>19</v>
      </c>
    </row>
    <row r="675" spans="1:30" ht="43.5">
      <c r="A675" s="3" t="s">
        <v>2022</v>
      </c>
      <c r="B675" s="3" t="s">
        <v>6997</v>
      </c>
      <c r="C675" s="3" t="s">
        <v>6996</v>
      </c>
      <c r="E675" t="s">
        <v>20</v>
      </c>
      <c r="G675" s="9" t="s">
        <v>25</v>
      </c>
      <c r="H675" s="9"/>
      <c r="I675" s="9">
        <v>3</v>
      </c>
      <c r="J675" s="9">
        <v>15</v>
      </c>
      <c r="K675" s="9"/>
      <c r="L675" s="9" t="s">
        <v>12073</v>
      </c>
      <c r="M675" s="9" t="s">
        <v>12140</v>
      </c>
      <c r="N675" s="10" t="s">
        <v>12138</v>
      </c>
      <c r="O675" s="9"/>
      <c r="P675" s="9">
        <v>65</v>
      </c>
      <c r="Q675" s="9"/>
      <c r="R675" s="9" t="s">
        <v>12795</v>
      </c>
      <c r="S675" s="9" t="s">
        <v>12795</v>
      </c>
      <c r="T675" s="9"/>
      <c r="U675" s="9"/>
      <c r="V675" s="9"/>
      <c r="W675" s="9"/>
      <c r="X675" s="9"/>
      <c r="Y675" s="9"/>
      <c r="Z675" s="9"/>
      <c r="AA675" s="9"/>
      <c r="AB675" s="9"/>
      <c r="AC675" s="9"/>
      <c r="AD675" s="9" t="s">
        <v>20</v>
      </c>
    </row>
    <row r="676" spans="1:30" ht="29">
      <c r="A676" s="3" t="s">
        <v>2023</v>
      </c>
      <c r="B676" s="3" t="s">
        <v>7004</v>
      </c>
      <c r="C676" s="3" t="s">
        <v>7003</v>
      </c>
      <c r="G676" s="9" t="s">
        <v>26</v>
      </c>
      <c r="H676" s="9"/>
      <c r="I676" s="9"/>
      <c r="J676" s="9"/>
      <c r="K676" s="9"/>
      <c r="L676" s="9"/>
      <c r="M676" s="9"/>
      <c r="N676" s="10"/>
      <c r="O676" s="9"/>
      <c r="P676" s="9"/>
      <c r="Q676" s="9"/>
      <c r="R676" s="9" t="s">
        <v>12795</v>
      </c>
      <c r="S676" s="9" t="s">
        <v>12795</v>
      </c>
      <c r="T676" s="9"/>
      <c r="U676" s="9"/>
      <c r="V676" s="9"/>
      <c r="W676" s="9"/>
      <c r="X676" s="9"/>
      <c r="Y676" s="9"/>
      <c r="Z676" s="9"/>
      <c r="AA676" s="9"/>
      <c r="AB676" s="9"/>
      <c r="AC676" s="9"/>
      <c r="AD676" s="9" t="s">
        <v>20</v>
      </c>
    </row>
    <row r="677" spans="1:30" ht="29">
      <c r="A677" s="3" t="s">
        <v>2024</v>
      </c>
      <c r="B677" s="3" t="s">
        <v>7005</v>
      </c>
      <c r="C677" s="3" t="s">
        <v>7006</v>
      </c>
      <c r="G677" s="9" t="s">
        <v>12118</v>
      </c>
      <c r="H677" s="9"/>
      <c r="I677" s="9"/>
      <c r="J677" s="9"/>
      <c r="K677" s="9"/>
      <c r="L677" s="9"/>
      <c r="M677" s="9"/>
      <c r="N677" s="10"/>
      <c r="O677" s="9"/>
      <c r="P677" s="9"/>
      <c r="Q677" s="9">
        <v>-18</v>
      </c>
      <c r="R677" s="9">
        <v>19</v>
      </c>
      <c r="S677" s="9">
        <v>1</v>
      </c>
      <c r="T677" s="9"/>
      <c r="U677" s="9"/>
      <c r="V677" s="9"/>
      <c r="W677" s="9"/>
      <c r="X677" s="9"/>
      <c r="Y677" s="9"/>
      <c r="Z677" s="9"/>
      <c r="AA677" s="9"/>
      <c r="AB677" s="9"/>
      <c r="AC677" s="9"/>
      <c r="AD677" s="9" t="s">
        <v>19</v>
      </c>
    </row>
    <row r="678" spans="1:30" ht="29">
      <c r="A678" s="3" t="s">
        <v>2026</v>
      </c>
      <c r="B678" s="3" t="s">
        <v>7009</v>
      </c>
      <c r="C678" s="3" t="s">
        <v>7010</v>
      </c>
      <c r="G678" s="9" t="s">
        <v>12120</v>
      </c>
      <c r="H678" s="9"/>
      <c r="I678" s="9"/>
      <c r="J678" s="9"/>
      <c r="K678" s="9"/>
      <c r="L678" s="9"/>
      <c r="M678" s="9"/>
      <c r="N678" s="10"/>
      <c r="O678" s="9"/>
      <c r="P678" s="9"/>
      <c r="Q678" s="9"/>
      <c r="R678" s="9" t="s">
        <v>12795</v>
      </c>
      <c r="S678" s="9" t="s">
        <v>12795</v>
      </c>
      <c r="T678" s="9"/>
      <c r="U678" s="9"/>
      <c r="V678" s="9"/>
      <c r="W678" s="9"/>
      <c r="X678" s="9"/>
      <c r="Y678" s="9"/>
      <c r="Z678" s="9"/>
      <c r="AA678" s="9"/>
      <c r="AB678" s="9"/>
      <c r="AC678" s="9"/>
      <c r="AD678" s="9" t="s">
        <v>19</v>
      </c>
    </row>
    <row r="679" spans="1:30" ht="29">
      <c r="A679" s="3" t="s">
        <v>2027</v>
      </c>
      <c r="B679" s="3" t="s">
        <v>7011</v>
      </c>
      <c r="C679" s="3" t="s">
        <v>7012</v>
      </c>
      <c r="G679" s="9" t="s">
        <v>25</v>
      </c>
      <c r="H679" s="9"/>
      <c r="I679" s="9">
        <v>1</v>
      </c>
      <c r="J679" s="9">
        <v>6</v>
      </c>
      <c r="K679" s="9" t="s">
        <v>12094</v>
      </c>
      <c r="L679" s="9" t="s">
        <v>12073</v>
      </c>
      <c r="M679" s="9" t="s">
        <v>12149</v>
      </c>
      <c r="N679" s="10" t="s">
        <v>12160</v>
      </c>
      <c r="O679" s="9"/>
      <c r="P679" s="9">
        <v>4240</v>
      </c>
      <c r="Q679" s="9"/>
      <c r="R679" s="9" t="s">
        <v>12795</v>
      </c>
      <c r="S679" s="9" t="s">
        <v>12795</v>
      </c>
      <c r="T679" s="9"/>
      <c r="U679" s="9"/>
      <c r="V679" s="9"/>
      <c r="W679" s="9"/>
      <c r="X679" s="9"/>
      <c r="Y679" s="9"/>
      <c r="Z679" s="9"/>
      <c r="AA679" s="9"/>
      <c r="AB679" s="9"/>
      <c r="AC679" s="9"/>
      <c r="AD679" s="9" t="s">
        <v>19</v>
      </c>
    </row>
    <row r="680" spans="1:30" ht="29">
      <c r="A680" s="3" t="s">
        <v>2028</v>
      </c>
      <c r="B680" s="3" t="s">
        <v>7014</v>
      </c>
      <c r="C680" s="3" t="s">
        <v>7013</v>
      </c>
      <c r="G680" s="9" t="s">
        <v>25</v>
      </c>
      <c r="H680" s="9"/>
      <c r="I680" s="9">
        <v>2</v>
      </c>
      <c r="J680" s="9">
        <v>7</v>
      </c>
      <c r="K680" s="9"/>
      <c r="L680" s="9" t="s">
        <v>12079</v>
      </c>
      <c r="M680" s="9"/>
      <c r="N680" s="10"/>
      <c r="O680" s="9"/>
      <c r="P680" s="9">
        <v>4240</v>
      </c>
      <c r="Q680" s="9"/>
      <c r="R680" s="9" t="s">
        <v>12795</v>
      </c>
      <c r="S680" s="9" t="s">
        <v>12795</v>
      </c>
      <c r="T680" s="9"/>
      <c r="U680" s="9"/>
      <c r="V680" s="9"/>
      <c r="W680" s="9"/>
      <c r="X680" s="9"/>
      <c r="Y680" s="9"/>
      <c r="Z680" s="9"/>
      <c r="AA680" s="9"/>
      <c r="AB680" s="9"/>
      <c r="AC680" s="9"/>
      <c r="AD680" s="9" t="s">
        <v>19</v>
      </c>
    </row>
    <row r="681" spans="1:30" ht="29">
      <c r="A681" s="3" t="s">
        <v>2028</v>
      </c>
      <c r="B681" s="3" t="s">
        <v>7015</v>
      </c>
      <c r="C681" s="3" t="s">
        <v>12669</v>
      </c>
      <c r="E681" t="s">
        <v>20</v>
      </c>
      <c r="G681" s="9" t="s">
        <v>12118</v>
      </c>
      <c r="H681" s="9"/>
      <c r="I681" s="9"/>
      <c r="J681" s="9"/>
      <c r="K681" s="9"/>
      <c r="L681" s="9"/>
      <c r="M681" s="9"/>
      <c r="N681" s="10"/>
      <c r="O681" s="9"/>
      <c r="P681" s="9"/>
      <c r="Q681" s="9">
        <v>-9877</v>
      </c>
      <c r="R681" s="9">
        <v>11843</v>
      </c>
      <c r="S681" s="9">
        <v>1966</v>
      </c>
      <c r="T681" s="9"/>
      <c r="U681" s="9"/>
      <c r="V681" s="9"/>
      <c r="W681" s="9"/>
      <c r="X681" s="9"/>
      <c r="Y681" s="9"/>
      <c r="Z681" s="9"/>
      <c r="AA681" s="9"/>
      <c r="AB681" s="9"/>
      <c r="AC681" s="9"/>
      <c r="AD681" s="9" t="s">
        <v>19</v>
      </c>
    </row>
    <row r="682" spans="1:30" ht="29">
      <c r="A682" s="3" t="s">
        <v>2032</v>
      </c>
      <c r="B682" s="3" t="s">
        <v>7017</v>
      </c>
      <c r="C682" s="3" t="s">
        <v>7018</v>
      </c>
      <c r="G682" s="9" t="s">
        <v>25</v>
      </c>
      <c r="H682" s="9"/>
      <c r="I682" s="9">
        <v>1</v>
      </c>
      <c r="J682" s="9">
        <v>3</v>
      </c>
      <c r="K682" s="9" t="s">
        <v>12087</v>
      </c>
      <c r="L682" s="9" t="s">
        <v>12079</v>
      </c>
      <c r="M682" s="9"/>
      <c r="N682" s="10"/>
      <c r="O682" s="9"/>
      <c r="P682" s="9">
        <v>810</v>
      </c>
      <c r="Q682" s="9"/>
      <c r="R682" s="9" t="s">
        <v>12795</v>
      </c>
      <c r="S682" s="9" t="s">
        <v>12795</v>
      </c>
      <c r="T682" s="9"/>
      <c r="U682" s="9"/>
      <c r="V682" s="9"/>
      <c r="W682" s="9"/>
      <c r="X682" s="9"/>
      <c r="Y682" s="9"/>
      <c r="Z682" s="9"/>
      <c r="AA682" s="9"/>
      <c r="AB682" s="9"/>
      <c r="AC682" s="9"/>
      <c r="AD682" s="9" t="s">
        <v>19</v>
      </c>
    </row>
    <row r="683" spans="1:30" ht="58">
      <c r="A683" s="3" t="s">
        <v>2032</v>
      </c>
      <c r="B683" s="3" t="s">
        <v>13027</v>
      </c>
      <c r="C683" s="3" t="s">
        <v>13028</v>
      </c>
      <c r="G683" s="9" t="s">
        <v>25</v>
      </c>
      <c r="H683" s="9"/>
      <c r="I683" s="9">
        <v>4</v>
      </c>
      <c r="J683" s="9">
        <v>26</v>
      </c>
      <c r="K683" s="9"/>
      <c r="L683" s="9" t="s">
        <v>12073</v>
      </c>
      <c r="M683" s="9" t="s">
        <v>12140</v>
      </c>
      <c r="N683" s="10" t="s">
        <v>12194</v>
      </c>
      <c r="O683" s="9"/>
      <c r="P683" s="9">
        <v>11</v>
      </c>
      <c r="Q683" s="9"/>
      <c r="R683" s="9" t="s">
        <v>12795</v>
      </c>
      <c r="S683" s="9" t="s">
        <v>12795</v>
      </c>
      <c r="T683" s="9"/>
      <c r="U683" s="9"/>
      <c r="V683" s="9"/>
      <c r="W683" s="9"/>
      <c r="X683" s="9"/>
      <c r="Y683" s="9"/>
      <c r="Z683" s="9"/>
      <c r="AA683" s="9"/>
      <c r="AB683" s="9"/>
      <c r="AC683" s="9"/>
      <c r="AD683" s="9" t="s">
        <v>20</v>
      </c>
    </row>
    <row r="684" spans="1:30">
      <c r="A684" s="3" t="s">
        <v>2038</v>
      </c>
      <c r="B684" s="3" t="s">
        <v>7032</v>
      </c>
      <c r="C684" s="3" t="s">
        <v>7033</v>
      </c>
      <c r="G684" s="9" t="s">
        <v>12120</v>
      </c>
      <c r="H684" s="9"/>
      <c r="I684" s="9"/>
      <c r="J684" s="9"/>
      <c r="K684" s="9"/>
      <c r="L684" s="9"/>
      <c r="M684" s="9"/>
      <c r="N684" s="10"/>
      <c r="O684" s="9"/>
      <c r="P684" s="9"/>
      <c r="Q684" s="9"/>
      <c r="R684" s="9" t="s">
        <v>12795</v>
      </c>
      <c r="S684" s="9" t="s">
        <v>12795</v>
      </c>
      <c r="T684" s="9"/>
      <c r="U684" s="9"/>
      <c r="V684" s="9"/>
      <c r="W684" s="9"/>
      <c r="X684" s="9"/>
      <c r="Y684" s="9"/>
      <c r="Z684" s="9"/>
      <c r="AA684" s="9"/>
      <c r="AB684" s="9"/>
      <c r="AC684" s="9"/>
      <c r="AD684" s="9" t="s">
        <v>20</v>
      </c>
    </row>
    <row r="685" spans="1:30" ht="29">
      <c r="A685" s="3" t="s">
        <v>2042</v>
      </c>
      <c r="B685" s="3" t="s">
        <v>7037</v>
      </c>
      <c r="C685" s="3" t="s">
        <v>7036</v>
      </c>
      <c r="G685" s="9" t="s">
        <v>26</v>
      </c>
      <c r="H685" s="9"/>
      <c r="I685" s="9"/>
      <c r="J685" s="9"/>
      <c r="K685" s="9"/>
      <c r="L685" s="9"/>
      <c r="M685" s="9"/>
      <c r="N685" s="10"/>
      <c r="O685" s="9"/>
      <c r="P685" s="9"/>
      <c r="Q685" s="9"/>
      <c r="R685" s="9" t="s">
        <v>12795</v>
      </c>
      <c r="S685" s="9" t="s">
        <v>12795</v>
      </c>
      <c r="T685" s="9"/>
      <c r="U685" s="9"/>
      <c r="V685" s="9"/>
      <c r="W685" s="9"/>
      <c r="X685" s="9"/>
      <c r="Y685" s="9"/>
      <c r="Z685" s="9"/>
      <c r="AA685" s="9"/>
      <c r="AB685" s="9"/>
      <c r="AC685" s="9"/>
      <c r="AD685" s="9" t="s">
        <v>20</v>
      </c>
    </row>
    <row r="686" spans="1:30" ht="43.5">
      <c r="A686" s="3" t="s">
        <v>2042</v>
      </c>
      <c r="B686" s="3" t="s">
        <v>7039</v>
      </c>
      <c r="C686" s="3" t="s">
        <v>7038</v>
      </c>
      <c r="G686" s="9" t="s">
        <v>26</v>
      </c>
      <c r="H686" s="9"/>
      <c r="I686" s="9"/>
      <c r="J686" s="9"/>
      <c r="K686" s="9"/>
      <c r="L686" s="9"/>
      <c r="M686" s="9"/>
      <c r="N686" s="10"/>
      <c r="O686" s="9"/>
      <c r="P686" s="9"/>
      <c r="Q686" s="9"/>
      <c r="R686" s="9" t="s">
        <v>12795</v>
      </c>
      <c r="S686" s="9" t="s">
        <v>12795</v>
      </c>
      <c r="T686" s="9"/>
      <c r="U686" s="9"/>
      <c r="V686" s="9"/>
      <c r="W686" s="9"/>
      <c r="X686" s="9"/>
      <c r="Y686" s="9"/>
      <c r="Z686" s="9"/>
      <c r="AA686" s="9"/>
      <c r="AB686" s="9"/>
      <c r="AC686" s="9"/>
      <c r="AD686" s="9" t="s">
        <v>20</v>
      </c>
    </row>
    <row r="687" spans="1:30" ht="101.5">
      <c r="A687" s="3" t="s">
        <v>2044</v>
      </c>
      <c r="B687" s="3" t="s">
        <v>12888</v>
      </c>
      <c r="C687" s="3" t="s">
        <v>12889</v>
      </c>
      <c r="G687" s="9" t="s">
        <v>25</v>
      </c>
      <c r="H687" s="9"/>
      <c r="I687" s="9">
        <v>12</v>
      </c>
      <c r="J687" s="9">
        <v>60</v>
      </c>
      <c r="K687" s="9"/>
      <c r="L687" s="9" t="s">
        <v>12073</v>
      </c>
      <c r="M687" s="9" t="s">
        <v>12140</v>
      </c>
      <c r="N687" s="10" t="s">
        <v>12344</v>
      </c>
      <c r="O687" s="9"/>
      <c r="P687" s="9">
        <v>2</v>
      </c>
      <c r="Q687" s="9"/>
      <c r="R687" s="9" t="s">
        <v>12795</v>
      </c>
      <c r="S687" s="9" t="s">
        <v>12795</v>
      </c>
      <c r="T687" s="9"/>
      <c r="U687" s="9"/>
      <c r="V687" s="9"/>
      <c r="W687" s="9"/>
      <c r="X687" s="9"/>
      <c r="Y687" s="9"/>
      <c r="Z687" s="9"/>
      <c r="AA687" s="9"/>
      <c r="AB687" s="9"/>
      <c r="AC687" s="9"/>
      <c r="AD687" s="9" t="s">
        <v>20</v>
      </c>
    </row>
    <row r="688" spans="1:30" ht="29">
      <c r="A688" s="3" t="s">
        <v>2046</v>
      </c>
      <c r="B688" s="3" t="s">
        <v>7045</v>
      </c>
      <c r="C688" s="3" t="s">
        <v>7044</v>
      </c>
      <c r="G688" s="9" t="s">
        <v>26</v>
      </c>
      <c r="H688" s="9"/>
      <c r="I688" s="9"/>
      <c r="J688" s="9"/>
      <c r="K688" s="9"/>
      <c r="L688" s="9"/>
      <c r="M688" s="9"/>
      <c r="N688" s="10"/>
      <c r="O688" s="9"/>
      <c r="P688" s="9"/>
      <c r="Q688" s="9"/>
      <c r="R688" s="9" t="s">
        <v>12795</v>
      </c>
      <c r="S688" s="9" t="s">
        <v>12795</v>
      </c>
      <c r="T688" s="9"/>
      <c r="U688" s="9"/>
      <c r="V688" s="9"/>
      <c r="W688" s="9"/>
      <c r="X688" s="9"/>
      <c r="Y688" s="9"/>
      <c r="Z688" s="9"/>
      <c r="AA688" s="9"/>
      <c r="AB688" s="9"/>
      <c r="AC688" s="9"/>
      <c r="AD688" s="9" t="s">
        <v>20</v>
      </c>
    </row>
    <row r="689" spans="1:30">
      <c r="A689" s="3" t="s">
        <v>2047</v>
      </c>
      <c r="B689" s="3" t="s">
        <v>7047</v>
      </c>
      <c r="C689" s="3" t="s">
        <v>7046</v>
      </c>
      <c r="G689" s="9" t="s">
        <v>26</v>
      </c>
      <c r="H689" s="9"/>
      <c r="I689" s="9"/>
      <c r="J689" s="9"/>
      <c r="K689" s="9"/>
      <c r="L689" s="9"/>
      <c r="M689" s="9"/>
      <c r="N689" s="10"/>
      <c r="O689" s="9"/>
      <c r="P689" s="9"/>
      <c r="Q689" s="9"/>
      <c r="R689" s="9" t="s">
        <v>12795</v>
      </c>
      <c r="S689" s="9" t="s">
        <v>12795</v>
      </c>
      <c r="T689" s="9"/>
      <c r="U689" s="9"/>
      <c r="V689" s="9"/>
      <c r="W689" s="9"/>
      <c r="X689" s="9"/>
      <c r="Y689" s="9"/>
      <c r="Z689" s="9"/>
      <c r="AA689" s="9"/>
      <c r="AB689" s="9"/>
      <c r="AC689" s="9"/>
      <c r="AD689" s="9" t="s">
        <v>19</v>
      </c>
    </row>
    <row r="690" spans="1:30" ht="29">
      <c r="A690" s="3" t="s">
        <v>2055</v>
      </c>
      <c r="B690" s="3" t="s">
        <v>7052</v>
      </c>
      <c r="C690" s="3" t="s">
        <v>7053</v>
      </c>
      <c r="G690" s="9" t="s">
        <v>12118</v>
      </c>
      <c r="H690" s="9"/>
      <c r="I690" s="9"/>
      <c r="J690" s="9"/>
      <c r="K690" s="9"/>
      <c r="L690" s="9"/>
      <c r="M690" s="9"/>
      <c r="N690" s="10"/>
      <c r="O690" s="9"/>
      <c r="P690" s="9"/>
      <c r="Q690" s="9">
        <v>734</v>
      </c>
      <c r="R690" s="9">
        <v>560</v>
      </c>
      <c r="S690" s="9">
        <v>1294</v>
      </c>
      <c r="T690" s="9"/>
      <c r="U690" s="9"/>
      <c r="V690" s="9"/>
      <c r="W690" s="9"/>
      <c r="X690" s="9"/>
      <c r="Y690" s="9"/>
      <c r="Z690" s="9"/>
      <c r="AA690" s="9"/>
      <c r="AB690" s="9"/>
      <c r="AC690" s="9"/>
      <c r="AD690" s="9" t="s">
        <v>19</v>
      </c>
    </row>
    <row r="691" spans="1:30" ht="29">
      <c r="A691" s="3" t="s">
        <v>2057</v>
      </c>
      <c r="B691" s="3" t="s">
        <v>7057</v>
      </c>
      <c r="C691" s="3" t="s">
        <v>7056</v>
      </c>
      <c r="G691" s="9" t="s">
        <v>26</v>
      </c>
      <c r="H691" s="9"/>
      <c r="I691" s="9"/>
      <c r="J691" s="9"/>
      <c r="K691" s="9"/>
      <c r="L691" s="9"/>
      <c r="M691" s="9"/>
      <c r="N691" s="10"/>
      <c r="O691" s="9"/>
      <c r="P691" s="9"/>
      <c r="Q691" s="9"/>
      <c r="R691" s="9" t="s">
        <v>12795</v>
      </c>
      <c r="S691" s="9" t="s">
        <v>12795</v>
      </c>
      <c r="T691" s="9"/>
      <c r="U691" s="9"/>
      <c r="V691" s="9"/>
      <c r="W691" s="9"/>
      <c r="X691" s="9"/>
      <c r="Y691" s="9"/>
      <c r="Z691" s="9"/>
      <c r="AA691" s="9"/>
      <c r="AB691" s="9"/>
      <c r="AC691" s="9"/>
      <c r="AD691" s="9" t="s">
        <v>20</v>
      </c>
    </row>
    <row r="692" spans="1:30">
      <c r="A692" s="3" t="s">
        <v>2058</v>
      </c>
      <c r="B692" s="3" t="s">
        <v>7060</v>
      </c>
      <c r="C692" s="3" t="s">
        <v>7061</v>
      </c>
      <c r="G692" s="9" t="s">
        <v>24</v>
      </c>
      <c r="H692" s="9"/>
      <c r="I692" s="9">
        <v>1</v>
      </c>
      <c r="J692" s="9">
        <v>1</v>
      </c>
      <c r="K692" s="9" t="s">
        <v>12078</v>
      </c>
      <c r="L692" s="9" t="s">
        <v>12119</v>
      </c>
      <c r="M692" s="9"/>
      <c r="N692" s="10"/>
      <c r="O692" s="9"/>
      <c r="P692" s="9">
        <v>11843</v>
      </c>
      <c r="Q692" s="9"/>
      <c r="R692" s="9" t="s">
        <v>12795</v>
      </c>
      <c r="S692" s="9" t="s">
        <v>12795</v>
      </c>
      <c r="T692" s="9"/>
      <c r="U692" s="9"/>
      <c r="V692" s="9"/>
      <c r="W692" s="9"/>
      <c r="X692" s="9"/>
      <c r="Y692" s="9"/>
      <c r="Z692" s="9"/>
      <c r="AA692" s="9"/>
      <c r="AB692" s="9"/>
      <c r="AC692" s="9"/>
      <c r="AD692" s="9" t="s">
        <v>19</v>
      </c>
    </row>
    <row r="693" spans="1:30" ht="29">
      <c r="A693" s="3" t="s">
        <v>2059</v>
      </c>
      <c r="B693" s="3" t="s">
        <v>12349</v>
      </c>
      <c r="C693" s="3" t="s">
        <v>12350</v>
      </c>
      <c r="G693" s="9" t="s">
        <v>26</v>
      </c>
      <c r="H693" s="9"/>
      <c r="I693" s="9"/>
      <c r="J693" s="9"/>
      <c r="K693" s="9"/>
      <c r="L693" s="9"/>
      <c r="M693" s="9"/>
      <c r="N693" s="10"/>
      <c r="O693" s="9"/>
      <c r="P693" s="9"/>
      <c r="Q693" s="9"/>
      <c r="R693" s="9" t="s">
        <v>12795</v>
      </c>
      <c r="S693" s="9" t="s">
        <v>12795</v>
      </c>
      <c r="T693" s="9"/>
      <c r="U693" s="9"/>
      <c r="V693" s="9"/>
      <c r="W693" s="9"/>
      <c r="X693" s="9"/>
      <c r="Y693" s="9"/>
      <c r="Z693" s="9"/>
      <c r="AA693" s="9"/>
      <c r="AB693" s="9"/>
      <c r="AC693" s="9"/>
      <c r="AD693" s="9" t="s">
        <v>19</v>
      </c>
    </row>
    <row r="694" spans="1:30" ht="29">
      <c r="A694" s="3" t="s">
        <v>2059</v>
      </c>
      <c r="B694" s="3" t="s">
        <v>7062</v>
      </c>
      <c r="C694" s="3" t="s">
        <v>12351</v>
      </c>
      <c r="G694" s="9" t="s">
        <v>24</v>
      </c>
      <c r="H694" s="9"/>
      <c r="I694" s="9">
        <v>1</v>
      </c>
      <c r="J694" s="9">
        <v>2</v>
      </c>
      <c r="K694" s="9" t="s">
        <v>12078</v>
      </c>
      <c r="L694" s="9" t="s">
        <v>12119</v>
      </c>
      <c r="M694" s="9"/>
      <c r="N694" s="10"/>
      <c r="O694" s="9"/>
      <c r="P694" s="9">
        <v>11843</v>
      </c>
      <c r="Q694" s="9"/>
      <c r="R694" s="9" t="s">
        <v>12795</v>
      </c>
      <c r="S694" s="9" t="s">
        <v>12795</v>
      </c>
      <c r="T694" s="9"/>
      <c r="U694" s="9"/>
      <c r="V694" s="9"/>
      <c r="W694" s="9"/>
      <c r="X694" s="9"/>
      <c r="Y694" s="9"/>
      <c r="Z694" s="9"/>
      <c r="AA694" s="9"/>
      <c r="AB694" s="9"/>
      <c r="AC694" s="9"/>
      <c r="AD694" s="9" t="s">
        <v>19</v>
      </c>
    </row>
    <row r="695" spans="1:30" ht="29">
      <c r="A695" s="3" t="s">
        <v>2063</v>
      </c>
      <c r="B695" s="3" t="s">
        <v>7066</v>
      </c>
      <c r="C695" s="3" t="s">
        <v>7065</v>
      </c>
      <c r="G695" s="9" t="s">
        <v>25</v>
      </c>
      <c r="H695" s="9"/>
      <c r="I695" s="9">
        <v>2</v>
      </c>
      <c r="J695" s="9">
        <v>7</v>
      </c>
      <c r="K695" s="9"/>
      <c r="L695" s="9" t="s">
        <v>12079</v>
      </c>
      <c r="M695" s="9"/>
      <c r="N695" s="10"/>
      <c r="O695" s="9"/>
      <c r="P695" s="9">
        <v>160</v>
      </c>
      <c r="Q695" s="9"/>
      <c r="R695" s="9" t="s">
        <v>12795</v>
      </c>
      <c r="S695" s="9" t="s">
        <v>12795</v>
      </c>
      <c r="T695" s="9"/>
      <c r="U695" s="9"/>
      <c r="V695" s="9"/>
      <c r="W695" s="9"/>
      <c r="X695" s="9"/>
      <c r="Y695" s="9"/>
      <c r="Z695" s="9"/>
      <c r="AA695" s="9"/>
      <c r="AB695" s="9"/>
      <c r="AC695" s="9"/>
      <c r="AD695" s="9" t="s">
        <v>19</v>
      </c>
    </row>
    <row r="696" spans="1:30">
      <c r="A696" s="3" t="s">
        <v>2066</v>
      </c>
      <c r="B696" s="3" t="s">
        <v>7071</v>
      </c>
      <c r="C696" s="3" t="s">
        <v>7072</v>
      </c>
      <c r="G696" s="9" t="s">
        <v>12120</v>
      </c>
      <c r="H696" s="9"/>
      <c r="I696" s="9"/>
      <c r="J696" s="9"/>
      <c r="K696" s="9"/>
      <c r="L696" s="9"/>
      <c r="M696" s="9"/>
      <c r="N696" s="10"/>
      <c r="O696" s="9"/>
      <c r="P696" s="9"/>
      <c r="Q696" s="9"/>
      <c r="R696" s="9" t="s">
        <v>12795</v>
      </c>
      <c r="S696" s="9" t="s">
        <v>12795</v>
      </c>
      <c r="T696" s="9"/>
      <c r="U696" s="9"/>
      <c r="V696" s="9"/>
      <c r="W696" s="9"/>
      <c r="X696" s="9"/>
      <c r="Y696" s="9"/>
      <c r="Z696" s="9"/>
      <c r="AA696" s="9"/>
      <c r="AB696" s="9"/>
      <c r="AC696" s="9"/>
      <c r="AD696" s="9" t="s">
        <v>20</v>
      </c>
    </row>
    <row r="697" spans="1:30">
      <c r="A697" s="3" t="s">
        <v>2067</v>
      </c>
      <c r="B697" s="3" t="s">
        <v>7075</v>
      </c>
      <c r="C697" s="3" t="s">
        <v>7076</v>
      </c>
      <c r="G697" s="9" t="s">
        <v>25</v>
      </c>
      <c r="H697" s="9"/>
      <c r="I697" s="9">
        <v>1</v>
      </c>
      <c r="J697" s="9">
        <v>2</v>
      </c>
      <c r="K697" s="9" t="s">
        <v>12078</v>
      </c>
      <c r="L697" s="9" t="s">
        <v>12119</v>
      </c>
      <c r="M697" s="9"/>
      <c r="N697" s="10"/>
      <c r="O697" s="9" t="s">
        <v>12074</v>
      </c>
      <c r="P697" s="9">
        <v>11843</v>
      </c>
      <c r="Q697" s="9"/>
      <c r="R697" s="9" t="s">
        <v>12795</v>
      </c>
      <c r="S697" s="9" t="s">
        <v>12795</v>
      </c>
      <c r="T697" s="9"/>
      <c r="U697" s="9"/>
      <c r="V697" s="9"/>
      <c r="W697" s="9"/>
      <c r="X697" s="9"/>
      <c r="Y697" s="9"/>
      <c r="Z697" s="9"/>
      <c r="AA697" s="9"/>
      <c r="AB697" s="9"/>
      <c r="AC697" s="9"/>
      <c r="AD697" s="9" t="s">
        <v>20</v>
      </c>
    </row>
    <row r="698" spans="1:30">
      <c r="A698" s="3" t="s">
        <v>2075</v>
      </c>
      <c r="B698" s="3" t="s">
        <v>7080</v>
      </c>
      <c r="C698" s="3" t="s">
        <v>7081</v>
      </c>
      <c r="G698" s="9" t="s">
        <v>25</v>
      </c>
      <c r="H698" s="9"/>
      <c r="I698" s="9">
        <v>1</v>
      </c>
      <c r="J698" s="9">
        <v>5</v>
      </c>
      <c r="K698" s="9" t="s">
        <v>12094</v>
      </c>
      <c r="L698" s="9" t="s">
        <v>12079</v>
      </c>
      <c r="M698" s="9"/>
      <c r="N698" s="10"/>
      <c r="O698" s="9"/>
      <c r="P698" s="9">
        <v>4240</v>
      </c>
      <c r="Q698" s="9"/>
      <c r="R698" s="9" t="s">
        <v>12795</v>
      </c>
      <c r="S698" s="9" t="s">
        <v>12795</v>
      </c>
      <c r="T698" s="9"/>
      <c r="U698" s="9"/>
      <c r="V698" s="9"/>
      <c r="W698" s="9"/>
      <c r="X698" s="9"/>
      <c r="Y698" s="9"/>
      <c r="Z698" s="9"/>
      <c r="AA698" s="9"/>
      <c r="AB698" s="9"/>
      <c r="AC698" s="9"/>
      <c r="AD698" s="9" t="s">
        <v>20</v>
      </c>
    </row>
    <row r="699" spans="1:30" ht="29">
      <c r="A699" s="3" t="s">
        <v>2103</v>
      </c>
      <c r="B699" s="3" t="s">
        <v>12354</v>
      </c>
      <c r="C699" s="3" t="s">
        <v>13029</v>
      </c>
      <c r="G699" s="9" t="s">
        <v>12120</v>
      </c>
      <c r="H699" s="9"/>
      <c r="I699" s="9"/>
      <c r="J699" s="9"/>
      <c r="K699" s="9"/>
      <c r="L699" s="9"/>
      <c r="M699" s="9"/>
      <c r="N699" s="10"/>
      <c r="O699" s="9"/>
      <c r="P699" s="9"/>
      <c r="Q699" s="9"/>
      <c r="R699" s="9" t="s">
        <v>12795</v>
      </c>
      <c r="S699" s="9" t="s">
        <v>12795</v>
      </c>
      <c r="T699" s="9"/>
      <c r="U699" s="9"/>
      <c r="V699" s="9"/>
      <c r="W699" s="9"/>
      <c r="X699" s="9"/>
      <c r="Y699" s="9"/>
      <c r="Z699" s="9"/>
      <c r="AA699" s="9"/>
      <c r="AB699" s="9"/>
      <c r="AC699" s="9"/>
      <c r="AD699" s="9" t="s">
        <v>19</v>
      </c>
    </row>
    <row r="700" spans="1:30">
      <c r="A700" s="3" t="s">
        <v>2106</v>
      </c>
      <c r="B700" s="3" t="s">
        <v>7091</v>
      </c>
      <c r="C700" s="3" t="s">
        <v>7092</v>
      </c>
      <c r="G700" s="9" t="s">
        <v>25</v>
      </c>
      <c r="H700" s="9"/>
      <c r="I700" s="9">
        <v>1</v>
      </c>
      <c r="J700" s="9">
        <v>1</v>
      </c>
      <c r="K700" s="9" t="s">
        <v>12078</v>
      </c>
      <c r="L700" s="9" t="s">
        <v>12119</v>
      </c>
      <c r="M700" s="9"/>
      <c r="N700" s="10"/>
      <c r="O700" s="9" t="s">
        <v>12074</v>
      </c>
      <c r="P700" s="9">
        <v>11843</v>
      </c>
      <c r="Q700" s="9"/>
      <c r="R700" s="9" t="s">
        <v>12795</v>
      </c>
      <c r="S700" s="9" t="s">
        <v>12795</v>
      </c>
      <c r="T700" s="9"/>
      <c r="U700" s="9"/>
      <c r="V700" s="9"/>
      <c r="W700" s="9"/>
      <c r="X700" s="9"/>
      <c r="Y700" s="9"/>
      <c r="Z700" s="9"/>
      <c r="AA700" s="9"/>
      <c r="AB700" s="9"/>
      <c r="AC700" s="9"/>
      <c r="AD700" s="9" t="s">
        <v>20</v>
      </c>
    </row>
    <row r="701" spans="1:30">
      <c r="A701" s="3" t="s">
        <v>2108</v>
      </c>
      <c r="B701" s="3" t="s">
        <v>7095</v>
      </c>
      <c r="C701" s="3" t="s">
        <v>7096</v>
      </c>
      <c r="G701" s="9" t="s">
        <v>25</v>
      </c>
      <c r="H701" s="9"/>
      <c r="I701" s="9">
        <v>1</v>
      </c>
      <c r="J701" s="9">
        <v>1</v>
      </c>
      <c r="K701" s="9" t="s">
        <v>12078</v>
      </c>
      <c r="L701" s="9" t="s">
        <v>12119</v>
      </c>
      <c r="M701" s="9"/>
      <c r="N701" s="10"/>
      <c r="O701" s="9"/>
      <c r="P701" s="9">
        <v>11843</v>
      </c>
      <c r="Q701" s="9"/>
      <c r="R701" s="9" t="s">
        <v>12795</v>
      </c>
      <c r="S701" s="9" t="s">
        <v>12795</v>
      </c>
      <c r="T701" s="9"/>
      <c r="U701" s="9"/>
      <c r="V701" s="9"/>
      <c r="W701" s="9"/>
      <c r="X701" s="9"/>
      <c r="Y701" s="9"/>
      <c r="Z701" s="9"/>
      <c r="AA701" s="9"/>
      <c r="AB701" s="9"/>
      <c r="AC701" s="9"/>
      <c r="AD701" s="9" t="s">
        <v>20</v>
      </c>
    </row>
    <row r="702" spans="1:30" ht="29">
      <c r="A702" s="3" t="s">
        <v>2109</v>
      </c>
      <c r="B702" s="3" t="s">
        <v>7097</v>
      </c>
      <c r="C702" s="3" t="s">
        <v>12355</v>
      </c>
      <c r="G702" s="9" t="s">
        <v>24</v>
      </c>
      <c r="H702" s="9"/>
      <c r="I702" s="9">
        <v>1</v>
      </c>
      <c r="J702" s="9">
        <v>2</v>
      </c>
      <c r="K702" s="9" t="s">
        <v>12078</v>
      </c>
      <c r="L702" s="9" t="s">
        <v>12119</v>
      </c>
      <c r="M702" s="9"/>
      <c r="N702" s="10"/>
      <c r="O702" s="9"/>
      <c r="P702" s="9">
        <v>11843</v>
      </c>
      <c r="Q702" s="9"/>
      <c r="R702" s="9" t="s">
        <v>12795</v>
      </c>
      <c r="S702" s="9" t="s">
        <v>12795</v>
      </c>
      <c r="T702" s="9"/>
      <c r="U702" s="9"/>
      <c r="V702" s="9"/>
      <c r="W702" s="9"/>
      <c r="X702" s="9"/>
      <c r="Y702" s="9"/>
      <c r="Z702" s="9"/>
      <c r="AA702" s="9"/>
      <c r="AB702" s="9"/>
      <c r="AC702" s="9"/>
      <c r="AD702" s="9" t="s">
        <v>19</v>
      </c>
    </row>
    <row r="703" spans="1:30" ht="29">
      <c r="A703" s="3" t="s">
        <v>2109</v>
      </c>
      <c r="B703" s="3" t="s">
        <v>7097</v>
      </c>
      <c r="C703" s="3" t="s">
        <v>12356</v>
      </c>
      <c r="G703" s="9" t="s">
        <v>24</v>
      </c>
      <c r="H703" s="9"/>
      <c r="I703" s="9">
        <v>1</v>
      </c>
      <c r="J703" s="9">
        <v>3</v>
      </c>
      <c r="K703" s="9" t="s">
        <v>12078</v>
      </c>
      <c r="L703" s="9" t="s">
        <v>12079</v>
      </c>
      <c r="M703" s="9"/>
      <c r="N703" s="10"/>
      <c r="O703" s="9"/>
      <c r="P703" s="9">
        <v>11843</v>
      </c>
      <c r="Q703" s="9"/>
      <c r="R703" s="9" t="s">
        <v>12795</v>
      </c>
      <c r="S703" s="9" t="s">
        <v>12795</v>
      </c>
      <c r="T703" s="9"/>
      <c r="U703" s="9"/>
      <c r="V703" s="9"/>
      <c r="W703" s="9"/>
      <c r="X703" s="9"/>
      <c r="Y703" s="9"/>
      <c r="Z703" s="9"/>
      <c r="AA703" s="9"/>
      <c r="AB703" s="9"/>
      <c r="AC703" s="9"/>
      <c r="AD703" s="9" t="s">
        <v>19</v>
      </c>
    </row>
    <row r="704" spans="1:30">
      <c r="A704" s="3" t="s">
        <v>2112</v>
      </c>
      <c r="B704" s="3" t="s">
        <v>7098</v>
      </c>
      <c r="C704" s="3" t="s">
        <v>7099</v>
      </c>
      <c r="G704" s="9" t="s">
        <v>24</v>
      </c>
      <c r="H704" s="9"/>
      <c r="I704" s="9">
        <v>1</v>
      </c>
      <c r="J704" s="9">
        <v>3</v>
      </c>
      <c r="K704" s="9" t="s">
        <v>12078</v>
      </c>
      <c r="L704" s="9" t="s">
        <v>12079</v>
      </c>
      <c r="M704" s="9"/>
      <c r="N704" s="10"/>
      <c r="O704" s="9"/>
      <c r="P704" s="9">
        <v>11843</v>
      </c>
      <c r="Q704" s="9"/>
      <c r="R704" s="9" t="s">
        <v>12795</v>
      </c>
      <c r="S704" s="9" t="s">
        <v>12795</v>
      </c>
      <c r="T704" s="9" t="s">
        <v>12117</v>
      </c>
      <c r="U704" s="9"/>
      <c r="V704" s="9"/>
      <c r="W704" s="9"/>
      <c r="X704" s="9"/>
      <c r="Y704" s="9"/>
      <c r="Z704" s="9"/>
      <c r="AA704" s="9"/>
      <c r="AB704" s="9"/>
      <c r="AC704" s="9"/>
      <c r="AD704" s="9" t="s">
        <v>19</v>
      </c>
    </row>
    <row r="705" spans="1:30" ht="29">
      <c r="A705" s="3" t="s">
        <v>2114</v>
      </c>
      <c r="B705" s="3" t="s">
        <v>7102</v>
      </c>
      <c r="C705" s="3" t="s">
        <v>7103</v>
      </c>
      <c r="G705" s="9" t="s">
        <v>25</v>
      </c>
      <c r="H705" s="9"/>
      <c r="I705" s="9">
        <v>1</v>
      </c>
      <c r="J705" s="9">
        <v>9</v>
      </c>
      <c r="K705" s="9" t="s">
        <v>12092</v>
      </c>
      <c r="L705" s="9" t="s">
        <v>12073</v>
      </c>
      <c r="M705" s="9" t="s">
        <v>12149</v>
      </c>
      <c r="N705" s="10" t="s">
        <v>12143</v>
      </c>
      <c r="O705" s="9"/>
      <c r="P705" s="9">
        <v>1</v>
      </c>
      <c r="Q705" s="9"/>
      <c r="R705" s="9" t="s">
        <v>12795</v>
      </c>
      <c r="S705" s="9" t="s">
        <v>12795</v>
      </c>
      <c r="T705" s="9"/>
      <c r="U705" s="9"/>
      <c r="V705" s="9"/>
      <c r="W705" s="9"/>
      <c r="X705" s="9"/>
      <c r="Y705" s="9"/>
      <c r="Z705" s="9"/>
      <c r="AA705" s="9"/>
      <c r="AB705" s="9"/>
      <c r="AC705" s="9"/>
      <c r="AD705" s="9" t="s">
        <v>20</v>
      </c>
    </row>
    <row r="706" spans="1:30" ht="58">
      <c r="A706" s="3" t="s">
        <v>2115</v>
      </c>
      <c r="B706" s="3" t="s">
        <v>12850</v>
      </c>
      <c r="C706" s="3" t="s">
        <v>12894</v>
      </c>
      <c r="G706" s="9" t="s">
        <v>26</v>
      </c>
      <c r="H706" s="9"/>
      <c r="I706" s="9"/>
      <c r="J706" s="9"/>
      <c r="K706" s="9"/>
      <c r="L706" s="9"/>
      <c r="M706" s="9"/>
      <c r="N706" s="10"/>
      <c r="O706" s="9"/>
      <c r="P706" s="9"/>
      <c r="Q706" s="9"/>
      <c r="R706" s="9" t="s">
        <v>12795</v>
      </c>
      <c r="S706" s="9" t="s">
        <v>12795</v>
      </c>
      <c r="T706" s="9"/>
      <c r="U706" s="9"/>
      <c r="V706" s="9"/>
      <c r="W706" s="9"/>
      <c r="X706" s="9"/>
      <c r="Y706" s="9"/>
      <c r="Z706" s="9"/>
      <c r="AA706" s="9"/>
      <c r="AB706" s="9"/>
      <c r="AC706" s="9"/>
      <c r="AD706" s="9" t="s">
        <v>19</v>
      </c>
    </row>
    <row r="707" spans="1:30">
      <c r="A707" s="3" t="s">
        <v>2117</v>
      </c>
      <c r="B707" s="3" t="s">
        <v>7113</v>
      </c>
      <c r="C707" s="3" t="s">
        <v>7112</v>
      </c>
      <c r="G707" s="9" t="s">
        <v>24</v>
      </c>
      <c r="H707" s="9"/>
      <c r="I707" s="9">
        <v>1</v>
      </c>
      <c r="J707" s="9">
        <v>2</v>
      </c>
      <c r="K707" s="9" t="s">
        <v>12078</v>
      </c>
      <c r="L707" s="9" t="s">
        <v>12119</v>
      </c>
      <c r="M707" s="9"/>
      <c r="N707" s="10"/>
      <c r="O707" s="9"/>
      <c r="P707" s="9">
        <v>11843</v>
      </c>
      <c r="Q707" s="9"/>
      <c r="R707" s="9" t="s">
        <v>12795</v>
      </c>
      <c r="S707" s="9" t="s">
        <v>12795</v>
      </c>
      <c r="T707" s="9"/>
      <c r="U707" s="9"/>
      <c r="V707" s="9"/>
      <c r="W707" s="9"/>
      <c r="X707" s="9"/>
      <c r="Y707" s="9"/>
      <c r="Z707" s="9"/>
      <c r="AA707" s="9"/>
      <c r="AB707" s="9"/>
      <c r="AC707" s="9"/>
      <c r="AD707" s="9" t="s">
        <v>19</v>
      </c>
    </row>
    <row r="708" spans="1:30" ht="29">
      <c r="A708" s="3" t="s">
        <v>2119</v>
      </c>
      <c r="B708" s="3" t="s">
        <v>7119</v>
      </c>
      <c r="C708" s="3" t="s">
        <v>7118</v>
      </c>
      <c r="G708" s="9" t="s">
        <v>24</v>
      </c>
      <c r="H708" s="9"/>
      <c r="I708" s="9">
        <v>1</v>
      </c>
      <c r="J708" s="9">
        <v>8</v>
      </c>
      <c r="K708" s="9" t="s">
        <v>12098</v>
      </c>
      <c r="L708" s="9" t="s">
        <v>12073</v>
      </c>
      <c r="M708" s="9" t="s">
        <v>12142</v>
      </c>
      <c r="N708" s="10" t="s">
        <v>12158</v>
      </c>
      <c r="O708" s="9"/>
      <c r="P708" s="9">
        <v>16</v>
      </c>
      <c r="Q708" s="9"/>
      <c r="R708" s="9" t="s">
        <v>12795</v>
      </c>
      <c r="S708" s="9" t="s">
        <v>12795</v>
      </c>
      <c r="T708" s="9"/>
      <c r="U708" s="9"/>
      <c r="V708" s="9"/>
      <c r="W708" s="9"/>
      <c r="X708" s="9"/>
      <c r="Y708" s="9"/>
      <c r="Z708" s="9"/>
      <c r="AA708" s="9"/>
      <c r="AB708" s="9"/>
      <c r="AC708" s="9"/>
      <c r="AD708" s="9" t="s">
        <v>19</v>
      </c>
    </row>
    <row r="709" spans="1:30" ht="29">
      <c r="A709" s="3" t="s">
        <v>2122</v>
      </c>
      <c r="B709" s="3" t="s">
        <v>7127</v>
      </c>
      <c r="C709" s="3" t="s">
        <v>7126</v>
      </c>
      <c r="G709" s="9" t="s">
        <v>26</v>
      </c>
      <c r="H709" s="9"/>
      <c r="I709" s="9"/>
      <c r="J709" s="9"/>
      <c r="K709" s="9"/>
      <c r="L709" s="9"/>
      <c r="M709" s="9"/>
      <c r="N709" s="10"/>
      <c r="O709" s="9"/>
      <c r="P709" s="9"/>
      <c r="Q709" s="9"/>
      <c r="R709" s="9" t="s">
        <v>12795</v>
      </c>
      <c r="S709" s="9" t="s">
        <v>12795</v>
      </c>
      <c r="T709" s="9"/>
      <c r="U709" s="9"/>
      <c r="V709" s="9"/>
      <c r="W709" s="9"/>
      <c r="X709" s="9"/>
      <c r="Y709" s="9"/>
      <c r="Z709" s="9"/>
      <c r="AA709" s="9"/>
      <c r="AB709" s="9"/>
      <c r="AC709" s="9"/>
      <c r="AD709" s="9" t="s">
        <v>20</v>
      </c>
    </row>
    <row r="710" spans="1:30">
      <c r="A710" s="3" t="s">
        <v>2124</v>
      </c>
      <c r="B710" s="3" t="s">
        <v>2125</v>
      </c>
      <c r="C710" s="3" t="s">
        <v>2126</v>
      </c>
      <c r="G710" s="9" t="s">
        <v>12120</v>
      </c>
      <c r="H710" s="9"/>
      <c r="I710" s="9"/>
      <c r="J710" s="9"/>
      <c r="K710" s="9"/>
      <c r="L710" s="9"/>
      <c r="M710" s="9"/>
      <c r="N710" s="10"/>
      <c r="O710" s="9"/>
      <c r="P710" s="9"/>
      <c r="Q710" s="9"/>
      <c r="R710" s="9" t="s">
        <v>12795</v>
      </c>
      <c r="S710" s="9" t="s">
        <v>12795</v>
      </c>
      <c r="T710" s="9"/>
      <c r="U710" s="9"/>
      <c r="V710" s="9"/>
      <c r="W710" s="9"/>
      <c r="X710" s="9"/>
      <c r="Y710" s="9"/>
      <c r="Z710" s="9"/>
      <c r="AA710" s="9"/>
      <c r="AB710" s="9"/>
      <c r="AC710" s="9"/>
      <c r="AD710" s="9" t="s">
        <v>20</v>
      </c>
    </row>
    <row r="711" spans="1:30">
      <c r="A711" s="3" t="s">
        <v>2131</v>
      </c>
      <c r="B711" s="3" t="s">
        <v>2134</v>
      </c>
      <c r="C711" s="3" t="s">
        <v>2135</v>
      </c>
      <c r="G711" s="9" t="s">
        <v>12120</v>
      </c>
      <c r="H711" s="9"/>
      <c r="I711" s="9"/>
      <c r="J711" s="9"/>
      <c r="K711" s="9"/>
      <c r="L711" s="9"/>
      <c r="M711" s="9"/>
      <c r="N711" s="10"/>
      <c r="O711" s="9"/>
      <c r="P711" s="9"/>
      <c r="Q711" s="9"/>
      <c r="R711" s="9" t="s">
        <v>12795</v>
      </c>
      <c r="S711" s="9" t="s">
        <v>12795</v>
      </c>
      <c r="T711" s="9"/>
      <c r="U711" s="9"/>
      <c r="V711" s="9"/>
      <c r="W711" s="9"/>
      <c r="X711" s="9"/>
      <c r="Y711" s="9"/>
      <c r="Z711" s="9"/>
      <c r="AA711" s="9"/>
      <c r="AB711" s="9"/>
      <c r="AC711" s="9"/>
      <c r="AD711" s="9" t="s">
        <v>13141</v>
      </c>
    </row>
    <row r="712" spans="1:30" ht="29">
      <c r="A712" s="3" t="s">
        <v>2136</v>
      </c>
      <c r="B712" s="3" t="s">
        <v>12895</v>
      </c>
      <c r="C712" s="3" t="s">
        <v>7134</v>
      </c>
      <c r="G712" s="9" t="s">
        <v>25</v>
      </c>
      <c r="H712" s="9"/>
      <c r="I712" s="9">
        <v>1</v>
      </c>
      <c r="J712" s="9">
        <v>10</v>
      </c>
      <c r="K712" s="9" t="s">
        <v>12125</v>
      </c>
      <c r="L712" s="9" t="s">
        <v>12073</v>
      </c>
      <c r="M712" s="9" t="s">
        <v>12142</v>
      </c>
      <c r="N712" s="10" t="s">
        <v>12143</v>
      </c>
      <c r="O712" s="9"/>
      <c r="P712" s="9">
        <v>25</v>
      </c>
      <c r="Q712" s="9"/>
      <c r="R712" s="9" t="s">
        <v>12795</v>
      </c>
      <c r="S712" s="9" t="s">
        <v>12795</v>
      </c>
      <c r="T712" s="9"/>
      <c r="U712" s="9"/>
      <c r="V712" s="9"/>
      <c r="W712" s="9"/>
      <c r="X712" s="9"/>
      <c r="Y712" s="9"/>
      <c r="Z712" s="9"/>
      <c r="AA712" s="9"/>
      <c r="AB712" s="9"/>
      <c r="AC712" s="9"/>
      <c r="AD712" s="9" t="s">
        <v>20</v>
      </c>
    </row>
    <row r="713" spans="1:30">
      <c r="A713" s="3" t="s">
        <v>2137</v>
      </c>
      <c r="B713" s="3" t="s">
        <v>12896</v>
      </c>
      <c r="C713" s="3" t="s">
        <v>7135</v>
      </c>
      <c r="G713" s="9" t="s">
        <v>24</v>
      </c>
      <c r="H713" s="9"/>
      <c r="I713" s="9">
        <v>1</v>
      </c>
      <c r="J713" s="9">
        <v>2</v>
      </c>
      <c r="K713" s="9" t="s">
        <v>12078</v>
      </c>
      <c r="L713" s="9" t="s">
        <v>12119</v>
      </c>
      <c r="M713" s="9"/>
      <c r="N713" s="10"/>
      <c r="O713" s="9"/>
      <c r="P713" s="9">
        <v>11843</v>
      </c>
      <c r="Q713" s="9"/>
      <c r="R713" s="9" t="s">
        <v>12795</v>
      </c>
      <c r="S713" s="9" t="s">
        <v>12795</v>
      </c>
      <c r="T713" s="9"/>
      <c r="U713" s="9"/>
      <c r="V713" s="9"/>
      <c r="W713" s="9"/>
      <c r="X713" s="9"/>
      <c r="Y713" s="9"/>
      <c r="Z713" s="9"/>
      <c r="AA713" s="9"/>
      <c r="AB713" s="9"/>
      <c r="AC713" s="9"/>
      <c r="AD713" s="9" t="s">
        <v>19</v>
      </c>
    </row>
    <row r="714" spans="1:30">
      <c r="A714" s="3" t="s">
        <v>2140</v>
      </c>
      <c r="B714" s="3" t="s">
        <v>7138</v>
      </c>
      <c r="C714" s="3" t="s">
        <v>7137</v>
      </c>
      <c r="G714" s="9" t="s">
        <v>25</v>
      </c>
      <c r="H714" s="9"/>
      <c r="I714" s="9">
        <v>1</v>
      </c>
      <c r="J714" s="9">
        <v>3</v>
      </c>
      <c r="K714" s="9" t="s">
        <v>12078</v>
      </c>
      <c r="L714" s="9" t="s">
        <v>12079</v>
      </c>
      <c r="M714" s="9"/>
      <c r="N714" s="10"/>
      <c r="O714" s="9"/>
      <c r="P714" s="9">
        <v>11843</v>
      </c>
      <c r="Q714" s="9"/>
      <c r="R714" s="9" t="s">
        <v>12795</v>
      </c>
      <c r="S714" s="9" t="s">
        <v>12795</v>
      </c>
      <c r="T714" s="9"/>
      <c r="U714" s="9"/>
      <c r="V714" s="9"/>
      <c r="W714" s="9"/>
      <c r="X714" s="9"/>
      <c r="Y714" s="9"/>
      <c r="Z714" s="9"/>
      <c r="AA714" s="9"/>
      <c r="AB714" s="9"/>
      <c r="AC714" s="9"/>
      <c r="AD714" s="9" t="s">
        <v>20</v>
      </c>
    </row>
    <row r="715" spans="1:30" ht="29">
      <c r="A715" s="3" t="s">
        <v>2143</v>
      </c>
      <c r="B715" s="3" t="s">
        <v>7146</v>
      </c>
      <c r="C715" s="3" t="s">
        <v>7145</v>
      </c>
      <c r="G715" s="9" t="s">
        <v>26</v>
      </c>
      <c r="H715" s="9"/>
      <c r="I715" s="9"/>
      <c r="J715" s="9"/>
      <c r="K715" s="9"/>
      <c r="L715" s="9"/>
      <c r="M715" s="9"/>
      <c r="N715" s="10"/>
      <c r="O715" s="9"/>
      <c r="P715" s="9"/>
      <c r="Q715" s="9"/>
      <c r="R715" s="9" t="s">
        <v>12795</v>
      </c>
      <c r="S715" s="9" t="s">
        <v>12795</v>
      </c>
      <c r="T715" s="9"/>
      <c r="U715" s="9"/>
      <c r="V715" s="9"/>
      <c r="W715" s="9"/>
      <c r="X715" s="9"/>
      <c r="Y715" s="9"/>
      <c r="Z715" s="9"/>
      <c r="AA715" s="9"/>
      <c r="AB715" s="9"/>
      <c r="AC715" s="9"/>
      <c r="AD715" s="9" t="s">
        <v>20</v>
      </c>
    </row>
    <row r="716" spans="1:30" ht="29">
      <c r="A716" s="3" t="s">
        <v>2144</v>
      </c>
      <c r="B716" s="3" t="s">
        <v>7147</v>
      </c>
      <c r="C716" s="3" t="s">
        <v>7148</v>
      </c>
      <c r="G716" s="9" t="s">
        <v>12118</v>
      </c>
      <c r="H716" s="9"/>
      <c r="I716" s="9"/>
      <c r="J716" s="9"/>
      <c r="K716" s="9"/>
      <c r="L716" s="9"/>
      <c r="M716" s="9"/>
      <c r="N716" s="10"/>
      <c r="O716" s="9"/>
      <c r="P716" s="9"/>
      <c r="Q716" s="9">
        <v>10</v>
      </c>
      <c r="R716" s="9">
        <v>0</v>
      </c>
      <c r="S716" s="9">
        <v>10</v>
      </c>
      <c r="T716" s="9"/>
      <c r="U716" s="9"/>
      <c r="V716" s="9"/>
      <c r="W716" s="9"/>
      <c r="X716" s="9"/>
      <c r="Y716" s="9"/>
      <c r="Z716" s="9"/>
      <c r="AA716" s="9"/>
      <c r="AB716" s="9"/>
      <c r="AC716" s="9"/>
      <c r="AD716" s="9" t="s">
        <v>19</v>
      </c>
    </row>
    <row r="717" spans="1:30" ht="29">
      <c r="A717" s="3" t="s">
        <v>2145</v>
      </c>
      <c r="B717" s="3" t="s">
        <v>7152</v>
      </c>
      <c r="C717" s="3" t="s">
        <v>7151</v>
      </c>
      <c r="G717" s="9" t="s">
        <v>12118</v>
      </c>
      <c r="H717" s="9"/>
      <c r="I717" s="9"/>
      <c r="J717" s="9"/>
      <c r="K717" s="9"/>
      <c r="L717" s="9"/>
      <c r="M717" s="9"/>
      <c r="N717" s="10"/>
      <c r="O717" s="9"/>
      <c r="P717" s="9"/>
      <c r="Q717" s="9">
        <v>-111</v>
      </c>
      <c r="R717" s="9">
        <v>472</v>
      </c>
      <c r="S717" s="9">
        <v>361</v>
      </c>
      <c r="T717" s="9"/>
      <c r="U717" s="9"/>
      <c r="V717" s="9"/>
      <c r="W717" s="9"/>
      <c r="X717" s="9"/>
      <c r="Y717" s="9"/>
      <c r="Z717" s="9"/>
      <c r="AA717" s="9"/>
      <c r="AB717" s="9"/>
      <c r="AC717" s="9"/>
      <c r="AD717" s="9" t="s">
        <v>19</v>
      </c>
    </row>
    <row r="718" spans="1:30">
      <c r="A718" s="3" t="s">
        <v>2146</v>
      </c>
      <c r="B718" s="3" t="s">
        <v>2147</v>
      </c>
      <c r="C718" s="3" t="s">
        <v>2148</v>
      </c>
      <c r="G718" s="9" t="s">
        <v>12120</v>
      </c>
      <c r="H718" s="9"/>
      <c r="I718" s="9"/>
      <c r="J718" s="9"/>
      <c r="K718" s="9"/>
      <c r="L718" s="9"/>
      <c r="M718" s="9"/>
      <c r="N718" s="10"/>
      <c r="O718" s="9"/>
      <c r="P718" s="9"/>
      <c r="Q718" s="9"/>
      <c r="R718" s="9" t="s">
        <v>12795</v>
      </c>
      <c r="S718" s="9" t="s">
        <v>12795</v>
      </c>
      <c r="T718" s="9"/>
      <c r="U718" s="9"/>
      <c r="V718" s="9"/>
      <c r="W718" s="9"/>
      <c r="X718" s="9"/>
      <c r="Y718" s="9"/>
      <c r="Z718" s="9"/>
      <c r="AA718" s="9"/>
      <c r="AB718" s="9"/>
      <c r="AC718" s="9"/>
      <c r="AD718" s="9" t="s">
        <v>20</v>
      </c>
    </row>
    <row r="719" spans="1:30" ht="29">
      <c r="A719" s="3" t="s">
        <v>2150</v>
      </c>
      <c r="B719" s="3" t="s">
        <v>7156</v>
      </c>
      <c r="C719" s="3" t="s">
        <v>7157</v>
      </c>
      <c r="G719" s="9" t="s">
        <v>25</v>
      </c>
      <c r="H719" s="9"/>
      <c r="I719" s="9">
        <v>1</v>
      </c>
      <c r="J719" s="9">
        <v>3</v>
      </c>
      <c r="K719" s="9" t="s">
        <v>12092</v>
      </c>
      <c r="L719" s="9" t="s">
        <v>12079</v>
      </c>
      <c r="M719" s="9"/>
      <c r="N719" s="10"/>
      <c r="O719" s="9"/>
      <c r="P719" s="9">
        <v>635</v>
      </c>
      <c r="Q719" s="9"/>
      <c r="R719" s="9" t="s">
        <v>12795</v>
      </c>
      <c r="S719" s="9" t="s">
        <v>12795</v>
      </c>
      <c r="T719" s="9"/>
      <c r="U719" s="9"/>
      <c r="V719" s="9"/>
      <c r="W719" s="9"/>
      <c r="X719" s="9"/>
      <c r="Y719" s="9"/>
      <c r="Z719" s="9"/>
      <c r="AA719" s="9"/>
      <c r="AB719" s="9"/>
      <c r="AC719" s="9"/>
      <c r="AD719" s="9" t="s">
        <v>19</v>
      </c>
    </row>
    <row r="720" spans="1:30" ht="29">
      <c r="A720" s="3" t="s">
        <v>2151</v>
      </c>
      <c r="B720" s="3" t="s">
        <v>7163</v>
      </c>
      <c r="C720" s="3" t="s">
        <v>7164</v>
      </c>
      <c r="G720" s="9" t="s">
        <v>12120</v>
      </c>
      <c r="H720" s="9"/>
      <c r="I720" s="9"/>
      <c r="J720" s="9"/>
      <c r="K720" s="9"/>
      <c r="L720" s="9"/>
      <c r="M720" s="9"/>
      <c r="N720" s="10"/>
      <c r="O720" s="9"/>
      <c r="P720" s="9"/>
      <c r="Q720" s="9"/>
      <c r="R720" s="9" t="s">
        <v>12795</v>
      </c>
      <c r="S720" s="9" t="s">
        <v>12795</v>
      </c>
      <c r="T720" s="9"/>
      <c r="U720" s="9"/>
      <c r="V720" s="9"/>
      <c r="W720" s="9"/>
      <c r="X720" s="9"/>
      <c r="Y720" s="9"/>
      <c r="Z720" s="9"/>
      <c r="AA720" s="9"/>
      <c r="AB720" s="9"/>
      <c r="AC720" s="9"/>
      <c r="AD720" s="9" t="s">
        <v>20</v>
      </c>
    </row>
    <row r="721" spans="1:30" ht="29">
      <c r="A721" s="3" t="s">
        <v>2151</v>
      </c>
      <c r="B721" s="3" t="s">
        <v>7167</v>
      </c>
      <c r="C721" s="3" t="s">
        <v>7168</v>
      </c>
      <c r="G721" s="9" t="s">
        <v>25</v>
      </c>
      <c r="H721" s="9"/>
      <c r="I721" s="9">
        <v>1</v>
      </c>
      <c r="J721" s="9">
        <v>2</v>
      </c>
      <c r="K721" s="9" t="s">
        <v>12096</v>
      </c>
      <c r="L721" s="9" t="s">
        <v>12119</v>
      </c>
      <c r="M721" s="9"/>
      <c r="N721" s="10"/>
      <c r="O721" s="9"/>
      <c r="P721" s="9">
        <v>1294</v>
      </c>
      <c r="Q721" s="9"/>
      <c r="R721" s="9" t="s">
        <v>12795</v>
      </c>
      <c r="S721" s="9" t="s">
        <v>12795</v>
      </c>
      <c r="T721" s="9"/>
      <c r="U721" s="9"/>
      <c r="V721" s="9"/>
      <c r="W721" s="9"/>
      <c r="X721" s="9"/>
      <c r="Y721" s="9"/>
      <c r="Z721" s="9"/>
      <c r="AA721" s="9"/>
      <c r="AB721" s="9"/>
      <c r="AC721" s="9"/>
      <c r="AD721" s="9" t="s">
        <v>19</v>
      </c>
    </row>
    <row r="722" spans="1:30">
      <c r="A722" s="3" t="s">
        <v>2152</v>
      </c>
      <c r="B722" s="3" t="s">
        <v>7169</v>
      </c>
      <c r="C722" s="3" t="s">
        <v>7170</v>
      </c>
      <c r="G722" s="9" t="s">
        <v>12120</v>
      </c>
      <c r="H722" s="9"/>
      <c r="I722" s="9"/>
      <c r="J722" s="9"/>
      <c r="K722" s="9"/>
      <c r="L722" s="9"/>
      <c r="M722" s="9"/>
      <c r="N722" s="10"/>
      <c r="O722" s="9"/>
      <c r="P722" s="9"/>
      <c r="Q722" s="9"/>
      <c r="R722" s="9" t="s">
        <v>12795</v>
      </c>
      <c r="S722" s="9" t="s">
        <v>12795</v>
      </c>
      <c r="T722" s="9"/>
      <c r="U722" s="9"/>
      <c r="V722" s="9"/>
      <c r="W722" s="9"/>
      <c r="X722" s="9"/>
      <c r="Y722" s="9"/>
      <c r="Z722" s="9"/>
      <c r="AA722" s="9"/>
      <c r="AB722" s="9"/>
      <c r="AC722" s="9"/>
      <c r="AD722" s="9" t="s">
        <v>19</v>
      </c>
    </row>
    <row r="723" spans="1:30" ht="29">
      <c r="A723" s="3" t="s">
        <v>2157</v>
      </c>
      <c r="B723" s="3" t="s">
        <v>7172</v>
      </c>
      <c r="C723" s="3" t="s">
        <v>7171</v>
      </c>
      <c r="G723" s="9" t="s">
        <v>24</v>
      </c>
      <c r="H723" s="9"/>
      <c r="I723" s="9">
        <v>1</v>
      </c>
      <c r="J723" s="9">
        <v>5</v>
      </c>
      <c r="K723" s="9" t="s">
        <v>12094</v>
      </c>
      <c r="L723" s="9" t="s">
        <v>12079</v>
      </c>
      <c r="M723" s="9"/>
      <c r="N723" s="10"/>
      <c r="O723" s="9"/>
      <c r="P723" s="9">
        <v>4240</v>
      </c>
      <c r="Q723" s="9"/>
      <c r="R723" s="9" t="s">
        <v>12795</v>
      </c>
      <c r="S723" s="9" t="s">
        <v>12795</v>
      </c>
      <c r="T723" s="9"/>
      <c r="U723" s="9"/>
      <c r="V723" s="9"/>
      <c r="W723" s="9"/>
      <c r="X723" s="9"/>
      <c r="Y723" s="9"/>
      <c r="Z723" s="9"/>
      <c r="AA723" s="9"/>
      <c r="AB723" s="9"/>
      <c r="AC723" s="9"/>
      <c r="AD723" s="9" t="s">
        <v>19</v>
      </c>
    </row>
    <row r="724" spans="1:30">
      <c r="A724" s="3" t="s">
        <v>2158</v>
      </c>
      <c r="B724" s="3" t="s">
        <v>7173</v>
      </c>
      <c r="C724" s="3" t="s">
        <v>7174</v>
      </c>
      <c r="G724" s="9" t="s">
        <v>12118</v>
      </c>
      <c r="H724" s="9"/>
      <c r="I724" s="9"/>
      <c r="J724" s="9"/>
      <c r="K724" s="9"/>
      <c r="L724" s="9"/>
      <c r="M724" s="9"/>
      <c r="N724" s="10"/>
      <c r="O724" s="9"/>
      <c r="P724" s="9"/>
      <c r="Q724" s="9">
        <v>-103</v>
      </c>
      <c r="R724" s="9">
        <v>310</v>
      </c>
      <c r="S724" s="9">
        <v>207</v>
      </c>
      <c r="T724" s="9"/>
      <c r="U724" s="9"/>
      <c r="V724" s="9"/>
      <c r="W724" s="9"/>
      <c r="X724" s="9"/>
      <c r="Y724" s="9"/>
      <c r="Z724" s="9"/>
      <c r="AA724" s="9"/>
      <c r="AB724" s="9"/>
      <c r="AC724" s="9"/>
      <c r="AD724" s="9" t="s">
        <v>20</v>
      </c>
    </row>
    <row r="725" spans="1:30">
      <c r="A725" s="3" t="s">
        <v>2159</v>
      </c>
      <c r="B725" s="3" t="s">
        <v>7175</v>
      </c>
      <c r="C725" s="3" t="s">
        <v>7176</v>
      </c>
      <c r="G725" s="9" t="s">
        <v>25</v>
      </c>
      <c r="H725" s="9"/>
      <c r="I725" s="9">
        <v>1</v>
      </c>
      <c r="J725" s="9">
        <v>2</v>
      </c>
      <c r="K725" s="9" t="s">
        <v>12087</v>
      </c>
      <c r="L725" s="9" t="s">
        <v>12119</v>
      </c>
      <c r="M725" s="9"/>
      <c r="N725" s="10"/>
      <c r="O725" s="9"/>
      <c r="P725" s="9">
        <v>1966</v>
      </c>
      <c r="Q725" s="9"/>
      <c r="R725" s="9" t="s">
        <v>12795</v>
      </c>
      <c r="S725" s="9" t="s">
        <v>12795</v>
      </c>
      <c r="T725" s="9"/>
      <c r="U725" s="9"/>
      <c r="V725" s="9"/>
      <c r="W725" s="9"/>
      <c r="X725" s="9"/>
      <c r="Y725" s="9"/>
      <c r="Z725" s="9"/>
      <c r="AA725" s="9"/>
      <c r="AB725" s="9"/>
      <c r="AC725" s="9"/>
      <c r="AD725" s="9" t="s">
        <v>20</v>
      </c>
    </row>
    <row r="726" spans="1:30">
      <c r="A726" s="3" t="s">
        <v>2160</v>
      </c>
      <c r="B726" s="3" t="s">
        <v>7178</v>
      </c>
      <c r="C726" s="3" t="s">
        <v>7177</v>
      </c>
      <c r="G726" s="9" t="s">
        <v>25</v>
      </c>
      <c r="H726" s="9"/>
      <c r="I726" s="9">
        <v>1</v>
      </c>
      <c r="J726" s="9">
        <v>2</v>
      </c>
      <c r="K726" s="9" t="s">
        <v>12094</v>
      </c>
      <c r="L726" s="9" t="s">
        <v>12119</v>
      </c>
      <c r="M726" s="9"/>
      <c r="N726" s="10"/>
      <c r="O726" s="9"/>
      <c r="P726" s="9">
        <v>1496</v>
      </c>
      <c r="Q726" s="9"/>
      <c r="R726" s="9" t="s">
        <v>12795</v>
      </c>
      <c r="S726" s="9" t="s">
        <v>12795</v>
      </c>
      <c r="T726" s="9"/>
      <c r="U726" s="9"/>
      <c r="V726" s="9"/>
      <c r="W726" s="9"/>
      <c r="X726" s="9"/>
      <c r="Y726" s="9"/>
      <c r="Z726" s="9"/>
      <c r="AA726" s="9"/>
      <c r="AB726" s="9"/>
      <c r="AC726" s="9"/>
      <c r="AD726" s="9" t="s">
        <v>20</v>
      </c>
    </row>
    <row r="727" spans="1:30">
      <c r="A727" s="3" t="s">
        <v>2161</v>
      </c>
      <c r="B727" s="3" t="s">
        <v>7182</v>
      </c>
      <c r="C727" s="3" t="s">
        <v>7181</v>
      </c>
      <c r="G727" s="9" t="s">
        <v>12118</v>
      </c>
      <c r="H727" s="9"/>
      <c r="I727" s="9"/>
      <c r="J727" s="9"/>
      <c r="K727" s="9"/>
      <c r="L727" s="9"/>
      <c r="M727" s="9"/>
      <c r="N727" s="10"/>
      <c r="O727" s="9"/>
      <c r="P727" s="9"/>
      <c r="Q727" s="9">
        <v>-3680</v>
      </c>
      <c r="R727" s="9">
        <v>5676</v>
      </c>
      <c r="S727" s="9">
        <v>1996</v>
      </c>
      <c r="T727" s="9"/>
      <c r="U727" s="9"/>
      <c r="V727" s="9"/>
      <c r="W727" s="9"/>
      <c r="X727" s="9"/>
      <c r="Y727" s="9"/>
      <c r="Z727" s="9"/>
      <c r="AA727" s="9"/>
      <c r="AB727" s="9"/>
      <c r="AC727" s="9"/>
      <c r="AD727" s="9" t="s">
        <v>19</v>
      </c>
    </row>
    <row r="728" spans="1:30" ht="29">
      <c r="A728" s="3" t="s">
        <v>2162</v>
      </c>
      <c r="B728" s="3" t="s">
        <v>7183</v>
      </c>
      <c r="C728" s="3" t="s">
        <v>7184</v>
      </c>
      <c r="G728" s="9" t="s">
        <v>25</v>
      </c>
      <c r="H728" s="9"/>
      <c r="I728" s="9">
        <v>1</v>
      </c>
      <c r="J728" s="9">
        <v>6</v>
      </c>
      <c r="K728" s="9" t="s">
        <v>12094</v>
      </c>
      <c r="L728" s="9" t="s">
        <v>12073</v>
      </c>
      <c r="M728" s="9" t="s">
        <v>12142</v>
      </c>
      <c r="N728" s="10" t="s">
        <v>12143</v>
      </c>
      <c r="O728" s="9"/>
      <c r="P728" s="9">
        <v>4240</v>
      </c>
      <c r="Q728" s="9"/>
      <c r="R728" s="9" t="s">
        <v>12795</v>
      </c>
      <c r="S728" s="9" t="s">
        <v>12795</v>
      </c>
      <c r="T728" s="9"/>
      <c r="U728" s="9"/>
      <c r="V728" s="9"/>
      <c r="W728" s="9"/>
      <c r="X728" s="9"/>
      <c r="Y728" s="9"/>
      <c r="Z728" s="9"/>
      <c r="AA728" s="9"/>
      <c r="AB728" s="9"/>
      <c r="AC728" s="9"/>
      <c r="AD728" s="9" t="s">
        <v>20</v>
      </c>
    </row>
    <row r="729" spans="1:30" ht="159.5">
      <c r="A729" s="3" t="s">
        <v>2165</v>
      </c>
      <c r="B729" s="3" t="s">
        <v>7190</v>
      </c>
      <c r="C729" s="3" t="s">
        <v>7191</v>
      </c>
      <c r="G729" s="9" t="s">
        <v>24</v>
      </c>
      <c r="H729" s="9"/>
      <c r="I729" s="9">
        <v>4</v>
      </c>
      <c r="J729" s="9">
        <v>28</v>
      </c>
      <c r="K729" s="9"/>
      <c r="L729" s="9" t="s">
        <v>12073</v>
      </c>
      <c r="M729" s="9" t="s">
        <v>12140</v>
      </c>
      <c r="N729" s="10" t="s">
        <v>12194</v>
      </c>
      <c r="O729" s="9"/>
      <c r="P729" s="9">
        <v>3</v>
      </c>
      <c r="Q729" s="9"/>
      <c r="R729" s="9" t="s">
        <v>12795</v>
      </c>
      <c r="S729" s="9" t="s">
        <v>12795</v>
      </c>
      <c r="T729" s="9"/>
      <c r="U729" s="9"/>
      <c r="V729" s="9"/>
      <c r="W729" s="9"/>
      <c r="X729" s="9"/>
      <c r="Y729" s="9"/>
      <c r="Z729" s="9"/>
      <c r="AA729" s="9"/>
      <c r="AB729" s="9"/>
      <c r="AC729" s="9"/>
      <c r="AD729" s="9" t="s">
        <v>19</v>
      </c>
    </row>
    <row r="730" spans="1:30">
      <c r="A730" s="3" t="s">
        <v>2168</v>
      </c>
      <c r="B730" s="3" t="s">
        <v>7196</v>
      </c>
      <c r="C730" s="3" t="s">
        <v>7197</v>
      </c>
      <c r="G730" s="9" t="s">
        <v>24</v>
      </c>
      <c r="H730" s="9"/>
      <c r="I730" s="9">
        <v>1</v>
      </c>
      <c r="J730" s="9">
        <v>2</v>
      </c>
      <c r="K730" s="9" t="s">
        <v>12078</v>
      </c>
      <c r="L730" s="9" t="s">
        <v>12119</v>
      </c>
      <c r="M730" s="9"/>
      <c r="N730" s="10"/>
      <c r="O730" s="9" t="s">
        <v>12074</v>
      </c>
      <c r="P730" s="9">
        <v>11843</v>
      </c>
      <c r="Q730" s="9"/>
      <c r="R730" s="9" t="s">
        <v>12795</v>
      </c>
      <c r="S730" s="9" t="s">
        <v>12795</v>
      </c>
      <c r="T730" s="9"/>
      <c r="U730" s="9"/>
      <c r="V730" s="9"/>
      <c r="W730" s="9"/>
      <c r="X730" s="9"/>
      <c r="Y730" s="9"/>
      <c r="Z730" s="9"/>
      <c r="AA730" s="9"/>
      <c r="AB730" s="9"/>
      <c r="AC730" s="9"/>
      <c r="AD730" s="9" t="s">
        <v>20</v>
      </c>
    </row>
    <row r="731" spans="1:30" ht="29">
      <c r="A731" s="3" t="s">
        <v>2168</v>
      </c>
      <c r="B731" s="3" t="s">
        <v>7198</v>
      </c>
      <c r="C731" s="3" t="s">
        <v>7201</v>
      </c>
      <c r="G731" s="9" t="s">
        <v>24</v>
      </c>
      <c r="H731" s="9"/>
      <c r="I731" s="9">
        <v>1</v>
      </c>
      <c r="J731" s="9">
        <v>3</v>
      </c>
      <c r="K731" s="9" t="s">
        <v>12078</v>
      </c>
      <c r="L731" s="9" t="s">
        <v>12079</v>
      </c>
      <c r="M731" s="9"/>
      <c r="N731" s="10"/>
      <c r="O731" s="9"/>
      <c r="P731" s="9">
        <v>11843</v>
      </c>
      <c r="Q731" s="9"/>
      <c r="R731" s="9" t="s">
        <v>12795</v>
      </c>
      <c r="S731" s="9" t="s">
        <v>12795</v>
      </c>
      <c r="T731" s="9"/>
      <c r="U731" s="9"/>
      <c r="V731" s="9"/>
      <c r="W731" s="9"/>
      <c r="X731" s="9"/>
      <c r="Y731" s="9"/>
      <c r="Z731" s="9"/>
      <c r="AA731" s="9"/>
      <c r="AB731" s="9"/>
      <c r="AC731" s="9"/>
      <c r="AD731" s="9" t="s">
        <v>19</v>
      </c>
    </row>
    <row r="732" spans="1:30">
      <c r="A732" s="3" t="s">
        <v>2175</v>
      </c>
      <c r="B732" s="3" t="s">
        <v>7205</v>
      </c>
      <c r="C732" s="3" t="s">
        <v>7204</v>
      </c>
      <c r="G732" s="9" t="s">
        <v>24</v>
      </c>
      <c r="H732" s="9"/>
      <c r="I732" s="9">
        <v>1</v>
      </c>
      <c r="J732" s="9">
        <v>3</v>
      </c>
      <c r="K732" s="9" t="s">
        <v>12078</v>
      </c>
      <c r="L732" s="9" t="s">
        <v>12079</v>
      </c>
      <c r="M732" s="9"/>
      <c r="N732" s="10"/>
      <c r="O732" s="9"/>
      <c r="P732" s="9">
        <v>11843</v>
      </c>
      <c r="Q732" s="9"/>
      <c r="R732" s="9" t="s">
        <v>12795</v>
      </c>
      <c r="S732" s="9" t="s">
        <v>12795</v>
      </c>
      <c r="T732" s="9"/>
      <c r="U732" s="9"/>
      <c r="V732" s="9"/>
      <c r="W732" s="9"/>
      <c r="X732" s="9"/>
      <c r="Y732" s="9"/>
      <c r="Z732" s="9"/>
      <c r="AA732" s="9"/>
      <c r="AB732" s="9"/>
      <c r="AC732" s="9"/>
      <c r="AD732" s="9" t="s">
        <v>19</v>
      </c>
    </row>
    <row r="733" spans="1:30">
      <c r="A733" s="3" t="s">
        <v>2176</v>
      </c>
      <c r="B733" s="3" t="s">
        <v>2177</v>
      </c>
      <c r="C733" s="3" t="s">
        <v>2178</v>
      </c>
      <c r="G733" s="9" t="s">
        <v>12120</v>
      </c>
      <c r="H733" s="9"/>
      <c r="I733" s="9"/>
      <c r="J733" s="9"/>
      <c r="K733" s="9"/>
      <c r="L733" s="9"/>
      <c r="M733" s="9"/>
      <c r="N733" s="10"/>
      <c r="O733" s="9"/>
      <c r="P733" s="9"/>
      <c r="Q733" s="9"/>
      <c r="R733" s="9" t="s">
        <v>12795</v>
      </c>
      <c r="S733" s="9" t="s">
        <v>12795</v>
      </c>
      <c r="T733" s="9"/>
      <c r="U733" s="9"/>
      <c r="V733" s="9"/>
      <c r="W733" s="9"/>
      <c r="X733" s="9"/>
      <c r="Y733" s="9"/>
      <c r="Z733" s="9"/>
      <c r="AA733" s="9"/>
      <c r="AB733" s="9"/>
      <c r="AC733" s="9"/>
      <c r="AD733" s="9" t="s">
        <v>20</v>
      </c>
    </row>
    <row r="734" spans="1:30">
      <c r="A734" s="3" t="s">
        <v>2179</v>
      </c>
      <c r="B734" s="3" t="s">
        <v>7208</v>
      </c>
      <c r="C734" s="3" t="s">
        <v>7209</v>
      </c>
      <c r="G734" s="9" t="s">
        <v>12118</v>
      </c>
      <c r="H734" s="9"/>
      <c r="I734" s="9"/>
      <c r="J734" s="9"/>
      <c r="K734" s="9"/>
      <c r="L734" s="9"/>
      <c r="M734" s="9"/>
      <c r="N734" s="10"/>
      <c r="O734" s="9"/>
      <c r="P734" s="9"/>
      <c r="Q734" s="9">
        <v>-4080</v>
      </c>
      <c r="R734" s="9">
        <v>4240</v>
      </c>
      <c r="S734" s="9">
        <v>160</v>
      </c>
      <c r="T734" s="9"/>
      <c r="U734" s="9"/>
      <c r="V734" s="9"/>
      <c r="W734" s="9"/>
      <c r="X734" s="9"/>
      <c r="Y734" s="9"/>
      <c r="Z734" s="9"/>
      <c r="AA734" s="9"/>
      <c r="AB734" s="9"/>
      <c r="AC734" s="9"/>
      <c r="AD734" s="9" t="s">
        <v>19</v>
      </c>
    </row>
    <row r="735" spans="1:30">
      <c r="A735" s="3" t="s">
        <v>2180</v>
      </c>
      <c r="B735" s="3" t="s">
        <v>778</v>
      </c>
      <c r="C735" s="3" t="s">
        <v>1741</v>
      </c>
      <c r="G735" s="9" t="s">
        <v>12120</v>
      </c>
      <c r="H735" s="9"/>
      <c r="I735" s="9"/>
      <c r="J735" s="9"/>
      <c r="K735" s="9"/>
      <c r="L735" s="9"/>
      <c r="M735" s="9"/>
      <c r="N735" s="10"/>
      <c r="O735" s="9"/>
      <c r="P735" s="9"/>
      <c r="Q735" s="9"/>
      <c r="R735" s="9" t="s">
        <v>12795</v>
      </c>
      <c r="S735" s="9" t="s">
        <v>12795</v>
      </c>
      <c r="T735" s="9"/>
      <c r="U735" s="9"/>
      <c r="V735" s="9"/>
      <c r="W735" s="9"/>
      <c r="X735" s="9"/>
      <c r="Y735" s="9"/>
      <c r="Z735" s="9"/>
      <c r="AA735" s="9"/>
      <c r="AB735" s="9"/>
      <c r="AC735" s="9"/>
      <c r="AD735" s="9" t="s">
        <v>19</v>
      </c>
    </row>
    <row r="736" spans="1:30" ht="29">
      <c r="A736" s="3" t="s">
        <v>2182</v>
      </c>
      <c r="B736" s="3" t="s">
        <v>7212</v>
      </c>
      <c r="C736" s="3" t="s">
        <v>7213</v>
      </c>
      <c r="G736" s="9" t="s">
        <v>12120</v>
      </c>
      <c r="H736" s="9"/>
      <c r="I736" s="9"/>
      <c r="J736" s="9"/>
      <c r="K736" s="9"/>
      <c r="L736" s="9"/>
      <c r="M736" s="9"/>
      <c r="N736" s="10"/>
      <c r="O736" s="9"/>
      <c r="P736" s="9"/>
      <c r="Q736" s="9"/>
      <c r="R736" s="9" t="s">
        <v>12795</v>
      </c>
      <c r="S736" s="9" t="s">
        <v>12795</v>
      </c>
      <c r="T736" s="9"/>
      <c r="U736" s="9"/>
      <c r="V736" s="9"/>
      <c r="W736" s="9"/>
      <c r="X736" s="9"/>
      <c r="Y736" s="9"/>
      <c r="Z736" s="9"/>
      <c r="AA736" s="9"/>
      <c r="AB736" s="9"/>
      <c r="AC736" s="9"/>
      <c r="AD736" s="9" t="s">
        <v>19</v>
      </c>
    </row>
    <row r="737" spans="1:30" ht="29">
      <c r="A737" s="3" t="s">
        <v>2183</v>
      </c>
      <c r="B737" s="3" t="s">
        <v>7215</v>
      </c>
      <c r="C737" s="3" t="s">
        <v>7214</v>
      </c>
      <c r="G737" s="9" t="s">
        <v>25</v>
      </c>
      <c r="H737" s="9"/>
      <c r="I737" s="9">
        <v>2</v>
      </c>
      <c r="J737" s="9">
        <v>5</v>
      </c>
      <c r="K737" s="9"/>
      <c r="L737" s="9" t="s">
        <v>12079</v>
      </c>
      <c r="M737" s="9"/>
      <c r="N737" s="10"/>
      <c r="O737" s="9"/>
      <c r="P737" s="9">
        <v>1966</v>
      </c>
      <c r="Q737" s="9"/>
      <c r="R737" s="9" t="s">
        <v>12795</v>
      </c>
      <c r="S737" s="9" t="s">
        <v>12795</v>
      </c>
      <c r="T737" s="9"/>
      <c r="U737" s="9"/>
      <c r="V737" s="9"/>
      <c r="W737" s="9"/>
      <c r="X737" s="9"/>
      <c r="Y737" s="9"/>
      <c r="Z737" s="9"/>
      <c r="AA737" s="9"/>
      <c r="AB737" s="9"/>
      <c r="AC737" s="9"/>
      <c r="AD737" s="9" t="s">
        <v>13141</v>
      </c>
    </row>
    <row r="738" spans="1:30" ht="29">
      <c r="A738" s="3" t="s">
        <v>2183</v>
      </c>
      <c r="B738" s="3" t="s">
        <v>7218</v>
      </c>
      <c r="C738" s="3" t="s">
        <v>7219</v>
      </c>
      <c r="G738" s="9" t="s">
        <v>12120</v>
      </c>
      <c r="H738" s="9"/>
      <c r="I738" s="9"/>
      <c r="J738" s="9"/>
      <c r="K738" s="9"/>
      <c r="L738" s="9"/>
      <c r="M738" s="9"/>
      <c r="N738" s="10"/>
      <c r="O738" s="9"/>
      <c r="P738" s="9"/>
      <c r="Q738" s="9"/>
      <c r="R738" s="9" t="s">
        <v>12795</v>
      </c>
      <c r="S738" s="9" t="s">
        <v>12795</v>
      </c>
      <c r="T738" s="9"/>
      <c r="U738" s="9"/>
      <c r="V738" s="9"/>
      <c r="W738" s="9"/>
      <c r="X738" s="9"/>
      <c r="Y738" s="9"/>
      <c r="Z738" s="9"/>
      <c r="AA738" s="9"/>
      <c r="AB738" s="9"/>
      <c r="AC738" s="9"/>
      <c r="AD738" s="9" t="s">
        <v>19</v>
      </c>
    </row>
    <row r="739" spans="1:30">
      <c r="A739" s="3" t="s">
        <v>2186</v>
      </c>
      <c r="B739" s="3" t="s">
        <v>7220</v>
      </c>
      <c r="C739" s="3" t="s">
        <v>7221</v>
      </c>
      <c r="G739" s="9" t="s">
        <v>25</v>
      </c>
      <c r="H739" s="9"/>
      <c r="I739" s="9">
        <v>1</v>
      </c>
      <c r="J739" s="9">
        <v>2</v>
      </c>
      <c r="K739" s="9" t="s">
        <v>12078</v>
      </c>
      <c r="L739" s="9" t="s">
        <v>12119</v>
      </c>
      <c r="M739" s="9"/>
      <c r="N739" s="10"/>
      <c r="O739" s="9"/>
      <c r="P739" s="9">
        <v>11843</v>
      </c>
      <c r="Q739" s="9"/>
      <c r="R739" s="9" t="s">
        <v>12795</v>
      </c>
      <c r="S739" s="9" t="s">
        <v>12795</v>
      </c>
      <c r="T739" s="9"/>
      <c r="U739" s="9"/>
      <c r="V739" s="9"/>
      <c r="W739" s="9"/>
      <c r="X739" s="9"/>
      <c r="Y739" s="9"/>
      <c r="Z739" s="9"/>
      <c r="AA739" s="9"/>
      <c r="AB739" s="9"/>
      <c r="AC739" s="9"/>
      <c r="AD739" s="9" t="s">
        <v>20</v>
      </c>
    </row>
    <row r="740" spans="1:30">
      <c r="A740" s="3" t="s">
        <v>2209</v>
      </c>
      <c r="B740" s="3" t="s">
        <v>7226</v>
      </c>
      <c r="C740" s="3" t="s">
        <v>6698</v>
      </c>
      <c r="G740" s="9" t="s">
        <v>25</v>
      </c>
      <c r="H740" s="9"/>
      <c r="I740" s="9">
        <v>1</v>
      </c>
      <c r="J740" s="9">
        <v>1</v>
      </c>
      <c r="K740" s="9" t="s">
        <v>12078</v>
      </c>
      <c r="L740" s="9" t="s">
        <v>12119</v>
      </c>
      <c r="M740" s="9"/>
      <c r="N740" s="10"/>
      <c r="O740" s="9"/>
      <c r="P740" s="9">
        <v>11843</v>
      </c>
      <c r="Q740" s="9"/>
      <c r="R740" s="9" t="s">
        <v>12795</v>
      </c>
      <c r="S740" s="9" t="s">
        <v>12795</v>
      </c>
      <c r="T740" s="9" t="s">
        <v>12117</v>
      </c>
      <c r="U740" s="9"/>
      <c r="V740" s="9"/>
      <c r="W740" s="9"/>
      <c r="X740" s="9"/>
      <c r="Y740" s="9"/>
      <c r="Z740" s="9"/>
      <c r="AA740" s="9"/>
      <c r="AB740" s="9"/>
      <c r="AC740" s="9"/>
      <c r="AD740" s="9" t="s">
        <v>19</v>
      </c>
    </row>
    <row r="741" spans="1:30">
      <c r="A741" s="3" t="s">
        <v>2209</v>
      </c>
      <c r="B741" s="3" t="s">
        <v>7228</v>
      </c>
      <c r="C741" s="3" t="s">
        <v>7227</v>
      </c>
      <c r="G741" s="9" t="s">
        <v>24</v>
      </c>
      <c r="H741" s="9"/>
      <c r="I741" s="9">
        <v>1</v>
      </c>
      <c r="J741" s="9">
        <v>3</v>
      </c>
      <c r="K741" s="9" t="s">
        <v>12087</v>
      </c>
      <c r="L741" s="9" t="s">
        <v>12079</v>
      </c>
      <c r="M741" s="9"/>
      <c r="N741" s="10"/>
      <c r="O741" s="9"/>
      <c r="P741" s="9">
        <v>810</v>
      </c>
      <c r="Q741" s="9"/>
      <c r="R741" s="9" t="s">
        <v>12795</v>
      </c>
      <c r="S741" s="9" t="s">
        <v>12795</v>
      </c>
      <c r="T741" s="9" t="s">
        <v>12117</v>
      </c>
      <c r="U741" s="9"/>
      <c r="V741" s="9"/>
      <c r="W741" s="9"/>
      <c r="X741" s="9"/>
      <c r="Y741" s="9"/>
      <c r="Z741" s="9"/>
      <c r="AA741" s="9"/>
      <c r="AB741" s="9"/>
      <c r="AC741" s="9"/>
      <c r="AD741" s="9" t="s">
        <v>19</v>
      </c>
    </row>
    <row r="742" spans="1:30">
      <c r="A742" s="3" t="s">
        <v>2211</v>
      </c>
      <c r="B742" s="3" t="s">
        <v>2212</v>
      </c>
      <c r="C742" s="3" t="s">
        <v>2213</v>
      </c>
      <c r="F742" t="s">
        <v>19</v>
      </c>
      <c r="G742" s="9" t="s">
        <v>12120</v>
      </c>
      <c r="H742" s="9"/>
      <c r="I742" s="9"/>
      <c r="J742" s="9"/>
      <c r="K742" s="9"/>
      <c r="L742" s="9"/>
      <c r="M742" s="9"/>
      <c r="N742" s="10"/>
      <c r="O742" s="9"/>
      <c r="P742" s="9"/>
      <c r="Q742" s="9"/>
      <c r="R742" s="9" t="s">
        <v>12795</v>
      </c>
      <c r="S742" s="9" t="s">
        <v>12795</v>
      </c>
      <c r="T742" s="9"/>
      <c r="U742" s="9"/>
      <c r="V742" s="9"/>
      <c r="W742" s="9"/>
      <c r="X742" s="9"/>
      <c r="Y742" s="9"/>
      <c r="Z742" s="9"/>
      <c r="AA742" s="9"/>
      <c r="AB742" s="9"/>
      <c r="AC742" s="9"/>
      <c r="AD742" s="9" t="s">
        <v>20</v>
      </c>
    </row>
    <row r="743" spans="1:30">
      <c r="A743" s="3" t="s">
        <v>2211</v>
      </c>
      <c r="B743" s="3" t="s">
        <v>7231</v>
      </c>
      <c r="C743" s="3" t="s">
        <v>7232</v>
      </c>
      <c r="G743" s="9" t="s">
        <v>12120</v>
      </c>
      <c r="H743" s="9"/>
      <c r="I743" s="9"/>
      <c r="J743" s="9"/>
      <c r="K743" s="9"/>
      <c r="L743" s="9"/>
      <c r="M743" s="9"/>
      <c r="N743" s="10"/>
      <c r="O743" s="9"/>
      <c r="P743" s="9"/>
      <c r="Q743" s="9"/>
      <c r="R743" s="9" t="s">
        <v>12795</v>
      </c>
      <c r="S743" s="9" t="s">
        <v>12795</v>
      </c>
      <c r="T743" s="9"/>
      <c r="U743" s="9"/>
      <c r="V743" s="9"/>
      <c r="W743" s="9"/>
      <c r="X743" s="9"/>
      <c r="Y743" s="9"/>
      <c r="Z743" s="9"/>
      <c r="AA743" s="9"/>
      <c r="AB743" s="9"/>
      <c r="AC743" s="9"/>
      <c r="AD743" s="9" t="s">
        <v>19</v>
      </c>
    </row>
    <row r="744" spans="1:30">
      <c r="A744" s="3" t="s">
        <v>2219</v>
      </c>
      <c r="B744" s="3" t="s">
        <v>7235</v>
      </c>
      <c r="C744" s="3" t="s">
        <v>7236</v>
      </c>
      <c r="G744" s="9" t="s">
        <v>24</v>
      </c>
      <c r="H744" s="9"/>
      <c r="I744" s="9">
        <v>1</v>
      </c>
      <c r="J744" s="9">
        <v>3</v>
      </c>
      <c r="K744" s="9" t="s">
        <v>12078</v>
      </c>
      <c r="L744" s="9" t="s">
        <v>12079</v>
      </c>
      <c r="M744" s="9"/>
      <c r="N744" s="10"/>
      <c r="O744" s="9"/>
      <c r="P744" s="9">
        <v>11843</v>
      </c>
      <c r="Q744" s="9"/>
      <c r="R744" s="9" t="s">
        <v>12795</v>
      </c>
      <c r="S744" s="9" t="s">
        <v>12795</v>
      </c>
      <c r="T744" s="9"/>
      <c r="U744" s="9"/>
      <c r="V744" s="9"/>
      <c r="W744" s="9"/>
      <c r="X744" s="9"/>
      <c r="Y744" s="9"/>
      <c r="Z744" s="9"/>
      <c r="AA744" s="9"/>
      <c r="AB744" s="9"/>
      <c r="AC744" s="9"/>
      <c r="AD744" s="9" t="s">
        <v>19</v>
      </c>
    </row>
    <row r="745" spans="1:30">
      <c r="A745" s="3" t="s">
        <v>2221</v>
      </c>
      <c r="B745" s="3" t="s">
        <v>7241</v>
      </c>
      <c r="C745" s="3" t="s">
        <v>13032</v>
      </c>
      <c r="G745" s="9" t="s">
        <v>12120</v>
      </c>
      <c r="H745" s="9"/>
      <c r="I745" s="9"/>
      <c r="J745" s="9"/>
      <c r="K745" s="9"/>
      <c r="L745" s="9"/>
      <c r="M745" s="9"/>
      <c r="N745" s="10"/>
      <c r="O745" s="9"/>
      <c r="P745" s="9"/>
      <c r="Q745" s="9"/>
      <c r="R745" s="9" t="s">
        <v>12795</v>
      </c>
      <c r="S745" s="9" t="s">
        <v>12795</v>
      </c>
      <c r="T745" s="9"/>
      <c r="U745" s="9"/>
      <c r="V745" s="9"/>
      <c r="W745" s="9"/>
      <c r="X745" s="9"/>
      <c r="Y745" s="9"/>
      <c r="Z745" s="9"/>
      <c r="AA745" s="9"/>
      <c r="AB745" s="9"/>
      <c r="AC745" s="9"/>
      <c r="AD745" s="9" t="s">
        <v>20</v>
      </c>
    </row>
    <row r="746" spans="1:30" ht="29">
      <c r="A746" s="3" t="s">
        <v>2221</v>
      </c>
      <c r="B746" s="3" t="s">
        <v>7242</v>
      </c>
      <c r="C746" s="3" t="s">
        <v>7243</v>
      </c>
      <c r="G746" s="9" t="s">
        <v>24</v>
      </c>
      <c r="H746" s="9"/>
      <c r="I746" s="9">
        <v>1</v>
      </c>
      <c r="J746" s="9">
        <v>2</v>
      </c>
      <c r="K746" s="9" t="s">
        <v>12094</v>
      </c>
      <c r="L746" s="9" t="s">
        <v>12119</v>
      </c>
      <c r="M746" s="9"/>
      <c r="N746" s="10"/>
      <c r="O746" s="9"/>
      <c r="P746" s="9">
        <v>1496</v>
      </c>
      <c r="Q746" s="9"/>
      <c r="R746" s="9" t="s">
        <v>12795</v>
      </c>
      <c r="S746" s="9" t="s">
        <v>12795</v>
      </c>
      <c r="T746" s="9"/>
      <c r="U746" s="9"/>
      <c r="V746" s="9"/>
      <c r="W746" s="9"/>
      <c r="X746" s="9"/>
      <c r="Y746" s="9"/>
      <c r="Z746" s="9"/>
      <c r="AA746" s="9"/>
      <c r="AB746" s="9"/>
      <c r="AC746" s="9"/>
      <c r="AD746" s="9" t="s">
        <v>19</v>
      </c>
    </row>
    <row r="747" spans="1:30" ht="29">
      <c r="A747" s="3" t="s">
        <v>2233</v>
      </c>
      <c r="B747" s="3" t="s">
        <v>7246</v>
      </c>
      <c r="C747" s="3" t="s">
        <v>7247</v>
      </c>
      <c r="G747" s="9" t="s">
        <v>26</v>
      </c>
      <c r="H747" s="9"/>
      <c r="I747" s="9"/>
      <c r="J747" s="9"/>
      <c r="K747" s="9"/>
      <c r="L747" s="9"/>
      <c r="M747" s="9"/>
      <c r="N747" s="10"/>
      <c r="O747" s="9"/>
      <c r="P747" s="9"/>
      <c r="Q747" s="9"/>
      <c r="R747" s="9" t="s">
        <v>12795</v>
      </c>
      <c r="S747" s="9" t="s">
        <v>12795</v>
      </c>
      <c r="T747" s="9"/>
      <c r="U747" s="9"/>
      <c r="V747" s="9"/>
      <c r="W747" s="9"/>
      <c r="X747" s="9"/>
      <c r="Y747" s="9"/>
      <c r="Z747" s="9"/>
      <c r="AA747" s="9"/>
      <c r="AB747" s="9"/>
      <c r="AC747" s="9"/>
      <c r="AD747" s="9" t="s">
        <v>20</v>
      </c>
    </row>
    <row r="748" spans="1:30" ht="29">
      <c r="A748" s="3" t="s">
        <v>2234</v>
      </c>
      <c r="B748" s="3" t="s">
        <v>12361</v>
      </c>
      <c r="C748" s="3" t="s">
        <v>12362</v>
      </c>
      <c r="G748" s="9" t="s">
        <v>12118</v>
      </c>
      <c r="H748" s="9"/>
      <c r="I748" s="9"/>
      <c r="J748" s="9"/>
      <c r="K748" s="9"/>
      <c r="L748" s="9"/>
      <c r="M748" s="9"/>
      <c r="N748" s="10"/>
      <c r="O748" s="9"/>
      <c r="P748" s="9"/>
      <c r="Q748" s="9">
        <v>193</v>
      </c>
      <c r="R748" s="9">
        <v>1101</v>
      </c>
      <c r="S748" s="9">
        <v>1294</v>
      </c>
      <c r="T748" s="9"/>
      <c r="U748" s="9"/>
      <c r="V748" s="9"/>
      <c r="W748" s="9"/>
      <c r="X748" s="9"/>
      <c r="Y748" s="9"/>
      <c r="Z748" s="9"/>
      <c r="AA748" s="9"/>
      <c r="AB748" s="9"/>
      <c r="AC748" s="9"/>
      <c r="AD748" s="9" t="s">
        <v>19</v>
      </c>
    </row>
    <row r="749" spans="1:30" ht="29">
      <c r="A749" s="3" t="s">
        <v>2234</v>
      </c>
      <c r="B749" s="3" t="s">
        <v>7248</v>
      </c>
      <c r="C749" s="3" t="s">
        <v>12363</v>
      </c>
      <c r="G749" s="9" t="s">
        <v>24</v>
      </c>
      <c r="H749" s="9"/>
      <c r="I749" s="9">
        <v>1</v>
      </c>
      <c r="J749" s="9">
        <v>2</v>
      </c>
      <c r="K749" s="9" t="s">
        <v>12078</v>
      </c>
      <c r="L749" s="9" t="s">
        <v>12119</v>
      </c>
      <c r="M749" s="9"/>
      <c r="N749" s="10"/>
      <c r="O749" s="9"/>
      <c r="P749" s="9">
        <v>11843</v>
      </c>
      <c r="Q749" s="9"/>
      <c r="R749" s="9" t="s">
        <v>12795</v>
      </c>
      <c r="S749" s="9" t="s">
        <v>12795</v>
      </c>
      <c r="T749" s="9"/>
      <c r="U749" s="9"/>
      <c r="V749" s="9"/>
      <c r="W749" s="9"/>
      <c r="X749" s="9"/>
      <c r="Y749" s="9"/>
      <c r="Z749" s="9"/>
      <c r="AA749" s="9"/>
      <c r="AB749" s="9"/>
      <c r="AC749" s="9"/>
      <c r="AD749" s="9" t="s">
        <v>19</v>
      </c>
    </row>
    <row r="750" spans="1:30">
      <c r="A750" s="3" t="s">
        <v>2237</v>
      </c>
      <c r="B750" s="3" t="s">
        <v>7250</v>
      </c>
      <c r="C750" s="3" t="s">
        <v>7249</v>
      </c>
      <c r="G750" s="9" t="s">
        <v>24</v>
      </c>
      <c r="H750" s="9"/>
      <c r="I750" s="9">
        <v>1</v>
      </c>
      <c r="J750" s="9">
        <v>2</v>
      </c>
      <c r="K750" s="9" t="s">
        <v>12087</v>
      </c>
      <c r="L750" s="9" t="s">
        <v>12119</v>
      </c>
      <c r="M750" s="9"/>
      <c r="N750" s="10"/>
      <c r="O750" s="9"/>
      <c r="P750" s="9">
        <v>1966</v>
      </c>
      <c r="Q750" s="9"/>
      <c r="R750" s="9" t="s">
        <v>12795</v>
      </c>
      <c r="S750" s="9" t="s">
        <v>12795</v>
      </c>
      <c r="T750" s="9"/>
      <c r="U750" s="9"/>
      <c r="V750" s="9"/>
      <c r="W750" s="9"/>
      <c r="X750" s="9"/>
      <c r="Y750" s="9"/>
      <c r="Z750" s="9"/>
      <c r="AA750" s="9"/>
      <c r="AB750" s="9"/>
      <c r="AC750" s="9"/>
      <c r="AD750" s="9" t="s">
        <v>19</v>
      </c>
    </row>
    <row r="751" spans="1:30">
      <c r="A751" s="3" t="s">
        <v>2242</v>
      </c>
      <c r="B751" s="3" t="s">
        <v>2243</v>
      </c>
      <c r="C751" s="3" t="s">
        <v>2244</v>
      </c>
      <c r="G751" s="9" t="s">
        <v>12120</v>
      </c>
      <c r="H751" s="9"/>
      <c r="I751" s="9"/>
      <c r="J751" s="9"/>
      <c r="K751" s="9"/>
      <c r="L751" s="9"/>
      <c r="M751" s="9"/>
      <c r="N751" s="10"/>
      <c r="O751" s="9"/>
      <c r="P751" s="9"/>
      <c r="Q751" s="9"/>
      <c r="R751" s="9" t="s">
        <v>12795</v>
      </c>
      <c r="S751" s="9" t="s">
        <v>12795</v>
      </c>
      <c r="T751" s="9"/>
      <c r="U751" s="9"/>
      <c r="V751" s="9"/>
      <c r="W751" s="9"/>
      <c r="X751" s="9"/>
      <c r="Y751" s="9"/>
      <c r="Z751" s="9"/>
      <c r="AA751" s="9"/>
      <c r="AB751" s="9"/>
      <c r="AC751" s="9"/>
      <c r="AD751" s="9" t="s">
        <v>20</v>
      </c>
    </row>
    <row r="752" spans="1:30" ht="29">
      <c r="A752" s="3" t="s">
        <v>2248</v>
      </c>
      <c r="B752" s="3" t="s">
        <v>7263</v>
      </c>
      <c r="C752" s="3" t="s">
        <v>7262</v>
      </c>
      <c r="G752" s="9" t="s">
        <v>26</v>
      </c>
      <c r="H752" s="9"/>
      <c r="I752" s="9"/>
      <c r="J752" s="9"/>
      <c r="K752" s="9"/>
      <c r="L752" s="9"/>
      <c r="M752" s="9"/>
      <c r="N752" s="10"/>
      <c r="O752" s="9"/>
      <c r="P752" s="9"/>
      <c r="Q752" s="9"/>
      <c r="R752" s="9" t="s">
        <v>12795</v>
      </c>
      <c r="S752" s="9" t="s">
        <v>12795</v>
      </c>
      <c r="T752" s="9"/>
      <c r="U752" s="9"/>
      <c r="V752" s="9"/>
      <c r="W752" s="9"/>
      <c r="X752" s="9"/>
      <c r="Y752" s="9"/>
      <c r="Z752" s="9"/>
      <c r="AA752" s="9"/>
      <c r="AB752" s="9"/>
      <c r="AC752" s="9"/>
      <c r="AD752" s="9" t="s">
        <v>20</v>
      </c>
    </row>
    <row r="753" spans="1:30">
      <c r="A753" s="3" t="s">
        <v>2253</v>
      </c>
      <c r="B753" s="3" t="s">
        <v>7273</v>
      </c>
      <c r="C753" s="3" t="s">
        <v>7274</v>
      </c>
      <c r="G753" s="9" t="s">
        <v>12120</v>
      </c>
      <c r="H753" s="9"/>
      <c r="I753" s="9"/>
      <c r="J753" s="9"/>
      <c r="K753" s="9"/>
      <c r="L753" s="9"/>
      <c r="M753" s="9"/>
      <c r="N753" s="10"/>
      <c r="O753" s="9"/>
      <c r="P753" s="9"/>
      <c r="Q753" s="9"/>
      <c r="R753" s="9" t="s">
        <v>12795</v>
      </c>
      <c r="S753" s="9" t="s">
        <v>12795</v>
      </c>
      <c r="T753" s="9"/>
      <c r="U753" s="9"/>
      <c r="V753" s="9"/>
      <c r="W753" s="9"/>
      <c r="X753" s="9"/>
      <c r="Y753" s="9"/>
      <c r="Z753" s="9"/>
      <c r="AA753" s="9"/>
      <c r="AB753" s="9"/>
      <c r="AC753" s="9"/>
      <c r="AD753" s="9" t="s">
        <v>19</v>
      </c>
    </row>
    <row r="754" spans="1:30">
      <c r="A754" s="3" t="s">
        <v>2254</v>
      </c>
      <c r="B754" s="3" t="s">
        <v>2255</v>
      </c>
      <c r="C754" s="3" t="s">
        <v>180</v>
      </c>
      <c r="G754" s="9" t="s">
        <v>12120</v>
      </c>
      <c r="H754" s="9"/>
      <c r="I754" s="9"/>
      <c r="J754" s="9"/>
      <c r="K754" s="9"/>
      <c r="L754" s="9"/>
      <c r="M754" s="9"/>
      <c r="N754" s="10"/>
      <c r="O754" s="9"/>
      <c r="P754" s="9"/>
      <c r="Q754" s="9"/>
      <c r="R754" s="9" t="s">
        <v>12795</v>
      </c>
      <c r="S754" s="9" t="s">
        <v>12795</v>
      </c>
      <c r="T754" s="9"/>
      <c r="U754" s="9"/>
      <c r="V754" s="9"/>
      <c r="W754" s="9"/>
      <c r="X754" s="9"/>
      <c r="Y754" s="9"/>
      <c r="Z754" s="9"/>
      <c r="AA754" s="9"/>
      <c r="AB754" s="9"/>
      <c r="AC754" s="9"/>
      <c r="AD754" s="9" t="s">
        <v>19</v>
      </c>
    </row>
    <row r="755" spans="1:30">
      <c r="A755" s="3" t="s">
        <v>2256</v>
      </c>
      <c r="B755" s="3" t="s">
        <v>7281</v>
      </c>
      <c r="C755" s="3" t="s">
        <v>7282</v>
      </c>
      <c r="G755" s="9" t="s">
        <v>12118</v>
      </c>
      <c r="H755" s="9"/>
      <c r="I755" s="9"/>
      <c r="J755" s="9"/>
      <c r="K755" s="9"/>
      <c r="L755" s="9"/>
      <c r="M755" s="9"/>
      <c r="N755" s="10"/>
      <c r="O755" s="9"/>
      <c r="P755" s="9"/>
      <c r="Q755" s="9">
        <v>1</v>
      </c>
      <c r="R755" s="9">
        <v>3</v>
      </c>
      <c r="S755" s="9">
        <v>4</v>
      </c>
      <c r="T755" s="9"/>
      <c r="U755" s="9"/>
      <c r="V755" s="9"/>
      <c r="W755" s="9"/>
      <c r="X755" s="9"/>
      <c r="Y755" s="9"/>
      <c r="Z755" s="9"/>
      <c r="AA755" s="9"/>
      <c r="AB755" s="9"/>
      <c r="AC755" s="9"/>
      <c r="AD755" s="9" t="s">
        <v>19</v>
      </c>
    </row>
    <row r="756" spans="1:30">
      <c r="A756" s="3" t="s">
        <v>2257</v>
      </c>
      <c r="B756" s="3" t="s">
        <v>7284</v>
      </c>
      <c r="C756" s="3" t="s">
        <v>7283</v>
      </c>
      <c r="G756" s="9" t="s">
        <v>25</v>
      </c>
      <c r="H756" s="9"/>
      <c r="I756" s="9">
        <v>1</v>
      </c>
      <c r="J756" s="9">
        <v>3</v>
      </c>
      <c r="K756" s="9" t="s">
        <v>12087</v>
      </c>
      <c r="L756" s="9" t="s">
        <v>12079</v>
      </c>
      <c r="M756" s="9"/>
      <c r="N756" s="10"/>
      <c r="O756" s="9"/>
      <c r="P756" s="9">
        <v>5676</v>
      </c>
      <c r="Q756" s="9"/>
      <c r="R756" s="9" t="s">
        <v>12795</v>
      </c>
      <c r="S756" s="9" t="s">
        <v>12795</v>
      </c>
      <c r="T756" s="9"/>
      <c r="U756" s="9"/>
      <c r="V756" s="9"/>
      <c r="W756" s="9"/>
      <c r="X756" s="9"/>
      <c r="Y756" s="9"/>
      <c r="Z756" s="9"/>
      <c r="AA756" s="9"/>
      <c r="AB756" s="9"/>
      <c r="AC756" s="9"/>
      <c r="AD756" s="9" t="s">
        <v>19</v>
      </c>
    </row>
    <row r="757" spans="1:30">
      <c r="A757" s="3" t="s">
        <v>2257</v>
      </c>
      <c r="B757" s="3" t="s">
        <v>7285</v>
      </c>
      <c r="C757" s="3" t="s">
        <v>7286</v>
      </c>
      <c r="G757" s="9" t="s">
        <v>12118</v>
      </c>
      <c r="H757" s="9"/>
      <c r="I757" s="9"/>
      <c r="J757" s="9"/>
      <c r="K757" s="9"/>
      <c r="L757" s="9"/>
      <c r="M757" s="9"/>
      <c r="N757" s="10"/>
      <c r="O757" s="9"/>
      <c r="P757" s="9"/>
      <c r="Q757" s="9">
        <v>-42</v>
      </c>
      <c r="R757" s="9">
        <v>103</v>
      </c>
      <c r="S757" s="9">
        <v>61</v>
      </c>
      <c r="T757" s="9"/>
      <c r="U757" s="9"/>
      <c r="V757" s="9"/>
      <c r="W757" s="9"/>
      <c r="X757" s="9"/>
      <c r="Y757" s="9"/>
      <c r="Z757" s="9"/>
      <c r="AA757" s="9"/>
      <c r="AB757" s="9"/>
      <c r="AC757" s="9"/>
      <c r="AD757" s="9" t="s">
        <v>19</v>
      </c>
    </row>
    <row r="758" spans="1:30" ht="58">
      <c r="A758" s="3" t="s">
        <v>2258</v>
      </c>
      <c r="B758" s="3" t="s">
        <v>7291</v>
      </c>
      <c r="C758" s="3" t="s">
        <v>7292</v>
      </c>
      <c r="G758" s="9" t="s">
        <v>26</v>
      </c>
      <c r="H758" s="9"/>
      <c r="I758" s="9"/>
      <c r="J758" s="9"/>
      <c r="K758" s="9"/>
      <c r="L758" s="9"/>
      <c r="M758" s="9"/>
      <c r="N758" s="10"/>
      <c r="O758" s="9"/>
      <c r="P758" s="9"/>
      <c r="Q758" s="9"/>
      <c r="R758" s="9" t="s">
        <v>12795</v>
      </c>
      <c r="S758" s="9" t="s">
        <v>12795</v>
      </c>
      <c r="T758" s="9"/>
      <c r="U758" s="9"/>
      <c r="V758" s="9"/>
      <c r="W758" s="9"/>
      <c r="X758" s="9"/>
      <c r="Y758" s="9"/>
      <c r="Z758" s="9"/>
      <c r="AA758" s="9"/>
      <c r="AB758" s="9"/>
      <c r="AC758" s="9"/>
      <c r="AD758" s="9" t="s">
        <v>20</v>
      </c>
    </row>
    <row r="759" spans="1:30" ht="29">
      <c r="A759" s="3" t="s">
        <v>2259</v>
      </c>
      <c r="B759" s="3" t="s">
        <v>12366</v>
      </c>
      <c r="C759" s="3" t="s">
        <v>12365</v>
      </c>
      <c r="G759" s="9" t="s">
        <v>25</v>
      </c>
      <c r="H759" s="9"/>
      <c r="I759" s="9">
        <v>2</v>
      </c>
      <c r="J759" s="9">
        <v>6</v>
      </c>
      <c r="K759" s="9"/>
      <c r="L759" s="9" t="s">
        <v>12079</v>
      </c>
      <c r="M759" s="9"/>
      <c r="N759" s="10"/>
      <c r="O759" s="9"/>
      <c r="P759" s="9">
        <v>75</v>
      </c>
      <c r="Q759" s="9"/>
      <c r="R759" s="9" t="s">
        <v>12795</v>
      </c>
      <c r="S759" s="9" t="s">
        <v>12795</v>
      </c>
      <c r="T759" s="9"/>
      <c r="U759" s="9"/>
      <c r="V759" s="9"/>
      <c r="W759" s="9"/>
      <c r="X759" s="9"/>
      <c r="Y759" s="9"/>
      <c r="Z759" s="9"/>
      <c r="AA759" s="9"/>
      <c r="AB759" s="9"/>
      <c r="AC759" s="9"/>
      <c r="AD759" s="9" t="s">
        <v>20</v>
      </c>
    </row>
    <row r="760" spans="1:30" ht="29">
      <c r="A760" s="3" t="s">
        <v>2259</v>
      </c>
      <c r="B760" s="3" t="s">
        <v>12367</v>
      </c>
      <c r="C760" s="3" t="s">
        <v>12368</v>
      </c>
      <c r="G760" s="9" t="s">
        <v>12118</v>
      </c>
      <c r="H760" s="9"/>
      <c r="I760" s="9"/>
      <c r="J760" s="9"/>
      <c r="K760" s="9"/>
      <c r="L760" s="9"/>
      <c r="M760" s="9"/>
      <c r="N760" s="10"/>
      <c r="O760" s="9"/>
      <c r="P760" s="9"/>
      <c r="Q760" s="9">
        <v>-3710</v>
      </c>
      <c r="R760" s="9">
        <v>5676</v>
      </c>
      <c r="S760" s="9">
        <v>1966</v>
      </c>
      <c r="T760" s="9"/>
      <c r="U760" s="9"/>
      <c r="V760" s="9"/>
      <c r="W760" s="9"/>
      <c r="X760" s="9"/>
      <c r="Y760" s="9"/>
      <c r="Z760" s="9"/>
      <c r="AA760" s="9"/>
      <c r="AB760" s="9"/>
      <c r="AC760" s="9"/>
      <c r="AD760" s="9" t="s">
        <v>19</v>
      </c>
    </row>
    <row r="761" spans="1:30">
      <c r="A761" s="3" t="s">
        <v>2265</v>
      </c>
      <c r="B761" s="3" t="s">
        <v>7298</v>
      </c>
      <c r="C761" s="3" t="s">
        <v>7299</v>
      </c>
      <c r="G761" s="9" t="s">
        <v>12120</v>
      </c>
      <c r="H761" s="9"/>
      <c r="I761" s="9"/>
      <c r="J761" s="9"/>
      <c r="K761" s="9"/>
      <c r="L761" s="9"/>
      <c r="M761" s="9"/>
      <c r="N761" s="10"/>
      <c r="O761" s="9"/>
      <c r="P761" s="9"/>
      <c r="Q761" s="9"/>
      <c r="R761" s="9" t="s">
        <v>12795</v>
      </c>
      <c r="S761" s="9" t="s">
        <v>12795</v>
      </c>
      <c r="T761" s="9"/>
      <c r="U761" s="9"/>
      <c r="V761" s="9"/>
      <c r="W761" s="9"/>
      <c r="X761" s="9"/>
      <c r="Y761" s="9"/>
      <c r="Z761" s="9"/>
      <c r="AA761" s="9"/>
      <c r="AB761" s="9"/>
      <c r="AC761" s="9"/>
      <c r="AD761" s="9" t="s">
        <v>19</v>
      </c>
    </row>
    <row r="762" spans="1:30" ht="29">
      <c r="A762" s="3" t="s">
        <v>2265</v>
      </c>
      <c r="B762" s="3" t="s">
        <v>7301</v>
      </c>
      <c r="C762" s="3" t="s">
        <v>7302</v>
      </c>
      <c r="G762" s="9" t="s">
        <v>24</v>
      </c>
      <c r="H762" s="9"/>
      <c r="I762" s="9">
        <v>1</v>
      </c>
      <c r="J762" s="9">
        <v>4</v>
      </c>
      <c r="K762" s="9" t="s">
        <v>12078</v>
      </c>
      <c r="L762" s="9" t="s">
        <v>12073</v>
      </c>
      <c r="M762" s="9" t="s">
        <v>12142</v>
      </c>
      <c r="N762" s="10" t="s">
        <v>12143</v>
      </c>
      <c r="O762" s="9"/>
      <c r="P762" s="9">
        <v>11843</v>
      </c>
      <c r="Q762" s="9"/>
      <c r="R762" s="9" t="s">
        <v>12795</v>
      </c>
      <c r="S762" s="9" t="s">
        <v>12795</v>
      </c>
      <c r="T762" s="9"/>
      <c r="U762" s="9"/>
      <c r="V762" s="9"/>
      <c r="W762" s="9"/>
      <c r="X762" s="9"/>
      <c r="Y762" s="9"/>
      <c r="Z762" s="9"/>
      <c r="AA762" s="9"/>
      <c r="AB762" s="9"/>
      <c r="AC762" s="9"/>
      <c r="AD762" s="9" t="s">
        <v>19</v>
      </c>
    </row>
    <row r="763" spans="1:30" ht="29">
      <c r="A763" s="3" t="s">
        <v>2265</v>
      </c>
      <c r="B763" s="3" t="s">
        <v>7303</v>
      </c>
      <c r="C763" s="3" t="s">
        <v>7300</v>
      </c>
      <c r="G763" s="9" t="s">
        <v>25</v>
      </c>
      <c r="H763" s="9"/>
      <c r="I763" s="9">
        <v>1</v>
      </c>
      <c r="J763" s="9">
        <v>2</v>
      </c>
      <c r="K763" s="9" t="s">
        <v>12078</v>
      </c>
      <c r="L763" s="9" t="s">
        <v>12119</v>
      </c>
      <c r="M763" s="9"/>
      <c r="N763" s="10"/>
      <c r="O763" s="9"/>
      <c r="P763" s="9">
        <v>11843</v>
      </c>
      <c r="Q763" s="9"/>
      <c r="R763" s="9" t="s">
        <v>12795</v>
      </c>
      <c r="S763" s="9" t="s">
        <v>12795</v>
      </c>
      <c r="T763" s="9"/>
      <c r="U763" s="9"/>
      <c r="V763" s="9"/>
      <c r="W763" s="9"/>
      <c r="X763" s="9"/>
      <c r="Y763" s="9"/>
      <c r="Z763" s="9"/>
      <c r="AA763" s="9"/>
      <c r="AB763" s="9"/>
      <c r="AC763" s="9"/>
      <c r="AD763" s="9" t="s">
        <v>20</v>
      </c>
    </row>
    <row r="764" spans="1:30">
      <c r="A764" s="3" t="s">
        <v>2265</v>
      </c>
      <c r="B764" s="3" t="s">
        <v>7305</v>
      </c>
      <c r="C764" s="3" t="s">
        <v>7304</v>
      </c>
      <c r="G764" s="9" t="s">
        <v>12118</v>
      </c>
      <c r="H764" s="9"/>
      <c r="I764" s="9"/>
      <c r="J764" s="9"/>
      <c r="K764" s="9"/>
      <c r="L764" s="9"/>
      <c r="M764" s="9"/>
      <c r="N764" s="10"/>
      <c r="O764" s="9"/>
      <c r="P764" s="9"/>
      <c r="Q764" s="9">
        <v>1610</v>
      </c>
      <c r="R764" s="9">
        <v>356</v>
      </c>
      <c r="S764" s="9">
        <v>1966</v>
      </c>
      <c r="T764" s="9"/>
      <c r="U764" s="9"/>
      <c r="V764" s="9"/>
      <c r="W764" s="9"/>
      <c r="X764" s="9"/>
      <c r="Y764" s="9"/>
      <c r="Z764" s="9"/>
      <c r="AA764" s="9"/>
      <c r="AB764" s="9"/>
      <c r="AC764" s="9"/>
      <c r="AD764" s="9" t="s">
        <v>20</v>
      </c>
    </row>
    <row r="765" spans="1:30" ht="29">
      <c r="A765" s="3" t="s">
        <v>2268</v>
      </c>
      <c r="B765" s="3" t="s">
        <v>12369</v>
      </c>
      <c r="C765" s="3" t="s">
        <v>7308</v>
      </c>
      <c r="G765" s="9" t="s">
        <v>25</v>
      </c>
      <c r="H765" s="9"/>
      <c r="I765" s="9">
        <v>1</v>
      </c>
      <c r="J765" s="9">
        <v>2</v>
      </c>
      <c r="K765" s="9" t="s">
        <v>12087</v>
      </c>
      <c r="L765" s="9" t="s">
        <v>12119</v>
      </c>
      <c r="M765" s="9"/>
      <c r="N765" s="10"/>
      <c r="O765" s="9"/>
      <c r="P765" s="9">
        <v>1966</v>
      </c>
      <c r="Q765" s="9"/>
      <c r="R765" s="9" t="s">
        <v>12795</v>
      </c>
      <c r="S765" s="9" t="s">
        <v>12795</v>
      </c>
      <c r="T765" s="9"/>
      <c r="U765" s="9"/>
      <c r="V765" s="9"/>
      <c r="W765" s="9"/>
      <c r="X765" s="9"/>
      <c r="Y765" s="9"/>
      <c r="Z765" s="9"/>
      <c r="AA765" s="9"/>
      <c r="AB765" s="9"/>
      <c r="AC765" s="9"/>
      <c r="AD765" s="9" t="s">
        <v>20</v>
      </c>
    </row>
    <row r="766" spans="1:30" ht="29">
      <c r="A766" s="3" t="s">
        <v>2268</v>
      </c>
      <c r="B766" s="3" t="s">
        <v>7309</v>
      </c>
      <c r="C766" s="3" t="s">
        <v>12370</v>
      </c>
      <c r="G766" s="9" t="s">
        <v>24</v>
      </c>
      <c r="H766" s="9"/>
      <c r="I766" s="9">
        <v>1</v>
      </c>
      <c r="J766" s="9">
        <v>3</v>
      </c>
      <c r="K766" s="9" t="s">
        <v>12087</v>
      </c>
      <c r="L766" s="9" t="s">
        <v>12079</v>
      </c>
      <c r="M766" s="9"/>
      <c r="N766" s="10"/>
      <c r="O766" s="9"/>
      <c r="P766" s="9">
        <v>356</v>
      </c>
      <c r="Q766" s="9"/>
      <c r="R766" s="9" t="s">
        <v>12795</v>
      </c>
      <c r="S766" s="9" t="s">
        <v>12795</v>
      </c>
      <c r="T766" s="9"/>
      <c r="U766" s="9"/>
      <c r="V766" s="9"/>
      <c r="W766" s="9"/>
      <c r="X766" s="9"/>
      <c r="Y766" s="9"/>
      <c r="Z766" s="9"/>
      <c r="AA766" s="9"/>
      <c r="AB766" s="9"/>
      <c r="AC766" s="9"/>
      <c r="AD766" s="9" t="s">
        <v>20</v>
      </c>
    </row>
    <row r="767" spans="1:30">
      <c r="A767" s="3" t="s">
        <v>2270</v>
      </c>
      <c r="B767" s="3" t="s">
        <v>7310</v>
      </c>
      <c r="C767" s="3" t="s">
        <v>7311</v>
      </c>
      <c r="G767" s="9" t="s">
        <v>25</v>
      </c>
      <c r="H767" s="9"/>
      <c r="I767" s="9">
        <v>1</v>
      </c>
      <c r="J767" s="9">
        <v>6</v>
      </c>
      <c r="K767" s="9" t="s">
        <v>12078</v>
      </c>
      <c r="L767" s="9" t="s">
        <v>12079</v>
      </c>
      <c r="M767" s="9"/>
      <c r="N767" s="10"/>
      <c r="O767" s="9"/>
      <c r="P767" s="9">
        <v>11843</v>
      </c>
      <c r="Q767" s="9"/>
      <c r="R767" s="9" t="s">
        <v>12795</v>
      </c>
      <c r="S767" s="9" t="s">
        <v>12795</v>
      </c>
      <c r="T767" s="9"/>
      <c r="U767" s="9"/>
      <c r="V767" s="9"/>
      <c r="W767" s="9"/>
      <c r="X767" s="9"/>
      <c r="Y767" s="9"/>
      <c r="Z767" s="9"/>
      <c r="AA767" s="9"/>
      <c r="AB767" s="9"/>
      <c r="AC767" s="9"/>
      <c r="AD767" s="9" t="s">
        <v>20</v>
      </c>
    </row>
    <row r="768" spans="1:30" ht="43.5">
      <c r="A768" s="3" t="s">
        <v>2271</v>
      </c>
      <c r="B768" s="3" t="s">
        <v>7313</v>
      </c>
      <c r="C768" s="3" t="s">
        <v>7312</v>
      </c>
      <c r="G768" s="9" t="s">
        <v>25</v>
      </c>
      <c r="H768" s="9"/>
      <c r="I768" s="9">
        <v>3</v>
      </c>
      <c r="J768" s="9">
        <v>18</v>
      </c>
      <c r="K768" s="9"/>
      <c r="L768" s="9" t="s">
        <v>12073</v>
      </c>
      <c r="M768" s="9" t="s">
        <v>12135</v>
      </c>
      <c r="N768" s="10" t="s">
        <v>12136</v>
      </c>
      <c r="O768" s="9"/>
      <c r="P768" s="9">
        <v>83</v>
      </c>
      <c r="Q768" s="9"/>
      <c r="R768" s="9" t="s">
        <v>12795</v>
      </c>
      <c r="S768" s="9" t="s">
        <v>12795</v>
      </c>
      <c r="T768" s="9"/>
      <c r="U768" s="9"/>
      <c r="V768" s="9"/>
      <c r="W768" s="9"/>
      <c r="X768" s="9"/>
      <c r="Y768" s="9"/>
      <c r="Z768" s="9"/>
      <c r="AA768" s="9"/>
      <c r="AB768" s="9"/>
      <c r="AC768" s="9"/>
      <c r="AD768" s="9" t="s">
        <v>20</v>
      </c>
    </row>
    <row r="769" spans="1:30">
      <c r="A769" s="3" t="s">
        <v>2274</v>
      </c>
      <c r="B769" s="3" t="s">
        <v>7316</v>
      </c>
      <c r="C769" s="3" t="s">
        <v>7317</v>
      </c>
      <c r="G769" s="9" t="s">
        <v>12120</v>
      </c>
      <c r="H769" s="9"/>
      <c r="I769" s="9"/>
      <c r="J769" s="9"/>
      <c r="K769" s="9"/>
      <c r="L769" s="9"/>
      <c r="M769" s="9"/>
      <c r="N769" s="10"/>
      <c r="O769" s="9"/>
      <c r="P769" s="9"/>
      <c r="Q769" s="9"/>
      <c r="R769" s="9" t="s">
        <v>12795</v>
      </c>
      <c r="S769" s="9" t="s">
        <v>12795</v>
      </c>
      <c r="T769" s="9"/>
      <c r="U769" s="9"/>
      <c r="V769" s="9"/>
      <c r="W769" s="9"/>
      <c r="X769" s="9"/>
      <c r="Y769" s="9"/>
      <c r="Z769" s="9"/>
      <c r="AA769" s="9"/>
      <c r="AB769" s="9"/>
      <c r="AC769" s="9"/>
      <c r="AD769" s="9" t="s">
        <v>20</v>
      </c>
    </row>
    <row r="770" spans="1:30">
      <c r="A770" s="3" t="s">
        <v>2283</v>
      </c>
      <c r="B770" s="3" t="s">
        <v>7323</v>
      </c>
      <c r="C770" s="3" t="s">
        <v>7324</v>
      </c>
      <c r="G770" s="9" t="s">
        <v>25</v>
      </c>
      <c r="H770" s="9"/>
      <c r="I770" s="9">
        <v>1</v>
      </c>
      <c r="J770" s="9">
        <v>5</v>
      </c>
      <c r="K770" s="9" t="s">
        <v>12094</v>
      </c>
      <c r="L770" s="9" t="s">
        <v>12079</v>
      </c>
      <c r="M770" s="9"/>
      <c r="N770" s="10"/>
      <c r="O770" s="9"/>
      <c r="P770" s="9">
        <v>930</v>
      </c>
      <c r="Q770" s="9"/>
      <c r="R770" s="9" t="s">
        <v>12795</v>
      </c>
      <c r="S770" s="9" t="s">
        <v>12795</v>
      </c>
      <c r="T770" s="9"/>
      <c r="U770" s="9"/>
      <c r="V770" s="9"/>
      <c r="W770" s="9"/>
      <c r="X770" s="9"/>
      <c r="Y770" s="9"/>
      <c r="Z770" s="9"/>
      <c r="AA770" s="9"/>
      <c r="AB770" s="9"/>
      <c r="AC770" s="9"/>
      <c r="AD770" s="9" t="s">
        <v>20</v>
      </c>
    </row>
    <row r="771" spans="1:30">
      <c r="A771" s="3" t="s">
        <v>2283</v>
      </c>
      <c r="B771" s="3" t="s">
        <v>2284</v>
      </c>
      <c r="C771" s="3" t="s">
        <v>1051</v>
      </c>
      <c r="G771" s="9" t="s">
        <v>12120</v>
      </c>
      <c r="H771" s="9"/>
      <c r="I771" s="9"/>
      <c r="J771" s="9"/>
      <c r="K771" s="9"/>
      <c r="L771" s="9"/>
      <c r="M771" s="9"/>
      <c r="N771" s="10"/>
      <c r="O771" s="9"/>
      <c r="P771" s="9"/>
      <c r="Q771" s="9"/>
      <c r="R771" s="9" t="s">
        <v>12795</v>
      </c>
      <c r="S771" s="9" t="s">
        <v>12795</v>
      </c>
      <c r="T771" s="9"/>
      <c r="U771" s="9"/>
      <c r="V771" s="9"/>
      <c r="W771" s="9"/>
      <c r="X771" s="9"/>
      <c r="Y771" s="9"/>
      <c r="Z771" s="9"/>
      <c r="AA771" s="9"/>
      <c r="AB771" s="9"/>
      <c r="AC771" s="9"/>
      <c r="AD771" s="9" t="s">
        <v>19</v>
      </c>
    </row>
    <row r="772" spans="1:30" ht="29">
      <c r="A772" s="3" t="s">
        <v>2285</v>
      </c>
      <c r="B772" s="3" t="s">
        <v>7328</v>
      </c>
      <c r="C772" s="3" t="s">
        <v>7329</v>
      </c>
      <c r="G772" s="9" t="s">
        <v>12120</v>
      </c>
      <c r="H772" s="9"/>
      <c r="I772" s="9"/>
      <c r="J772" s="9"/>
      <c r="K772" s="9"/>
      <c r="L772" s="9"/>
      <c r="M772" s="9"/>
      <c r="N772" s="10"/>
      <c r="O772" s="9"/>
      <c r="P772" s="9"/>
      <c r="Q772" s="9"/>
      <c r="R772" s="9" t="s">
        <v>12795</v>
      </c>
      <c r="S772" s="9" t="s">
        <v>12795</v>
      </c>
      <c r="T772" s="9" t="s">
        <v>12117</v>
      </c>
      <c r="U772" s="9"/>
      <c r="V772" s="9"/>
      <c r="W772" s="9"/>
      <c r="X772" s="9"/>
      <c r="Y772" s="9"/>
      <c r="Z772" s="9"/>
      <c r="AA772" s="9"/>
      <c r="AB772" s="9"/>
      <c r="AC772" s="9"/>
      <c r="AD772" s="9" t="s">
        <v>19</v>
      </c>
    </row>
    <row r="773" spans="1:30" ht="29">
      <c r="A773" s="3" t="s">
        <v>2285</v>
      </c>
      <c r="B773" s="3" t="s">
        <v>7327</v>
      </c>
      <c r="C773" s="3" t="s">
        <v>7330</v>
      </c>
      <c r="G773" s="9" t="s">
        <v>24</v>
      </c>
      <c r="H773" s="9"/>
      <c r="I773" s="9">
        <v>1</v>
      </c>
      <c r="J773" s="9">
        <v>3</v>
      </c>
      <c r="K773" s="9" t="s">
        <v>12094</v>
      </c>
      <c r="L773" s="9" t="s">
        <v>12079</v>
      </c>
      <c r="M773" s="9"/>
      <c r="N773" s="10"/>
      <c r="O773" s="9"/>
      <c r="P773" s="9">
        <v>1741</v>
      </c>
      <c r="Q773" s="9"/>
      <c r="R773" s="9" t="s">
        <v>12795</v>
      </c>
      <c r="S773" s="9" t="s">
        <v>12795</v>
      </c>
      <c r="T773" s="9" t="s">
        <v>12117</v>
      </c>
      <c r="U773" s="9"/>
      <c r="V773" s="9"/>
      <c r="W773" s="9"/>
      <c r="X773" s="9"/>
      <c r="Y773" s="9"/>
      <c r="Z773" s="9"/>
      <c r="AA773" s="9"/>
      <c r="AB773" s="9"/>
      <c r="AC773" s="9"/>
      <c r="AD773" s="9" t="s">
        <v>19</v>
      </c>
    </row>
    <row r="774" spans="1:30">
      <c r="A774" s="3" t="s">
        <v>2288</v>
      </c>
      <c r="B774" s="3" t="s">
        <v>7337</v>
      </c>
      <c r="C774" s="3" t="s">
        <v>7338</v>
      </c>
      <c r="G774" s="9" t="s">
        <v>12118</v>
      </c>
      <c r="H774" s="9"/>
      <c r="I774" s="9"/>
      <c r="J774" s="9"/>
      <c r="K774" s="9"/>
      <c r="L774" s="9"/>
      <c r="M774" s="9"/>
      <c r="N774" s="10"/>
      <c r="O774" s="9"/>
      <c r="P774" s="9"/>
      <c r="Q774" s="9">
        <v>-7</v>
      </c>
      <c r="R774" s="9">
        <v>7</v>
      </c>
      <c r="S774" s="9">
        <v>0</v>
      </c>
      <c r="T774" s="9"/>
      <c r="U774" s="9"/>
      <c r="V774" s="9"/>
      <c r="W774" s="9"/>
      <c r="X774" s="9"/>
      <c r="Y774" s="9"/>
      <c r="Z774" s="9"/>
      <c r="AA774" s="9"/>
      <c r="AB774" s="9"/>
      <c r="AC774" s="9"/>
      <c r="AD774" s="9" t="s">
        <v>20</v>
      </c>
    </row>
    <row r="775" spans="1:30" ht="58">
      <c r="A775" s="3" t="s">
        <v>2289</v>
      </c>
      <c r="B775" s="3" t="s">
        <v>7339</v>
      </c>
      <c r="C775" s="3" t="s">
        <v>7340</v>
      </c>
      <c r="G775" s="9" t="s">
        <v>26</v>
      </c>
      <c r="H775" s="9"/>
      <c r="I775" s="9"/>
      <c r="J775" s="9"/>
      <c r="K775" s="9"/>
      <c r="L775" s="9"/>
      <c r="M775" s="9"/>
      <c r="N775" s="10"/>
      <c r="O775" s="9"/>
      <c r="P775" s="9"/>
      <c r="Q775" s="9"/>
      <c r="R775" s="9" t="s">
        <v>12795</v>
      </c>
      <c r="S775" s="9" t="s">
        <v>12795</v>
      </c>
      <c r="T775" s="9"/>
      <c r="U775" s="9"/>
      <c r="V775" s="9"/>
      <c r="W775" s="9"/>
      <c r="X775" s="9"/>
      <c r="Y775" s="9"/>
      <c r="Z775" s="9"/>
      <c r="AA775" s="9"/>
      <c r="AB775" s="9"/>
      <c r="AC775" s="9"/>
      <c r="AD775" s="9" t="s">
        <v>20</v>
      </c>
    </row>
    <row r="776" spans="1:30">
      <c r="A776" s="3" t="s">
        <v>2292</v>
      </c>
      <c r="B776" s="3" t="s">
        <v>1269</v>
      </c>
      <c r="C776" s="3" t="s">
        <v>1248</v>
      </c>
      <c r="G776" s="9" t="s">
        <v>12120</v>
      </c>
      <c r="H776" s="9"/>
      <c r="I776" s="9"/>
      <c r="J776" s="9"/>
      <c r="K776" s="9"/>
      <c r="L776" s="9"/>
      <c r="M776" s="9"/>
      <c r="N776" s="10"/>
      <c r="O776" s="9"/>
      <c r="P776" s="9"/>
      <c r="Q776" s="9"/>
      <c r="R776" s="9" t="s">
        <v>12795</v>
      </c>
      <c r="S776" s="9" t="s">
        <v>12795</v>
      </c>
      <c r="T776" s="9"/>
      <c r="U776" s="9"/>
      <c r="V776" s="9"/>
      <c r="W776" s="9"/>
      <c r="X776" s="9"/>
      <c r="Y776" s="9"/>
      <c r="Z776" s="9"/>
      <c r="AA776" s="9"/>
      <c r="AB776" s="9"/>
      <c r="AC776" s="9"/>
      <c r="AD776" s="9" t="s">
        <v>19</v>
      </c>
    </row>
    <row r="777" spans="1:30">
      <c r="A777" s="3" t="s">
        <v>2292</v>
      </c>
      <c r="B777" s="3" t="s">
        <v>7343</v>
      </c>
      <c r="C777" s="3" t="s">
        <v>7344</v>
      </c>
      <c r="G777" s="9" t="s">
        <v>24</v>
      </c>
      <c r="H777" s="9"/>
      <c r="I777" s="9">
        <v>1</v>
      </c>
      <c r="J777" s="9">
        <v>3</v>
      </c>
      <c r="K777" s="9" t="s">
        <v>12078</v>
      </c>
      <c r="L777" s="9" t="s">
        <v>12079</v>
      </c>
      <c r="M777" s="9"/>
      <c r="N777" s="10"/>
      <c r="O777" s="9"/>
      <c r="P777" s="9">
        <v>11843</v>
      </c>
      <c r="Q777" s="9"/>
      <c r="R777" s="9" t="s">
        <v>12795</v>
      </c>
      <c r="S777" s="9" t="s">
        <v>12795</v>
      </c>
      <c r="T777" s="9"/>
      <c r="U777" s="9"/>
      <c r="V777" s="9"/>
      <c r="W777" s="9"/>
      <c r="X777" s="9"/>
      <c r="Y777" s="9"/>
      <c r="Z777" s="9"/>
      <c r="AA777" s="9"/>
      <c r="AB777" s="9"/>
      <c r="AC777" s="9"/>
      <c r="AD777" s="9" t="s">
        <v>20</v>
      </c>
    </row>
    <row r="778" spans="1:30">
      <c r="A778" s="3" t="s">
        <v>2293</v>
      </c>
      <c r="B778" s="3" t="s">
        <v>6286</v>
      </c>
      <c r="C778" s="3" t="s">
        <v>7347</v>
      </c>
      <c r="G778" s="9" t="s">
        <v>25</v>
      </c>
      <c r="H778" s="9"/>
      <c r="I778" s="9">
        <v>1</v>
      </c>
      <c r="J778" s="9">
        <v>3</v>
      </c>
      <c r="K778" s="9" t="s">
        <v>12092</v>
      </c>
      <c r="L778" s="9" t="s">
        <v>12079</v>
      </c>
      <c r="M778" s="9"/>
      <c r="N778" s="10"/>
      <c r="O778" s="9"/>
      <c r="P778" s="9">
        <v>635</v>
      </c>
      <c r="Q778" s="9"/>
      <c r="R778" s="9" t="s">
        <v>12795</v>
      </c>
      <c r="S778" s="9" t="s">
        <v>12795</v>
      </c>
      <c r="T778" s="9"/>
      <c r="U778" s="9"/>
      <c r="V778" s="9"/>
      <c r="W778" s="9"/>
      <c r="X778" s="9"/>
      <c r="Y778" s="9"/>
      <c r="Z778" s="9"/>
      <c r="AA778" s="9"/>
      <c r="AB778" s="9"/>
      <c r="AC778" s="9"/>
      <c r="AD778" s="9" t="s">
        <v>19</v>
      </c>
    </row>
    <row r="779" spans="1:30">
      <c r="A779" s="3" t="s">
        <v>2296</v>
      </c>
      <c r="B779" s="3" t="s">
        <v>2297</v>
      </c>
      <c r="C779" s="3" t="s">
        <v>302</v>
      </c>
      <c r="G779" s="9" t="s">
        <v>12120</v>
      </c>
      <c r="H779" s="9"/>
      <c r="I779" s="9"/>
      <c r="J779" s="9"/>
      <c r="K779" s="9"/>
      <c r="L779" s="9"/>
      <c r="M779" s="9"/>
      <c r="N779" s="10"/>
      <c r="O779" s="9"/>
      <c r="P779" s="9"/>
      <c r="Q779" s="9"/>
      <c r="R779" s="9" t="s">
        <v>12795</v>
      </c>
      <c r="S779" s="9" t="s">
        <v>12795</v>
      </c>
      <c r="T779" s="9"/>
      <c r="U779" s="9"/>
      <c r="V779" s="9"/>
      <c r="W779" s="9"/>
      <c r="X779" s="9"/>
      <c r="Y779" s="9"/>
      <c r="Z779" s="9"/>
      <c r="AA779" s="9"/>
      <c r="AB779" s="9"/>
      <c r="AC779" s="9"/>
      <c r="AD779" s="9" t="s">
        <v>20</v>
      </c>
    </row>
    <row r="780" spans="1:30">
      <c r="A780" s="3" t="s">
        <v>2298</v>
      </c>
      <c r="B780" s="3" t="s">
        <v>2299</v>
      </c>
      <c r="C780" s="3" t="s">
        <v>2300</v>
      </c>
      <c r="G780" s="9" t="s">
        <v>12120</v>
      </c>
      <c r="H780" s="9"/>
      <c r="I780" s="9"/>
      <c r="J780" s="9"/>
      <c r="K780" s="9"/>
      <c r="L780" s="9"/>
      <c r="M780" s="9"/>
      <c r="N780" s="10"/>
      <c r="O780" s="9"/>
      <c r="P780" s="9"/>
      <c r="Q780" s="9"/>
      <c r="R780" s="9" t="s">
        <v>12795</v>
      </c>
      <c r="S780" s="9" t="s">
        <v>12795</v>
      </c>
      <c r="T780" s="9"/>
      <c r="U780" s="9"/>
      <c r="V780" s="9"/>
      <c r="W780" s="9"/>
      <c r="X780" s="9"/>
      <c r="Y780" s="9"/>
      <c r="Z780" s="9"/>
      <c r="AA780" s="9"/>
      <c r="AB780" s="9"/>
      <c r="AC780" s="9"/>
      <c r="AD780" s="9" t="s">
        <v>19</v>
      </c>
    </row>
    <row r="781" spans="1:30" ht="29">
      <c r="A781" s="3" t="s">
        <v>2298</v>
      </c>
      <c r="B781" s="3" t="s">
        <v>7348</v>
      </c>
      <c r="C781" s="3" t="s">
        <v>7349</v>
      </c>
      <c r="G781" s="9" t="s">
        <v>25</v>
      </c>
      <c r="H781" s="9"/>
      <c r="I781" s="9">
        <v>1</v>
      </c>
      <c r="J781" s="9">
        <v>8</v>
      </c>
      <c r="K781" s="9" t="s">
        <v>12092</v>
      </c>
      <c r="L781" s="9" t="s">
        <v>12079</v>
      </c>
      <c r="M781" s="9"/>
      <c r="N781" s="10"/>
      <c r="O781" s="9"/>
      <c r="P781" s="9">
        <v>4</v>
      </c>
      <c r="Q781" s="9"/>
      <c r="R781" s="9" t="s">
        <v>12795</v>
      </c>
      <c r="S781" s="9" t="s">
        <v>12795</v>
      </c>
      <c r="T781" s="9"/>
      <c r="U781" s="9"/>
      <c r="V781" s="9"/>
      <c r="W781" s="9"/>
      <c r="X781" s="9"/>
      <c r="Y781" s="9"/>
      <c r="Z781" s="9"/>
      <c r="AA781" s="9"/>
      <c r="AB781" s="9"/>
      <c r="AC781" s="9"/>
      <c r="AD781" s="9" t="s">
        <v>19</v>
      </c>
    </row>
    <row r="782" spans="1:30">
      <c r="A782" s="3" t="s">
        <v>2303</v>
      </c>
      <c r="B782" s="3" t="s">
        <v>7351</v>
      </c>
      <c r="C782" s="3" t="s">
        <v>7350</v>
      </c>
      <c r="G782" s="9" t="s">
        <v>25</v>
      </c>
      <c r="H782" s="9"/>
      <c r="I782" s="9">
        <v>1</v>
      </c>
      <c r="J782" s="9">
        <v>1</v>
      </c>
      <c r="K782" s="9" t="s">
        <v>12078</v>
      </c>
      <c r="L782" s="9" t="s">
        <v>12079</v>
      </c>
      <c r="M782" s="9"/>
      <c r="N782" s="10"/>
      <c r="O782" s="9"/>
      <c r="P782" s="9">
        <v>11843</v>
      </c>
      <c r="Q782" s="9"/>
      <c r="R782" s="9" t="s">
        <v>12795</v>
      </c>
      <c r="S782" s="9" t="s">
        <v>12795</v>
      </c>
      <c r="T782" s="9"/>
      <c r="U782" s="9"/>
      <c r="V782" s="9"/>
      <c r="W782" s="9"/>
      <c r="X782" s="9"/>
      <c r="Y782" s="9"/>
      <c r="Z782" s="9"/>
      <c r="AA782" s="9"/>
      <c r="AB782" s="9"/>
      <c r="AC782" s="9"/>
      <c r="AD782" s="9" t="s">
        <v>13141</v>
      </c>
    </row>
    <row r="783" spans="1:30" ht="29">
      <c r="A783" s="3" t="s">
        <v>2303</v>
      </c>
      <c r="B783" s="3" t="s">
        <v>7353</v>
      </c>
      <c r="C783" s="3" t="s">
        <v>7352</v>
      </c>
      <c r="G783" s="9" t="s">
        <v>25</v>
      </c>
      <c r="H783" s="9"/>
      <c r="I783" s="9">
        <v>2</v>
      </c>
      <c r="J783" s="9">
        <v>12</v>
      </c>
      <c r="K783" s="9"/>
      <c r="L783" s="9" t="s">
        <v>12073</v>
      </c>
      <c r="M783" s="9" t="s">
        <v>12142</v>
      </c>
      <c r="N783" s="10" t="s">
        <v>12199</v>
      </c>
      <c r="O783" s="9"/>
      <c r="P783" s="9">
        <v>11</v>
      </c>
      <c r="Q783" s="9"/>
      <c r="R783" s="9" t="s">
        <v>12795</v>
      </c>
      <c r="S783" s="9" t="s">
        <v>12795</v>
      </c>
      <c r="T783" s="9"/>
      <c r="U783" s="9"/>
      <c r="V783" s="9"/>
      <c r="W783" s="9"/>
      <c r="X783" s="9"/>
      <c r="Y783" s="9"/>
      <c r="Z783" s="9"/>
      <c r="AA783" s="9"/>
      <c r="AB783" s="9"/>
      <c r="AC783" s="9"/>
      <c r="AD783" s="9" t="s">
        <v>19</v>
      </c>
    </row>
    <row r="784" spans="1:30" ht="43.5">
      <c r="A784" s="3" t="s">
        <v>2304</v>
      </c>
      <c r="B784" s="3" t="s">
        <v>7355</v>
      </c>
      <c r="C784" s="3" t="s">
        <v>7354</v>
      </c>
      <c r="G784" s="9" t="s">
        <v>12118</v>
      </c>
      <c r="H784" s="9"/>
      <c r="I784" s="9"/>
      <c r="J784" s="9"/>
      <c r="K784" s="9"/>
      <c r="L784" s="9"/>
      <c r="M784" s="9"/>
      <c r="N784" s="10"/>
      <c r="O784" s="9"/>
      <c r="P784" s="9"/>
      <c r="Q784" s="9">
        <v>11777</v>
      </c>
      <c r="R784" s="9">
        <v>66</v>
      </c>
      <c r="S784" s="9">
        <v>11843</v>
      </c>
      <c r="T784" s="9"/>
      <c r="U784" s="9"/>
      <c r="V784" s="9"/>
      <c r="W784" s="9"/>
      <c r="X784" s="9"/>
      <c r="Y784" s="9"/>
      <c r="Z784" s="9"/>
      <c r="AA784" s="9"/>
      <c r="AB784" s="9"/>
      <c r="AC784" s="9"/>
      <c r="AD784" s="9" t="s">
        <v>20</v>
      </c>
    </row>
    <row r="785" spans="1:30">
      <c r="A785" s="3" t="s">
        <v>2304</v>
      </c>
      <c r="B785" s="3" t="s">
        <v>7356</v>
      </c>
      <c r="C785" s="3" t="s">
        <v>7357</v>
      </c>
      <c r="G785" s="9" t="s">
        <v>25</v>
      </c>
      <c r="H785" s="9"/>
      <c r="I785" s="9">
        <v>1</v>
      </c>
      <c r="J785" s="9">
        <v>2</v>
      </c>
      <c r="K785" s="9" t="s">
        <v>12087</v>
      </c>
      <c r="L785" s="9" t="s">
        <v>12079</v>
      </c>
      <c r="M785" s="9"/>
      <c r="N785" s="10"/>
      <c r="O785" s="9"/>
      <c r="P785" s="9">
        <v>1966</v>
      </c>
      <c r="Q785" s="9"/>
      <c r="R785" s="9" t="s">
        <v>12795</v>
      </c>
      <c r="S785" s="9" t="s">
        <v>12795</v>
      </c>
      <c r="T785" s="9"/>
      <c r="U785" s="9"/>
      <c r="V785" s="9"/>
      <c r="W785" s="9"/>
      <c r="X785" s="9"/>
      <c r="Y785" s="9"/>
      <c r="Z785" s="9"/>
      <c r="AA785" s="9"/>
      <c r="AB785" s="9"/>
      <c r="AC785" s="9"/>
      <c r="AD785" s="9" t="s">
        <v>19</v>
      </c>
    </row>
    <row r="786" spans="1:30">
      <c r="A786" s="3" t="s">
        <v>2305</v>
      </c>
      <c r="B786" s="11" t="s">
        <v>12897</v>
      </c>
      <c r="C786" s="11" t="s">
        <v>7358</v>
      </c>
      <c r="G786" s="9" t="s">
        <v>25</v>
      </c>
      <c r="H786" s="9"/>
      <c r="I786" s="9">
        <v>1</v>
      </c>
      <c r="J786" s="9">
        <v>1</v>
      </c>
      <c r="K786" s="9" t="s">
        <v>12078</v>
      </c>
      <c r="L786" s="9" t="s">
        <v>12079</v>
      </c>
      <c r="M786" s="9"/>
      <c r="N786" s="10"/>
      <c r="O786" s="9"/>
      <c r="P786" s="9">
        <v>11843</v>
      </c>
      <c r="Q786" s="9"/>
      <c r="R786" s="9" t="s">
        <v>12795</v>
      </c>
      <c r="S786" s="9" t="s">
        <v>12795</v>
      </c>
      <c r="T786" s="9"/>
      <c r="U786" s="9"/>
      <c r="V786" s="9"/>
      <c r="W786" s="9"/>
      <c r="X786" s="9"/>
      <c r="Y786" s="9"/>
      <c r="Z786" s="9"/>
      <c r="AA786" s="9"/>
      <c r="AB786" s="9"/>
      <c r="AC786" s="9"/>
      <c r="AD786" s="9" t="s">
        <v>20</v>
      </c>
    </row>
    <row r="787" spans="1:30">
      <c r="A787" s="3" t="s">
        <v>2306</v>
      </c>
      <c r="B787" s="3" t="s">
        <v>2307</v>
      </c>
      <c r="C787" s="3" t="s">
        <v>2308</v>
      </c>
      <c r="G787" s="9" t="s">
        <v>12118</v>
      </c>
      <c r="H787" s="9"/>
      <c r="I787" s="9"/>
      <c r="J787" s="9"/>
      <c r="K787" s="9"/>
      <c r="L787" s="9"/>
      <c r="M787" s="9"/>
      <c r="N787" s="10"/>
      <c r="O787" s="9"/>
      <c r="P787" s="9"/>
      <c r="Q787" s="9">
        <v>5</v>
      </c>
      <c r="R787" s="9">
        <v>0</v>
      </c>
      <c r="S787" s="9">
        <v>5</v>
      </c>
      <c r="T787" s="9"/>
      <c r="U787" s="9"/>
      <c r="V787" s="9"/>
      <c r="W787" s="9"/>
      <c r="X787" s="9"/>
      <c r="Y787" s="9"/>
      <c r="Z787" s="9"/>
      <c r="AA787" s="9"/>
      <c r="AB787" s="9"/>
      <c r="AC787" s="9"/>
      <c r="AD787" s="9" t="s">
        <v>19</v>
      </c>
    </row>
    <row r="788" spans="1:30">
      <c r="A788" s="3" t="s">
        <v>2309</v>
      </c>
      <c r="B788" s="3" t="s">
        <v>7359</v>
      </c>
      <c r="C788" s="3" t="s">
        <v>7360</v>
      </c>
      <c r="G788" s="9" t="s">
        <v>12121</v>
      </c>
      <c r="H788" s="9"/>
      <c r="I788" s="9"/>
      <c r="J788" s="9"/>
      <c r="K788" s="9"/>
      <c r="L788" s="9"/>
      <c r="M788" s="9"/>
      <c r="N788" s="10"/>
      <c r="O788" s="9"/>
      <c r="P788" s="9"/>
      <c r="Q788" s="9">
        <v>20</v>
      </c>
      <c r="R788" s="9">
        <v>1</v>
      </c>
      <c r="S788" s="9">
        <v>21</v>
      </c>
      <c r="T788" s="9"/>
      <c r="U788" s="9"/>
      <c r="V788" s="9"/>
      <c r="W788" s="9"/>
      <c r="X788" s="9"/>
      <c r="Y788" s="9"/>
      <c r="Z788" s="9"/>
      <c r="AA788" s="9"/>
      <c r="AB788" s="9"/>
      <c r="AC788" s="9"/>
      <c r="AD788" s="9" t="s">
        <v>19</v>
      </c>
    </row>
    <row r="789" spans="1:30">
      <c r="A789" s="3" t="s">
        <v>2310</v>
      </c>
      <c r="B789" s="3" t="s">
        <v>7361</v>
      </c>
      <c r="C789" s="3" t="s">
        <v>7362</v>
      </c>
      <c r="G789" s="9" t="s">
        <v>12118</v>
      </c>
      <c r="H789" s="9"/>
      <c r="I789" s="9"/>
      <c r="J789" s="9"/>
      <c r="K789" s="9"/>
      <c r="L789" s="9"/>
      <c r="M789" s="9"/>
      <c r="N789" s="10"/>
      <c r="O789" s="9"/>
      <c r="P789" s="9"/>
      <c r="Q789" s="9">
        <v>4</v>
      </c>
      <c r="R789" s="9">
        <v>133</v>
      </c>
      <c r="S789" s="9">
        <v>137</v>
      </c>
      <c r="T789" s="9"/>
      <c r="U789" s="9"/>
      <c r="V789" s="9"/>
      <c r="W789" s="9"/>
      <c r="X789" s="9"/>
      <c r="Y789" s="9"/>
      <c r="Z789" s="9"/>
      <c r="AA789" s="9"/>
      <c r="AB789" s="9"/>
      <c r="AC789" s="9"/>
      <c r="AD789" s="9" t="s">
        <v>20</v>
      </c>
    </row>
    <row r="790" spans="1:30">
      <c r="A790" s="3" t="s">
        <v>2312</v>
      </c>
      <c r="B790" s="3" t="s">
        <v>1823</v>
      </c>
      <c r="C790" s="3" t="s">
        <v>2313</v>
      </c>
      <c r="G790" s="9" t="s">
        <v>12120</v>
      </c>
      <c r="H790" s="9"/>
      <c r="I790" s="9"/>
      <c r="J790" s="9"/>
      <c r="K790" s="9"/>
      <c r="L790" s="9"/>
      <c r="M790" s="9"/>
      <c r="N790" s="10"/>
      <c r="O790" s="9"/>
      <c r="P790" s="9"/>
      <c r="Q790" s="9"/>
      <c r="R790" s="9" t="s">
        <v>12795</v>
      </c>
      <c r="S790" s="9" t="s">
        <v>12795</v>
      </c>
      <c r="T790" s="9"/>
      <c r="U790" s="9"/>
      <c r="V790" s="9"/>
      <c r="W790" s="9"/>
      <c r="X790" s="9"/>
      <c r="Y790" s="9"/>
      <c r="Z790" s="9"/>
      <c r="AA790" s="9"/>
      <c r="AB790" s="9"/>
      <c r="AC790" s="9"/>
      <c r="AD790" s="9" t="s">
        <v>19</v>
      </c>
    </row>
    <row r="791" spans="1:30" ht="145">
      <c r="A791" s="3" t="s">
        <v>2315</v>
      </c>
      <c r="B791" s="3" t="s">
        <v>12898</v>
      </c>
      <c r="C791" s="3" t="s">
        <v>7368</v>
      </c>
      <c r="G791" s="9" t="s">
        <v>26</v>
      </c>
      <c r="H791" s="9"/>
      <c r="I791" s="9"/>
      <c r="J791" s="9"/>
      <c r="K791" s="9"/>
      <c r="L791" s="9"/>
      <c r="M791" s="9"/>
      <c r="N791" s="10"/>
      <c r="O791" s="9"/>
      <c r="P791" s="9"/>
      <c r="Q791" s="9"/>
      <c r="R791" s="9" t="s">
        <v>12795</v>
      </c>
      <c r="S791" s="9" t="s">
        <v>12795</v>
      </c>
      <c r="T791" s="9"/>
      <c r="U791" s="9"/>
      <c r="V791" s="9"/>
      <c r="W791" s="9"/>
      <c r="X791" s="9"/>
      <c r="Y791" s="9"/>
      <c r="Z791" s="9"/>
      <c r="AA791" s="9"/>
      <c r="AB791" s="9"/>
      <c r="AC791" s="9"/>
      <c r="AD791" s="9" t="s">
        <v>20</v>
      </c>
    </row>
    <row r="792" spans="1:30" ht="130.5">
      <c r="A792" s="3" t="s">
        <v>2320</v>
      </c>
      <c r="B792" s="3" t="s">
        <v>12899</v>
      </c>
      <c r="C792" s="3" t="s">
        <v>7369</v>
      </c>
      <c r="G792" s="9" t="s">
        <v>12120</v>
      </c>
      <c r="H792" s="9"/>
      <c r="I792" s="9"/>
      <c r="J792" s="9"/>
      <c r="K792" s="9"/>
      <c r="L792" s="9"/>
      <c r="M792" s="9"/>
      <c r="N792" s="10"/>
      <c r="O792" s="9"/>
      <c r="P792" s="9"/>
      <c r="Q792" s="9"/>
      <c r="R792" s="9"/>
      <c r="S792" s="9" t="s">
        <v>12795</v>
      </c>
      <c r="T792" s="9"/>
      <c r="U792" s="9"/>
      <c r="V792" s="9"/>
      <c r="W792" s="9"/>
      <c r="X792" s="9"/>
      <c r="Y792" s="9"/>
      <c r="Z792" s="9"/>
      <c r="AA792" s="9"/>
      <c r="AB792" s="9"/>
      <c r="AC792" s="9"/>
      <c r="AD792" s="9" t="s">
        <v>20</v>
      </c>
    </row>
    <row r="793" spans="1:30" ht="130.5">
      <c r="A793" s="3" t="s">
        <v>2320</v>
      </c>
      <c r="B793" s="3" t="s">
        <v>12900</v>
      </c>
      <c r="C793" s="3" t="s">
        <v>7367</v>
      </c>
      <c r="G793" s="9" t="s">
        <v>25</v>
      </c>
      <c r="H793" s="9"/>
      <c r="I793" s="9">
        <v>2</v>
      </c>
      <c r="J793" s="9">
        <v>20</v>
      </c>
      <c r="K793" s="9"/>
      <c r="L793" s="9" t="s">
        <v>12079</v>
      </c>
      <c r="M793" s="9"/>
      <c r="N793" s="10"/>
      <c r="O793" s="9"/>
      <c r="P793" s="9">
        <v>3</v>
      </c>
      <c r="Q793" s="9"/>
      <c r="R793" s="9" t="s">
        <v>12795</v>
      </c>
      <c r="S793" s="9" t="s">
        <v>12795</v>
      </c>
      <c r="T793" s="9"/>
      <c r="U793" s="9"/>
      <c r="V793" s="9"/>
      <c r="W793" s="9"/>
      <c r="X793" s="9"/>
      <c r="Y793" s="9"/>
      <c r="Z793" s="9"/>
      <c r="AA793" s="9"/>
      <c r="AB793" s="9"/>
      <c r="AC793" s="9"/>
      <c r="AD793" s="9" t="s">
        <v>19</v>
      </c>
    </row>
    <row r="794" spans="1:30">
      <c r="A794" s="3" t="s">
        <v>2321</v>
      </c>
      <c r="B794" s="3" t="s">
        <v>2322</v>
      </c>
      <c r="C794" s="3" t="s">
        <v>2323</v>
      </c>
      <c r="G794" s="9" t="s">
        <v>12120</v>
      </c>
      <c r="H794" s="9"/>
      <c r="I794" s="9"/>
      <c r="J794" s="9"/>
      <c r="K794" s="9"/>
      <c r="L794" s="9"/>
      <c r="M794" s="9"/>
      <c r="N794" s="10"/>
      <c r="O794" s="9"/>
      <c r="P794" s="9"/>
      <c r="Q794" s="9"/>
      <c r="R794" s="9" t="s">
        <v>12795</v>
      </c>
      <c r="S794" s="9" t="s">
        <v>12795</v>
      </c>
      <c r="T794" s="9"/>
      <c r="U794" s="9"/>
      <c r="V794" s="9"/>
      <c r="W794" s="9"/>
      <c r="X794" s="9"/>
      <c r="Y794" s="9"/>
      <c r="Z794" s="9"/>
      <c r="AA794" s="9"/>
      <c r="AB794" s="9"/>
      <c r="AC794" s="9"/>
      <c r="AD794" s="9" t="s">
        <v>20</v>
      </c>
    </row>
    <row r="795" spans="1:30">
      <c r="A795" s="3" t="s">
        <v>2324</v>
      </c>
      <c r="B795" s="3" t="s">
        <v>7373</v>
      </c>
      <c r="C795" s="3" t="s">
        <v>7372</v>
      </c>
      <c r="G795" s="9" t="s">
        <v>12120</v>
      </c>
      <c r="H795" s="9"/>
      <c r="I795" s="9"/>
      <c r="J795" s="9"/>
      <c r="K795" s="9"/>
      <c r="L795" s="9"/>
      <c r="M795" s="9"/>
      <c r="N795" s="10"/>
      <c r="O795" s="9"/>
      <c r="P795" s="9"/>
      <c r="Q795" s="9"/>
      <c r="R795" s="9" t="s">
        <v>12795</v>
      </c>
      <c r="S795" s="9" t="s">
        <v>12795</v>
      </c>
      <c r="T795" s="9"/>
      <c r="U795" s="9"/>
      <c r="V795" s="9"/>
      <c r="W795" s="9"/>
      <c r="X795" s="9"/>
      <c r="Y795" s="9"/>
      <c r="Z795" s="9"/>
      <c r="AA795" s="9"/>
      <c r="AB795" s="9"/>
      <c r="AC795" s="9"/>
      <c r="AD795" s="9" t="s">
        <v>20</v>
      </c>
    </row>
    <row r="796" spans="1:30" ht="43.5">
      <c r="A796" s="3" t="s">
        <v>2325</v>
      </c>
      <c r="B796" s="3" t="s">
        <v>7375</v>
      </c>
      <c r="C796" s="3" t="s">
        <v>7374</v>
      </c>
      <c r="G796" s="9" t="s">
        <v>26</v>
      </c>
      <c r="H796" s="9"/>
      <c r="I796" s="9"/>
      <c r="J796" s="9"/>
      <c r="K796" s="9"/>
      <c r="L796" s="9"/>
      <c r="M796" s="9"/>
      <c r="N796" s="10"/>
      <c r="O796" s="9"/>
      <c r="P796" s="9"/>
      <c r="Q796" s="9"/>
      <c r="R796" s="9" t="s">
        <v>12795</v>
      </c>
      <c r="S796" s="9" t="s">
        <v>12795</v>
      </c>
      <c r="T796" s="9"/>
      <c r="U796" s="9"/>
      <c r="V796" s="9"/>
      <c r="W796" s="9"/>
      <c r="X796" s="9"/>
      <c r="Y796" s="9"/>
      <c r="Z796" s="9"/>
      <c r="AA796" s="9"/>
      <c r="AB796" s="9"/>
      <c r="AC796" s="9"/>
      <c r="AD796" s="9" t="s">
        <v>19</v>
      </c>
    </row>
    <row r="797" spans="1:30">
      <c r="A797" s="3" t="s">
        <v>2326</v>
      </c>
      <c r="B797" s="3" t="s">
        <v>7378</v>
      </c>
      <c r="C797" s="3" t="s">
        <v>7379</v>
      </c>
      <c r="G797" s="9" t="s">
        <v>12118</v>
      </c>
      <c r="H797" s="9"/>
      <c r="I797" s="9"/>
      <c r="J797" s="9"/>
      <c r="K797" s="9"/>
      <c r="L797" s="9"/>
      <c r="M797" s="9"/>
      <c r="N797" s="10"/>
      <c r="O797" s="9"/>
      <c r="P797" s="9"/>
      <c r="Q797" s="9">
        <v>-3310</v>
      </c>
      <c r="R797" s="9">
        <v>4240</v>
      </c>
      <c r="S797" s="9">
        <v>930</v>
      </c>
      <c r="T797" s="9"/>
      <c r="U797" s="9"/>
      <c r="V797" s="9"/>
      <c r="W797" s="9"/>
      <c r="X797" s="9"/>
      <c r="Y797" s="9"/>
      <c r="Z797" s="9"/>
      <c r="AA797" s="9"/>
      <c r="AB797" s="9"/>
      <c r="AC797" s="9"/>
      <c r="AD797" s="9" t="s">
        <v>19</v>
      </c>
    </row>
    <row r="798" spans="1:30">
      <c r="A798" s="3" t="s">
        <v>2327</v>
      </c>
      <c r="B798" s="3" t="s">
        <v>7378</v>
      </c>
      <c r="C798" s="3" t="s">
        <v>7379</v>
      </c>
      <c r="G798" s="9" t="s">
        <v>12118</v>
      </c>
      <c r="H798" s="9"/>
      <c r="I798" s="9"/>
      <c r="J798" s="9"/>
      <c r="K798" s="9"/>
      <c r="L798" s="9"/>
      <c r="M798" s="9"/>
      <c r="N798" s="10"/>
      <c r="O798" s="9"/>
      <c r="P798" s="9"/>
      <c r="Q798" s="9">
        <v>-3310</v>
      </c>
      <c r="R798" s="9">
        <v>4240</v>
      </c>
      <c r="S798" s="9">
        <v>930</v>
      </c>
      <c r="T798" s="9"/>
      <c r="U798" s="9"/>
      <c r="V798" s="9"/>
      <c r="W798" s="9"/>
      <c r="X798" s="9"/>
      <c r="Y798" s="9"/>
      <c r="Z798" s="9"/>
      <c r="AA798" s="9"/>
      <c r="AB798" s="9"/>
      <c r="AC798" s="9"/>
      <c r="AD798" s="9" t="s">
        <v>19</v>
      </c>
    </row>
    <row r="799" spans="1:30">
      <c r="A799" s="3" t="s">
        <v>2332</v>
      </c>
      <c r="B799" s="3" t="s">
        <v>7384</v>
      </c>
      <c r="C799" s="3" t="s">
        <v>7386</v>
      </c>
      <c r="G799" s="9" t="s">
        <v>25</v>
      </c>
      <c r="H799" s="9"/>
      <c r="I799" s="9">
        <v>1</v>
      </c>
      <c r="J799" s="9">
        <v>2</v>
      </c>
      <c r="K799" s="9" t="s">
        <v>12087</v>
      </c>
      <c r="L799" s="9" t="s">
        <v>12119</v>
      </c>
      <c r="M799" s="9"/>
      <c r="N799" s="10"/>
      <c r="O799" s="9"/>
      <c r="P799" s="9">
        <v>227</v>
      </c>
      <c r="Q799" s="9"/>
      <c r="R799" s="9" t="s">
        <v>12795</v>
      </c>
      <c r="S799" s="9" t="s">
        <v>12795</v>
      </c>
      <c r="T799" s="9"/>
      <c r="U799" s="9"/>
      <c r="V799" s="9"/>
      <c r="W799" s="9"/>
      <c r="X799" s="9"/>
      <c r="Y799" s="9"/>
      <c r="Z799" s="9"/>
      <c r="AA799" s="9"/>
      <c r="AB799" s="9"/>
      <c r="AC799" s="9"/>
      <c r="AD799" s="9" t="s">
        <v>20</v>
      </c>
    </row>
    <row r="800" spans="1:30">
      <c r="A800" s="3" t="s">
        <v>2333</v>
      </c>
      <c r="B800" s="3" t="s">
        <v>7385</v>
      </c>
      <c r="C800" s="3" t="s">
        <v>7387</v>
      </c>
      <c r="G800" s="9" t="s">
        <v>25</v>
      </c>
      <c r="H800" s="9"/>
      <c r="I800" s="9">
        <v>1</v>
      </c>
      <c r="J800" s="9">
        <v>2</v>
      </c>
      <c r="K800" s="9" t="s">
        <v>12087</v>
      </c>
      <c r="L800" s="9" t="s">
        <v>12119</v>
      </c>
      <c r="M800" s="9"/>
      <c r="N800" s="10"/>
      <c r="O800" s="9"/>
      <c r="P800" s="9">
        <v>227</v>
      </c>
      <c r="Q800" s="9"/>
      <c r="R800" s="9" t="s">
        <v>12795</v>
      </c>
      <c r="S800" s="9" t="s">
        <v>12795</v>
      </c>
      <c r="T800" s="9"/>
      <c r="U800" s="9"/>
      <c r="V800" s="9"/>
      <c r="W800" s="9"/>
      <c r="X800" s="9"/>
      <c r="Y800" s="9"/>
      <c r="Z800" s="9"/>
      <c r="AA800" s="9"/>
      <c r="AB800" s="9"/>
      <c r="AC800" s="9"/>
      <c r="AD800" s="9" t="s">
        <v>20</v>
      </c>
    </row>
    <row r="801" spans="1:30" ht="29">
      <c r="A801" s="3" t="s">
        <v>2342</v>
      </c>
      <c r="B801" s="3" t="s">
        <v>7389</v>
      </c>
      <c r="C801" s="3" t="s">
        <v>7388</v>
      </c>
      <c r="G801" s="9" t="s">
        <v>24</v>
      </c>
      <c r="H801" s="9"/>
      <c r="I801" s="9">
        <v>1</v>
      </c>
      <c r="J801" s="9">
        <v>2</v>
      </c>
      <c r="K801" s="9" t="s">
        <v>12078</v>
      </c>
      <c r="L801" s="9" t="s">
        <v>12119</v>
      </c>
      <c r="M801" s="9"/>
      <c r="N801" s="10"/>
      <c r="O801" s="9"/>
      <c r="P801" s="9">
        <v>11843</v>
      </c>
      <c r="Q801" s="9"/>
      <c r="R801" s="9" t="s">
        <v>12795</v>
      </c>
      <c r="S801" s="9" t="s">
        <v>12795</v>
      </c>
      <c r="T801" s="9"/>
      <c r="U801" s="9"/>
      <c r="V801" s="9"/>
      <c r="W801" s="9"/>
      <c r="X801" s="9"/>
      <c r="Y801" s="9"/>
      <c r="Z801" s="9"/>
      <c r="AA801" s="9"/>
      <c r="AB801" s="9"/>
      <c r="AC801" s="9"/>
      <c r="AD801" s="9" t="s">
        <v>19</v>
      </c>
    </row>
    <row r="802" spans="1:30" ht="29">
      <c r="A802" s="3" t="s">
        <v>2343</v>
      </c>
      <c r="B802" s="3" t="s">
        <v>7390</v>
      </c>
      <c r="C802" s="3" t="s">
        <v>7393</v>
      </c>
      <c r="G802" s="9" t="s">
        <v>24</v>
      </c>
      <c r="H802" s="9"/>
      <c r="I802" s="9">
        <v>1</v>
      </c>
      <c r="J802" s="9">
        <v>10</v>
      </c>
      <c r="K802" s="9" t="s">
        <v>12092</v>
      </c>
      <c r="L802" s="9" t="s">
        <v>12073</v>
      </c>
      <c r="M802" s="9" t="s">
        <v>12142</v>
      </c>
      <c r="N802" s="10" t="s">
        <v>12375</v>
      </c>
      <c r="O802" s="9" t="s">
        <v>12074</v>
      </c>
      <c r="P802" s="9">
        <v>17</v>
      </c>
      <c r="Q802" s="9"/>
      <c r="R802" s="9" t="s">
        <v>12795</v>
      </c>
      <c r="S802" s="9" t="s">
        <v>12795</v>
      </c>
      <c r="T802" s="9"/>
      <c r="U802" s="9"/>
      <c r="V802" s="9"/>
      <c r="W802" s="9"/>
      <c r="X802" s="9"/>
      <c r="Y802" s="9"/>
      <c r="Z802" s="9"/>
      <c r="AA802" s="9"/>
      <c r="AB802" s="9"/>
      <c r="AC802" s="9"/>
      <c r="AD802" s="9" t="s">
        <v>20</v>
      </c>
    </row>
    <row r="803" spans="1:30">
      <c r="A803" s="3" t="s">
        <v>2344</v>
      </c>
      <c r="B803" s="3" t="s">
        <v>7395</v>
      </c>
      <c r="C803" s="3" t="s">
        <v>7394</v>
      </c>
      <c r="G803" s="9" t="s">
        <v>24</v>
      </c>
      <c r="H803" s="9"/>
      <c r="I803" s="9">
        <v>1</v>
      </c>
      <c r="J803" s="9">
        <v>2</v>
      </c>
      <c r="K803" s="9" t="s">
        <v>12087</v>
      </c>
      <c r="L803" s="9" t="s">
        <v>12119</v>
      </c>
      <c r="M803" s="9"/>
      <c r="N803" s="10"/>
      <c r="O803" s="9"/>
      <c r="P803" s="9">
        <v>1966</v>
      </c>
      <c r="Q803" s="9"/>
      <c r="R803" s="9" t="s">
        <v>12795</v>
      </c>
      <c r="S803" s="9" t="s">
        <v>12795</v>
      </c>
      <c r="T803" s="9"/>
      <c r="U803" s="9"/>
      <c r="V803" s="9"/>
      <c r="W803" s="9"/>
      <c r="X803" s="9"/>
      <c r="Y803" s="9"/>
      <c r="Z803" s="9"/>
      <c r="AA803" s="9"/>
      <c r="AB803" s="9"/>
      <c r="AC803" s="9"/>
      <c r="AD803" s="9" t="s">
        <v>20</v>
      </c>
    </row>
    <row r="804" spans="1:30" ht="29">
      <c r="A804" s="3" t="s">
        <v>2344</v>
      </c>
      <c r="B804" s="3" t="s">
        <v>7396</v>
      </c>
      <c r="C804" s="3" t="s">
        <v>7397</v>
      </c>
      <c r="G804" s="9" t="s">
        <v>24</v>
      </c>
      <c r="H804" s="9"/>
      <c r="I804" s="9">
        <v>1</v>
      </c>
      <c r="J804" s="9">
        <v>3</v>
      </c>
      <c r="K804" s="9" t="s">
        <v>12078</v>
      </c>
      <c r="L804" s="9" t="s">
        <v>12079</v>
      </c>
      <c r="M804" s="9"/>
      <c r="N804" s="10"/>
      <c r="O804" s="9"/>
      <c r="P804" s="9">
        <v>11843</v>
      </c>
      <c r="Q804" s="9"/>
      <c r="R804" s="9" t="s">
        <v>12795</v>
      </c>
      <c r="S804" s="9" t="s">
        <v>12795</v>
      </c>
      <c r="T804" s="9"/>
      <c r="U804" s="9"/>
      <c r="V804" s="9"/>
      <c r="W804" s="9"/>
      <c r="X804" s="9"/>
      <c r="Y804" s="9"/>
      <c r="Z804" s="9"/>
      <c r="AA804" s="9"/>
      <c r="AB804" s="9"/>
      <c r="AC804" s="9"/>
      <c r="AD804" s="9" t="s">
        <v>19</v>
      </c>
    </row>
    <row r="805" spans="1:30" ht="29">
      <c r="A805" s="3" t="s">
        <v>2348</v>
      </c>
      <c r="B805" s="3" t="s">
        <v>7402</v>
      </c>
      <c r="C805" s="3" t="s">
        <v>7403</v>
      </c>
      <c r="G805" s="9" t="s">
        <v>12118</v>
      </c>
      <c r="H805" s="9"/>
      <c r="I805" s="9"/>
      <c r="J805" s="9"/>
      <c r="K805" s="9"/>
      <c r="L805" s="9"/>
      <c r="M805" s="9"/>
      <c r="N805" s="10"/>
      <c r="O805" s="9"/>
      <c r="P805" s="9"/>
      <c r="Q805" s="9">
        <v>202</v>
      </c>
      <c r="R805" s="9">
        <v>0</v>
      </c>
      <c r="S805" s="9">
        <v>202</v>
      </c>
      <c r="T805" s="9"/>
      <c r="U805" s="9"/>
      <c r="V805" s="9"/>
      <c r="W805" s="9"/>
      <c r="X805" s="9"/>
      <c r="Y805" s="9"/>
      <c r="Z805" s="9"/>
      <c r="AA805" s="9"/>
      <c r="AB805" s="9"/>
      <c r="AC805" s="9"/>
      <c r="AD805" s="9" t="s">
        <v>20</v>
      </c>
    </row>
    <row r="806" spans="1:30" ht="29">
      <c r="A806" s="3" t="s">
        <v>2356</v>
      </c>
      <c r="B806" s="3" t="s">
        <v>7409</v>
      </c>
      <c r="C806" s="3" t="s">
        <v>7408</v>
      </c>
      <c r="G806" s="9" t="s">
        <v>24</v>
      </c>
      <c r="H806" s="9"/>
      <c r="I806" s="9">
        <v>1</v>
      </c>
      <c r="J806" s="9">
        <v>4</v>
      </c>
      <c r="K806" s="9" t="s">
        <v>12094</v>
      </c>
      <c r="L806" s="9" t="s">
        <v>12079</v>
      </c>
      <c r="M806" s="9"/>
      <c r="N806" s="10"/>
      <c r="O806" s="9"/>
      <c r="P806" s="9">
        <v>4240</v>
      </c>
      <c r="Q806" s="9"/>
      <c r="R806" s="9" t="s">
        <v>12795</v>
      </c>
      <c r="S806" s="9" t="s">
        <v>12795</v>
      </c>
      <c r="T806" s="9"/>
      <c r="U806" s="9"/>
      <c r="V806" s="9"/>
      <c r="W806" s="9"/>
      <c r="X806" s="9"/>
      <c r="Y806" s="9"/>
      <c r="Z806" s="9"/>
      <c r="AA806" s="9"/>
      <c r="AB806" s="9"/>
      <c r="AC806" s="9"/>
      <c r="AD806" s="9" t="s">
        <v>19</v>
      </c>
    </row>
    <row r="807" spans="1:30" ht="58">
      <c r="A807" s="3" t="s">
        <v>2357</v>
      </c>
      <c r="B807" s="3" t="s">
        <v>7411</v>
      </c>
      <c r="C807" s="3" t="s">
        <v>7412</v>
      </c>
      <c r="G807" s="9" t="s">
        <v>24</v>
      </c>
      <c r="H807" s="9"/>
      <c r="I807" s="9">
        <v>1</v>
      </c>
      <c r="J807" s="9">
        <v>3</v>
      </c>
      <c r="K807" s="9" t="s">
        <v>12078</v>
      </c>
      <c r="L807" s="9" t="s">
        <v>12079</v>
      </c>
      <c r="M807" s="9"/>
      <c r="N807" s="10"/>
      <c r="O807" s="9"/>
      <c r="P807" s="9">
        <v>11843</v>
      </c>
      <c r="Q807" s="9"/>
      <c r="R807" s="9" t="s">
        <v>12795</v>
      </c>
      <c r="S807" s="9" t="s">
        <v>12795</v>
      </c>
      <c r="T807" s="9"/>
      <c r="U807" s="9"/>
      <c r="V807" s="9"/>
      <c r="W807" s="9"/>
      <c r="X807" s="9"/>
      <c r="Y807" s="9"/>
      <c r="Z807" s="9"/>
      <c r="AA807" s="9"/>
      <c r="AB807" s="9"/>
      <c r="AC807" s="9"/>
      <c r="AD807" s="9" t="s">
        <v>19</v>
      </c>
    </row>
    <row r="808" spans="1:30" ht="58">
      <c r="A808" s="3" t="s">
        <v>2357</v>
      </c>
      <c r="B808" s="3" t="s">
        <v>7413</v>
      </c>
      <c r="C808" s="3" t="s">
        <v>7410</v>
      </c>
      <c r="G808" s="9" t="s">
        <v>25</v>
      </c>
      <c r="H808" s="9"/>
      <c r="I808" s="9">
        <v>1</v>
      </c>
      <c r="J808" s="9">
        <v>2</v>
      </c>
      <c r="K808" s="9" t="s">
        <v>12078</v>
      </c>
      <c r="L808" s="9" t="s">
        <v>12119</v>
      </c>
      <c r="M808" s="9"/>
      <c r="N808" s="10"/>
      <c r="O808" s="9"/>
      <c r="P808" s="9">
        <v>11843</v>
      </c>
      <c r="Q808" s="9"/>
      <c r="R808" s="9" t="s">
        <v>12795</v>
      </c>
      <c r="S808" s="9" t="s">
        <v>12795</v>
      </c>
      <c r="T808" s="9"/>
      <c r="U808" s="9"/>
      <c r="V808" s="9"/>
      <c r="W808" s="9"/>
      <c r="X808" s="9"/>
      <c r="Y808" s="9"/>
      <c r="Z808" s="9"/>
      <c r="AA808" s="9"/>
      <c r="AB808" s="9"/>
      <c r="AC808" s="9"/>
      <c r="AD808" s="9" t="s">
        <v>20</v>
      </c>
    </row>
    <row r="809" spans="1:30" ht="58">
      <c r="A809" s="3" t="s">
        <v>2357</v>
      </c>
      <c r="B809" s="3" t="s">
        <v>7414</v>
      </c>
      <c r="C809" s="3" t="s">
        <v>7410</v>
      </c>
      <c r="G809" s="9" t="s">
        <v>25</v>
      </c>
      <c r="H809" s="9"/>
      <c r="I809" s="9">
        <v>1</v>
      </c>
      <c r="J809" s="9">
        <v>6</v>
      </c>
      <c r="K809" s="9" t="s">
        <v>12092</v>
      </c>
      <c r="L809" s="9" t="s">
        <v>12079</v>
      </c>
      <c r="M809" s="9"/>
      <c r="N809" s="10"/>
      <c r="O809" s="9"/>
      <c r="P809" s="9">
        <v>75</v>
      </c>
      <c r="Q809" s="9"/>
      <c r="R809" s="9" t="s">
        <v>12795</v>
      </c>
      <c r="S809" s="9" t="s">
        <v>12795</v>
      </c>
      <c r="T809" s="9"/>
      <c r="U809" s="9"/>
      <c r="V809" s="9"/>
      <c r="W809" s="9"/>
      <c r="X809" s="9"/>
      <c r="Y809" s="9"/>
      <c r="Z809" s="9"/>
      <c r="AA809" s="9"/>
      <c r="AB809" s="9"/>
      <c r="AC809" s="9"/>
      <c r="AD809" s="9" t="s">
        <v>19</v>
      </c>
    </row>
    <row r="810" spans="1:30" ht="58">
      <c r="A810" s="3" t="s">
        <v>2357</v>
      </c>
      <c r="B810" s="3" t="s">
        <v>7411</v>
      </c>
      <c r="C810" s="3" t="s">
        <v>7415</v>
      </c>
      <c r="G810" s="9" t="s">
        <v>24</v>
      </c>
      <c r="H810" s="9"/>
      <c r="I810" s="9">
        <v>1</v>
      </c>
      <c r="J810" s="9">
        <v>6</v>
      </c>
      <c r="K810" s="9" t="s">
        <v>12092</v>
      </c>
      <c r="L810" s="9" t="s">
        <v>12079</v>
      </c>
      <c r="M810" s="9"/>
      <c r="N810" s="10"/>
      <c r="O810" s="9"/>
      <c r="P810" s="9">
        <v>75</v>
      </c>
      <c r="Q810" s="9"/>
      <c r="R810" s="9" t="s">
        <v>12795</v>
      </c>
      <c r="S810" s="9" t="s">
        <v>12795</v>
      </c>
      <c r="T810" s="9"/>
      <c r="U810" s="9"/>
      <c r="V810" s="9"/>
      <c r="W810" s="9"/>
      <c r="X810" s="9"/>
      <c r="Y810" s="9"/>
      <c r="Z810" s="9"/>
      <c r="AA810" s="9"/>
      <c r="AB810" s="9"/>
      <c r="AC810" s="9"/>
      <c r="AD810" s="9" t="s">
        <v>19</v>
      </c>
    </row>
    <row r="811" spans="1:30">
      <c r="A811" s="3" t="s">
        <v>2360</v>
      </c>
      <c r="B811" s="3" t="s">
        <v>7421</v>
      </c>
      <c r="C811" s="3" t="s">
        <v>7420</v>
      </c>
      <c r="G811" s="9" t="s">
        <v>12118</v>
      </c>
      <c r="H811" s="9"/>
      <c r="I811" s="9"/>
      <c r="J811" s="9"/>
      <c r="K811" s="9"/>
      <c r="L811" s="9"/>
      <c r="M811" s="9"/>
      <c r="N811" s="10"/>
      <c r="O811" s="9"/>
      <c r="P811" s="9"/>
      <c r="Q811" s="9">
        <v>-274</v>
      </c>
      <c r="R811" s="9">
        <v>635</v>
      </c>
      <c r="S811" s="9">
        <v>361</v>
      </c>
      <c r="T811" s="9"/>
      <c r="U811" s="9"/>
      <c r="V811" s="9"/>
      <c r="W811" s="9"/>
      <c r="X811" s="9"/>
      <c r="Y811" s="9"/>
      <c r="Z811" s="9"/>
      <c r="AA811" s="9"/>
      <c r="AB811" s="9"/>
      <c r="AC811" s="9"/>
      <c r="AD811" s="9" t="s">
        <v>19</v>
      </c>
    </row>
    <row r="812" spans="1:30" ht="29">
      <c r="A812" s="3" t="s">
        <v>2360</v>
      </c>
      <c r="B812" s="3" t="s">
        <v>12376</v>
      </c>
      <c r="C812" s="3" t="s">
        <v>12377</v>
      </c>
      <c r="G812" s="9" t="s">
        <v>25</v>
      </c>
      <c r="H812" s="9"/>
      <c r="I812" s="9">
        <v>3</v>
      </c>
      <c r="J812" s="9">
        <v>12</v>
      </c>
      <c r="K812" s="9"/>
      <c r="L812" s="9" t="s">
        <v>12073</v>
      </c>
      <c r="M812" s="9" t="s">
        <v>12140</v>
      </c>
      <c r="N812" s="10" t="s">
        <v>12193</v>
      </c>
      <c r="O812" s="9"/>
      <c r="P812" s="9">
        <v>2042</v>
      </c>
      <c r="Q812" s="9"/>
      <c r="R812" s="9" t="s">
        <v>12795</v>
      </c>
      <c r="S812" s="9" t="s">
        <v>12795</v>
      </c>
      <c r="T812" s="9"/>
      <c r="U812" s="9"/>
      <c r="V812" s="9"/>
      <c r="W812" s="9"/>
      <c r="X812" s="9"/>
      <c r="Y812" s="9"/>
      <c r="Z812" s="9"/>
      <c r="AA812" s="9"/>
      <c r="AB812" s="9"/>
      <c r="AC812" s="9"/>
      <c r="AD812" s="9" t="s">
        <v>20</v>
      </c>
    </row>
    <row r="813" spans="1:30" ht="29">
      <c r="A813" s="3" t="s">
        <v>2361</v>
      </c>
      <c r="B813" s="3" t="s">
        <v>7422</v>
      </c>
      <c r="C813" s="3" t="s">
        <v>7423</v>
      </c>
      <c r="G813" s="9" t="s">
        <v>25</v>
      </c>
      <c r="H813" s="9"/>
      <c r="I813" s="9">
        <v>1</v>
      </c>
      <c r="J813" s="9">
        <v>8</v>
      </c>
      <c r="K813" s="9" t="s">
        <v>12092</v>
      </c>
      <c r="L813" s="9" t="s">
        <v>12073</v>
      </c>
      <c r="M813" s="9" t="s">
        <v>12142</v>
      </c>
      <c r="N813" s="10" t="s">
        <v>12199</v>
      </c>
      <c r="O813" s="9" t="s">
        <v>12074</v>
      </c>
      <c r="P813" s="9">
        <v>9</v>
      </c>
      <c r="Q813" s="9"/>
      <c r="R813" s="9" t="s">
        <v>12795</v>
      </c>
      <c r="S813" s="9" t="s">
        <v>12795</v>
      </c>
      <c r="T813" s="9"/>
      <c r="U813" s="9"/>
      <c r="V813" s="9"/>
      <c r="W813" s="9"/>
      <c r="X813" s="9"/>
      <c r="Y813" s="9"/>
      <c r="Z813" s="9"/>
      <c r="AA813" s="9"/>
      <c r="AB813" s="9"/>
      <c r="AC813" s="9"/>
      <c r="AD813" s="9" t="s">
        <v>19</v>
      </c>
    </row>
    <row r="814" spans="1:30">
      <c r="A814" s="3" t="s">
        <v>2364</v>
      </c>
      <c r="B814" s="3" t="s">
        <v>2255</v>
      </c>
      <c r="C814" s="3" t="s">
        <v>180</v>
      </c>
      <c r="G814" s="9" t="s">
        <v>12120</v>
      </c>
      <c r="H814" s="9"/>
      <c r="I814" s="9"/>
      <c r="J814" s="9"/>
      <c r="K814" s="9"/>
      <c r="L814" s="9"/>
      <c r="M814" s="9"/>
      <c r="N814" s="10"/>
      <c r="O814" s="9"/>
      <c r="P814" s="9"/>
      <c r="Q814" s="9"/>
      <c r="R814" s="9" t="s">
        <v>12795</v>
      </c>
      <c r="S814" s="9" t="s">
        <v>12795</v>
      </c>
      <c r="T814" s="9"/>
      <c r="U814" s="9"/>
      <c r="V814" s="9"/>
      <c r="W814" s="9"/>
      <c r="X814" s="9"/>
      <c r="Y814" s="9"/>
      <c r="Z814" s="9"/>
      <c r="AA814" s="9"/>
      <c r="AB814" s="9"/>
      <c r="AC814" s="9"/>
      <c r="AD814" s="9" t="s">
        <v>19</v>
      </c>
    </row>
    <row r="815" spans="1:30" ht="29">
      <c r="A815" s="3" t="s">
        <v>2364</v>
      </c>
      <c r="B815" s="3" t="s">
        <v>7425</v>
      </c>
      <c r="C815" s="3" t="s">
        <v>7424</v>
      </c>
      <c r="G815" s="9" t="s">
        <v>26</v>
      </c>
      <c r="H815" s="9"/>
      <c r="I815" s="9"/>
      <c r="J815" s="9"/>
      <c r="K815" s="9"/>
      <c r="L815" s="9"/>
      <c r="M815" s="9"/>
      <c r="N815" s="10"/>
      <c r="O815" s="9"/>
      <c r="P815" s="9"/>
      <c r="Q815" s="9"/>
      <c r="R815" s="9" t="s">
        <v>12795</v>
      </c>
      <c r="S815" s="9" t="s">
        <v>12795</v>
      </c>
      <c r="T815" s="9"/>
      <c r="U815" s="9"/>
      <c r="V815" s="9"/>
      <c r="W815" s="9"/>
      <c r="X815" s="9"/>
      <c r="Y815" s="9"/>
      <c r="Z815" s="9"/>
      <c r="AA815" s="9"/>
      <c r="AB815" s="9"/>
      <c r="AC815" s="9"/>
      <c r="AD815" s="9" t="s">
        <v>19</v>
      </c>
    </row>
    <row r="816" spans="1:30" ht="29">
      <c r="A816" s="3" t="s">
        <v>2369</v>
      </c>
      <c r="B816" s="3" t="s">
        <v>7434</v>
      </c>
      <c r="C816" s="3" t="s">
        <v>7435</v>
      </c>
      <c r="G816" s="9" t="s">
        <v>12118</v>
      </c>
      <c r="H816" s="9"/>
      <c r="I816" s="9"/>
      <c r="J816" s="9"/>
      <c r="K816" s="9"/>
      <c r="L816" s="9"/>
      <c r="M816" s="9"/>
      <c r="N816" s="10"/>
      <c r="O816" s="9"/>
      <c r="P816" s="9"/>
      <c r="Q816" s="9">
        <v>-81</v>
      </c>
      <c r="R816" s="9">
        <v>83</v>
      </c>
      <c r="S816" s="9">
        <v>2</v>
      </c>
      <c r="T816" s="9"/>
      <c r="U816" s="9"/>
      <c r="V816" s="9"/>
      <c r="W816" s="9"/>
      <c r="X816" s="9"/>
      <c r="Y816" s="9"/>
      <c r="Z816" s="9"/>
      <c r="AA816" s="9"/>
      <c r="AB816" s="9"/>
      <c r="AC816" s="9"/>
      <c r="AD816" s="9" t="s">
        <v>20</v>
      </c>
    </row>
    <row r="817" spans="1:30">
      <c r="A817" s="3" t="s">
        <v>2369</v>
      </c>
      <c r="B817" s="3" t="s">
        <v>7436</v>
      </c>
      <c r="C817" s="3" t="s">
        <v>7437</v>
      </c>
      <c r="G817" s="9" t="s">
        <v>12120</v>
      </c>
      <c r="H817" s="9"/>
      <c r="I817" s="9"/>
      <c r="J817" s="9"/>
      <c r="K817" s="9"/>
      <c r="L817" s="9"/>
      <c r="M817" s="9"/>
      <c r="N817" s="10"/>
      <c r="O817" s="9"/>
      <c r="P817" s="9"/>
      <c r="Q817" s="9"/>
      <c r="R817" s="9" t="s">
        <v>12795</v>
      </c>
      <c r="S817" s="9" t="s">
        <v>12795</v>
      </c>
      <c r="T817" s="9" t="s">
        <v>12117</v>
      </c>
      <c r="U817" s="9"/>
      <c r="V817" s="9"/>
      <c r="W817" s="9"/>
      <c r="X817" s="9"/>
      <c r="Y817" s="9"/>
      <c r="Z817" s="9"/>
      <c r="AA817" s="9"/>
      <c r="AB817" s="9"/>
      <c r="AC817" s="9"/>
      <c r="AD817" s="9" t="s">
        <v>19</v>
      </c>
    </row>
    <row r="818" spans="1:30">
      <c r="A818" s="3" t="s">
        <v>2372</v>
      </c>
      <c r="B818" s="3" t="s">
        <v>7439</v>
      </c>
      <c r="C818" s="3" t="s">
        <v>7438</v>
      </c>
      <c r="G818" s="9" t="s">
        <v>25</v>
      </c>
      <c r="H818" s="9"/>
      <c r="I818" s="9">
        <v>1</v>
      </c>
      <c r="J818" s="9">
        <v>2</v>
      </c>
      <c r="K818" s="9" t="s">
        <v>12096</v>
      </c>
      <c r="L818" s="9" t="s">
        <v>12119</v>
      </c>
      <c r="M818" s="9"/>
      <c r="N818" s="10"/>
      <c r="O818" s="9"/>
      <c r="P818" s="9">
        <v>1294</v>
      </c>
      <c r="Q818" s="9"/>
      <c r="R818" s="9" t="s">
        <v>12795</v>
      </c>
      <c r="S818" s="9" t="s">
        <v>12795</v>
      </c>
      <c r="T818" s="9"/>
      <c r="U818" s="9"/>
      <c r="V818" s="9"/>
      <c r="W818" s="9"/>
      <c r="X818" s="9"/>
      <c r="Y818" s="9"/>
      <c r="Z818" s="9"/>
      <c r="AA818" s="9"/>
      <c r="AB818" s="9"/>
      <c r="AC818" s="9"/>
      <c r="AD818" s="9" t="s">
        <v>20</v>
      </c>
    </row>
    <row r="819" spans="1:30">
      <c r="A819" s="3" t="s">
        <v>2375</v>
      </c>
      <c r="B819" s="3" t="s">
        <v>7441</v>
      </c>
      <c r="C819" s="3" t="s">
        <v>7440</v>
      </c>
      <c r="G819" s="9" t="s">
        <v>24</v>
      </c>
      <c r="H819" s="9"/>
      <c r="I819" s="9">
        <v>1</v>
      </c>
      <c r="J819" s="9">
        <v>3</v>
      </c>
      <c r="K819" s="9" t="s">
        <v>12094</v>
      </c>
      <c r="L819" s="9" t="s">
        <v>12079</v>
      </c>
      <c r="M819" s="9"/>
      <c r="N819" s="10"/>
      <c r="O819" s="9"/>
      <c r="P819" s="9">
        <v>1496</v>
      </c>
      <c r="Q819" s="9"/>
      <c r="R819" s="9" t="s">
        <v>12795</v>
      </c>
      <c r="S819" s="9" t="s">
        <v>12795</v>
      </c>
      <c r="T819" s="9"/>
      <c r="U819" s="9"/>
      <c r="V819" s="9"/>
      <c r="W819" s="9"/>
      <c r="X819" s="9"/>
      <c r="Y819" s="9"/>
      <c r="Z819" s="9"/>
      <c r="AA819" s="9"/>
      <c r="AB819" s="9"/>
      <c r="AC819" s="9"/>
      <c r="AD819" s="9" t="s">
        <v>19</v>
      </c>
    </row>
    <row r="820" spans="1:30" ht="29">
      <c r="A820" s="3" t="s">
        <v>2376</v>
      </c>
      <c r="B820" s="3" t="s">
        <v>7443</v>
      </c>
      <c r="C820" s="3" t="s">
        <v>7442</v>
      </c>
      <c r="G820" s="9" t="s">
        <v>25</v>
      </c>
      <c r="H820" s="9"/>
      <c r="I820" s="9">
        <v>1</v>
      </c>
      <c r="J820" s="9">
        <v>5</v>
      </c>
      <c r="K820" s="9" t="s">
        <v>12094</v>
      </c>
      <c r="L820" s="9" t="s">
        <v>12079</v>
      </c>
      <c r="M820" s="9"/>
      <c r="N820" s="10"/>
      <c r="O820" s="9"/>
      <c r="P820" s="9">
        <v>4240</v>
      </c>
      <c r="Q820" s="9"/>
      <c r="R820" s="9" t="s">
        <v>12795</v>
      </c>
      <c r="S820" s="9" t="s">
        <v>12795</v>
      </c>
      <c r="T820" s="9"/>
      <c r="U820" s="9"/>
      <c r="V820" s="9"/>
      <c r="W820" s="9"/>
      <c r="X820" s="9"/>
      <c r="Y820" s="9"/>
      <c r="Z820" s="9"/>
      <c r="AA820" s="9"/>
      <c r="AB820" s="9"/>
      <c r="AC820" s="9"/>
      <c r="AD820" s="9" t="s">
        <v>19</v>
      </c>
    </row>
    <row r="821" spans="1:30">
      <c r="A821" s="3" t="s">
        <v>2378</v>
      </c>
      <c r="B821" s="3" t="s">
        <v>7448</v>
      </c>
      <c r="C821" s="3" t="s">
        <v>7449</v>
      </c>
      <c r="G821" s="9" t="s">
        <v>25</v>
      </c>
      <c r="H821" s="9"/>
      <c r="I821" s="9">
        <v>1</v>
      </c>
      <c r="J821" s="9">
        <v>2</v>
      </c>
      <c r="K821" s="9" t="s">
        <v>12078</v>
      </c>
      <c r="L821" s="9" t="s">
        <v>12119</v>
      </c>
      <c r="M821" s="9"/>
      <c r="N821" s="10"/>
      <c r="O821" s="9"/>
      <c r="P821" s="9">
        <v>11843</v>
      </c>
      <c r="Q821" s="9"/>
      <c r="R821" s="9" t="s">
        <v>12795</v>
      </c>
      <c r="S821" s="9" t="s">
        <v>12795</v>
      </c>
      <c r="T821" s="9"/>
      <c r="U821" s="9"/>
      <c r="V821" s="9"/>
      <c r="W821" s="9"/>
      <c r="X821" s="9"/>
      <c r="Y821" s="9"/>
      <c r="Z821" s="9"/>
      <c r="AA821" s="9"/>
      <c r="AB821" s="9"/>
      <c r="AC821" s="9"/>
      <c r="AD821" s="9" t="s">
        <v>19</v>
      </c>
    </row>
    <row r="822" spans="1:30">
      <c r="A822" s="3" t="s">
        <v>2378</v>
      </c>
      <c r="B822" s="3" t="s">
        <v>7450</v>
      </c>
      <c r="C822" s="3" t="s">
        <v>12378</v>
      </c>
      <c r="G822" s="9" t="s">
        <v>24</v>
      </c>
      <c r="H822" s="9"/>
      <c r="I822" s="9">
        <v>1</v>
      </c>
      <c r="J822" s="9">
        <v>3</v>
      </c>
      <c r="K822" s="9" t="s">
        <v>12123</v>
      </c>
      <c r="L822" s="9" t="s">
        <v>12079</v>
      </c>
      <c r="M822" s="9"/>
      <c r="N822" s="10"/>
      <c r="O822" s="9"/>
      <c r="P822" s="9">
        <v>887</v>
      </c>
      <c r="Q822" s="9"/>
      <c r="R822" s="9" t="s">
        <v>12795</v>
      </c>
      <c r="S822" s="9" t="s">
        <v>12795</v>
      </c>
      <c r="T822" s="9"/>
      <c r="U822" s="9"/>
      <c r="V822" s="9"/>
      <c r="W822" s="9"/>
      <c r="X822" s="9"/>
      <c r="Y822" s="9"/>
      <c r="Z822" s="9"/>
      <c r="AA822" s="9"/>
      <c r="AB822" s="9"/>
      <c r="AC822" s="9"/>
      <c r="AD822" s="9" t="s">
        <v>19</v>
      </c>
    </row>
    <row r="823" spans="1:30" ht="29">
      <c r="A823" s="3" t="s">
        <v>2381</v>
      </c>
      <c r="B823" s="3" t="s">
        <v>7451</v>
      </c>
      <c r="C823" s="3" t="s">
        <v>7452</v>
      </c>
      <c r="G823" s="9" t="s">
        <v>26</v>
      </c>
      <c r="H823" s="9"/>
      <c r="I823" s="9"/>
      <c r="J823" s="9"/>
      <c r="K823" s="9"/>
      <c r="L823" s="9"/>
      <c r="M823" s="9"/>
      <c r="N823" s="10"/>
      <c r="O823" s="9"/>
      <c r="P823" s="9"/>
      <c r="Q823" s="9"/>
      <c r="R823" s="9" t="s">
        <v>12795</v>
      </c>
      <c r="S823" s="9" t="s">
        <v>12795</v>
      </c>
      <c r="T823" s="9" t="s">
        <v>12117</v>
      </c>
      <c r="U823" s="9"/>
      <c r="V823" s="9"/>
      <c r="W823" s="9"/>
      <c r="X823" s="9"/>
      <c r="Y823" s="9"/>
      <c r="Z823" s="9"/>
      <c r="AA823" s="9"/>
      <c r="AB823" s="9"/>
      <c r="AC823" s="9"/>
      <c r="AD823" s="9" t="s">
        <v>20</v>
      </c>
    </row>
    <row r="824" spans="1:30" ht="29">
      <c r="A824" s="3" t="s">
        <v>2386</v>
      </c>
      <c r="B824" s="3" t="s">
        <v>7457</v>
      </c>
      <c r="C824" s="3" t="s">
        <v>7456</v>
      </c>
      <c r="G824" s="9" t="s">
        <v>25</v>
      </c>
      <c r="H824" s="9"/>
      <c r="I824" s="9">
        <v>1</v>
      </c>
      <c r="J824" s="9">
        <v>7</v>
      </c>
      <c r="K824" s="9" t="s">
        <v>12092</v>
      </c>
      <c r="L824" s="9" t="s">
        <v>12079</v>
      </c>
      <c r="M824" s="9"/>
      <c r="N824" s="10"/>
      <c r="O824" s="9"/>
      <c r="P824" s="9">
        <v>14</v>
      </c>
      <c r="Q824" s="9"/>
      <c r="R824" s="9" t="s">
        <v>12795</v>
      </c>
      <c r="S824" s="9" t="s">
        <v>12795</v>
      </c>
      <c r="T824" s="9"/>
      <c r="U824" s="9"/>
      <c r="V824" s="9"/>
      <c r="W824" s="9"/>
      <c r="X824" s="9"/>
      <c r="Y824" s="9"/>
      <c r="Z824" s="9"/>
      <c r="AA824" s="9"/>
      <c r="AB824" s="9"/>
      <c r="AC824" s="9"/>
      <c r="AD824" s="9" t="s">
        <v>19</v>
      </c>
    </row>
    <row r="825" spans="1:30">
      <c r="A825" s="3" t="s">
        <v>2391</v>
      </c>
      <c r="B825" s="3" t="s">
        <v>7459</v>
      </c>
      <c r="C825" s="3" t="s">
        <v>7458</v>
      </c>
      <c r="G825" s="9" t="s">
        <v>25</v>
      </c>
      <c r="H825" s="9"/>
      <c r="I825" s="9">
        <v>1</v>
      </c>
      <c r="J825" s="9">
        <v>3</v>
      </c>
      <c r="K825" s="9" t="s">
        <v>12087</v>
      </c>
      <c r="L825" s="9" t="s">
        <v>12079</v>
      </c>
      <c r="M825" s="9"/>
      <c r="N825" s="10"/>
      <c r="O825" s="9"/>
      <c r="P825" s="9">
        <v>5676</v>
      </c>
      <c r="Q825" s="9"/>
      <c r="R825" s="9" t="s">
        <v>12795</v>
      </c>
      <c r="S825" s="9" t="s">
        <v>12795</v>
      </c>
      <c r="T825" s="9"/>
      <c r="U825" s="9"/>
      <c r="V825" s="9"/>
      <c r="W825" s="9"/>
      <c r="X825" s="9"/>
      <c r="Y825" s="9"/>
      <c r="Z825" s="9"/>
      <c r="AA825" s="9"/>
      <c r="AB825" s="9"/>
      <c r="AC825" s="9"/>
      <c r="AD825" s="9" t="s">
        <v>19</v>
      </c>
    </row>
    <row r="826" spans="1:30">
      <c r="A826" s="3" t="s">
        <v>2391</v>
      </c>
      <c r="B826" s="3" t="s">
        <v>7461</v>
      </c>
      <c r="C826" s="3" t="s">
        <v>7460</v>
      </c>
      <c r="G826" s="9" t="s">
        <v>24</v>
      </c>
      <c r="H826" s="9"/>
      <c r="I826" s="9">
        <v>1</v>
      </c>
      <c r="J826" s="9">
        <v>4</v>
      </c>
      <c r="K826" s="9" t="s">
        <v>12078</v>
      </c>
      <c r="L826" s="9" t="s">
        <v>12079</v>
      </c>
      <c r="M826" s="9"/>
      <c r="N826" s="10"/>
      <c r="O826" s="9"/>
      <c r="P826" s="9">
        <v>11843</v>
      </c>
      <c r="Q826" s="9"/>
      <c r="R826" s="9" t="s">
        <v>12795</v>
      </c>
      <c r="S826" s="9" t="s">
        <v>12795</v>
      </c>
      <c r="T826" s="9"/>
      <c r="U826" s="9"/>
      <c r="V826" s="9"/>
      <c r="W826" s="9"/>
      <c r="X826" s="9"/>
      <c r="Y826" s="9"/>
      <c r="Z826" s="9"/>
      <c r="AA826" s="9"/>
      <c r="AB826" s="9"/>
      <c r="AC826" s="9"/>
      <c r="AD826" s="9" t="s">
        <v>19</v>
      </c>
    </row>
    <row r="827" spans="1:30" ht="29">
      <c r="A827" s="3" t="s">
        <v>2398</v>
      </c>
      <c r="B827" s="3" t="s">
        <v>7468</v>
      </c>
      <c r="C827" s="3" t="s">
        <v>7467</v>
      </c>
      <c r="G827" s="9" t="s">
        <v>25</v>
      </c>
      <c r="H827" s="9"/>
      <c r="I827" s="9">
        <v>1</v>
      </c>
      <c r="J827" s="9">
        <v>3</v>
      </c>
      <c r="K827" s="9" t="s">
        <v>12087</v>
      </c>
      <c r="L827" s="9" t="s">
        <v>12079</v>
      </c>
      <c r="M827" s="9"/>
      <c r="N827" s="10"/>
      <c r="O827" s="9"/>
      <c r="P827" s="9">
        <v>5676</v>
      </c>
      <c r="Q827" s="9"/>
      <c r="R827" s="9" t="s">
        <v>12795</v>
      </c>
      <c r="S827" s="9" t="s">
        <v>12795</v>
      </c>
      <c r="T827" s="9"/>
      <c r="U827" s="9"/>
      <c r="V827" s="9"/>
      <c r="W827" s="9"/>
      <c r="X827" s="9"/>
      <c r="Y827" s="9"/>
      <c r="Z827" s="9"/>
      <c r="AA827" s="9"/>
      <c r="AB827" s="9"/>
      <c r="AC827" s="9"/>
      <c r="AD827" s="9" t="s">
        <v>19</v>
      </c>
    </row>
    <row r="828" spans="1:30" ht="29">
      <c r="A828" s="3" t="s">
        <v>2398</v>
      </c>
      <c r="B828" s="3" t="s">
        <v>7469</v>
      </c>
      <c r="C828" s="3" t="s">
        <v>7470</v>
      </c>
      <c r="G828" s="9" t="s">
        <v>12120</v>
      </c>
      <c r="H828" s="9"/>
      <c r="I828" s="9"/>
      <c r="J828" s="9"/>
      <c r="K828" s="9"/>
      <c r="L828" s="9"/>
      <c r="M828" s="9"/>
      <c r="N828" s="10"/>
      <c r="O828" s="9"/>
      <c r="P828" s="9"/>
      <c r="Q828" s="9"/>
      <c r="R828" s="9" t="s">
        <v>12795</v>
      </c>
      <c r="S828" s="9" t="s">
        <v>12795</v>
      </c>
      <c r="T828" s="9"/>
      <c r="U828" s="9"/>
      <c r="V828" s="9"/>
      <c r="W828" s="9"/>
      <c r="X828" s="9"/>
      <c r="Y828" s="9"/>
      <c r="Z828" s="9"/>
      <c r="AA828" s="9"/>
      <c r="AB828" s="9"/>
      <c r="AC828" s="9"/>
      <c r="AD828" s="9" t="s">
        <v>20</v>
      </c>
    </row>
    <row r="829" spans="1:30" ht="43.5">
      <c r="A829" s="3" t="s">
        <v>2399</v>
      </c>
      <c r="B829" s="3" t="s">
        <v>7472</v>
      </c>
      <c r="C829" s="3" t="s">
        <v>7471</v>
      </c>
      <c r="G829" s="9" t="s">
        <v>25</v>
      </c>
      <c r="H829" s="9"/>
      <c r="I829" s="9">
        <v>3</v>
      </c>
      <c r="J829" s="9">
        <v>18</v>
      </c>
      <c r="K829" s="9"/>
      <c r="L829" s="9" t="s">
        <v>12073</v>
      </c>
      <c r="M829" s="9" t="s">
        <v>12386</v>
      </c>
      <c r="N829" s="10" t="s">
        <v>12136</v>
      </c>
      <c r="O829" s="9"/>
      <c r="P829" s="9">
        <v>18</v>
      </c>
      <c r="Q829" s="9"/>
      <c r="R829" s="9" t="s">
        <v>12795</v>
      </c>
      <c r="S829" s="9" t="s">
        <v>12795</v>
      </c>
      <c r="T829" s="9"/>
      <c r="U829" s="9"/>
      <c r="V829" s="9"/>
      <c r="W829" s="9"/>
      <c r="X829" s="9"/>
      <c r="Y829" s="9"/>
      <c r="Z829" s="9"/>
      <c r="AA829" s="9"/>
      <c r="AB829" s="9"/>
      <c r="AC829" s="9"/>
      <c r="AD829" s="9" t="s">
        <v>13141</v>
      </c>
    </row>
    <row r="830" spans="1:30">
      <c r="A830" s="3" t="s">
        <v>2401</v>
      </c>
      <c r="B830" s="3" t="s">
        <v>7476</v>
      </c>
      <c r="C830" s="3" t="s">
        <v>7475</v>
      </c>
      <c r="F830" t="s">
        <v>19</v>
      </c>
      <c r="G830" s="9" t="s">
        <v>25</v>
      </c>
      <c r="H830" s="9"/>
      <c r="I830" s="9">
        <v>1</v>
      </c>
      <c r="J830" s="9">
        <v>3</v>
      </c>
      <c r="K830" s="9" t="s">
        <v>12087</v>
      </c>
      <c r="L830" s="9" t="s">
        <v>12079</v>
      </c>
      <c r="M830" s="9"/>
      <c r="N830" s="10"/>
      <c r="O830" s="9"/>
      <c r="P830" s="9">
        <v>5676</v>
      </c>
      <c r="Q830" s="9"/>
      <c r="R830" s="9" t="s">
        <v>12795</v>
      </c>
      <c r="S830" s="9" t="s">
        <v>12795</v>
      </c>
      <c r="T830" s="9"/>
      <c r="U830" s="9"/>
      <c r="V830" s="9"/>
      <c r="W830" s="9"/>
      <c r="X830" s="9"/>
      <c r="Y830" s="9"/>
      <c r="Z830" s="9"/>
      <c r="AA830" s="9"/>
      <c r="AB830" s="9"/>
      <c r="AC830" s="9"/>
      <c r="AD830" s="9" t="s">
        <v>19</v>
      </c>
    </row>
    <row r="831" spans="1:30" ht="29">
      <c r="A831" s="3" t="s">
        <v>2405</v>
      </c>
      <c r="B831" s="3" t="s">
        <v>7485</v>
      </c>
      <c r="C831" s="3" t="s">
        <v>7486</v>
      </c>
      <c r="G831" s="9" t="s">
        <v>12120</v>
      </c>
      <c r="H831" s="9"/>
      <c r="I831" s="9"/>
      <c r="J831" s="9"/>
      <c r="K831" s="9"/>
      <c r="L831" s="9"/>
      <c r="M831" s="9"/>
      <c r="N831" s="10"/>
      <c r="O831" s="9"/>
      <c r="P831" s="9"/>
      <c r="Q831" s="9"/>
      <c r="R831" s="9" t="s">
        <v>12795</v>
      </c>
      <c r="S831" s="9" t="s">
        <v>12795</v>
      </c>
      <c r="T831" s="9"/>
      <c r="U831" s="9"/>
      <c r="V831" s="9"/>
      <c r="W831" s="9"/>
      <c r="X831" s="9"/>
      <c r="Y831" s="9"/>
      <c r="Z831" s="9"/>
      <c r="AA831" s="9"/>
      <c r="AB831" s="9"/>
      <c r="AC831" s="9"/>
      <c r="AD831" s="9" t="s">
        <v>19</v>
      </c>
    </row>
    <row r="832" spans="1:30" ht="29">
      <c r="A832" s="3" t="s">
        <v>2410</v>
      </c>
      <c r="B832" s="3" t="s">
        <v>7489</v>
      </c>
      <c r="C832" s="3" t="s">
        <v>7490</v>
      </c>
      <c r="G832" s="9" t="s">
        <v>12118</v>
      </c>
      <c r="H832" s="9"/>
      <c r="I832" s="9"/>
      <c r="J832" s="9"/>
      <c r="K832" s="9"/>
      <c r="L832" s="9"/>
      <c r="M832" s="9"/>
      <c r="N832" s="10"/>
      <c r="O832" s="9"/>
      <c r="P832" s="9"/>
      <c r="Q832" s="9">
        <v>-1128</v>
      </c>
      <c r="R832" s="9">
        <v>1565</v>
      </c>
      <c r="S832" s="9">
        <v>437</v>
      </c>
      <c r="T832" s="9"/>
      <c r="U832" s="9"/>
      <c r="V832" s="9"/>
      <c r="W832" s="9"/>
      <c r="X832" s="9"/>
      <c r="Y832" s="9"/>
      <c r="Z832" s="9"/>
      <c r="AA832" s="9"/>
      <c r="AB832" s="9"/>
      <c r="AC832" s="9"/>
      <c r="AD832" s="9" t="s">
        <v>19</v>
      </c>
    </row>
    <row r="833" spans="1:30">
      <c r="A833" s="3" t="s">
        <v>2412</v>
      </c>
      <c r="B833" s="3" t="s">
        <v>7494</v>
      </c>
      <c r="C833" s="3" t="s">
        <v>7493</v>
      </c>
      <c r="G833" s="9" t="s">
        <v>24</v>
      </c>
      <c r="H833" s="9"/>
      <c r="I833" s="9">
        <v>1</v>
      </c>
      <c r="J833" s="9">
        <v>3</v>
      </c>
      <c r="K833" s="9" t="s">
        <v>12087</v>
      </c>
      <c r="L833" s="9" t="s">
        <v>12079</v>
      </c>
      <c r="M833" s="9"/>
      <c r="N833" s="10"/>
      <c r="O833" s="9"/>
      <c r="P833" s="9">
        <v>5676</v>
      </c>
      <c r="Q833" s="9"/>
      <c r="R833" s="9" t="s">
        <v>12795</v>
      </c>
      <c r="S833" s="9" t="s">
        <v>12795</v>
      </c>
      <c r="T833" s="9" t="s">
        <v>12117</v>
      </c>
      <c r="U833" s="9"/>
      <c r="V833" s="9"/>
      <c r="W833" s="9"/>
      <c r="X833" s="9"/>
      <c r="Y833" s="9"/>
      <c r="Z833" s="9"/>
      <c r="AA833" s="9"/>
      <c r="AB833" s="9"/>
      <c r="AC833" s="9"/>
      <c r="AD833" s="9" t="s">
        <v>19</v>
      </c>
    </row>
    <row r="834" spans="1:30">
      <c r="A834" s="3" t="s">
        <v>2413</v>
      </c>
      <c r="B834" s="3" t="s">
        <v>2414</v>
      </c>
      <c r="C834" s="3" t="s">
        <v>2415</v>
      </c>
      <c r="G834" s="9" t="s">
        <v>12120</v>
      </c>
      <c r="H834" s="9"/>
      <c r="I834" s="9"/>
      <c r="J834" s="9"/>
      <c r="K834" s="9"/>
      <c r="L834" s="9"/>
      <c r="M834" s="9"/>
      <c r="N834" s="10"/>
      <c r="O834" s="9"/>
      <c r="P834" s="9"/>
      <c r="Q834" s="9"/>
      <c r="R834" s="9" t="s">
        <v>12795</v>
      </c>
      <c r="S834" s="9" t="s">
        <v>12795</v>
      </c>
      <c r="T834" s="9"/>
      <c r="U834" s="9"/>
      <c r="V834" s="9"/>
      <c r="W834" s="9"/>
      <c r="X834" s="9"/>
      <c r="Y834" s="9"/>
      <c r="Z834" s="9"/>
      <c r="AA834" s="9"/>
      <c r="AB834" s="9"/>
      <c r="AC834" s="9"/>
      <c r="AD834" s="9" t="s">
        <v>19</v>
      </c>
    </row>
    <row r="835" spans="1:30">
      <c r="A835" s="3" t="s">
        <v>2416</v>
      </c>
      <c r="B835" s="3" t="s">
        <v>7495</v>
      </c>
      <c r="C835" s="3" t="s">
        <v>7496</v>
      </c>
      <c r="G835" s="9" t="s">
        <v>25</v>
      </c>
      <c r="H835" s="9"/>
      <c r="I835" s="9">
        <v>1</v>
      </c>
      <c r="J835" s="9">
        <v>3</v>
      </c>
      <c r="K835" s="9" t="s">
        <v>12087</v>
      </c>
      <c r="L835" s="9" t="s">
        <v>12079</v>
      </c>
      <c r="M835" s="9"/>
      <c r="N835" s="10"/>
      <c r="O835" s="9"/>
      <c r="P835" s="9">
        <v>810</v>
      </c>
      <c r="Q835" s="9"/>
      <c r="R835" s="9" t="s">
        <v>12795</v>
      </c>
      <c r="S835" s="9" t="s">
        <v>12795</v>
      </c>
      <c r="T835" s="9"/>
      <c r="U835" s="9"/>
      <c r="V835" s="9"/>
      <c r="W835" s="9"/>
      <c r="X835" s="9"/>
      <c r="Y835" s="9"/>
      <c r="Z835" s="9"/>
      <c r="AA835" s="9"/>
      <c r="AB835" s="9"/>
      <c r="AC835" s="9"/>
      <c r="AD835" s="9" t="s">
        <v>20</v>
      </c>
    </row>
    <row r="836" spans="1:30">
      <c r="A836" s="3" t="s">
        <v>2417</v>
      </c>
      <c r="B836" s="3" t="s">
        <v>7497</v>
      </c>
      <c r="C836" s="3" t="s">
        <v>7498</v>
      </c>
      <c r="G836" s="9" t="s">
        <v>25</v>
      </c>
      <c r="H836" s="9"/>
      <c r="I836" s="9">
        <v>1</v>
      </c>
      <c r="J836" s="9">
        <v>1</v>
      </c>
      <c r="K836" s="9" t="s">
        <v>12078</v>
      </c>
      <c r="L836" s="9" t="s">
        <v>12119</v>
      </c>
      <c r="M836" s="9"/>
      <c r="N836" s="10"/>
      <c r="O836" s="9"/>
      <c r="P836" s="9">
        <v>11843</v>
      </c>
      <c r="Q836" s="9"/>
      <c r="R836" s="9" t="s">
        <v>12795</v>
      </c>
      <c r="S836" s="9" t="s">
        <v>12795</v>
      </c>
      <c r="T836" s="9"/>
      <c r="U836" s="9"/>
      <c r="V836" s="9"/>
      <c r="W836" s="9"/>
      <c r="X836" s="9"/>
      <c r="Y836" s="9"/>
      <c r="Z836" s="9"/>
      <c r="AA836" s="9"/>
      <c r="AB836" s="9"/>
      <c r="AC836" s="9"/>
      <c r="AD836" s="9" t="s">
        <v>19</v>
      </c>
    </row>
    <row r="837" spans="1:30">
      <c r="A837" s="3" t="s">
        <v>2417</v>
      </c>
      <c r="B837" s="3" t="s">
        <v>7500</v>
      </c>
      <c r="C837" s="3" t="s">
        <v>7499</v>
      </c>
      <c r="G837" s="9" t="s">
        <v>25</v>
      </c>
      <c r="H837" s="9"/>
      <c r="I837" s="9">
        <v>1</v>
      </c>
      <c r="J837" s="9">
        <v>2</v>
      </c>
      <c r="K837" s="9" t="s">
        <v>12078</v>
      </c>
      <c r="L837" s="9" t="s">
        <v>12119</v>
      </c>
      <c r="M837" s="9"/>
      <c r="N837" s="10"/>
      <c r="O837" s="9"/>
      <c r="P837" s="9">
        <v>11843</v>
      </c>
      <c r="Q837" s="9"/>
      <c r="R837" s="9" t="s">
        <v>12795</v>
      </c>
      <c r="S837" s="9" t="s">
        <v>12795</v>
      </c>
      <c r="T837" s="9"/>
      <c r="U837" s="9"/>
      <c r="V837" s="9"/>
      <c r="W837" s="9"/>
      <c r="X837" s="9"/>
      <c r="Y837" s="9"/>
      <c r="Z837" s="9"/>
      <c r="AA837" s="9"/>
      <c r="AB837" s="9"/>
      <c r="AC837" s="9"/>
      <c r="AD837" s="9" t="s">
        <v>19</v>
      </c>
    </row>
    <row r="838" spans="1:30" ht="29">
      <c r="A838" s="3" t="s">
        <v>2418</v>
      </c>
      <c r="B838" s="3" t="s">
        <v>7501</v>
      </c>
      <c r="C838" s="3" t="s">
        <v>7502</v>
      </c>
      <c r="G838" s="9" t="s">
        <v>25</v>
      </c>
      <c r="H838" s="9"/>
      <c r="I838" s="9">
        <v>1</v>
      </c>
      <c r="J838" s="9">
        <v>5</v>
      </c>
      <c r="K838" s="9" t="s">
        <v>12094</v>
      </c>
      <c r="L838" s="9" t="s">
        <v>12079</v>
      </c>
      <c r="M838" s="9"/>
      <c r="N838" s="10"/>
      <c r="O838" s="9"/>
      <c r="P838" s="9">
        <v>4240</v>
      </c>
      <c r="Q838" s="9"/>
      <c r="R838" s="9" t="s">
        <v>12795</v>
      </c>
      <c r="S838" s="9" t="s">
        <v>12795</v>
      </c>
      <c r="T838" s="9"/>
      <c r="U838" s="9"/>
      <c r="V838" s="9"/>
      <c r="W838" s="9"/>
      <c r="X838" s="9"/>
      <c r="Y838" s="9"/>
      <c r="Z838" s="9"/>
      <c r="AA838" s="9"/>
      <c r="AB838" s="9"/>
      <c r="AC838" s="9"/>
      <c r="AD838" s="9" t="s">
        <v>20</v>
      </c>
    </row>
    <row r="839" spans="1:30">
      <c r="A839" s="3" t="s">
        <v>2421</v>
      </c>
      <c r="B839" s="3" t="s">
        <v>7504</v>
      </c>
      <c r="C839" s="3" t="s">
        <v>7503</v>
      </c>
      <c r="G839" s="9" t="s">
        <v>25</v>
      </c>
      <c r="H839" s="9"/>
      <c r="I839" s="9">
        <v>1</v>
      </c>
      <c r="J839" s="9">
        <v>2</v>
      </c>
      <c r="K839" s="9" t="s">
        <v>12078</v>
      </c>
      <c r="L839" s="9" t="s">
        <v>12119</v>
      </c>
      <c r="M839" s="9"/>
      <c r="N839" s="10"/>
      <c r="O839" s="9"/>
      <c r="P839" s="9">
        <v>11843</v>
      </c>
      <c r="Q839" s="9"/>
      <c r="R839" s="9" t="s">
        <v>12795</v>
      </c>
      <c r="S839" s="9" t="s">
        <v>12795</v>
      </c>
      <c r="T839" s="9"/>
      <c r="U839" s="9"/>
      <c r="V839" s="9"/>
      <c r="W839" s="9"/>
      <c r="X839" s="9"/>
      <c r="Y839" s="9"/>
      <c r="Z839" s="9"/>
      <c r="AA839" s="9"/>
      <c r="AB839" s="9"/>
      <c r="AC839" s="9"/>
      <c r="AD839" s="9" t="s">
        <v>20</v>
      </c>
    </row>
    <row r="840" spans="1:30" ht="29">
      <c r="A840" s="3" t="s">
        <v>2422</v>
      </c>
      <c r="B840" s="3" t="s">
        <v>7506</v>
      </c>
      <c r="C840" s="3" t="s">
        <v>7505</v>
      </c>
      <c r="G840" s="9" t="s">
        <v>12120</v>
      </c>
      <c r="H840" s="9"/>
      <c r="I840" s="9"/>
      <c r="J840" s="9"/>
      <c r="K840" s="9"/>
      <c r="L840" s="9"/>
      <c r="M840" s="9"/>
      <c r="N840" s="10"/>
      <c r="O840" s="9"/>
      <c r="P840" s="9"/>
      <c r="Q840" s="9"/>
      <c r="R840" s="9" t="s">
        <v>12795</v>
      </c>
      <c r="S840" s="9" t="s">
        <v>12795</v>
      </c>
      <c r="T840" s="9"/>
      <c r="U840" s="9"/>
      <c r="V840" s="9"/>
      <c r="W840" s="9"/>
      <c r="X840" s="9"/>
      <c r="Y840" s="9"/>
      <c r="Z840" s="9"/>
      <c r="AA840" s="9"/>
      <c r="AB840" s="9"/>
      <c r="AC840" s="9"/>
      <c r="AD840" s="9" t="s">
        <v>19</v>
      </c>
    </row>
    <row r="841" spans="1:30">
      <c r="A841" s="3" t="s">
        <v>2423</v>
      </c>
      <c r="B841" s="3" t="s">
        <v>7507</v>
      </c>
      <c r="C841" s="3" t="s">
        <v>7508</v>
      </c>
      <c r="G841" s="9" t="s">
        <v>24</v>
      </c>
      <c r="H841" s="9"/>
      <c r="I841" s="9">
        <v>1</v>
      </c>
      <c r="J841" s="9">
        <v>3</v>
      </c>
      <c r="K841" s="9" t="s">
        <v>12087</v>
      </c>
      <c r="L841" s="9" t="s">
        <v>12079</v>
      </c>
      <c r="M841" s="9"/>
      <c r="N841" s="10"/>
      <c r="O841" s="9"/>
      <c r="P841" s="9">
        <v>5676</v>
      </c>
      <c r="Q841" s="9"/>
      <c r="R841" s="9" t="s">
        <v>12795</v>
      </c>
      <c r="S841" s="9" t="s">
        <v>12795</v>
      </c>
      <c r="T841" s="9"/>
      <c r="U841" s="9"/>
      <c r="V841" s="9"/>
      <c r="W841" s="9"/>
      <c r="X841" s="9"/>
      <c r="Y841" s="9"/>
      <c r="Z841" s="9"/>
      <c r="AA841" s="9"/>
      <c r="AB841" s="9"/>
      <c r="AC841" s="9"/>
      <c r="AD841" s="9" t="s">
        <v>13141</v>
      </c>
    </row>
    <row r="842" spans="1:30" ht="29">
      <c r="A842" s="3" t="s">
        <v>2426</v>
      </c>
      <c r="B842" s="3" t="s">
        <v>7511</v>
      </c>
      <c r="C842" s="3" t="s">
        <v>7510</v>
      </c>
      <c r="G842" s="9" t="s">
        <v>25</v>
      </c>
      <c r="H842" s="9"/>
      <c r="I842" s="9">
        <v>2</v>
      </c>
      <c r="J842" s="9">
        <v>10</v>
      </c>
      <c r="K842" s="9"/>
      <c r="L842" s="9" t="s">
        <v>12079</v>
      </c>
      <c r="M842" s="9"/>
      <c r="N842" s="10"/>
      <c r="O842" s="9"/>
      <c r="P842" s="9">
        <v>70</v>
      </c>
      <c r="Q842" s="9"/>
      <c r="R842" s="9" t="s">
        <v>12795</v>
      </c>
      <c r="S842" s="9" t="s">
        <v>12795</v>
      </c>
      <c r="T842" s="9"/>
      <c r="U842" s="9"/>
      <c r="V842" s="9"/>
      <c r="W842" s="9"/>
      <c r="X842" s="9"/>
      <c r="Y842" s="9"/>
      <c r="Z842" s="9"/>
      <c r="AA842" s="9"/>
      <c r="AB842" s="9"/>
      <c r="AC842" s="9"/>
      <c r="AD842" s="9" t="s">
        <v>20</v>
      </c>
    </row>
    <row r="843" spans="1:30" ht="29">
      <c r="A843" s="3" t="s">
        <v>2426</v>
      </c>
      <c r="B843" s="3" t="s">
        <v>7509</v>
      </c>
      <c r="C843" s="3" t="s">
        <v>7512</v>
      </c>
      <c r="G843" s="9" t="s">
        <v>24</v>
      </c>
      <c r="H843" s="9"/>
      <c r="I843" s="9">
        <v>1</v>
      </c>
      <c r="J843" s="9">
        <v>3</v>
      </c>
      <c r="K843" s="9" t="s">
        <v>12087</v>
      </c>
      <c r="L843" s="9" t="s">
        <v>12079</v>
      </c>
      <c r="M843" s="9"/>
      <c r="N843" s="10"/>
      <c r="O843" s="9"/>
      <c r="P843" s="9">
        <v>5676</v>
      </c>
      <c r="Q843" s="9"/>
      <c r="R843" s="9" t="s">
        <v>12795</v>
      </c>
      <c r="S843" s="9" t="s">
        <v>12795</v>
      </c>
      <c r="T843" s="9"/>
      <c r="U843" s="9"/>
      <c r="V843" s="9"/>
      <c r="W843" s="9"/>
      <c r="X843" s="9"/>
      <c r="Y843" s="9"/>
      <c r="Z843" s="9"/>
      <c r="AA843" s="9"/>
      <c r="AB843" s="9"/>
      <c r="AC843" s="9"/>
      <c r="AD843" s="9" t="s">
        <v>20</v>
      </c>
    </row>
    <row r="844" spans="1:30">
      <c r="A844" s="3" t="s">
        <v>2432</v>
      </c>
      <c r="B844" s="3" t="s">
        <v>7522</v>
      </c>
      <c r="C844" s="3" t="s">
        <v>7523</v>
      </c>
      <c r="G844" s="9" t="s">
        <v>12120</v>
      </c>
      <c r="H844" s="9"/>
      <c r="I844" s="9"/>
      <c r="J844" s="9"/>
      <c r="K844" s="9"/>
      <c r="L844" s="9"/>
      <c r="M844" s="9"/>
      <c r="N844" s="10"/>
      <c r="O844" s="9"/>
      <c r="P844" s="9"/>
      <c r="Q844" s="9"/>
      <c r="R844" s="9" t="s">
        <v>12795</v>
      </c>
      <c r="S844" s="9" t="s">
        <v>12795</v>
      </c>
      <c r="T844" s="9"/>
      <c r="U844" s="9"/>
      <c r="V844" s="9"/>
      <c r="W844" s="9"/>
      <c r="X844" s="9"/>
      <c r="Y844" s="9"/>
      <c r="Z844" s="9"/>
      <c r="AA844" s="9"/>
      <c r="AB844" s="9"/>
      <c r="AC844" s="9"/>
      <c r="AD844" s="9" t="s">
        <v>19</v>
      </c>
    </row>
    <row r="845" spans="1:30">
      <c r="A845" s="3" t="s">
        <v>2433</v>
      </c>
      <c r="B845" s="3" t="s">
        <v>2434</v>
      </c>
      <c r="C845" s="3" t="s">
        <v>2025</v>
      </c>
      <c r="G845" s="9" t="s">
        <v>12120</v>
      </c>
      <c r="H845" s="9"/>
      <c r="I845" s="9"/>
      <c r="J845" s="9"/>
      <c r="K845" s="9"/>
      <c r="L845" s="9"/>
      <c r="M845" s="9"/>
      <c r="N845" s="10"/>
      <c r="O845" s="9"/>
      <c r="P845" s="9"/>
      <c r="Q845" s="9"/>
      <c r="R845" s="9" t="s">
        <v>12795</v>
      </c>
      <c r="S845" s="9" t="s">
        <v>12795</v>
      </c>
      <c r="T845" s="9"/>
      <c r="U845" s="9"/>
      <c r="V845" s="9"/>
      <c r="W845" s="9"/>
      <c r="X845" s="9"/>
      <c r="Y845" s="9"/>
      <c r="Z845" s="9"/>
      <c r="AA845" s="9"/>
      <c r="AB845" s="9"/>
      <c r="AC845" s="9"/>
      <c r="AD845" s="9" t="s">
        <v>19</v>
      </c>
    </row>
    <row r="846" spans="1:30" ht="29">
      <c r="A846" s="3" t="s">
        <v>2435</v>
      </c>
      <c r="B846" s="3" t="s">
        <v>7524</v>
      </c>
      <c r="C846" s="3" t="s">
        <v>7525</v>
      </c>
      <c r="G846" s="9" t="s">
        <v>24</v>
      </c>
      <c r="H846" s="9"/>
      <c r="I846" s="9">
        <v>1</v>
      </c>
      <c r="J846" s="9">
        <v>3</v>
      </c>
      <c r="K846" s="9" t="s">
        <v>12087</v>
      </c>
      <c r="L846" s="9" t="s">
        <v>12079</v>
      </c>
      <c r="M846" s="9"/>
      <c r="N846" s="10"/>
      <c r="O846" s="9"/>
      <c r="P846" s="9">
        <v>5676</v>
      </c>
      <c r="Q846" s="9"/>
      <c r="R846" s="9" t="s">
        <v>12795</v>
      </c>
      <c r="S846" s="9" t="s">
        <v>12795</v>
      </c>
      <c r="T846" s="9"/>
      <c r="U846" s="9"/>
      <c r="V846" s="9"/>
      <c r="W846" s="9"/>
      <c r="X846" s="9"/>
      <c r="Y846" s="9"/>
      <c r="Z846" s="9"/>
      <c r="AA846" s="9"/>
      <c r="AB846" s="9"/>
      <c r="AC846" s="9"/>
      <c r="AD846" s="9" t="s">
        <v>20</v>
      </c>
    </row>
    <row r="847" spans="1:30">
      <c r="A847" s="3" t="s">
        <v>2436</v>
      </c>
      <c r="B847" s="3" t="s">
        <v>7527</v>
      </c>
      <c r="C847" s="3" t="s">
        <v>7526</v>
      </c>
      <c r="G847" s="9" t="s">
        <v>25</v>
      </c>
      <c r="H847" s="9"/>
      <c r="I847" s="9">
        <v>1</v>
      </c>
      <c r="J847" s="9">
        <v>2</v>
      </c>
      <c r="K847" s="9" t="s">
        <v>12078</v>
      </c>
      <c r="L847" s="9" t="s">
        <v>12119</v>
      </c>
      <c r="M847" s="9"/>
      <c r="N847" s="10"/>
      <c r="O847" s="9"/>
      <c r="P847" s="9">
        <v>11843</v>
      </c>
      <c r="Q847" s="9"/>
      <c r="R847" s="9" t="s">
        <v>12795</v>
      </c>
      <c r="S847" s="9" t="s">
        <v>12795</v>
      </c>
      <c r="T847" s="9"/>
      <c r="U847" s="9"/>
      <c r="V847" s="9"/>
      <c r="W847" s="9"/>
      <c r="X847" s="9"/>
      <c r="Y847" s="9"/>
      <c r="Z847" s="9"/>
      <c r="AA847" s="9"/>
      <c r="AB847" s="9"/>
      <c r="AC847" s="9"/>
      <c r="AD847" s="9" t="s">
        <v>20</v>
      </c>
    </row>
    <row r="848" spans="1:30">
      <c r="A848" s="3" t="s">
        <v>2441</v>
      </c>
      <c r="B848" s="3" t="s">
        <v>7534</v>
      </c>
      <c r="C848" s="3" t="s">
        <v>7535</v>
      </c>
      <c r="G848" s="9" t="s">
        <v>25</v>
      </c>
      <c r="H848" s="9"/>
      <c r="I848" s="9">
        <v>1</v>
      </c>
      <c r="J848" s="9">
        <v>2</v>
      </c>
      <c r="K848" s="9" t="s">
        <v>12078</v>
      </c>
      <c r="L848" s="9" t="s">
        <v>12119</v>
      </c>
      <c r="M848" s="9"/>
      <c r="N848" s="10"/>
      <c r="O848" s="9"/>
      <c r="P848" s="9">
        <v>11843</v>
      </c>
      <c r="Q848" s="9"/>
      <c r="R848" s="9" t="s">
        <v>12795</v>
      </c>
      <c r="S848" s="9" t="s">
        <v>12795</v>
      </c>
      <c r="T848" s="9"/>
      <c r="U848" s="9"/>
      <c r="V848" s="9"/>
      <c r="W848" s="9"/>
      <c r="X848" s="9"/>
      <c r="Y848" s="9"/>
      <c r="Z848" s="9"/>
      <c r="AA848" s="9"/>
      <c r="AB848" s="9"/>
      <c r="AC848" s="9"/>
      <c r="AD848" s="9" t="s">
        <v>20</v>
      </c>
    </row>
    <row r="849" spans="1:30" ht="29">
      <c r="A849" s="3" t="s">
        <v>2442</v>
      </c>
      <c r="B849" s="3" t="s">
        <v>12902</v>
      </c>
      <c r="C849" s="3" t="s">
        <v>7536</v>
      </c>
      <c r="G849" s="9" t="s">
        <v>26</v>
      </c>
      <c r="H849" s="9"/>
      <c r="I849" s="9"/>
      <c r="J849" s="9"/>
      <c r="K849" s="9"/>
      <c r="L849" s="9"/>
      <c r="M849" s="9"/>
      <c r="N849" s="10"/>
      <c r="O849" s="9"/>
      <c r="P849" s="9"/>
      <c r="Q849" s="9"/>
      <c r="R849" s="9" t="s">
        <v>12795</v>
      </c>
      <c r="S849" s="9" t="s">
        <v>12795</v>
      </c>
      <c r="T849" s="9"/>
      <c r="U849" s="9"/>
      <c r="V849" s="9"/>
      <c r="W849" s="9"/>
      <c r="X849" s="9"/>
      <c r="Y849" s="9"/>
      <c r="Z849" s="9"/>
      <c r="AA849" s="9"/>
      <c r="AB849" s="9"/>
      <c r="AC849" s="9"/>
      <c r="AD849" s="9" t="s">
        <v>20</v>
      </c>
    </row>
    <row r="850" spans="1:30" ht="43.5">
      <c r="A850" s="3" t="s">
        <v>2443</v>
      </c>
      <c r="B850" s="3" t="s">
        <v>7537</v>
      </c>
      <c r="C850" s="3" t="s">
        <v>7538</v>
      </c>
      <c r="G850" s="9" t="s">
        <v>24</v>
      </c>
      <c r="H850" s="9"/>
      <c r="I850" s="9">
        <v>1</v>
      </c>
      <c r="J850" s="9">
        <v>1</v>
      </c>
      <c r="K850" s="9" t="s">
        <v>12078</v>
      </c>
      <c r="L850" s="9" t="s">
        <v>12119</v>
      </c>
      <c r="M850" s="9"/>
      <c r="N850" s="10"/>
      <c r="O850" s="9"/>
      <c r="P850" s="9">
        <v>11843</v>
      </c>
      <c r="Q850" s="9"/>
      <c r="R850" s="9" t="s">
        <v>12795</v>
      </c>
      <c r="S850" s="9" t="s">
        <v>12795</v>
      </c>
      <c r="T850" s="9"/>
      <c r="U850" s="9"/>
      <c r="V850" s="9"/>
      <c r="W850" s="9"/>
      <c r="X850" s="9"/>
      <c r="Y850" s="9"/>
      <c r="Z850" s="9"/>
      <c r="AA850" s="9"/>
      <c r="AB850" s="9"/>
      <c r="AC850" s="9"/>
      <c r="AD850" s="9" t="s">
        <v>20</v>
      </c>
    </row>
    <row r="851" spans="1:30" ht="29">
      <c r="A851" s="3" t="s">
        <v>2445</v>
      </c>
      <c r="B851" s="3" t="s">
        <v>7544</v>
      </c>
      <c r="C851" s="3" t="s">
        <v>7541</v>
      </c>
      <c r="G851" s="9" t="s">
        <v>25</v>
      </c>
      <c r="H851" s="9"/>
      <c r="I851" s="9">
        <v>1</v>
      </c>
      <c r="J851" s="9">
        <v>5</v>
      </c>
      <c r="K851" s="9" t="s">
        <v>12094</v>
      </c>
      <c r="L851" s="9" t="s">
        <v>12079</v>
      </c>
      <c r="M851" s="9"/>
      <c r="N851" s="10"/>
      <c r="O851" s="9"/>
      <c r="P851" s="9">
        <v>4240</v>
      </c>
      <c r="Q851" s="9"/>
      <c r="R851" s="9" t="s">
        <v>12795</v>
      </c>
      <c r="S851" s="9" t="s">
        <v>12795</v>
      </c>
      <c r="T851" s="9"/>
      <c r="U851" s="9"/>
      <c r="V851" s="9"/>
      <c r="W851" s="9"/>
      <c r="X851" s="9"/>
      <c r="Y851" s="9"/>
      <c r="Z851" s="9"/>
      <c r="AA851" s="9"/>
      <c r="AB851" s="9"/>
      <c r="AC851" s="9"/>
      <c r="AD851" s="9" t="s">
        <v>19</v>
      </c>
    </row>
    <row r="852" spans="1:30">
      <c r="A852" s="3" t="s">
        <v>2446</v>
      </c>
      <c r="B852" s="3" t="s">
        <v>7547</v>
      </c>
      <c r="C852" s="3" t="s">
        <v>7548</v>
      </c>
      <c r="G852" s="9" t="s">
        <v>26</v>
      </c>
      <c r="H852" s="9"/>
      <c r="I852" s="9"/>
      <c r="J852" s="9"/>
      <c r="K852" s="9"/>
      <c r="L852" s="9"/>
      <c r="M852" s="9"/>
      <c r="N852" s="10"/>
      <c r="O852" s="9"/>
      <c r="P852" s="9"/>
      <c r="Q852" s="9"/>
      <c r="R852" s="9" t="s">
        <v>12795</v>
      </c>
      <c r="S852" s="9" t="s">
        <v>12795</v>
      </c>
      <c r="T852" s="9"/>
      <c r="U852" s="9"/>
      <c r="V852" s="9"/>
      <c r="W852" s="9"/>
      <c r="X852" s="9"/>
      <c r="Y852" s="9"/>
      <c r="Z852" s="9"/>
      <c r="AA852" s="9"/>
      <c r="AB852" s="9"/>
      <c r="AC852" s="9"/>
      <c r="AD852" s="9" t="s">
        <v>13141</v>
      </c>
    </row>
    <row r="853" spans="1:30">
      <c r="A853" s="3" t="s">
        <v>2446</v>
      </c>
      <c r="B853" s="3" t="s">
        <v>2447</v>
      </c>
      <c r="C853" s="3" t="s">
        <v>2448</v>
      </c>
      <c r="G853" s="9" t="s">
        <v>12120</v>
      </c>
      <c r="H853" s="9"/>
      <c r="I853" s="9"/>
      <c r="J853" s="9"/>
      <c r="K853" s="9"/>
      <c r="L853" s="9"/>
      <c r="M853" s="9"/>
      <c r="N853" s="10"/>
      <c r="O853" s="9"/>
      <c r="P853" s="9"/>
      <c r="Q853" s="9"/>
      <c r="R853" s="9" t="s">
        <v>12795</v>
      </c>
      <c r="S853" s="9" t="s">
        <v>12795</v>
      </c>
      <c r="T853" s="9"/>
      <c r="U853" s="9"/>
      <c r="V853" s="9"/>
      <c r="W853" s="9"/>
      <c r="X853" s="9"/>
      <c r="Y853" s="9"/>
      <c r="Z853" s="9"/>
      <c r="AA853" s="9"/>
      <c r="AB853" s="9"/>
      <c r="AC853" s="9"/>
      <c r="AD853" s="9" t="s">
        <v>19</v>
      </c>
    </row>
    <row r="854" spans="1:30">
      <c r="A854" s="3" t="s">
        <v>2451</v>
      </c>
      <c r="B854" s="3" t="s">
        <v>7553</v>
      </c>
      <c r="C854" s="3" t="s">
        <v>7554</v>
      </c>
      <c r="G854" s="9" t="s">
        <v>12118</v>
      </c>
      <c r="H854" s="9"/>
      <c r="I854" s="9"/>
      <c r="J854" s="9"/>
      <c r="K854" s="9"/>
      <c r="L854" s="9"/>
      <c r="M854" s="9"/>
      <c r="N854" s="10"/>
      <c r="O854" s="9"/>
      <c r="P854" s="9"/>
      <c r="Q854" s="9">
        <v>-2</v>
      </c>
      <c r="R854" s="9">
        <v>2</v>
      </c>
      <c r="S854" s="9">
        <v>0</v>
      </c>
      <c r="T854" s="9"/>
      <c r="U854" s="9"/>
      <c r="V854" s="9"/>
      <c r="W854" s="9"/>
      <c r="X854" s="9"/>
      <c r="Y854" s="9"/>
      <c r="Z854" s="9"/>
      <c r="AA854" s="9"/>
      <c r="AB854" s="9"/>
      <c r="AC854" s="9"/>
      <c r="AD854" s="9" t="s">
        <v>20</v>
      </c>
    </row>
    <row r="855" spans="1:30" ht="29">
      <c r="A855" s="3" t="s">
        <v>2457</v>
      </c>
      <c r="B855" s="3" t="s">
        <v>7557</v>
      </c>
      <c r="C855" s="3" t="s">
        <v>7558</v>
      </c>
      <c r="G855" s="9" t="s">
        <v>25</v>
      </c>
      <c r="H855" s="9"/>
      <c r="I855" s="9">
        <v>1</v>
      </c>
      <c r="J855" s="9">
        <v>2</v>
      </c>
      <c r="K855" s="9" t="s">
        <v>12078</v>
      </c>
      <c r="L855" s="9" t="s">
        <v>12119</v>
      </c>
      <c r="M855" s="9"/>
      <c r="N855" s="10"/>
      <c r="O855" s="9"/>
      <c r="P855" s="9">
        <v>11843</v>
      </c>
      <c r="Q855" s="9"/>
      <c r="R855" s="9" t="s">
        <v>12795</v>
      </c>
      <c r="S855" s="9" t="s">
        <v>12795</v>
      </c>
      <c r="T855" s="9"/>
      <c r="U855" s="9"/>
      <c r="V855" s="9"/>
      <c r="W855" s="9"/>
      <c r="X855" s="9"/>
      <c r="Y855" s="9"/>
      <c r="Z855" s="9"/>
      <c r="AA855" s="9"/>
      <c r="AB855" s="9"/>
      <c r="AC855" s="9"/>
      <c r="AD855" s="9" t="s">
        <v>20</v>
      </c>
    </row>
    <row r="856" spans="1:30" ht="29">
      <c r="A856" s="3" t="s">
        <v>2461</v>
      </c>
      <c r="B856" s="3" t="s">
        <v>7564</v>
      </c>
      <c r="C856" s="3" t="s">
        <v>7563</v>
      </c>
      <c r="G856" s="9" t="s">
        <v>24</v>
      </c>
      <c r="H856" s="9"/>
      <c r="I856" s="9">
        <v>1</v>
      </c>
      <c r="J856" s="9">
        <v>3</v>
      </c>
      <c r="K856" s="9" t="s">
        <v>12078</v>
      </c>
      <c r="L856" s="9" t="s">
        <v>12073</v>
      </c>
      <c r="M856" s="9" t="s">
        <v>12142</v>
      </c>
      <c r="N856" s="10" t="s">
        <v>12143</v>
      </c>
      <c r="O856" s="9" t="s">
        <v>12074</v>
      </c>
      <c r="P856" s="9">
        <v>11843</v>
      </c>
      <c r="Q856" s="9"/>
      <c r="R856" s="9" t="s">
        <v>12795</v>
      </c>
      <c r="S856" s="9" t="s">
        <v>12795</v>
      </c>
      <c r="T856" s="9"/>
      <c r="U856" s="9"/>
      <c r="V856" s="9"/>
      <c r="W856" s="9"/>
      <c r="X856" s="9"/>
      <c r="Y856" s="9"/>
      <c r="Z856" s="9"/>
      <c r="AA856" s="9"/>
      <c r="AB856" s="9"/>
      <c r="AC856" s="9"/>
      <c r="AD856" s="9" t="s">
        <v>20</v>
      </c>
    </row>
    <row r="857" spans="1:30">
      <c r="A857" s="3" t="s">
        <v>2462</v>
      </c>
      <c r="B857" s="3" t="s">
        <v>7566</v>
      </c>
      <c r="C857" s="3" t="s">
        <v>7565</v>
      </c>
      <c r="G857" s="9" t="s">
        <v>24</v>
      </c>
      <c r="H857" s="9"/>
      <c r="I857" s="9">
        <v>1</v>
      </c>
      <c r="J857" s="9">
        <v>3</v>
      </c>
      <c r="K857" s="9" t="s">
        <v>12078</v>
      </c>
      <c r="L857" s="9" t="s">
        <v>12079</v>
      </c>
      <c r="M857" s="9"/>
      <c r="N857" s="10"/>
      <c r="O857" s="9"/>
      <c r="P857" s="9">
        <v>11843</v>
      </c>
      <c r="Q857" s="9"/>
      <c r="R857" s="9" t="s">
        <v>12795</v>
      </c>
      <c r="S857" s="9" t="s">
        <v>12795</v>
      </c>
      <c r="T857" s="9"/>
      <c r="U857" s="9"/>
      <c r="V857" s="9"/>
      <c r="W857" s="9"/>
      <c r="X857" s="9"/>
      <c r="Y857" s="9"/>
      <c r="Z857" s="9"/>
      <c r="AA857" s="9"/>
      <c r="AB857" s="9"/>
      <c r="AC857" s="9"/>
      <c r="AD857" s="9" t="s">
        <v>19</v>
      </c>
    </row>
    <row r="858" spans="1:30">
      <c r="A858" s="3" t="s">
        <v>2463</v>
      </c>
      <c r="B858" s="3" t="s">
        <v>7567</v>
      </c>
      <c r="C858" s="3" t="s">
        <v>7568</v>
      </c>
      <c r="G858" s="9" t="s">
        <v>12118</v>
      </c>
      <c r="H858" s="9"/>
      <c r="I858" s="9"/>
      <c r="J858" s="9"/>
      <c r="K858" s="9"/>
      <c r="L858" s="9"/>
      <c r="M858" s="9"/>
      <c r="N858" s="10"/>
      <c r="O858" s="9"/>
      <c r="P858" s="9"/>
      <c r="Q858" s="9">
        <v>0</v>
      </c>
      <c r="R858" s="9">
        <v>4</v>
      </c>
      <c r="S858" s="9">
        <v>4</v>
      </c>
      <c r="T858" s="9"/>
      <c r="U858" s="9"/>
      <c r="V858" s="9"/>
      <c r="W858" s="9"/>
      <c r="X858" s="9"/>
      <c r="Y858" s="9"/>
      <c r="Z858" s="9"/>
      <c r="AA858" s="9"/>
      <c r="AB858" s="9"/>
      <c r="AC858" s="9"/>
      <c r="AD858" s="9" t="s">
        <v>20</v>
      </c>
    </row>
    <row r="859" spans="1:30" ht="29">
      <c r="A859" s="3" t="s">
        <v>2470</v>
      </c>
      <c r="B859" s="3" t="s">
        <v>7570</v>
      </c>
      <c r="C859" s="3" t="s">
        <v>7569</v>
      </c>
      <c r="G859" s="9" t="s">
        <v>25</v>
      </c>
      <c r="H859" s="9"/>
      <c r="I859" s="9">
        <v>1</v>
      </c>
      <c r="J859" s="9">
        <v>9</v>
      </c>
      <c r="K859" s="9" t="s">
        <v>12092</v>
      </c>
      <c r="L859" s="9" t="s">
        <v>12073</v>
      </c>
      <c r="M859" s="9" t="s">
        <v>12142</v>
      </c>
      <c r="N859" s="10" t="s">
        <v>12143</v>
      </c>
      <c r="O859" s="9"/>
      <c r="P859" s="9">
        <v>2</v>
      </c>
      <c r="Q859" s="9"/>
      <c r="R859" s="9" t="s">
        <v>12795</v>
      </c>
      <c r="S859" s="9" t="s">
        <v>12795</v>
      </c>
      <c r="T859" s="9"/>
      <c r="U859" s="9"/>
      <c r="V859" s="9"/>
      <c r="W859" s="9"/>
      <c r="X859" s="9"/>
      <c r="Y859" s="9"/>
      <c r="Z859" s="9"/>
      <c r="AA859" s="9"/>
      <c r="AB859" s="9"/>
      <c r="AC859" s="9"/>
      <c r="AD859" s="9" t="s">
        <v>20</v>
      </c>
    </row>
    <row r="860" spans="1:30">
      <c r="A860" s="3" t="s">
        <v>2474</v>
      </c>
      <c r="B860" s="3" t="s">
        <v>1269</v>
      </c>
      <c r="C860" s="3" t="s">
        <v>1248</v>
      </c>
      <c r="G860" s="9" t="s">
        <v>12120</v>
      </c>
      <c r="H860" s="9"/>
      <c r="I860" s="9"/>
      <c r="J860" s="9"/>
      <c r="K860" s="9"/>
      <c r="L860" s="9"/>
      <c r="M860" s="9"/>
      <c r="N860" s="10"/>
      <c r="O860" s="9"/>
      <c r="P860" s="9"/>
      <c r="Q860" s="9"/>
      <c r="R860" s="9" t="s">
        <v>12795</v>
      </c>
      <c r="S860" s="9" t="s">
        <v>12795</v>
      </c>
      <c r="T860" s="9"/>
      <c r="U860" s="9"/>
      <c r="V860" s="9"/>
      <c r="W860" s="9"/>
      <c r="X860" s="9"/>
      <c r="Y860" s="9"/>
      <c r="Z860" s="9"/>
      <c r="AA860" s="9"/>
      <c r="AB860" s="9"/>
      <c r="AC860" s="9"/>
      <c r="AD860" s="9" t="s">
        <v>19</v>
      </c>
    </row>
    <row r="861" spans="1:30" ht="43.5">
      <c r="A861" s="3" t="s">
        <v>2483</v>
      </c>
      <c r="B861" s="3" t="s">
        <v>7577</v>
      </c>
      <c r="C861" s="3" t="s">
        <v>7578</v>
      </c>
      <c r="G861" s="9" t="s">
        <v>12120</v>
      </c>
      <c r="H861" s="9"/>
      <c r="I861" s="9"/>
      <c r="J861" s="9"/>
      <c r="K861" s="9"/>
      <c r="L861" s="9"/>
      <c r="M861" s="9"/>
      <c r="N861" s="10"/>
      <c r="O861" s="9"/>
      <c r="P861" s="9"/>
      <c r="Q861" s="9"/>
      <c r="R861" s="9" t="s">
        <v>12795</v>
      </c>
      <c r="S861" s="9" t="s">
        <v>12795</v>
      </c>
      <c r="T861" s="9"/>
      <c r="U861" s="9"/>
      <c r="V861" s="9"/>
      <c r="W861" s="9"/>
      <c r="X861" s="9"/>
      <c r="Y861" s="9"/>
      <c r="Z861" s="9"/>
      <c r="AA861" s="9"/>
      <c r="AB861" s="9"/>
      <c r="AC861" s="9"/>
      <c r="AD861" s="9" t="s">
        <v>19</v>
      </c>
    </row>
    <row r="862" spans="1:30" ht="29">
      <c r="A862" s="3" t="s">
        <v>2489</v>
      </c>
      <c r="B862" s="3" t="s">
        <v>7590</v>
      </c>
      <c r="C862" s="3" t="s">
        <v>7589</v>
      </c>
      <c r="G862" s="9" t="s">
        <v>26</v>
      </c>
      <c r="H862" s="9"/>
      <c r="I862" s="9"/>
      <c r="J862" s="9"/>
      <c r="K862" s="9"/>
      <c r="L862" s="9"/>
      <c r="M862" s="9"/>
      <c r="N862" s="10"/>
      <c r="O862" s="9"/>
      <c r="P862" s="9"/>
      <c r="Q862" s="9"/>
      <c r="R862" s="9" t="s">
        <v>12795</v>
      </c>
      <c r="S862" s="9" t="s">
        <v>12795</v>
      </c>
      <c r="T862" s="9"/>
      <c r="U862" s="9"/>
      <c r="V862" s="9"/>
      <c r="W862" s="9"/>
      <c r="X862" s="9"/>
      <c r="Y862" s="9"/>
      <c r="Z862" s="9"/>
      <c r="AA862" s="9"/>
      <c r="AB862" s="9"/>
      <c r="AC862" s="9"/>
      <c r="AD862" s="9" t="s">
        <v>20</v>
      </c>
    </row>
    <row r="863" spans="1:30" ht="29">
      <c r="A863" s="3" t="s">
        <v>2490</v>
      </c>
      <c r="B863" s="3" t="s">
        <v>7591</v>
      </c>
      <c r="C863" s="3" t="s">
        <v>7592</v>
      </c>
      <c r="G863" s="9" t="s">
        <v>12118</v>
      </c>
      <c r="H863" s="9"/>
      <c r="I863" s="9"/>
      <c r="J863" s="9"/>
      <c r="K863" s="9"/>
      <c r="L863" s="9"/>
      <c r="M863" s="9"/>
      <c r="N863" s="10"/>
      <c r="O863" s="9"/>
      <c r="P863" s="9"/>
      <c r="Q863" s="9">
        <v>193</v>
      </c>
      <c r="R863" s="9">
        <v>1101</v>
      </c>
      <c r="S863" s="9">
        <v>1294</v>
      </c>
      <c r="T863" s="9"/>
      <c r="U863" s="9"/>
      <c r="V863" s="9"/>
      <c r="W863" s="9"/>
      <c r="X863" s="9"/>
      <c r="Y863" s="9"/>
      <c r="Z863" s="9"/>
      <c r="AA863" s="9"/>
      <c r="AB863" s="9"/>
      <c r="AC863" s="9"/>
      <c r="AD863" s="9" t="s">
        <v>19</v>
      </c>
    </row>
    <row r="864" spans="1:30" ht="29">
      <c r="A864" s="3" t="s">
        <v>2491</v>
      </c>
      <c r="B864" s="3" t="s">
        <v>7593</v>
      </c>
      <c r="C864" s="3" t="s">
        <v>7594</v>
      </c>
      <c r="G864" s="9" t="s">
        <v>12118</v>
      </c>
      <c r="H864" s="9"/>
      <c r="I864" s="9"/>
      <c r="J864" s="9"/>
      <c r="K864" s="9"/>
      <c r="L864" s="9"/>
      <c r="M864" s="9"/>
      <c r="N864" s="10"/>
      <c r="O864" s="9"/>
      <c r="P864" s="9"/>
      <c r="Q864" s="9">
        <v>-3768</v>
      </c>
      <c r="R864" s="9">
        <v>4240</v>
      </c>
      <c r="S864" s="9">
        <v>472</v>
      </c>
      <c r="T864" s="9"/>
      <c r="U864" s="9"/>
      <c r="V864" s="9"/>
      <c r="W864" s="9"/>
      <c r="X864" s="9"/>
      <c r="Y864" s="9"/>
      <c r="Z864" s="9"/>
      <c r="AA864" s="9"/>
      <c r="AB864" s="9"/>
      <c r="AC864" s="9"/>
      <c r="AD864" s="9" t="s">
        <v>20</v>
      </c>
    </row>
    <row r="865" spans="1:30">
      <c r="A865" s="3" t="s">
        <v>2492</v>
      </c>
      <c r="B865" s="3" t="s">
        <v>7598</v>
      </c>
      <c r="C865" s="11" t="s">
        <v>7595</v>
      </c>
      <c r="G865" s="9" t="s">
        <v>25</v>
      </c>
      <c r="H865" s="9"/>
      <c r="I865" s="9">
        <v>1</v>
      </c>
      <c r="J865" s="9">
        <v>3</v>
      </c>
      <c r="K865" s="9" t="s">
        <v>12084</v>
      </c>
      <c r="L865" s="9" t="s">
        <v>12079</v>
      </c>
      <c r="M865" s="9"/>
      <c r="N865" s="10"/>
      <c r="O865" s="9"/>
      <c r="P865" s="9">
        <v>50</v>
      </c>
      <c r="Q865" s="9"/>
      <c r="R865" s="9" t="s">
        <v>12795</v>
      </c>
      <c r="S865" s="9" t="s">
        <v>12795</v>
      </c>
      <c r="T865" s="9"/>
      <c r="U865" s="9"/>
      <c r="V865" s="9"/>
      <c r="W865" s="9"/>
      <c r="X865" s="9"/>
      <c r="Y865" s="9"/>
      <c r="Z865" s="9"/>
      <c r="AA865" s="9"/>
      <c r="AB865" s="9"/>
      <c r="AC865" s="9"/>
      <c r="AD865" s="9" t="s">
        <v>19</v>
      </c>
    </row>
    <row r="866" spans="1:30" ht="29">
      <c r="A866" s="3" t="s">
        <v>2492</v>
      </c>
      <c r="B866" s="3" t="s">
        <v>7599</v>
      </c>
      <c r="C866" s="3" t="s">
        <v>7600</v>
      </c>
      <c r="G866" s="9" t="s">
        <v>26</v>
      </c>
      <c r="H866" s="9"/>
      <c r="I866" s="9"/>
      <c r="J866" s="9"/>
      <c r="K866" s="9"/>
      <c r="L866" s="9"/>
      <c r="M866" s="9"/>
      <c r="N866" s="10"/>
      <c r="O866" s="9"/>
      <c r="P866" s="9"/>
      <c r="Q866" s="9"/>
      <c r="R866" s="9" t="s">
        <v>12795</v>
      </c>
      <c r="S866" s="9" t="s">
        <v>12795</v>
      </c>
      <c r="T866" s="9"/>
      <c r="U866" s="9"/>
      <c r="V866" s="9"/>
      <c r="W866" s="9"/>
      <c r="X866" s="9"/>
      <c r="Y866" s="9"/>
      <c r="Z866" s="9"/>
      <c r="AA866" s="9"/>
      <c r="AB866" s="9"/>
      <c r="AC866" s="9"/>
      <c r="AD866" s="9" t="s">
        <v>19</v>
      </c>
    </row>
    <row r="867" spans="1:30" ht="29">
      <c r="A867" s="3" t="s">
        <v>2493</v>
      </c>
      <c r="B867" s="3" t="s">
        <v>7605</v>
      </c>
      <c r="C867" s="3" t="s">
        <v>7606</v>
      </c>
      <c r="G867" s="9" t="s">
        <v>12118</v>
      </c>
      <c r="H867" s="9"/>
      <c r="I867" s="9"/>
      <c r="J867" s="9"/>
      <c r="K867" s="9"/>
      <c r="L867" s="9"/>
      <c r="M867" s="9"/>
      <c r="N867" s="10"/>
      <c r="O867" s="9"/>
      <c r="P867" s="9"/>
      <c r="Q867" s="9">
        <v>-1846</v>
      </c>
      <c r="R867" s="9">
        <v>2042</v>
      </c>
      <c r="S867" s="9">
        <v>196</v>
      </c>
      <c r="T867" s="9"/>
      <c r="U867" s="9"/>
      <c r="V867" s="9"/>
      <c r="W867" s="9"/>
      <c r="X867" s="9"/>
      <c r="Y867" s="9"/>
      <c r="Z867" s="9"/>
      <c r="AA867" s="9"/>
      <c r="AB867" s="9"/>
      <c r="AC867" s="9"/>
      <c r="AD867" s="9" t="s">
        <v>20</v>
      </c>
    </row>
    <row r="868" spans="1:30">
      <c r="A868" s="3" t="s">
        <v>2498</v>
      </c>
      <c r="B868" s="3" t="s">
        <v>7615</v>
      </c>
      <c r="C868" s="3" t="s">
        <v>7616</v>
      </c>
      <c r="G868" s="9" t="s">
        <v>25</v>
      </c>
      <c r="H868" s="9"/>
      <c r="I868" s="9">
        <v>1</v>
      </c>
      <c r="J868" s="9">
        <v>3</v>
      </c>
      <c r="K868" s="9" t="s">
        <v>12123</v>
      </c>
      <c r="L868" s="9" t="s">
        <v>12079</v>
      </c>
      <c r="M868" s="9"/>
      <c r="N868" s="10"/>
      <c r="O868" s="9"/>
      <c r="P868" s="9">
        <v>887</v>
      </c>
      <c r="Q868" s="9"/>
      <c r="R868" s="9" t="s">
        <v>12795</v>
      </c>
      <c r="S868" s="9" t="s">
        <v>12795</v>
      </c>
      <c r="T868" s="9"/>
      <c r="U868" s="9"/>
      <c r="V868" s="9"/>
      <c r="W868" s="9"/>
      <c r="X868" s="9"/>
      <c r="Y868" s="9"/>
      <c r="Z868" s="9"/>
      <c r="AA868" s="9"/>
      <c r="AB868" s="9"/>
      <c r="AC868" s="9"/>
      <c r="AD868" s="9" t="s">
        <v>20</v>
      </c>
    </row>
    <row r="869" spans="1:30">
      <c r="A869" s="3" t="s">
        <v>2507</v>
      </c>
      <c r="B869" s="3" t="s">
        <v>7618</v>
      </c>
      <c r="C869" s="3" t="s">
        <v>7617</v>
      </c>
      <c r="G869" s="9" t="s">
        <v>25</v>
      </c>
      <c r="H869" s="9"/>
      <c r="I869" s="9">
        <v>1</v>
      </c>
      <c r="J869" s="9">
        <v>2</v>
      </c>
      <c r="K869" s="9" t="s">
        <v>12087</v>
      </c>
      <c r="L869" s="9" t="s">
        <v>12119</v>
      </c>
      <c r="M869" s="9"/>
      <c r="N869" s="10"/>
      <c r="O869" s="9"/>
      <c r="P869" s="9">
        <v>1966</v>
      </c>
      <c r="Q869" s="9"/>
      <c r="R869" s="9" t="s">
        <v>12795</v>
      </c>
      <c r="S869" s="9" t="s">
        <v>12795</v>
      </c>
      <c r="T869" s="9"/>
      <c r="U869" s="9"/>
      <c r="V869" s="9"/>
      <c r="W869" s="9"/>
      <c r="X869" s="9"/>
      <c r="Y869" s="9"/>
      <c r="Z869" s="9"/>
      <c r="AA869" s="9"/>
      <c r="AB869" s="9"/>
      <c r="AC869" s="9"/>
      <c r="AD869" s="9" t="s">
        <v>20</v>
      </c>
    </row>
    <row r="870" spans="1:30" ht="29">
      <c r="A870" s="3" t="s">
        <v>2507</v>
      </c>
      <c r="B870" s="3" t="s">
        <v>7621</v>
      </c>
      <c r="C870" s="3" t="s">
        <v>7622</v>
      </c>
      <c r="G870" s="9" t="s">
        <v>24</v>
      </c>
      <c r="H870" s="9"/>
      <c r="I870" s="9">
        <v>1</v>
      </c>
      <c r="J870" s="9">
        <v>2</v>
      </c>
      <c r="K870" s="9" t="s">
        <v>12078</v>
      </c>
      <c r="L870" s="9" t="s">
        <v>12119</v>
      </c>
      <c r="M870" s="9"/>
      <c r="N870" s="10"/>
      <c r="O870" s="9" t="s">
        <v>12074</v>
      </c>
      <c r="P870" s="9">
        <v>11843</v>
      </c>
      <c r="Q870" s="9"/>
      <c r="R870" s="9" t="s">
        <v>12795</v>
      </c>
      <c r="S870" s="9" t="s">
        <v>12795</v>
      </c>
      <c r="T870" s="9"/>
      <c r="U870" s="9"/>
      <c r="V870" s="9"/>
      <c r="W870" s="9"/>
      <c r="X870" s="9"/>
      <c r="Y870" s="9"/>
      <c r="Z870" s="9"/>
      <c r="AA870" s="9"/>
      <c r="AB870" s="9"/>
      <c r="AC870" s="9"/>
      <c r="AD870" s="9" t="s">
        <v>19</v>
      </c>
    </row>
    <row r="871" spans="1:30" ht="29">
      <c r="A871" s="3" t="s">
        <v>2513</v>
      </c>
      <c r="B871" s="3" t="s">
        <v>7632</v>
      </c>
      <c r="C871" s="3" t="s">
        <v>7631</v>
      </c>
      <c r="G871" s="9" t="s">
        <v>26</v>
      </c>
      <c r="H871" s="9"/>
      <c r="I871" s="9"/>
      <c r="J871" s="9"/>
      <c r="K871" s="9"/>
      <c r="L871" s="9"/>
      <c r="M871" s="9"/>
      <c r="N871" s="10"/>
      <c r="O871" s="9"/>
      <c r="P871" s="9"/>
      <c r="Q871" s="9"/>
      <c r="R871" s="9" t="s">
        <v>12795</v>
      </c>
      <c r="S871" s="9" t="s">
        <v>12795</v>
      </c>
      <c r="T871" s="9" t="s">
        <v>12117</v>
      </c>
      <c r="U871" s="9"/>
      <c r="V871" s="9"/>
      <c r="W871" s="9"/>
      <c r="X871" s="9"/>
      <c r="Y871" s="9"/>
      <c r="Z871" s="9"/>
      <c r="AA871" s="9"/>
      <c r="AB871" s="9"/>
      <c r="AC871" s="9"/>
      <c r="AD871" s="9" t="s">
        <v>20</v>
      </c>
    </row>
    <row r="872" spans="1:30" ht="29">
      <c r="A872" s="3" t="s">
        <v>2521</v>
      </c>
      <c r="B872" s="3" t="s">
        <v>7637</v>
      </c>
      <c r="C872" s="3" t="s">
        <v>7638</v>
      </c>
      <c r="G872" s="9" t="s">
        <v>12120</v>
      </c>
      <c r="H872" s="9"/>
      <c r="I872" s="9"/>
      <c r="J872" s="9"/>
      <c r="K872" s="9"/>
      <c r="L872" s="9"/>
      <c r="M872" s="9"/>
      <c r="N872" s="10"/>
      <c r="O872" s="9"/>
      <c r="P872" s="9"/>
      <c r="Q872" s="9"/>
      <c r="R872" s="9" t="s">
        <v>12795</v>
      </c>
      <c r="S872" s="9" t="s">
        <v>12795</v>
      </c>
      <c r="T872" s="9" t="s">
        <v>12117</v>
      </c>
      <c r="U872" s="9"/>
      <c r="V872" s="9"/>
      <c r="W872" s="9"/>
      <c r="X872" s="9"/>
      <c r="Y872" s="9"/>
      <c r="Z872" s="9"/>
      <c r="AA872" s="9"/>
      <c r="AB872" s="9"/>
      <c r="AC872" s="9"/>
      <c r="AD872" s="9" t="s">
        <v>19</v>
      </c>
    </row>
    <row r="873" spans="1:30" ht="29">
      <c r="A873" s="3" t="s">
        <v>2521</v>
      </c>
      <c r="B873" s="3" t="s">
        <v>7639</v>
      </c>
      <c r="C873" s="3" t="s">
        <v>7640</v>
      </c>
      <c r="G873" s="9" t="s">
        <v>26</v>
      </c>
      <c r="H873" s="9"/>
      <c r="I873" s="9"/>
      <c r="J873" s="9"/>
      <c r="K873" s="9"/>
      <c r="L873" s="9"/>
      <c r="M873" s="9"/>
      <c r="N873" s="10"/>
      <c r="O873" s="9"/>
      <c r="P873" s="9"/>
      <c r="Q873" s="9"/>
      <c r="R873" s="9" t="s">
        <v>12795</v>
      </c>
      <c r="S873" s="9" t="s">
        <v>12795</v>
      </c>
      <c r="T873" s="9"/>
      <c r="U873" s="9"/>
      <c r="V873" s="9"/>
      <c r="W873" s="9"/>
      <c r="X873" s="9"/>
      <c r="Y873" s="9"/>
      <c r="Z873" s="9"/>
      <c r="AA873" s="9"/>
      <c r="AB873" s="9"/>
      <c r="AC873" s="9"/>
      <c r="AD873" s="9" t="s">
        <v>20</v>
      </c>
    </row>
    <row r="874" spans="1:30">
      <c r="A874" s="3" t="s">
        <v>2522</v>
      </c>
      <c r="B874" s="3" t="s">
        <v>7641</v>
      </c>
      <c r="C874" s="3" t="s">
        <v>7642</v>
      </c>
      <c r="G874" s="9" t="s">
        <v>12120</v>
      </c>
      <c r="H874" s="9"/>
      <c r="I874" s="9"/>
      <c r="J874" s="9"/>
      <c r="K874" s="9"/>
      <c r="L874" s="9"/>
      <c r="M874" s="9"/>
      <c r="N874" s="10"/>
      <c r="O874" s="9"/>
      <c r="P874" s="9"/>
      <c r="Q874" s="9"/>
      <c r="R874" s="9" t="s">
        <v>12795</v>
      </c>
      <c r="S874" s="9" t="s">
        <v>12795</v>
      </c>
      <c r="T874" s="9"/>
      <c r="U874" s="9"/>
      <c r="V874" s="9"/>
      <c r="W874" s="9"/>
      <c r="X874" s="9"/>
      <c r="Y874" s="9"/>
      <c r="Z874" s="9"/>
      <c r="AA874" s="9"/>
      <c r="AB874" s="9"/>
      <c r="AC874" s="9"/>
      <c r="AD874" s="9" t="s">
        <v>13141</v>
      </c>
    </row>
    <row r="875" spans="1:30">
      <c r="A875" s="3" t="s">
        <v>2522</v>
      </c>
      <c r="B875" s="3" t="s">
        <v>2523</v>
      </c>
      <c r="C875" s="3" t="s">
        <v>2524</v>
      </c>
      <c r="G875" s="9" t="s">
        <v>12120</v>
      </c>
      <c r="H875" s="9"/>
      <c r="I875" s="9"/>
      <c r="J875" s="9"/>
      <c r="K875" s="9"/>
      <c r="L875" s="9"/>
      <c r="M875" s="9"/>
      <c r="N875" s="10"/>
      <c r="O875" s="9"/>
      <c r="P875" s="9"/>
      <c r="Q875" s="9"/>
      <c r="R875" s="9" t="s">
        <v>12795</v>
      </c>
      <c r="S875" s="9" t="s">
        <v>12795</v>
      </c>
      <c r="T875" s="9"/>
      <c r="U875" s="9"/>
      <c r="V875" s="9"/>
      <c r="W875" s="9"/>
      <c r="X875" s="9"/>
      <c r="Y875" s="9"/>
      <c r="Z875" s="9"/>
      <c r="AA875" s="9"/>
      <c r="AB875" s="9"/>
      <c r="AC875" s="9"/>
      <c r="AD875" s="9" t="s">
        <v>20</v>
      </c>
    </row>
    <row r="876" spans="1:30" ht="29">
      <c r="A876" s="3" t="s">
        <v>2531</v>
      </c>
      <c r="B876" s="3" t="s">
        <v>12903</v>
      </c>
      <c r="C876" s="3" t="s">
        <v>12904</v>
      </c>
      <c r="G876" s="9" t="s">
        <v>12118</v>
      </c>
      <c r="H876" s="9"/>
      <c r="I876" s="9"/>
      <c r="J876" s="9"/>
      <c r="K876" s="9"/>
      <c r="L876" s="9"/>
      <c r="M876" s="9"/>
      <c r="N876" s="10"/>
      <c r="O876" s="9"/>
      <c r="P876" s="9"/>
      <c r="Q876" s="9">
        <v>-5646</v>
      </c>
      <c r="R876" s="9">
        <v>5676</v>
      </c>
      <c r="S876" s="9">
        <v>30</v>
      </c>
      <c r="T876" s="9"/>
      <c r="U876" s="9"/>
      <c r="V876" s="9"/>
      <c r="W876" s="9"/>
      <c r="X876" s="9"/>
      <c r="Y876" s="9"/>
      <c r="Z876" s="9"/>
      <c r="AA876" s="9"/>
      <c r="AB876" s="9"/>
      <c r="AC876" s="9"/>
      <c r="AD876" s="9" t="s">
        <v>19</v>
      </c>
    </row>
    <row r="877" spans="1:30" ht="29">
      <c r="A877" s="3" t="s">
        <v>2531</v>
      </c>
      <c r="B877" s="3" t="s">
        <v>12903</v>
      </c>
      <c r="C877" s="3" t="s">
        <v>12907</v>
      </c>
      <c r="G877" s="9" t="s">
        <v>24</v>
      </c>
      <c r="H877" s="9"/>
      <c r="I877" s="9">
        <v>1</v>
      </c>
      <c r="J877" s="9">
        <v>3</v>
      </c>
      <c r="K877" s="9" t="s">
        <v>12094</v>
      </c>
      <c r="L877" s="9" t="s">
        <v>12079</v>
      </c>
      <c r="M877" s="9"/>
      <c r="N877" s="10"/>
      <c r="O877" s="9"/>
      <c r="P877" s="9">
        <v>1741</v>
      </c>
      <c r="Q877" s="9"/>
      <c r="R877" s="9"/>
      <c r="S877" s="9"/>
      <c r="T877" s="9"/>
      <c r="U877" s="9"/>
      <c r="V877" s="9"/>
      <c r="W877" s="9"/>
      <c r="X877" s="9"/>
      <c r="Y877" s="9"/>
      <c r="Z877" s="9"/>
      <c r="AA877" s="9"/>
      <c r="AB877" s="9"/>
      <c r="AC877" s="9"/>
      <c r="AD877" s="9" t="s">
        <v>19</v>
      </c>
    </row>
    <row r="878" spans="1:30" ht="29">
      <c r="A878" s="3" t="s">
        <v>2533</v>
      </c>
      <c r="B878" s="3" t="s">
        <v>7653</v>
      </c>
      <c r="C878" s="3" t="s">
        <v>7652</v>
      </c>
      <c r="G878" s="9" t="s">
        <v>24</v>
      </c>
      <c r="H878" s="9"/>
      <c r="I878" s="9">
        <v>1</v>
      </c>
      <c r="J878" s="9">
        <v>3</v>
      </c>
      <c r="K878" s="9" t="s">
        <v>12078</v>
      </c>
      <c r="L878" s="9" t="s">
        <v>12079</v>
      </c>
      <c r="M878" s="9"/>
      <c r="N878" s="10"/>
      <c r="O878" s="9"/>
      <c r="P878" s="9">
        <v>11843</v>
      </c>
      <c r="Q878" s="9"/>
      <c r="R878" s="9" t="s">
        <v>12795</v>
      </c>
      <c r="S878" s="9" t="s">
        <v>12795</v>
      </c>
      <c r="T878" s="9"/>
      <c r="U878" s="9"/>
      <c r="V878" s="9"/>
      <c r="W878" s="9"/>
      <c r="X878" s="9"/>
      <c r="Y878" s="9"/>
      <c r="Z878" s="9"/>
      <c r="AA878" s="9"/>
      <c r="AB878" s="9"/>
      <c r="AC878" s="9"/>
      <c r="AD878" s="9" t="s">
        <v>19</v>
      </c>
    </row>
    <row r="879" spans="1:30" ht="29">
      <c r="A879" s="3" t="s">
        <v>2534</v>
      </c>
      <c r="B879" s="3" t="s">
        <v>7655</v>
      </c>
      <c r="C879" s="3" t="s">
        <v>7654</v>
      </c>
      <c r="G879" s="9" t="s">
        <v>24</v>
      </c>
      <c r="H879" s="9"/>
      <c r="I879" s="9">
        <v>2</v>
      </c>
      <c r="J879" s="9">
        <v>7</v>
      </c>
      <c r="K879" s="9"/>
      <c r="L879" s="9" t="s">
        <v>12079</v>
      </c>
      <c r="M879" s="9"/>
      <c r="N879" s="10"/>
      <c r="O879" s="9"/>
      <c r="P879" s="9">
        <v>635</v>
      </c>
      <c r="Q879" s="9"/>
      <c r="R879" s="9" t="s">
        <v>12795</v>
      </c>
      <c r="S879" s="9" t="s">
        <v>12795</v>
      </c>
      <c r="T879" s="9"/>
      <c r="U879" s="9"/>
      <c r="V879" s="9"/>
      <c r="W879" s="9"/>
      <c r="X879" s="9"/>
      <c r="Y879" s="9"/>
      <c r="Z879" s="9"/>
      <c r="AA879" s="9"/>
      <c r="AB879" s="9"/>
      <c r="AC879" s="9"/>
      <c r="AD879" s="9" t="s">
        <v>19</v>
      </c>
    </row>
    <row r="880" spans="1:30" ht="29">
      <c r="A880" s="3" t="s">
        <v>2535</v>
      </c>
      <c r="B880" s="3" t="s">
        <v>7659</v>
      </c>
      <c r="C880" s="3" t="s">
        <v>7658</v>
      </c>
      <c r="G880" s="9" t="s">
        <v>24</v>
      </c>
      <c r="H880" s="9"/>
      <c r="I880" s="9">
        <v>1</v>
      </c>
      <c r="J880" s="9">
        <v>3</v>
      </c>
      <c r="K880" s="9" t="s">
        <v>12094</v>
      </c>
      <c r="L880" s="9" t="s">
        <v>12079</v>
      </c>
      <c r="M880" s="9"/>
      <c r="N880" s="10"/>
      <c r="O880" s="9"/>
      <c r="P880" s="9">
        <v>1496</v>
      </c>
      <c r="Q880" s="9"/>
      <c r="R880" s="9" t="s">
        <v>12795</v>
      </c>
      <c r="S880" s="9" t="s">
        <v>12795</v>
      </c>
      <c r="T880" s="9"/>
      <c r="U880" s="9"/>
      <c r="V880" s="9"/>
      <c r="W880" s="9"/>
      <c r="X880" s="9"/>
      <c r="Y880" s="9"/>
      <c r="Z880" s="9"/>
      <c r="AA880" s="9"/>
      <c r="AB880" s="9"/>
      <c r="AC880" s="9"/>
      <c r="AD880" s="9" t="s">
        <v>19</v>
      </c>
    </row>
    <row r="881" spans="1:30" ht="29">
      <c r="A881" s="3" t="s">
        <v>2540</v>
      </c>
      <c r="B881" s="3" t="s">
        <v>7665</v>
      </c>
      <c r="C881" s="3" t="s">
        <v>7664</v>
      </c>
      <c r="G881" s="9" t="s">
        <v>24</v>
      </c>
      <c r="H881" s="9"/>
      <c r="I881" s="9">
        <v>1</v>
      </c>
      <c r="J881" s="9">
        <v>3</v>
      </c>
      <c r="K881" s="9" t="s">
        <v>12078</v>
      </c>
      <c r="L881" s="9" t="s">
        <v>12079</v>
      </c>
      <c r="M881" s="9"/>
      <c r="N881" s="10"/>
      <c r="O881" s="9"/>
      <c r="P881" s="9">
        <v>11843</v>
      </c>
      <c r="Q881" s="9"/>
      <c r="R881" s="9" t="s">
        <v>12795</v>
      </c>
      <c r="S881" s="9" t="s">
        <v>12795</v>
      </c>
      <c r="T881" s="9"/>
      <c r="U881" s="9"/>
      <c r="V881" s="9"/>
      <c r="W881" s="9"/>
      <c r="X881" s="9"/>
      <c r="Y881" s="9"/>
      <c r="Z881" s="9"/>
      <c r="AA881" s="9"/>
      <c r="AB881" s="9"/>
      <c r="AC881" s="9"/>
      <c r="AD881" s="9" t="s">
        <v>20</v>
      </c>
    </row>
    <row r="882" spans="1:30" ht="29">
      <c r="A882" s="3" t="s">
        <v>2541</v>
      </c>
      <c r="B882" s="3" t="s">
        <v>2542</v>
      </c>
      <c r="C882" s="3" t="s">
        <v>2543</v>
      </c>
      <c r="D882" t="s">
        <v>12</v>
      </c>
      <c r="G882" s="9" t="s">
        <v>12120</v>
      </c>
      <c r="H882" s="9"/>
      <c r="I882" s="9"/>
      <c r="J882" s="9"/>
      <c r="K882" s="9"/>
      <c r="L882" s="9"/>
      <c r="M882" s="9"/>
      <c r="N882" s="10"/>
      <c r="O882" s="9"/>
      <c r="P882" s="9"/>
      <c r="Q882" s="9"/>
      <c r="R882" s="9" t="s">
        <v>12795</v>
      </c>
      <c r="S882" s="9" t="s">
        <v>12795</v>
      </c>
      <c r="T882" s="9"/>
      <c r="U882" s="9"/>
      <c r="V882" s="9"/>
      <c r="W882" s="9"/>
      <c r="X882" s="9"/>
      <c r="Y882" s="9"/>
      <c r="Z882" s="9"/>
      <c r="AA882" s="9"/>
      <c r="AB882" s="9"/>
      <c r="AC882" s="9"/>
      <c r="AD882" s="9" t="s">
        <v>20</v>
      </c>
    </row>
    <row r="883" spans="1:30" ht="29">
      <c r="A883" s="3" t="s">
        <v>2544</v>
      </c>
      <c r="B883" s="3" t="s">
        <v>7667</v>
      </c>
      <c r="C883" s="3" t="s">
        <v>7666</v>
      </c>
      <c r="G883" s="9" t="s">
        <v>26</v>
      </c>
      <c r="H883" s="9"/>
      <c r="I883" s="9"/>
      <c r="J883" s="9"/>
      <c r="K883" s="9"/>
      <c r="L883" s="9"/>
      <c r="M883" s="9"/>
      <c r="N883" s="10"/>
      <c r="O883" s="9"/>
      <c r="P883" s="9"/>
      <c r="Q883" s="9"/>
      <c r="R883" s="9" t="s">
        <v>12795</v>
      </c>
      <c r="S883" s="9" t="s">
        <v>12795</v>
      </c>
      <c r="T883" s="9"/>
      <c r="U883" s="9"/>
      <c r="V883" s="9"/>
      <c r="W883" s="9"/>
      <c r="X883" s="9"/>
      <c r="Y883" s="9"/>
      <c r="Z883" s="9"/>
      <c r="AA883" s="9"/>
      <c r="AB883" s="9"/>
      <c r="AC883" s="9"/>
      <c r="AD883" s="9" t="s">
        <v>13141</v>
      </c>
    </row>
    <row r="884" spans="1:30" ht="29">
      <c r="A884" s="3" t="s">
        <v>2554</v>
      </c>
      <c r="B884" s="3" t="s">
        <v>7674</v>
      </c>
      <c r="C884" s="3" t="s">
        <v>7676</v>
      </c>
      <c r="G884" s="9" t="s">
        <v>12120</v>
      </c>
      <c r="H884" s="9"/>
      <c r="I884" s="9"/>
      <c r="J884" s="9"/>
      <c r="K884" s="9"/>
      <c r="L884" s="9"/>
      <c r="M884" s="9"/>
      <c r="N884" s="10"/>
      <c r="O884" s="9"/>
      <c r="P884" s="9"/>
      <c r="Q884" s="9"/>
      <c r="R884" s="9" t="s">
        <v>12795</v>
      </c>
      <c r="S884" s="9" t="s">
        <v>12795</v>
      </c>
      <c r="T884" s="9"/>
      <c r="U884" s="9"/>
      <c r="V884" s="9"/>
      <c r="W884" s="9"/>
      <c r="X884" s="9"/>
      <c r="Y884" s="9"/>
      <c r="Z884" s="9"/>
      <c r="AA884" s="9"/>
      <c r="AB884" s="9"/>
      <c r="AC884" s="9"/>
      <c r="AD884" s="9" t="s">
        <v>20</v>
      </c>
    </row>
    <row r="885" spans="1:30" ht="29">
      <c r="A885" s="3" t="s">
        <v>2554</v>
      </c>
      <c r="B885" s="3" t="s">
        <v>7675</v>
      </c>
      <c r="C885" s="3" t="s">
        <v>7677</v>
      </c>
      <c r="G885" s="9" t="s">
        <v>24</v>
      </c>
      <c r="H885" s="9"/>
      <c r="I885" s="9">
        <v>1</v>
      </c>
      <c r="J885" s="9">
        <v>3</v>
      </c>
      <c r="K885" s="9" t="s">
        <v>12094</v>
      </c>
      <c r="L885" s="9" t="s">
        <v>12079</v>
      </c>
      <c r="M885" s="9"/>
      <c r="N885" s="10"/>
      <c r="O885" s="9"/>
      <c r="P885" s="9">
        <v>1496</v>
      </c>
      <c r="Q885" s="9"/>
      <c r="R885" s="9" t="s">
        <v>12795</v>
      </c>
      <c r="S885" s="9" t="s">
        <v>12795</v>
      </c>
      <c r="T885" s="9"/>
      <c r="U885" s="9"/>
      <c r="V885" s="9"/>
      <c r="W885" s="9"/>
      <c r="X885" s="9"/>
      <c r="Y885" s="9"/>
      <c r="Z885" s="9"/>
      <c r="AA885" s="9"/>
      <c r="AB885" s="9"/>
      <c r="AC885" s="9"/>
      <c r="AD885" s="9" t="s">
        <v>19</v>
      </c>
    </row>
    <row r="886" spans="1:30" ht="29">
      <c r="A886" s="3" t="s">
        <v>2556</v>
      </c>
      <c r="B886" s="3" t="s">
        <v>7678</v>
      </c>
      <c r="C886" s="3" t="s">
        <v>7679</v>
      </c>
      <c r="G886" s="9" t="s">
        <v>12120</v>
      </c>
      <c r="H886" s="9"/>
      <c r="I886" s="9"/>
      <c r="J886" s="9"/>
      <c r="K886" s="9"/>
      <c r="L886" s="9"/>
      <c r="M886" s="9"/>
      <c r="N886" s="10"/>
      <c r="O886" s="9"/>
      <c r="P886" s="9"/>
      <c r="Q886" s="9"/>
      <c r="R886" s="9" t="s">
        <v>12795</v>
      </c>
      <c r="S886" s="9" t="s">
        <v>12795</v>
      </c>
      <c r="T886" s="9"/>
      <c r="U886" s="9"/>
      <c r="V886" s="9"/>
      <c r="W886" s="9"/>
      <c r="X886" s="9"/>
      <c r="Y886" s="9"/>
      <c r="Z886" s="9"/>
      <c r="AA886" s="9"/>
      <c r="AB886" s="9"/>
      <c r="AC886" s="9"/>
      <c r="AD886" s="9" t="s">
        <v>19</v>
      </c>
    </row>
    <row r="887" spans="1:30" ht="29">
      <c r="A887" s="3" t="s">
        <v>2557</v>
      </c>
      <c r="B887" s="3" t="s">
        <v>7623</v>
      </c>
      <c r="C887" s="3" t="s">
        <v>7680</v>
      </c>
      <c r="G887" s="9" t="s">
        <v>25</v>
      </c>
      <c r="H887" s="9"/>
      <c r="I887" s="9">
        <v>1</v>
      </c>
      <c r="J887" s="9">
        <v>2</v>
      </c>
      <c r="K887" s="9" t="s">
        <v>12087</v>
      </c>
      <c r="L887" s="9" t="s">
        <v>12119</v>
      </c>
      <c r="M887" s="9"/>
      <c r="N887" s="10"/>
      <c r="O887" s="9"/>
      <c r="P887" s="9">
        <v>1966</v>
      </c>
      <c r="Q887" s="9"/>
      <c r="R887" s="9" t="s">
        <v>12795</v>
      </c>
      <c r="S887" s="9" t="s">
        <v>12795</v>
      </c>
      <c r="T887" s="9"/>
      <c r="U887" s="9"/>
      <c r="V887" s="9"/>
      <c r="W887" s="9"/>
      <c r="X887" s="9"/>
      <c r="Y887" s="9"/>
      <c r="Z887" s="9"/>
      <c r="AA887" s="9"/>
      <c r="AB887" s="9"/>
      <c r="AC887" s="9"/>
      <c r="AD887" s="9" t="s">
        <v>20</v>
      </c>
    </row>
    <row r="888" spans="1:30" ht="29">
      <c r="A888" s="3" t="s">
        <v>2558</v>
      </c>
      <c r="B888" s="3" t="s">
        <v>7682</v>
      </c>
      <c r="C888" s="3" t="s">
        <v>7681</v>
      </c>
      <c r="G888" s="9" t="s">
        <v>26</v>
      </c>
      <c r="H888" s="9"/>
      <c r="I888" s="9"/>
      <c r="J888" s="9"/>
      <c r="K888" s="9"/>
      <c r="L888" s="9"/>
      <c r="M888" s="9"/>
      <c r="N888" s="10"/>
      <c r="O888" s="9"/>
      <c r="P888" s="9"/>
      <c r="Q888" s="9"/>
      <c r="R888" s="9" t="s">
        <v>12795</v>
      </c>
      <c r="S888" s="9" t="s">
        <v>12795</v>
      </c>
      <c r="T888" s="9"/>
      <c r="U888" s="9"/>
      <c r="V888" s="9"/>
      <c r="W888" s="9"/>
      <c r="X888" s="9"/>
      <c r="Y888" s="9"/>
      <c r="Z888" s="9"/>
      <c r="AA888" s="9"/>
      <c r="AB888" s="9"/>
      <c r="AC888" s="9"/>
      <c r="AD888" s="9" t="s">
        <v>20</v>
      </c>
    </row>
    <row r="889" spans="1:30" ht="29">
      <c r="A889" s="3" t="s">
        <v>2560</v>
      </c>
      <c r="B889" s="3" t="s">
        <v>7685</v>
      </c>
      <c r="C889" s="3" t="s">
        <v>7688</v>
      </c>
      <c r="G889" s="9" t="s">
        <v>24</v>
      </c>
      <c r="H889" s="9"/>
      <c r="I889" s="9">
        <v>1</v>
      </c>
      <c r="J889" s="9">
        <v>2</v>
      </c>
      <c r="K889" s="9" t="s">
        <v>12096</v>
      </c>
      <c r="L889" s="9" t="s">
        <v>12119</v>
      </c>
      <c r="M889" s="9"/>
      <c r="N889" s="10"/>
      <c r="O889" s="9"/>
      <c r="P889" s="9">
        <v>444</v>
      </c>
      <c r="Q889" s="9"/>
      <c r="R889" s="9" t="s">
        <v>12795</v>
      </c>
      <c r="S889" s="9" t="s">
        <v>12795</v>
      </c>
      <c r="T889" s="9"/>
      <c r="U889" s="9"/>
      <c r="V889" s="9"/>
      <c r="W889" s="9"/>
      <c r="X889" s="9"/>
      <c r="Y889" s="9"/>
      <c r="Z889" s="9"/>
      <c r="AA889" s="9"/>
      <c r="AB889" s="9"/>
      <c r="AC889" s="9"/>
      <c r="AD889" s="9" t="s">
        <v>19</v>
      </c>
    </row>
    <row r="890" spans="1:30">
      <c r="A890" s="3" t="s">
        <v>2561</v>
      </c>
      <c r="B890" s="3" t="s">
        <v>7690</v>
      </c>
      <c r="C890" s="3" t="s">
        <v>7689</v>
      </c>
      <c r="G890" s="9" t="s">
        <v>25</v>
      </c>
      <c r="H890" s="9"/>
      <c r="I890" s="9">
        <v>1</v>
      </c>
      <c r="J890" s="9">
        <v>3</v>
      </c>
      <c r="K890" s="9" t="s">
        <v>12087</v>
      </c>
      <c r="L890" s="9" t="s">
        <v>12079</v>
      </c>
      <c r="M890" s="9"/>
      <c r="N890" s="10"/>
      <c r="O890" s="9"/>
      <c r="P890" s="9">
        <v>5676</v>
      </c>
      <c r="Q890" s="9"/>
      <c r="R890" s="9" t="s">
        <v>12795</v>
      </c>
      <c r="S890" s="9" t="s">
        <v>12795</v>
      </c>
      <c r="T890" s="9"/>
      <c r="U890" s="9"/>
      <c r="V890" s="9"/>
      <c r="W890" s="9"/>
      <c r="X890" s="9"/>
      <c r="Y890" s="9"/>
      <c r="Z890" s="9"/>
      <c r="AA890" s="9"/>
      <c r="AB890" s="9"/>
      <c r="AC890" s="9"/>
      <c r="AD890" s="9" t="s">
        <v>19</v>
      </c>
    </row>
    <row r="891" spans="1:30">
      <c r="A891" s="3" t="s">
        <v>2562</v>
      </c>
      <c r="B891" s="3" t="s">
        <v>7691</v>
      </c>
      <c r="C891" s="3" t="s">
        <v>7692</v>
      </c>
      <c r="G891" s="9" t="s">
        <v>25</v>
      </c>
      <c r="H891" s="9"/>
      <c r="I891" s="9">
        <v>1</v>
      </c>
      <c r="J891" s="9">
        <v>1</v>
      </c>
      <c r="K891" s="9" t="s">
        <v>12078</v>
      </c>
      <c r="L891" s="9" t="s">
        <v>12119</v>
      </c>
      <c r="M891" s="9"/>
      <c r="N891" s="10"/>
      <c r="O891" s="9"/>
      <c r="P891" s="9">
        <v>11843</v>
      </c>
      <c r="Q891" s="9"/>
      <c r="R891" s="9" t="s">
        <v>12795</v>
      </c>
      <c r="S891" s="9" t="s">
        <v>12795</v>
      </c>
      <c r="T891" s="9"/>
      <c r="U891" s="9"/>
      <c r="V891" s="9"/>
      <c r="W891" s="9"/>
      <c r="X891" s="9"/>
      <c r="Y891" s="9"/>
      <c r="Z891" s="9"/>
      <c r="AA891" s="9"/>
      <c r="AB891" s="9"/>
      <c r="AC891" s="9"/>
      <c r="AD891" s="9" t="s">
        <v>19</v>
      </c>
    </row>
    <row r="892" spans="1:30" ht="29">
      <c r="A892" s="3" t="s">
        <v>2562</v>
      </c>
      <c r="B892" s="3" t="s">
        <v>7693</v>
      </c>
      <c r="C892" s="3" t="s">
        <v>7694</v>
      </c>
      <c r="G892" s="9" t="s">
        <v>24</v>
      </c>
      <c r="H892" s="9"/>
      <c r="I892" s="9">
        <v>1</v>
      </c>
      <c r="J892" s="9">
        <v>3</v>
      </c>
      <c r="K892" s="9" t="s">
        <v>12084</v>
      </c>
      <c r="L892" s="9" t="s">
        <v>12079</v>
      </c>
      <c r="M892" s="9"/>
      <c r="N892" s="10"/>
      <c r="O892" s="9"/>
      <c r="P892" s="9">
        <v>50</v>
      </c>
      <c r="Q892" s="9"/>
      <c r="R892" s="9" t="s">
        <v>12795</v>
      </c>
      <c r="S892" s="9" t="s">
        <v>12795</v>
      </c>
      <c r="T892" s="9"/>
      <c r="U892" s="9"/>
      <c r="V892" s="9"/>
      <c r="W892" s="9"/>
      <c r="X892" s="9"/>
      <c r="Y892" s="9"/>
      <c r="Z892" s="9"/>
      <c r="AA892" s="9"/>
      <c r="AB892" s="9"/>
      <c r="AC892" s="9"/>
      <c r="AD892" s="9" t="s">
        <v>20</v>
      </c>
    </row>
    <row r="893" spans="1:30" ht="29">
      <c r="A893" s="3" t="s">
        <v>2565</v>
      </c>
      <c r="B893" s="3" t="s">
        <v>7695</v>
      </c>
      <c r="C893" s="3" t="s">
        <v>7696</v>
      </c>
      <c r="G893" s="9" t="s">
        <v>12120</v>
      </c>
      <c r="H893" s="9"/>
      <c r="I893" s="9"/>
      <c r="J893" s="9"/>
      <c r="K893" s="9"/>
      <c r="L893" s="9"/>
      <c r="M893" s="9"/>
      <c r="N893" s="10"/>
      <c r="O893" s="9"/>
      <c r="P893" s="9"/>
      <c r="Q893" s="9"/>
      <c r="R893" s="9" t="s">
        <v>12795</v>
      </c>
      <c r="S893" s="9" t="s">
        <v>12795</v>
      </c>
      <c r="T893" s="9"/>
      <c r="U893" s="9"/>
      <c r="V893" s="9"/>
      <c r="W893" s="9"/>
      <c r="X893" s="9"/>
      <c r="Y893" s="9"/>
      <c r="Z893" s="9" t="s">
        <v>12130</v>
      </c>
      <c r="AA893" s="9" t="s">
        <v>20</v>
      </c>
      <c r="AB893" s="9"/>
      <c r="AC893" s="9"/>
      <c r="AD893" s="9" t="s">
        <v>19</v>
      </c>
    </row>
    <row r="894" spans="1:30">
      <c r="A894" s="3" t="s">
        <v>2565</v>
      </c>
      <c r="B894" s="3" t="s">
        <v>7699</v>
      </c>
      <c r="C894" s="3" t="s">
        <v>7700</v>
      </c>
      <c r="G894" s="9" t="s">
        <v>25</v>
      </c>
      <c r="H894" s="9"/>
      <c r="I894" s="9">
        <v>1</v>
      </c>
      <c r="J894" s="9">
        <v>3</v>
      </c>
      <c r="K894" s="9" t="s">
        <v>12078</v>
      </c>
      <c r="L894" s="9" t="s">
        <v>12079</v>
      </c>
      <c r="M894" s="9"/>
      <c r="N894" s="10"/>
      <c r="O894" s="9"/>
      <c r="P894" s="9">
        <v>11843</v>
      </c>
      <c r="Q894" s="9"/>
      <c r="R894" s="9" t="s">
        <v>12795</v>
      </c>
      <c r="S894" s="9" t="s">
        <v>12795</v>
      </c>
      <c r="T894" s="9"/>
      <c r="U894" s="9"/>
      <c r="V894" s="9"/>
      <c r="W894" s="9"/>
      <c r="X894" s="9"/>
      <c r="Y894" s="9"/>
      <c r="Z894" s="9"/>
      <c r="AA894" s="9"/>
      <c r="AB894" s="9"/>
      <c r="AC894" s="9"/>
      <c r="AD894" s="9" t="s">
        <v>20</v>
      </c>
    </row>
    <row r="895" spans="1:30">
      <c r="A895" s="3" t="s">
        <v>2569</v>
      </c>
      <c r="B895" s="3" t="s">
        <v>7702</v>
      </c>
      <c r="C895" s="3" t="s">
        <v>7703</v>
      </c>
      <c r="G895" s="9" t="s">
        <v>12118</v>
      </c>
      <c r="H895" s="9"/>
      <c r="I895" s="9"/>
      <c r="J895" s="9"/>
      <c r="K895" s="9"/>
      <c r="L895" s="9"/>
      <c r="M895" s="9"/>
      <c r="N895" s="10"/>
      <c r="O895" s="9"/>
      <c r="P895" s="9"/>
      <c r="Q895" s="9">
        <v>41</v>
      </c>
      <c r="R895" s="9">
        <v>444</v>
      </c>
      <c r="S895" s="9">
        <v>485</v>
      </c>
      <c r="T895" s="9"/>
      <c r="U895" s="9"/>
      <c r="V895" s="9"/>
      <c r="W895" s="9"/>
      <c r="X895" s="9"/>
      <c r="Y895" s="9"/>
      <c r="Z895" s="9"/>
      <c r="AA895" s="9"/>
      <c r="AB895" s="9"/>
      <c r="AC895" s="9"/>
      <c r="AD895" s="9" t="s">
        <v>13141</v>
      </c>
    </row>
    <row r="896" spans="1:30">
      <c r="A896" s="3" t="s">
        <v>2570</v>
      </c>
      <c r="B896" s="3" t="s">
        <v>7705</v>
      </c>
      <c r="C896" s="3" t="s">
        <v>7704</v>
      </c>
      <c r="G896" s="9" t="s">
        <v>24</v>
      </c>
      <c r="H896" s="9"/>
      <c r="I896" s="9">
        <v>1</v>
      </c>
      <c r="J896" s="9">
        <v>2</v>
      </c>
      <c r="K896" s="9" t="s">
        <v>12087</v>
      </c>
      <c r="L896" s="9" t="s">
        <v>12119</v>
      </c>
      <c r="M896" s="9"/>
      <c r="N896" s="10"/>
      <c r="O896" s="9"/>
      <c r="P896" s="9">
        <v>1966</v>
      </c>
      <c r="Q896" s="9"/>
      <c r="R896" s="9" t="s">
        <v>12795</v>
      </c>
      <c r="S896" s="9" t="s">
        <v>12795</v>
      </c>
      <c r="T896" s="9"/>
      <c r="U896" s="9"/>
      <c r="V896" s="9"/>
      <c r="W896" s="9"/>
      <c r="X896" s="9"/>
      <c r="Y896" s="9"/>
      <c r="Z896" s="9"/>
      <c r="AA896" s="9"/>
      <c r="AB896" s="9"/>
      <c r="AC896" s="9"/>
      <c r="AD896" s="9" t="s">
        <v>20</v>
      </c>
    </row>
    <row r="897" spans="1:30">
      <c r="A897" s="3" t="s">
        <v>2570</v>
      </c>
      <c r="B897" s="3" t="s">
        <v>7706</v>
      </c>
      <c r="C897" s="3" t="s">
        <v>7707</v>
      </c>
      <c r="G897" s="9" t="s">
        <v>12120</v>
      </c>
      <c r="H897" s="9"/>
      <c r="I897" s="9"/>
      <c r="J897" s="9"/>
      <c r="K897" s="9"/>
      <c r="L897" s="9"/>
      <c r="M897" s="9"/>
      <c r="N897" s="10"/>
      <c r="O897" s="9"/>
      <c r="P897" s="9"/>
      <c r="Q897" s="9"/>
      <c r="R897" s="9" t="s">
        <v>12795</v>
      </c>
      <c r="S897" s="9" t="s">
        <v>12795</v>
      </c>
      <c r="T897" s="9"/>
      <c r="U897" s="9"/>
      <c r="V897" s="9"/>
      <c r="W897" s="9"/>
      <c r="X897" s="9"/>
      <c r="Y897" s="9"/>
      <c r="Z897" s="9"/>
      <c r="AA897" s="9"/>
      <c r="AB897" s="9"/>
      <c r="AC897" s="9"/>
      <c r="AD897" s="9" t="s">
        <v>19</v>
      </c>
    </row>
    <row r="898" spans="1:30" ht="29">
      <c r="A898" s="3" t="s">
        <v>2576</v>
      </c>
      <c r="B898" s="3" t="s">
        <v>7709</v>
      </c>
      <c r="C898" s="3" t="s">
        <v>7708</v>
      </c>
      <c r="G898" s="9" t="s">
        <v>12118</v>
      </c>
      <c r="H898" s="9"/>
      <c r="I898" s="9"/>
      <c r="J898" s="9"/>
      <c r="K898" s="9"/>
      <c r="L898" s="9"/>
      <c r="M898" s="9"/>
      <c r="N898" s="10"/>
      <c r="O898" s="9" t="s">
        <v>12074</v>
      </c>
      <c r="P898" s="9"/>
      <c r="Q898" s="9">
        <v>34</v>
      </c>
      <c r="R898" s="9">
        <v>193</v>
      </c>
      <c r="S898" s="9">
        <v>227</v>
      </c>
      <c r="T898" s="9"/>
      <c r="U898" s="9"/>
      <c r="V898" s="9"/>
      <c r="W898" s="9"/>
      <c r="X898" s="9"/>
      <c r="Y898" s="9"/>
      <c r="Z898" s="9"/>
      <c r="AA898" s="9"/>
      <c r="AB898" s="9"/>
      <c r="AC898" s="9"/>
      <c r="AD898" s="9" t="s">
        <v>19</v>
      </c>
    </row>
    <row r="899" spans="1:30" ht="29">
      <c r="A899" s="3" t="s">
        <v>2584</v>
      </c>
      <c r="B899" s="3" t="s">
        <v>7712</v>
      </c>
      <c r="C899" s="3" t="s">
        <v>7713</v>
      </c>
      <c r="G899" s="9" t="s">
        <v>25</v>
      </c>
      <c r="H899" s="9"/>
      <c r="I899" s="9">
        <v>1</v>
      </c>
      <c r="J899" s="9">
        <v>3</v>
      </c>
      <c r="K899" s="9" t="s">
        <v>12078</v>
      </c>
      <c r="L899" s="9" t="s">
        <v>12119</v>
      </c>
      <c r="M899" s="9"/>
      <c r="N899" s="10"/>
      <c r="O899" s="9"/>
      <c r="P899" s="9">
        <v>11843</v>
      </c>
      <c r="Q899" s="9"/>
      <c r="R899" s="9" t="s">
        <v>12795</v>
      </c>
      <c r="S899" s="9" t="s">
        <v>12795</v>
      </c>
      <c r="T899" s="9"/>
      <c r="U899" s="9"/>
      <c r="V899" s="9"/>
      <c r="W899" s="9"/>
      <c r="X899" s="9"/>
      <c r="Y899" s="9"/>
      <c r="Z899" s="9"/>
      <c r="AA899" s="9"/>
      <c r="AB899" s="9"/>
      <c r="AC899" s="9"/>
      <c r="AD899" s="9" t="s">
        <v>20</v>
      </c>
    </row>
    <row r="900" spans="1:30" ht="29">
      <c r="A900" s="3" t="s">
        <v>2589</v>
      </c>
      <c r="B900" s="3" t="s">
        <v>7722</v>
      </c>
      <c r="C900" s="3" t="s">
        <v>7723</v>
      </c>
      <c r="G900" s="9" t="s">
        <v>12118</v>
      </c>
      <c r="H900" s="9"/>
      <c r="I900" s="9"/>
      <c r="J900" s="9"/>
      <c r="K900" s="9"/>
      <c r="L900" s="9"/>
      <c r="M900" s="9"/>
      <c r="N900" s="10"/>
      <c r="O900" s="9"/>
      <c r="P900" s="9"/>
      <c r="Q900" s="9">
        <v>-89</v>
      </c>
      <c r="R900" s="9">
        <v>92</v>
      </c>
      <c r="S900" s="9">
        <v>3</v>
      </c>
      <c r="T900" s="9"/>
      <c r="U900" s="9"/>
      <c r="V900" s="9"/>
      <c r="W900" s="9"/>
      <c r="X900" s="9"/>
      <c r="Y900" s="9"/>
      <c r="Z900" s="9"/>
      <c r="AA900" s="9"/>
      <c r="AB900" s="9"/>
      <c r="AC900" s="9"/>
      <c r="AD900" s="9" t="s">
        <v>20</v>
      </c>
    </row>
    <row r="901" spans="1:30" ht="43.5">
      <c r="A901" s="3" t="s">
        <v>2595</v>
      </c>
      <c r="B901" s="3" t="s">
        <v>12400</v>
      </c>
      <c r="C901" s="3" t="s">
        <v>12401</v>
      </c>
      <c r="E901" t="s">
        <v>20</v>
      </c>
      <c r="G901" s="9" t="s">
        <v>12120</v>
      </c>
      <c r="H901" s="9"/>
      <c r="I901" s="9"/>
      <c r="J901" s="9"/>
      <c r="K901" s="9"/>
      <c r="L901" s="9"/>
      <c r="M901" s="9"/>
      <c r="N901" s="10"/>
      <c r="O901" s="9"/>
      <c r="P901" s="9"/>
      <c r="Q901" s="9"/>
      <c r="R901" s="9" t="s">
        <v>12795</v>
      </c>
      <c r="S901" s="9" t="s">
        <v>12795</v>
      </c>
      <c r="T901" s="9"/>
      <c r="U901" s="9"/>
      <c r="V901" s="9"/>
      <c r="W901" s="9"/>
      <c r="X901" s="9"/>
      <c r="Y901" s="9"/>
      <c r="Z901" s="9"/>
      <c r="AA901" s="9"/>
      <c r="AB901" s="9"/>
      <c r="AC901" s="9"/>
      <c r="AD901" s="9" t="s">
        <v>20</v>
      </c>
    </row>
    <row r="902" spans="1:30" ht="43.5">
      <c r="A902" s="3" t="s">
        <v>2602</v>
      </c>
      <c r="B902" s="3" t="s">
        <v>7736</v>
      </c>
      <c r="C902" s="3" t="s">
        <v>7737</v>
      </c>
      <c r="G902" s="9" t="s">
        <v>12118</v>
      </c>
      <c r="H902" s="9"/>
      <c r="I902" s="9"/>
      <c r="J902" s="9"/>
      <c r="K902" s="9"/>
      <c r="L902" s="9"/>
      <c r="M902" s="9"/>
      <c r="N902" s="10"/>
      <c r="O902" s="9"/>
      <c r="P902" s="9"/>
      <c r="Q902" s="9">
        <v>5150</v>
      </c>
      <c r="R902" s="9">
        <v>526</v>
      </c>
      <c r="S902" s="9">
        <v>5676</v>
      </c>
      <c r="T902" s="9"/>
      <c r="U902" s="9"/>
      <c r="V902" s="9"/>
      <c r="W902" s="9"/>
      <c r="X902" s="9"/>
      <c r="Y902" s="9"/>
      <c r="Z902" s="9"/>
      <c r="AA902" s="9"/>
      <c r="AB902" s="9"/>
      <c r="AC902" s="9"/>
      <c r="AD902" s="9" t="s">
        <v>19</v>
      </c>
    </row>
    <row r="903" spans="1:30" ht="43.5">
      <c r="A903" s="3" t="s">
        <v>2602</v>
      </c>
      <c r="B903" s="3" t="s">
        <v>7738</v>
      </c>
      <c r="C903" s="3" t="s">
        <v>7739</v>
      </c>
      <c r="G903" s="9" t="s">
        <v>12120</v>
      </c>
      <c r="H903" s="9"/>
      <c r="I903" s="9"/>
      <c r="J903" s="9"/>
      <c r="K903" s="9"/>
      <c r="L903" s="9"/>
      <c r="M903" s="9"/>
      <c r="N903" s="10"/>
      <c r="O903" s="9"/>
      <c r="P903" s="9"/>
      <c r="Q903" s="9"/>
      <c r="R903" s="9" t="s">
        <v>12795</v>
      </c>
      <c r="S903" s="9" t="s">
        <v>12795</v>
      </c>
      <c r="T903" s="9"/>
      <c r="U903" s="9"/>
      <c r="V903" s="9"/>
      <c r="W903" s="9"/>
      <c r="X903" s="9"/>
      <c r="Y903" s="9"/>
      <c r="Z903" s="9"/>
      <c r="AA903" s="9"/>
      <c r="AB903" s="9"/>
      <c r="AC903" s="9"/>
      <c r="AD903" s="9" t="s">
        <v>20</v>
      </c>
    </row>
    <row r="904" spans="1:30" ht="29">
      <c r="A904" s="3" t="s">
        <v>2606</v>
      </c>
      <c r="B904" s="3" t="s">
        <v>7740</v>
      </c>
      <c r="C904" s="3" t="s">
        <v>7741</v>
      </c>
      <c r="G904" s="9" t="s">
        <v>25</v>
      </c>
      <c r="H904" s="9"/>
      <c r="I904" s="9">
        <v>1</v>
      </c>
      <c r="J904" s="9">
        <v>3</v>
      </c>
      <c r="K904" s="9" t="s">
        <v>12078</v>
      </c>
      <c r="L904" s="9" t="s">
        <v>12073</v>
      </c>
      <c r="M904" s="9" t="s">
        <v>12149</v>
      </c>
      <c r="N904" s="10" t="s">
        <v>12143</v>
      </c>
      <c r="O904" s="9"/>
      <c r="P904" s="9">
        <v>11843</v>
      </c>
      <c r="Q904" s="9"/>
      <c r="R904" s="9" t="s">
        <v>12795</v>
      </c>
      <c r="S904" s="9" t="s">
        <v>12795</v>
      </c>
      <c r="T904" s="9"/>
      <c r="U904" s="9"/>
      <c r="V904" s="9"/>
      <c r="W904" s="9"/>
      <c r="X904" s="9"/>
      <c r="Y904" s="9"/>
      <c r="Z904" s="9"/>
      <c r="AA904" s="9"/>
      <c r="AB904" s="9"/>
      <c r="AC904" s="9"/>
      <c r="AD904" s="9" t="s">
        <v>20</v>
      </c>
    </row>
    <row r="905" spans="1:30" ht="29">
      <c r="A905" s="3" t="s">
        <v>2607</v>
      </c>
      <c r="B905" s="3" t="s">
        <v>7746</v>
      </c>
      <c r="C905" s="3" t="s">
        <v>7745</v>
      </c>
      <c r="G905" s="9" t="s">
        <v>25</v>
      </c>
      <c r="H905" s="9"/>
      <c r="I905" s="9">
        <v>1</v>
      </c>
      <c r="J905" s="9">
        <v>3</v>
      </c>
      <c r="K905" s="9" t="s">
        <v>12087</v>
      </c>
      <c r="L905" s="9" t="s">
        <v>12079</v>
      </c>
      <c r="M905" s="9"/>
      <c r="N905" s="10"/>
      <c r="O905" s="9"/>
      <c r="P905" s="9">
        <v>5676</v>
      </c>
      <c r="Q905" s="9"/>
      <c r="R905" s="9" t="s">
        <v>12795</v>
      </c>
      <c r="S905" s="9" t="s">
        <v>12795</v>
      </c>
      <c r="T905" s="9"/>
      <c r="U905" s="9"/>
      <c r="V905" s="9"/>
      <c r="W905" s="9"/>
      <c r="X905" s="9"/>
      <c r="Y905" s="9"/>
      <c r="Z905" s="9"/>
      <c r="AA905" s="9"/>
      <c r="AB905" s="9"/>
      <c r="AC905" s="9"/>
      <c r="AD905" s="9" t="s">
        <v>19</v>
      </c>
    </row>
    <row r="906" spans="1:30" ht="29">
      <c r="A906" s="3" t="s">
        <v>2607</v>
      </c>
      <c r="B906" s="3" t="s">
        <v>2608</v>
      </c>
      <c r="C906" s="3" t="s">
        <v>2609</v>
      </c>
      <c r="G906" s="9" t="s">
        <v>12118</v>
      </c>
      <c r="H906" s="9"/>
      <c r="I906" s="9"/>
      <c r="J906" s="9"/>
      <c r="K906" s="9"/>
      <c r="L906" s="9"/>
      <c r="M906" s="9"/>
      <c r="N906" s="10"/>
      <c r="O906" s="9"/>
      <c r="P906" s="9"/>
      <c r="Q906" s="9">
        <v>147</v>
      </c>
      <c r="R906" s="9">
        <v>18</v>
      </c>
      <c r="S906" s="9">
        <v>165</v>
      </c>
      <c r="T906" s="9"/>
      <c r="U906" s="9"/>
      <c r="V906" s="9"/>
      <c r="W906" s="9"/>
      <c r="X906" s="9"/>
      <c r="Y906" s="9"/>
      <c r="Z906" s="9"/>
      <c r="AA906" s="9"/>
      <c r="AB906" s="9"/>
      <c r="AC906" s="9"/>
      <c r="AD906" s="9" t="s">
        <v>19</v>
      </c>
    </row>
    <row r="907" spans="1:30">
      <c r="A907" s="3" t="s">
        <v>2617</v>
      </c>
      <c r="B907" s="3" t="s">
        <v>7755</v>
      </c>
      <c r="C907" s="3" t="s">
        <v>7756</v>
      </c>
      <c r="G907" s="9" t="s">
        <v>12118</v>
      </c>
      <c r="H907" s="9"/>
      <c r="I907" s="9"/>
      <c r="J907" s="9"/>
      <c r="K907" s="9"/>
      <c r="L907" s="9"/>
      <c r="M907" s="9"/>
      <c r="N907" s="10"/>
      <c r="O907" s="9"/>
      <c r="P907" s="9"/>
      <c r="Q907" s="9">
        <v>498</v>
      </c>
      <c r="R907" s="9">
        <v>28</v>
      </c>
      <c r="S907" s="9">
        <v>526</v>
      </c>
      <c r="T907" s="9"/>
      <c r="U907" s="9"/>
      <c r="V907" s="9"/>
      <c r="W907" s="9"/>
      <c r="X907" s="9"/>
      <c r="Y907" s="9"/>
      <c r="Z907" s="9"/>
      <c r="AA907" s="9"/>
      <c r="AB907" s="9"/>
      <c r="AC907" s="9"/>
      <c r="AD907" s="9" t="s">
        <v>19</v>
      </c>
    </row>
    <row r="908" spans="1:30" ht="43.5">
      <c r="A908" s="3" t="s">
        <v>2618</v>
      </c>
      <c r="B908" s="3" t="s">
        <v>7757</v>
      </c>
      <c r="C908" s="3" t="s">
        <v>7758</v>
      </c>
      <c r="G908" s="9" t="s">
        <v>24</v>
      </c>
      <c r="H908" s="9"/>
      <c r="I908" s="9">
        <v>1</v>
      </c>
      <c r="J908" s="9">
        <v>8</v>
      </c>
      <c r="K908" s="9" t="s">
        <v>12125</v>
      </c>
      <c r="L908" s="9" t="s">
        <v>12073</v>
      </c>
      <c r="M908" s="9" t="s">
        <v>12142</v>
      </c>
      <c r="N908" s="10" t="s">
        <v>12199</v>
      </c>
      <c r="O908" s="9" t="s">
        <v>12074</v>
      </c>
      <c r="P908" s="9">
        <v>72</v>
      </c>
      <c r="Q908" s="9"/>
      <c r="R908" s="9" t="s">
        <v>12795</v>
      </c>
      <c r="S908" s="9" t="s">
        <v>12795</v>
      </c>
      <c r="T908" s="9"/>
      <c r="U908" s="9"/>
      <c r="V908" s="9"/>
      <c r="W908" s="9"/>
      <c r="X908" s="9"/>
      <c r="Y908" s="9"/>
      <c r="Z908" s="9"/>
      <c r="AA908" s="9"/>
      <c r="AB908" s="9"/>
      <c r="AC908" s="9"/>
      <c r="AD908" s="9" t="s">
        <v>19</v>
      </c>
    </row>
    <row r="909" spans="1:30" ht="29">
      <c r="A909" s="3" t="s">
        <v>2619</v>
      </c>
      <c r="B909" s="3" t="s">
        <v>7760</v>
      </c>
      <c r="C909" s="3" t="s">
        <v>7761</v>
      </c>
      <c r="G909" s="9" t="s">
        <v>25</v>
      </c>
      <c r="H909" s="9"/>
      <c r="I909" s="9">
        <v>1</v>
      </c>
      <c r="J909" s="9">
        <v>5</v>
      </c>
      <c r="K909" s="9" t="s">
        <v>12094</v>
      </c>
      <c r="L909" s="9" t="s">
        <v>12079</v>
      </c>
      <c r="M909" s="9"/>
      <c r="N909" s="10"/>
      <c r="O909" s="9"/>
      <c r="P909" s="9">
        <v>1741</v>
      </c>
      <c r="Q909" s="9"/>
      <c r="R909" s="9" t="s">
        <v>12795</v>
      </c>
      <c r="S909" s="9" t="s">
        <v>12795</v>
      </c>
      <c r="T909" s="9"/>
      <c r="U909" s="9"/>
      <c r="V909" s="9"/>
      <c r="W909" s="9"/>
      <c r="X909" s="9"/>
      <c r="Y909" s="9"/>
      <c r="Z909" s="9"/>
      <c r="AA909" s="9"/>
      <c r="AB909" s="9"/>
      <c r="AC909" s="9"/>
      <c r="AD909" s="9" t="s">
        <v>19</v>
      </c>
    </row>
    <row r="910" spans="1:30">
      <c r="A910" s="3" t="s">
        <v>2620</v>
      </c>
      <c r="B910" s="3" t="s">
        <v>7762</v>
      </c>
      <c r="C910" s="3" t="s">
        <v>7763</v>
      </c>
      <c r="G910" s="9" t="s">
        <v>25</v>
      </c>
      <c r="H910" s="9"/>
      <c r="I910" s="9">
        <v>1</v>
      </c>
      <c r="J910" s="9">
        <v>3</v>
      </c>
      <c r="K910" s="9" t="s">
        <v>12087</v>
      </c>
      <c r="L910" s="9" t="s">
        <v>12079</v>
      </c>
      <c r="M910" s="9"/>
      <c r="N910" s="10"/>
      <c r="O910" s="9"/>
      <c r="P910" s="9">
        <v>810</v>
      </c>
      <c r="Q910" s="9"/>
      <c r="R910" s="9" t="s">
        <v>12795</v>
      </c>
      <c r="S910" s="9" t="s">
        <v>12795</v>
      </c>
      <c r="T910" s="9"/>
      <c r="U910" s="9"/>
      <c r="V910" s="9"/>
      <c r="W910" s="9"/>
      <c r="X910" s="9"/>
      <c r="Y910" s="9"/>
      <c r="Z910" s="9"/>
      <c r="AA910" s="9"/>
      <c r="AB910" s="9"/>
      <c r="AC910" s="9"/>
      <c r="AD910" s="9" t="s">
        <v>19</v>
      </c>
    </row>
    <row r="911" spans="1:30" ht="29">
      <c r="A911" s="3" t="s">
        <v>2621</v>
      </c>
      <c r="B911" s="3" t="s">
        <v>7765</v>
      </c>
      <c r="C911" s="3" t="s">
        <v>7764</v>
      </c>
      <c r="G911" s="9" t="s">
        <v>25</v>
      </c>
      <c r="H911" s="9"/>
      <c r="I911" s="9">
        <v>1</v>
      </c>
      <c r="J911" s="9">
        <v>2</v>
      </c>
      <c r="K911" s="9" t="s">
        <v>12078</v>
      </c>
      <c r="L911" s="9" t="s">
        <v>12119</v>
      </c>
      <c r="M911" s="9"/>
      <c r="N911" s="10"/>
      <c r="O911" s="9"/>
      <c r="P911" s="9">
        <v>11843</v>
      </c>
      <c r="Q911" s="9"/>
      <c r="R911" s="9" t="s">
        <v>12795</v>
      </c>
      <c r="S911" s="9" t="s">
        <v>12795</v>
      </c>
      <c r="T911" s="9"/>
      <c r="U911" s="9"/>
      <c r="V911" s="9"/>
      <c r="W911" s="9"/>
      <c r="X911" s="9"/>
      <c r="Y911" s="9"/>
      <c r="Z911" s="9"/>
      <c r="AA911" s="9"/>
      <c r="AB911" s="9"/>
      <c r="AC911" s="9"/>
      <c r="AD911" s="9" t="s">
        <v>20</v>
      </c>
    </row>
    <row r="912" spans="1:30" ht="29">
      <c r="A912" s="3" t="s">
        <v>2625</v>
      </c>
      <c r="B912" s="3" t="s">
        <v>7766</v>
      </c>
      <c r="C912" s="3" t="s">
        <v>7767</v>
      </c>
      <c r="G912" s="9" t="s">
        <v>12120</v>
      </c>
      <c r="H912" s="9"/>
      <c r="I912" s="9"/>
      <c r="J912" s="9"/>
      <c r="K912" s="9"/>
      <c r="L912" s="9"/>
      <c r="M912" s="9"/>
      <c r="N912" s="10"/>
      <c r="O912" s="9"/>
      <c r="P912" s="9"/>
      <c r="Q912" s="9"/>
      <c r="R912" s="9" t="s">
        <v>12795</v>
      </c>
      <c r="S912" s="9" t="s">
        <v>12795</v>
      </c>
      <c r="T912" s="9"/>
      <c r="U912" s="9"/>
      <c r="V912" s="9"/>
      <c r="W912" s="9"/>
      <c r="X912" s="9"/>
      <c r="Y912" s="9"/>
      <c r="Z912" s="9"/>
      <c r="AA912" s="9"/>
      <c r="AB912" s="9"/>
      <c r="AC912" s="9"/>
      <c r="AD912" s="9" t="s">
        <v>20</v>
      </c>
    </row>
    <row r="913" spans="1:30" ht="29">
      <c r="A913" s="3" t="s">
        <v>2626</v>
      </c>
      <c r="B913" s="3" t="s">
        <v>7769</v>
      </c>
      <c r="C913" s="3" t="s">
        <v>7768</v>
      </c>
      <c r="G913" s="9" t="s">
        <v>26</v>
      </c>
      <c r="H913" s="9"/>
      <c r="I913" s="9"/>
      <c r="J913" s="9"/>
      <c r="K913" s="9"/>
      <c r="L913" s="9"/>
      <c r="M913" s="9"/>
      <c r="N913" s="10"/>
      <c r="O913" s="9"/>
      <c r="P913" s="9"/>
      <c r="Q913" s="9"/>
      <c r="R913" s="9" t="s">
        <v>12795</v>
      </c>
      <c r="S913" s="9" t="s">
        <v>12795</v>
      </c>
      <c r="T913" s="9"/>
      <c r="U913" s="9"/>
      <c r="V913" s="9"/>
      <c r="W913" s="9"/>
      <c r="X913" s="9"/>
      <c r="Y913" s="9"/>
      <c r="Z913" s="9"/>
      <c r="AA913" s="9"/>
      <c r="AB913" s="9"/>
      <c r="AC913" s="9"/>
      <c r="AD913" s="9" t="s">
        <v>20</v>
      </c>
    </row>
    <row r="914" spans="1:30" ht="29">
      <c r="A914" s="3" t="s">
        <v>2627</v>
      </c>
      <c r="B914" s="3" t="s">
        <v>7771</v>
      </c>
      <c r="C914" s="3" t="s">
        <v>7770</v>
      </c>
      <c r="G914" s="9" t="s">
        <v>25</v>
      </c>
      <c r="H914" s="9"/>
      <c r="I914" s="9">
        <v>1</v>
      </c>
      <c r="J914" s="9">
        <v>4</v>
      </c>
      <c r="K914" s="9" t="s">
        <v>12125</v>
      </c>
      <c r="L914" s="9" t="s">
        <v>12079</v>
      </c>
      <c r="M914" s="9"/>
      <c r="N914" s="10"/>
      <c r="O914" s="9"/>
      <c r="P914" s="9">
        <v>2042</v>
      </c>
      <c r="Q914" s="9"/>
      <c r="R914" s="9" t="s">
        <v>12795</v>
      </c>
      <c r="S914" s="9" t="s">
        <v>12795</v>
      </c>
      <c r="T914" s="9"/>
      <c r="U914" s="9"/>
      <c r="V914" s="9"/>
      <c r="W914" s="9"/>
      <c r="X914" s="9"/>
      <c r="Y914" s="9"/>
      <c r="Z914" s="9"/>
      <c r="AA914" s="9"/>
      <c r="AB914" s="9"/>
      <c r="AC914" s="9"/>
      <c r="AD914" s="9" t="s">
        <v>20</v>
      </c>
    </row>
    <row r="915" spans="1:30" ht="29">
      <c r="A915" s="3" t="s">
        <v>2629</v>
      </c>
      <c r="B915" s="3" t="s">
        <v>7773</v>
      </c>
      <c r="C915" s="3" t="s">
        <v>7772</v>
      </c>
      <c r="G915" s="9" t="s">
        <v>25</v>
      </c>
      <c r="H915" s="9"/>
      <c r="I915" s="9">
        <v>1</v>
      </c>
      <c r="J915" s="9">
        <v>3</v>
      </c>
      <c r="K915" s="9" t="s">
        <v>12078</v>
      </c>
      <c r="L915" s="9" t="s">
        <v>12079</v>
      </c>
      <c r="M915" s="9"/>
      <c r="N915" s="10"/>
      <c r="O915" s="9"/>
      <c r="P915" s="9">
        <v>11843</v>
      </c>
      <c r="Q915" s="9"/>
      <c r="R915" s="9" t="s">
        <v>12795</v>
      </c>
      <c r="S915" s="9" t="s">
        <v>12795</v>
      </c>
      <c r="T915" s="9"/>
      <c r="U915" s="9"/>
      <c r="V915" s="9"/>
      <c r="W915" s="9"/>
      <c r="X915" s="9"/>
      <c r="Y915" s="9"/>
      <c r="Z915" s="9"/>
      <c r="AA915" s="9"/>
      <c r="AB915" s="9"/>
      <c r="AC915" s="9"/>
      <c r="AD915" s="9" t="s">
        <v>20</v>
      </c>
    </row>
    <row r="916" spans="1:30" ht="29">
      <c r="A916" s="3" t="s">
        <v>2629</v>
      </c>
      <c r="B916" s="3" t="s">
        <v>7774</v>
      </c>
      <c r="C916" s="3" t="s">
        <v>7775</v>
      </c>
      <c r="G916" s="9" t="s">
        <v>25</v>
      </c>
      <c r="H916" s="9"/>
      <c r="I916" s="9">
        <v>1</v>
      </c>
      <c r="J916" s="9">
        <v>4</v>
      </c>
      <c r="K916" s="9" t="s">
        <v>12087</v>
      </c>
      <c r="L916" s="9" t="s">
        <v>12079</v>
      </c>
      <c r="M916" s="9"/>
      <c r="N916" s="10"/>
      <c r="O916" s="9"/>
      <c r="P916" s="9">
        <v>37</v>
      </c>
      <c r="Q916" s="9"/>
      <c r="R916" s="9" t="s">
        <v>12795</v>
      </c>
      <c r="S916" s="9" t="s">
        <v>12795</v>
      </c>
      <c r="T916" s="9"/>
      <c r="U916" s="9"/>
      <c r="V916" s="9"/>
      <c r="W916" s="9"/>
      <c r="X916" s="9"/>
      <c r="Y916" s="9"/>
      <c r="Z916" s="9"/>
      <c r="AA916" s="9"/>
      <c r="AB916" s="9"/>
      <c r="AC916" s="9"/>
      <c r="AD916" s="9" t="s">
        <v>19</v>
      </c>
    </row>
    <row r="917" spans="1:30" ht="29">
      <c r="A917" s="3" t="s">
        <v>2633</v>
      </c>
      <c r="B917" s="3" t="s">
        <v>7776</v>
      </c>
      <c r="C917" s="3" t="s">
        <v>7777</v>
      </c>
      <c r="G917" s="9" t="s">
        <v>25</v>
      </c>
      <c r="H917" s="9"/>
      <c r="I917" s="9">
        <v>1</v>
      </c>
      <c r="J917" s="9">
        <v>2</v>
      </c>
      <c r="K917" s="9" t="s">
        <v>12094</v>
      </c>
      <c r="L917" s="9" t="s">
        <v>12119</v>
      </c>
      <c r="M917" s="9"/>
      <c r="N917" s="10"/>
      <c r="O917" s="9"/>
      <c r="P917" s="9">
        <v>412</v>
      </c>
      <c r="Q917" s="9"/>
      <c r="R917" s="9" t="s">
        <v>12795</v>
      </c>
      <c r="S917" s="9" t="s">
        <v>12795</v>
      </c>
      <c r="T917" s="9"/>
      <c r="U917" s="9"/>
      <c r="V917" s="9"/>
      <c r="W917" s="9"/>
      <c r="X917" s="9"/>
      <c r="Y917" s="9"/>
      <c r="Z917" s="9"/>
      <c r="AA917" s="9"/>
      <c r="AB917" s="9"/>
      <c r="AC917" s="9"/>
      <c r="AD917" s="9" t="s">
        <v>19</v>
      </c>
    </row>
    <row r="918" spans="1:30" ht="29">
      <c r="A918" s="3" t="s">
        <v>2648</v>
      </c>
      <c r="B918" s="3" t="s">
        <v>7786</v>
      </c>
      <c r="C918" s="3" t="s">
        <v>7785</v>
      </c>
      <c r="G918" s="9" t="s">
        <v>12118</v>
      </c>
      <c r="H918" s="9"/>
      <c r="I918" s="9"/>
      <c r="J918" s="9"/>
      <c r="K918" s="9"/>
      <c r="L918" s="9"/>
      <c r="M918" s="9"/>
      <c r="N918" s="10"/>
      <c r="O918" s="9"/>
      <c r="P918" s="9"/>
      <c r="Q918" s="9">
        <v>122</v>
      </c>
      <c r="R918" s="9">
        <v>20</v>
      </c>
      <c r="S918" s="9">
        <v>142</v>
      </c>
      <c r="T918" s="9"/>
      <c r="U918" s="9"/>
      <c r="V918" s="9"/>
      <c r="W918" s="9"/>
      <c r="X918" s="9"/>
      <c r="Y918" s="9"/>
      <c r="Z918" s="9"/>
      <c r="AA918" s="9"/>
      <c r="AB918" s="9"/>
      <c r="AC918" s="9"/>
      <c r="AD918" s="9" t="s">
        <v>20</v>
      </c>
    </row>
    <row r="919" spans="1:30" ht="29">
      <c r="A919" s="3" t="s">
        <v>2649</v>
      </c>
      <c r="B919" s="3" t="s">
        <v>7788</v>
      </c>
      <c r="C919" s="3" t="s">
        <v>7787</v>
      </c>
      <c r="G919" s="9" t="s">
        <v>25</v>
      </c>
      <c r="H919" s="9"/>
      <c r="I919" s="9">
        <v>1</v>
      </c>
      <c r="J919" s="9">
        <v>2</v>
      </c>
      <c r="K919" s="9" t="s">
        <v>12078</v>
      </c>
      <c r="L919" s="9" t="s">
        <v>12119</v>
      </c>
      <c r="M919" s="9"/>
      <c r="N919" s="10"/>
      <c r="O919" s="9"/>
      <c r="P919" s="9">
        <v>11843</v>
      </c>
      <c r="Q919" s="9"/>
      <c r="R919" s="9" t="s">
        <v>12795</v>
      </c>
      <c r="S919" s="9" t="s">
        <v>12795</v>
      </c>
      <c r="T919" s="9"/>
      <c r="U919" s="9"/>
      <c r="V919" s="9"/>
      <c r="W919" s="9"/>
      <c r="X919" s="9"/>
      <c r="Y919" s="9"/>
      <c r="Z919" s="9"/>
      <c r="AA919" s="9"/>
      <c r="AB919" s="9"/>
      <c r="AC919" s="9"/>
      <c r="AD919" s="9" t="s">
        <v>20</v>
      </c>
    </row>
    <row r="920" spans="1:30" ht="29">
      <c r="A920" s="3" t="s">
        <v>2651</v>
      </c>
      <c r="B920" s="3" t="s">
        <v>7792</v>
      </c>
      <c r="C920" s="3" t="s">
        <v>7791</v>
      </c>
      <c r="G920" s="9" t="s">
        <v>12118</v>
      </c>
      <c r="H920" s="9"/>
      <c r="I920" s="9"/>
      <c r="J920" s="9"/>
      <c r="K920" s="9"/>
      <c r="L920" s="9"/>
      <c r="M920" s="9"/>
      <c r="N920" s="10"/>
      <c r="O920" s="9"/>
      <c r="P920" s="9"/>
      <c r="Q920" s="9">
        <v>11063</v>
      </c>
      <c r="R920" s="9">
        <v>780</v>
      </c>
      <c r="S920" s="9">
        <v>11843</v>
      </c>
      <c r="T920" s="9"/>
      <c r="U920" s="9"/>
      <c r="V920" s="9"/>
      <c r="W920" s="9"/>
      <c r="X920" s="9"/>
      <c r="Y920" s="9"/>
      <c r="Z920" s="9"/>
      <c r="AA920" s="9"/>
      <c r="AB920" s="9"/>
      <c r="AC920" s="9"/>
      <c r="AD920" s="9" t="s">
        <v>20</v>
      </c>
    </row>
    <row r="921" spans="1:30" ht="29">
      <c r="A921" s="3" t="s">
        <v>2652</v>
      </c>
      <c r="B921" s="3" t="s">
        <v>7793</v>
      </c>
      <c r="C921" s="3" t="s">
        <v>7794</v>
      </c>
      <c r="G921" s="9" t="s">
        <v>12120</v>
      </c>
      <c r="H921" s="9"/>
      <c r="I921" s="9"/>
      <c r="J921" s="9"/>
      <c r="K921" s="9"/>
      <c r="L921" s="9"/>
      <c r="M921" s="9"/>
      <c r="N921" s="10"/>
      <c r="O921" s="9"/>
      <c r="P921" s="9"/>
      <c r="Q921" s="9"/>
      <c r="R921" s="9" t="s">
        <v>12795</v>
      </c>
      <c r="S921" s="9" t="s">
        <v>12795</v>
      </c>
      <c r="T921" s="9"/>
      <c r="U921" s="9"/>
      <c r="V921" s="9"/>
      <c r="W921" s="9"/>
      <c r="X921" s="9"/>
      <c r="Y921" s="9"/>
      <c r="Z921" s="9"/>
      <c r="AA921" s="9"/>
      <c r="AB921" s="9"/>
      <c r="AC921" s="9"/>
      <c r="AD921" s="9" t="s">
        <v>19</v>
      </c>
    </row>
    <row r="922" spans="1:30" ht="29">
      <c r="A922" s="3" t="s">
        <v>2654</v>
      </c>
      <c r="B922" s="3" t="s">
        <v>7797</v>
      </c>
      <c r="C922" s="3" t="s">
        <v>13040</v>
      </c>
      <c r="G922" s="9" t="s">
        <v>24</v>
      </c>
      <c r="H922" s="9"/>
      <c r="I922" s="9">
        <v>1</v>
      </c>
      <c r="J922" s="9">
        <v>3</v>
      </c>
      <c r="K922" s="9" t="s">
        <v>12087</v>
      </c>
      <c r="L922" s="9" t="s">
        <v>12079</v>
      </c>
      <c r="M922" s="9"/>
      <c r="N922" s="10"/>
      <c r="O922" s="9"/>
      <c r="P922" s="9">
        <v>5676</v>
      </c>
      <c r="Q922" s="9"/>
      <c r="R922" s="9" t="s">
        <v>12795</v>
      </c>
      <c r="S922" s="9" t="s">
        <v>12795</v>
      </c>
      <c r="T922" s="9"/>
      <c r="U922" s="9"/>
      <c r="V922" s="9"/>
      <c r="W922" s="9"/>
      <c r="X922" s="9"/>
      <c r="Y922" s="9"/>
      <c r="Z922" s="9"/>
      <c r="AA922" s="9"/>
      <c r="AB922" s="9"/>
      <c r="AC922" s="9"/>
      <c r="AD922" s="9" t="s">
        <v>19</v>
      </c>
    </row>
    <row r="923" spans="1:30" ht="29">
      <c r="A923" s="3" t="s">
        <v>2655</v>
      </c>
      <c r="B923" s="3" t="s">
        <v>12909</v>
      </c>
      <c r="C923" s="3" t="s">
        <v>7798</v>
      </c>
      <c r="G923" s="9" t="s">
        <v>25</v>
      </c>
      <c r="H923" s="9"/>
      <c r="I923" s="9">
        <v>1</v>
      </c>
      <c r="J923" s="9">
        <v>5</v>
      </c>
      <c r="K923" s="9" t="s">
        <v>12094</v>
      </c>
      <c r="L923" s="9" t="s">
        <v>12079</v>
      </c>
      <c r="M923" s="9"/>
      <c r="N923" s="10"/>
      <c r="O923" s="9"/>
      <c r="P923" s="9">
        <v>4240</v>
      </c>
      <c r="Q923" s="9"/>
      <c r="R923" s="9" t="s">
        <v>12795</v>
      </c>
      <c r="S923" s="9" t="s">
        <v>12795</v>
      </c>
      <c r="T923" s="9"/>
      <c r="U923" s="9"/>
      <c r="V923" s="9"/>
      <c r="W923" s="9"/>
      <c r="X923" s="9"/>
      <c r="Y923" s="9"/>
      <c r="Z923" s="9"/>
      <c r="AA923" s="9"/>
      <c r="AB923" s="9"/>
      <c r="AC923" s="9"/>
      <c r="AD923" s="9" t="s">
        <v>20</v>
      </c>
    </row>
    <row r="924" spans="1:30" ht="29">
      <c r="A924" s="3" t="s">
        <v>2657</v>
      </c>
      <c r="B924" s="3" t="s">
        <v>7802</v>
      </c>
      <c r="C924" s="3" t="s">
        <v>7803</v>
      </c>
      <c r="G924" s="9" t="s">
        <v>12118</v>
      </c>
      <c r="H924" s="9"/>
      <c r="I924" s="9"/>
      <c r="J924" s="9"/>
      <c r="K924" s="9"/>
      <c r="L924" s="9"/>
      <c r="M924" s="9"/>
      <c r="N924" s="10"/>
      <c r="O924" s="9"/>
      <c r="P924" s="9"/>
      <c r="Q924" s="9">
        <v>-316</v>
      </c>
      <c r="R924" s="9">
        <v>444</v>
      </c>
      <c r="S924" s="9">
        <v>128</v>
      </c>
      <c r="T924" s="9"/>
      <c r="U924" s="9"/>
      <c r="V924" s="9"/>
      <c r="W924" s="9"/>
      <c r="X924" s="9"/>
      <c r="Y924" s="9"/>
      <c r="Z924" s="9"/>
      <c r="AA924" s="9"/>
      <c r="AB924" s="9"/>
      <c r="AC924" s="9"/>
      <c r="AD924" s="9" t="s">
        <v>19</v>
      </c>
    </row>
    <row r="925" spans="1:30" ht="29">
      <c r="A925" s="3" t="s">
        <v>2658</v>
      </c>
      <c r="B925" s="3" t="s">
        <v>7804</v>
      </c>
      <c r="C925" s="3" t="s">
        <v>7805</v>
      </c>
      <c r="G925" s="9" t="s">
        <v>25</v>
      </c>
      <c r="H925" s="9"/>
      <c r="I925" s="9">
        <v>1</v>
      </c>
      <c r="J925" s="9">
        <v>3</v>
      </c>
      <c r="K925" s="9" t="s">
        <v>12078</v>
      </c>
      <c r="L925" s="9" t="s">
        <v>12079</v>
      </c>
      <c r="M925" s="9"/>
      <c r="N925" s="10"/>
      <c r="O925" s="9"/>
      <c r="P925" s="9">
        <v>11843</v>
      </c>
      <c r="Q925" s="9"/>
      <c r="R925" s="9" t="s">
        <v>12795</v>
      </c>
      <c r="S925" s="9" t="s">
        <v>12795</v>
      </c>
      <c r="T925" s="9"/>
      <c r="U925" s="9"/>
      <c r="V925" s="9"/>
      <c r="W925" s="9"/>
      <c r="X925" s="9"/>
      <c r="Y925" s="9"/>
      <c r="Z925" s="9"/>
      <c r="AA925" s="9"/>
      <c r="AB925" s="9"/>
      <c r="AC925" s="9"/>
      <c r="AD925" s="9" t="s">
        <v>19</v>
      </c>
    </row>
    <row r="926" spans="1:30" ht="29">
      <c r="A926" s="3" t="s">
        <v>2659</v>
      </c>
      <c r="B926" s="3" t="s">
        <v>2660</v>
      </c>
      <c r="C926" s="3" t="s">
        <v>2661</v>
      </c>
      <c r="G926" s="9" t="s">
        <v>12118</v>
      </c>
      <c r="H926" s="9"/>
      <c r="I926" s="9"/>
      <c r="J926" s="9"/>
      <c r="K926" s="9"/>
      <c r="L926" s="9"/>
      <c r="M926" s="9"/>
      <c r="N926" s="10"/>
      <c r="O926" s="9"/>
      <c r="P926" s="9"/>
      <c r="Q926" s="9">
        <v>1</v>
      </c>
      <c r="R926" s="9">
        <v>5</v>
      </c>
      <c r="S926" s="9">
        <v>6</v>
      </c>
      <c r="T926" s="9"/>
      <c r="U926" s="9"/>
      <c r="V926" s="9"/>
      <c r="W926" s="9"/>
      <c r="X926" s="9"/>
      <c r="Y926" s="9"/>
      <c r="Z926" s="9"/>
      <c r="AA926" s="9"/>
      <c r="AB926" s="9"/>
      <c r="AC926" s="9"/>
      <c r="AD926" s="9" t="s">
        <v>19</v>
      </c>
    </row>
    <row r="927" spans="1:30" ht="29">
      <c r="A927" s="3" t="s">
        <v>2662</v>
      </c>
      <c r="B927" s="3" t="s">
        <v>7807</v>
      </c>
      <c r="C927" s="3" t="s">
        <v>7806</v>
      </c>
      <c r="G927" s="9" t="s">
        <v>25</v>
      </c>
      <c r="H927" s="9"/>
      <c r="I927" s="9">
        <v>1</v>
      </c>
      <c r="J927" s="9">
        <v>4</v>
      </c>
      <c r="K927" s="9" t="s">
        <v>12087</v>
      </c>
      <c r="L927" s="9" t="s">
        <v>12079</v>
      </c>
      <c r="M927" s="9"/>
      <c r="N927" s="10"/>
      <c r="O927" s="9"/>
      <c r="P927" s="9">
        <v>25</v>
      </c>
      <c r="Q927" s="9"/>
      <c r="R927" s="9" t="s">
        <v>12795</v>
      </c>
      <c r="S927" s="9" t="s">
        <v>12795</v>
      </c>
      <c r="T927" s="9"/>
      <c r="U927" s="9"/>
      <c r="V927" s="9"/>
      <c r="W927" s="9"/>
      <c r="X927" s="9"/>
      <c r="Y927" s="9"/>
      <c r="Z927" s="9"/>
      <c r="AA927" s="9"/>
      <c r="AB927" s="9"/>
      <c r="AC927" s="9"/>
      <c r="AD927" s="9" t="s">
        <v>19</v>
      </c>
    </row>
    <row r="928" spans="1:30" ht="29">
      <c r="A928" s="3" t="s">
        <v>2666</v>
      </c>
      <c r="B928" s="3" t="s">
        <v>7809</v>
      </c>
      <c r="C928" s="3" t="s">
        <v>7808</v>
      </c>
      <c r="G928" s="9" t="s">
        <v>12120</v>
      </c>
      <c r="H928" s="9"/>
      <c r="I928" s="9"/>
      <c r="J928" s="9"/>
      <c r="K928" s="9"/>
      <c r="L928" s="9"/>
      <c r="M928" s="9"/>
      <c r="N928" s="10"/>
      <c r="O928" s="9"/>
      <c r="P928" s="9"/>
      <c r="Q928" s="9"/>
      <c r="R928" s="9" t="s">
        <v>12795</v>
      </c>
      <c r="S928" s="9" t="s">
        <v>12795</v>
      </c>
      <c r="T928" s="9"/>
      <c r="U928" s="9"/>
      <c r="V928" s="9"/>
      <c r="W928" s="9"/>
      <c r="X928" s="9"/>
      <c r="Y928" s="9"/>
      <c r="Z928" s="9"/>
      <c r="AA928" s="9"/>
      <c r="AB928" s="9"/>
      <c r="AC928" s="9"/>
      <c r="AD928" s="9" t="s">
        <v>19</v>
      </c>
    </row>
    <row r="929" spans="1:30" ht="29">
      <c r="A929" s="3" t="s">
        <v>2669</v>
      </c>
      <c r="B929" s="3" t="s">
        <v>2670</v>
      </c>
      <c r="C929" s="3" t="s">
        <v>2671</v>
      </c>
      <c r="G929" s="9" t="s">
        <v>12120</v>
      </c>
      <c r="H929" s="9"/>
      <c r="I929" s="9"/>
      <c r="J929" s="9"/>
      <c r="K929" s="9"/>
      <c r="L929" s="9"/>
      <c r="M929" s="9"/>
      <c r="N929" s="10"/>
      <c r="O929" s="9"/>
      <c r="P929" s="9"/>
      <c r="Q929" s="9"/>
      <c r="R929" s="9" t="s">
        <v>12795</v>
      </c>
      <c r="S929" s="9" t="s">
        <v>12795</v>
      </c>
      <c r="T929" s="9"/>
      <c r="U929" s="9"/>
      <c r="V929" s="9"/>
      <c r="W929" s="9"/>
      <c r="X929" s="9"/>
      <c r="Y929" s="9"/>
      <c r="Z929" s="9"/>
      <c r="AA929" s="9"/>
      <c r="AB929" s="9"/>
      <c r="AC929" s="9"/>
      <c r="AD929" s="9" t="s">
        <v>19</v>
      </c>
    </row>
    <row r="930" spans="1:30" ht="58">
      <c r="A930" s="3" t="s">
        <v>2675</v>
      </c>
      <c r="B930" s="3" t="s">
        <v>7810</v>
      </c>
      <c r="C930" s="3" t="s">
        <v>7811</v>
      </c>
      <c r="G930" s="9" t="s">
        <v>26</v>
      </c>
      <c r="H930" s="9"/>
      <c r="I930" s="9"/>
      <c r="J930" s="9"/>
      <c r="K930" s="9"/>
      <c r="L930" s="9"/>
      <c r="M930" s="9"/>
      <c r="N930" s="10"/>
      <c r="O930" s="9"/>
      <c r="P930" s="9"/>
      <c r="Q930" s="9"/>
      <c r="R930" s="9" t="s">
        <v>12795</v>
      </c>
      <c r="S930" s="9" t="s">
        <v>12795</v>
      </c>
      <c r="T930" s="9"/>
      <c r="U930" s="9"/>
      <c r="V930" s="9"/>
      <c r="W930" s="9"/>
      <c r="X930" s="9"/>
      <c r="Y930" s="9"/>
      <c r="Z930" s="9"/>
      <c r="AA930" s="9"/>
      <c r="AB930" s="9"/>
      <c r="AC930" s="9"/>
      <c r="AD930" s="9" t="s">
        <v>20</v>
      </c>
    </row>
    <row r="931" spans="1:30">
      <c r="A931" s="3" t="s">
        <v>2676</v>
      </c>
      <c r="B931" s="3" t="s">
        <v>2677</v>
      </c>
      <c r="C931" s="3" t="s">
        <v>2678</v>
      </c>
      <c r="G931" s="9" t="s">
        <v>12120</v>
      </c>
      <c r="H931" s="9"/>
      <c r="I931" s="9"/>
      <c r="J931" s="9"/>
      <c r="K931" s="9"/>
      <c r="L931" s="9"/>
      <c r="M931" s="9"/>
      <c r="N931" s="10"/>
      <c r="O931" s="9"/>
      <c r="P931" s="9"/>
      <c r="Q931" s="9"/>
      <c r="R931" s="9" t="s">
        <v>12795</v>
      </c>
      <c r="S931" s="9" t="s">
        <v>12795</v>
      </c>
      <c r="T931" s="9"/>
      <c r="U931" s="9"/>
      <c r="V931" s="9"/>
      <c r="W931" s="9"/>
      <c r="X931" s="9"/>
      <c r="Y931" s="9"/>
      <c r="Z931" s="9"/>
      <c r="AA931" s="9"/>
      <c r="AB931" s="9"/>
      <c r="AC931" s="9"/>
      <c r="AD931" s="9" t="s">
        <v>20</v>
      </c>
    </row>
    <row r="932" spans="1:30">
      <c r="A932" s="3" t="s">
        <v>2679</v>
      </c>
      <c r="B932" s="3" t="s">
        <v>7814</v>
      </c>
      <c r="C932" s="3" t="s">
        <v>7813</v>
      </c>
      <c r="G932" s="9" t="s">
        <v>24</v>
      </c>
      <c r="H932" s="9"/>
      <c r="I932" s="9">
        <v>1</v>
      </c>
      <c r="J932" s="9">
        <v>6</v>
      </c>
      <c r="K932" s="9" t="s">
        <v>12094</v>
      </c>
      <c r="L932" s="9" t="s">
        <v>12073</v>
      </c>
      <c r="M932" s="9" t="s">
        <v>12149</v>
      </c>
      <c r="N932" s="10" t="s">
        <v>12143</v>
      </c>
      <c r="O932" s="9"/>
      <c r="P932" s="9">
        <v>930</v>
      </c>
      <c r="Q932" s="9"/>
      <c r="R932" s="9" t="s">
        <v>12795</v>
      </c>
      <c r="S932" s="9" t="s">
        <v>12795</v>
      </c>
      <c r="T932" s="9"/>
      <c r="U932" s="9"/>
      <c r="V932" s="9"/>
      <c r="W932" s="9"/>
      <c r="X932" s="9"/>
      <c r="Y932" s="9"/>
      <c r="Z932" s="9"/>
      <c r="AA932" s="9"/>
      <c r="AB932" s="9"/>
      <c r="AC932" s="9"/>
      <c r="AD932" s="9" t="s">
        <v>20</v>
      </c>
    </row>
    <row r="933" spans="1:30">
      <c r="A933" s="3" t="s">
        <v>2680</v>
      </c>
      <c r="B933" s="3" t="s">
        <v>7817</v>
      </c>
      <c r="C933" s="3" t="s">
        <v>7818</v>
      </c>
      <c r="G933" s="9" t="s">
        <v>12118</v>
      </c>
      <c r="H933" s="9"/>
      <c r="I933" s="9"/>
      <c r="J933" s="9"/>
      <c r="K933" s="9"/>
      <c r="L933" s="9"/>
      <c r="M933" s="9"/>
      <c r="N933" s="10"/>
      <c r="O933" s="9"/>
      <c r="P933" s="9"/>
      <c r="Q933" s="9">
        <v>-561</v>
      </c>
      <c r="R933" s="9">
        <v>810</v>
      </c>
      <c r="S933" s="9">
        <v>249</v>
      </c>
      <c r="T933" s="9" t="s">
        <v>4</v>
      </c>
      <c r="U933" s="9"/>
      <c r="V933" s="9"/>
      <c r="W933" s="9"/>
      <c r="X933" s="9"/>
      <c r="Y933" s="9"/>
      <c r="Z933" s="9"/>
      <c r="AA933" s="9"/>
      <c r="AB933" s="9"/>
      <c r="AC933" s="9"/>
      <c r="AD933" s="9" t="s">
        <v>19</v>
      </c>
    </row>
    <row r="934" spans="1:30">
      <c r="A934" s="3" t="s">
        <v>2683</v>
      </c>
      <c r="B934" s="3" t="s">
        <v>7819</v>
      </c>
      <c r="C934" s="3" t="s">
        <v>7820</v>
      </c>
      <c r="G934" s="9" t="s">
        <v>12118</v>
      </c>
      <c r="H934" s="9"/>
      <c r="I934" s="9"/>
      <c r="J934" s="9"/>
      <c r="K934" s="9"/>
      <c r="L934" s="9"/>
      <c r="M934" s="9"/>
      <c r="N934" s="10"/>
      <c r="O934" s="9"/>
      <c r="P934" s="9"/>
      <c r="Q934" s="9">
        <v>361</v>
      </c>
      <c r="R934" s="9">
        <v>526</v>
      </c>
      <c r="S934" s="9">
        <v>887</v>
      </c>
      <c r="T934" s="9"/>
      <c r="U934" s="9"/>
      <c r="V934" s="9"/>
      <c r="W934" s="9"/>
      <c r="X934" s="9"/>
      <c r="Y934" s="9"/>
      <c r="Z934" s="9"/>
      <c r="AA934" s="9"/>
      <c r="AB934" s="9"/>
      <c r="AC934" s="9"/>
      <c r="AD934" s="9" t="s">
        <v>19</v>
      </c>
    </row>
    <row r="935" spans="1:30" ht="29">
      <c r="A935" s="3" t="s">
        <v>2684</v>
      </c>
      <c r="B935" s="3" t="s">
        <v>7821</v>
      </c>
      <c r="C935" s="3" t="s">
        <v>7822</v>
      </c>
      <c r="G935" s="9" t="s">
        <v>26</v>
      </c>
      <c r="H935" s="9"/>
      <c r="I935" s="9"/>
      <c r="J935" s="9"/>
      <c r="K935" s="9"/>
      <c r="L935" s="9"/>
      <c r="M935" s="9"/>
      <c r="N935" s="10"/>
      <c r="O935" s="9"/>
      <c r="P935" s="9"/>
      <c r="Q935" s="9"/>
      <c r="R935" s="9" t="s">
        <v>12795</v>
      </c>
      <c r="S935" s="9" t="s">
        <v>12795</v>
      </c>
      <c r="T935" s="9"/>
      <c r="U935" s="9"/>
      <c r="V935" s="9"/>
      <c r="W935" s="9"/>
      <c r="X935" s="9"/>
      <c r="Y935" s="9"/>
      <c r="Z935" s="9"/>
      <c r="AA935" s="9"/>
      <c r="AB935" s="9"/>
      <c r="AC935" s="9"/>
      <c r="AD935" s="9" t="s">
        <v>19</v>
      </c>
    </row>
    <row r="936" spans="1:30" ht="29">
      <c r="A936" s="3" t="s">
        <v>2684</v>
      </c>
      <c r="B936" s="3" t="s">
        <v>7824</v>
      </c>
      <c r="C936" s="3" t="s">
        <v>7823</v>
      </c>
      <c r="G936" s="9" t="s">
        <v>12118</v>
      </c>
      <c r="H936" s="9"/>
      <c r="I936" s="9"/>
      <c r="J936" s="9"/>
      <c r="K936" s="9"/>
      <c r="L936" s="9"/>
      <c r="M936" s="9"/>
      <c r="N936" s="10"/>
      <c r="O936" s="9"/>
      <c r="P936" s="9"/>
      <c r="Q936" s="9">
        <v>116</v>
      </c>
      <c r="R936" s="9">
        <v>444</v>
      </c>
      <c r="S936" s="9">
        <v>560</v>
      </c>
      <c r="T936" s="9"/>
      <c r="U936" s="9"/>
      <c r="V936" s="9"/>
      <c r="W936" s="9"/>
      <c r="X936" s="9"/>
      <c r="Y936" s="9"/>
      <c r="Z936" s="9"/>
      <c r="AA936" s="9"/>
      <c r="AB936" s="9"/>
      <c r="AC936" s="9"/>
      <c r="AD936" s="9" t="s">
        <v>20</v>
      </c>
    </row>
    <row r="937" spans="1:30">
      <c r="A937" s="3" t="s">
        <v>2684</v>
      </c>
      <c r="B937" s="3" t="s">
        <v>7828</v>
      </c>
      <c r="C937" s="3" t="s">
        <v>7827</v>
      </c>
      <c r="G937" s="9" t="s">
        <v>25</v>
      </c>
      <c r="H937" s="9"/>
      <c r="I937" s="9">
        <v>1</v>
      </c>
      <c r="J937" s="9">
        <v>5</v>
      </c>
      <c r="K937" s="9" t="s">
        <v>12094</v>
      </c>
      <c r="L937" s="9" t="s">
        <v>12079</v>
      </c>
      <c r="M937" s="9"/>
      <c r="N937" s="10"/>
      <c r="O937" s="9"/>
      <c r="P937" s="9">
        <v>4240</v>
      </c>
      <c r="Q937" s="9"/>
      <c r="R937" s="9" t="s">
        <v>12795</v>
      </c>
      <c r="S937" s="9" t="s">
        <v>12795</v>
      </c>
      <c r="T937" s="9"/>
      <c r="U937" s="9"/>
      <c r="V937" s="9"/>
      <c r="W937" s="9"/>
      <c r="X937" s="9"/>
      <c r="Y937" s="9"/>
      <c r="Z937" s="9"/>
      <c r="AA937" s="9"/>
      <c r="AB937" s="9"/>
      <c r="AC937" s="9"/>
      <c r="AD937" s="9" t="s">
        <v>20</v>
      </c>
    </row>
    <row r="938" spans="1:30" ht="29">
      <c r="A938" s="3" t="s">
        <v>2685</v>
      </c>
      <c r="B938" s="3" t="s">
        <v>7830</v>
      </c>
      <c r="C938" s="3" t="s">
        <v>7829</v>
      </c>
      <c r="G938" s="9" t="s">
        <v>25</v>
      </c>
      <c r="H938" s="9"/>
      <c r="I938" s="9">
        <v>1</v>
      </c>
      <c r="J938" s="9">
        <v>7</v>
      </c>
      <c r="K938" s="9" t="s">
        <v>12092</v>
      </c>
      <c r="L938" s="9" t="s">
        <v>12073</v>
      </c>
      <c r="M938" s="9" t="s">
        <v>12142</v>
      </c>
      <c r="N938" s="10" t="s">
        <v>12160</v>
      </c>
      <c r="O938" s="9"/>
      <c r="P938" s="9">
        <v>2</v>
      </c>
      <c r="Q938" s="9"/>
      <c r="R938" s="9" t="s">
        <v>12795</v>
      </c>
      <c r="S938" s="9" t="s">
        <v>12795</v>
      </c>
      <c r="T938" s="9"/>
      <c r="U938" s="9"/>
      <c r="V938" s="9"/>
      <c r="W938" s="9"/>
      <c r="X938" s="9"/>
      <c r="Y938" s="9"/>
      <c r="Z938" s="9"/>
      <c r="AA938" s="9"/>
      <c r="AB938" s="9"/>
      <c r="AC938" s="9"/>
      <c r="AD938" s="9" t="s">
        <v>20</v>
      </c>
    </row>
    <row r="939" spans="1:30" ht="29">
      <c r="A939" s="3" t="s">
        <v>2686</v>
      </c>
      <c r="B939" s="3" t="s">
        <v>7832</v>
      </c>
      <c r="C939" s="3" t="s">
        <v>7831</v>
      </c>
      <c r="G939" s="9" t="s">
        <v>24</v>
      </c>
      <c r="H939" s="9"/>
      <c r="I939" s="9">
        <v>1</v>
      </c>
      <c r="J939" s="9">
        <v>2</v>
      </c>
      <c r="K939" s="9" t="s">
        <v>12078</v>
      </c>
      <c r="L939" s="9" t="s">
        <v>12119</v>
      </c>
      <c r="M939" s="9"/>
      <c r="N939" s="10"/>
      <c r="O939" s="9"/>
      <c r="P939" s="9">
        <v>11843</v>
      </c>
      <c r="Q939" s="9"/>
      <c r="R939" s="9" t="s">
        <v>12795</v>
      </c>
      <c r="S939" s="9" t="s">
        <v>12795</v>
      </c>
      <c r="T939" s="9"/>
      <c r="U939" s="9"/>
      <c r="V939" s="9"/>
      <c r="W939" s="9"/>
      <c r="X939" s="9"/>
      <c r="Y939" s="9"/>
      <c r="Z939" s="9"/>
      <c r="AA939" s="9"/>
      <c r="AB939" s="9"/>
      <c r="AC939" s="9"/>
      <c r="AD939" s="9" t="s">
        <v>20</v>
      </c>
    </row>
    <row r="940" spans="1:30" ht="29">
      <c r="A940" s="3" t="s">
        <v>2689</v>
      </c>
      <c r="B940" s="3" t="s">
        <v>2691</v>
      </c>
      <c r="C940" s="3" t="s">
        <v>2690</v>
      </c>
      <c r="G940" s="9" t="s">
        <v>12120</v>
      </c>
      <c r="H940" s="9"/>
      <c r="I940" s="9"/>
      <c r="J940" s="9"/>
      <c r="K940" s="9"/>
      <c r="L940" s="9"/>
      <c r="M940" s="9"/>
      <c r="N940" s="10"/>
      <c r="O940" s="9"/>
      <c r="P940" s="9"/>
      <c r="Q940" s="9"/>
      <c r="R940" s="9" t="s">
        <v>12795</v>
      </c>
      <c r="S940" s="9" t="s">
        <v>12795</v>
      </c>
      <c r="T940" s="9"/>
      <c r="U940" s="9"/>
      <c r="V940" s="9"/>
      <c r="W940" s="9"/>
      <c r="X940" s="9"/>
      <c r="Y940" s="9"/>
      <c r="Z940" s="9"/>
      <c r="AA940" s="9"/>
      <c r="AB940" s="9"/>
      <c r="AC940" s="9"/>
      <c r="AD940" s="9" t="s">
        <v>19</v>
      </c>
    </row>
    <row r="941" spans="1:30" ht="58">
      <c r="A941" s="3" t="s">
        <v>2692</v>
      </c>
      <c r="B941" s="3" t="s">
        <v>7835</v>
      </c>
      <c r="C941" s="3" t="s">
        <v>7834</v>
      </c>
      <c r="G941" s="9" t="s">
        <v>26</v>
      </c>
      <c r="H941" s="9"/>
      <c r="I941" s="9"/>
      <c r="J941" s="9"/>
      <c r="K941" s="9"/>
      <c r="L941" s="9"/>
      <c r="M941" s="9"/>
      <c r="N941" s="10"/>
      <c r="O941" s="9"/>
      <c r="P941" s="9"/>
      <c r="Q941" s="9"/>
      <c r="R941" s="9" t="s">
        <v>12795</v>
      </c>
      <c r="S941" s="9" t="s">
        <v>12795</v>
      </c>
      <c r="T941" s="9"/>
      <c r="U941" s="9"/>
      <c r="V941" s="9"/>
      <c r="W941" s="9"/>
      <c r="X941" s="9"/>
      <c r="Y941" s="9"/>
      <c r="Z941" s="9"/>
      <c r="AA941" s="9"/>
      <c r="AB941" s="9"/>
      <c r="AC941" s="9"/>
      <c r="AD941" s="9" t="s">
        <v>19</v>
      </c>
    </row>
    <row r="942" spans="1:30" ht="43.5">
      <c r="A942" s="3" t="s">
        <v>2694</v>
      </c>
      <c r="B942" s="3" t="s">
        <v>7839</v>
      </c>
      <c r="C942" s="3" t="s">
        <v>7838</v>
      </c>
      <c r="G942" s="9" t="s">
        <v>26</v>
      </c>
      <c r="H942" s="9"/>
      <c r="I942" s="9"/>
      <c r="J942" s="9"/>
      <c r="K942" s="9"/>
      <c r="L942" s="9"/>
      <c r="M942" s="9"/>
      <c r="N942" s="10"/>
      <c r="O942" s="9"/>
      <c r="P942" s="9"/>
      <c r="Q942" s="9"/>
      <c r="R942" s="9" t="s">
        <v>12795</v>
      </c>
      <c r="S942" s="9" t="s">
        <v>12795</v>
      </c>
      <c r="T942" s="9"/>
      <c r="U942" s="9"/>
      <c r="V942" s="9"/>
      <c r="W942" s="9"/>
      <c r="X942" s="9"/>
      <c r="Y942" s="9"/>
      <c r="Z942" s="9"/>
      <c r="AA942" s="9"/>
      <c r="AB942" s="9"/>
      <c r="AC942" s="9"/>
      <c r="AD942" s="9" t="s">
        <v>20</v>
      </c>
    </row>
    <row r="943" spans="1:30" ht="29">
      <c r="A943" s="3" t="s">
        <v>2695</v>
      </c>
      <c r="B943" s="3" t="s">
        <v>7843</v>
      </c>
      <c r="C943" s="3" t="s">
        <v>7842</v>
      </c>
      <c r="G943" s="9" t="s">
        <v>24</v>
      </c>
      <c r="H943" s="9"/>
      <c r="I943" s="9">
        <v>1</v>
      </c>
      <c r="J943" s="9">
        <v>4</v>
      </c>
      <c r="K943" s="9" t="s">
        <v>12072</v>
      </c>
      <c r="L943" s="9" t="s">
        <v>12079</v>
      </c>
      <c r="M943" s="9"/>
      <c r="N943" s="10"/>
      <c r="O943" s="9"/>
      <c r="P943" s="9">
        <v>130</v>
      </c>
      <c r="Q943" s="9"/>
      <c r="R943" s="9" t="s">
        <v>12795</v>
      </c>
      <c r="S943" s="9" t="s">
        <v>12795</v>
      </c>
      <c r="T943" s="9"/>
      <c r="U943" s="9"/>
      <c r="V943" s="9"/>
      <c r="W943" s="9"/>
      <c r="X943" s="9"/>
      <c r="Y943" s="9"/>
      <c r="Z943" s="9"/>
      <c r="AA943" s="9"/>
      <c r="AB943" s="9"/>
      <c r="AC943" s="9"/>
      <c r="AD943" s="9" t="s">
        <v>19</v>
      </c>
    </row>
    <row r="944" spans="1:30" ht="29">
      <c r="A944" s="3" t="s">
        <v>2696</v>
      </c>
      <c r="B944" s="3" t="s">
        <v>7845</v>
      </c>
      <c r="C944" s="3" t="s">
        <v>7844</v>
      </c>
      <c r="G944" s="9" t="s">
        <v>12118</v>
      </c>
      <c r="H944" s="9"/>
      <c r="I944" s="9"/>
      <c r="J944" s="9"/>
      <c r="K944" s="9"/>
      <c r="L944" s="9"/>
      <c r="M944" s="9"/>
      <c r="N944" s="10"/>
      <c r="O944" s="9"/>
      <c r="P944" s="9"/>
      <c r="Q944" s="9">
        <v>-5483</v>
      </c>
      <c r="R944" s="9">
        <v>5676</v>
      </c>
      <c r="S944" s="9">
        <v>193</v>
      </c>
      <c r="T944" s="9"/>
      <c r="U944" s="9"/>
      <c r="V944" s="9"/>
      <c r="W944" s="9"/>
      <c r="X944" s="9"/>
      <c r="Y944" s="9"/>
      <c r="Z944" s="9"/>
      <c r="AA944" s="9"/>
      <c r="AB944" s="9"/>
      <c r="AC944" s="9"/>
      <c r="AD944" s="9" t="s">
        <v>20</v>
      </c>
    </row>
    <row r="945" spans="1:30" ht="29">
      <c r="A945" s="3" t="s">
        <v>2697</v>
      </c>
      <c r="B945" s="3" t="s">
        <v>7849</v>
      </c>
      <c r="C945" s="3" t="s">
        <v>7848</v>
      </c>
      <c r="G945" s="9" t="s">
        <v>12118</v>
      </c>
      <c r="H945" s="9"/>
      <c r="I945" s="9"/>
      <c r="J945" s="9"/>
      <c r="K945" s="9"/>
      <c r="L945" s="9"/>
      <c r="M945" s="9"/>
      <c r="N945" s="10"/>
      <c r="O945" s="9"/>
      <c r="P945" s="9"/>
      <c r="Q945" s="9">
        <v>-22</v>
      </c>
      <c r="R945" s="9">
        <v>31</v>
      </c>
      <c r="S945" s="9">
        <v>9</v>
      </c>
      <c r="T945" s="9"/>
      <c r="U945" s="9"/>
      <c r="V945" s="9"/>
      <c r="W945" s="9"/>
      <c r="X945" s="9"/>
      <c r="Y945" s="9"/>
      <c r="Z945" s="9"/>
      <c r="AA945" s="9"/>
      <c r="AB945" s="9"/>
      <c r="AC945" s="9"/>
      <c r="AD945" s="9" t="s">
        <v>19</v>
      </c>
    </row>
    <row r="946" spans="1:30" ht="29">
      <c r="A946" s="3" t="s">
        <v>2698</v>
      </c>
      <c r="B946" s="3" t="s">
        <v>7851</v>
      </c>
      <c r="C946" s="3" t="s">
        <v>7850</v>
      </c>
      <c r="G946" s="9" t="s">
        <v>12118</v>
      </c>
      <c r="H946" s="9"/>
      <c r="I946" s="9"/>
      <c r="J946" s="9"/>
      <c r="K946" s="9"/>
      <c r="L946" s="9"/>
      <c r="M946" s="9"/>
      <c r="N946" s="10"/>
      <c r="O946" s="9"/>
      <c r="P946" s="9"/>
      <c r="Q946" s="9">
        <v>222</v>
      </c>
      <c r="R946" s="9">
        <v>134</v>
      </c>
      <c r="S946" s="9">
        <v>356</v>
      </c>
      <c r="T946" s="9"/>
      <c r="U946" s="9"/>
      <c r="V946" s="9"/>
      <c r="W946" s="9"/>
      <c r="X946" s="9"/>
      <c r="Y946" s="9"/>
      <c r="Z946" s="9"/>
      <c r="AA946" s="9"/>
      <c r="AB946" s="9"/>
      <c r="AC946" s="9"/>
      <c r="AD946" s="9" t="s">
        <v>20</v>
      </c>
    </row>
    <row r="947" spans="1:30" ht="29">
      <c r="A947" s="3" t="s">
        <v>2699</v>
      </c>
      <c r="B947" s="3" t="s">
        <v>7853</v>
      </c>
      <c r="C947" s="3" t="s">
        <v>7852</v>
      </c>
      <c r="G947" s="9" t="s">
        <v>25</v>
      </c>
      <c r="H947" s="9"/>
      <c r="I947" s="9">
        <v>1</v>
      </c>
      <c r="J947" s="9">
        <v>2</v>
      </c>
      <c r="K947" s="9" t="s">
        <v>12092</v>
      </c>
      <c r="L947" s="9" t="s">
        <v>12119</v>
      </c>
      <c r="M947" s="9"/>
      <c r="N947" s="10"/>
      <c r="O947" s="9"/>
      <c r="P947" s="9">
        <v>361</v>
      </c>
      <c r="Q947" s="9"/>
      <c r="R947" s="9" t="s">
        <v>12795</v>
      </c>
      <c r="S947" s="9" t="s">
        <v>12795</v>
      </c>
      <c r="T947" s="9"/>
      <c r="U947" s="9"/>
      <c r="V947" s="9"/>
      <c r="W947" s="9"/>
      <c r="X947" s="9"/>
      <c r="Y947" s="9"/>
      <c r="Z947" s="9"/>
      <c r="AA947" s="9"/>
      <c r="AB947" s="9"/>
      <c r="AC947" s="9"/>
      <c r="AD947" s="9" t="s">
        <v>19</v>
      </c>
    </row>
    <row r="948" spans="1:30" ht="29">
      <c r="A948" s="3" t="s">
        <v>2702</v>
      </c>
      <c r="B948" s="3" t="s">
        <v>7854</v>
      </c>
      <c r="C948" s="3" t="s">
        <v>7855</v>
      </c>
      <c r="G948" s="9" t="s">
        <v>25</v>
      </c>
      <c r="H948" s="9"/>
      <c r="I948" s="9">
        <v>1</v>
      </c>
      <c r="J948" s="9">
        <v>2</v>
      </c>
      <c r="K948" s="9" t="s">
        <v>12078</v>
      </c>
      <c r="L948" s="9" t="s">
        <v>12119</v>
      </c>
      <c r="M948" s="9"/>
      <c r="N948" s="10"/>
      <c r="O948" s="9"/>
      <c r="P948" s="9">
        <v>11843</v>
      </c>
      <c r="Q948" s="9"/>
      <c r="R948" s="9" t="s">
        <v>12795</v>
      </c>
      <c r="S948" s="9" t="s">
        <v>12795</v>
      </c>
      <c r="T948" s="9" t="s">
        <v>12117</v>
      </c>
      <c r="U948" s="9"/>
      <c r="V948" s="9"/>
      <c r="W948" s="9"/>
      <c r="X948" s="9"/>
      <c r="Y948" s="9"/>
      <c r="Z948" s="9"/>
      <c r="AA948" s="9"/>
      <c r="AB948" s="9"/>
      <c r="AC948" s="9"/>
      <c r="AD948" s="9" t="s">
        <v>19</v>
      </c>
    </row>
    <row r="949" spans="1:30" ht="72.5">
      <c r="A949" s="3" t="s">
        <v>2707</v>
      </c>
      <c r="B949" s="3" t="s">
        <v>7859</v>
      </c>
      <c r="C949" s="3" t="s">
        <v>7858</v>
      </c>
      <c r="G949" s="9" t="s">
        <v>25</v>
      </c>
      <c r="H949" s="9"/>
      <c r="I949" s="9">
        <v>13</v>
      </c>
      <c r="J949" s="9">
        <v>65</v>
      </c>
      <c r="K949" s="9"/>
      <c r="L949" s="9" t="s">
        <v>12079</v>
      </c>
      <c r="M949" s="9"/>
      <c r="N949" s="10"/>
      <c r="O949" s="9"/>
      <c r="P949" s="9">
        <v>31</v>
      </c>
      <c r="Q949" s="9"/>
      <c r="R949" s="9" t="s">
        <v>12795</v>
      </c>
      <c r="S949" s="9" t="s">
        <v>12795</v>
      </c>
      <c r="T949" s="9"/>
      <c r="U949" s="9"/>
      <c r="V949" s="9"/>
      <c r="W949" s="9"/>
      <c r="X949" s="9"/>
      <c r="Y949" s="9"/>
      <c r="Z949" s="9"/>
      <c r="AA949" s="9"/>
      <c r="AB949" s="9"/>
      <c r="AC949" s="9"/>
      <c r="AD949" s="9" t="s">
        <v>20</v>
      </c>
    </row>
    <row r="950" spans="1:30" ht="43.5">
      <c r="A950" s="3" t="s">
        <v>2711</v>
      </c>
      <c r="B950" s="3" t="s">
        <v>7861</v>
      </c>
      <c r="C950" s="3" t="s">
        <v>7860</v>
      </c>
      <c r="G950" s="9" t="s">
        <v>24</v>
      </c>
      <c r="H950" s="9"/>
      <c r="I950" s="9">
        <v>4</v>
      </c>
      <c r="J950" s="9">
        <v>15</v>
      </c>
      <c r="K950" s="9"/>
      <c r="L950" s="9" t="s">
        <v>12073</v>
      </c>
      <c r="M950" s="9" t="s">
        <v>12154</v>
      </c>
      <c r="N950" s="10" t="s">
        <v>12405</v>
      </c>
      <c r="O950" s="9"/>
      <c r="P950" s="9">
        <v>28</v>
      </c>
      <c r="Q950" s="9"/>
      <c r="R950" s="9" t="s">
        <v>12795</v>
      </c>
      <c r="S950" s="9" t="s">
        <v>12795</v>
      </c>
      <c r="T950" s="9"/>
      <c r="U950" s="9"/>
      <c r="V950" s="9"/>
      <c r="W950" s="9"/>
      <c r="X950" s="9"/>
      <c r="Y950" s="9"/>
      <c r="Z950" s="9"/>
      <c r="AA950" s="9"/>
      <c r="AB950" s="9"/>
      <c r="AC950" s="9"/>
      <c r="AD950" s="9" t="s">
        <v>20</v>
      </c>
    </row>
    <row r="951" spans="1:30" ht="29">
      <c r="A951" s="3" t="s">
        <v>2712</v>
      </c>
      <c r="B951" s="3" t="s">
        <v>7863</v>
      </c>
      <c r="C951" s="3" t="s">
        <v>7862</v>
      </c>
      <c r="E951" t="s">
        <v>20</v>
      </c>
      <c r="G951" s="9" t="s">
        <v>12121</v>
      </c>
      <c r="H951" s="9"/>
      <c r="I951" s="9"/>
      <c r="J951" s="9"/>
      <c r="K951" s="9"/>
      <c r="L951" s="9"/>
      <c r="M951" s="9"/>
      <c r="N951" s="10"/>
      <c r="O951" s="9"/>
      <c r="P951" s="9"/>
      <c r="Q951" s="9">
        <v>24</v>
      </c>
      <c r="R951" s="9">
        <v>92</v>
      </c>
      <c r="S951" s="9">
        <v>116</v>
      </c>
      <c r="T951" s="9"/>
      <c r="U951" s="9"/>
      <c r="V951" s="9"/>
      <c r="W951" s="9"/>
      <c r="X951" s="9"/>
      <c r="Y951" s="9"/>
      <c r="Z951" s="9"/>
      <c r="AA951" s="9"/>
      <c r="AB951" s="9"/>
      <c r="AC951" s="9"/>
      <c r="AD951" s="9" t="s">
        <v>19</v>
      </c>
    </row>
    <row r="952" spans="1:30" ht="43.5">
      <c r="A952" s="3" t="s">
        <v>2716</v>
      </c>
      <c r="B952" s="3" t="s">
        <v>7873</v>
      </c>
      <c r="C952" s="3" t="s">
        <v>7872</v>
      </c>
      <c r="G952" s="9" t="s">
        <v>26</v>
      </c>
      <c r="H952" s="9"/>
      <c r="I952" s="9"/>
      <c r="J952" s="9"/>
      <c r="K952" s="9"/>
      <c r="L952" s="9"/>
      <c r="M952" s="9"/>
      <c r="N952" s="10"/>
      <c r="O952" s="9"/>
      <c r="P952" s="9"/>
      <c r="Q952" s="9"/>
      <c r="R952" s="9" t="s">
        <v>12795</v>
      </c>
      <c r="S952" s="9" t="s">
        <v>12795</v>
      </c>
      <c r="T952" s="9"/>
      <c r="U952" s="9"/>
      <c r="V952" s="9"/>
      <c r="W952" s="9"/>
      <c r="X952" s="9"/>
      <c r="Y952" s="9"/>
      <c r="Z952" s="9"/>
      <c r="AA952" s="9"/>
      <c r="AB952" s="9"/>
      <c r="AC952" s="9"/>
      <c r="AD952" s="9" t="s">
        <v>20</v>
      </c>
    </row>
    <row r="953" spans="1:30" ht="29">
      <c r="A953" s="3" t="s">
        <v>2727</v>
      </c>
      <c r="B953" s="3" t="s">
        <v>7882</v>
      </c>
      <c r="C953" s="3" t="s">
        <v>7881</v>
      </c>
      <c r="G953" s="9" t="s">
        <v>24</v>
      </c>
      <c r="H953" s="9"/>
      <c r="I953" s="9">
        <v>1</v>
      </c>
      <c r="J953" s="9">
        <v>4</v>
      </c>
      <c r="K953" s="9" t="s">
        <v>12094</v>
      </c>
      <c r="L953" s="9" t="s">
        <v>12079</v>
      </c>
      <c r="M953" s="9"/>
      <c r="N953" s="10"/>
      <c r="O953" s="9"/>
      <c r="P953" s="9">
        <v>4240</v>
      </c>
      <c r="Q953" s="9"/>
      <c r="R953" s="9" t="s">
        <v>12795</v>
      </c>
      <c r="S953" s="9" t="s">
        <v>12795</v>
      </c>
      <c r="T953" s="9"/>
      <c r="U953" s="9"/>
      <c r="V953" s="9"/>
      <c r="W953" s="9"/>
      <c r="X953" s="9"/>
      <c r="Y953" s="9"/>
      <c r="Z953" s="9"/>
      <c r="AA953" s="9"/>
      <c r="AB953" s="9"/>
      <c r="AC953" s="9"/>
      <c r="AD953" s="9" t="s">
        <v>19</v>
      </c>
    </row>
    <row r="954" spans="1:30" ht="29">
      <c r="A954" s="3" t="s">
        <v>2728</v>
      </c>
      <c r="B954" s="3" t="s">
        <v>7884</v>
      </c>
      <c r="C954" s="3" t="s">
        <v>7883</v>
      </c>
      <c r="G954" s="9" t="s">
        <v>24</v>
      </c>
      <c r="H954" s="9"/>
      <c r="I954" s="9">
        <v>1</v>
      </c>
      <c r="J954" s="9">
        <v>3</v>
      </c>
      <c r="K954" s="9" t="s">
        <v>12087</v>
      </c>
      <c r="L954" s="9" t="s">
        <v>12079</v>
      </c>
      <c r="M954" s="9"/>
      <c r="N954" s="10"/>
      <c r="O954" s="9"/>
      <c r="P954" s="9">
        <v>5676</v>
      </c>
      <c r="Q954" s="9"/>
      <c r="R954" s="9" t="s">
        <v>12795</v>
      </c>
      <c r="S954" s="9" t="s">
        <v>12795</v>
      </c>
      <c r="T954" s="9"/>
      <c r="U954" s="9"/>
      <c r="V954" s="9"/>
      <c r="W954" s="9"/>
      <c r="X954" s="9"/>
      <c r="Y954" s="9"/>
      <c r="Z954" s="9"/>
      <c r="AA954" s="9"/>
      <c r="AB954" s="9"/>
      <c r="AC954" s="9"/>
      <c r="AD954" s="9" t="s">
        <v>19</v>
      </c>
    </row>
    <row r="955" spans="1:30" ht="29">
      <c r="A955" s="3" t="s">
        <v>2730</v>
      </c>
      <c r="B955" s="3" t="s">
        <v>7891</v>
      </c>
      <c r="C955" s="3" t="s">
        <v>7892</v>
      </c>
      <c r="G955" s="9" t="s">
        <v>12120</v>
      </c>
      <c r="H955" s="9"/>
      <c r="I955" s="9"/>
      <c r="J955" s="9"/>
      <c r="K955" s="9"/>
      <c r="L955" s="9"/>
      <c r="M955" s="9"/>
      <c r="N955" s="10"/>
      <c r="O955" s="9"/>
      <c r="P955" s="9"/>
      <c r="Q955" s="9"/>
      <c r="R955" s="9" t="s">
        <v>12795</v>
      </c>
      <c r="S955" s="9" t="s">
        <v>12795</v>
      </c>
      <c r="T955" s="9"/>
      <c r="U955" s="9"/>
      <c r="V955" s="9"/>
      <c r="W955" s="9"/>
      <c r="X955" s="9"/>
      <c r="Y955" s="9"/>
      <c r="Z955" s="9"/>
      <c r="AA955" s="9"/>
      <c r="AB955" s="9"/>
      <c r="AC955" s="9"/>
      <c r="AD955" s="9" t="s">
        <v>20</v>
      </c>
    </row>
    <row r="956" spans="1:30" ht="29">
      <c r="A956" s="3" t="s">
        <v>2731</v>
      </c>
      <c r="B956" s="3" t="s">
        <v>7894</v>
      </c>
      <c r="C956" s="3" t="s">
        <v>7893</v>
      </c>
      <c r="G956" s="9" t="s">
        <v>25</v>
      </c>
      <c r="H956" s="9"/>
      <c r="I956" s="9">
        <v>1</v>
      </c>
      <c r="J956" s="9">
        <v>5</v>
      </c>
      <c r="K956" s="9" t="s">
        <v>12094</v>
      </c>
      <c r="L956" s="9" t="s">
        <v>12079</v>
      </c>
      <c r="M956" s="9"/>
      <c r="N956" s="10"/>
      <c r="O956" s="9"/>
      <c r="P956" s="9">
        <v>4240</v>
      </c>
      <c r="Q956" s="9"/>
      <c r="R956" s="9" t="s">
        <v>12795</v>
      </c>
      <c r="S956" s="9" t="s">
        <v>12795</v>
      </c>
      <c r="T956" s="9"/>
      <c r="U956" s="9"/>
      <c r="V956" s="9"/>
      <c r="W956" s="9"/>
      <c r="X956" s="9"/>
      <c r="Y956" s="9"/>
      <c r="Z956" s="9"/>
      <c r="AA956" s="9"/>
      <c r="AB956" s="9"/>
      <c r="AC956" s="9"/>
      <c r="AD956" s="9" t="s">
        <v>19</v>
      </c>
    </row>
    <row r="957" spans="1:30" ht="29">
      <c r="A957" s="3" t="s">
        <v>2731</v>
      </c>
      <c r="B957" s="3" t="s">
        <v>7896</v>
      </c>
      <c r="C957" s="3" t="s">
        <v>7895</v>
      </c>
      <c r="G957" s="9" t="s">
        <v>26</v>
      </c>
      <c r="H957" s="9"/>
      <c r="I957" s="9"/>
      <c r="J957" s="9"/>
      <c r="K957" s="9"/>
      <c r="L957" s="9"/>
      <c r="M957" s="9"/>
      <c r="N957" s="10"/>
      <c r="O957" s="9"/>
      <c r="P957" s="9"/>
      <c r="Q957" s="9"/>
      <c r="R957" s="9" t="s">
        <v>12795</v>
      </c>
      <c r="S957" s="9" t="s">
        <v>12795</v>
      </c>
      <c r="T957" s="9"/>
      <c r="U957" s="9"/>
      <c r="V957" s="9"/>
      <c r="W957" s="9"/>
      <c r="X957" s="9"/>
      <c r="Y957" s="9"/>
      <c r="Z957" s="9"/>
      <c r="AA957" s="9"/>
      <c r="AB957" s="9"/>
      <c r="AC957" s="9"/>
      <c r="AD957" s="9" t="s">
        <v>20</v>
      </c>
    </row>
    <row r="958" spans="1:30" ht="29">
      <c r="A958" s="3" t="s">
        <v>2733</v>
      </c>
      <c r="B958" s="3" t="s">
        <v>7900</v>
      </c>
      <c r="C958" s="3" t="s">
        <v>7899</v>
      </c>
      <c r="G958" s="9" t="s">
        <v>24</v>
      </c>
      <c r="H958" s="9"/>
      <c r="I958" s="9">
        <v>1</v>
      </c>
      <c r="J958" s="9">
        <v>3</v>
      </c>
      <c r="K958" s="9" t="s">
        <v>12087</v>
      </c>
      <c r="L958" s="9" t="s">
        <v>12079</v>
      </c>
      <c r="M958" s="9"/>
      <c r="N958" s="10"/>
      <c r="O958" s="9"/>
      <c r="P958" s="9">
        <v>810</v>
      </c>
      <c r="Q958" s="9"/>
      <c r="R958" s="9" t="s">
        <v>12795</v>
      </c>
      <c r="S958" s="9" t="s">
        <v>12795</v>
      </c>
      <c r="T958" s="9"/>
      <c r="U958" s="9"/>
      <c r="V958" s="9"/>
      <c r="W958" s="9"/>
      <c r="X958" s="9"/>
      <c r="Y958" s="9"/>
      <c r="Z958" s="9"/>
      <c r="AA958" s="9"/>
      <c r="AB958" s="9"/>
      <c r="AC958" s="9"/>
      <c r="AD958" s="9" t="s">
        <v>19</v>
      </c>
    </row>
    <row r="959" spans="1:30" ht="29">
      <c r="A959" s="3" t="s">
        <v>2735</v>
      </c>
      <c r="B959" s="3" t="s">
        <v>7904</v>
      </c>
      <c r="C959" s="3" t="s">
        <v>7903</v>
      </c>
      <c r="G959" s="9" t="s">
        <v>12121</v>
      </c>
      <c r="H959" s="9"/>
      <c r="I959" s="9"/>
      <c r="J959" s="9"/>
      <c r="K959" s="9"/>
      <c r="L959" s="9"/>
      <c r="M959" s="9"/>
      <c r="N959" s="10"/>
      <c r="O959" s="9"/>
      <c r="P959" s="9"/>
      <c r="Q959" s="9">
        <v>-635</v>
      </c>
      <c r="R959" s="9">
        <v>1565</v>
      </c>
      <c r="S959" s="9">
        <v>930</v>
      </c>
      <c r="T959" s="9"/>
      <c r="U959" s="9"/>
      <c r="V959" s="9"/>
      <c r="W959" s="9"/>
      <c r="X959" s="9"/>
      <c r="Y959" s="9"/>
      <c r="Z959" s="9"/>
      <c r="AA959" s="9"/>
      <c r="AB959" s="9"/>
      <c r="AC959" s="9"/>
      <c r="AD959" s="9" t="s">
        <v>20</v>
      </c>
    </row>
    <row r="960" spans="1:30">
      <c r="A960" s="3" t="s">
        <v>2738</v>
      </c>
      <c r="B960" s="3" t="s">
        <v>7907</v>
      </c>
      <c r="C960" s="3" t="s">
        <v>7908</v>
      </c>
      <c r="G960" s="9" t="s">
        <v>25</v>
      </c>
      <c r="H960" s="9"/>
      <c r="I960" s="9">
        <v>1</v>
      </c>
      <c r="J960" s="9">
        <v>2</v>
      </c>
      <c r="K960" s="9" t="s">
        <v>12087</v>
      </c>
      <c r="L960" s="9" t="s">
        <v>12079</v>
      </c>
      <c r="M960" s="9"/>
      <c r="N960" s="10"/>
      <c r="O960" s="9"/>
      <c r="P960" s="9">
        <v>166</v>
      </c>
      <c r="Q960" s="9"/>
      <c r="R960" s="9" t="s">
        <v>12795</v>
      </c>
      <c r="S960" s="9" t="s">
        <v>12795</v>
      </c>
      <c r="T960" s="9"/>
      <c r="U960" s="9"/>
      <c r="V960" s="9"/>
      <c r="W960" s="9"/>
      <c r="X960" s="9"/>
      <c r="Y960" s="9"/>
      <c r="Z960" s="9"/>
      <c r="AA960" s="9"/>
      <c r="AB960" s="9"/>
      <c r="AC960" s="9"/>
      <c r="AD960" s="9" t="s">
        <v>19</v>
      </c>
    </row>
    <row r="961" spans="1:30" ht="29">
      <c r="A961" s="3" t="s">
        <v>2738</v>
      </c>
      <c r="B961" s="3" t="s">
        <v>7911</v>
      </c>
      <c r="C961" s="3" t="s">
        <v>7912</v>
      </c>
      <c r="G961" s="9" t="s">
        <v>12120</v>
      </c>
      <c r="H961" s="9"/>
      <c r="I961" s="9"/>
      <c r="J961" s="9"/>
      <c r="K961" s="9"/>
      <c r="L961" s="9"/>
      <c r="M961" s="9"/>
      <c r="N961" s="10"/>
      <c r="O961" s="9"/>
      <c r="P961" s="9"/>
      <c r="Q961" s="9"/>
      <c r="R961" s="9" t="s">
        <v>12795</v>
      </c>
      <c r="S961" s="9" t="s">
        <v>12795</v>
      </c>
      <c r="T961" s="9"/>
      <c r="U961" s="9"/>
      <c r="V961" s="9"/>
      <c r="W961" s="9"/>
      <c r="X961" s="9"/>
      <c r="Y961" s="9"/>
      <c r="Z961" s="9"/>
      <c r="AA961" s="9"/>
      <c r="AB961" s="9"/>
      <c r="AC961" s="9"/>
      <c r="AD961" s="9" t="s">
        <v>20</v>
      </c>
    </row>
    <row r="962" spans="1:30" ht="29">
      <c r="A962" s="3" t="s">
        <v>2749</v>
      </c>
      <c r="B962" s="3" t="s">
        <v>7924</v>
      </c>
      <c r="C962" s="3" t="s">
        <v>7923</v>
      </c>
      <c r="G962" s="9" t="s">
        <v>26</v>
      </c>
      <c r="H962" s="9"/>
      <c r="I962" s="9"/>
      <c r="J962" s="9"/>
      <c r="K962" s="9"/>
      <c r="L962" s="9"/>
      <c r="M962" s="9"/>
      <c r="N962" s="10"/>
      <c r="O962" s="9"/>
      <c r="P962" s="9"/>
      <c r="Q962" s="9"/>
      <c r="R962" s="9" t="s">
        <v>12795</v>
      </c>
      <c r="S962" s="9" t="s">
        <v>12795</v>
      </c>
      <c r="T962" s="9"/>
      <c r="U962" s="9"/>
      <c r="V962" s="9"/>
      <c r="W962" s="9"/>
      <c r="X962" s="9"/>
      <c r="Y962" s="9"/>
      <c r="Z962" s="9"/>
      <c r="AA962" s="9"/>
      <c r="AB962" s="9"/>
      <c r="AC962" s="9"/>
      <c r="AD962" s="9" t="s">
        <v>19</v>
      </c>
    </row>
    <row r="963" spans="1:30">
      <c r="A963" s="3" t="s">
        <v>2750</v>
      </c>
      <c r="B963" s="3" t="s">
        <v>7926</v>
      </c>
      <c r="C963" s="3" t="s">
        <v>7925</v>
      </c>
      <c r="G963" s="9" t="s">
        <v>24</v>
      </c>
      <c r="H963" s="9"/>
      <c r="I963" s="9">
        <v>1</v>
      </c>
      <c r="J963" s="9">
        <v>3</v>
      </c>
      <c r="K963" s="9" t="s">
        <v>12078</v>
      </c>
      <c r="L963" s="9" t="s">
        <v>12079</v>
      </c>
      <c r="M963" s="9"/>
      <c r="N963" s="10"/>
      <c r="O963" s="9"/>
      <c r="P963" s="9">
        <v>11843</v>
      </c>
      <c r="Q963" s="9"/>
      <c r="R963" s="9" t="s">
        <v>12795</v>
      </c>
      <c r="S963" s="9" t="s">
        <v>12795</v>
      </c>
      <c r="T963" s="9"/>
      <c r="U963" s="9"/>
      <c r="V963" s="9"/>
      <c r="W963" s="9"/>
      <c r="X963" s="9"/>
      <c r="Y963" s="9"/>
      <c r="Z963" s="9"/>
      <c r="AA963" s="9"/>
      <c r="AB963" s="9"/>
      <c r="AC963" s="9"/>
      <c r="AD963" s="9" t="s">
        <v>20</v>
      </c>
    </row>
    <row r="964" spans="1:30" ht="29">
      <c r="A964" s="3" t="s">
        <v>2751</v>
      </c>
      <c r="B964" s="3" t="s">
        <v>7927</v>
      </c>
      <c r="C964" s="3" t="s">
        <v>7928</v>
      </c>
      <c r="G964" s="9" t="s">
        <v>12118</v>
      </c>
      <c r="H964" s="9"/>
      <c r="I964" s="9"/>
      <c r="J964" s="9"/>
      <c r="K964" s="9"/>
      <c r="L964" s="9"/>
      <c r="M964" s="9"/>
      <c r="N964" s="10"/>
      <c r="O964" s="9"/>
      <c r="P964" s="9"/>
      <c r="Q964" s="9">
        <v>-4</v>
      </c>
      <c r="R964" s="9">
        <v>6</v>
      </c>
      <c r="S964" s="9">
        <v>2</v>
      </c>
      <c r="T964" s="9"/>
      <c r="U964" s="9"/>
      <c r="V964" s="9"/>
      <c r="W964" s="9"/>
      <c r="X964" s="9"/>
      <c r="Y964" s="9"/>
      <c r="Z964" s="9"/>
      <c r="AA964" s="9"/>
      <c r="AB964" s="9"/>
      <c r="AC964" s="9"/>
      <c r="AD964" s="9" t="s">
        <v>19</v>
      </c>
    </row>
    <row r="965" spans="1:30" ht="29">
      <c r="A965" s="3" t="s">
        <v>2763</v>
      </c>
      <c r="B965" s="3" t="s">
        <v>7941</v>
      </c>
      <c r="C965" s="3" t="s">
        <v>7940</v>
      </c>
      <c r="G965" s="9" t="s">
        <v>24</v>
      </c>
      <c r="H965" s="9"/>
      <c r="I965" s="9">
        <v>1</v>
      </c>
      <c r="J965" s="9">
        <v>3</v>
      </c>
      <c r="K965" s="9" t="s">
        <v>12087</v>
      </c>
      <c r="L965" s="9" t="s">
        <v>12079</v>
      </c>
      <c r="M965" s="9"/>
      <c r="N965" s="10"/>
      <c r="O965" s="9"/>
      <c r="P965" s="9">
        <v>5676</v>
      </c>
      <c r="Q965" s="9"/>
      <c r="R965" s="9" t="s">
        <v>12795</v>
      </c>
      <c r="S965" s="9" t="s">
        <v>12795</v>
      </c>
      <c r="T965" s="9" t="s">
        <v>12117</v>
      </c>
      <c r="U965" s="9"/>
      <c r="V965" s="9"/>
      <c r="W965" s="9"/>
      <c r="X965" s="9"/>
      <c r="Y965" s="9"/>
      <c r="Z965" s="9"/>
      <c r="AA965" s="9"/>
      <c r="AB965" s="9"/>
      <c r="AC965" s="9"/>
      <c r="AD965" s="9" t="s">
        <v>19</v>
      </c>
    </row>
    <row r="966" spans="1:30" ht="29">
      <c r="A966" s="3" t="s">
        <v>2771</v>
      </c>
      <c r="B966" s="3" t="s">
        <v>7947</v>
      </c>
      <c r="C966" s="3" t="s">
        <v>7948</v>
      </c>
      <c r="G966" s="9" t="s">
        <v>26</v>
      </c>
      <c r="H966" s="9"/>
      <c r="I966" s="9"/>
      <c r="J966" s="9"/>
      <c r="K966" s="9"/>
      <c r="L966" s="9"/>
      <c r="M966" s="9"/>
      <c r="N966" s="10"/>
      <c r="O966" s="9"/>
      <c r="P966" s="9"/>
      <c r="Q966" s="9"/>
      <c r="R966" s="9" t="s">
        <v>12795</v>
      </c>
      <c r="S966" s="9" t="s">
        <v>12795</v>
      </c>
      <c r="T966" s="9"/>
      <c r="U966" s="9"/>
      <c r="V966" s="9"/>
      <c r="W966" s="9"/>
      <c r="X966" s="9"/>
      <c r="Y966" s="9"/>
      <c r="Z966" s="9"/>
      <c r="AA966" s="9"/>
      <c r="AB966" s="9"/>
      <c r="AC966" s="9"/>
      <c r="AD966" s="9" t="s">
        <v>20</v>
      </c>
    </row>
    <row r="967" spans="1:30" ht="29">
      <c r="A967" s="3" t="s">
        <v>2771</v>
      </c>
      <c r="B967" s="3" t="s">
        <v>7950</v>
      </c>
      <c r="C967" s="3" t="s">
        <v>7949</v>
      </c>
      <c r="G967" s="9" t="s">
        <v>12118</v>
      </c>
      <c r="H967" s="9"/>
      <c r="I967" s="9"/>
      <c r="J967" s="9"/>
      <c r="K967" s="9"/>
      <c r="L967" s="9"/>
      <c r="M967" s="9"/>
      <c r="N967" s="10"/>
      <c r="O967" s="9"/>
      <c r="P967" s="9"/>
      <c r="Q967" s="9">
        <v>36</v>
      </c>
      <c r="R967" s="9">
        <v>0</v>
      </c>
      <c r="S967" s="9">
        <v>36</v>
      </c>
      <c r="T967" s="9"/>
      <c r="U967" s="9"/>
      <c r="V967" s="9"/>
      <c r="W967" s="9"/>
      <c r="X967" s="9"/>
      <c r="Y967" s="9"/>
      <c r="Z967" s="9"/>
      <c r="AA967" s="9"/>
      <c r="AB967" s="9"/>
      <c r="AC967" s="9"/>
      <c r="AD967" s="9" t="s">
        <v>20</v>
      </c>
    </row>
    <row r="968" spans="1:30" ht="43.5">
      <c r="A968" s="3" t="s">
        <v>2772</v>
      </c>
      <c r="B968" s="3" t="s">
        <v>7951</v>
      </c>
      <c r="C968" s="3" t="s">
        <v>12412</v>
      </c>
      <c r="G968" s="9" t="s">
        <v>26</v>
      </c>
      <c r="H968" s="9"/>
      <c r="I968" s="9"/>
      <c r="J968" s="9"/>
      <c r="K968" s="9"/>
      <c r="L968" s="9"/>
      <c r="M968" s="9"/>
      <c r="N968" s="10"/>
      <c r="O968" s="9"/>
      <c r="P968" s="9"/>
      <c r="Q968" s="9"/>
      <c r="R968" s="9" t="s">
        <v>12795</v>
      </c>
      <c r="S968" s="9" t="s">
        <v>12795</v>
      </c>
      <c r="T968" s="9"/>
      <c r="U968" s="9"/>
      <c r="V968" s="9"/>
      <c r="W968" s="9"/>
      <c r="X968" s="9"/>
      <c r="Y968" s="9"/>
      <c r="Z968" s="9"/>
      <c r="AA968" s="9"/>
      <c r="AB968" s="9"/>
      <c r="AC968" s="9"/>
      <c r="AD968" s="9" t="s">
        <v>20</v>
      </c>
    </row>
    <row r="969" spans="1:30" ht="29">
      <c r="A969" s="3" t="s">
        <v>2782</v>
      </c>
      <c r="B969" s="3" t="s">
        <v>7960</v>
      </c>
      <c r="C969" s="3" t="s">
        <v>7959</v>
      </c>
      <c r="G969" s="9" t="s">
        <v>26</v>
      </c>
      <c r="H969" s="9"/>
      <c r="I969" s="9"/>
      <c r="J969" s="9"/>
      <c r="K969" s="9"/>
      <c r="L969" s="9"/>
      <c r="M969" s="9"/>
      <c r="N969" s="10"/>
      <c r="O969" s="9"/>
      <c r="P969" s="9"/>
      <c r="Q969" s="9"/>
      <c r="R969" s="9" t="s">
        <v>12795</v>
      </c>
      <c r="S969" s="9" t="s">
        <v>12795</v>
      </c>
      <c r="T969" s="9"/>
      <c r="U969" s="9"/>
      <c r="V969" s="9"/>
      <c r="W969" s="9"/>
      <c r="X969" s="9"/>
      <c r="Y969" s="9"/>
      <c r="Z969" s="9"/>
      <c r="AA969" s="9"/>
      <c r="AB969" s="9"/>
      <c r="AC969" s="9"/>
      <c r="AD969" s="9" t="s">
        <v>19</v>
      </c>
    </row>
    <row r="970" spans="1:30" ht="29">
      <c r="A970" s="3" t="s">
        <v>2782</v>
      </c>
      <c r="B970" s="3" t="s">
        <v>7962</v>
      </c>
      <c r="C970" s="3" t="s">
        <v>7961</v>
      </c>
      <c r="G970" s="9" t="s">
        <v>26</v>
      </c>
      <c r="H970" s="9"/>
      <c r="I970" s="9"/>
      <c r="J970" s="9"/>
      <c r="K970" s="9"/>
      <c r="L970" s="9"/>
      <c r="M970" s="9"/>
      <c r="N970" s="10"/>
      <c r="O970" s="9"/>
      <c r="P970" s="9"/>
      <c r="Q970" s="9"/>
      <c r="R970" s="9" t="s">
        <v>12795</v>
      </c>
      <c r="S970" s="9" t="s">
        <v>12795</v>
      </c>
      <c r="T970" s="9"/>
      <c r="U970" s="9"/>
      <c r="V970" s="9"/>
      <c r="W970" s="9"/>
      <c r="X970" s="9"/>
      <c r="Y970" s="9"/>
      <c r="Z970" s="9"/>
      <c r="AA970" s="9"/>
      <c r="AB970" s="9"/>
      <c r="AC970" s="9"/>
      <c r="AD970" s="9" t="s">
        <v>13141</v>
      </c>
    </row>
    <row r="971" spans="1:30">
      <c r="A971" s="3" t="s">
        <v>2782</v>
      </c>
      <c r="B971" s="3" t="s">
        <v>7963</v>
      </c>
      <c r="C971" s="3" t="s">
        <v>7964</v>
      </c>
      <c r="G971" s="9" t="s">
        <v>12120</v>
      </c>
      <c r="H971" s="9"/>
      <c r="I971" s="9"/>
      <c r="J971" s="9"/>
      <c r="K971" s="9"/>
      <c r="L971" s="9"/>
      <c r="M971" s="9"/>
      <c r="N971" s="10"/>
      <c r="O971" s="9"/>
      <c r="P971" s="9"/>
      <c r="Q971" s="9"/>
      <c r="R971" s="9" t="s">
        <v>12795</v>
      </c>
      <c r="S971" s="9" t="s">
        <v>12795</v>
      </c>
      <c r="T971" s="9"/>
      <c r="U971" s="9"/>
      <c r="V971" s="9"/>
      <c r="W971" s="9"/>
      <c r="X971" s="9"/>
      <c r="Y971" s="9"/>
      <c r="Z971" s="9"/>
      <c r="AA971" s="9"/>
      <c r="AB971" s="9"/>
      <c r="AC971" s="9"/>
      <c r="AD971" s="9" t="s">
        <v>19</v>
      </c>
    </row>
    <row r="972" spans="1:30" ht="43.5">
      <c r="A972" s="3" t="s">
        <v>2788</v>
      </c>
      <c r="B972" s="3" t="s">
        <v>12415</v>
      </c>
      <c r="C972" s="3" t="s">
        <v>12416</v>
      </c>
      <c r="G972" s="9" t="s">
        <v>25</v>
      </c>
      <c r="H972" s="9"/>
      <c r="I972" s="9">
        <v>5</v>
      </c>
      <c r="J972" s="9">
        <v>29</v>
      </c>
      <c r="K972" s="9"/>
      <c r="L972" s="9" t="s">
        <v>12073</v>
      </c>
      <c r="M972" s="9" t="s">
        <v>12140</v>
      </c>
      <c r="N972" s="10" t="s">
        <v>12417</v>
      </c>
      <c r="O972" s="9"/>
      <c r="P972" s="9">
        <v>9</v>
      </c>
      <c r="Q972" s="9"/>
      <c r="R972" s="9" t="s">
        <v>12795</v>
      </c>
      <c r="S972" s="9" t="s">
        <v>12795</v>
      </c>
      <c r="T972" s="9"/>
      <c r="U972" s="9"/>
      <c r="V972" s="9"/>
      <c r="W972" s="9"/>
      <c r="X972" s="9"/>
      <c r="Y972" s="9"/>
      <c r="Z972" s="9"/>
      <c r="AA972" s="9"/>
      <c r="AB972" s="9"/>
      <c r="AC972" s="9"/>
      <c r="AD972" s="9" t="s">
        <v>20</v>
      </c>
    </row>
    <row r="973" spans="1:30" ht="43.5">
      <c r="A973" s="3" t="s">
        <v>2789</v>
      </c>
      <c r="B973" s="3" t="s">
        <v>7970</v>
      </c>
      <c r="C973" s="3" t="s">
        <v>7969</v>
      </c>
      <c r="G973" s="9" t="s">
        <v>24</v>
      </c>
      <c r="H973" s="9"/>
      <c r="I973" s="9">
        <v>1</v>
      </c>
      <c r="J973" s="9">
        <v>2</v>
      </c>
      <c r="K973" s="9" t="s">
        <v>12087</v>
      </c>
      <c r="L973" s="9" t="s">
        <v>12119</v>
      </c>
      <c r="M973" s="9"/>
      <c r="N973" s="10"/>
      <c r="O973" s="9"/>
      <c r="P973" s="9">
        <v>1966</v>
      </c>
      <c r="Q973" s="9"/>
      <c r="R973" s="9" t="s">
        <v>12795</v>
      </c>
      <c r="S973" s="9" t="s">
        <v>12795</v>
      </c>
      <c r="T973" s="9"/>
      <c r="U973" s="9"/>
      <c r="V973" s="9"/>
      <c r="W973" s="9"/>
      <c r="X973" s="9"/>
      <c r="Y973" s="9"/>
      <c r="Z973" s="9"/>
      <c r="AA973" s="9"/>
      <c r="AB973" s="9"/>
      <c r="AC973" s="9"/>
      <c r="AD973" s="9" t="s">
        <v>19</v>
      </c>
    </row>
    <row r="974" spans="1:30" ht="29">
      <c r="A974" s="3" t="s">
        <v>2790</v>
      </c>
      <c r="B974" s="3" t="s">
        <v>7976</v>
      </c>
      <c r="C974" s="3" t="s">
        <v>7975</v>
      </c>
      <c r="G974" s="9" t="s">
        <v>24</v>
      </c>
      <c r="H974" s="9"/>
      <c r="I974" s="9">
        <v>1</v>
      </c>
      <c r="J974" s="9">
        <v>2</v>
      </c>
      <c r="K974" s="9" t="s">
        <v>12125</v>
      </c>
      <c r="L974" s="9" t="s">
        <v>12119</v>
      </c>
      <c r="M974" s="9"/>
      <c r="N974" s="10"/>
      <c r="O974" s="9"/>
      <c r="P974" s="9">
        <v>1565</v>
      </c>
      <c r="Q974" s="9"/>
      <c r="R974" s="9" t="s">
        <v>12795</v>
      </c>
      <c r="S974" s="9" t="s">
        <v>12795</v>
      </c>
      <c r="T974" s="9"/>
      <c r="U974" s="9"/>
      <c r="V974" s="9"/>
      <c r="W974" s="9"/>
      <c r="X974" s="9"/>
      <c r="Y974" s="9"/>
      <c r="Z974" s="9"/>
      <c r="AA974" s="9"/>
      <c r="AB974" s="9"/>
      <c r="AC974" s="9"/>
      <c r="AD974" s="9" t="s">
        <v>19</v>
      </c>
    </row>
    <row r="975" spans="1:30" ht="43.5">
      <c r="A975" s="3" t="s">
        <v>2791</v>
      </c>
      <c r="B975" s="3" t="s">
        <v>7978</v>
      </c>
      <c r="C975" s="3" t="s">
        <v>7977</v>
      </c>
      <c r="G975" s="9" t="s">
        <v>25</v>
      </c>
      <c r="H975" s="9"/>
      <c r="I975" s="9">
        <v>3</v>
      </c>
      <c r="J975" s="9">
        <v>13</v>
      </c>
      <c r="K975" s="9"/>
      <c r="L975" s="9" t="s">
        <v>12079</v>
      </c>
      <c r="M975" s="9"/>
      <c r="N975" s="10"/>
      <c r="O975" s="9"/>
      <c r="P975" s="9">
        <v>75</v>
      </c>
      <c r="Q975" s="9"/>
      <c r="R975" s="9" t="s">
        <v>12795</v>
      </c>
      <c r="S975" s="9" t="s">
        <v>12795</v>
      </c>
      <c r="T975" s="9"/>
      <c r="U975" s="9"/>
      <c r="V975" s="9"/>
      <c r="W975" s="9"/>
      <c r="X975" s="9"/>
      <c r="Y975" s="9"/>
      <c r="Z975" s="9"/>
      <c r="AA975" s="9"/>
      <c r="AB975" s="9"/>
      <c r="AC975" s="9"/>
      <c r="AD975" s="9" t="s">
        <v>20</v>
      </c>
    </row>
    <row r="976" spans="1:30" ht="29">
      <c r="A976" s="3" t="s">
        <v>2793</v>
      </c>
      <c r="B976" s="3" t="s">
        <v>354</v>
      </c>
      <c r="C976" s="3" t="s">
        <v>355</v>
      </c>
      <c r="G976" s="9" t="s">
        <v>12118</v>
      </c>
      <c r="H976" s="9"/>
      <c r="I976" s="9"/>
      <c r="J976" s="9"/>
      <c r="K976" s="9"/>
      <c r="L976" s="9"/>
      <c r="M976" s="9"/>
      <c r="N976" s="10"/>
      <c r="O976" s="9"/>
      <c r="P976" s="9"/>
      <c r="Q976" s="9">
        <v>8</v>
      </c>
      <c r="R976" s="9">
        <v>20</v>
      </c>
      <c r="S976" s="9">
        <v>28</v>
      </c>
      <c r="T976" s="9"/>
      <c r="U976" s="9"/>
      <c r="V976" s="9"/>
      <c r="W976" s="9"/>
      <c r="X976" s="9"/>
      <c r="Y976" s="9"/>
      <c r="Z976" s="9"/>
      <c r="AA976" s="9"/>
      <c r="AB976" s="9"/>
      <c r="AC976" s="9"/>
      <c r="AD976" s="9" t="s">
        <v>19</v>
      </c>
    </row>
    <row r="977" spans="1:30" ht="29">
      <c r="A977" s="3" t="s">
        <v>2794</v>
      </c>
      <c r="B977" s="3" t="s">
        <v>7984</v>
      </c>
      <c r="C977" s="3" t="s">
        <v>7985</v>
      </c>
      <c r="G977" s="9" t="s">
        <v>25</v>
      </c>
      <c r="H977" s="9"/>
      <c r="I977" s="9">
        <v>1</v>
      </c>
      <c r="J977" s="9">
        <v>6</v>
      </c>
      <c r="K977" s="9" t="s">
        <v>12092</v>
      </c>
      <c r="L977" s="9" t="s">
        <v>12079</v>
      </c>
      <c r="M977" s="9"/>
      <c r="N977" s="10"/>
      <c r="O977" s="9"/>
      <c r="P977" s="9">
        <v>41</v>
      </c>
      <c r="Q977" s="9"/>
      <c r="R977" s="9" t="s">
        <v>12795</v>
      </c>
      <c r="S977" s="9" t="s">
        <v>12795</v>
      </c>
      <c r="T977" s="9"/>
      <c r="U977" s="9"/>
      <c r="V977" s="9"/>
      <c r="W977" s="9"/>
      <c r="X977" s="9"/>
      <c r="Y977" s="9"/>
      <c r="Z977" s="9"/>
      <c r="AA977" s="9"/>
      <c r="AB977" s="9"/>
      <c r="AC977" s="9"/>
      <c r="AD977" s="9" t="s">
        <v>19</v>
      </c>
    </row>
    <row r="978" spans="1:30" ht="29">
      <c r="A978" s="3" t="s">
        <v>2796</v>
      </c>
      <c r="B978" s="3" t="s">
        <v>7991</v>
      </c>
      <c r="C978" s="3" t="s">
        <v>7988</v>
      </c>
      <c r="G978" s="9" t="s">
        <v>25</v>
      </c>
      <c r="H978" s="9"/>
      <c r="I978" s="9">
        <v>2</v>
      </c>
      <c r="J978" s="9">
        <v>8</v>
      </c>
      <c r="K978" s="9"/>
      <c r="L978" s="9" t="s">
        <v>12079</v>
      </c>
      <c r="M978" s="9"/>
      <c r="N978" s="10"/>
      <c r="O978" s="9"/>
      <c r="P978" s="9">
        <v>58</v>
      </c>
      <c r="Q978" s="9"/>
      <c r="R978" s="9" t="s">
        <v>12795</v>
      </c>
      <c r="S978" s="9" t="s">
        <v>12795</v>
      </c>
      <c r="T978" s="9"/>
      <c r="U978" s="9"/>
      <c r="V978" s="9"/>
      <c r="W978" s="9"/>
      <c r="X978" s="9"/>
      <c r="Y978" s="9"/>
      <c r="Z978" s="9"/>
      <c r="AA978" s="9"/>
      <c r="AB978" s="9"/>
      <c r="AC978" s="9"/>
      <c r="AD978" s="9" t="s">
        <v>20</v>
      </c>
    </row>
    <row r="979" spans="1:30" ht="29">
      <c r="A979" s="3" t="s">
        <v>2797</v>
      </c>
      <c r="B979" s="3" t="s">
        <v>7992</v>
      </c>
      <c r="C979" s="3" t="s">
        <v>7993</v>
      </c>
      <c r="G979" s="9" t="s">
        <v>12120</v>
      </c>
      <c r="H979" s="9"/>
      <c r="I979" s="9"/>
      <c r="J979" s="9"/>
      <c r="K979" s="9"/>
      <c r="L979" s="9"/>
      <c r="M979" s="9"/>
      <c r="N979" s="10"/>
      <c r="O979" s="9"/>
      <c r="P979" s="9"/>
      <c r="Q979" s="9"/>
      <c r="R979" s="9" t="s">
        <v>12795</v>
      </c>
      <c r="S979" s="9" t="s">
        <v>12795</v>
      </c>
      <c r="T979" s="9"/>
      <c r="U979" s="9"/>
      <c r="V979" s="9"/>
      <c r="W979" s="9"/>
      <c r="X979" s="9"/>
      <c r="Y979" s="9"/>
      <c r="Z979" s="9"/>
      <c r="AA979" s="9"/>
      <c r="AB979" s="9"/>
      <c r="AC979" s="9"/>
      <c r="AD979" s="9" t="s">
        <v>20</v>
      </c>
    </row>
    <row r="980" spans="1:30">
      <c r="A980" s="3" t="s">
        <v>2798</v>
      </c>
      <c r="B980" s="3" t="s">
        <v>7997</v>
      </c>
      <c r="C980" s="3" t="s">
        <v>7996</v>
      </c>
      <c r="G980" s="9" t="s">
        <v>24</v>
      </c>
      <c r="H980" s="9"/>
      <c r="I980" s="9">
        <v>1</v>
      </c>
      <c r="J980" s="9">
        <v>2</v>
      </c>
      <c r="K980" s="9" t="s">
        <v>12087</v>
      </c>
      <c r="L980" s="9" t="s">
        <v>12119</v>
      </c>
      <c r="M980" s="9"/>
      <c r="N980" s="10"/>
      <c r="O980" s="9"/>
      <c r="P980" s="9">
        <v>1966</v>
      </c>
      <c r="Q980" s="9"/>
      <c r="R980" s="9" t="s">
        <v>12795</v>
      </c>
      <c r="S980" s="9" t="s">
        <v>12795</v>
      </c>
      <c r="T980" s="9"/>
      <c r="U980" s="9"/>
      <c r="V980" s="9"/>
      <c r="W980" s="9"/>
      <c r="X980" s="9"/>
      <c r="Y980" s="9"/>
      <c r="Z980" s="9"/>
      <c r="AA980" s="9"/>
      <c r="AB980" s="9"/>
      <c r="AC980" s="9"/>
      <c r="AD980" s="9" t="s">
        <v>19</v>
      </c>
    </row>
    <row r="981" spans="1:30" ht="29">
      <c r="A981" s="3" t="s">
        <v>2800</v>
      </c>
      <c r="B981" s="3" t="s">
        <v>8002</v>
      </c>
      <c r="C981" s="3" t="s">
        <v>8001</v>
      </c>
      <c r="G981" s="9" t="s">
        <v>25</v>
      </c>
      <c r="H981" s="9"/>
      <c r="I981" s="9">
        <v>1</v>
      </c>
      <c r="J981" s="9">
        <v>2</v>
      </c>
      <c r="K981" s="9" t="s">
        <v>12078</v>
      </c>
      <c r="L981" s="9" t="s">
        <v>12119</v>
      </c>
      <c r="M981" s="9"/>
      <c r="N981" s="10"/>
      <c r="O981" s="9"/>
      <c r="P981" s="9">
        <v>11843</v>
      </c>
      <c r="Q981" s="9"/>
      <c r="R981" s="9" t="s">
        <v>12795</v>
      </c>
      <c r="S981" s="9" t="s">
        <v>12795</v>
      </c>
      <c r="T981" s="9"/>
      <c r="U981" s="9"/>
      <c r="V981" s="9"/>
      <c r="W981" s="9"/>
      <c r="X981" s="9"/>
      <c r="Y981" s="9"/>
      <c r="Z981" s="9"/>
      <c r="AA981" s="9"/>
      <c r="AB981" s="9"/>
      <c r="AC981" s="9"/>
      <c r="AD981" s="9" t="s">
        <v>19</v>
      </c>
    </row>
    <row r="982" spans="1:30">
      <c r="A982" s="3" t="s">
        <v>2801</v>
      </c>
      <c r="B982" s="3" t="s">
        <v>8009</v>
      </c>
      <c r="C982" s="3" t="s">
        <v>8008</v>
      </c>
      <c r="G982" s="9" t="s">
        <v>25</v>
      </c>
      <c r="H982" s="9"/>
      <c r="I982" s="9">
        <v>1</v>
      </c>
      <c r="J982" s="9">
        <v>6</v>
      </c>
      <c r="K982" s="9" t="s">
        <v>12094</v>
      </c>
      <c r="L982" s="9" t="s">
        <v>12079</v>
      </c>
      <c r="M982" s="9"/>
      <c r="N982" s="10"/>
      <c r="O982" s="9"/>
      <c r="P982" s="9">
        <v>4240</v>
      </c>
      <c r="Q982" s="9"/>
      <c r="R982" s="9" t="s">
        <v>12795</v>
      </c>
      <c r="S982" s="9" t="s">
        <v>12795</v>
      </c>
      <c r="T982" s="9"/>
      <c r="U982" s="9"/>
      <c r="V982" s="9"/>
      <c r="W982" s="9"/>
      <c r="X982" s="9"/>
      <c r="Y982" s="9"/>
      <c r="Z982" s="9"/>
      <c r="AA982" s="9"/>
      <c r="AB982" s="9"/>
      <c r="AC982" s="9"/>
      <c r="AD982" s="9" t="s">
        <v>20</v>
      </c>
    </row>
    <row r="983" spans="1:30">
      <c r="A983" s="3" t="s">
        <v>2801</v>
      </c>
      <c r="B983" s="3" t="s">
        <v>8010</v>
      </c>
      <c r="C983" s="3" t="s">
        <v>8011</v>
      </c>
      <c r="G983" s="9" t="s">
        <v>12120</v>
      </c>
      <c r="H983" s="9"/>
      <c r="I983" s="9"/>
      <c r="J983" s="9"/>
      <c r="K983" s="9"/>
      <c r="L983" s="9"/>
      <c r="M983" s="9"/>
      <c r="N983" s="10"/>
      <c r="O983" s="9"/>
      <c r="P983" s="9"/>
      <c r="Q983" s="9"/>
      <c r="R983" s="9" t="s">
        <v>12795</v>
      </c>
      <c r="S983" s="9" t="s">
        <v>12795</v>
      </c>
      <c r="T983" s="9"/>
      <c r="U983" s="9"/>
      <c r="V983" s="9"/>
      <c r="W983" s="9"/>
      <c r="X983" s="9"/>
      <c r="Y983" s="9"/>
      <c r="Z983" s="9"/>
      <c r="AA983" s="9"/>
      <c r="AB983" s="9"/>
      <c r="AC983" s="9"/>
      <c r="AD983" s="9" t="s">
        <v>20</v>
      </c>
    </row>
    <row r="984" spans="1:30" ht="29">
      <c r="A984" s="3" t="s">
        <v>2802</v>
      </c>
      <c r="B984" s="3" t="s">
        <v>8013</v>
      </c>
      <c r="C984" s="3" t="s">
        <v>8012</v>
      </c>
      <c r="G984" s="9" t="s">
        <v>26</v>
      </c>
      <c r="H984" s="9"/>
      <c r="I984" s="9"/>
      <c r="J984" s="9"/>
      <c r="K984" s="9"/>
      <c r="L984" s="9"/>
      <c r="M984" s="9"/>
      <c r="N984" s="10"/>
      <c r="O984" s="9"/>
      <c r="P984" s="9"/>
      <c r="Q984" s="9"/>
      <c r="R984" s="9" t="s">
        <v>12795</v>
      </c>
      <c r="S984" s="9" t="s">
        <v>12795</v>
      </c>
      <c r="T984" s="9"/>
      <c r="U984" s="9"/>
      <c r="V984" s="9"/>
      <c r="W984" s="9"/>
      <c r="X984" s="9"/>
      <c r="Y984" s="9"/>
      <c r="Z984" s="9"/>
      <c r="AA984" s="9"/>
      <c r="AB984" s="9"/>
      <c r="AC984" s="9"/>
      <c r="AD984" s="9" t="s">
        <v>20</v>
      </c>
    </row>
    <row r="985" spans="1:30">
      <c r="A985" s="3" t="s">
        <v>2803</v>
      </c>
      <c r="B985" s="3" t="s">
        <v>8015</v>
      </c>
      <c r="C985" s="3" t="s">
        <v>8014</v>
      </c>
      <c r="G985" s="9" t="s">
        <v>26</v>
      </c>
      <c r="H985" s="9"/>
      <c r="I985" s="9"/>
      <c r="J985" s="9"/>
      <c r="K985" s="9"/>
      <c r="L985" s="9"/>
      <c r="M985" s="9"/>
      <c r="N985" s="10"/>
      <c r="O985" s="9"/>
      <c r="P985" s="9"/>
      <c r="Q985" s="9"/>
      <c r="R985" s="9" t="s">
        <v>12795</v>
      </c>
      <c r="S985" s="9" t="s">
        <v>12795</v>
      </c>
      <c r="T985" s="9"/>
      <c r="U985" s="9"/>
      <c r="V985" s="9"/>
      <c r="W985" s="9"/>
      <c r="X985" s="9"/>
      <c r="Y985" s="9"/>
      <c r="Z985" s="9"/>
      <c r="AA985" s="9"/>
      <c r="AB985" s="9"/>
      <c r="AC985" s="9"/>
      <c r="AD985" s="9" t="s">
        <v>20</v>
      </c>
    </row>
    <row r="986" spans="1:30" ht="29">
      <c r="A986" s="3" t="s">
        <v>2804</v>
      </c>
      <c r="B986" s="3" t="s">
        <v>8017</v>
      </c>
      <c r="C986" s="3" t="s">
        <v>8018</v>
      </c>
      <c r="G986" s="9" t="s">
        <v>26</v>
      </c>
      <c r="H986" s="9"/>
      <c r="I986" s="9"/>
      <c r="J986" s="9"/>
      <c r="K986" s="9"/>
      <c r="L986" s="9"/>
      <c r="M986" s="9"/>
      <c r="N986" s="10"/>
      <c r="O986" s="9"/>
      <c r="P986" s="9"/>
      <c r="Q986" s="9"/>
      <c r="R986" s="9" t="s">
        <v>12795</v>
      </c>
      <c r="S986" s="9" t="s">
        <v>12795</v>
      </c>
      <c r="T986" s="9"/>
      <c r="U986" s="9"/>
      <c r="V986" s="9"/>
      <c r="W986" s="9"/>
      <c r="X986" s="9"/>
      <c r="Y986" s="9"/>
      <c r="Z986" s="9"/>
      <c r="AA986" s="9"/>
      <c r="AB986" s="9"/>
      <c r="AC986" s="9"/>
      <c r="AD986" s="9" t="s">
        <v>19</v>
      </c>
    </row>
    <row r="987" spans="1:30" ht="29">
      <c r="A987" s="3" t="s">
        <v>2804</v>
      </c>
      <c r="B987" s="3" t="s">
        <v>8016</v>
      </c>
      <c r="C987" s="3" t="s">
        <v>8019</v>
      </c>
      <c r="G987" s="9" t="s">
        <v>24</v>
      </c>
      <c r="H987" s="9"/>
      <c r="I987" s="9">
        <v>1</v>
      </c>
      <c r="J987" s="9">
        <v>6</v>
      </c>
      <c r="K987" s="9" t="s">
        <v>12072</v>
      </c>
      <c r="L987" s="9" t="s">
        <v>12079</v>
      </c>
      <c r="M987" s="9"/>
      <c r="N987" s="10"/>
      <c r="O987" s="9"/>
      <c r="P987" s="9">
        <v>202</v>
      </c>
      <c r="Q987" s="9"/>
      <c r="R987" s="9" t="s">
        <v>12795</v>
      </c>
      <c r="S987" s="9" t="s">
        <v>12795</v>
      </c>
      <c r="T987" s="9"/>
      <c r="U987" s="9"/>
      <c r="V987" s="9"/>
      <c r="W987" s="9"/>
      <c r="X987" s="9"/>
      <c r="Y987" s="9"/>
      <c r="Z987" s="9"/>
      <c r="AA987" s="9"/>
      <c r="AB987" s="9"/>
      <c r="AC987" s="9"/>
      <c r="AD987" s="9" t="s">
        <v>19</v>
      </c>
    </row>
    <row r="988" spans="1:30" ht="29">
      <c r="A988" s="3" t="s">
        <v>2808</v>
      </c>
      <c r="B988" s="3" t="s">
        <v>8027</v>
      </c>
      <c r="C988" s="3" t="s">
        <v>8028</v>
      </c>
      <c r="G988" s="9" t="s">
        <v>25</v>
      </c>
      <c r="H988" s="9"/>
      <c r="I988" s="9">
        <v>1</v>
      </c>
      <c r="J988" s="9">
        <v>2</v>
      </c>
      <c r="K988" s="9" t="s">
        <v>12087</v>
      </c>
      <c r="L988" s="9" t="s">
        <v>12119</v>
      </c>
      <c r="M988" s="9"/>
      <c r="N988" s="10"/>
      <c r="O988" s="9"/>
      <c r="P988" s="9">
        <v>1966</v>
      </c>
      <c r="Q988" s="9"/>
      <c r="R988" s="9" t="s">
        <v>12795</v>
      </c>
      <c r="S988" s="9" t="s">
        <v>12795</v>
      </c>
      <c r="T988" s="9"/>
      <c r="U988" s="9"/>
      <c r="V988" s="9"/>
      <c r="W988" s="9"/>
      <c r="X988" s="9"/>
      <c r="Y988" s="9"/>
      <c r="Z988" s="9"/>
      <c r="AA988" s="9"/>
      <c r="AB988" s="9"/>
      <c r="AC988" s="9"/>
      <c r="AD988" s="9" t="s">
        <v>19</v>
      </c>
    </row>
    <row r="989" spans="1:30" ht="29">
      <c r="A989" s="3" t="s">
        <v>2810</v>
      </c>
      <c r="B989" s="3" t="s">
        <v>8034</v>
      </c>
      <c r="C989" s="3" t="s">
        <v>8033</v>
      </c>
      <c r="G989" s="9" t="s">
        <v>25</v>
      </c>
      <c r="H989" s="9"/>
      <c r="I989" s="9">
        <v>2</v>
      </c>
      <c r="J989" s="9">
        <v>12</v>
      </c>
      <c r="K989" s="9"/>
      <c r="L989" s="9" t="s">
        <v>12079</v>
      </c>
      <c r="M989" s="9"/>
      <c r="N989" s="10"/>
      <c r="O989" s="9"/>
      <c r="P989" s="9">
        <v>169</v>
      </c>
      <c r="Q989" s="9"/>
      <c r="R989" s="9" t="s">
        <v>12795</v>
      </c>
      <c r="S989" s="9" t="s">
        <v>12795</v>
      </c>
      <c r="T989" s="9"/>
      <c r="U989" s="9"/>
      <c r="V989" s="9"/>
      <c r="W989" s="9"/>
      <c r="X989" s="9"/>
      <c r="Y989" s="9"/>
      <c r="Z989" s="9"/>
      <c r="AA989" s="9"/>
      <c r="AB989" s="9"/>
      <c r="AC989" s="9"/>
      <c r="AD989" s="9" t="s">
        <v>19</v>
      </c>
    </row>
    <row r="990" spans="1:30" ht="29">
      <c r="A990" s="3" t="s">
        <v>2811</v>
      </c>
      <c r="B990" s="3" t="s">
        <v>8036</v>
      </c>
      <c r="C990" s="3" t="s">
        <v>8035</v>
      </c>
      <c r="G990" s="9" t="s">
        <v>24</v>
      </c>
      <c r="H990" s="9"/>
      <c r="I990" s="9">
        <v>1</v>
      </c>
      <c r="J990" s="9">
        <v>1</v>
      </c>
      <c r="K990" s="9" t="s">
        <v>12087</v>
      </c>
      <c r="L990" s="9" t="s">
        <v>12119</v>
      </c>
      <c r="M990" s="9"/>
      <c r="N990" s="10"/>
      <c r="O990" s="9"/>
      <c r="P990" s="9">
        <v>193</v>
      </c>
      <c r="Q990" s="9"/>
      <c r="R990" s="9" t="s">
        <v>12795</v>
      </c>
      <c r="S990" s="9" t="s">
        <v>12795</v>
      </c>
      <c r="T990" s="9"/>
      <c r="U990" s="9"/>
      <c r="V990" s="9"/>
      <c r="W990" s="9"/>
      <c r="X990" s="9"/>
      <c r="Y990" s="9"/>
      <c r="Z990" s="9"/>
      <c r="AA990" s="9"/>
      <c r="AB990" s="9"/>
      <c r="AC990" s="9"/>
      <c r="AD990" s="9" t="s">
        <v>19</v>
      </c>
    </row>
    <row r="991" spans="1:30" ht="29">
      <c r="A991" s="3" t="s">
        <v>2812</v>
      </c>
      <c r="B991" s="3" t="s">
        <v>8040</v>
      </c>
      <c r="C991" s="3" t="s">
        <v>8039</v>
      </c>
      <c r="G991" s="9" t="s">
        <v>25</v>
      </c>
      <c r="H991" s="9"/>
      <c r="I991" s="9">
        <v>1</v>
      </c>
      <c r="J991" s="9">
        <v>3</v>
      </c>
      <c r="K991" s="9" t="s">
        <v>12078</v>
      </c>
      <c r="L991" s="9" t="s">
        <v>12079</v>
      </c>
      <c r="M991" s="9"/>
      <c r="N991" s="10"/>
      <c r="O991" s="9"/>
      <c r="P991" s="9">
        <v>11843</v>
      </c>
      <c r="Q991" s="9"/>
      <c r="R991" s="9" t="s">
        <v>12795</v>
      </c>
      <c r="S991" s="9" t="s">
        <v>12795</v>
      </c>
      <c r="T991" s="9"/>
      <c r="U991" s="9"/>
      <c r="V991" s="9"/>
      <c r="W991" s="9"/>
      <c r="X991" s="9"/>
      <c r="Y991" s="9"/>
      <c r="Z991" s="9"/>
      <c r="AA991" s="9"/>
      <c r="AB991" s="9"/>
      <c r="AC991" s="9"/>
      <c r="AD991" s="9" t="s">
        <v>20</v>
      </c>
    </row>
    <row r="992" spans="1:30" ht="29">
      <c r="A992" s="3" t="s">
        <v>2814</v>
      </c>
      <c r="B992" s="3" t="s">
        <v>8045</v>
      </c>
      <c r="C992" s="3" t="s">
        <v>8046</v>
      </c>
      <c r="G992" s="9" t="s">
        <v>12118</v>
      </c>
      <c r="H992" s="9"/>
      <c r="I992" s="9"/>
      <c r="J992" s="9"/>
      <c r="K992" s="9"/>
      <c r="L992" s="9"/>
      <c r="M992" s="9"/>
      <c r="N992" s="10"/>
      <c r="O992" s="9"/>
      <c r="P992" s="9"/>
      <c r="Q992" s="9">
        <v>7</v>
      </c>
      <c r="R992" s="9">
        <v>20</v>
      </c>
      <c r="S992" s="9">
        <v>27</v>
      </c>
      <c r="T992" s="9"/>
      <c r="U992" s="9"/>
      <c r="V992" s="9"/>
      <c r="W992" s="9"/>
      <c r="X992" s="9"/>
      <c r="Y992" s="9"/>
      <c r="Z992" s="9"/>
      <c r="AA992" s="9"/>
      <c r="AB992" s="9"/>
      <c r="AC992" s="9"/>
      <c r="AD992" s="9" t="s">
        <v>20</v>
      </c>
    </row>
    <row r="993" spans="1:30" ht="29">
      <c r="A993" s="3" t="s">
        <v>2818</v>
      </c>
      <c r="B993" s="3" t="s">
        <v>8048</v>
      </c>
      <c r="C993" s="3" t="s">
        <v>8047</v>
      </c>
      <c r="G993" s="9" t="s">
        <v>12118</v>
      </c>
      <c r="H993" s="9"/>
      <c r="I993" s="9"/>
      <c r="J993" s="9"/>
      <c r="K993" s="9"/>
      <c r="L993" s="9"/>
      <c r="M993" s="9"/>
      <c r="N993" s="10"/>
      <c r="O993" s="9"/>
      <c r="P993" s="9"/>
      <c r="Q993" s="9">
        <v>64</v>
      </c>
      <c r="R993" s="9">
        <v>2</v>
      </c>
      <c r="S993" s="9">
        <v>66</v>
      </c>
      <c r="T993" s="9"/>
      <c r="U993" s="9"/>
      <c r="V993" s="9"/>
      <c r="W993" s="9"/>
      <c r="X993" s="9"/>
      <c r="Y993" s="9"/>
      <c r="Z993" s="9"/>
      <c r="AA993" s="9"/>
      <c r="AB993" s="9"/>
      <c r="AC993" s="9"/>
      <c r="AD993" s="9" t="s">
        <v>19</v>
      </c>
    </row>
    <row r="994" spans="1:30" ht="29">
      <c r="A994" s="3" t="s">
        <v>2818</v>
      </c>
      <c r="B994" s="3" t="s">
        <v>12420</v>
      </c>
      <c r="C994" s="3" t="s">
        <v>8049</v>
      </c>
      <c r="G994" s="9" t="s">
        <v>26</v>
      </c>
      <c r="H994" s="9"/>
      <c r="I994" s="9"/>
      <c r="J994" s="9"/>
      <c r="K994" s="9"/>
      <c r="L994" s="9"/>
      <c r="M994" s="9"/>
      <c r="N994" s="10"/>
      <c r="O994" s="9"/>
      <c r="P994" s="9"/>
      <c r="Q994" s="9"/>
      <c r="R994" s="9" t="s">
        <v>12795</v>
      </c>
      <c r="S994" s="9" t="s">
        <v>12795</v>
      </c>
      <c r="T994" s="9"/>
      <c r="U994" s="9"/>
      <c r="V994" s="9"/>
      <c r="W994" s="9"/>
      <c r="X994" s="9"/>
      <c r="Y994" s="9"/>
      <c r="Z994" s="9"/>
      <c r="AA994" s="9"/>
      <c r="AB994" s="9"/>
      <c r="AC994" s="9"/>
      <c r="AD994" s="9" t="s">
        <v>19</v>
      </c>
    </row>
    <row r="995" spans="1:30" ht="72.5">
      <c r="A995" s="3" t="s">
        <v>2823</v>
      </c>
      <c r="B995" s="3" t="s">
        <v>8055</v>
      </c>
      <c r="C995" s="3" t="s">
        <v>8056</v>
      </c>
      <c r="G995" s="9" t="s">
        <v>12118</v>
      </c>
      <c r="H995" s="9"/>
      <c r="I995" s="9"/>
      <c r="J995" s="9"/>
      <c r="K995" s="9"/>
      <c r="L995" s="9"/>
      <c r="M995" s="9"/>
      <c r="N995" s="10"/>
      <c r="O995" s="9"/>
      <c r="P995" s="9"/>
      <c r="Q995" s="9">
        <v>302</v>
      </c>
      <c r="R995" s="9">
        <v>508</v>
      </c>
      <c r="S995" s="9">
        <v>810</v>
      </c>
      <c r="T995" s="9"/>
      <c r="U995" s="9"/>
      <c r="V995" s="9"/>
      <c r="W995" s="9"/>
      <c r="X995" s="9"/>
      <c r="Y995" s="9"/>
      <c r="Z995" s="9"/>
      <c r="AA995" s="9"/>
      <c r="AB995" s="9"/>
      <c r="AC995" s="9"/>
      <c r="AD995" s="9" t="s">
        <v>20</v>
      </c>
    </row>
    <row r="996" spans="1:30">
      <c r="A996" s="3" t="s">
        <v>2824</v>
      </c>
      <c r="B996" s="3" t="s">
        <v>8058</v>
      </c>
      <c r="C996" s="3" t="s">
        <v>8057</v>
      </c>
      <c r="G996" s="9" t="s">
        <v>25</v>
      </c>
      <c r="H996" s="9"/>
      <c r="I996" s="9">
        <v>1</v>
      </c>
      <c r="J996" s="9">
        <v>2</v>
      </c>
      <c r="K996" s="9" t="s">
        <v>12123</v>
      </c>
      <c r="L996" s="9" t="s">
        <v>12119</v>
      </c>
      <c r="M996" s="9"/>
      <c r="N996" s="10"/>
      <c r="O996" s="9"/>
      <c r="P996" s="9">
        <v>887</v>
      </c>
      <c r="Q996" s="9"/>
      <c r="R996" s="9" t="s">
        <v>12795</v>
      </c>
      <c r="S996" s="9" t="s">
        <v>12795</v>
      </c>
      <c r="T996" s="9"/>
      <c r="U996" s="9"/>
      <c r="V996" s="9"/>
      <c r="W996" s="9"/>
      <c r="X996" s="9"/>
      <c r="Y996" s="9"/>
      <c r="Z996" s="9"/>
      <c r="AA996" s="9"/>
      <c r="AB996" s="9"/>
      <c r="AC996" s="9"/>
      <c r="AD996" s="9" t="s">
        <v>20</v>
      </c>
    </row>
    <row r="997" spans="1:30">
      <c r="A997" s="3" t="s">
        <v>2824</v>
      </c>
      <c r="B997" s="3" t="s">
        <v>8059</v>
      </c>
      <c r="C997" s="3" t="s">
        <v>8060</v>
      </c>
      <c r="G997" s="9" t="s">
        <v>12120</v>
      </c>
      <c r="H997" s="9"/>
      <c r="I997" s="9"/>
      <c r="J997" s="9"/>
      <c r="K997" s="9"/>
      <c r="L997" s="9"/>
      <c r="M997" s="9"/>
      <c r="N997" s="10"/>
      <c r="O997" s="9"/>
      <c r="P997" s="9"/>
      <c r="Q997" s="9"/>
      <c r="R997" s="9" t="s">
        <v>12795</v>
      </c>
      <c r="S997" s="9" t="s">
        <v>12795</v>
      </c>
      <c r="T997" s="9"/>
      <c r="U997" s="9"/>
      <c r="V997" s="9"/>
      <c r="W997" s="9"/>
      <c r="X997" s="9"/>
      <c r="Y997" s="9"/>
      <c r="Z997" s="9"/>
      <c r="AA997" s="9"/>
      <c r="AB997" s="9"/>
      <c r="AC997" s="9"/>
      <c r="AD997" s="9" t="s">
        <v>19</v>
      </c>
    </row>
    <row r="998" spans="1:30" ht="29">
      <c r="A998" s="3" t="s">
        <v>2825</v>
      </c>
      <c r="B998" s="3" t="s">
        <v>8062</v>
      </c>
      <c r="C998" s="3" t="s">
        <v>8061</v>
      </c>
      <c r="G998" s="9" t="s">
        <v>24</v>
      </c>
      <c r="H998" s="9"/>
      <c r="I998" s="9">
        <v>1</v>
      </c>
      <c r="J998" s="9">
        <v>4</v>
      </c>
      <c r="K998" s="9" t="s">
        <v>12078</v>
      </c>
      <c r="L998" s="9" t="s">
        <v>12073</v>
      </c>
      <c r="M998" s="9" t="s">
        <v>12149</v>
      </c>
      <c r="N998" s="10" t="s">
        <v>12143</v>
      </c>
      <c r="O998" s="9"/>
      <c r="P998" s="9">
        <v>11843</v>
      </c>
      <c r="Q998" s="9"/>
      <c r="R998" s="9" t="s">
        <v>12795</v>
      </c>
      <c r="S998" s="9" t="s">
        <v>12795</v>
      </c>
      <c r="T998" s="9"/>
      <c r="U998" s="9"/>
      <c r="V998" s="9"/>
      <c r="W998" s="9"/>
      <c r="X998" s="9"/>
      <c r="Y998" s="9"/>
      <c r="Z998" s="9"/>
      <c r="AA998" s="9"/>
      <c r="AB998" s="9"/>
      <c r="AC998" s="9"/>
      <c r="AD998" s="9" t="s">
        <v>20</v>
      </c>
    </row>
    <row r="999" spans="1:30" ht="29">
      <c r="A999" s="3" t="s">
        <v>2829</v>
      </c>
      <c r="B999" s="3" t="s">
        <v>8063</v>
      </c>
      <c r="C999" s="3" t="s">
        <v>8064</v>
      </c>
      <c r="G999" s="9" t="s">
        <v>25</v>
      </c>
      <c r="H999" s="9"/>
      <c r="I999" s="9">
        <v>1</v>
      </c>
      <c r="J999" s="9">
        <v>2</v>
      </c>
      <c r="K999" s="9" t="s">
        <v>12078</v>
      </c>
      <c r="L999" s="9" t="s">
        <v>12119</v>
      </c>
      <c r="M999" s="9"/>
      <c r="N999" s="10"/>
      <c r="O999" s="9"/>
      <c r="P999" s="9">
        <v>11843</v>
      </c>
      <c r="Q999" s="9"/>
      <c r="R999" s="9" t="s">
        <v>12795</v>
      </c>
      <c r="S999" s="9" t="s">
        <v>12795</v>
      </c>
      <c r="T999" s="9"/>
      <c r="U999" s="9"/>
      <c r="V999" s="9"/>
      <c r="W999" s="9"/>
      <c r="X999" s="9"/>
      <c r="Y999" s="9"/>
      <c r="Z999" s="9"/>
      <c r="AA999" s="9"/>
      <c r="AB999" s="9"/>
      <c r="AC999" s="9"/>
      <c r="AD999" s="9" t="s">
        <v>19</v>
      </c>
    </row>
    <row r="1000" spans="1:30" ht="29">
      <c r="A1000" s="3" t="s">
        <v>2832</v>
      </c>
      <c r="B1000" s="3" t="s">
        <v>8074</v>
      </c>
      <c r="C1000" s="3" t="s">
        <v>8075</v>
      </c>
      <c r="G1000" s="9" t="s">
        <v>12120</v>
      </c>
      <c r="H1000" s="9"/>
      <c r="I1000" s="9"/>
      <c r="J1000" s="9"/>
      <c r="K1000" s="9"/>
      <c r="L1000" s="9"/>
      <c r="M1000" s="9"/>
      <c r="N1000" s="10"/>
      <c r="O1000" s="9"/>
      <c r="P1000" s="9"/>
      <c r="Q1000" s="9"/>
      <c r="R1000" s="9" t="s">
        <v>12795</v>
      </c>
      <c r="S1000" s="9" t="s">
        <v>12795</v>
      </c>
      <c r="T1000" s="9"/>
      <c r="U1000" s="9"/>
      <c r="V1000" s="9"/>
      <c r="W1000" s="9"/>
      <c r="X1000" s="9"/>
      <c r="Y1000" s="9"/>
      <c r="Z1000" s="9"/>
      <c r="AA1000" s="9"/>
      <c r="AB1000" s="9"/>
      <c r="AC1000" s="9"/>
      <c r="AD1000" s="9" t="s">
        <v>20</v>
      </c>
    </row>
    <row r="1001" spans="1:30" ht="58">
      <c r="A1001" s="3" t="s">
        <v>2833</v>
      </c>
      <c r="B1001" s="3" t="s">
        <v>8080</v>
      </c>
      <c r="C1001" s="3" t="s">
        <v>8079</v>
      </c>
      <c r="G1001" s="9" t="s">
        <v>12118</v>
      </c>
      <c r="H1001" s="9"/>
      <c r="I1001" s="9"/>
      <c r="J1001" s="9"/>
      <c r="K1001" s="9"/>
      <c r="L1001" s="9"/>
      <c r="M1001" s="9"/>
      <c r="N1001" s="10"/>
      <c r="O1001" s="9"/>
      <c r="P1001" s="9"/>
      <c r="Q1001" s="9">
        <v>-361</v>
      </c>
      <c r="R1001" s="9">
        <v>887</v>
      </c>
      <c r="S1001" s="9">
        <v>526</v>
      </c>
      <c r="T1001" s="9"/>
      <c r="U1001" s="9"/>
      <c r="V1001" s="9"/>
      <c r="W1001" s="9"/>
      <c r="X1001" s="9"/>
      <c r="Y1001" s="9"/>
      <c r="Z1001" s="9"/>
      <c r="AA1001" s="9"/>
      <c r="AB1001" s="9"/>
      <c r="AC1001" s="9"/>
      <c r="AD1001" s="9" t="s">
        <v>19</v>
      </c>
    </row>
    <row r="1002" spans="1:30" ht="58">
      <c r="A1002" s="3" t="s">
        <v>2833</v>
      </c>
      <c r="B1002" s="3" t="s">
        <v>8081</v>
      </c>
      <c r="C1002" s="3" t="s">
        <v>8078</v>
      </c>
      <c r="G1002" s="9" t="s">
        <v>25</v>
      </c>
      <c r="H1002" s="9"/>
      <c r="I1002" s="9">
        <v>2</v>
      </c>
      <c r="J1002" s="9">
        <v>9</v>
      </c>
      <c r="K1002" s="9"/>
      <c r="L1002" s="9" t="s">
        <v>12073</v>
      </c>
      <c r="M1002" s="9" t="s">
        <v>12140</v>
      </c>
      <c r="N1002" s="10" t="s">
        <v>12193</v>
      </c>
      <c r="O1002" s="9"/>
      <c r="P1002" s="9">
        <v>8</v>
      </c>
      <c r="Q1002" s="9"/>
      <c r="R1002" s="9" t="s">
        <v>12795</v>
      </c>
      <c r="S1002" s="9" t="s">
        <v>12795</v>
      </c>
      <c r="T1002" s="9"/>
      <c r="U1002" s="9"/>
      <c r="V1002" s="9"/>
      <c r="W1002" s="9"/>
      <c r="X1002" s="9"/>
      <c r="Y1002" s="9"/>
      <c r="Z1002" s="9"/>
      <c r="AA1002" s="9"/>
      <c r="AB1002" s="9"/>
      <c r="AC1002" s="9"/>
      <c r="AD1002" s="9" t="s">
        <v>20</v>
      </c>
    </row>
    <row r="1003" spans="1:30" ht="58">
      <c r="A1003" s="3" t="s">
        <v>2833</v>
      </c>
      <c r="B1003" s="3" t="s">
        <v>8082</v>
      </c>
      <c r="C1003" s="3" t="s">
        <v>8083</v>
      </c>
      <c r="G1003" s="9" t="s">
        <v>12118</v>
      </c>
      <c r="H1003" s="9"/>
      <c r="I1003" s="9"/>
      <c r="J1003" s="9"/>
      <c r="K1003" s="9"/>
      <c r="L1003" s="9"/>
      <c r="M1003" s="9"/>
      <c r="N1003" s="10"/>
      <c r="O1003" s="9"/>
      <c r="P1003" s="9"/>
      <c r="Q1003" s="9">
        <v>361</v>
      </c>
      <c r="R1003" s="9">
        <v>526</v>
      </c>
      <c r="S1003" s="9">
        <v>887</v>
      </c>
      <c r="T1003" s="9"/>
      <c r="U1003" s="9"/>
      <c r="V1003" s="9"/>
      <c r="W1003" s="9"/>
      <c r="X1003" s="9"/>
      <c r="Y1003" s="9"/>
      <c r="Z1003" s="9"/>
      <c r="AA1003" s="9"/>
      <c r="AB1003" s="9"/>
      <c r="AC1003" s="9"/>
      <c r="AD1003" s="9" t="s">
        <v>19</v>
      </c>
    </row>
    <row r="1004" spans="1:30" ht="29">
      <c r="A1004" s="3" t="s">
        <v>2833</v>
      </c>
      <c r="B1004" s="3" t="s">
        <v>8084</v>
      </c>
      <c r="C1004" s="3" t="s">
        <v>8085</v>
      </c>
      <c r="G1004" s="9" t="s">
        <v>24</v>
      </c>
      <c r="H1004" s="9"/>
      <c r="I1004" s="9">
        <v>1</v>
      </c>
      <c r="J1004" s="9">
        <v>3</v>
      </c>
      <c r="K1004" s="9" t="s">
        <v>12094</v>
      </c>
      <c r="L1004" s="9" t="s">
        <v>12079</v>
      </c>
      <c r="M1004" s="9"/>
      <c r="N1004" s="10"/>
      <c r="O1004" s="9"/>
      <c r="P1004" s="9">
        <v>1741</v>
      </c>
      <c r="Q1004" s="9"/>
      <c r="R1004" s="9" t="s">
        <v>12795</v>
      </c>
      <c r="S1004" s="9" t="s">
        <v>12795</v>
      </c>
      <c r="T1004" s="9"/>
      <c r="U1004" s="9"/>
      <c r="V1004" s="9"/>
      <c r="W1004" s="9"/>
      <c r="X1004" s="9"/>
      <c r="Y1004" s="9"/>
      <c r="Z1004" s="9"/>
      <c r="AA1004" s="9"/>
      <c r="AB1004" s="9"/>
      <c r="AC1004" s="9"/>
      <c r="AD1004" s="9" t="s">
        <v>19</v>
      </c>
    </row>
    <row r="1005" spans="1:30" ht="29">
      <c r="A1005" s="3" t="s">
        <v>2834</v>
      </c>
      <c r="B1005" s="3" t="s">
        <v>8086</v>
      </c>
      <c r="C1005" s="3" t="s">
        <v>8087</v>
      </c>
      <c r="G1005" s="9" t="s">
        <v>12118</v>
      </c>
      <c r="H1005" s="9"/>
      <c r="I1005" s="9"/>
      <c r="J1005" s="9"/>
      <c r="K1005" s="9"/>
      <c r="L1005" s="9"/>
      <c r="M1005" s="9"/>
      <c r="N1005" s="10"/>
      <c r="O1005" s="9"/>
      <c r="P1005" s="9"/>
      <c r="Q1005" s="9">
        <v>768</v>
      </c>
      <c r="R1005" s="9">
        <v>42</v>
      </c>
      <c r="S1005" s="9">
        <v>810</v>
      </c>
      <c r="T1005" s="9"/>
      <c r="U1005" s="9"/>
      <c r="V1005" s="9"/>
      <c r="W1005" s="9"/>
      <c r="X1005" s="9"/>
      <c r="Y1005" s="9"/>
      <c r="Z1005" s="9"/>
      <c r="AA1005" s="9"/>
      <c r="AB1005" s="9"/>
      <c r="AC1005" s="9"/>
      <c r="AD1005" s="9" t="s">
        <v>20</v>
      </c>
    </row>
    <row r="1006" spans="1:30" ht="29">
      <c r="A1006" s="3" t="s">
        <v>2834</v>
      </c>
      <c r="B1006" s="3" t="s">
        <v>8089</v>
      </c>
      <c r="C1006" s="3" t="s">
        <v>8088</v>
      </c>
      <c r="G1006" s="9" t="s">
        <v>25</v>
      </c>
      <c r="H1006" s="9"/>
      <c r="I1006" s="9">
        <v>1</v>
      </c>
      <c r="J1006" s="9">
        <v>4</v>
      </c>
      <c r="K1006" s="9" t="s">
        <v>12078</v>
      </c>
      <c r="L1006" s="9" t="s">
        <v>12073</v>
      </c>
      <c r="M1006" s="9" t="s">
        <v>12149</v>
      </c>
      <c r="N1006" s="10" t="s">
        <v>12143</v>
      </c>
      <c r="O1006" s="9"/>
      <c r="P1006" s="9">
        <v>11843</v>
      </c>
      <c r="Q1006" s="9"/>
      <c r="R1006" s="9" t="s">
        <v>12795</v>
      </c>
      <c r="S1006" s="9" t="s">
        <v>12795</v>
      </c>
      <c r="T1006" s="9"/>
      <c r="U1006" s="9"/>
      <c r="V1006" s="9"/>
      <c r="W1006" s="9"/>
      <c r="X1006" s="9"/>
      <c r="Y1006" s="9"/>
      <c r="Z1006" s="9"/>
      <c r="AA1006" s="9"/>
      <c r="AB1006" s="9"/>
      <c r="AC1006" s="9"/>
      <c r="AD1006" s="9" t="s">
        <v>19</v>
      </c>
    </row>
    <row r="1007" spans="1:30" ht="29">
      <c r="A1007" s="3" t="s">
        <v>2834</v>
      </c>
      <c r="B1007" s="3" t="s">
        <v>8091</v>
      </c>
      <c r="C1007" s="3" t="s">
        <v>8090</v>
      </c>
      <c r="G1007" s="9" t="s">
        <v>12120</v>
      </c>
      <c r="H1007" s="9"/>
      <c r="I1007" s="9"/>
      <c r="J1007" s="9"/>
      <c r="K1007" s="9"/>
      <c r="L1007" s="9"/>
      <c r="M1007" s="9"/>
      <c r="N1007" s="10"/>
      <c r="O1007" s="9"/>
      <c r="P1007" s="9"/>
      <c r="Q1007" s="9"/>
      <c r="R1007" s="9" t="s">
        <v>12795</v>
      </c>
      <c r="S1007" s="9" t="s">
        <v>12795</v>
      </c>
      <c r="T1007" s="9"/>
      <c r="U1007" s="9"/>
      <c r="V1007" s="9"/>
      <c r="W1007" s="9"/>
      <c r="X1007" s="9"/>
      <c r="Y1007" s="9"/>
      <c r="Z1007" s="9"/>
      <c r="AA1007" s="9"/>
      <c r="AB1007" s="9"/>
      <c r="AC1007" s="9"/>
      <c r="AD1007" s="9" t="s">
        <v>19</v>
      </c>
    </row>
    <row r="1008" spans="1:30" ht="29">
      <c r="A1008" s="3" t="s">
        <v>2836</v>
      </c>
      <c r="B1008" s="3" t="s">
        <v>8093</v>
      </c>
      <c r="C1008" s="3" t="s">
        <v>8094</v>
      </c>
      <c r="G1008" s="9" t="s">
        <v>12118</v>
      </c>
      <c r="H1008" s="9"/>
      <c r="I1008" s="9"/>
      <c r="J1008" s="9"/>
      <c r="K1008" s="9"/>
      <c r="L1008" s="9"/>
      <c r="M1008" s="9"/>
      <c r="N1008" s="10"/>
      <c r="O1008" s="9"/>
      <c r="P1008" s="9"/>
      <c r="Q1008" s="9">
        <v>342</v>
      </c>
      <c r="R1008" s="9">
        <v>165</v>
      </c>
      <c r="S1008" s="9">
        <v>507</v>
      </c>
      <c r="T1008" s="9"/>
      <c r="U1008" s="9"/>
      <c r="V1008" s="9"/>
      <c r="W1008" s="9"/>
      <c r="X1008" s="9"/>
      <c r="Y1008" s="9"/>
      <c r="Z1008" s="9"/>
      <c r="AA1008" s="9"/>
      <c r="AB1008" s="9"/>
      <c r="AC1008" s="9"/>
      <c r="AD1008" s="9" t="s">
        <v>20</v>
      </c>
    </row>
    <row r="1009" spans="1:30" ht="29">
      <c r="A1009" s="3" t="s">
        <v>2837</v>
      </c>
      <c r="B1009" s="3" t="s">
        <v>8096</v>
      </c>
      <c r="C1009" s="3" t="s">
        <v>8095</v>
      </c>
      <c r="G1009" s="9" t="s">
        <v>25</v>
      </c>
      <c r="H1009" s="9"/>
      <c r="I1009" s="9">
        <v>1</v>
      </c>
      <c r="J1009" s="9">
        <v>2</v>
      </c>
      <c r="K1009" s="9" t="s">
        <v>12123</v>
      </c>
      <c r="L1009" s="9" t="s">
        <v>12119</v>
      </c>
      <c r="M1009" s="9"/>
      <c r="N1009" s="10"/>
      <c r="O1009" s="9"/>
      <c r="P1009" s="9">
        <v>526</v>
      </c>
      <c r="Q1009" s="9"/>
      <c r="R1009" s="9" t="s">
        <v>12795</v>
      </c>
      <c r="S1009" s="9" t="s">
        <v>12795</v>
      </c>
      <c r="T1009" s="9"/>
      <c r="U1009" s="9"/>
      <c r="V1009" s="9"/>
      <c r="W1009" s="9"/>
      <c r="X1009" s="9"/>
      <c r="Y1009" s="9"/>
      <c r="Z1009" s="9"/>
      <c r="AA1009" s="9"/>
      <c r="AB1009" s="9"/>
      <c r="AC1009" s="9"/>
      <c r="AD1009" s="9" t="s">
        <v>20</v>
      </c>
    </row>
    <row r="1010" spans="1:30" ht="29">
      <c r="A1010" s="3" t="s">
        <v>2837</v>
      </c>
      <c r="B1010" s="3" t="s">
        <v>8097</v>
      </c>
      <c r="C1010" s="3" t="s">
        <v>8098</v>
      </c>
      <c r="G1010" s="9" t="s">
        <v>12118</v>
      </c>
      <c r="H1010" s="9"/>
      <c r="I1010" s="9"/>
      <c r="J1010" s="9"/>
      <c r="K1010" s="9"/>
      <c r="L1010" s="9"/>
      <c r="M1010" s="9"/>
      <c r="N1010" s="10"/>
      <c r="O1010" s="9"/>
      <c r="P1010" s="9"/>
      <c r="Q1010" s="9">
        <v>-163</v>
      </c>
      <c r="R1010" s="9">
        <v>169</v>
      </c>
      <c r="S1010" s="9">
        <v>6</v>
      </c>
      <c r="T1010" s="9"/>
      <c r="U1010" s="9"/>
      <c r="V1010" s="9"/>
      <c r="W1010" s="9"/>
      <c r="X1010" s="9"/>
      <c r="Y1010" s="9"/>
      <c r="Z1010" s="9"/>
      <c r="AA1010" s="9"/>
      <c r="AB1010" s="9"/>
      <c r="AC1010" s="9"/>
      <c r="AD1010" s="9" t="s">
        <v>19</v>
      </c>
    </row>
    <row r="1011" spans="1:30" ht="29">
      <c r="A1011" s="3" t="s">
        <v>2849</v>
      </c>
      <c r="B1011" s="3" t="s">
        <v>8102</v>
      </c>
      <c r="C1011" s="3" t="s">
        <v>8101</v>
      </c>
      <c r="G1011" s="9" t="s">
        <v>12120</v>
      </c>
      <c r="H1011" s="9"/>
      <c r="I1011" s="9"/>
      <c r="J1011" s="9"/>
      <c r="K1011" s="9"/>
      <c r="L1011" s="9"/>
      <c r="M1011" s="9"/>
      <c r="N1011" s="10"/>
      <c r="O1011" s="9"/>
      <c r="P1011" s="9"/>
      <c r="Q1011" s="9"/>
      <c r="R1011" s="9" t="s">
        <v>12795</v>
      </c>
      <c r="S1011" s="9" t="s">
        <v>12795</v>
      </c>
      <c r="T1011" s="9"/>
      <c r="U1011" s="9"/>
      <c r="V1011" s="9"/>
      <c r="W1011" s="9"/>
      <c r="X1011" s="9"/>
      <c r="Y1011" s="9"/>
      <c r="Z1011" s="9"/>
      <c r="AA1011" s="9"/>
      <c r="AB1011" s="9"/>
      <c r="AC1011" s="9"/>
      <c r="AD1011" s="9" t="s">
        <v>19</v>
      </c>
    </row>
    <row r="1012" spans="1:30" ht="29">
      <c r="A1012" s="3" t="s">
        <v>2856</v>
      </c>
      <c r="B1012" s="3" t="s">
        <v>8107</v>
      </c>
      <c r="C1012" s="3" t="s">
        <v>8108</v>
      </c>
      <c r="G1012" s="9" t="s">
        <v>24</v>
      </c>
      <c r="H1012" s="9"/>
      <c r="I1012" s="9">
        <v>1</v>
      </c>
      <c r="J1012" s="9">
        <v>8</v>
      </c>
      <c r="K1012" s="9" t="s">
        <v>12098</v>
      </c>
      <c r="L1012" s="9" t="s">
        <v>12073</v>
      </c>
      <c r="M1012" s="9" t="s">
        <v>12142</v>
      </c>
      <c r="N1012" s="10" t="s">
        <v>12160</v>
      </c>
      <c r="O1012" s="9"/>
      <c r="P1012" s="9">
        <v>2042</v>
      </c>
      <c r="Q1012" s="9"/>
      <c r="R1012" s="9" t="s">
        <v>12795</v>
      </c>
      <c r="S1012" s="9" t="s">
        <v>12795</v>
      </c>
      <c r="T1012" s="9"/>
      <c r="U1012" s="9"/>
      <c r="V1012" s="9"/>
      <c r="W1012" s="9"/>
      <c r="X1012" s="9"/>
      <c r="Y1012" s="9"/>
      <c r="Z1012" s="9"/>
      <c r="AA1012" s="9"/>
      <c r="AB1012" s="9"/>
      <c r="AC1012" s="9"/>
      <c r="AD1012" s="9" t="s">
        <v>19</v>
      </c>
    </row>
    <row r="1013" spans="1:30">
      <c r="A1013" s="3" t="s">
        <v>2857</v>
      </c>
      <c r="B1013" s="3" t="s">
        <v>8111</v>
      </c>
      <c r="C1013" s="3" t="s">
        <v>8112</v>
      </c>
      <c r="G1013" s="9" t="s">
        <v>25</v>
      </c>
      <c r="H1013" s="9"/>
      <c r="I1013" s="9">
        <v>1</v>
      </c>
      <c r="J1013" s="9">
        <v>1</v>
      </c>
      <c r="K1013" s="9" t="s">
        <v>12078</v>
      </c>
      <c r="L1013" s="9" t="s">
        <v>12119</v>
      </c>
      <c r="M1013" s="9"/>
      <c r="N1013" s="10"/>
      <c r="O1013" s="9"/>
      <c r="P1013" s="9">
        <v>11843</v>
      </c>
      <c r="Q1013" s="9"/>
      <c r="R1013" s="9" t="s">
        <v>12795</v>
      </c>
      <c r="S1013" s="9" t="s">
        <v>12795</v>
      </c>
      <c r="T1013" s="9"/>
      <c r="U1013" s="9"/>
      <c r="V1013" s="9"/>
      <c r="W1013" s="9"/>
      <c r="X1013" s="9"/>
      <c r="Y1013" s="9"/>
      <c r="Z1013" s="9"/>
      <c r="AA1013" s="9"/>
      <c r="AB1013" s="9"/>
      <c r="AC1013" s="9"/>
      <c r="AD1013" s="9" t="s">
        <v>19</v>
      </c>
    </row>
    <row r="1014" spans="1:30" ht="29">
      <c r="A1014" s="3" t="s">
        <v>2858</v>
      </c>
      <c r="B1014" s="3" t="s">
        <v>8118</v>
      </c>
      <c r="C1014" s="3" t="s">
        <v>8119</v>
      </c>
      <c r="G1014" s="9" t="s">
        <v>25</v>
      </c>
      <c r="H1014" s="9"/>
      <c r="I1014" s="9">
        <v>1</v>
      </c>
      <c r="J1014" s="9">
        <v>5</v>
      </c>
      <c r="K1014" s="9" t="s">
        <v>12125</v>
      </c>
      <c r="L1014" s="9" t="s">
        <v>12079</v>
      </c>
      <c r="M1014" s="9"/>
      <c r="N1014" s="10"/>
      <c r="O1014" s="9"/>
      <c r="P1014" s="9">
        <v>1565</v>
      </c>
      <c r="Q1014" s="9"/>
      <c r="R1014" s="9" t="s">
        <v>12795</v>
      </c>
      <c r="S1014" s="9" t="s">
        <v>12795</v>
      </c>
      <c r="T1014" s="9"/>
      <c r="U1014" s="9"/>
      <c r="V1014" s="9"/>
      <c r="W1014" s="9"/>
      <c r="X1014" s="9"/>
      <c r="Y1014" s="9"/>
      <c r="Z1014" s="9"/>
      <c r="AA1014" s="9"/>
      <c r="AB1014" s="9"/>
      <c r="AC1014" s="9"/>
      <c r="AD1014" s="9" t="s">
        <v>20</v>
      </c>
    </row>
    <row r="1015" spans="1:30" ht="29">
      <c r="A1015" s="3" t="s">
        <v>2859</v>
      </c>
      <c r="B1015" s="3" t="s">
        <v>8120</v>
      </c>
      <c r="C1015" s="3" t="s">
        <v>8121</v>
      </c>
      <c r="G1015" s="9" t="s">
        <v>25</v>
      </c>
      <c r="H1015" s="9"/>
      <c r="I1015" s="9">
        <v>1</v>
      </c>
      <c r="J1015" s="9">
        <v>2</v>
      </c>
      <c r="K1015" s="9" t="s">
        <v>12078</v>
      </c>
      <c r="L1015" s="9" t="s">
        <v>12119</v>
      </c>
      <c r="M1015" s="9"/>
      <c r="N1015" s="10"/>
      <c r="O1015" s="9"/>
      <c r="P1015" s="9">
        <v>11843</v>
      </c>
      <c r="Q1015" s="9"/>
      <c r="R1015" s="9" t="s">
        <v>12795</v>
      </c>
      <c r="S1015" s="9" t="s">
        <v>12795</v>
      </c>
      <c r="T1015" s="9"/>
      <c r="U1015" s="9"/>
      <c r="V1015" s="9"/>
      <c r="W1015" s="9"/>
      <c r="X1015" s="9"/>
      <c r="Y1015" s="9"/>
      <c r="Z1015" s="9"/>
      <c r="AA1015" s="9"/>
      <c r="AB1015" s="9"/>
      <c r="AC1015" s="9"/>
      <c r="AD1015" s="9" t="s">
        <v>20</v>
      </c>
    </row>
    <row r="1016" spans="1:30" ht="29">
      <c r="A1016" s="3" t="s">
        <v>2862</v>
      </c>
      <c r="B1016" s="3" t="s">
        <v>8122</v>
      </c>
      <c r="C1016" s="3" t="s">
        <v>8123</v>
      </c>
      <c r="G1016" s="9" t="s">
        <v>12118</v>
      </c>
      <c r="H1016" s="9"/>
      <c r="I1016" s="9"/>
      <c r="J1016" s="9"/>
      <c r="K1016" s="9"/>
      <c r="L1016" s="9"/>
      <c r="M1016" s="9"/>
      <c r="N1016" s="10"/>
      <c r="O1016" s="9"/>
      <c r="P1016" s="9"/>
      <c r="Q1016" s="9">
        <v>-1610</v>
      </c>
      <c r="R1016" s="9">
        <v>1966</v>
      </c>
      <c r="S1016" s="9">
        <v>356</v>
      </c>
      <c r="T1016" s="9"/>
      <c r="U1016" s="9"/>
      <c r="V1016" s="9"/>
      <c r="W1016" s="9"/>
      <c r="X1016" s="9"/>
      <c r="Y1016" s="9"/>
      <c r="Z1016" s="9"/>
      <c r="AA1016" s="9"/>
      <c r="AB1016" s="9"/>
      <c r="AC1016" s="9"/>
      <c r="AD1016" s="9" t="s">
        <v>19</v>
      </c>
    </row>
    <row r="1017" spans="1:30" ht="29">
      <c r="A1017" s="3" t="s">
        <v>2862</v>
      </c>
      <c r="B1017" s="3" t="s">
        <v>8124</v>
      </c>
      <c r="C1017" s="3" t="s">
        <v>8125</v>
      </c>
      <c r="G1017" s="9" t="s">
        <v>12120</v>
      </c>
      <c r="H1017" s="9"/>
      <c r="I1017" s="9"/>
      <c r="J1017" s="9"/>
      <c r="K1017" s="9"/>
      <c r="L1017" s="9"/>
      <c r="M1017" s="9"/>
      <c r="N1017" s="10"/>
      <c r="O1017" s="9"/>
      <c r="P1017" s="9"/>
      <c r="Q1017" s="9"/>
      <c r="R1017" s="9" t="s">
        <v>12795</v>
      </c>
      <c r="S1017" s="9" t="s">
        <v>12795</v>
      </c>
      <c r="T1017" s="9"/>
      <c r="U1017" s="9"/>
      <c r="V1017" s="9"/>
      <c r="W1017" s="9"/>
      <c r="X1017" s="9"/>
      <c r="Y1017" s="9"/>
      <c r="Z1017" s="9"/>
      <c r="AA1017" s="9"/>
      <c r="AB1017" s="9"/>
      <c r="AC1017" s="9"/>
      <c r="AD1017" s="9" t="s">
        <v>19</v>
      </c>
    </row>
    <row r="1018" spans="1:30" ht="29">
      <c r="A1018" s="3" t="s">
        <v>2864</v>
      </c>
      <c r="B1018" s="3" t="s">
        <v>2865</v>
      </c>
      <c r="C1018" s="3" t="s">
        <v>2866</v>
      </c>
      <c r="G1018" s="9" t="s">
        <v>12120</v>
      </c>
      <c r="H1018" s="9"/>
      <c r="I1018" s="9"/>
      <c r="J1018" s="9"/>
      <c r="K1018" s="9"/>
      <c r="L1018" s="9"/>
      <c r="M1018" s="9"/>
      <c r="N1018" s="10"/>
      <c r="O1018" s="9"/>
      <c r="P1018" s="9"/>
      <c r="Q1018" s="9"/>
      <c r="R1018" s="9" t="s">
        <v>12795</v>
      </c>
      <c r="S1018" s="9" t="s">
        <v>12795</v>
      </c>
      <c r="T1018" s="9"/>
      <c r="U1018" s="9"/>
      <c r="V1018" s="9"/>
      <c r="W1018" s="9"/>
      <c r="X1018" s="9"/>
      <c r="Y1018" s="9"/>
      <c r="Z1018" s="9"/>
      <c r="AA1018" s="9"/>
      <c r="AB1018" s="9"/>
      <c r="AC1018" s="9"/>
      <c r="AD1018" s="9" t="s">
        <v>19</v>
      </c>
    </row>
    <row r="1019" spans="1:30" ht="29">
      <c r="A1019" s="3" t="s">
        <v>2869</v>
      </c>
      <c r="B1019" s="3" t="s">
        <v>2870</v>
      </c>
      <c r="C1019" s="3" t="s">
        <v>2871</v>
      </c>
      <c r="G1019" s="9" t="s">
        <v>12120</v>
      </c>
      <c r="H1019" s="9"/>
      <c r="I1019" s="9"/>
      <c r="J1019" s="9"/>
      <c r="K1019" s="9"/>
      <c r="L1019" s="9"/>
      <c r="M1019" s="9"/>
      <c r="N1019" s="10"/>
      <c r="O1019" s="9"/>
      <c r="P1019" s="9"/>
      <c r="Q1019" s="9"/>
      <c r="R1019" s="9" t="s">
        <v>12795</v>
      </c>
      <c r="S1019" s="9" t="s">
        <v>12795</v>
      </c>
      <c r="T1019" s="9"/>
      <c r="U1019" s="9"/>
      <c r="V1019" s="9"/>
      <c r="W1019" s="9"/>
      <c r="X1019" s="9"/>
      <c r="Y1019" s="9"/>
      <c r="Z1019" s="9"/>
      <c r="AA1019" s="9"/>
      <c r="AB1019" s="9"/>
      <c r="AC1019" s="9"/>
      <c r="AD1019" s="9" t="s">
        <v>20</v>
      </c>
    </row>
    <row r="1020" spans="1:30" ht="29">
      <c r="A1020" s="3" t="s">
        <v>2872</v>
      </c>
      <c r="B1020" s="3" t="s">
        <v>8132</v>
      </c>
      <c r="C1020" s="3" t="s">
        <v>8131</v>
      </c>
      <c r="G1020" s="9" t="s">
        <v>26</v>
      </c>
      <c r="H1020" s="9"/>
      <c r="I1020" s="9"/>
      <c r="J1020" s="9"/>
      <c r="K1020" s="9"/>
      <c r="L1020" s="9"/>
      <c r="M1020" s="9"/>
      <c r="N1020" s="10"/>
      <c r="O1020" s="9"/>
      <c r="P1020" s="9"/>
      <c r="Q1020" s="9"/>
      <c r="R1020" s="9" t="s">
        <v>12795</v>
      </c>
      <c r="S1020" s="9" t="s">
        <v>12795</v>
      </c>
      <c r="T1020" s="9"/>
      <c r="U1020" s="9"/>
      <c r="V1020" s="9"/>
      <c r="W1020" s="9"/>
      <c r="X1020" s="9"/>
      <c r="Y1020" s="9"/>
      <c r="Z1020" s="9"/>
      <c r="AA1020" s="9"/>
      <c r="AB1020" s="9"/>
      <c r="AC1020" s="9"/>
      <c r="AD1020" s="9" t="s">
        <v>19</v>
      </c>
    </row>
    <row r="1021" spans="1:30" ht="29">
      <c r="A1021" s="3" t="s">
        <v>2881</v>
      </c>
      <c r="B1021" s="3" t="s">
        <v>8139</v>
      </c>
      <c r="C1021" s="3" t="s">
        <v>8140</v>
      </c>
      <c r="G1021" s="9" t="s">
        <v>26</v>
      </c>
      <c r="H1021" s="9"/>
      <c r="I1021" s="9"/>
      <c r="J1021" s="9"/>
      <c r="K1021" s="9"/>
      <c r="L1021" s="9"/>
      <c r="M1021" s="9"/>
      <c r="N1021" s="10"/>
      <c r="O1021" s="9"/>
      <c r="P1021" s="9"/>
      <c r="Q1021" s="9"/>
      <c r="R1021" s="9" t="s">
        <v>12795</v>
      </c>
      <c r="S1021" s="9" t="s">
        <v>12795</v>
      </c>
      <c r="T1021" s="9"/>
      <c r="U1021" s="9"/>
      <c r="V1021" s="9"/>
      <c r="W1021" s="9"/>
      <c r="X1021" s="9"/>
      <c r="Y1021" s="9"/>
      <c r="Z1021" s="9"/>
      <c r="AA1021" s="9"/>
      <c r="AB1021" s="9"/>
      <c r="AC1021" s="9"/>
      <c r="AD1021" s="9" t="s">
        <v>20</v>
      </c>
    </row>
    <row r="1022" spans="1:30" ht="43.5">
      <c r="A1022" s="3" t="s">
        <v>2882</v>
      </c>
      <c r="B1022" s="3" t="s">
        <v>8142</v>
      </c>
      <c r="C1022" s="3" t="s">
        <v>8143</v>
      </c>
      <c r="G1022" s="9" t="s">
        <v>24</v>
      </c>
      <c r="H1022" s="9"/>
      <c r="I1022" s="9">
        <v>1</v>
      </c>
      <c r="J1022" s="9">
        <v>9</v>
      </c>
      <c r="K1022" s="9" t="s">
        <v>12084</v>
      </c>
      <c r="L1022" s="9" t="s">
        <v>12073</v>
      </c>
      <c r="M1022" s="9" t="s">
        <v>12142</v>
      </c>
      <c r="N1022" s="10" t="s">
        <v>12160</v>
      </c>
      <c r="O1022" s="9"/>
      <c r="P1022" s="9">
        <v>37</v>
      </c>
      <c r="Q1022" s="9"/>
      <c r="R1022" s="9" t="s">
        <v>12795</v>
      </c>
      <c r="S1022" s="9" t="s">
        <v>12795</v>
      </c>
      <c r="T1022" s="9"/>
      <c r="U1022" s="9"/>
      <c r="V1022" s="9"/>
      <c r="W1022" s="9"/>
      <c r="X1022" s="9"/>
      <c r="Y1022" s="9"/>
      <c r="Z1022" s="9"/>
      <c r="AA1022" s="9"/>
      <c r="AB1022" s="9"/>
      <c r="AC1022" s="9"/>
      <c r="AD1022" s="9" t="s">
        <v>19</v>
      </c>
    </row>
    <row r="1023" spans="1:30" ht="43.5">
      <c r="A1023" s="3" t="s">
        <v>2882</v>
      </c>
      <c r="B1023" s="3" t="s">
        <v>8144</v>
      </c>
      <c r="C1023" s="3" t="s">
        <v>8141</v>
      </c>
      <c r="G1023" s="9" t="s">
        <v>25</v>
      </c>
      <c r="H1023" s="9"/>
      <c r="I1023" s="9">
        <v>1</v>
      </c>
      <c r="J1023" s="9">
        <v>2</v>
      </c>
      <c r="K1023" s="9" t="s">
        <v>12087</v>
      </c>
      <c r="L1023" s="9" t="s">
        <v>12119</v>
      </c>
      <c r="M1023" s="9"/>
      <c r="N1023" s="10"/>
      <c r="O1023" s="9"/>
      <c r="P1023" s="9">
        <v>1966</v>
      </c>
      <c r="Q1023" s="9"/>
      <c r="R1023" s="9" t="s">
        <v>12795</v>
      </c>
      <c r="S1023" s="9" t="s">
        <v>12795</v>
      </c>
      <c r="T1023" s="9"/>
      <c r="U1023" s="9"/>
      <c r="V1023" s="9"/>
      <c r="W1023" s="9"/>
      <c r="X1023" s="9"/>
      <c r="Y1023" s="9"/>
      <c r="Z1023" s="9"/>
      <c r="AA1023" s="9"/>
      <c r="AB1023" s="9"/>
      <c r="AC1023" s="9"/>
      <c r="AD1023" s="9" t="s">
        <v>19</v>
      </c>
    </row>
    <row r="1024" spans="1:30" ht="29">
      <c r="A1024" s="3" t="s">
        <v>2884</v>
      </c>
      <c r="B1024" s="3" t="s">
        <v>8149</v>
      </c>
      <c r="C1024" s="3" t="s">
        <v>8148</v>
      </c>
      <c r="G1024" s="9" t="s">
        <v>12120</v>
      </c>
      <c r="H1024" s="9"/>
      <c r="I1024" s="9"/>
      <c r="J1024" s="9"/>
      <c r="K1024" s="9"/>
      <c r="L1024" s="9"/>
      <c r="M1024" s="9"/>
      <c r="N1024" s="10"/>
      <c r="O1024" s="9"/>
      <c r="P1024" s="9"/>
      <c r="Q1024" s="9"/>
      <c r="R1024" s="9" t="s">
        <v>12795</v>
      </c>
      <c r="S1024" s="9" t="s">
        <v>12795</v>
      </c>
      <c r="T1024" s="9"/>
      <c r="U1024" s="9"/>
      <c r="V1024" s="9"/>
      <c r="W1024" s="9"/>
      <c r="X1024" s="9"/>
      <c r="Y1024" s="9"/>
      <c r="Z1024" s="9"/>
      <c r="AA1024" s="9"/>
      <c r="AB1024" s="9"/>
      <c r="AC1024" s="9"/>
      <c r="AD1024" s="9" t="s">
        <v>19</v>
      </c>
    </row>
    <row r="1025" spans="1:30" ht="43.5">
      <c r="A1025" s="3" t="s">
        <v>2885</v>
      </c>
      <c r="B1025" s="3" t="s">
        <v>8151</v>
      </c>
      <c r="C1025" s="3" t="s">
        <v>13048</v>
      </c>
      <c r="G1025" s="9" t="s">
        <v>25</v>
      </c>
      <c r="H1025" s="9"/>
      <c r="I1025" s="9">
        <v>1</v>
      </c>
      <c r="J1025" s="9">
        <v>11</v>
      </c>
      <c r="K1025" s="9" t="s">
        <v>12125</v>
      </c>
      <c r="L1025" s="9" t="s">
        <v>12073</v>
      </c>
      <c r="M1025" s="9" t="s">
        <v>12142</v>
      </c>
      <c r="N1025" s="10" t="s">
        <v>12170</v>
      </c>
      <c r="O1025" s="9"/>
      <c r="P1025" s="9">
        <v>229</v>
      </c>
      <c r="Q1025" s="9"/>
      <c r="R1025" s="9" t="s">
        <v>12795</v>
      </c>
      <c r="S1025" s="9" t="s">
        <v>12795</v>
      </c>
      <c r="T1025" s="9"/>
      <c r="U1025" s="9"/>
      <c r="V1025" s="9"/>
      <c r="W1025" s="9"/>
      <c r="X1025" s="9"/>
      <c r="Y1025" s="9"/>
      <c r="Z1025" s="9"/>
      <c r="AA1025" s="9"/>
      <c r="AB1025" s="9"/>
      <c r="AC1025" s="9"/>
      <c r="AD1025" s="9" t="s">
        <v>20</v>
      </c>
    </row>
    <row r="1026" spans="1:30" ht="29">
      <c r="A1026" s="3" t="s">
        <v>2886</v>
      </c>
      <c r="B1026" s="3" t="s">
        <v>8153</v>
      </c>
      <c r="C1026" s="3" t="s">
        <v>8152</v>
      </c>
      <c r="G1026" s="9" t="s">
        <v>25</v>
      </c>
      <c r="H1026" s="9"/>
      <c r="I1026" s="9">
        <v>1</v>
      </c>
      <c r="J1026" s="9">
        <v>3</v>
      </c>
      <c r="K1026" s="9" t="s">
        <v>12078</v>
      </c>
      <c r="L1026" s="9" t="s">
        <v>12079</v>
      </c>
      <c r="M1026" s="9"/>
      <c r="N1026" s="10"/>
      <c r="O1026" s="9"/>
      <c r="P1026" s="9">
        <v>11843</v>
      </c>
      <c r="Q1026" s="9"/>
      <c r="R1026" s="9" t="s">
        <v>12795</v>
      </c>
      <c r="S1026" s="9" t="s">
        <v>12795</v>
      </c>
      <c r="T1026" s="9"/>
      <c r="U1026" s="9"/>
      <c r="V1026" s="9"/>
      <c r="W1026" s="9"/>
      <c r="X1026" s="9"/>
      <c r="Y1026" s="9"/>
      <c r="Z1026" s="9"/>
      <c r="AA1026" s="9"/>
      <c r="AB1026" s="9"/>
      <c r="AC1026" s="9"/>
      <c r="AD1026" s="9" t="s">
        <v>20</v>
      </c>
    </row>
    <row r="1027" spans="1:30" ht="43.5">
      <c r="A1027" s="3" t="s">
        <v>2889</v>
      </c>
      <c r="B1027" s="3" t="s">
        <v>8159</v>
      </c>
      <c r="C1027" s="3" t="s">
        <v>8158</v>
      </c>
      <c r="G1027" s="9" t="s">
        <v>25</v>
      </c>
      <c r="H1027" s="9"/>
      <c r="I1027" s="9">
        <v>3</v>
      </c>
      <c r="J1027" s="9">
        <v>20</v>
      </c>
      <c r="K1027" s="9"/>
      <c r="L1027" s="9" t="s">
        <v>12079</v>
      </c>
      <c r="M1027" s="9"/>
      <c r="N1027" s="10"/>
      <c r="O1027" s="9"/>
      <c r="P1027" s="9">
        <v>25</v>
      </c>
      <c r="Q1027" s="9"/>
      <c r="R1027" s="9" t="s">
        <v>12795</v>
      </c>
      <c r="S1027" s="9" t="s">
        <v>12795</v>
      </c>
      <c r="T1027" s="9"/>
      <c r="U1027" s="9"/>
      <c r="V1027" s="9"/>
      <c r="W1027" s="9"/>
      <c r="X1027" s="9"/>
      <c r="Y1027" s="9"/>
      <c r="Z1027" s="9"/>
      <c r="AA1027" s="9"/>
      <c r="AB1027" s="9"/>
      <c r="AC1027" s="9"/>
      <c r="AD1027" s="9" t="s">
        <v>19</v>
      </c>
    </row>
    <row r="1028" spans="1:30" ht="29">
      <c r="A1028" s="3" t="s">
        <v>2890</v>
      </c>
      <c r="B1028" s="11" t="s">
        <v>8161</v>
      </c>
      <c r="C1028" s="3" t="s">
        <v>8160</v>
      </c>
      <c r="G1028" s="9" t="s">
        <v>24</v>
      </c>
      <c r="H1028" s="9"/>
      <c r="I1028" s="9">
        <v>1</v>
      </c>
      <c r="J1028" s="9">
        <v>3</v>
      </c>
      <c r="K1028" s="9" t="s">
        <v>12078</v>
      </c>
      <c r="L1028" s="9" t="s">
        <v>12079</v>
      </c>
      <c r="M1028" s="9"/>
      <c r="N1028" s="10"/>
      <c r="O1028" s="9"/>
      <c r="P1028" s="9">
        <v>11843</v>
      </c>
      <c r="Q1028" s="9"/>
      <c r="R1028" s="9" t="s">
        <v>12795</v>
      </c>
      <c r="S1028" s="9" t="s">
        <v>12795</v>
      </c>
      <c r="T1028" s="9"/>
      <c r="U1028" s="9"/>
      <c r="V1028" s="9"/>
      <c r="W1028" s="9"/>
      <c r="X1028" s="9"/>
      <c r="Y1028" s="9"/>
      <c r="Z1028" s="9"/>
      <c r="AA1028" s="9"/>
      <c r="AB1028" s="9"/>
      <c r="AC1028" s="9"/>
      <c r="AD1028" s="9" t="s">
        <v>20</v>
      </c>
    </row>
    <row r="1029" spans="1:30" ht="29">
      <c r="A1029" s="3" t="s">
        <v>2891</v>
      </c>
      <c r="B1029" s="3" t="s">
        <v>8164</v>
      </c>
      <c r="C1029" s="3" t="s">
        <v>8165</v>
      </c>
      <c r="G1029" s="9" t="s">
        <v>12120</v>
      </c>
      <c r="H1029" s="9"/>
      <c r="I1029" s="9"/>
      <c r="J1029" s="9"/>
      <c r="K1029" s="9"/>
      <c r="L1029" s="9"/>
      <c r="M1029" s="9"/>
      <c r="N1029" s="10"/>
      <c r="O1029" s="9"/>
      <c r="P1029" s="9"/>
      <c r="Q1029" s="9"/>
      <c r="R1029" s="9" t="s">
        <v>12795</v>
      </c>
      <c r="S1029" s="9" t="s">
        <v>12795</v>
      </c>
      <c r="T1029" s="9"/>
      <c r="U1029" s="9"/>
      <c r="V1029" s="9"/>
      <c r="W1029" s="9"/>
      <c r="X1029" s="9"/>
      <c r="Y1029" s="9"/>
      <c r="Z1029" s="9"/>
      <c r="AA1029" s="9"/>
      <c r="AB1029" s="9"/>
      <c r="AC1029" s="9"/>
      <c r="AD1029" s="9" t="s">
        <v>19</v>
      </c>
    </row>
    <row r="1030" spans="1:30">
      <c r="A1030" s="3" t="s">
        <v>2892</v>
      </c>
      <c r="B1030" s="3" t="s">
        <v>8166</v>
      </c>
      <c r="C1030" s="3" t="s">
        <v>8167</v>
      </c>
      <c r="G1030" s="9" t="s">
        <v>12118</v>
      </c>
      <c r="H1030" s="9"/>
      <c r="I1030" s="9"/>
      <c r="J1030" s="9"/>
      <c r="K1030" s="9"/>
      <c r="L1030" s="9"/>
      <c r="M1030" s="9"/>
      <c r="N1030" s="10"/>
      <c r="O1030" s="9"/>
      <c r="P1030" s="9"/>
      <c r="Q1030" s="9">
        <v>-91</v>
      </c>
      <c r="R1030" s="9">
        <v>105</v>
      </c>
      <c r="S1030" s="9">
        <v>14</v>
      </c>
      <c r="T1030" s="9"/>
      <c r="U1030" s="9"/>
      <c r="V1030" s="9"/>
      <c r="W1030" s="9"/>
      <c r="X1030" s="9"/>
      <c r="Y1030" s="9"/>
      <c r="Z1030" s="9"/>
      <c r="AA1030" s="9"/>
      <c r="AB1030" s="9"/>
      <c r="AC1030" s="9"/>
      <c r="AD1030" s="9" t="s">
        <v>20</v>
      </c>
    </row>
    <row r="1031" spans="1:30">
      <c r="A1031" s="3" t="s">
        <v>2894</v>
      </c>
      <c r="B1031" s="3" t="s">
        <v>8169</v>
      </c>
      <c r="C1031" s="3" t="s">
        <v>8168</v>
      </c>
      <c r="G1031" s="9" t="s">
        <v>12118</v>
      </c>
      <c r="H1031" s="9"/>
      <c r="I1031" s="9"/>
      <c r="J1031" s="9"/>
      <c r="K1031" s="9"/>
      <c r="L1031" s="9"/>
      <c r="M1031" s="9"/>
      <c r="N1031" s="10"/>
      <c r="O1031" s="9"/>
      <c r="P1031" s="9"/>
      <c r="Q1031" s="9">
        <v>4896</v>
      </c>
      <c r="R1031" s="9">
        <v>780</v>
      </c>
      <c r="S1031" s="9">
        <v>5676</v>
      </c>
      <c r="T1031" s="9"/>
      <c r="U1031" s="9"/>
      <c r="V1031" s="9"/>
      <c r="W1031" s="9"/>
      <c r="X1031" s="9"/>
      <c r="Y1031" s="9"/>
      <c r="Z1031" s="9"/>
      <c r="AA1031" s="9"/>
      <c r="AB1031" s="9"/>
      <c r="AC1031" s="9"/>
      <c r="AD1031" s="9" t="s">
        <v>19</v>
      </c>
    </row>
    <row r="1032" spans="1:30">
      <c r="A1032" s="3" t="s">
        <v>2895</v>
      </c>
      <c r="B1032" s="3" t="s">
        <v>8171</v>
      </c>
      <c r="C1032" s="3" t="s">
        <v>8170</v>
      </c>
      <c r="G1032" s="9" t="s">
        <v>12120</v>
      </c>
      <c r="H1032" s="9"/>
      <c r="I1032" s="9"/>
      <c r="J1032" s="9"/>
      <c r="K1032" s="9"/>
      <c r="L1032" s="9"/>
      <c r="M1032" s="9"/>
      <c r="N1032" s="10"/>
      <c r="O1032" s="9"/>
      <c r="P1032" s="9"/>
      <c r="Q1032" s="9"/>
      <c r="R1032" s="9" t="s">
        <v>12795</v>
      </c>
      <c r="S1032" s="9" t="s">
        <v>12795</v>
      </c>
      <c r="T1032" s="9"/>
      <c r="U1032" s="9"/>
      <c r="V1032" s="9"/>
      <c r="W1032" s="9"/>
      <c r="X1032" s="9"/>
      <c r="Y1032" s="9"/>
      <c r="Z1032" s="9"/>
      <c r="AA1032" s="9"/>
      <c r="AB1032" s="9"/>
      <c r="AC1032" s="9"/>
      <c r="AD1032" s="9" t="s">
        <v>20</v>
      </c>
    </row>
    <row r="1033" spans="1:30">
      <c r="A1033" s="3" t="s">
        <v>2896</v>
      </c>
      <c r="B1033" s="3" t="s">
        <v>8174</v>
      </c>
      <c r="C1033" s="3" t="s">
        <v>8175</v>
      </c>
      <c r="G1033" s="9" t="s">
        <v>12118</v>
      </c>
      <c r="H1033" s="9"/>
      <c r="I1033" s="9"/>
      <c r="J1033" s="9"/>
      <c r="K1033" s="9"/>
      <c r="L1033" s="9"/>
      <c r="M1033" s="9"/>
      <c r="N1033" s="10"/>
      <c r="O1033" s="9"/>
      <c r="P1033" s="9"/>
      <c r="Q1033" s="9">
        <v>560</v>
      </c>
      <c r="R1033" s="9">
        <v>31</v>
      </c>
      <c r="S1033" s="9">
        <v>591</v>
      </c>
      <c r="T1033" s="9"/>
      <c r="U1033" s="9"/>
      <c r="V1033" s="9"/>
      <c r="W1033" s="9"/>
      <c r="X1033" s="9"/>
      <c r="Y1033" s="9"/>
      <c r="Z1033" s="9"/>
      <c r="AA1033" s="9"/>
      <c r="AB1033" s="9"/>
      <c r="AC1033" s="9"/>
      <c r="AD1033" s="9" t="s">
        <v>19</v>
      </c>
    </row>
    <row r="1034" spans="1:30" ht="43.5">
      <c r="A1034" s="3" t="s">
        <v>2904</v>
      </c>
      <c r="B1034" s="3" t="s">
        <v>8177</v>
      </c>
      <c r="C1034" s="3" t="s">
        <v>8178</v>
      </c>
      <c r="G1034" s="9" t="s">
        <v>26</v>
      </c>
      <c r="H1034" s="9"/>
      <c r="I1034" s="9"/>
      <c r="J1034" s="9"/>
      <c r="K1034" s="9"/>
      <c r="L1034" s="9"/>
      <c r="M1034" s="9"/>
      <c r="N1034" s="10"/>
      <c r="O1034" s="9"/>
      <c r="P1034" s="9"/>
      <c r="Q1034" s="9"/>
      <c r="R1034" s="9" t="s">
        <v>12795</v>
      </c>
      <c r="S1034" s="9" t="s">
        <v>12795</v>
      </c>
      <c r="T1034" s="9"/>
      <c r="U1034" s="9"/>
      <c r="V1034" s="9"/>
      <c r="W1034" s="9"/>
      <c r="X1034" s="9"/>
      <c r="Y1034" s="9"/>
      <c r="Z1034" s="9"/>
      <c r="AA1034" s="9"/>
      <c r="AB1034" s="9"/>
      <c r="AC1034" s="9"/>
      <c r="AD1034" s="9" t="s">
        <v>20</v>
      </c>
    </row>
    <row r="1035" spans="1:30" ht="29">
      <c r="A1035" s="3" t="s">
        <v>2905</v>
      </c>
      <c r="B1035" s="3" t="s">
        <v>8179</v>
      </c>
      <c r="C1035" s="3" t="s">
        <v>8180</v>
      </c>
      <c r="G1035" s="9" t="s">
        <v>12120</v>
      </c>
      <c r="H1035" s="9"/>
      <c r="I1035" s="9"/>
      <c r="J1035" s="9"/>
      <c r="K1035" s="9"/>
      <c r="L1035" s="9"/>
      <c r="M1035" s="9"/>
      <c r="N1035" s="10"/>
      <c r="O1035" s="9"/>
      <c r="P1035" s="9"/>
      <c r="Q1035" s="9"/>
      <c r="R1035" s="9" t="s">
        <v>12795</v>
      </c>
      <c r="S1035" s="9" t="s">
        <v>12795</v>
      </c>
      <c r="T1035" s="9"/>
      <c r="U1035" s="9"/>
      <c r="V1035" s="9"/>
      <c r="W1035" s="9"/>
      <c r="X1035" s="9"/>
      <c r="Y1035" s="9"/>
      <c r="Z1035" s="9"/>
      <c r="AA1035" s="9"/>
      <c r="AB1035" s="9"/>
      <c r="AC1035" s="9"/>
      <c r="AD1035" s="9" t="s">
        <v>20</v>
      </c>
    </row>
    <row r="1036" spans="1:30" ht="29">
      <c r="A1036" s="3" t="s">
        <v>2908</v>
      </c>
      <c r="B1036" s="3" t="s">
        <v>8182</v>
      </c>
      <c r="C1036" s="3" t="s">
        <v>8181</v>
      </c>
      <c r="F1036" t="s">
        <v>19</v>
      </c>
      <c r="G1036" s="9" t="s">
        <v>24</v>
      </c>
      <c r="H1036" s="9"/>
      <c r="I1036" s="9">
        <v>1</v>
      </c>
      <c r="J1036" s="9">
        <v>2</v>
      </c>
      <c r="K1036" s="9" t="s">
        <v>12078</v>
      </c>
      <c r="L1036" s="9" t="s">
        <v>12119</v>
      </c>
      <c r="M1036" s="9"/>
      <c r="N1036" s="10"/>
      <c r="O1036" s="9"/>
      <c r="P1036" s="9">
        <v>11843</v>
      </c>
      <c r="Q1036" s="9"/>
      <c r="R1036" s="9" t="s">
        <v>12795</v>
      </c>
      <c r="S1036" s="9" t="s">
        <v>12795</v>
      </c>
      <c r="T1036" s="9"/>
      <c r="U1036" s="9"/>
      <c r="V1036" s="9"/>
      <c r="W1036" s="9"/>
      <c r="X1036" s="9"/>
      <c r="Y1036" s="9"/>
      <c r="Z1036" s="9"/>
      <c r="AA1036" s="9"/>
      <c r="AB1036" s="9"/>
      <c r="AC1036" s="9"/>
      <c r="AD1036" s="9" t="s">
        <v>20</v>
      </c>
    </row>
    <row r="1037" spans="1:30" ht="29">
      <c r="A1037" s="3" t="s">
        <v>2909</v>
      </c>
      <c r="B1037" s="3" t="s">
        <v>8183</v>
      </c>
      <c r="C1037" s="3" t="s">
        <v>8184</v>
      </c>
      <c r="G1037" s="9" t="s">
        <v>12118</v>
      </c>
      <c r="H1037" s="9"/>
      <c r="I1037" s="9"/>
      <c r="J1037" s="9"/>
      <c r="K1037" s="9"/>
      <c r="L1037" s="9"/>
      <c r="M1037" s="9"/>
      <c r="N1037" s="10"/>
      <c r="O1037" s="9"/>
      <c r="P1037" s="9"/>
      <c r="Q1037" s="9">
        <v>-11</v>
      </c>
      <c r="R1037" s="9">
        <v>17</v>
      </c>
      <c r="S1037" s="9">
        <v>6</v>
      </c>
      <c r="T1037" s="9"/>
      <c r="U1037" s="9"/>
      <c r="V1037" s="9"/>
      <c r="W1037" s="9"/>
      <c r="X1037" s="9"/>
      <c r="Y1037" s="9"/>
      <c r="Z1037" s="9"/>
      <c r="AA1037" s="9"/>
      <c r="AB1037" s="9"/>
      <c r="AC1037" s="9"/>
      <c r="AD1037" s="9" t="s">
        <v>19</v>
      </c>
    </row>
    <row r="1038" spans="1:30" ht="29">
      <c r="A1038" s="3" t="s">
        <v>2909</v>
      </c>
      <c r="B1038" s="3" t="s">
        <v>8186</v>
      </c>
      <c r="C1038" s="3" t="s">
        <v>8185</v>
      </c>
      <c r="G1038" s="9" t="s">
        <v>25</v>
      </c>
      <c r="H1038" s="9"/>
      <c r="I1038" s="9">
        <v>1</v>
      </c>
      <c r="J1038" s="9">
        <v>2</v>
      </c>
      <c r="K1038" s="9" t="s">
        <v>12078</v>
      </c>
      <c r="L1038" s="9" t="s">
        <v>12119</v>
      </c>
      <c r="M1038" s="9"/>
      <c r="N1038" s="10"/>
      <c r="O1038" s="9"/>
      <c r="P1038" s="9">
        <v>11843</v>
      </c>
      <c r="Q1038" s="9"/>
      <c r="R1038" s="9" t="s">
        <v>12795</v>
      </c>
      <c r="S1038" s="9" t="s">
        <v>12795</v>
      </c>
      <c r="T1038" s="9"/>
      <c r="U1038" s="9"/>
      <c r="V1038" s="9"/>
      <c r="W1038" s="9"/>
      <c r="X1038" s="9"/>
      <c r="Y1038" s="9"/>
      <c r="Z1038" s="9"/>
      <c r="AA1038" s="9"/>
      <c r="AB1038" s="9"/>
      <c r="AC1038" s="9"/>
      <c r="AD1038" s="9" t="s">
        <v>19</v>
      </c>
    </row>
    <row r="1039" spans="1:30" ht="29">
      <c r="A1039" s="3" t="s">
        <v>2910</v>
      </c>
      <c r="B1039" s="3" t="s">
        <v>8188</v>
      </c>
      <c r="C1039" s="3" t="s">
        <v>8187</v>
      </c>
      <c r="G1039" s="9" t="s">
        <v>26</v>
      </c>
      <c r="H1039" s="9"/>
      <c r="I1039" s="9"/>
      <c r="J1039" s="9"/>
      <c r="K1039" s="9"/>
      <c r="L1039" s="9"/>
      <c r="M1039" s="9"/>
      <c r="N1039" s="10"/>
      <c r="O1039" s="9"/>
      <c r="P1039" s="9"/>
      <c r="Q1039" s="9"/>
      <c r="R1039" s="9" t="s">
        <v>12795</v>
      </c>
      <c r="S1039" s="9" t="s">
        <v>12795</v>
      </c>
      <c r="T1039" s="9"/>
      <c r="U1039" s="9"/>
      <c r="V1039" s="9"/>
      <c r="W1039" s="9"/>
      <c r="X1039" s="9"/>
      <c r="Y1039" s="9"/>
      <c r="Z1039" s="9"/>
      <c r="AA1039" s="9"/>
      <c r="AB1039" s="9"/>
      <c r="AC1039" s="9"/>
      <c r="AD1039" s="9" t="s">
        <v>20</v>
      </c>
    </row>
    <row r="1040" spans="1:30" ht="29">
      <c r="A1040" s="3" t="s">
        <v>2911</v>
      </c>
      <c r="B1040" s="3" t="s">
        <v>8189</v>
      </c>
      <c r="C1040" s="3" t="s">
        <v>8190</v>
      </c>
      <c r="G1040" s="9" t="s">
        <v>24</v>
      </c>
      <c r="H1040" s="9"/>
      <c r="I1040" s="9">
        <v>1</v>
      </c>
      <c r="J1040" s="9">
        <v>1</v>
      </c>
      <c r="K1040" s="9" t="s">
        <v>12078</v>
      </c>
      <c r="L1040" s="9" t="s">
        <v>12119</v>
      </c>
      <c r="M1040" s="9"/>
      <c r="N1040" s="10"/>
      <c r="O1040" s="9"/>
      <c r="P1040" s="9">
        <v>11843</v>
      </c>
      <c r="Q1040" s="9"/>
      <c r="R1040" s="9" t="s">
        <v>12795</v>
      </c>
      <c r="S1040" s="9" t="s">
        <v>12795</v>
      </c>
      <c r="T1040" s="9"/>
      <c r="U1040" s="9"/>
      <c r="V1040" s="9"/>
      <c r="W1040" s="9"/>
      <c r="X1040" s="9"/>
      <c r="Y1040" s="9"/>
      <c r="Z1040" s="9"/>
      <c r="AA1040" s="9"/>
      <c r="AB1040" s="9"/>
      <c r="AC1040" s="9"/>
      <c r="AD1040" s="9" t="s">
        <v>20</v>
      </c>
    </row>
    <row r="1041" spans="1:30" ht="29">
      <c r="A1041" s="3" t="s">
        <v>2911</v>
      </c>
      <c r="B1041" s="3" t="s">
        <v>2912</v>
      </c>
      <c r="C1041" s="3" t="s">
        <v>2913</v>
      </c>
      <c r="G1041" s="9" t="s">
        <v>12120</v>
      </c>
      <c r="H1041" s="9"/>
      <c r="I1041" s="9"/>
      <c r="J1041" s="9"/>
      <c r="K1041" s="9"/>
      <c r="L1041" s="9"/>
      <c r="M1041" s="9"/>
      <c r="N1041" s="10"/>
      <c r="O1041" s="9"/>
      <c r="P1041" s="9"/>
      <c r="Q1041" s="9"/>
      <c r="R1041" s="9" t="s">
        <v>12795</v>
      </c>
      <c r="S1041" s="9" t="s">
        <v>12795</v>
      </c>
      <c r="T1041" s="9"/>
      <c r="U1041" s="9"/>
      <c r="V1041" s="9"/>
      <c r="W1041" s="9"/>
      <c r="X1041" s="9"/>
      <c r="Y1041" s="9"/>
      <c r="Z1041" s="9"/>
      <c r="AA1041" s="9"/>
      <c r="AB1041" s="9"/>
      <c r="AC1041" s="9"/>
      <c r="AD1041" s="9" t="s">
        <v>19</v>
      </c>
    </row>
    <row r="1042" spans="1:30" ht="29">
      <c r="A1042" s="3" t="s">
        <v>2914</v>
      </c>
      <c r="B1042" s="3" t="s">
        <v>8194</v>
      </c>
      <c r="C1042" s="3" t="s">
        <v>8193</v>
      </c>
      <c r="G1042" s="9" t="s">
        <v>26</v>
      </c>
      <c r="H1042" s="9"/>
      <c r="I1042" s="9"/>
      <c r="J1042" s="9"/>
      <c r="K1042" s="9"/>
      <c r="L1042" s="9"/>
      <c r="M1042" s="9"/>
      <c r="N1042" s="10"/>
      <c r="O1042" s="9"/>
      <c r="P1042" s="9"/>
      <c r="Q1042" s="9"/>
      <c r="R1042" s="9" t="s">
        <v>12795</v>
      </c>
      <c r="S1042" s="9" t="s">
        <v>12795</v>
      </c>
      <c r="T1042" s="9"/>
      <c r="U1042" s="9"/>
      <c r="V1042" s="9"/>
      <c r="W1042" s="9"/>
      <c r="X1042" s="9"/>
      <c r="Y1042" s="9"/>
      <c r="Z1042" s="9"/>
      <c r="AA1042" s="9"/>
      <c r="AB1042" s="9"/>
      <c r="AC1042" s="9"/>
      <c r="AD1042" s="9" t="s">
        <v>20</v>
      </c>
    </row>
    <row r="1043" spans="1:30" ht="29">
      <c r="A1043" s="3" t="s">
        <v>2915</v>
      </c>
      <c r="B1043" s="3" t="s">
        <v>8195</v>
      </c>
      <c r="C1043" s="3" t="s">
        <v>13049</v>
      </c>
      <c r="G1043" s="9" t="s">
        <v>24</v>
      </c>
      <c r="H1043" s="9"/>
      <c r="I1043" s="9">
        <v>1</v>
      </c>
      <c r="J1043" s="9">
        <v>3</v>
      </c>
      <c r="K1043" s="9" t="s">
        <v>12087</v>
      </c>
      <c r="L1043" s="9" t="s">
        <v>12079</v>
      </c>
      <c r="M1043" s="9"/>
      <c r="N1043" s="10"/>
      <c r="O1043" s="9"/>
      <c r="P1043" s="9">
        <v>5676</v>
      </c>
      <c r="Q1043" s="9"/>
      <c r="R1043" s="9" t="s">
        <v>12795</v>
      </c>
      <c r="S1043" s="9" t="s">
        <v>12795</v>
      </c>
      <c r="T1043" s="9"/>
      <c r="U1043" s="9"/>
      <c r="V1043" s="9"/>
      <c r="W1043" s="9"/>
      <c r="X1043" s="9"/>
      <c r="Y1043" s="9"/>
      <c r="Z1043" s="9"/>
      <c r="AA1043" s="9"/>
      <c r="AB1043" s="9"/>
      <c r="AC1043" s="9"/>
      <c r="AD1043" s="9" t="s">
        <v>19</v>
      </c>
    </row>
    <row r="1044" spans="1:30" ht="29">
      <c r="A1044" s="3" t="s">
        <v>2917</v>
      </c>
      <c r="B1044" s="3" t="s">
        <v>2918</v>
      </c>
      <c r="C1044" s="3" t="s">
        <v>2919</v>
      </c>
      <c r="G1044" s="9" t="s">
        <v>12118</v>
      </c>
      <c r="H1044" s="9"/>
      <c r="I1044" s="9"/>
      <c r="J1044" s="9"/>
      <c r="K1044" s="9"/>
      <c r="L1044" s="9"/>
      <c r="M1044" s="9"/>
      <c r="N1044" s="10"/>
      <c r="O1044" s="9"/>
      <c r="P1044" s="9"/>
      <c r="Q1044" s="9">
        <v>7</v>
      </c>
      <c r="R1044" s="9">
        <v>0</v>
      </c>
      <c r="S1044" s="9">
        <v>7</v>
      </c>
      <c r="T1044" s="9"/>
      <c r="U1044" s="9"/>
      <c r="V1044" s="9"/>
      <c r="W1044" s="9"/>
      <c r="X1044" s="9"/>
      <c r="Y1044" s="9"/>
      <c r="Z1044" s="9"/>
      <c r="AA1044" s="9"/>
      <c r="AB1044" s="9"/>
      <c r="AC1044" s="9"/>
      <c r="AD1044" s="9" t="s">
        <v>19</v>
      </c>
    </row>
    <row r="1045" spans="1:30" ht="29">
      <c r="A1045" s="3" t="s">
        <v>2920</v>
      </c>
      <c r="B1045" s="3" t="s">
        <v>8196</v>
      </c>
      <c r="C1045" s="3" t="s">
        <v>8197</v>
      </c>
      <c r="G1045" s="9" t="s">
        <v>12118</v>
      </c>
      <c r="H1045" s="9"/>
      <c r="I1045" s="9"/>
      <c r="J1045" s="9"/>
      <c r="K1045" s="9"/>
      <c r="L1045" s="9"/>
      <c r="M1045" s="9"/>
      <c r="N1045" s="10"/>
      <c r="O1045" s="9"/>
      <c r="P1045" s="9"/>
      <c r="Q1045" s="9">
        <v>0</v>
      </c>
      <c r="R1045" s="9">
        <v>73</v>
      </c>
      <c r="S1045" s="9">
        <v>73</v>
      </c>
      <c r="T1045" s="9"/>
      <c r="U1045" s="9"/>
      <c r="V1045" s="9"/>
      <c r="W1045" s="9"/>
      <c r="X1045" s="9"/>
      <c r="Y1045" s="9"/>
      <c r="Z1045" s="9"/>
      <c r="AA1045" s="9"/>
      <c r="AB1045" s="9"/>
      <c r="AC1045" s="9"/>
      <c r="AD1045" s="9" t="s">
        <v>20</v>
      </c>
    </row>
    <row r="1046" spans="1:30" ht="29">
      <c r="A1046" s="3" t="s">
        <v>2921</v>
      </c>
      <c r="B1046" s="3" t="s">
        <v>8199</v>
      </c>
      <c r="C1046" s="3" t="s">
        <v>8198</v>
      </c>
      <c r="G1046" s="9" t="s">
        <v>12118</v>
      </c>
      <c r="H1046" s="9"/>
      <c r="I1046" s="9"/>
      <c r="J1046" s="9"/>
      <c r="K1046" s="9"/>
      <c r="L1046" s="9"/>
      <c r="M1046" s="9"/>
      <c r="N1046" s="10"/>
      <c r="O1046" s="9"/>
      <c r="P1046" s="9"/>
      <c r="Q1046" s="9">
        <v>-1949</v>
      </c>
      <c r="R1046" s="9">
        <v>2042</v>
      </c>
      <c r="S1046" s="9">
        <v>93</v>
      </c>
      <c r="T1046" s="9"/>
      <c r="U1046" s="9"/>
      <c r="V1046" s="9"/>
      <c r="W1046" s="9"/>
      <c r="X1046" s="9"/>
      <c r="Y1046" s="9"/>
      <c r="Z1046" s="9"/>
      <c r="AA1046" s="9"/>
      <c r="AB1046" s="9"/>
      <c r="AC1046" s="9"/>
      <c r="AD1046" s="9" t="s">
        <v>19</v>
      </c>
    </row>
    <row r="1047" spans="1:30" ht="29">
      <c r="A1047" s="3" t="s">
        <v>2922</v>
      </c>
      <c r="B1047" s="3" t="s">
        <v>8201</v>
      </c>
      <c r="C1047" s="3" t="s">
        <v>8200</v>
      </c>
      <c r="G1047" s="9" t="s">
        <v>24</v>
      </c>
      <c r="H1047" s="9"/>
      <c r="I1047" s="9">
        <v>1</v>
      </c>
      <c r="J1047" s="9">
        <v>5</v>
      </c>
      <c r="K1047" s="9" t="s">
        <v>12094</v>
      </c>
      <c r="L1047" s="9" t="s">
        <v>12079</v>
      </c>
      <c r="M1047" s="9"/>
      <c r="N1047" s="10"/>
      <c r="O1047" s="9"/>
      <c r="P1047" s="9">
        <v>4240</v>
      </c>
      <c r="Q1047" s="9"/>
      <c r="R1047" s="9" t="s">
        <v>12795</v>
      </c>
      <c r="S1047" s="9" t="s">
        <v>12795</v>
      </c>
      <c r="T1047" s="9"/>
      <c r="U1047" s="9"/>
      <c r="V1047" s="9"/>
      <c r="W1047" s="9"/>
      <c r="X1047" s="9"/>
      <c r="Y1047" s="9"/>
      <c r="Z1047" s="9"/>
      <c r="AA1047" s="9"/>
      <c r="AB1047" s="9"/>
      <c r="AC1047" s="9"/>
      <c r="AD1047" s="9" t="s">
        <v>19</v>
      </c>
    </row>
    <row r="1048" spans="1:30" ht="29">
      <c r="A1048" s="3" t="s">
        <v>2923</v>
      </c>
      <c r="B1048" s="3" t="s">
        <v>2924</v>
      </c>
      <c r="C1048" s="3" t="s">
        <v>2925</v>
      </c>
      <c r="G1048" s="9" t="s">
        <v>12120</v>
      </c>
      <c r="H1048" s="9"/>
      <c r="I1048" s="9"/>
      <c r="J1048" s="9"/>
      <c r="K1048" s="9"/>
      <c r="L1048" s="9"/>
      <c r="M1048" s="9"/>
      <c r="N1048" s="10"/>
      <c r="O1048" s="9"/>
      <c r="P1048" s="9"/>
      <c r="Q1048" s="9"/>
      <c r="R1048" s="9" t="s">
        <v>12795</v>
      </c>
      <c r="S1048" s="9" t="s">
        <v>12795</v>
      </c>
      <c r="T1048" s="9"/>
      <c r="U1048" s="9"/>
      <c r="V1048" s="9"/>
      <c r="W1048" s="9"/>
      <c r="X1048" s="9"/>
      <c r="Y1048" s="9"/>
      <c r="Z1048" s="9"/>
      <c r="AA1048" s="9"/>
      <c r="AB1048" s="9"/>
      <c r="AC1048" s="9"/>
      <c r="AD1048" s="9" t="s">
        <v>20</v>
      </c>
    </row>
    <row r="1049" spans="1:30" ht="29">
      <c r="A1049" s="3" t="s">
        <v>2923</v>
      </c>
      <c r="B1049" s="3" t="s">
        <v>8202</v>
      </c>
      <c r="C1049" s="3" t="s">
        <v>8203</v>
      </c>
      <c r="G1049" s="9" t="s">
        <v>12120</v>
      </c>
      <c r="H1049" s="9"/>
      <c r="I1049" s="9"/>
      <c r="J1049" s="9"/>
      <c r="K1049" s="9"/>
      <c r="L1049" s="9"/>
      <c r="M1049" s="9"/>
      <c r="N1049" s="10"/>
      <c r="O1049" s="9"/>
      <c r="P1049" s="9"/>
      <c r="Q1049" s="9"/>
      <c r="R1049" s="9" t="s">
        <v>12795</v>
      </c>
      <c r="S1049" s="9" t="s">
        <v>12795</v>
      </c>
      <c r="T1049" s="9"/>
      <c r="U1049" s="9"/>
      <c r="V1049" s="9"/>
      <c r="W1049" s="9"/>
      <c r="X1049" s="9"/>
      <c r="Y1049" s="9"/>
      <c r="Z1049" s="9"/>
      <c r="AA1049" s="9"/>
      <c r="AB1049" s="9"/>
      <c r="AC1049" s="9"/>
      <c r="AD1049" s="9" t="s">
        <v>20</v>
      </c>
    </row>
    <row r="1050" spans="1:30">
      <c r="A1050" s="3" t="s">
        <v>2931</v>
      </c>
      <c r="B1050" s="3" t="s">
        <v>8209</v>
      </c>
      <c r="C1050" s="3" t="s">
        <v>8208</v>
      </c>
      <c r="G1050" s="9" t="s">
        <v>24</v>
      </c>
      <c r="H1050" s="9"/>
      <c r="I1050" s="9">
        <v>1</v>
      </c>
      <c r="J1050" s="9">
        <v>1</v>
      </c>
      <c r="K1050" s="9" t="s">
        <v>12094</v>
      </c>
      <c r="L1050" s="9" t="s">
        <v>12119</v>
      </c>
      <c r="M1050" s="9"/>
      <c r="N1050" s="10"/>
      <c r="O1050" s="9"/>
      <c r="P1050" s="9">
        <v>780</v>
      </c>
      <c r="Q1050" s="9"/>
      <c r="R1050" s="9" t="s">
        <v>12795</v>
      </c>
      <c r="S1050" s="9" t="s">
        <v>12795</v>
      </c>
      <c r="T1050" s="9"/>
      <c r="U1050" s="9"/>
      <c r="V1050" s="9"/>
      <c r="W1050" s="9"/>
      <c r="X1050" s="9"/>
      <c r="Y1050" s="9"/>
      <c r="Z1050" s="9"/>
      <c r="AA1050" s="9"/>
      <c r="AB1050" s="9"/>
      <c r="AC1050" s="9"/>
      <c r="AD1050" s="9" t="s">
        <v>19</v>
      </c>
    </row>
    <row r="1051" spans="1:30">
      <c r="A1051" s="3" t="s">
        <v>2932</v>
      </c>
      <c r="B1051" s="3" t="s">
        <v>8212</v>
      </c>
      <c r="C1051" s="3" t="s">
        <v>8213</v>
      </c>
      <c r="G1051" s="9" t="s">
        <v>25</v>
      </c>
      <c r="H1051" s="9"/>
      <c r="I1051" s="9">
        <v>1</v>
      </c>
      <c r="J1051" s="9">
        <v>3</v>
      </c>
      <c r="K1051" s="9" t="s">
        <v>12094</v>
      </c>
      <c r="L1051" s="9" t="s">
        <v>12079</v>
      </c>
      <c r="M1051" s="9"/>
      <c r="N1051" s="10"/>
      <c r="O1051" s="9"/>
      <c r="P1051" s="9">
        <v>1741</v>
      </c>
      <c r="Q1051" s="9"/>
      <c r="R1051" s="9" t="s">
        <v>12795</v>
      </c>
      <c r="S1051" s="9" t="s">
        <v>12795</v>
      </c>
      <c r="T1051" s="9"/>
      <c r="U1051" s="9"/>
      <c r="V1051" s="9"/>
      <c r="W1051" s="9"/>
      <c r="X1051" s="9"/>
      <c r="Y1051" s="9"/>
      <c r="Z1051" s="9"/>
      <c r="AA1051" s="9"/>
      <c r="AB1051" s="9"/>
      <c r="AC1051" s="9"/>
      <c r="AD1051" s="9" t="s">
        <v>20</v>
      </c>
    </row>
    <row r="1052" spans="1:30" ht="29">
      <c r="A1052" s="3" t="s">
        <v>2936</v>
      </c>
      <c r="B1052" s="3" t="s">
        <v>8214</v>
      </c>
      <c r="C1052" s="3" t="s">
        <v>8215</v>
      </c>
      <c r="G1052" s="9" t="s">
        <v>12120</v>
      </c>
      <c r="H1052" s="9"/>
      <c r="I1052" s="9"/>
      <c r="J1052" s="9"/>
      <c r="K1052" s="9"/>
      <c r="L1052" s="9"/>
      <c r="M1052" s="9"/>
      <c r="N1052" s="10"/>
      <c r="O1052" s="9"/>
      <c r="P1052" s="9"/>
      <c r="Q1052" s="9"/>
      <c r="R1052" s="9" t="s">
        <v>12795</v>
      </c>
      <c r="S1052" s="9" t="s">
        <v>12795</v>
      </c>
      <c r="T1052" s="9"/>
      <c r="U1052" s="9"/>
      <c r="V1052" s="9"/>
      <c r="W1052" s="9"/>
      <c r="X1052" s="9"/>
      <c r="Y1052" s="9"/>
      <c r="Z1052" s="9"/>
      <c r="AA1052" s="9"/>
      <c r="AB1052" s="9"/>
      <c r="AC1052" s="9"/>
      <c r="AD1052" s="9" t="s">
        <v>19</v>
      </c>
    </row>
    <row r="1053" spans="1:30" ht="29">
      <c r="A1053" s="3" t="s">
        <v>2945</v>
      </c>
      <c r="B1053" s="3" t="s">
        <v>8221</v>
      </c>
      <c r="C1053" s="3" t="s">
        <v>8220</v>
      </c>
      <c r="G1053" s="9" t="s">
        <v>25</v>
      </c>
      <c r="H1053" s="9"/>
      <c r="I1053" s="9">
        <v>1</v>
      </c>
      <c r="J1053" s="9">
        <v>2</v>
      </c>
      <c r="K1053" s="9" t="s">
        <v>12078</v>
      </c>
      <c r="L1053" s="9" t="s">
        <v>12119</v>
      </c>
      <c r="M1053" s="9"/>
      <c r="N1053" s="10"/>
      <c r="O1053" s="9"/>
      <c r="P1053" s="9">
        <v>11843</v>
      </c>
      <c r="Q1053" s="9"/>
      <c r="R1053" s="9" t="s">
        <v>12795</v>
      </c>
      <c r="S1053" s="9" t="s">
        <v>12795</v>
      </c>
      <c r="T1053" s="9"/>
      <c r="U1053" s="9"/>
      <c r="V1053" s="9"/>
      <c r="W1053" s="9"/>
      <c r="X1053" s="9"/>
      <c r="Y1053" s="9"/>
      <c r="Z1053" s="9"/>
      <c r="AA1053" s="9"/>
      <c r="AB1053" s="9"/>
      <c r="AC1053" s="9"/>
      <c r="AD1053" s="9" t="s">
        <v>20</v>
      </c>
    </row>
    <row r="1054" spans="1:30" ht="29">
      <c r="A1054" s="3" t="s">
        <v>2947</v>
      </c>
      <c r="B1054" s="3" t="s">
        <v>8223</v>
      </c>
      <c r="C1054" s="3" t="s">
        <v>8224</v>
      </c>
      <c r="G1054" s="9" t="s">
        <v>24</v>
      </c>
      <c r="H1054" s="9"/>
      <c r="I1054" s="9">
        <v>1</v>
      </c>
      <c r="J1054" s="9">
        <v>3</v>
      </c>
      <c r="K1054" s="9" t="s">
        <v>12078</v>
      </c>
      <c r="L1054" s="9" t="s">
        <v>12073</v>
      </c>
      <c r="M1054" s="9" t="s">
        <v>12142</v>
      </c>
      <c r="N1054" s="10" t="s">
        <v>12143</v>
      </c>
      <c r="O1054" s="9" t="s">
        <v>12074</v>
      </c>
      <c r="P1054" s="9">
        <v>11843</v>
      </c>
      <c r="Q1054" s="9"/>
      <c r="R1054" s="9" t="s">
        <v>12795</v>
      </c>
      <c r="S1054" s="9" t="s">
        <v>12795</v>
      </c>
      <c r="T1054" s="9"/>
      <c r="U1054" s="9"/>
      <c r="V1054" s="9"/>
      <c r="W1054" s="9"/>
      <c r="X1054" s="9"/>
      <c r="Y1054" s="9"/>
      <c r="Z1054" s="9"/>
      <c r="AA1054" s="9"/>
      <c r="AB1054" s="9"/>
      <c r="AC1054" s="9"/>
      <c r="AD1054" s="9" t="s">
        <v>20</v>
      </c>
    </row>
    <row r="1055" spans="1:30" ht="29">
      <c r="A1055" s="3" t="s">
        <v>2947</v>
      </c>
      <c r="B1055" s="3" t="s">
        <v>12426</v>
      </c>
      <c r="C1055" s="3" t="s">
        <v>12427</v>
      </c>
      <c r="G1055" s="9" t="s">
        <v>25</v>
      </c>
      <c r="H1055" s="9"/>
      <c r="I1055" s="9">
        <v>1</v>
      </c>
      <c r="J1055" s="9">
        <v>1</v>
      </c>
      <c r="K1055" s="9" t="s">
        <v>12078</v>
      </c>
      <c r="L1055" s="9" t="s">
        <v>12119</v>
      </c>
      <c r="M1055" s="9"/>
      <c r="N1055" s="10"/>
      <c r="O1055" s="9"/>
      <c r="P1055" s="9">
        <v>11843</v>
      </c>
      <c r="Q1055" s="9"/>
      <c r="R1055" s="9" t="s">
        <v>12795</v>
      </c>
      <c r="S1055" s="9" t="s">
        <v>12795</v>
      </c>
      <c r="T1055" s="9"/>
      <c r="U1055" s="9"/>
      <c r="V1055" s="9"/>
      <c r="W1055" s="9"/>
      <c r="X1055" s="9"/>
      <c r="Y1055" s="9"/>
      <c r="Z1055" s="9"/>
      <c r="AA1055" s="9"/>
      <c r="AB1055" s="9"/>
      <c r="AC1055" s="9"/>
      <c r="AD1055" s="9" t="s">
        <v>13141</v>
      </c>
    </row>
    <row r="1056" spans="1:30" ht="29">
      <c r="A1056" s="3" t="s">
        <v>2950</v>
      </c>
      <c r="B1056" s="3" t="s">
        <v>8225</v>
      </c>
      <c r="C1056" s="3" t="s">
        <v>8226</v>
      </c>
      <c r="G1056" s="9" t="s">
        <v>26</v>
      </c>
      <c r="H1056" s="9"/>
      <c r="I1056" s="9"/>
      <c r="J1056" s="9"/>
      <c r="K1056" s="9"/>
      <c r="L1056" s="9"/>
      <c r="M1056" s="9"/>
      <c r="N1056" s="10"/>
      <c r="O1056" s="9"/>
      <c r="P1056" s="9"/>
      <c r="Q1056" s="9"/>
      <c r="R1056" s="9" t="s">
        <v>12795</v>
      </c>
      <c r="S1056" s="9" t="s">
        <v>12795</v>
      </c>
      <c r="T1056" s="9"/>
      <c r="U1056" s="9"/>
      <c r="V1056" s="9"/>
      <c r="W1056" s="9"/>
      <c r="X1056" s="9"/>
      <c r="Y1056" s="9"/>
      <c r="Z1056" s="9"/>
      <c r="AA1056" s="9"/>
      <c r="AB1056" s="9"/>
      <c r="AC1056" s="9"/>
      <c r="AD1056" s="9" t="s">
        <v>20</v>
      </c>
    </row>
    <row r="1057" spans="1:30" ht="29">
      <c r="A1057" s="3" t="s">
        <v>2951</v>
      </c>
      <c r="B1057" s="3" t="s">
        <v>8228</v>
      </c>
      <c r="C1057" s="3" t="s">
        <v>8227</v>
      </c>
      <c r="G1057" s="9" t="s">
        <v>24</v>
      </c>
      <c r="H1057" s="9"/>
      <c r="I1057" s="9">
        <v>1</v>
      </c>
      <c r="J1057" s="9">
        <v>4</v>
      </c>
      <c r="K1057" s="9" t="s">
        <v>12094</v>
      </c>
      <c r="L1057" s="9" t="s">
        <v>12079</v>
      </c>
      <c r="M1057" s="9"/>
      <c r="N1057" s="10"/>
      <c r="O1057" s="9"/>
      <c r="P1057" s="9">
        <v>1741</v>
      </c>
      <c r="Q1057" s="9"/>
      <c r="R1057" s="9" t="s">
        <v>12795</v>
      </c>
      <c r="S1057" s="9" t="s">
        <v>12795</v>
      </c>
      <c r="T1057" s="9"/>
      <c r="U1057" s="9"/>
      <c r="V1057" s="9"/>
      <c r="W1057" s="9"/>
      <c r="X1057" s="9"/>
      <c r="Y1057" s="9"/>
      <c r="Z1057" s="9"/>
      <c r="AA1057" s="9"/>
      <c r="AB1057" s="9"/>
      <c r="AC1057" s="9"/>
      <c r="AD1057" s="9" t="s">
        <v>19</v>
      </c>
    </row>
    <row r="1058" spans="1:30" ht="72.5">
      <c r="A1058" s="3" t="s">
        <v>2952</v>
      </c>
      <c r="B1058" s="3" t="s">
        <v>12428</v>
      </c>
      <c r="C1058" s="3" t="s">
        <v>8232</v>
      </c>
      <c r="G1058" s="9" t="s">
        <v>24</v>
      </c>
      <c r="H1058" s="9"/>
      <c r="I1058" s="9">
        <v>3</v>
      </c>
      <c r="J1058" s="9">
        <v>14</v>
      </c>
      <c r="K1058" s="9"/>
      <c r="L1058" s="9" t="s">
        <v>12079</v>
      </c>
      <c r="M1058" s="9"/>
      <c r="N1058" s="10"/>
      <c r="O1058" s="9"/>
      <c r="P1058" s="9">
        <v>47</v>
      </c>
      <c r="Q1058" s="9"/>
      <c r="R1058" s="9" t="s">
        <v>12795</v>
      </c>
      <c r="S1058" s="9" t="s">
        <v>12795</v>
      </c>
      <c r="T1058" s="9"/>
      <c r="U1058" s="9"/>
      <c r="V1058" s="9"/>
      <c r="W1058" s="9"/>
      <c r="X1058" s="9"/>
      <c r="Y1058" s="9"/>
      <c r="Z1058" s="9"/>
      <c r="AA1058" s="9"/>
      <c r="AB1058" s="9"/>
      <c r="AC1058" s="9"/>
      <c r="AD1058" s="9" t="s">
        <v>20</v>
      </c>
    </row>
    <row r="1059" spans="1:30" ht="72.5">
      <c r="A1059" s="3" t="s">
        <v>2952</v>
      </c>
      <c r="B1059" s="3" t="s">
        <v>12430</v>
      </c>
      <c r="C1059" s="3" t="s">
        <v>12429</v>
      </c>
      <c r="G1059" s="9" t="s">
        <v>25</v>
      </c>
      <c r="H1059" s="9"/>
      <c r="I1059" s="9">
        <v>3</v>
      </c>
      <c r="J1059" s="9">
        <v>14</v>
      </c>
      <c r="K1059" s="9"/>
      <c r="L1059" s="9" t="s">
        <v>12073</v>
      </c>
      <c r="M1059" s="9" t="s">
        <v>12140</v>
      </c>
      <c r="N1059" s="10" t="s">
        <v>12136</v>
      </c>
      <c r="O1059" s="9"/>
      <c r="P1059" s="9">
        <v>47</v>
      </c>
      <c r="Q1059" s="9"/>
      <c r="R1059" s="9" t="s">
        <v>12795</v>
      </c>
      <c r="S1059" s="9" t="s">
        <v>12795</v>
      </c>
      <c r="T1059" s="9"/>
      <c r="U1059" s="9"/>
      <c r="V1059" s="9"/>
      <c r="W1059" s="9"/>
      <c r="X1059" s="9"/>
      <c r="Y1059" s="9"/>
      <c r="Z1059" s="9"/>
      <c r="AA1059" s="9"/>
      <c r="AB1059" s="9"/>
      <c r="AC1059" s="9"/>
      <c r="AD1059" s="9" t="s">
        <v>20</v>
      </c>
    </row>
    <row r="1060" spans="1:30" ht="29">
      <c r="A1060" s="3" t="s">
        <v>2956</v>
      </c>
      <c r="B1060" s="3" t="s">
        <v>8238</v>
      </c>
      <c r="C1060" s="3" t="s">
        <v>8237</v>
      </c>
      <c r="G1060" s="9" t="s">
        <v>25</v>
      </c>
      <c r="H1060" s="9"/>
      <c r="I1060" s="9">
        <v>1</v>
      </c>
      <c r="J1060" s="9">
        <v>3</v>
      </c>
      <c r="K1060" s="9" t="s">
        <v>12087</v>
      </c>
      <c r="L1060" s="9" t="s">
        <v>12079</v>
      </c>
      <c r="M1060" s="9"/>
      <c r="N1060" s="10"/>
      <c r="O1060" s="9"/>
      <c r="P1060" s="9">
        <v>431</v>
      </c>
      <c r="Q1060" s="9"/>
      <c r="R1060" s="9" t="s">
        <v>12795</v>
      </c>
      <c r="S1060" s="9" t="s">
        <v>12795</v>
      </c>
      <c r="T1060" s="9"/>
      <c r="U1060" s="9"/>
      <c r="V1060" s="9"/>
      <c r="W1060" s="9"/>
      <c r="X1060" s="9"/>
      <c r="Y1060" s="9"/>
      <c r="Z1060" s="9"/>
      <c r="AA1060" s="9"/>
      <c r="AB1060" s="9"/>
      <c r="AC1060" s="9"/>
      <c r="AD1060" s="9" t="s">
        <v>20</v>
      </c>
    </row>
    <row r="1061" spans="1:30" ht="29">
      <c r="A1061" s="3" t="s">
        <v>2957</v>
      </c>
      <c r="B1061" s="3" t="s">
        <v>8240</v>
      </c>
      <c r="C1061" s="3" t="s">
        <v>8239</v>
      </c>
      <c r="G1061" s="9" t="s">
        <v>25</v>
      </c>
      <c r="H1061" s="9"/>
      <c r="I1061" s="9">
        <v>1</v>
      </c>
      <c r="J1061" s="9">
        <v>2</v>
      </c>
      <c r="K1061" s="9" t="s">
        <v>12078</v>
      </c>
      <c r="L1061" s="9" t="s">
        <v>12119</v>
      </c>
      <c r="M1061" s="9"/>
      <c r="N1061" s="10"/>
      <c r="O1061" s="9" t="s">
        <v>12074</v>
      </c>
      <c r="P1061" s="9">
        <v>11843</v>
      </c>
      <c r="Q1061" s="9"/>
      <c r="R1061" s="9" t="s">
        <v>12795</v>
      </c>
      <c r="S1061" s="9" t="s">
        <v>12795</v>
      </c>
      <c r="T1061" s="9"/>
      <c r="U1061" s="9"/>
      <c r="V1061" s="9"/>
      <c r="W1061" s="9"/>
      <c r="X1061" s="9"/>
      <c r="Y1061" s="9"/>
      <c r="Z1061" s="9"/>
      <c r="AA1061" s="9"/>
      <c r="AB1061" s="9"/>
      <c r="AC1061" s="9"/>
      <c r="AD1061" s="9" t="s">
        <v>20</v>
      </c>
    </row>
    <row r="1062" spans="1:30" ht="29">
      <c r="A1062" s="3" t="s">
        <v>2962</v>
      </c>
      <c r="B1062" s="3" t="s">
        <v>8242</v>
      </c>
      <c r="C1062" s="3" t="s">
        <v>8243</v>
      </c>
      <c r="F1062" t="s">
        <v>19</v>
      </c>
      <c r="G1062" s="9" t="s">
        <v>12118</v>
      </c>
      <c r="H1062" s="9"/>
      <c r="I1062" s="9"/>
      <c r="J1062" s="9"/>
      <c r="K1062" s="9"/>
      <c r="L1062" s="9"/>
      <c r="M1062" s="9"/>
      <c r="N1062" s="10"/>
      <c r="O1062" s="9"/>
      <c r="P1062" s="9"/>
      <c r="Q1062" s="9">
        <v>11750</v>
      </c>
      <c r="R1062" s="9">
        <v>93</v>
      </c>
      <c r="S1062" s="9">
        <v>11843</v>
      </c>
      <c r="T1062" s="9"/>
      <c r="U1062" s="9"/>
      <c r="V1062" s="9"/>
      <c r="W1062" s="9"/>
      <c r="X1062" s="9"/>
      <c r="Y1062" s="9"/>
      <c r="Z1062" s="9"/>
      <c r="AA1062" s="9"/>
      <c r="AB1062" s="9"/>
      <c r="AC1062" s="9"/>
      <c r="AD1062" s="9" t="s">
        <v>20</v>
      </c>
    </row>
    <row r="1063" spans="1:30">
      <c r="A1063" s="3" t="s">
        <v>2965</v>
      </c>
      <c r="B1063" s="3" t="s">
        <v>8251</v>
      </c>
      <c r="C1063" s="3" t="s">
        <v>8252</v>
      </c>
      <c r="G1063" s="9" t="s">
        <v>25</v>
      </c>
      <c r="H1063" s="9"/>
      <c r="I1063" s="9">
        <v>1</v>
      </c>
      <c r="J1063" s="9">
        <v>6</v>
      </c>
      <c r="K1063" s="9" t="s">
        <v>12125</v>
      </c>
      <c r="L1063" s="9" t="s">
        <v>12079</v>
      </c>
      <c r="M1063" s="9"/>
      <c r="N1063" s="10"/>
      <c r="O1063" s="9"/>
      <c r="P1063" s="9">
        <v>265</v>
      </c>
      <c r="Q1063" s="9"/>
      <c r="R1063" s="9" t="s">
        <v>12795</v>
      </c>
      <c r="S1063" s="9" t="s">
        <v>12795</v>
      </c>
      <c r="T1063" s="9"/>
      <c r="U1063" s="9"/>
      <c r="V1063" s="9"/>
      <c r="W1063" s="9"/>
      <c r="X1063" s="9"/>
      <c r="Y1063" s="9"/>
      <c r="Z1063" s="9"/>
      <c r="AA1063" s="9"/>
      <c r="AB1063" s="9"/>
      <c r="AC1063" s="9"/>
      <c r="AD1063" s="9" t="s">
        <v>20</v>
      </c>
    </row>
    <row r="1064" spans="1:30" ht="29">
      <c r="A1064" s="3" t="s">
        <v>2968</v>
      </c>
      <c r="B1064" s="3" t="s">
        <v>8254</v>
      </c>
      <c r="C1064" s="3" t="s">
        <v>8253</v>
      </c>
      <c r="G1064" s="9" t="s">
        <v>24</v>
      </c>
      <c r="H1064" s="9"/>
      <c r="I1064" s="9">
        <v>1</v>
      </c>
      <c r="J1064" s="9">
        <v>4</v>
      </c>
      <c r="K1064" s="9" t="s">
        <v>12072</v>
      </c>
      <c r="L1064" s="9" t="s">
        <v>12079</v>
      </c>
      <c r="M1064" s="9"/>
      <c r="N1064" s="10"/>
      <c r="O1064" s="9"/>
      <c r="P1064" s="9">
        <v>130</v>
      </c>
      <c r="Q1064" s="9"/>
      <c r="R1064" s="9"/>
      <c r="S1064" s="9"/>
      <c r="T1064" s="9"/>
      <c r="U1064" s="9"/>
      <c r="V1064" s="9"/>
      <c r="W1064" s="9"/>
      <c r="X1064" s="9"/>
      <c r="Y1064" s="9"/>
      <c r="Z1064" s="9"/>
      <c r="AA1064" s="9"/>
      <c r="AB1064" s="9"/>
      <c r="AC1064" s="9"/>
      <c r="AD1064" s="9" t="s">
        <v>19</v>
      </c>
    </row>
    <row r="1065" spans="1:30" ht="29">
      <c r="A1065" s="3" t="s">
        <v>2970</v>
      </c>
      <c r="B1065" s="3" t="s">
        <v>8258</v>
      </c>
      <c r="C1065" s="3" t="s">
        <v>8257</v>
      </c>
      <c r="G1065" s="9" t="s">
        <v>25</v>
      </c>
      <c r="H1065" s="9"/>
      <c r="I1065" s="9">
        <v>1</v>
      </c>
      <c r="J1065" s="9">
        <v>2</v>
      </c>
      <c r="K1065" s="9" t="s">
        <v>12123</v>
      </c>
      <c r="L1065" s="9" t="s">
        <v>12119</v>
      </c>
      <c r="M1065" s="9"/>
      <c r="N1065" s="10"/>
      <c r="O1065" s="9"/>
      <c r="P1065" s="9">
        <v>526</v>
      </c>
      <c r="Q1065" s="9"/>
      <c r="R1065" s="9" t="s">
        <v>12795</v>
      </c>
      <c r="S1065" s="9" t="s">
        <v>12795</v>
      </c>
      <c r="T1065" s="9"/>
      <c r="U1065" s="9"/>
      <c r="V1065" s="9"/>
      <c r="W1065" s="9"/>
      <c r="X1065" s="9"/>
      <c r="Y1065" s="9"/>
      <c r="Z1065" s="9"/>
      <c r="AA1065" s="9"/>
      <c r="AB1065" s="9"/>
      <c r="AC1065" s="9"/>
      <c r="AD1065" s="9" t="s">
        <v>20</v>
      </c>
    </row>
    <row r="1066" spans="1:30" ht="29">
      <c r="A1066" s="3" t="s">
        <v>2971</v>
      </c>
      <c r="B1066" s="3" t="s">
        <v>8260</v>
      </c>
      <c r="C1066" s="3" t="s">
        <v>8259</v>
      </c>
      <c r="G1066" s="9" t="s">
        <v>25</v>
      </c>
      <c r="H1066" s="9"/>
      <c r="I1066" s="9">
        <v>3</v>
      </c>
      <c r="J1066" s="9">
        <v>9</v>
      </c>
      <c r="K1066" s="9"/>
      <c r="L1066" s="9" t="s">
        <v>12079</v>
      </c>
      <c r="M1066" s="9"/>
      <c r="N1066" s="10"/>
      <c r="O1066" s="9"/>
      <c r="P1066" s="9">
        <v>75</v>
      </c>
      <c r="Q1066" s="9"/>
      <c r="R1066" s="9" t="s">
        <v>12795</v>
      </c>
      <c r="S1066" s="9" t="s">
        <v>12795</v>
      </c>
      <c r="T1066" s="9"/>
      <c r="U1066" s="9"/>
      <c r="V1066" s="9"/>
      <c r="W1066" s="9"/>
      <c r="X1066" s="9"/>
      <c r="Y1066" s="9"/>
      <c r="Z1066" s="9"/>
      <c r="AA1066" s="9"/>
      <c r="AB1066" s="9"/>
      <c r="AC1066" s="9"/>
      <c r="AD1066" s="9" t="s">
        <v>13141</v>
      </c>
    </row>
    <row r="1067" spans="1:30" ht="29">
      <c r="A1067" s="3" t="s">
        <v>2976</v>
      </c>
      <c r="B1067" s="3" t="s">
        <v>8267</v>
      </c>
      <c r="C1067" s="3" t="s">
        <v>8268</v>
      </c>
      <c r="G1067" s="9" t="s">
        <v>24</v>
      </c>
      <c r="H1067" s="9"/>
      <c r="I1067" s="9">
        <v>1</v>
      </c>
      <c r="J1067" s="9">
        <v>1</v>
      </c>
      <c r="K1067" s="9" t="s">
        <v>12078</v>
      </c>
      <c r="L1067" s="9" t="s">
        <v>12119</v>
      </c>
      <c r="M1067" s="9"/>
      <c r="N1067" s="10"/>
      <c r="O1067" s="9"/>
      <c r="P1067" s="9">
        <v>11843</v>
      </c>
      <c r="Q1067" s="9"/>
      <c r="R1067" s="9" t="s">
        <v>12795</v>
      </c>
      <c r="S1067" s="9" t="s">
        <v>12795</v>
      </c>
      <c r="T1067" s="9"/>
      <c r="U1067" s="9"/>
      <c r="V1067" s="9"/>
      <c r="W1067" s="9"/>
      <c r="X1067" s="9"/>
      <c r="Y1067" s="9"/>
      <c r="Z1067" s="9"/>
      <c r="AA1067" s="9"/>
      <c r="AB1067" s="9"/>
      <c r="AC1067" s="9"/>
      <c r="AD1067" s="9" t="s">
        <v>19</v>
      </c>
    </row>
    <row r="1068" spans="1:30" ht="29">
      <c r="A1068" s="3" t="s">
        <v>2978</v>
      </c>
      <c r="B1068" s="3" t="s">
        <v>8272</v>
      </c>
      <c r="C1068" s="3" t="s">
        <v>8271</v>
      </c>
      <c r="F1068" t="s">
        <v>19</v>
      </c>
      <c r="G1068" s="9" t="s">
        <v>25</v>
      </c>
      <c r="H1068" s="9"/>
      <c r="I1068" s="9">
        <v>1</v>
      </c>
      <c r="J1068" s="9">
        <v>3</v>
      </c>
      <c r="K1068" s="9" t="s">
        <v>12123</v>
      </c>
      <c r="L1068" s="9" t="s">
        <v>12079</v>
      </c>
      <c r="M1068" s="9"/>
      <c r="N1068" s="10"/>
      <c r="O1068" s="9"/>
      <c r="P1068" s="9">
        <v>887</v>
      </c>
      <c r="Q1068" s="9"/>
      <c r="R1068" s="9" t="s">
        <v>12795</v>
      </c>
      <c r="S1068" s="9" t="s">
        <v>12795</v>
      </c>
      <c r="T1068" s="9"/>
      <c r="U1068" s="9"/>
      <c r="V1068" s="9"/>
      <c r="W1068" s="9"/>
      <c r="X1068" s="9"/>
      <c r="Y1068" s="9"/>
      <c r="Z1068" s="9"/>
      <c r="AA1068" s="9"/>
      <c r="AB1068" s="9"/>
      <c r="AC1068" s="9"/>
      <c r="AD1068" s="9" t="s">
        <v>20</v>
      </c>
    </row>
    <row r="1069" spans="1:30" ht="29">
      <c r="A1069" s="3" t="s">
        <v>2979</v>
      </c>
      <c r="B1069" s="3" t="s">
        <v>8274</v>
      </c>
      <c r="C1069" s="3" t="s">
        <v>8273</v>
      </c>
      <c r="G1069" s="9" t="s">
        <v>12118</v>
      </c>
      <c r="H1069" s="9"/>
      <c r="I1069" s="9"/>
      <c r="J1069" s="9"/>
      <c r="K1069" s="9"/>
      <c r="L1069" s="9"/>
      <c r="M1069" s="9"/>
      <c r="N1069" s="10"/>
      <c r="O1069" s="9"/>
      <c r="P1069" s="9"/>
      <c r="Q1069" s="9">
        <v>-3710</v>
      </c>
      <c r="R1069" s="9">
        <v>5676</v>
      </c>
      <c r="S1069" s="9">
        <v>1966</v>
      </c>
      <c r="T1069" s="9"/>
      <c r="U1069" s="9"/>
      <c r="V1069" s="9"/>
      <c r="W1069" s="9"/>
      <c r="X1069" s="9"/>
      <c r="Y1069" s="9"/>
      <c r="Z1069" s="9"/>
      <c r="AA1069" s="9"/>
      <c r="AB1069" s="9"/>
      <c r="AC1069" s="9"/>
      <c r="AD1069" s="9" t="s">
        <v>19</v>
      </c>
    </row>
    <row r="1070" spans="1:30" ht="29">
      <c r="A1070" s="3" t="s">
        <v>2981</v>
      </c>
      <c r="B1070" s="3" t="s">
        <v>2982</v>
      </c>
      <c r="C1070" s="3" t="s">
        <v>8277</v>
      </c>
      <c r="F1070" t="s">
        <v>19</v>
      </c>
      <c r="G1070" s="9" t="s">
        <v>12120</v>
      </c>
      <c r="H1070" s="9"/>
      <c r="I1070" s="9"/>
      <c r="J1070" s="9"/>
      <c r="K1070" s="9"/>
      <c r="L1070" s="9"/>
      <c r="M1070" s="9"/>
      <c r="N1070" s="10"/>
      <c r="O1070" s="9"/>
      <c r="P1070" s="9"/>
      <c r="Q1070" s="9"/>
      <c r="R1070" s="9" t="s">
        <v>12795</v>
      </c>
      <c r="S1070" s="9" t="s">
        <v>12795</v>
      </c>
      <c r="T1070" s="9"/>
      <c r="U1070" s="9"/>
      <c r="V1070" s="9"/>
      <c r="W1070" s="9"/>
      <c r="X1070" s="9"/>
      <c r="Y1070" s="9"/>
      <c r="Z1070" s="9"/>
      <c r="AA1070" s="9"/>
      <c r="AB1070" s="9"/>
      <c r="AC1070" s="9"/>
      <c r="AD1070" s="9" t="s">
        <v>20</v>
      </c>
    </row>
    <row r="1071" spans="1:30" ht="29">
      <c r="A1071" s="3" t="s">
        <v>2981</v>
      </c>
      <c r="B1071" s="3" t="s">
        <v>8278</v>
      </c>
      <c r="C1071" s="3" t="s">
        <v>8279</v>
      </c>
      <c r="G1071" s="9" t="s">
        <v>26</v>
      </c>
      <c r="H1071" s="9"/>
      <c r="I1071" s="9"/>
      <c r="J1071" s="9"/>
      <c r="K1071" s="9"/>
      <c r="L1071" s="9"/>
      <c r="M1071" s="9"/>
      <c r="N1071" s="10"/>
      <c r="O1071" s="9"/>
      <c r="P1071" s="9"/>
      <c r="Q1071" s="9"/>
      <c r="R1071" s="9" t="s">
        <v>12795</v>
      </c>
      <c r="S1071" s="9" t="s">
        <v>12795</v>
      </c>
      <c r="T1071" s="9"/>
      <c r="U1071" s="9"/>
      <c r="V1071" s="9"/>
      <c r="W1071" s="9"/>
      <c r="X1071" s="9"/>
      <c r="Y1071" s="9"/>
      <c r="Z1071" s="9"/>
      <c r="AA1071" s="9"/>
      <c r="AB1071" s="9"/>
      <c r="AC1071" s="9"/>
      <c r="AD1071" s="9" t="s">
        <v>20</v>
      </c>
    </row>
    <row r="1072" spans="1:30" ht="29">
      <c r="A1072" s="3" t="s">
        <v>2981</v>
      </c>
      <c r="B1072" s="3" t="s">
        <v>8280</v>
      </c>
      <c r="C1072" s="3" t="s">
        <v>8281</v>
      </c>
      <c r="G1072" s="9" t="s">
        <v>12120</v>
      </c>
      <c r="H1072" s="9"/>
      <c r="I1072" s="9"/>
      <c r="J1072" s="9"/>
      <c r="K1072" s="9"/>
      <c r="L1072" s="9"/>
      <c r="M1072" s="9"/>
      <c r="N1072" s="10"/>
      <c r="O1072" s="9"/>
      <c r="P1072" s="9"/>
      <c r="Q1072" s="9"/>
      <c r="R1072" s="9" t="s">
        <v>12795</v>
      </c>
      <c r="S1072" s="9" t="s">
        <v>12795</v>
      </c>
      <c r="T1072" s="9"/>
      <c r="U1072" s="9"/>
      <c r="V1072" s="9"/>
      <c r="W1072" s="9"/>
      <c r="X1072" s="9"/>
      <c r="Y1072" s="9"/>
      <c r="Z1072" s="9"/>
      <c r="AA1072" s="9"/>
      <c r="AB1072" s="9"/>
      <c r="AC1072" s="9"/>
      <c r="AD1072" s="9" t="s">
        <v>20</v>
      </c>
    </row>
    <row r="1073" spans="1:30" ht="29">
      <c r="A1073" s="3" t="s">
        <v>2985</v>
      </c>
      <c r="B1073" s="3" t="s">
        <v>8285</v>
      </c>
      <c r="C1073" s="3" t="s">
        <v>8284</v>
      </c>
      <c r="F1073" t="s">
        <v>19</v>
      </c>
      <c r="G1073" s="9" t="s">
        <v>25</v>
      </c>
      <c r="H1073" s="9"/>
      <c r="I1073" s="9">
        <v>1</v>
      </c>
      <c r="J1073" s="9">
        <v>4</v>
      </c>
      <c r="K1073" s="9" t="s">
        <v>12078</v>
      </c>
      <c r="L1073" s="9" t="s">
        <v>12073</v>
      </c>
      <c r="M1073" s="9" t="s">
        <v>12149</v>
      </c>
      <c r="N1073" s="10" t="s">
        <v>12143</v>
      </c>
      <c r="O1073" s="9"/>
      <c r="P1073" s="9">
        <v>11843</v>
      </c>
      <c r="Q1073" s="9"/>
      <c r="R1073" s="9" t="s">
        <v>12795</v>
      </c>
      <c r="S1073" s="9" t="s">
        <v>12795</v>
      </c>
      <c r="T1073" s="9"/>
      <c r="U1073" s="9"/>
      <c r="V1073" s="9"/>
      <c r="W1073" s="9"/>
      <c r="X1073" s="9"/>
      <c r="Y1073" s="9"/>
      <c r="Z1073" s="9"/>
      <c r="AA1073" s="9"/>
      <c r="AB1073" s="9"/>
      <c r="AC1073" s="9"/>
      <c r="AD1073" s="9" t="s">
        <v>20</v>
      </c>
    </row>
    <row r="1074" spans="1:30" ht="29">
      <c r="A1074" s="3" t="s">
        <v>2986</v>
      </c>
      <c r="B1074" s="3" t="s">
        <v>8287</v>
      </c>
      <c r="C1074" s="3" t="s">
        <v>8286</v>
      </c>
      <c r="G1074" s="9" t="s">
        <v>25</v>
      </c>
      <c r="H1074" s="9"/>
      <c r="I1074" s="9">
        <v>1</v>
      </c>
      <c r="J1074" s="9">
        <v>2</v>
      </c>
      <c r="K1074" s="9" t="s">
        <v>12094</v>
      </c>
      <c r="L1074" s="9" t="s">
        <v>12119</v>
      </c>
      <c r="M1074" s="9"/>
      <c r="N1074" s="10"/>
      <c r="O1074" s="9"/>
      <c r="P1074" s="9">
        <v>1496</v>
      </c>
      <c r="Q1074" s="9"/>
      <c r="R1074" s="9" t="s">
        <v>12795</v>
      </c>
      <c r="S1074" s="9" t="s">
        <v>12795</v>
      </c>
      <c r="T1074" s="9"/>
      <c r="U1074" s="9"/>
      <c r="V1074" s="9"/>
      <c r="W1074" s="9"/>
      <c r="X1074" s="9"/>
      <c r="Y1074" s="9"/>
      <c r="Z1074" s="9"/>
      <c r="AA1074" s="9"/>
      <c r="AB1074" s="9"/>
      <c r="AC1074" s="9"/>
      <c r="AD1074" s="9" t="s">
        <v>19</v>
      </c>
    </row>
    <row r="1075" spans="1:30" ht="29">
      <c r="A1075" s="3" t="s">
        <v>2991</v>
      </c>
      <c r="B1075" s="3" t="s">
        <v>8288</v>
      </c>
      <c r="C1075" s="3" t="s">
        <v>8289</v>
      </c>
      <c r="G1075" s="9" t="s">
        <v>26</v>
      </c>
      <c r="H1075" s="9"/>
      <c r="I1075" s="9"/>
      <c r="J1075" s="9"/>
      <c r="K1075" s="9"/>
      <c r="L1075" s="9"/>
      <c r="M1075" s="9"/>
      <c r="N1075" s="10"/>
      <c r="O1075" s="9"/>
      <c r="P1075" s="9"/>
      <c r="Q1075" s="9"/>
      <c r="R1075" s="9" t="s">
        <v>12795</v>
      </c>
      <c r="S1075" s="9" t="s">
        <v>12795</v>
      </c>
      <c r="T1075" s="9"/>
      <c r="U1075" s="9"/>
      <c r="V1075" s="9"/>
      <c r="W1075" s="9"/>
      <c r="X1075" s="9"/>
      <c r="Y1075" s="9"/>
      <c r="Z1075" s="9"/>
      <c r="AA1075" s="9"/>
      <c r="AB1075" s="9"/>
      <c r="AC1075" s="9"/>
      <c r="AD1075" s="9" t="s">
        <v>19</v>
      </c>
    </row>
    <row r="1076" spans="1:30" ht="29">
      <c r="A1076" s="3" t="s">
        <v>2992</v>
      </c>
      <c r="B1076" s="3" t="s">
        <v>8291</v>
      </c>
      <c r="C1076" s="3" t="s">
        <v>8290</v>
      </c>
      <c r="G1076" s="9" t="s">
        <v>24</v>
      </c>
      <c r="H1076" s="9"/>
      <c r="I1076" s="9">
        <v>1</v>
      </c>
      <c r="J1076" s="9">
        <v>5</v>
      </c>
      <c r="K1076" s="9" t="s">
        <v>12094</v>
      </c>
      <c r="L1076" s="9" t="s">
        <v>12079</v>
      </c>
      <c r="M1076" s="9"/>
      <c r="N1076" s="10"/>
      <c r="O1076" s="9"/>
      <c r="P1076" s="9">
        <v>4240</v>
      </c>
      <c r="Q1076" s="9"/>
      <c r="R1076" s="9" t="s">
        <v>12795</v>
      </c>
      <c r="S1076" s="9" t="s">
        <v>12795</v>
      </c>
      <c r="T1076" s="9"/>
      <c r="U1076" s="9"/>
      <c r="V1076" s="9"/>
      <c r="W1076" s="9"/>
      <c r="X1076" s="9"/>
      <c r="Y1076" s="9"/>
      <c r="Z1076" s="9"/>
      <c r="AA1076" s="9"/>
      <c r="AB1076" s="9"/>
      <c r="AC1076" s="9"/>
      <c r="AD1076" s="9" t="s">
        <v>19</v>
      </c>
    </row>
    <row r="1077" spans="1:30" ht="87">
      <c r="A1077" s="3" t="s">
        <v>2993</v>
      </c>
      <c r="B1077" s="3" t="s">
        <v>8293</v>
      </c>
      <c r="C1077" s="3" t="s">
        <v>8294</v>
      </c>
      <c r="G1077" s="9" t="s">
        <v>26</v>
      </c>
      <c r="H1077" s="9"/>
      <c r="I1077" s="9"/>
      <c r="J1077" s="9"/>
      <c r="K1077" s="9"/>
      <c r="L1077" s="9"/>
      <c r="M1077" s="9"/>
      <c r="N1077" s="10"/>
      <c r="O1077" s="9"/>
      <c r="P1077" s="9"/>
      <c r="Q1077" s="9"/>
      <c r="R1077" s="9" t="s">
        <v>12795</v>
      </c>
      <c r="S1077" s="9" t="s">
        <v>12795</v>
      </c>
      <c r="T1077" s="9"/>
      <c r="U1077" s="9"/>
      <c r="V1077" s="9"/>
      <c r="W1077" s="9"/>
      <c r="X1077" s="9"/>
      <c r="Y1077" s="9"/>
      <c r="Z1077" s="9"/>
      <c r="AA1077" s="9"/>
      <c r="AB1077" s="9"/>
      <c r="AC1077" s="9" t="s">
        <v>19</v>
      </c>
      <c r="AD1077" s="9" t="s">
        <v>20</v>
      </c>
    </row>
    <row r="1078" spans="1:30" ht="87">
      <c r="A1078" s="3" t="s">
        <v>2993</v>
      </c>
      <c r="B1078" s="3" t="s">
        <v>8292</v>
      </c>
      <c r="C1078" s="3" t="s">
        <v>8295</v>
      </c>
      <c r="G1078" s="9" t="s">
        <v>24</v>
      </c>
      <c r="H1078" s="9"/>
      <c r="I1078" s="9">
        <v>1</v>
      </c>
      <c r="J1078" s="9">
        <v>4</v>
      </c>
      <c r="K1078" s="9" t="s">
        <v>12087</v>
      </c>
      <c r="L1078" s="9" t="s">
        <v>12079</v>
      </c>
      <c r="M1078" s="9"/>
      <c r="N1078" s="10"/>
      <c r="O1078" s="9"/>
      <c r="P1078" s="9">
        <v>25</v>
      </c>
      <c r="Q1078" s="9"/>
      <c r="R1078" s="9" t="s">
        <v>12795</v>
      </c>
      <c r="S1078" s="9" t="s">
        <v>12795</v>
      </c>
      <c r="T1078" s="9"/>
      <c r="U1078" s="9"/>
      <c r="V1078" s="9"/>
      <c r="W1078" s="9"/>
      <c r="X1078" s="9"/>
      <c r="Y1078" s="9"/>
      <c r="Z1078" s="9"/>
      <c r="AA1078" s="9"/>
      <c r="AB1078" s="9"/>
      <c r="AC1078" s="9"/>
      <c r="AD1078" s="9" t="s">
        <v>19</v>
      </c>
    </row>
    <row r="1079" spans="1:30" ht="43.5">
      <c r="A1079" s="3" t="s">
        <v>2994</v>
      </c>
      <c r="B1079" s="3" t="s">
        <v>8296</v>
      </c>
      <c r="C1079" s="3" t="s">
        <v>8297</v>
      </c>
      <c r="G1079" s="9" t="s">
        <v>24</v>
      </c>
      <c r="H1079" s="9"/>
      <c r="I1079" s="9">
        <v>1</v>
      </c>
      <c r="J1079" s="9">
        <v>11</v>
      </c>
      <c r="K1079" s="9" t="s">
        <v>12098</v>
      </c>
      <c r="L1079" s="9" t="s">
        <v>12073</v>
      </c>
      <c r="M1079" s="9" t="s">
        <v>12142</v>
      </c>
      <c r="N1079" s="10" t="s">
        <v>12434</v>
      </c>
      <c r="O1079" s="9" t="s">
        <v>12074</v>
      </c>
      <c r="P1079" s="9">
        <v>101</v>
      </c>
      <c r="Q1079" s="9"/>
      <c r="R1079" s="9" t="s">
        <v>12795</v>
      </c>
      <c r="S1079" s="9" t="s">
        <v>12795</v>
      </c>
      <c r="T1079" s="9"/>
      <c r="U1079" s="9"/>
      <c r="V1079" s="9"/>
      <c r="W1079" s="9"/>
      <c r="X1079" s="9"/>
      <c r="Y1079" s="9"/>
      <c r="Z1079" s="9"/>
      <c r="AA1079" s="9"/>
      <c r="AB1079" s="9"/>
      <c r="AC1079" s="9"/>
      <c r="AD1079" s="9" t="s">
        <v>20</v>
      </c>
    </row>
    <row r="1080" spans="1:30" ht="29">
      <c r="A1080" s="3" t="s">
        <v>2997</v>
      </c>
      <c r="B1080" s="3" t="s">
        <v>8311</v>
      </c>
      <c r="C1080" s="3" t="s">
        <v>8312</v>
      </c>
      <c r="G1080" s="9" t="s">
        <v>12118</v>
      </c>
      <c r="H1080" s="9"/>
      <c r="I1080" s="9"/>
      <c r="J1080" s="9"/>
      <c r="K1080" s="9"/>
      <c r="L1080" s="9"/>
      <c r="M1080" s="9"/>
      <c r="N1080" s="10"/>
      <c r="O1080" s="9"/>
      <c r="P1080" s="9"/>
      <c r="Q1080" s="9">
        <v>-7603</v>
      </c>
      <c r="R1080" s="9">
        <v>11843</v>
      </c>
      <c r="S1080" s="9">
        <v>4240</v>
      </c>
      <c r="T1080" s="9"/>
      <c r="U1080" s="9"/>
      <c r="V1080" s="9"/>
      <c r="W1080" s="9"/>
      <c r="X1080" s="9"/>
      <c r="Y1080" s="9"/>
      <c r="Z1080" s="9"/>
      <c r="AA1080" s="9"/>
      <c r="AB1080" s="9"/>
      <c r="AC1080" s="9"/>
      <c r="AD1080" s="9" t="s">
        <v>19</v>
      </c>
    </row>
    <row r="1081" spans="1:30" ht="29">
      <c r="A1081" s="3" t="s">
        <v>2997</v>
      </c>
      <c r="B1081" s="3" t="s">
        <v>8310</v>
      </c>
      <c r="C1081" s="3" t="s">
        <v>8313</v>
      </c>
      <c r="G1081" s="9" t="s">
        <v>24</v>
      </c>
      <c r="H1081" s="9"/>
      <c r="I1081" s="9">
        <v>1</v>
      </c>
      <c r="J1081" s="9">
        <v>2</v>
      </c>
      <c r="K1081" s="9" t="s">
        <v>12078</v>
      </c>
      <c r="L1081" s="9" t="s">
        <v>12119</v>
      </c>
      <c r="M1081" s="9"/>
      <c r="N1081" s="10"/>
      <c r="O1081" s="9"/>
      <c r="P1081" s="9">
        <v>11843</v>
      </c>
      <c r="Q1081" s="9"/>
      <c r="R1081" s="9" t="s">
        <v>12795</v>
      </c>
      <c r="S1081" s="9" t="s">
        <v>12795</v>
      </c>
      <c r="T1081" s="9"/>
      <c r="U1081" s="9"/>
      <c r="V1081" s="9"/>
      <c r="W1081" s="9"/>
      <c r="X1081" s="9"/>
      <c r="Y1081" s="9"/>
      <c r="Z1081" s="9"/>
      <c r="AA1081" s="9"/>
      <c r="AB1081" s="9"/>
      <c r="AC1081" s="9"/>
      <c r="AD1081" s="9" t="s">
        <v>20</v>
      </c>
    </row>
    <row r="1082" spans="1:30" ht="29">
      <c r="A1082" s="3" t="s">
        <v>2998</v>
      </c>
      <c r="B1082" s="3" t="s">
        <v>8314</v>
      </c>
      <c r="C1082" s="3" t="s">
        <v>8315</v>
      </c>
      <c r="G1082" s="9" t="s">
        <v>25</v>
      </c>
      <c r="H1082" s="9"/>
      <c r="I1082" s="9">
        <v>1</v>
      </c>
      <c r="J1082" s="9">
        <v>2</v>
      </c>
      <c r="K1082" s="9" t="s">
        <v>12096</v>
      </c>
      <c r="L1082" s="9" t="s">
        <v>12119</v>
      </c>
      <c r="M1082" s="9"/>
      <c r="N1082" s="10"/>
      <c r="O1082" s="9" t="s">
        <v>12074</v>
      </c>
      <c r="P1082" s="9">
        <v>1294</v>
      </c>
      <c r="Q1082" s="9"/>
      <c r="R1082" s="9" t="s">
        <v>12795</v>
      </c>
      <c r="S1082" s="9" t="s">
        <v>12795</v>
      </c>
      <c r="T1082" s="9"/>
      <c r="U1082" s="9"/>
      <c r="V1082" s="9"/>
      <c r="W1082" s="9"/>
      <c r="X1082" s="9"/>
      <c r="Y1082" s="9"/>
      <c r="Z1082" s="9"/>
      <c r="AA1082" s="9"/>
      <c r="AB1082" s="9"/>
      <c r="AC1082" s="9"/>
      <c r="AD1082" s="9" t="s">
        <v>20</v>
      </c>
    </row>
    <row r="1083" spans="1:30" ht="43.5">
      <c r="A1083" s="3" t="s">
        <v>3001</v>
      </c>
      <c r="B1083" s="3" t="s">
        <v>8321</v>
      </c>
      <c r="C1083" s="3" t="s">
        <v>8322</v>
      </c>
      <c r="G1083" s="9" t="s">
        <v>24</v>
      </c>
      <c r="H1083" s="9"/>
      <c r="I1083" s="9">
        <v>1</v>
      </c>
      <c r="J1083" s="9">
        <v>1</v>
      </c>
      <c r="K1083" s="9" t="s">
        <v>12078</v>
      </c>
      <c r="L1083" s="9" t="s">
        <v>12119</v>
      </c>
      <c r="M1083" s="9"/>
      <c r="N1083" s="10"/>
      <c r="O1083" s="9"/>
      <c r="P1083" s="9">
        <v>11843</v>
      </c>
      <c r="Q1083" s="9"/>
      <c r="R1083" s="9" t="s">
        <v>12795</v>
      </c>
      <c r="S1083" s="9" t="s">
        <v>12795</v>
      </c>
      <c r="T1083" s="9"/>
      <c r="U1083" s="9"/>
      <c r="V1083" s="9"/>
      <c r="W1083" s="9"/>
      <c r="X1083" s="9"/>
      <c r="Y1083" s="9"/>
      <c r="Z1083" s="9"/>
      <c r="AA1083" s="9"/>
      <c r="AB1083" s="9"/>
      <c r="AC1083" s="9"/>
      <c r="AD1083" s="9" t="s">
        <v>19</v>
      </c>
    </row>
    <row r="1084" spans="1:30" ht="43.5">
      <c r="A1084" s="3" t="s">
        <v>3001</v>
      </c>
      <c r="B1084" s="3" t="s">
        <v>8323</v>
      </c>
      <c r="C1084" s="3" t="s">
        <v>8324</v>
      </c>
      <c r="G1084" s="9" t="s">
        <v>12120</v>
      </c>
      <c r="H1084" s="9"/>
      <c r="I1084" s="9"/>
      <c r="J1084" s="9"/>
      <c r="K1084" s="9"/>
      <c r="L1084" s="9"/>
      <c r="M1084" s="9"/>
      <c r="N1084" s="10"/>
      <c r="O1084" s="9"/>
      <c r="P1084" s="9"/>
      <c r="Q1084" s="9"/>
      <c r="R1084" s="9" t="s">
        <v>12795</v>
      </c>
      <c r="S1084" s="9" t="s">
        <v>12795</v>
      </c>
      <c r="T1084" s="9"/>
      <c r="U1084" s="9"/>
      <c r="V1084" s="9"/>
      <c r="W1084" s="9"/>
      <c r="X1084" s="9"/>
      <c r="Y1084" s="9"/>
      <c r="Z1084" s="9"/>
      <c r="AA1084" s="9"/>
      <c r="AB1084" s="9"/>
      <c r="AC1084" s="9"/>
      <c r="AD1084" s="9" t="s">
        <v>19</v>
      </c>
    </row>
    <row r="1085" spans="1:30" ht="29">
      <c r="A1085" s="3" t="s">
        <v>3010</v>
      </c>
      <c r="B1085" s="3" t="s">
        <v>8334</v>
      </c>
      <c r="C1085" s="3" t="s">
        <v>8333</v>
      </c>
      <c r="G1085" s="9" t="s">
        <v>12118</v>
      </c>
      <c r="H1085" s="9"/>
      <c r="I1085" s="9"/>
      <c r="J1085" s="9"/>
      <c r="K1085" s="9"/>
      <c r="L1085" s="9"/>
      <c r="M1085" s="9"/>
      <c r="N1085" s="10"/>
      <c r="O1085" s="9"/>
      <c r="P1085" s="9"/>
      <c r="Q1085" s="9">
        <v>-274</v>
      </c>
      <c r="R1085" s="9">
        <v>635</v>
      </c>
      <c r="S1085" s="9">
        <v>361</v>
      </c>
      <c r="T1085" s="9"/>
      <c r="U1085" s="9"/>
      <c r="V1085" s="9"/>
      <c r="W1085" s="9"/>
      <c r="X1085" s="9"/>
      <c r="Y1085" s="9"/>
      <c r="Z1085" s="9"/>
      <c r="AA1085" s="9"/>
      <c r="AB1085" s="9"/>
      <c r="AC1085" s="9"/>
      <c r="AD1085" s="9" t="s">
        <v>19</v>
      </c>
    </row>
    <row r="1086" spans="1:30" ht="43.5">
      <c r="A1086" s="3" t="s">
        <v>3010</v>
      </c>
      <c r="B1086" s="3" t="s">
        <v>8340</v>
      </c>
      <c r="C1086" s="3" t="s">
        <v>8339</v>
      </c>
      <c r="G1086" s="9" t="s">
        <v>25</v>
      </c>
      <c r="H1086" s="9"/>
      <c r="I1086" s="9">
        <v>4</v>
      </c>
      <c r="J1086" s="9">
        <v>13</v>
      </c>
      <c r="K1086" s="9"/>
      <c r="L1086" s="9" t="s">
        <v>12079</v>
      </c>
      <c r="M1086" s="9"/>
      <c r="N1086" s="10"/>
      <c r="O1086" s="9"/>
      <c r="P1086" s="9">
        <v>173</v>
      </c>
      <c r="Q1086" s="9"/>
      <c r="R1086" s="9" t="s">
        <v>12795</v>
      </c>
      <c r="S1086" s="9" t="s">
        <v>12795</v>
      </c>
      <c r="T1086" s="9"/>
      <c r="U1086" s="9"/>
      <c r="V1086" s="9"/>
      <c r="W1086" s="9"/>
      <c r="X1086" s="9"/>
      <c r="Y1086" s="9"/>
      <c r="Z1086" s="9"/>
      <c r="AA1086" s="9"/>
      <c r="AB1086" s="9"/>
      <c r="AC1086" s="9"/>
      <c r="AD1086" s="9" t="s">
        <v>13141</v>
      </c>
    </row>
    <row r="1087" spans="1:30" ht="29">
      <c r="A1087" s="3" t="s">
        <v>3011</v>
      </c>
      <c r="B1087" s="3" t="s">
        <v>8343</v>
      </c>
      <c r="C1087" s="3" t="s">
        <v>8342</v>
      </c>
      <c r="F1087" t="s">
        <v>19</v>
      </c>
      <c r="G1087" s="9" t="s">
        <v>25</v>
      </c>
      <c r="H1087" s="9"/>
      <c r="I1087" s="9">
        <v>1</v>
      </c>
      <c r="J1087" s="9">
        <v>2</v>
      </c>
      <c r="K1087" s="9" t="s">
        <v>12087</v>
      </c>
      <c r="L1087" s="9" t="s">
        <v>12119</v>
      </c>
      <c r="M1087" s="9"/>
      <c r="N1087" s="10"/>
      <c r="O1087" s="9"/>
      <c r="P1087" s="9">
        <v>207</v>
      </c>
      <c r="Q1087" s="9"/>
      <c r="R1087" s="9" t="s">
        <v>12795</v>
      </c>
      <c r="S1087" s="9" t="s">
        <v>12795</v>
      </c>
      <c r="T1087" s="9"/>
      <c r="U1087" s="9"/>
      <c r="V1087" s="9"/>
      <c r="W1087" s="9"/>
      <c r="X1087" s="9"/>
      <c r="Y1087" s="9"/>
      <c r="Z1087" s="9"/>
      <c r="AA1087" s="9"/>
      <c r="AB1087" s="9"/>
      <c r="AC1087" s="9"/>
      <c r="AD1087" s="9" t="s">
        <v>20</v>
      </c>
    </row>
    <row r="1088" spans="1:30">
      <c r="A1088" s="3" t="s">
        <v>3015</v>
      </c>
      <c r="B1088" s="3" t="s">
        <v>1714</v>
      </c>
      <c r="C1088" s="3" t="s">
        <v>3016</v>
      </c>
      <c r="G1088" s="9" t="s">
        <v>12120</v>
      </c>
      <c r="H1088" s="9"/>
      <c r="I1088" s="9"/>
      <c r="J1088" s="9"/>
      <c r="K1088" s="9"/>
      <c r="L1088" s="9"/>
      <c r="M1088" s="9"/>
      <c r="N1088" s="10"/>
      <c r="O1088" s="9"/>
      <c r="P1088" s="9"/>
      <c r="Q1088" s="9"/>
      <c r="R1088" s="9" t="s">
        <v>12795</v>
      </c>
      <c r="S1088" s="9" t="s">
        <v>12795</v>
      </c>
      <c r="T1088" s="9"/>
      <c r="U1088" s="9"/>
      <c r="V1088" s="9"/>
      <c r="W1088" s="9"/>
      <c r="X1088" s="9"/>
      <c r="Y1088" s="9"/>
      <c r="Z1088" s="9"/>
      <c r="AA1088" s="9"/>
      <c r="AB1088" s="9"/>
      <c r="AC1088" s="9"/>
      <c r="AD1088" s="9" t="s">
        <v>20</v>
      </c>
    </row>
    <row r="1089" spans="1:30">
      <c r="A1089" s="3" t="s">
        <v>3017</v>
      </c>
      <c r="B1089" s="3" t="s">
        <v>8354</v>
      </c>
      <c r="C1089" s="3" t="s">
        <v>8351</v>
      </c>
      <c r="G1089" s="9" t="s">
        <v>25</v>
      </c>
      <c r="H1089" s="9"/>
      <c r="I1089" s="9">
        <v>1</v>
      </c>
      <c r="J1089" s="9">
        <v>3</v>
      </c>
      <c r="K1089" s="9" t="s">
        <v>12078</v>
      </c>
      <c r="L1089" s="9" t="s">
        <v>12079</v>
      </c>
      <c r="M1089" s="9"/>
      <c r="N1089" s="10"/>
      <c r="O1089" s="9"/>
      <c r="P1089" s="9">
        <v>11843</v>
      </c>
      <c r="Q1089" s="9"/>
      <c r="R1089" s="9" t="s">
        <v>12795</v>
      </c>
      <c r="S1089" s="9" t="s">
        <v>12795</v>
      </c>
      <c r="T1089" s="9"/>
      <c r="U1089" s="9"/>
      <c r="V1089" s="9"/>
      <c r="W1089" s="9"/>
      <c r="X1089" s="9"/>
      <c r="Y1089" s="9"/>
      <c r="Z1089" s="9"/>
      <c r="AA1089" s="9"/>
      <c r="AB1089" s="9"/>
      <c r="AC1089" s="9"/>
      <c r="AD1089" s="9" t="s">
        <v>13141</v>
      </c>
    </row>
    <row r="1090" spans="1:30" ht="29">
      <c r="A1090" s="3" t="s">
        <v>3017</v>
      </c>
      <c r="B1090" s="3" t="s">
        <v>8356</v>
      </c>
      <c r="C1090" s="3" t="s">
        <v>8355</v>
      </c>
      <c r="G1090" s="9" t="s">
        <v>25</v>
      </c>
      <c r="H1090" s="9"/>
      <c r="I1090" s="9">
        <v>1</v>
      </c>
      <c r="J1090" s="9">
        <v>3</v>
      </c>
      <c r="K1090" s="9" t="s">
        <v>12078</v>
      </c>
      <c r="L1090" s="9" t="s">
        <v>12079</v>
      </c>
      <c r="M1090" s="9"/>
      <c r="N1090" s="10"/>
      <c r="O1090" s="9"/>
      <c r="P1090" s="9">
        <v>11843</v>
      </c>
      <c r="Q1090" s="9"/>
      <c r="R1090" s="9" t="s">
        <v>12795</v>
      </c>
      <c r="S1090" s="9" t="s">
        <v>12795</v>
      </c>
      <c r="T1090" s="9"/>
      <c r="U1090" s="9"/>
      <c r="V1090" s="9"/>
      <c r="W1090" s="9"/>
      <c r="X1090" s="9"/>
      <c r="Y1090" s="9"/>
      <c r="Z1090" s="9"/>
      <c r="AA1090" s="9"/>
      <c r="AB1090" s="9"/>
      <c r="AC1090" s="9"/>
      <c r="AD1090" s="9" t="s">
        <v>20</v>
      </c>
    </row>
    <row r="1091" spans="1:30" ht="29">
      <c r="A1091" s="3" t="s">
        <v>3017</v>
      </c>
      <c r="B1091" s="3" t="s">
        <v>8357</v>
      </c>
      <c r="C1091" s="3" t="s">
        <v>8355</v>
      </c>
      <c r="G1091" s="9" t="s">
        <v>25</v>
      </c>
      <c r="H1091" s="9"/>
      <c r="I1091" s="9">
        <v>1</v>
      </c>
      <c r="J1091" s="9">
        <v>1</v>
      </c>
      <c r="K1091" s="9" t="s">
        <v>12078</v>
      </c>
      <c r="L1091" s="9" t="s">
        <v>12119</v>
      </c>
      <c r="M1091" s="9"/>
      <c r="N1091" s="10"/>
      <c r="O1091" s="9"/>
      <c r="P1091" s="9">
        <v>11843</v>
      </c>
      <c r="Q1091" s="9"/>
      <c r="R1091" s="9" t="s">
        <v>12795</v>
      </c>
      <c r="S1091" s="9" t="s">
        <v>12795</v>
      </c>
      <c r="T1091" s="9"/>
      <c r="U1091" s="9"/>
      <c r="V1091" s="9"/>
      <c r="W1091" s="9"/>
      <c r="X1091" s="9"/>
      <c r="Y1091" s="9"/>
      <c r="Z1091" s="9"/>
      <c r="AA1091" s="9"/>
      <c r="AB1091" s="9"/>
      <c r="AC1091" s="9"/>
      <c r="AD1091" s="9" t="s">
        <v>20</v>
      </c>
    </row>
    <row r="1092" spans="1:30" ht="29">
      <c r="A1092" s="3" t="s">
        <v>3022</v>
      </c>
      <c r="B1092" s="3" t="s">
        <v>8364</v>
      </c>
      <c r="C1092" s="3" t="s">
        <v>8363</v>
      </c>
      <c r="G1092" s="9" t="s">
        <v>25</v>
      </c>
      <c r="H1092" s="9"/>
      <c r="I1092" s="9">
        <v>1</v>
      </c>
      <c r="J1092" s="9">
        <v>1</v>
      </c>
      <c r="K1092" s="9" t="s">
        <v>12078</v>
      </c>
      <c r="L1092" s="9" t="s">
        <v>12119</v>
      </c>
      <c r="M1092" s="9"/>
      <c r="N1092" s="10"/>
      <c r="O1092" s="9"/>
      <c r="P1092" s="9">
        <v>11843</v>
      </c>
      <c r="Q1092" s="9"/>
      <c r="R1092" s="9" t="s">
        <v>12795</v>
      </c>
      <c r="S1092" s="9" t="s">
        <v>12795</v>
      </c>
      <c r="T1092" s="9"/>
      <c r="U1092" s="9"/>
      <c r="V1092" s="9"/>
      <c r="W1092" s="9"/>
      <c r="X1092" s="9"/>
      <c r="Y1092" s="9"/>
      <c r="Z1092" s="9"/>
      <c r="AA1092" s="9"/>
      <c r="AB1092" s="9"/>
      <c r="AC1092" s="9"/>
      <c r="AD1092" s="9" t="s">
        <v>20</v>
      </c>
    </row>
    <row r="1093" spans="1:30" ht="29">
      <c r="A1093" s="3" t="s">
        <v>3023</v>
      </c>
      <c r="B1093" s="3" t="s">
        <v>8365</v>
      </c>
      <c r="C1093" s="3" t="s">
        <v>8366</v>
      </c>
      <c r="G1093" s="9" t="s">
        <v>12120</v>
      </c>
      <c r="H1093" s="9"/>
      <c r="I1093" s="9"/>
      <c r="J1093" s="9"/>
      <c r="K1093" s="9"/>
      <c r="L1093" s="9"/>
      <c r="M1093" s="9"/>
      <c r="N1093" s="10"/>
      <c r="O1093" s="9"/>
      <c r="P1093" s="9"/>
      <c r="Q1093" s="9"/>
      <c r="R1093" s="9" t="s">
        <v>12795</v>
      </c>
      <c r="S1093" s="9" t="s">
        <v>12795</v>
      </c>
      <c r="T1093" s="9"/>
      <c r="U1093" s="9"/>
      <c r="V1093" s="9"/>
      <c r="W1093" s="9"/>
      <c r="X1093" s="9"/>
      <c r="Y1093" s="9"/>
      <c r="Z1093" s="9"/>
      <c r="AA1093" s="9"/>
      <c r="AB1093" s="9"/>
      <c r="AC1093" s="9"/>
      <c r="AD1093" s="9" t="s">
        <v>19</v>
      </c>
    </row>
    <row r="1094" spans="1:30" ht="29">
      <c r="A1094" s="3" t="s">
        <v>3024</v>
      </c>
      <c r="B1094" s="3" t="s">
        <v>8367</v>
      </c>
      <c r="C1094" s="3" t="s">
        <v>8368</v>
      </c>
      <c r="G1094" s="9" t="s">
        <v>12118</v>
      </c>
      <c r="H1094" s="9"/>
      <c r="I1094" s="9"/>
      <c r="J1094" s="9"/>
      <c r="K1094" s="9"/>
      <c r="L1094" s="9"/>
      <c r="M1094" s="9"/>
      <c r="N1094" s="10"/>
      <c r="O1094" s="9"/>
      <c r="P1094" s="9"/>
      <c r="Q1094" s="9">
        <v>23</v>
      </c>
      <c r="R1094" s="9">
        <v>4</v>
      </c>
      <c r="S1094" s="9">
        <v>27</v>
      </c>
      <c r="T1094" s="9"/>
      <c r="U1094" s="9"/>
      <c r="V1094" s="9"/>
      <c r="W1094" s="9"/>
      <c r="X1094" s="9"/>
      <c r="Y1094" s="9"/>
      <c r="Z1094" s="9"/>
      <c r="AA1094" s="9"/>
      <c r="AB1094" s="9"/>
      <c r="AC1094" s="9"/>
      <c r="AD1094" s="9" t="s">
        <v>19</v>
      </c>
    </row>
    <row r="1095" spans="1:30" ht="29">
      <c r="A1095" s="3" t="s">
        <v>3025</v>
      </c>
      <c r="B1095" s="3" t="s">
        <v>8369</v>
      </c>
      <c r="C1095" s="3" t="s">
        <v>8370</v>
      </c>
      <c r="G1095" s="9" t="s">
        <v>26</v>
      </c>
      <c r="H1095" s="9"/>
      <c r="I1095" s="9"/>
      <c r="J1095" s="9"/>
      <c r="K1095" s="9"/>
      <c r="L1095" s="9"/>
      <c r="M1095" s="9"/>
      <c r="N1095" s="10"/>
      <c r="O1095" s="9"/>
      <c r="P1095" s="9"/>
      <c r="Q1095" s="9"/>
      <c r="R1095" s="9" t="s">
        <v>12795</v>
      </c>
      <c r="S1095" s="9" t="s">
        <v>12795</v>
      </c>
      <c r="T1095" s="9"/>
      <c r="U1095" s="9"/>
      <c r="V1095" s="9"/>
      <c r="W1095" s="9"/>
      <c r="X1095" s="9"/>
      <c r="Y1095" s="9"/>
      <c r="Z1095" s="9"/>
      <c r="AA1095" s="9"/>
      <c r="AB1095" s="9"/>
      <c r="AC1095" s="9"/>
      <c r="AD1095" s="9" t="s">
        <v>20</v>
      </c>
    </row>
    <row r="1096" spans="1:30" ht="29">
      <c r="A1096" s="3" t="s">
        <v>3026</v>
      </c>
      <c r="B1096" s="3" t="s">
        <v>8371</v>
      </c>
      <c r="C1096" s="5" t="s">
        <v>8372</v>
      </c>
      <c r="D1096" t="s">
        <v>32</v>
      </c>
      <c r="E1096" t="s">
        <v>20</v>
      </c>
      <c r="G1096" s="9" t="s">
        <v>12118</v>
      </c>
      <c r="H1096" s="9"/>
      <c r="I1096" s="9"/>
      <c r="J1096" s="9"/>
      <c r="K1096" s="9"/>
      <c r="L1096" s="9"/>
      <c r="M1096" s="9"/>
      <c r="N1096" s="10"/>
      <c r="O1096" s="9" t="s">
        <v>12074</v>
      </c>
      <c r="P1096" s="9"/>
      <c r="Q1096" s="9">
        <v>-11806</v>
      </c>
      <c r="R1096" s="9">
        <v>11843</v>
      </c>
      <c r="S1096" s="9">
        <v>37</v>
      </c>
      <c r="T1096" s="9"/>
      <c r="U1096" s="9"/>
      <c r="V1096" s="9"/>
      <c r="W1096" s="9"/>
      <c r="X1096" s="9"/>
      <c r="Y1096" s="9"/>
      <c r="Z1096" s="9"/>
      <c r="AA1096" s="9"/>
      <c r="AB1096" s="9"/>
      <c r="AC1096" s="9"/>
      <c r="AD1096" s="9" t="s">
        <v>20</v>
      </c>
    </row>
    <row r="1097" spans="1:30" ht="29">
      <c r="A1097" s="3" t="s">
        <v>3028</v>
      </c>
      <c r="B1097" s="3" t="s">
        <v>8380</v>
      </c>
      <c r="C1097" s="3" t="s">
        <v>8377</v>
      </c>
      <c r="G1097" s="9" t="s">
        <v>25</v>
      </c>
      <c r="H1097" s="9"/>
      <c r="I1097" s="9">
        <v>1</v>
      </c>
      <c r="J1097" s="9">
        <v>2</v>
      </c>
      <c r="K1097" s="9" t="s">
        <v>12087</v>
      </c>
      <c r="L1097" s="9" t="s">
        <v>12119</v>
      </c>
      <c r="M1097" s="9"/>
      <c r="N1097" s="10"/>
      <c r="O1097" s="9"/>
      <c r="P1097" s="9">
        <v>1966</v>
      </c>
      <c r="Q1097" s="9"/>
      <c r="R1097" s="9" t="s">
        <v>12795</v>
      </c>
      <c r="S1097" s="9" t="s">
        <v>12795</v>
      </c>
      <c r="T1097" s="9"/>
      <c r="U1097" s="9"/>
      <c r="V1097" s="9"/>
      <c r="W1097" s="9"/>
      <c r="X1097" s="9"/>
      <c r="Y1097" s="9"/>
      <c r="Z1097" s="9"/>
      <c r="AA1097" s="9"/>
      <c r="AB1097" s="9"/>
      <c r="AC1097" s="9"/>
      <c r="AD1097" s="9" t="s">
        <v>20</v>
      </c>
    </row>
    <row r="1098" spans="1:30" ht="29">
      <c r="A1098" s="3" t="s">
        <v>3029</v>
      </c>
      <c r="B1098" s="3" t="s">
        <v>6321</v>
      </c>
      <c r="C1098" s="3" t="s">
        <v>6322</v>
      </c>
      <c r="G1098" s="9" t="s">
        <v>24</v>
      </c>
      <c r="H1098" s="9"/>
      <c r="I1098" s="9">
        <v>1</v>
      </c>
      <c r="J1098" s="9">
        <v>3</v>
      </c>
      <c r="K1098" s="9" t="s">
        <v>12078</v>
      </c>
      <c r="L1098" s="9" t="s">
        <v>12079</v>
      </c>
      <c r="M1098" s="9"/>
      <c r="N1098" s="10"/>
      <c r="O1098" s="9"/>
      <c r="P1098" s="9">
        <v>11843</v>
      </c>
      <c r="Q1098" s="9"/>
      <c r="R1098" s="9" t="s">
        <v>12795</v>
      </c>
      <c r="S1098" s="9" t="s">
        <v>12795</v>
      </c>
      <c r="T1098" s="9" t="s">
        <v>12117</v>
      </c>
      <c r="U1098" s="9"/>
      <c r="V1098" s="9"/>
      <c r="W1098" s="9"/>
      <c r="X1098" s="9"/>
      <c r="Y1098" s="9"/>
      <c r="Z1098" s="9"/>
      <c r="AA1098" s="9"/>
      <c r="AB1098" s="9"/>
      <c r="AC1098" s="9"/>
      <c r="AD1098" s="9" t="s">
        <v>19</v>
      </c>
    </row>
    <row r="1099" spans="1:30" ht="29">
      <c r="A1099" s="3" t="s">
        <v>3029</v>
      </c>
      <c r="B1099" s="3" t="s">
        <v>8381</v>
      </c>
      <c r="C1099" s="3" t="s">
        <v>12438</v>
      </c>
      <c r="G1099" s="9" t="s">
        <v>25</v>
      </c>
      <c r="H1099" s="9"/>
      <c r="I1099" s="9">
        <v>1</v>
      </c>
      <c r="J1099" s="9">
        <v>5</v>
      </c>
      <c r="K1099" s="9" t="s">
        <v>12094</v>
      </c>
      <c r="L1099" s="9" t="s">
        <v>12079</v>
      </c>
      <c r="M1099" s="9"/>
      <c r="N1099" s="10"/>
      <c r="O1099" s="9"/>
      <c r="P1099" s="9">
        <v>4240</v>
      </c>
      <c r="Q1099" s="9"/>
      <c r="R1099" s="9" t="s">
        <v>12795</v>
      </c>
      <c r="S1099" s="9" t="s">
        <v>12795</v>
      </c>
      <c r="T1099" s="9"/>
      <c r="U1099" s="9"/>
      <c r="V1099" s="9"/>
      <c r="W1099" s="9"/>
      <c r="X1099" s="9"/>
      <c r="Y1099" s="9"/>
      <c r="Z1099" s="9"/>
      <c r="AA1099" s="9"/>
      <c r="AB1099" s="9"/>
      <c r="AC1099" s="9"/>
      <c r="AD1099" s="9" t="s">
        <v>20</v>
      </c>
    </row>
    <row r="1100" spans="1:30" ht="29">
      <c r="A1100" s="3" t="s">
        <v>3033</v>
      </c>
      <c r="B1100" s="3" t="s">
        <v>8382</v>
      </c>
      <c r="C1100" s="11" t="s">
        <v>8383</v>
      </c>
      <c r="G1100" s="9" t="s">
        <v>25</v>
      </c>
      <c r="H1100" s="9"/>
      <c r="I1100" s="9">
        <v>1</v>
      </c>
      <c r="J1100" s="9">
        <v>2</v>
      </c>
      <c r="K1100" s="9" t="s">
        <v>12078</v>
      </c>
      <c r="L1100" s="9" t="s">
        <v>12119</v>
      </c>
      <c r="M1100" s="9"/>
      <c r="N1100" s="10"/>
      <c r="O1100" s="9"/>
      <c r="P1100" s="9">
        <v>11843</v>
      </c>
      <c r="Q1100" s="9"/>
      <c r="R1100" s="9" t="s">
        <v>12795</v>
      </c>
      <c r="S1100" s="9" t="s">
        <v>12795</v>
      </c>
      <c r="T1100" s="9"/>
      <c r="U1100" s="9"/>
      <c r="V1100" s="9"/>
      <c r="W1100" s="9"/>
      <c r="X1100" s="9"/>
      <c r="Y1100" s="9"/>
      <c r="Z1100" s="9"/>
      <c r="AA1100" s="9"/>
      <c r="AB1100" s="9"/>
      <c r="AC1100" s="9"/>
      <c r="AD1100" s="9" t="s">
        <v>20</v>
      </c>
    </row>
    <row r="1101" spans="1:30" ht="29">
      <c r="A1101" s="3" t="s">
        <v>3033</v>
      </c>
      <c r="B1101" s="3" t="s">
        <v>8385</v>
      </c>
      <c r="C1101" s="3" t="s">
        <v>8384</v>
      </c>
      <c r="G1101" s="9" t="s">
        <v>24</v>
      </c>
      <c r="H1101" s="9"/>
      <c r="I1101" s="9">
        <v>1</v>
      </c>
      <c r="J1101" s="9">
        <v>5</v>
      </c>
      <c r="K1101" s="9" t="s">
        <v>12094</v>
      </c>
      <c r="L1101" s="9" t="s">
        <v>12079</v>
      </c>
      <c r="M1101" s="9"/>
      <c r="N1101" s="10"/>
      <c r="O1101" s="9"/>
      <c r="P1101" s="9">
        <v>4240</v>
      </c>
      <c r="Q1101" s="9"/>
      <c r="R1101" s="9" t="s">
        <v>12795</v>
      </c>
      <c r="S1101" s="9" t="s">
        <v>12795</v>
      </c>
      <c r="T1101" s="9"/>
      <c r="U1101" s="9"/>
      <c r="V1101" s="9"/>
      <c r="W1101" s="9"/>
      <c r="X1101" s="9"/>
      <c r="Y1101" s="9"/>
      <c r="Z1101" s="9"/>
      <c r="AA1101" s="9"/>
      <c r="AB1101" s="9"/>
      <c r="AC1101" s="9"/>
      <c r="AD1101" s="9" t="s">
        <v>19</v>
      </c>
    </row>
    <row r="1102" spans="1:30" ht="29">
      <c r="A1102" s="3" t="s">
        <v>3034</v>
      </c>
      <c r="B1102" s="3" t="s">
        <v>8386</v>
      </c>
      <c r="C1102" s="3" t="s">
        <v>8387</v>
      </c>
      <c r="G1102" s="9" t="s">
        <v>12120</v>
      </c>
      <c r="H1102" s="9"/>
      <c r="I1102" s="9"/>
      <c r="J1102" s="9"/>
      <c r="K1102" s="9"/>
      <c r="L1102" s="9"/>
      <c r="M1102" s="9"/>
      <c r="N1102" s="10"/>
      <c r="O1102" s="9"/>
      <c r="P1102" s="9"/>
      <c r="Q1102" s="9"/>
      <c r="R1102" s="9" t="s">
        <v>12795</v>
      </c>
      <c r="S1102" s="9" t="s">
        <v>12795</v>
      </c>
      <c r="T1102" s="9"/>
      <c r="U1102" s="9"/>
      <c r="V1102" s="9"/>
      <c r="W1102" s="9"/>
      <c r="X1102" s="9"/>
      <c r="Y1102" s="9"/>
      <c r="Z1102" s="9"/>
      <c r="AA1102" s="9"/>
      <c r="AB1102" s="9"/>
      <c r="AC1102" s="9"/>
      <c r="AD1102" s="9" t="s">
        <v>20</v>
      </c>
    </row>
    <row r="1103" spans="1:30" ht="29">
      <c r="A1103" s="3" t="s">
        <v>3036</v>
      </c>
      <c r="B1103" s="3" t="s">
        <v>8388</v>
      </c>
      <c r="C1103" s="3" t="s">
        <v>8389</v>
      </c>
      <c r="F1103" t="s">
        <v>19</v>
      </c>
      <c r="G1103" s="9" t="s">
        <v>24</v>
      </c>
      <c r="H1103" s="9"/>
      <c r="I1103" s="9">
        <v>1</v>
      </c>
      <c r="J1103" s="9">
        <v>2</v>
      </c>
      <c r="K1103" s="9" t="s">
        <v>12078</v>
      </c>
      <c r="L1103" s="9" t="s">
        <v>12119</v>
      </c>
      <c r="M1103" s="9"/>
      <c r="N1103" s="10"/>
      <c r="O1103" s="9"/>
      <c r="P1103" s="9">
        <v>11843</v>
      </c>
      <c r="Q1103" s="9"/>
      <c r="R1103" s="9" t="s">
        <v>12795</v>
      </c>
      <c r="S1103" s="9" t="s">
        <v>12795</v>
      </c>
      <c r="T1103" s="9"/>
      <c r="U1103" s="9"/>
      <c r="V1103" s="9"/>
      <c r="W1103" s="9"/>
      <c r="X1103" s="9"/>
      <c r="Y1103" s="9"/>
      <c r="Z1103" s="9"/>
      <c r="AA1103" s="9"/>
      <c r="AB1103" s="9"/>
      <c r="AC1103" s="9"/>
      <c r="AD1103" s="9" t="s">
        <v>20</v>
      </c>
    </row>
    <row r="1104" spans="1:30" ht="29">
      <c r="A1104" s="3" t="s">
        <v>3039</v>
      </c>
      <c r="B1104" s="3" t="s">
        <v>8395</v>
      </c>
      <c r="C1104" s="3" t="s">
        <v>8394</v>
      </c>
      <c r="G1104" s="9" t="s">
        <v>12118</v>
      </c>
      <c r="H1104" s="9"/>
      <c r="I1104" s="9"/>
      <c r="J1104" s="9"/>
      <c r="K1104" s="9"/>
      <c r="L1104" s="9"/>
      <c r="M1104" s="9"/>
      <c r="N1104" s="10"/>
      <c r="O1104" s="9"/>
      <c r="P1104" s="9"/>
      <c r="Q1104" s="9">
        <v>-3710</v>
      </c>
      <c r="R1104" s="9">
        <v>5676</v>
      </c>
      <c r="S1104" s="9">
        <v>1966</v>
      </c>
      <c r="T1104" s="9"/>
      <c r="U1104" s="9"/>
      <c r="V1104" s="9"/>
      <c r="W1104" s="9"/>
      <c r="X1104" s="9"/>
      <c r="Y1104" s="9"/>
      <c r="Z1104" s="9"/>
      <c r="AA1104" s="9"/>
      <c r="AB1104" s="9"/>
      <c r="AC1104" s="9"/>
      <c r="AD1104" s="9" t="s">
        <v>20</v>
      </c>
    </row>
    <row r="1105" spans="1:30" ht="29">
      <c r="A1105" s="3" t="s">
        <v>3039</v>
      </c>
      <c r="B1105" s="3" t="s">
        <v>8396</v>
      </c>
      <c r="C1105" s="3" t="s">
        <v>8397</v>
      </c>
      <c r="G1105" s="9" t="s">
        <v>12120</v>
      </c>
      <c r="H1105" s="9"/>
      <c r="I1105" s="9"/>
      <c r="J1105" s="9"/>
      <c r="K1105" s="9"/>
      <c r="L1105" s="9"/>
      <c r="M1105" s="9"/>
      <c r="N1105" s="10"/>
      <c r="O1105" s="9"/>
      <c r="P1105" s="9"/>
      <c r="Q1105" s="9"/>
      <c r="R1105" s="9" t="s">
        <v>12795</v>
      </c>
      <c r="S1105" s="9" t="s">
        <v>12795</v>
      </c>
      <c r="T1105" s="9"/>
      <c r="U1105" s="9"/>
      <c r="V1105" s="9"/>
      <c r="W1105" s="9"/>
      <c r="X1105" s="9"/>
      <c r="Y1105" s="9"/>
      <c r="Z1105" s="9"/>
      <c r="AA1105" s="9"/>
      <c r="AB1105" s="9"/>
      <c r="AC1105" s="9"/>
      <c r="AD1105" s="9" t="s">
        <v>20</v>
      </c>
    </row>
    <row r="1106" spans="1:30" ht="29">
      <c r="A1106" s="3" t="s">
        <v>3043</v>
      </c>
      <c r="B1106" s="3" t="s">
        <v>8399</v>
      </c>
      <c r="C1106" s="3" t="s">
        <v>8398</v>
      </c>
      <c r="G1106" s="9" t="s">
        <v>12118</v>
      </c>
      <c r="H1106" s="9"/>
      <c r="I1106" s="9"/>
      <c r="J1106" s="9"/>
      <c r="K1106" s="9"/>
      <c r="L1106" s="9"/>
      <c r="M1106" s="9"/>
      <c r="N1106" s="10"/>
      <c r="O1106" s="9"/>
      <c r="P1106" s="9"/>
      <c r="Q1106" s="9">
        <v>72</v>
      </c>
      <c r="R1106" s="9">
        <v>2</v>
      </c>
      <c r="S1106" s="9">
        <v>74</v>
      </c>
      <c r="T1106" s="9"/>
      <c r="U1106" s="9"/>
      <c r="V1106" s="9"/>
      <c r="W1106" s="9"/>
      <c r="X1106" s="9"/>
      <c r="Y1106" s="9"/>
      <c r="Z1106" s="9"/>
      <c r="AA1106" s="9"/>
      <c r="AB1106" s="9"/>
      <c r="AC1106" s="9"/>
      <c r="AD1106" s="9" t="s">
        <v>19</v>
      </c>
    </row>
    <row r="1107" spans="1:30" ht="29">
      <c r="A1107" s="3" t="s">
        <v>3045</v>
      </c>
      <c r="B1107" s="3" t="s">
        <v>8404</v>
      </c>
      <c r="C1107" s="3" t="s">
        <v>8403</v>
      </c>
      <c r="G1107" s="9" t="s">
        <v>25</v>
      </c>
      <c r="H1107" s="9"/>
      <c r="I1107" s="9">
        <v>1</v>
      </c>
      <c r="J1107" s="9">
        <v>3</v>
      </c>
      <c r="K1107" s="9" t="s">
        <v>12123</v>
      </c>
      <c r="L1107" s="9" t="s">
        <v>12079</v>
      </c>
      <c r="M1107" s="9"/>
      <c r="N1107" s="10"/>
      <c r="O1107" s="9"/>
      <c r="P1107" s="9">
        <v>92</v>
      </c>
      <c r="Q1107" s="9"/>
      <c r="R1107" s="9" t="s">
        <v>12795</v>
      </c>
      <c r="S1107" s="9" t="s">
        <v>12795</v>
      </c>
      <c r="T1107" s="9"/>
      <c r="U1107" s="9"/>
      <c r="V1107" s="9"/>
      <c r="W1107" s="9"/>
      <c r="X1107" s="9"/>
      <c r="Y1107" s="9"/>
      <c r="Z1107" s="9"/>
      <c r="AA1107" s="9"/>
      <c r="AB1107" s="9"/>
      <c r="AC1107" s="9"/>
      <c r="AD1107" s="9" t="s">
        <v>20</v>
      </c>
    </row>
    <row r="1108" spans="1:30" ht="29">
      <c r="A1108" s="3" t="s">
        <v>3046</v>
      </c>
      <c r="B1108" s="3" t="s">
        <v>5309</v>
      </c>
      <c r="C1108" s="3" t="s">
        <v>5310</v>
      </c>
      <c r="G1108" s="9" t="s">
        <v>25</v>
      </c>
      <c r="H1108" s="9"/>
      <c r="I1108" s="9">
        <v>1</v>
      </c>
      <c r="J1108" s="9">
        <v>2</v>
      </c>
      <c r="K1108" s="9" t="s">
        <v>12087</v>
      </c>
      <c r="L1108" s="9" t="s">
        <v>12119</v>
      </c>
      <c r="M1108" s="9"/>
      <c r="N1108" s="10"/>
      <c r="O1108" s="9"/>
      <c r="P1108" s="9">
        <v>1966</v>
      </c>
      <c r="Q1108" s="9"/>
      <c r="R1108" s="9" t="s">
        <v>12795</v>
      </c>
      <c r="S1108" s="9" t="s">
        <v>12795</v>
      </c>
      <c r="T1108" s="9"/>
      <c r="U1108" s="9"/>
      <c r="V1108" s="9"/>
      <c r="W1108" s="9"/>
      <c r="X1108" s="9"/>
      <c r="Y1108" s="9"/>
      <c r="Z1108" s="9"/>
      <c r="AA1108" s="9"/>
      <c r="AB1108" s="9"/>
      <c r="AC1108" s="9"/>
      <c r="AD1108" s="9" t="s">
        <v>20</v>
      </c>
    </row>
    <row r="1109" spans="1:30" ht="29">
      <c r="A1109" s="3" t="s">
        <v>3046</v>
      </c>
      <c r="B1109" s="11" t="s">
        <v>8409</v>
      </c>
      <c r="C1109" s="3" t="s">
        <v>8408</v>
      </c>
      <c r="G1109" s="9" t="s">
        <v>25</v>
      </c>
      <c r="H1109" s="9"/>
      <c r="I1109" s="9">
        <v>1</v>
      </c>
      <c r="J1109" s="9">
        <v>2</v>
      </c>
      <c r="K1109" s="9" t="s">
        <v>12078</v>
      </c>
      <c r="L1109" s="9" t="s">
        <v>12119</v>
      </c>
      <c r="M1109" s="9"/>
      <c r="N1109" s="10"/>
      <c r="O1109" s="9"/>
      <c r="P1109" s="9">
        <v>11843</v>
      </c>
      <c r="Q1109" s="9"/>
      <c r="R1109" s="9" t="s">
        <v>12795</v>
      </c>
      <c r="S1109" s="9" t="s">
        <v>12795</v>
      </c>
      <c r="T1109" s="9"/>
      <c r="U1109" s="9"/>
      <c r="V1109" s="9"/>
      <c r="W1109" s="9"/>
      <c r="X1109" s="9"/>
      <c r="Y1109" s="9"/>
      <c r="Z1109" s="9"/>
      <c r="AA1109" s="9"/>
      <c r="AB1109" s="9"/>
      <c r="AC1109" s="9"/>
      <c r="AD1109" s="9" t="s">
        <v>20</v>
      </c>
    </row>
    <row r="1110" spans="1:30" ht="29">
      <c r="A1110" s="3" t="s">
        <v>3054</v>
      </c>
      <c r="B1110" s="3" t="s">
        <v>8413</v>
      </c>
      <c r="C1110" s="3" t="s">
        <v>8412</v>
      </c>
      <c r="G1110" s="9" t="s">
        <v>12121</v>
      </c>
      <c r="H1110" s="9"/>
      <c r="I1110" s="9"/>
      <c r="J1110" s="9"/>
      <c r="K1110" s="9"/>
      <c r="L1110" s="9"/>
      <c r="M1110" s="9"/>
      <c r="N1110" s="10"/>
      <c r="O1110" s="9"/>
      <c r="P1110" s="9"/>
      <c r="Q1110" s="9">
        <v>-1</v>
      </c>
      <c r="R1110" s="9">
        <v>1</v>
      </c>
      <c r="S1110" s="9">
        <v>0</v>
      </c>
      <c r="T1110" s="9"/>
      <c r="U1110" s="9"/>
      <c r="V1110" s="9"/>
      <c r="W1110" s="9"/>
      <c r="X1110" s="9"/>
      <c r="Y1110" s="9"/>
      <c r="Z1110" s="9"/>
      <c r="AA1110" s="9"/>
      <c r="AB1110" s="9"/>
      <c r="AC1110" s="9"/>
      <c r="AD1110" s="9" t="s">
        <v>20</v>
      </c>
    </row>
    <row r="1111" spans="1:30" ht="29">
      <c r="A1111" s="3" t="s">
        <v>3055</v>
      </c>
      <c r="B1111" s="3" t="s">
        <v>8414</v>
      </c>
      <c r="C1111" s="3" t="s">
        <v>12441</v>
      </c>
      <c r="G1111" s="9" t="s">
        <v>12120</v>
      </c>
      <c r="H1111" s="9"/>
      <c r="I1111" s="9"/>
      <c r="J1111" s="9"/>
      <c r="K1111" s="9"/>
      <c r="L1111" s="9"/>
      <c r="M1111" s="9"/>
      <c r="N1111" s="10"/>
      <c r="O1111" s="9"/>
      <c r="P1111" s="9"/>
      <c r="Q1111" s="9"/>
      <c r="R1111" s="9" t="s">
        <v>12795</v>
      </c>
      <c r="S1111" s="9" t="s">
        <v>12795</v>
      </c>
      <c r="T1111" s="9"/>
      <c r="U1111" s="9"/>
      <c r="V1111" s="9"/>
      <c r="W1111" s="9"/>
      <c r="X1111" s="9"/>
      <c r="Y1111" s="9"/>
      <c r="Z1111" s="9"/>
      <c r="AA1111" s="9"/>
      <c r="AB1111" s="9"/>
      <c r="AC1111" s="9"/>
      <c r="AD1111" s="9" t="s">
        <v>20</v>
      </c>
    </row>
    <row r="1112" spans="1:30" ht="29">
      <c r="A1112" s="3" t="s">
        <v>3057</v>
      </c>
      <c r="B1112" s="3" t="s">
        <v>3060</v>
      </c>
      <c r="C1112" s="3" t="s">
        <v>3061</v>
      </c>
      <c r="G1112" s="9" t="s">
        <v>12120</v>
      </c>
      <c r="H1112" s="9"/>
      <c r="I1112" s="9"/>
      <c r="J1112" s="9"/>
      <c r="K1112" s="9"/>
      <c r="L1112" s="9"/>
      <c r="M1112" s="9"/>
      <c r="N1112" s="10"/>
      <c r="O1112" s="9"/>
      <c r="P1112" s="9"/>
      <c r="Q1112" s="9"/>
      <c r="R1112" s="9" t="s">
        <v>12795</v>
      </c>
      <c r="S1112" s="9" t="s">
        <v>12795</v>
      </c>
      <c r="T1112" s="9"/>
      <c r="U1112" s="9"/>
      <c r="V1112" s="9"/>
      <c r="W1112" s="9"/>
      <c r="X1112" s="9"/>
      <c r="Y1112" s="9"/>
      <c r="Z1112" s="9"/>
      <c r="AA1112" s="9"/>
      <c r="AB1112" s="9"/>
      <c r="AC1112" s="9"/>
      <c r="AD1112" s="9" t="s">
        <v>19</v>
      </c>
    </row>
    <row r="1113" spans="1:30" ht="29">
      <c r="A1113" s="3" t="s">
        <v>3063</v>
      </c>
      <c r="B1113" s="3" t="s">
        <v>8420</v>
      </c>
      <c r="C1113" s="3" t="s">
        <v>8421</v>
      </c>
      <c r="G1113" s="9" t="s">
        <v>25</v>
      </c>
      <c r="H1113" s="9"/>
      <c r="I1113" s="9">
        <v>1</v>
      </c>
      <c r="J1113" s="9">
        <v>1</v>
      </c>
      <c r="K1113" s="9" t="s">
        <v>12078</v>
      </c>
      <c r="L1113" s="9" t="s">
        <v>12119</v>
      </c>
      <c r="M1113" s="9"/>
      <c r="N1113" s="10"/>
      <c r="O1113" s="9" t="s">
        <v>12074</v>
      </c>
      <c r="P1113" s="9">
        <v>11843</v>
      </c>
      <c r="Q1113" s="9"/>
      <c r="R1113" s="9" t="s">
        <v>12795</v>
      </c>
      <c r="S1113" s="9" t="s">
        <v>12795</v>
      </c>
      <c r="T1113" s="9"/>
      <c r="U1113" s="9"/>
      <c r="V1113" s="9"/>
      <c r="W1113" s="9"/>
      <c r="X1113" s="9"/>
      <c r="Y1113" s="9"/>
      <c r="Z1113" s="9"/>
      <c r="AA1113" s="9"/>
      <c r="AB1113" s="9"/>
      <c r="AC1113" s="9"/>
      <c r="AD1113" s="9" t="s">
        <v>19</v>
      </c>
    </row>
    <row r="1114" spans="1:30" ht="29">
      <c r="A1114" s="3" t="s">
        <v>3064</v>
      </c>
      <c r="B1114" s="3" t="s">
        <v>8422</v>
      </c>
      <c r="C1114" s="3" t="s">
        <v>8423</v>
      </c>
      <c r="G1114" s="9" t="s">
        <v>24</v>
      </c>
      <c r="H1114" s="9"/>
      <c r="I1114" s="9">
        <v>1</v>
      </c>
      <c r="J1114" s="9">
        <v>4</v>
      </c>
      <c r="K1114" s="9" t="s">
        <v>12094</v>
      </c>
      <c r="L1114" s="9" t="s">
        <v>12079</v>
      </c>
      <c r="M1114" s="9"/>
      <c r="N1114" s="10"/>
      <c r="O1114" s="9"/>
      <c r="P1114" s="9">
        <v>4240</v>
      </c>
      <c r="Q1114" s="9"/>
      <c r="R1114" s="9" t="s">
        <v>12795</v>
      </c>
      <c r="S1114" s="9" t="s">
        <v>12795</v>
      </c>
      <c r="T1114" s="9"/>
      <c r="U1114" s="9"/>
      <c r="V1114" s="9"/>
      <c r="W1114" s="9"/>
      <c r="X1114" s="9"/>
      <c r="Y1114" s="9"/>
      <c r="Z1114" s="9"/>
      <c r="AA1114" s="9"/>
      <c r="AB1114" s="9"/>
      <c r="AC1114" s="9"/>
      <c r="AD1114" s="9" t="s">
        <v>19</v>
      </c>
    </row>
    <row r="1115" spans="1:30" ht="43.5">
      <c r="A1115" s="3" t="s">
        <v>3069</v>
      </c>
      <c r="B1115" s="3" t="s">
        <v>8427</v>
      </c>
      <c r="C1115" s="3" t="s">
        <v>8428</v>
      </c>
      <c r="G1115" s="9" t="s">
        <v>25</v>
      </c>
      <c r="H1115" s="9"/>
      <c r="I1115" s="9">
        <v>1</v>
      </c>
      <c r="J1115" s="9">
        <v>3</v>
      </c>
      <c r="K1115" s="9" t="s">
        <v>12072</v>
      </c>
      <c r="L1115" s="9" t="s">
        <v>12079</v>
      </c>
      <c r="M1115" s="9"/>
      <c r="N1115" s="10"/>
      <c r="O1115" s="9"/>
      <c r="P1115" s="9">
        <v>214</v>
      </c>
      <c r="Q1115" s="9"/>
      <c r="R1115" s="9" t="s">
        <v>12795</v>
      </c>
      <c r="S1115" s="9" t="s">
        <v>12795</v>
      </c>
      <c r="T1115" s="9"/>
      <c r="U1115" s="9"/>
      <c r="V1115" s="9"/>
      <c r="W1115" s="9"/>
      <c r="X1115" s="9"/>
      <c r="Y1115" s="9"/>
      <c r="Z1115" s="9"/>
      <c r="AA1115" s="9"/>
      <c r="AB1115" s="9"/>
      <c r="AC1115" s="9"/>
      <c r="AD1115" s="9" t="s">
        <v>20</v>
      </c>
    </row>
    <row r="1116" spans="1:30">
      <c r="A1116" s="3" t="s">
        <v>3069</v>
      </c>
      <c r="B1116" s="3" t="s">
        <v>3070</v>
      </c>
      <c r="C1116" s="3" t="s">
        <v>3071</v>
      </c>
      <c r="G1116" s="9" t="s">
        <v>12120</v>
      </c>
      <c r="H1116" s="9"/>
      <c r="I1116" s="9"/>
      <c r="J1116" s="9"/>
      <c r="K1116" s="9"/>
      <c r="L1116" s="9"/>
      <c r="M1116" s="9"/>
      <c r="N1116" s="10"/>
      <c r="O1116" s="9"/>
      <c r="P1116" s="9"/>
      <c r="Q1116" s="9"/>
      <c r="R1116" s="9" t="s">
        <v>12795</v>
      </c>
      <c r="S1116" s="9" t="s">
        <v>12795</v>
      </c>
      <c r="T1116" s="9"/>
      <c r="U1116" s="9"/>
      <c r="V1116" s="9"/>
      <c r="W1116" s="9"/>
      <c r="X1116" s="9"/>
      <c r="Y1116" s="9"/>
      <c r="Z1116" s="9"/>
      <c r="AA1116" s="9"/>
      <c r="AB1116" s="9"/>
      <c r="AC1116" s="9"/>
      <c r="AD1116" s="9" t="s">
        <v>20</v>
      </c>
    </row>
    <row r="1117" spans="1:30">
      <c r="A1117" s="3" t="s">
        <v>3073</v>
      </c>
      <c r="B1117" s="3" t="s">
        <v>8435</v>
      </c>
      <c r="C1117" s="11" t="s">
        <v>8436</v>
      </c>
      <c r="G1117" s="9" t="s">
        <v>12118</v>
      </c>
      <c r="H1117" s="9"/>
      <c r="I1117" s="9"/>
      <c r="J1117" s="9"/>
      <c r="K1117" s="9"/>
      <c r="L1117" s="9"/>
      <c r="M1117" s="9"/>
      <c r="N1117" s="10"/>
      <c r="O1117" s="9"/>
      <c r="P1117" s="9"/>
      <c r="Q1117" s="9">
        <v>0</v>
      </c>
      <c r="R1117" s="9">
        <v>4</v>
      </c>
      <c r="S1117" s="9">
        <v>4</v>
      </c>
      <c r="T1117" s="9"/>
      <c r="U1117" s="9"/>
      <c r="V1117" s="9"/>
      <c r="W1117" s="9"/>
      <c r="X1117" s="9"/>
      <c r="Y1117" s="9"/>
      <c r="Z1117" s="9"/>
      <c r="AA1117" s="9"/>
      <c r="AB1117" s="9"/>
      <c r="AC1117" s="9"/>
      <c r="AD1117" s="9" t="s">
        <v>19</v>
      </c>
    </row>
    <row r="1118" spans="1:30" ht="29">
      <c r="A1118" s="3" t="s">
        <v>3073</v>
      </c>
      <c r="B1118" s="3" t="s">
        <v>8438</v>
      </c>
      <c r="C1118" s="3" t="s">
        <v>8437</v>
      </c>
      <c r="G1118" s="9" t="s">
        <v>25</v>
      </c>
      <c r="H1118" s="9"/>
      <c r="I1118" s="9">
        <v>1</v>
      </c>
      <c r="J1118" s="9">
        <v>6</v>
      </c>
      <c r="K1118" s="9" t="s">
        <v>12094</v>
      </c>
      <c r="L1118" s="9" t="s">
        <v>12079</v>
      </c>
      <c r="M1118" s="9"/>
      <c r="N1118" s="10"/>
      <c r="O1118" s="9"/>
      <c r="P1118" s="9">
        <v>4240</v>
      </c>
      <c r="Q1118" s="9"/>
      <c r="R1118" s="9" t="s">
        <v>12795</v>
      </c>
      <c r="S1118" s="9" t="s">
        <v>12795</v>
      </c>
      <c r="T1118" s="9"/>
      <c r="U1118" s="9"/>
      <c r="V1118" s="9"/>
      <c r="W1118" s="9"/>
      <c r="X1118" s="9"/>
      <c r="Y1118" s="9"/>
      <c r="Z1118" s="9"/>
      <c r="AA1118" s="9"/>
      <c r="AB1118" s="9"/>
      <c r="AC1118" s="9"/>
      <c r="AD1118" s="9" t="s">
        <v>20</v>
      </c>
    </row>
    <row r="1119" spans="1:30" ht="29">
      <c r="A1119" s="3" t="s">
        <v>3075</v>
      </c>
      <c r="B1119" s="3" t="s">
        <v>5938</v>
      </c>
      <c r="C1119" s="3" t="s">
        <v>8439</v>
      </c>
      <c r="G1119" s="9" t="s">
        <v>24</v>
      </c>
      <c r="H1119" s="9"/>
      <c r="I1119" s="9">
        <v>1</v>
      </c>
      <c r="J1119" s="9">
        <v>2</v>
      </c>
      <c r="K1119" s="9" t="s">
        <v>12087</v>
      </c>
      <c r="L1119" s="9" t="s">
        <v>12119</v>
      </c>
      <c r="M1119" s="9"/>
      <c r="N1119" s="10"/>
      <c r="O1119" s="9"/>
      <c r="P1119" s="9">
        <v>1966</v>
      </c>
      <c r="Q1119" s="9"/>
      <c r="R1119" s="9" t="s">
        <v>12795</v>
      </c>
      <c r="S1119" s="9" t="s">
        <v>12795</v>
      </c>
      <c r="T1119" s="9"/>
      <c r="U1119" s="9"/>
      <c r="V1119" s="9"/>
      <c r="W1119" s="9"/>
      <c r="X1119" s="9"/>
      <c r="Y1119" s="9"/>
      <c r="Z1119" s="9"/>
      <c r="AA1119" s="9"/>
      <c r="AB1119" s="9"/>
      <c r="AC1119" s="9"/>
      <c r="AD1119" s="9" t="s">
        <v>19</v>
      </c>
    </row>
    <row r="1120" spans="1:30" ht="29">
      <c r="A1120" s="3" t="s">
        <v>3079</v>
      </c>
      <c r="B1120" s="3" t="s">
        <v>8444</v>
      </c>
      <c r="C1120" s="3" t="s">
        <v>8445</v>
      </c>
      <c r="G1120" s="9" t="s">
        <v>24</v>
      </c>
      <c r="H1120" s="9"/>
      <c r="I1120" s="9">
        <v>1</v>
      </c>
      <c r="J1120" s="9">
        <v>3</v>
      </c>
      <c r="K1120" s="9" t="s">
        <v>12078</v>
      </c>
      <c r="L1120" s="9" t="s">
        <v>12073</v>
      </c>
      <c r="M1120" s="9" t="s">
        <v>12149</v>
      </c>
      <c r="N1120" s="10" t="s">
        <v>12143</v>
      </c>
      <c r="O1120" s="9"/>
      <c r="P1120" s="9">
        <v>11843</v>
      </c>
      <c r="Q1120" s="9"/>
      <c r="R1120" s="9" t="s">
        <v>12795</v>
      </c>
      <c r="S1120" s="9" t="s">
        <v>12795</v>
      </c>
      <c r="T1120" s="9"/>
      <c r="U1120" s="9"/>
      <c r="V1120" s="9"/>
      <c r="W1120" s="9"/>
      <c r="X1120" s="9"/>
      <c r="Y1120" s="9"/>
      <c r="Z1120" s="9"/>
      <c r="AA1120" s="9"/>
      <c r="AB1120" s="9"/>
      <c r="AC1120" s="9"/>
      <c r="AD1120" s="9" t="s">
        <v>19</v>
      </c>
    </row>
    <row r="1121" spans="1:30" ht="29">
      <c r="A1121" s="3" t="s">
        <v>3080</v>
      </c>
      <c r="B1121" s="3" t="s">
        <v>8449</v>
      </c>
      <c r="C1121" s="3" t="s">
        <v>8448</v>
      </c>
      <c r="G1121" s="9" t="s">
        <v>24</v>
      </c>
      <c r="H1121" s="9"/>
      <c r="I1121" s="9">
        <v>2</v>
      </c>
      <c r="J1121" s="9">
        <v>10</v>
      </c>
      <c r="K1121" s="9"/>
      <c r="L1121" s="9" t="s">
        <v>12079</v>
      </c>
      <c r="M1121" s="9"/>
      <c r="N1121" s="10"/>
      <c r="O1121" s="9"/>
      <c r="P1121" s="9">
        <v>508</v>
      </c>
      <c r="Q1121" s="9"/>
      <c r="R1121" s="9" t="s">
        <v>12795</v>
      </c>
      <c r="S1121" s="9" t="s">
        <v>12795</v>
      </c>
      <c r="T1121" s="9"/>
      <c r="U1121" s="9"/>
      <c r="V1121" s="9"/>
      <c r="W1121" s="9"/>
      <c r="X1121" s="9"/>
      <c r="Y1121" s="9"/>
      <c r="Z1121" s="9"/>
      <c r="AA1121" s="9"/>
      <c r="AB1121" s="9"/>
      <c r="AC1121" s="9"/>
      <c r="AD1121" s="9" t="s">
        <v>13141</v>
      </c>
    </row>
    <row r="1122" spans="1:30" ht="29">
      <c r="A1122" s="3" t="s">
        <v>3081</v>
      </c>
      <c r="B1122" s="3" t="s">
        <v>8452</v>
      </c>
      <c r="C1122" s="3" t="s">
        <v>8451</v>
      </c>
      <c r="G1122" s="9" t="s">
        <v>12120</v>
      </c>
      <c r="H1122" s="9"/>
      <c r="I1122" s="9"/>
      <c r="J1122" s="9"/>
      <c r="K1122" s="9"/>
      <c r="L1122" s="9"/>
      <c r="M1122" s="9"/>
      <c r="N1122" s="10"/>
      <c r="O1122" s="9"/>
      <c r="P1122" s="9"/>
      <c r="Q1122" s="9"/>
      <c r="R1122" s="9" t="s">
        <v>12795</v>
      </c>
      <c r="S1122" s="9" t="s">
        <v>12795</v>
      </c>
      <c r="T1122" s="9"/>
      <c r="U1122" s="9"/>
      <c r="V1122" s="9"/>
      <c r="W1122" s="9"/>
      <c r="X1122" s="9"/>
      <c r="Y1122" s="9"/>
      <c r="Z1122" s="9"/>
      <c r="AA1122" s="9"/>
      <c r="AB1122" s="9"/>
      <c r="AC1122" s="9"/>
      <c r="AD1122" s="9" t="s">
        <v>20</v>
      </c>
    </row>
    <row r="1123" spans="1:30" ht="29">
      <c r="A1123" s="3" t="s">
        <v>3084</v>
      </c>
      <c r="B1123" s="3" t="s">
        <v>3085</v>
      </c>
      <c r="C1123" s="3" t="s">
        <v>3086</v>
      </c>
      <c r="F1123" t="s">
        <v>22</v>
      </c>
      <c r="G1123" s="9" t="s">
        <v>12120</v>
      </c>
      <c r="H1123" s="9"/>
      <c r="I1123" s="9"/>
      <c r="J1123" s="9"/>
      <c r="K1123" s="9"/>
      <c r="L1123" s="9"/>
      <c r="M1123" s="9"/>
      <c r="N1123" s="10"/>
      <c r="O1123" s="9"/>
      <c r="P1123" s="9"/>
      <c r="Q1123" s="9"/>
      <c r="R1123" s="9" t="s">
        <v>12795</v>
      </c>
      <c r="S1123" s="9" t="s">
        <v>12795</v>
      </c>
      <c r="T1123" s="9"/>
      <c r="U1123" s="9"/>
      <c r="V1123" s="9"/>
      <c r="W1123" s="9"/>
      <c r="X1123" s="9"/>
      <c r="Y1123" s="9"/>
      <c r="Z1123" s="9"/>
      <c r="AA1123" s="9"/>
      <c r="AB1123" s="9"/>
      <c r="AC1123" s="9"/>
      <c r="AD1123" s="9" t="s">
        <v>20</v>
      </c>
    </row>
    <row r="1124" spans="1:30" ht="29">
      <c r="A1124" s="3" t="s">
        <v>3097</v>
      </c>
      <c r="B1124" s="3" t="s">
        <v>8462</v>
      </c>
      <c r="C1124" s="3" t="s">
        <v>8463</v>
      </c>
      <c r="G1124" s="9" t="s">
        <v>25</v>
      </c>
      <c r="H1124" s="9"/>
      <c r="I1124" s="9">
        <v>1</v>
      </c>
      <c r="J1124" s="9">
        <v>3</v>
      </c>
      <c r="K1124" s="9" t="s">
        <v>12078</v>
      </c>
      <c r="L1124" s="9" t="s">
        <v>12073</v>
      </c>
      <c r="M1124" s="9" t="s">
        <v>12149</v>
      </c>
      <c r="N1124" s="10" t="s">
        <v>12143</v>
      </c>
      <c r="O1124" s="9"/>
      <c r="P1124" s="9">
        <v>11843</v>
      </c>
      <c r="Q1124" s="9"/>
      <c r="R1124" s="9" t="s">
        <v>12795</v>
      </c>
      <c r="S1124" s="9" t="s">
        <v>12795</v>
      </c>
      <c r="T1124" s="9"/>
      <c r="U1124" s="9"/>
      <c r="V1124" s="9"/>
      <c r="W1124" s="9"/>
      <c r="X1124" s="9"/>
      <c r="Y1124" s="9"/>
      <c r="Z1124" s="9"/>
      <c r="AA1124" s="9"/>
      <c r="AB1124" s="9"/>
      <c r="AC1124" s="9"/>
      <c r="AD1124" s="9" t="s">
        <v>20</v>
      </c>
    </row>
    <row r="1125" spans="1:30" ht="29">
      <c r="A1125" s="3" t="s">
        <v>3097</v>
      </c>
      <c r="B1125" s="3" t="s">
        <v>8464</v>
      </c>
      <c r="C1125" s="3" t="s">
        <v>8465</v>
      </c>
      <c r="G1125" s="9" t="s">
        <v>25</v>
      </c>
      <c r="H1125" s="9"/>
      <c r="I1125" s="9">
        <v>1</v>
      </c>
      <c r="J1125" s="9">
        <v>5</v>
      </c>
      <c r="K1125" s="9" t="s">
        <v>12094</v>
      </c>
      <c r="L1125" s="9" t="s">
        <v>12073</v>
      </c>
      <c r="M1125" s="9" t="s">
        <v>12149</v>
      </c>
      <c r="N1125" s="10" t="s">
        <v>12160</v>
      </c>
      <c r="O1125" s="9"/>
      <c r="P1125" s="9">
        <v>4240</v>
      </c>
      <c r="Q1125" s="9"/>
      <c r="R1125" s="9" t="s">
        <v>12795</v>
      </c>
      <c r="S1125" s="9" t="s">
        <v>12795</v>
      </c>
      <c r="T1125" s="9"/>
      <c r="U1125" s="9"/>
      <c r="V1125" s="9"/>
      <c r="W1125" s="9"/>
      <c r="X1125" s="9"/>
      <c r="Y1125" s="9"/>
      <c r="Z1125" s="9"/>
      <c r="AA1125" s="9"/>
      <c r="AB1125" s="9"/>
      <c r="AC1125" s="9"/>
      <c r="AD1125" s="9" t="s">
        <v>20</v>
      </c>
    </row>
    <row r="1126" spans="1:30" ht="29">
      <c r="A1126" s="3" t="s">
        <v>3098</v>
      </c>
      <c r="B1126" s="3" t="s">
        <v>8467</v>
      </c>
      <c r="C1126" s="3" t="s">
        <v>8466</v>
      </c>
      <c r="G1126" s="9" t="s">
        <v>24</v>
      </c>
      <c r="H1126" s="9"/>
      <c r="I1126" s="9">
        <v>1</v>
      </c>
      <c r="J1126" s="9">
        <v>3</v>
      </c>
      <c r="K1126" s="9" t="s">
        <v>12087</v>
      </c>
      <c r="L1126" s="9" t="s">
        <v>12079</v>
      </c>
      <c r="M1126" s="9"/>
      <c r="N1126" s="10"/>
      <c r="O1126" s="9"/>
      <c r="P1126" s="9">
        <v>5676</v>
      </c>
      <c r="Q1126" s="9"/>
      <c r="R1126" s="9" t="s">
        <v>12795</v>
      </c>
      <c r="S1126" s="9" t="s">
        <v>12795</v>
      </c>
      <c r="T1126" s="9"/>
      <c r="U1126" s="9"/>
      <c r="V1126" s="9"/>
      <c r="W1126" s="9"/>
      <c r="X1126" s="9"/>
      <c r="Y1126" s="9"/>
      <c r="Z1126" s="9"/>
      <c r="AA1126" s="9"/>
      <c r="AB1126" s="9"/>
      <c r="AC1126" s="9"/>
      <c r="AD1126" s="9" t="s">
        <v>19</v>
      </c>
    </row>
    <row r="1127" spans="1:30" ht="29">
      <c r="A1127" s="3" t="s">
        <v>3100</v>
      </c>
      <c r="B1127" s="3" t="s">
        <v>8475</v>
      </c>
      <c r="C1127" s="3" t="s">
        <v>8474</v>
      </c>
      <c r="G1127" s="9" t="s">
        <v>26</v>
      </c>
      <c r="H1127" s="9"/>
      <c r="I1127" s="9"/>
      <c r="J1127" s="9"/>
      <c r="K1127" s="9"/>
      <c r="L1127" s="9"/>
      <c r="M1127" s="9"/>
      <c r="N1127" s="10"/>
      <c r="O1127" s="9"/>
      <c r="P1127" s="9"/>
      <c r="Q1127" s="9"/>
      <c r="R1127" s="9" t="s">
        <v>12795</v>
      </c>
      <c r="S1127" s="9" t="s">
        <v>12795</v>
      </c>
      <c r="T1127" s="9"/>
      <c r="U1127" s="9"/>
      <c r="V1127" s="9"/>
      <c r="W1127" s="9"/>
      <c r="X1127" s="9"/>
      <c r="Y1127" s="9"/>
      <c r="Z1127" s="9"/>
      <c r="AA1127" s="9"/>
      <c r="AB1127" s="9"/>
      <c r="AC1127" s="9"/>
      <c r="AD1127" s="9" t="s">
        <v>19</v>
      </c>
    </row>
    <row r="1128" spans="1:30" ht="29">
      <c r="A1128" s="3" t="s">
        <v>3100</v>
      </c>
      <c r="B1128" s="3" t="s">
        <v>8476</v>
      </c>
      <c r="C1128" s="3" t="s">
        <v>8477</v>
      </c>
      <c r="G1128" s="9" t="s">
        <v>24</v>
      </c>
      <c r="H1128" s="9"/>
      <c r="I1128" s="9">
        <v>1</v>
      </c>
      <c r="J1128" s="9">
        <v>3</v>
      </c>
      <c r="K1128" s="9" t="s">
        <v>12123</v>
      </c>
      <c r="L1128" s="9" t="s">
        <v>12073</v>
      </c>
      <c r="M1128" s="9" t="s">
        <v>12142</v>
      </c>
      <c r="N1128" s="10" t="s">
        <v>12143</v>
      </c>
      <c r="O1128" s="9" t="s">
        <v>12074</v>
      </c>
      <c r="P1128" s="9">
        <v>887</v>
      </c>
      <c r="Q1128" s="9"/>
      <c r="R1128" s="9" t="s">
        <v>12795</v>
      </c>
      <c r="S1128" s="9" t="s">
        <v>12795</v>
      </c>
      <c r="T1128" s="9"/>
      <c r="U1128" s="9"/>
      <c r="V1128" s="9"/>
      <c r="W1128" s="9"/>
      <c r="X1128" s="9"/>
      <c r="Y1128" s="9"/>
      <c r="Z1128" s="9"/>
      <c r="AA1128" s="9"/>
      <c r="AB1128" s="9"/>
      <c r="AC1128" s="9"/>
      <c r="AD1128" s="9" t="s">
        <v>20</v>
      </c>
    </row>
    <row r="1129" spans="1:30" ht="29">
      <c r="A1129" s="3" t="s">
        <v>3100</v>
      </c>
      <c r="B1129" s="3" t="s">
        <v>8478</v>
      </c>
      <c r="C1129" s="3" t="s">
        <v>8479</v>
      </c>
      <c r="G1129" s="9" t="s">
        <v>12120</v>
      </c>
      <c r="H1129" s="9"/>
      <c r="I1129" s="9"/>
      <c r="J1129" s="9"/>
      <c r="K1129" s="9"/>
      <c r="L1129" s="9"/>
      <c r="M1129" s="9"/>
      <c r="N1129" s="10"/>
      <c r="O1129" s="9"/>
      <c r="P1129" s="9"/>
      <c r="Q1129" s="9"/>
      <c r="R1129" s="9" t="s">
        <v>12795</v>
      </c>
      <c r="S1129" s="9" t="s">
        <v>12795</v>
      </c>
      <c r="T1129" s="9"/>
      <c r="U1129" s="9"/>
      <c r="V1129" s="9"/>
      <c r="W1129" s="9"/>
      <c r="X1129" s="9"/>
      <c r="Y1129" s="9"/>
      <c r="Z1129" s="9"/>
      <c r="AA1129" s="9"/>
      <c r="AB1129" s="9"/>
      <c r="AC1129" s="9"/>
      <c r="AD1129" s="9" t="s">
        <v>20</v>
      </c>
    </row>
    <row r="1130" spans="1:30" ht="29">
      <c r="A1130" s="3" t="s">
        <v>3103</v>
      </c>
      <c r="B1130" s="3" t="s">
        <v>8487</v>
      </c>
      <c r="C1130" s="3" t="s">
        <v>8486</v>
      </c>
      <c r="G1130" s="9" t="s">
        <v>26</v>
      </c>
      <c r="H1130" s="9"/>
      <c r="I1130" s="9"/>
      <c r="J1130" s="9"/>
      <c r="K1130" s="9"/>
      <c r="L1130" s="9"/>
      <c r="M1130" s="9"/>
      <c r="N1130" s="10"/>
      <c r="O1130" s="9"/>
      <c r="P1130" s="9"/>
      <c r="Q1130" s="9"/>
      <c r="R1130" s="9" t="s">
        <v>12795</v>
      </c>
      <c r="S1130" s="9" t="s">
        <v>12795</v>
      </c>
      <c r="T1130" s="9"/>
      <c r="U1130" s="9"/>
      <c r="V1130" s="9"/>
      <c r="W1130" s="9"/>
      <c r="X1130" s="9"/>
      <c r="Y1130" s="9"/>
      <c r="Z1130" s="9"/>
      <c r="AA1130" s="9"/>
      <c r="AB1130" s="9"/>
      <c r="AC1130" s="9"/>
      <c r="AD1130" s="9" t="s">
        <v>19</v>
      </c>
    </row>
    <row r="1131" spans="1:30" ht="29">
      <c r="A1131" s="3" t="s">
        <v>3104</v>
      </c>
      <c r="B1131" s="3" t="s">
        <v>8489</v>
      </c>
      <c r="C1131" s="3" t="s">
        <v>8488</v>
      </c>
      <c r="G1131" s="9" t="s">
        <v>25</v>
      </c>
      <c r="H1131" s="9"/>
      <c r="I1131" s="9">
        <v>1</v>
      </c>
      <c r="J1131" s="9">
        <v>3</v>
      </c>
      <c r="K1131" s="9" t="s">
        <v>12087</v>
      </c>
      <c r="L1131" s="9" t="s">
        <v>12079</v>
      </c>
      <c r="M1131" s="9"/>
      <c r="N1131" s="10"/>
      <c r="O1131" s="9"/>
      <c r="P1131" s="9">
        <v>5676</v>
      </c>
      <c r="Q1131" s="9"/>
      <c r="R1131" s="9" t="s">
        <v>12795</v>
      </c>
      <c r="S1131" s="9" t="s">
        <v>12795</v>
      </c>
      <c r="T1131" s="9"/>
      <c r="U1131" s="9"/>
      <c r="V1131" s="9"/>
      <c r="W1131" s="9"/>
      <c r="X1131" s="9"/>
      <c r="Y1131" s="9"/>
      <c r="Z1131" s="9"/>
      <c r="AA1131" s="9"/>
      <c r="AB1131" s="9"/>
      <c r="AC1131" s="9"/>
      <c r="AD1131" s="9" t="s">
        <v>19</v>
      </c>
    </row>
    <row r="1132" spans="1:30" ht="29">
      <c r="A1132" s="3" t="s">
        <v>3106</v>
      </c>
      <c r="B1132" s="3" t="s">
        <v>8497</v>
      </c>
      <c r="C1132" s="3" t="s">
        <v>8496</v>
      </c>
      <c r="G1132" s="9" t="s">
        <v>12118</v>
      </c>
      <c r="H1132" s="9"/>
      <c r="I1132" s="9"/>
      <c r="J1132" s="9"/>
      <c r="K1132" s="9"/>
      <c r="L1132" s="9"/>
      <c r="M1132" s="9"/>
      <c r="N1132" s="10"/>
      <c r="O1132" s="9"/>
      <c r="P1132" s="9"/>
      <c r="Q1132" s="9">
        <v>731</v>
      </c>
      <c r="R1132" s="9">
        <v>156</v>
      </c>
      <c r="S1132" s="9">
        <v>887</v>
      </c>
      <c r="T1132" s="9"/>
      <c r="U1132" s="9"/>
      <c r="V1132" s="9"/>
      <c r="W1132" s="9"/>
      <c r="X1132" s="9"/>
      <c r="Y1132" s="9"/>
      <c r="Z1132" s="9"/>
      <c r="AA1132" s="9"/>
      <c r="AB1132" s="9"/>
      <c r="AC1132" s="9"/>
      <c r="AD1132" s="9" t="s">
        <v>20</v>
      </c>
    </row>
    <row r="1133" spans="1:30" ht="29">
      <c r="A1133" s="3" t="s">
        <v>3108</v>
      </c>
      <c r="B1133" s="3" t="s">
        <v>8505</v>
      </c>
      <c r="C1133" s="3" t="s">
        <v>8504</v>
      </c>
      <c r="G1133" s="9" t="s">
        <v>24</v>
      </c>
      <c r="H1133" s="9"/>
      <c r="I1133" s="9">
        <v>1</v>
      </c>
      <c r="J1133" s="9">
        <v>2</v>
      </c>
      <c r="K1133" s="9" t="s">
        <v>12087</v>
      </c>
      <c r="L1133" s="9" t="s">
        <v>12119</v>
      </c>
      <c r="M1133" s="9"/>
      <c r="N1133" s="10"/>
      <c r="O1133" s="9"/>
      <c r="P1133" s="9">
        <v>1966</v>
      </c>
      <c r="Q1133" s="9"/>
      <c r="R1133" s="9" t="s">
        <v>12795</v>
      </c>
      <c r="S1133" s="9" t="s">
        <v>12795</v>
      </c>
      <c r="T1133" s="9"/>
      <c r="U1133" s="9"/>
      <c r="V1133" s="9"/>
      <c r="W1133" s="9"/>
      <c r="X1133" s="9"/>
      <c r="Y1133" s="9"/>
      <c r="Z1133" s="9"/>
      <c r="AA1133" s="9"/>
      <c r="AB1133" s="9"/>
      <c r="AC1133" s="9"/>
      <c r="AD1133" s="9" t="s">
        <v>19</v>
      </c>
    </row>
    <row r="1134" spans="1:30" ht="29">
      <c r="A1134" s="3" t="s">
        <v>3112</v>
      </c>
      <c r="B1134" s="3" t="s">
        <v>8517</v>
      </c>
      <c r="C1134" s="3" t="s">
        <v>8516</v>
      </c>
      <c r="G1134" s="9" t="s">
        <v>25</v>
      </c>
      <c r="H1134" s="9"/>
      <c r="I1134" s="9">
        <v>3</v>
      </c>
      <c r="J1134" s="9">
        <v>16</v>
      </c>
      <c r="K1134" s="9"/>
      <c r="L1134" s="9" t="s">
        <v>12073</v>
      </c>
      <c r="M1134" s="9" t="s">
        <v>12140</v>
      </c>
      <c r="N1134" s="10" t="s">
        <v>12137</v>
      </c>
      <c r="O1134" s="9"/>
      <c r="P1134" s="9">
        <v>591</v>
      </c>
      <c r="Q1134" s="9"/>
      <c r="R1134" s="9" t="s">
        <v>12795</v>
      </c>
      <c r="S1134" s="9" t="s">
        <v>12795</v>
      </c>
      <c r="T1134" s="9"/>
      <c r="U1134" s="9"/>
      <c r="V1134" s="9"/>
      <c r="W1134" s="9"/>
      <c r="X1134" s="9"/>
      <c r="Y1134" s="9"/>
      <c r="Z1134" s="9"/>
      <c r="AA1134" s="9"/>
      <c r="AB1134" s="9"/>
      <c r="AC1134" s="9"/>
      <c r="AD1134" s="9" t="s">
        <v>20</v>
      </c>
    </row>
    <row r="1135" spans="1:30" ht="29">
      <c r="A1135" s="3" t="s">
        <v>3114</v>
      </c>
      <c r="B1135" s="3" t="s">
        <v>8518</v>
      </c>
      <c r="C1135" s="3" t="s">
        <v>8519</v>
      </c>
      <c r="G1135" s="9" t="s">
        <v>12120</v>
      </c>
      <c r="H1135" s="9"/>
      <c r="I1135" s="9"/>
      <c r="J1135" s="9"/>
      <c r="K1135" s="9"/>
      <c r="L1135" s="9"/>
      <c r="M1135" s="9"/>
      <c r="N1135" s="10"/>
      <c r="O1135" s="9"/>
      <c r="P1135" s="9"/>
      <c r="Q1135" s="9"/>
      <c r="R1135" s="9" t="s">
        <v>12795</v>
      </c>
      <c r="S1135" s="9" t="s">
        <v>12795</v>
      </c>
      <c r="T1135" s="9"/>
      <c r="U1135" s="9"/>
      <c r="V1135" s="9"/>
      <c r="W1135" s="9"/>
      <c r="X1135" s="9"/>
      <c r="Y1135" s="9"/>
      <c r="Z1135" s="9"/>
      <c r="AA1135" s="9"/>
      <c r="AB1135" s="9"/>
      <c r="AC1135" s="9"/>
      <c r="AD1135" s="9" t="s">
        <v>19</v>
      </c>
    </row>
    <row r="1136" spans="1:30" ht="43.5">
      <c r="A1136" s="3" t="s">
        <v>3116</v>
      </c>
      <c r="B1136" s="3" t="s">
        <v>8525</v>
      </c>
      <c r="C1136" s="3" t="s">
        <v>8524</v>
      </c>
      <c r="G1136" s="9" t="s">
        <v>25</v>
      </c>
      <c r="H1136" s="9"/>
      <c r="I1136" s="9">
        <v>1</v>
      </c>
      <c r="J1136" s="9">
        <v>2</v>
      </c>
      <c r="K1136" s="9" t="s">
        <v>12087</v>
      </c>
      <c r="L1136" s="9" t="s">
        <v>12119</v>
      </c>
      <c r="M1136" s="9"/>
      <c r="N1136" s="10"/>
      <c r="O1136" s="9"/>
      <c r="P1136" s="9">
        <v>1966</v>
      </c>
      <c r="Q1136" s="9"/>
      <c r="R1136" s="9" t="s">
        <v>12795</v>
      </c>
      <c r="S1136" s="9" t="s">
        <v>12795</v>
      </c>
      <c r="T1136" s="9"/>
      <c r="U1136" s="9"/>
      <c r="V1136" s="9"/>
      <c r="W1136" s="9"/>
      <c r="X1136" s="9"/>
      <c r="Y1136" s="9"/>
      <c r="Z1136" s="9"/>
      <c r="AA1136" s="9"/>
      <c r="AB1136" s="9"/>
      <c r="AC1136" s="9"/>
      <c r="AD1136" s="9" t="s">
        <v>19</v>
      </c>
    </row>
    <row r="1137" spans="1:30" ht="43.5">
      <c r="A1137" s="3" t="s">
        <v>3116</v>
      </c>
      <c r="B1137" s="3" t="s">
        <v>12444</v>
      </c>
      <c r="C1137" s="3" t="s">
        <v>8524</v>
      </c>
      <c r="G1137" s="9" t="s">
        <v>25</v>
      </c>
      <c r="H1137" s="9"/>
      <c r="I1137" s="9">
        <v>5</v>
      </c>
      <c r="J1137" s="9">
        <v>16</v>
      </c>
      <c r="K1137" s="9"/>
      <c r="L1137" s="9" t="s">
        <v>12073</v>
      </c>
      <c r="M1137" s="9" t="s">
        <v>12140</v>
      </c>
      <c r="N1137" s="10" t="s">
        <v>12417</v>
      </c>
      <c r="O1137" s="9"/>
      <c r="P1137" s="9">
        <v>133</v>
      </c>
      <c r="Q1137" s="9"/>
      <c r="R1137" s="9" t="s">
        <v>12795</v>
      </c>
      <c r="S1137" s="9" t="s">
        <v>12795</v>
      </c>
      <c r="T1137" s="9"/>
      <c r="U1137" s="9"/>
      <c r="V1137" s="9"/>
      <c r="W1137" s="9"/>
      <c r="X1137" s="9"/>
      <c r="Y1137" s="9"/>
      <c r="Z1137" s="9"/>
      <c r="AA1137" s="9"/>
      <c r="AB1137" s="9"/>
      <c r="AC1137" s="9"/>
      <c r="AD1137" s="9" t="s">
        <v>20</v>
      </c>
    </row>
    <row r="1138" spans="1:30" ht="29">
      <c r="A1138" s="3" t="s">
        <v>3117</v>
      </c>
      <c r="B1138" s="3" t="s">
        <v>8527</v>
      </c>
      <c r="C1138" s="3" t="s">
        <v>8526</v>
      </c>
      <c r="G1138" s="9" t="s">
        <v>24</v>
      </c>
      <c r="H1138" s="9"/>
      <c r="I1138" s="9">
        <v>1</v>
      </c>
      <c r="J1138" s="9">
        <v>2</v>
      </c>
      <c r="K1138" s="9" t="s">
        <v>12087</v>
      </c>
      <c r="L1138" s="9" t="s">
        <v>12119</v>
      </c>
      <c r="M1138" s="9"/>
      <c r="N1138" s="10"/>
      <c r="O1138" s="9"/>
      <c r="P1138" s="9">
        <v>1966</v>
      </c>
      <c r="Q1138" s="9"/>
      <c r="R1138" s="9" t="s">
        <v>12795</v>
      </c>
      <c r="S1138" s="9" t="s">
        <v>12795</v>
      </c>
      <c r="T1138" s="9"/>
      <c r="U1138" s="9"/>
      <c r="V1138" s="9"/>
      <c r="W1138" s="9"/>
      <c r="X1138" s="9"/>
      <c r="Y1138" s="9"/>
      <c r="Z1138" s="9"/>
      <c r="AA1138" s="9"/>
      <c r="AB1138" s="9"/>
      <c r="AC1138" s="9"/>
      <c r="AD1138" s="9" t="s">
        <v>20</v>
      </c>
    </row>
    <row r="1139" spans="1:30" ht="29">
      <c r="A1139" s="3" t="s">
        <v>3118</v>
      </c>
      <c r="B1139" s="3" t="s">
        <v>8528</v>
      </c>
      <c r="C1139" s="3" t="s">
        <v>8529</v>
      </c>
      <c r="G1139" s="9" t="s">
        <v>25</v>
      </c>
      <c r="H1139" s="9"/>
      <c r="I1139" s="9">
        <v>1</v>
      </c>
      <c r="J1139" s="9">
        <v>3</v>
      </c>
      <c r="K1139" s="9" t="s">
        <v>12087</v>
      </c>
      <c r="L1139" s="9" t="s">
        <v>12079</v>
      </c>
      <c r="M1139" s="9"/>
      <c r="N1139" s="10"/>
      <c r="O1139" s="9"/>
      <c r="P1139" s="9">
        <v>309</v>
      </c>
      <c r="Q1139" s="9"/>
      <c r="R1139" s="9" t="s">
        <v>12795</v>
      </c>
      <c r="S1139" s="9" t="s">
        <v>12795</v>
      </c>
      <c r="T1139" s="9"/>
      <c r="U1139" s="9"/>
      <c r="V1139" s="9"/>
      <c r="W1139" s="9"/>
      <c r="X1139" s="9"/>
      <c r="Y1139" s="9"/>
      <c r="Z1139" s="9"/>
      <c r="AA1139" s="9"/>
      <c r="AB1139" s="9"/>
      <c r="AC1139" s="9"/>
      <c r="AD1139" s="9" t="s">
        <v>19</v>
      </c>
    </row>
    <row r="1140" spans="1:30" ht="29">
      <c r="A1140" s="3" t="s">
        <v>3118</v>
      </c>
      <c r="B1140" s="3" t="s">
        <v>8530</v>
      </c>
      <c r="C1140" s="3" t="s">
        <v>8531</v>
      </c>
      <c r="G1140" s="9" t="s">
        <v>12120</v>
      </c>
      <c r="H1140" s="9"/>
      <c r="I1140" s="9"/>
      <c r="J1140" s="9"/>
      <c r="K1140" s="9"/>
      <c r="L1140" s="9"/>
      <c r="M1140" s="9"/>
      <c r="N1140" s="10"/>
      <c r="O1140" s="9"/>
      <c r="P1140" s="9"/>
      <c r="Q1140" s="9"/>
      <c r="R1140" s="9" t="s">
        <v>12795</v>
      </c>
      <c r="S1140" s="9" t="s">
        <v>12795</v>
      </c>
      <c r="T1140" s="9"/>
      <c r="U1140" s="9"/>
      <c r="V1140" s="9"/>
      <c r="W1140" s="9"/>
      <c r="X1140" s="9"/>
      <c r="Y1140" s="9"/>
      <c r="Z1140" s="9"/>
      <c r="AA1140" s="9"/>
      <c r="AB1140" s="9"/>
      <c r="AC1140" s="9"/>
      <c r="AD1140" s="9" t="s">
        <v>19</v>
      </c>
    </row>
    <row r="1141" spans="1:30">
      <c r="A1141" s="3" t="s">
        <v>3119</v>
      </c>
      <c r="B1141" s="3" t="s">
        <v>8537</v>
      </c>
      <c r="C1141" s="3" t="s">
        <v>8536</v>
      </c>
      <c r="G1141" s="9" t="s">
        <v>12118</v>
      </c>
      <c r="H1141" s="9"/>
      <c r="I1141" s="9"/>
      <c r="J1141" s="9"/>
      <c r="K1141" s="9"/>
      <c r="L1141" s="9"/>
      <c r="M1141" s="9"/>
      <c r="N1141" s="10"/>
      <c r="O1141" s="9"/>
      <c r="P1141" s="9"/>
      <c r="Q1141" s="9">
        <v>-274</v>
      </c>
      <c r="R1141" s="9">
        <v>635</v>
      </c>
      <c r="S1141" s="9">
        <v>361</v>
      </c>
      <c r="T1141" s="9"/>
      <c r="U1141" s="9"/>
      <c r="V1141" s="9"/>
      <c r="W1141" s="9"/>
      <c r="X1141" s="9"/>
      <c r="Y1141" s="9"/>
      <c r="Z1141" s="9"/>
      <c r="AA1141" s="9"/>
      <c r="AB1141" s="9"/>
      <c r="AC1141" s="9"/>
      <c r="AD1141" s="9" t="s">
        <v>19</v>
      </c>
    </row>
    <row r="1142" spans="1:30">
      <c r="A1142" s="3" t="s">
        <v>3126</v>
      </c>
      <c r="B1142" s="3" t="s">
        <v>8540</v>
      </c>
      <c r="C1142" s="3" t="s">
        <v>8541</v>
      </c>
      <c r="G1142" s="9" t="s">
        <v>12118</v>
      </c>
      <c r="H1142" s="9"/>
      <c r="I1142" s="9"/>
      <c r="J1142" s="9"/>
      <c r="K1142" s="9"/>
      <c r="L1142" s="9"/>
      <c r="M1142" s="9"/>
      <c r="N1142" s="10"/>
      <c r="O1142" s="9"/>
      <c r="P1142" s="9"/>
      <c r="Q1142" s="9">
        <v>-188</v>
      </c>
      <c r="R1142" s="9">
        <v>207</v>
      </c>
      <c r="S1142" s="9">
        <v>19</v>
      </c>
      <c r="T1142" s="9"/>
      <c r="U1142" s="9"/>
      <c r="V1142" s="9"/>
      <c r="W1142" s="9"/>
      <c r="X1142" s="9"/>
      <c r="Y1142" s="9"/>
      <c r="Z1142" s="9"/>
      <c r="AA1142" s="9"/>
      <c r="AB1142" s="9"/>
      <c r="AC1142" s="9"/>
      <c r="AD1142" s="9" t="s">
        <v>19</v>
      </c>
    </row>
    <row r="1143" spans="1:30">
      <c r="A1143" s="3" t="s">
        <v>3127</v>
      </c>
      <c r="B1143" s="3" t="s">
        <v>1288</v>
      </c>
      <c r="C1143" s="3" t="s">
        <v>1289</v>
      </c>
      <c r="G1143" s="9" t="s">
        <v>12120</v>
      </c>
      <c r="H1143" s="9"/>
      <c r="I1143" s="9"/>
      <c r="J1143" s="9"/>
      <c r="K1143" s="9"/>
      <c r="L1143" s="9"/>
      <c r="M1143" s="9"/>
      <c r="N1143" s="10"/>
      <c r="O1143" s="9"/>
      <c r="P1143" s="9"/>
      <c r="Q1143" s="9"/>
      <c r="R1143" s="9" t="s">
        <v>12795</v>
      </c>
      <c r="S1143" s="9" t="s">
        <v>12795</v>
      </c>
      <c r="T1143" s="9"/>
      <c r="U1143" s="9"/>
      <c r="V1143" s="9"/>
      <c r="W1143" s="9"/>
      <c r="X1143" s="9"/>
      <c r="Y1143" s="9"/>
      <c r="Z1143" s="9"/>
      <c r="AA1143" s="9"/>
      <c r="AB1143" s="9"/>
      <c r="AC1143" s="9"/>
      <c r="AD1143" s="9" t="s">
        <v>19</v>
      </c>
    </row>
    <row r="1144" spans="1:30">
      <c r="A1144" s="3" t="s">
        <v>3128</v>
      </c>
      <c r="B1144" s="3" t="s">
        <v>1288</v>
      </c>
      <c r="C1144" s="3" t="s">
        <v>1289</v>
      </c>
      <c r="G1144" s="9" t="s">
        <v>12120</v>
      </c>
      <c r="H1144" s="9"/>
      <c r="I1144" s="9"/>
      <c r="J1144" s="9"/>
      <c r="K1144" s="9"/>
      <c r="L1144" s="9"/>
      <c r="M1144" s="9"/>
      <c r="N1144" s="10"/>
      <c r="O1144" s="9"/>
      <c r="P1144" s="9"/>
      <c r="Q1144" s="9"/>
      <c r="R1144" s="9" t="s">
        <v>12795</v>
      </c>
      <c r="S1144" s="9" t="s">
        <v>12795</v>
      </c>
      <c r="T1144" s="9"/>
      <c r="U1144" s="9"/>
      <c r="V1144" s="9"/>
      <c r="W1144" s="9"/>
      <c r="X1144" s="9"/>
      <c r="Y1144" s="9"/>
      <c r="Z1144" s="9"/>
      <c r="AA1144" s="9"/>
      <c r="AB1144" s="9"/>
      <c r="AC1144" s="9"/>
      <c r="AD1144" s="9" t="s">
        <v>19</v>
      </c>
    </row>
    <row r="1145" spans="1:30">
      <c r="A1145" s="3" t="s">
        <v>3128</v>
      </c>
      <c r="B1145" s="3" t="s">
        <v>8543</v>
      </c>
      <c r="C1145" s="3" t="s">
        <v>8542</v>
      </c>
      <c r="G1145" s="9" t="s">
        <v>24</v>
      </c>
      <c r="H1145" s="9"/>
      <c r="I1145" s="9">
        <v>1</v>
      </c>
      <c r="J1145" s="9">
        <v>5</v>
      </c>
      <c r="K1145" s="9" t="s">
        <v>12098</v>
      </c>
      <c r="L1145" s="9" t="s">
        <v>12079</v>
      </c>
      <c r="M1145" s="9"/>
      <c r="N1145" s="10"/>
      <c r="O1145" s="9"/>
      <c r="P1145" s="9">
        <v>1565</v>
      </c>
      <c r="Q1145" s="9"/>
      <c r="R1145" s="9" t="s">
        <v>12795</v>
      </c>
      <c r="S1145" s="9" t="s">
        <v>12795</v>
      </c>
      <c r="T1145" s="9"/>
      <c r="U1145" s="9"/>
      <c r="V1145" s="9"/>
      <c r="W1145" s="9"/>
      <c r="X1145" s="9"/>
      <c r="Y1145" s="9"/>
      <c r="Z1145" s="9"/>
      <c r="AA1145" s="9"/>
      <c r="AB1145" s="9"/>
      <c r="AC1145" s="9"/>
      <c r="AD1145" s="9" t="s">
        <v>19</v>
      </c>
    </row>
    <row r="1146" spans="1:30" ht="29">
      <c r="A1146" s="3" t="s">
        <v>3129</v>
      </c>
      <c r="B1146" s="3" t="s">
        <v>8544</v>
      </c>
      <c r="C1146" s="3" t="s">
        <v>8545</v>
      </c>
      <c r="G1146" s="9" t="s">
        <v>12120</v>
      </c>
      <c r="H1146" s="9"/>
      <c r="I1146" s="9"/>
      <c r="J1146" s="9"/>
      <c r="K1146" s="9"/>
      <c r="L1146" s="9"/>
      <c r="M1146" s="9"/>
      <c r="N1146" s="10"/>
      <c r="O1146" s="9"/>
      <c r="P1146" s="9"/>
      <c r="Q1146" s="9"/>
      <c r="R1146" s="9" t="s">
        <v>12795</v>
      </c>
      <c r="S1146" s="9" t="s">
        <v>12795</v>
      </c>
      <c r="T1146" s="9"/>
      <c r="U1146" s="9"/>
      <c r="V1146" s="9"/>
      <c r="W1146" s="9"/>
      <c r="X1146" s="9"/>
      <c r="Y1146" s="9"/>
      <c r="Z1146" s="9"/>
      <c r="AA1146" s="9"/>
      <c r="AB1146" s="9"/>
      <c r="AC1146" s="9"/>
      <c r="AD1146" s="9" t="s">
        <v>19</v>
      </c>
    </row>
    <row r="1147" spans="1:30" ht="29">
      <c r="A1147" s="3" t="s">
        <v>3130</v>
      </c>
      <c r="B1147" s="3" t="s">
        <v>727</v>
      </c>
      <c r="C1147" s="3" t="s">
        <v>728</v>
      </c>
      <c r="G1147" s="9" t="s">
        <v>12118</v>
      </c>
      <c r="H1147" s="9"/>
      <c r="I1147" s="9"/>
      <c r="J1147" s="9"/>
      <c r="K1147" s="9"/>
      <c r="L1147" s="9"/>
      <c r="M1147" s="9"/>
      <c r="N1147" s="10"/>
      <c r="O1147" s="9"/>
      <c r="P1147" s="9"/>
      <c r="Q1147" s="9">
        <v>-50</v>
      </c>
      <c r="R1147" s="9">
        <v>87</v>
      </c>
      <c r="S1147" s="9">
        <v>37</v>
      </c>
      <c r="T1147" s="9"/>
      <c r="U1147" s="9"/>
      <c r="V1147" s="9"/>
      <c r="W1147" s="9"/>
      <c r="X1147" s="9"/>
      <c r="Y1147" s="9"/>
      <c r="Z1147" s="9"/>
      <c r="AA1147" s="9"/>
      <c r="AB1147" s="9"/>
      <c r="AC1147" s="9"/>
      <c r="AD1147" s="9" t="s">
        <v>19</v>
      </c>
    </row>
    <row r="1148" spans="1:30" ht="29">
      <c r="A1148" s="3" t="s">
        <v>3130</v>
      </c>
      <c r="B1148" s="3" t="s">
        <v>8548</v>
      </c>
      <c r="C1148" s="3" t="s">
        <v>8549</v>
      </c>
      <c r="G1148" s="9" t="s">
        <v>24</v>
      </c>
      <c r="H1148" s="9"/>
      <c r="I1148" s="9">
        <v>1</v>
      </c>
      <c r="J1148" s="9">
        <v>2</v>
      </c>
      <c r="K1148" s="9" t="s">
        <v>12078</v>
      </c>
      <c r="L1148" s="9" t="s">
        <v>12119</v>
      </c>
      <c r="M1148" s="9"/>
      <c r="N1148" s="10"/>
      <c r="O1148" s="9"/>
      <c r="P1148" s="9">
        <v>11843</v>
      </c>
      <c r="Q1148" s="9"/>
      <c r="R1148" s="9" t="s">
        <v>12795</v>
      </c>
      <c r="S1148" s="9" t="s">
        <v>12795</v>
      </c>
      <c r="T1148" s="9"/>
      <c r="U1148" s="9"/>
      <c r="V1148" s="9"/>
      <c r="W1148" s="9"/>
      <c r="X1148" s="9"/>
      <c r="Y1148" s="9"/>
      <c r="Z1148" s="9"/>
      <c r="AA1148" s="9"/>
      <c r="AB1148" s="9"/>
      <c r="AC1148" s="9"/>
      <c r="AD1148" s="9" t="s">
        <v>19</v>
      </c>
    </row>
    <row r="1149" spans="1:30" ht="29">
      <c r="A1149" s="3" t="s">
        <v>3130</v>
      </c>
      <c r="B1149" s="3" t="s">
        <v>8548</v>
      </c>
      <c r="C1149" s="3" t="s">
        <v>8550</v>
      </c>
      <c r="G1149" s="9" t="s">
        <v>24</v>
      </c>
      <c r="H1149" s="9"/>
      <c r="I1149" s="9">
        <v>1</v>
      </c>
      <c r="J1149" s="9">
        <v>2</v>
      </c>
      <c r="K1149" s="9" t="s">
        <v>12078</v>
      </c>
      <c r="L1149" s="9" t="s">
        <v>12119</v>
      </c>
      <c r="M1149" s="9"/>
      <c r="N1149" s="10"/>
      <c r="O1149" s="9"/>
      <c r="P1149" s="9">
        <v>11843</v>
      </c>
      <c r="Q1149" s="9"/>
      <c r="R1149" s="9" t="s">
        <v>12795</v>
      </c>
      <c r="S1149" s="9" t="s">
        <v>12795</v>
      </c>
      <c r="T1149" s="9"/>
      <c r="U1149" s="9"/>
      <c r="V1149" s="9"/>
      <c r="W1149" s="9"/>
      <c r="X1149" s="9"/>
      <c r="Y1149" s="9"/>
      <c r="Z1149" s="9"/>
      <c r="AA1149" s="9"/>
      <c r="AB1149" s="9"/>
      <c r="AC1149" s="9"/>
      <c r="AD1149" s="9" t="s">
        <v>19</v>
      </c>
    </row>
    <row r="1150" spans="1:30" ht="29">
      <c r="A1150" s="3" t="s">
        <v>3131</v>
      </c>
      <c r="B1150" s="3" t="s">
        <v>8552</v>
      </c>
      <c r="C1150" s="3" t="s">
        <v>8551</v>
      </c>
      <c r="G1150" s="9" t="s">
        <v>24</v>
      </c>
      <c r="H1150" s="9"/>
      <c r="I1150" s="9">
        <v>1</v>
      </c>
      <c r="J1150" s="9">
        <v>2</v>
      </c>
      <c r="K1150" s="9" t="s">
        <v>12123</v>
      </c>
      <c r="L1150" s="9" t="s">
        <v>12119</v>
      </c>
      <c r="M1150" s="9"/>
      <c r="N1150" s="10"/>
      <c r="O1150" s="9"/>
      <c r="P1150" s="9">
        <v>134</v>
      </c>
      <c r="Q1150" s="9"/>
      <c r="R1150" s="9" t="s">
        <v>12795</v>
      </c>
      <c r="S1150" s="9" t="s">
        <v>12795</v>
      </c>
      <c r="T1150" s="9"/>
      <c r="U1150" s="9"/>
      <c r="V1150" s="9"/>
      <c r="W1150" s="9"/>
      <c r="X1150" s="9"/>
      <c r="Y1150" s="9"/>
      <c r="Z1150" s="9"/>
      <c r="AA1150" s="9"/>
      <c r="AB1150" s="9"/>
      <c r="AC1150" s="9"/>
      <c r="AD1150" s="9" t="s">
        <v>19</v>
      </c>
    </row>
    <row r="1151" spans="1:30" ht="29">
      <c r="A1151" s="3" t="s">
        <v>3131</v>
      </c>
      <c r="B1151" s="3" t="s">
        <v>8554</v>
      </c>
      <c r="C1151" s="3" t="s">
        <v>8553</v>
      </c>
      <c r="G1151" s="9" t="s">
        <v>24</v>
      </c>
      <c r="H1151" s="9"/>
      <c r="I1151" s="9">
        <v>1</v>
      </c>
      <c r="J1151" s="9">
        <v>2</v>
      </c>
      <c r="K1151" s="9" t="s">
        <v>12123</v>
      </c>
      <c r="L1151" s="9" t="s">
        <v>12119</v>
      </c>
      <c r="M1151" s="9"/>
      <c r="N1151" s="10"/>
      <c r="O1151" s="9"/>
      <c r="P1151" s="9">
        <v>526</v>
      </c>
      <c r="Q1151" s="9"/>
      <c r="R1151" s="9" t="s">
        <v>12795</v>
      </c>
      <c r="S1151" s="9" t="s">
        <v>12795</v>
      </c>
      <c r="T1151" s="9"/>
      <c r="U1151" s="9"/>
      <c r="V1151" s="9"/>
      <c r="W1151" s="9"/>
      <c r="X1151" s="9"/>
      <c r="Y1151" s="9"/>
      <c r="Z1151" s="9"/>
      <c r="AA1151" s="9"/>
      <c r="AB1151" s="9"/>
      <c r="AC1151" s="9"/>
      <c r="AD1151" s="9" t="s">
        <v>19</v>
      </c>
    </row>
    <row r="1152" spans="1:30" ht="29">
      <c r="A1152" s="3" t="s">
        <v>3134</v>
      </c>
      <c r="B1152" s="3" t="s">
        <v>8558</v>
      </c>
      <c r="C1152" s="3" t="s">
        <v>8559</v>
      </c>
      <c r="G1152" s="9" t="s">
        <v>26</v>
      </c>
      <c r="H1152" s="9"/>
      <c r="I1152" s="9"/>
      <c r="J1152" s="9"/>
      <c r="K1152" s="9"/>
      <c r="L1152" s="9"/>
      <c r="M1152" s="9"/>
      <c r="N1152" s="10"/>
      <c r="O1152" s="9"/>
      <c r="P1152" s="9"/>
      <c r="Q1152" s="9"/>
      <c r="R1152" s="9" t="s">
        <v>12795</v>
      </c>
      <c r="S1152" s="9" t="s">
        <v>12795</v>
      </c>
      <c r="T1152" s="9" t="s">
        <v>12117</v>
      </c>
      <c r="U1152" s="9"/>
      <c r="V1152" s="9"/>
      <c r="W1152" s="9"/>
      <c r="X1152" s="9"/>
      <c r="Y1152" s="9"/>
      <c r="Z1152" s="9"/>
      <c r="AA1152" s="9"/>
      <c r="AB1152" s="9"/>
      <c r="AC1152" s="9"/>
      <c r="AD1152" s="9" t="s">
        <v>20</v>
      </c>
    </row>
    <row r="1153" spans="1:30" ht="29">
      <c r="A1153" s="3" t="s">
        <v>3144</v>
      </c>
      <c r="B1153" s="3" t="s">
        <v>8572</v>
      </c>
      <c r="C1153" s="3" t="s">
        <v>8571</v>
      </c>
      <c r="G1153" s="9" t="s">
        <v>26</v>
      </c>
      <c r="H1153" s="9"/>
      <c r="I1153" s="9"/>
      <c r="J1153" s="9"/>
      <c r="K1153" s="9"/>
      <c r="L1153" s="9"/>
      <c r="M1153" s="9"/>
      <c r="N1153" s="10"/>
      <c r="O1153" s="9"/>
      <c r="P1153" s="9"/>
      <c r="Q1153" s="9"/>
      <c r="R1153" s="9" t="s">
        <v>12795</v>
      </c>
      <c r="S1153" s="9" t="s">
        <v>12795</v>
      </c>
      <c r="T1153" s="9"/>
      <c r="U1153" s="9"/>
      <c r="V1153" s="9"/>
      <c r="W1153" s="9"/>
      <c r="X1153" s="9"/>
      <c r="Y1153" s="9"/>
      <c r="Z1153" s="9"/>
      <c r="AA1153" s="9"/>
      <c r="AB1153" s="9"/>
      <c r="AC1153" s="9"/>
      <c r="AD1153" s="9" t="s">
        <v>20</v>
      </c>
    </row>
    <row r="1154" spans="1:30" ht="29">
      <c r="A1154" s="3" t="s">
        <v>3146</v>
      </c>
      <c r="B1154" s="3" t="s">
        <v>8576</v>
      </c>
      <c r="C1154" s="3" t="s">
        <v>8575</v>
      </c>
      <c r="G1154" s="9" t="s">
        <v>25</v>
      </c>
      <c r="H1154" s="9"/>
      <c r="I1154" s="9">
        <v>2</v>
      </c>
      <c r="J1154" s="9">
        <v>5</v>
      </c>
      <c r="K1154" s="9"/>
      <c r="L1154" s="9" t="s">
        <v>12073</v>
      </c>
      <c r="M1154" s="9" t="s">
        <v>12142</v>
      </c>
      <c r="N1154" s="10" t="s">
        <v>12160</v>
      </c>
      <c r="O1154" s="9"/>
      <c r="P1154" s="9">
        <v>301</v>
      </c>
      <c r="Q1154" s="9"/>
      <c r="R1154" s="9" t="s">
        <v>12795</v>
      </c>
      <c r="S1154" s="9" t="s">
        <v>12795</v>
      </c>
      <c r="T1154" s="9"/>
      <c r="U1154" s="9"/>
      <c r="V1154" s="9"/>
      <c r="W1154" s="9"/>
      <c r="X1154" s="9"/>
      <c r="Y1154" s="9"/>
      <c r="Z1154" s="9"/>
      <c r="AA1154" s="9"/>
      <c r="AB1154" s="9"/>
      <c r="AC1154" s="9"/>
      <c r="AD1154" s="9" t="s">
        <v>20</v>
      </c>
    </row>
    <row r="1155" spans="1:30" ht="29">
      <c r="A1155" s="3" t="s">
        <v>3147</v>
      </c>
      <c r="B1155" s="3" t="s">
        <v>3148</v>
      </c>
      <c r="C1155" s="3" t="s">
        <v>3149</v>
      </c>
      <c r="G1155" s="9" t="s">
        <v>12120</v>
      </c>
      <c r="H1155" s="9"/>
      <c r="I1155" s="9"/>
      <c r="J1155" s="9"/>
      <c r="K1155" s="9"/>
      <c r="L1155" s="9"/>
      <c r="M1155" s="9"/>
      <c r="N1155" s="10"/>
      <c r="O1155" s="9"/>
      <c r="P1155" s="9"/>
      <c r="Q1155" s="9"/>
      <c r="R1155" s="9" t="s">
        <v>12795</v>
      </c>
      <c r="S1155" s="9" t="s">
        <v>12795</v>
      </c>
      <c r="T1155" s="9"/>
      <c r="U1155" s="9"/>
      <c r="V1155" s="9"/>
      <c r="W1155" s="9"/>
      <c r="X1155" s="9"/>
      <c r="Y1155" s="9"/>
      <c r="Z1155" s="9"/>
      <c r="AA1155" s="9"/>
      <c r="AB1155" s="9"/>
      <c r="AC1155" s="9"/>
      <c r="AD1155" s="9" t="s">
        <v>19</v>
      </c>
    </row>
    <row r="1156" spans="1:30" ht="43.5">
      <c r="A1156" s="3" t="s">
        <v>3150</v>
      </c>
      <c r="B1156" s="3" t="s">
        <v>8579</v>
      </c>
      <c r="C1156" s="3" t="s">
        <v>8580</v>
      </c>
      <c r="G1156" s="9" t="s">
        <v>26</v>
      </c>
      <c r="H1156" s="9"/>
      <c r="I1156" s="9"/>
      <c r="J1156" s="9"/>
      <c r="K1156" s="9"/>
      <c r="L1156" s="9"/>
      <c r="M1156" s="9"/>
      <c r="N1156" s="10"/>
      <c r="O1156" s="9"/>
      <c r="P1156" s="9"/>
      <c r="Q1156" s="9"/>
      <c r="R1156" s="9" t="s">
        <v>12795</v>
      </c>
      <c r="S1156" s="9" t="s">
        <v>12795</v>
      </c>
      <c r="T1156" s="9"/>
      <c r="U1156" s="9"/>
      <c r="V1156" s="9"/>
      <c r="W1156" s="9"/>
      <c r="X1156" s="9"/>
      <c r="Y1156" s="9"/>
      <c r="Z1156" s="9"/>
      <c r="AA1156" s="9"/>
      <c r="AB1156" s="9"/>
      <c r="AC1156" s="9"/>
      <c r="AD1156" s="9" t="s">
        <v>20</v>
      </c>
    </row>
    <row r="1157" spans="1:30" ht="29">
      <c r="A1157" s="3" t="s">
        <v>3151</v>
      </c>
      <c r="B1157" s="3" t="s">
        <v>8589</v>
      </c>
      <c r="C1157" s="3" t="s">
        <v>8590</v>
      </c>
      <c r="G1157" s="9" t="s">
        <v>12120</v>
      </c>
      <c r="H1157" s="9"/>
      <c r="I1157" s="9"/>
      <c r="J1157" s="9"/>
      <c r="K1157" s="9"/>
      <c r="L1157" s="9"/>
      <c r="M1157" s="9"/>
      <c r="N1157" s="10"/>
      <c r="O1157" s="9"/>
      <c r="P1157" s="9"/>
      <c r="Q1157" s="9"/>
      <c r="R1157" s="9" t="s">
        <v>12795</v>
      </c>
      <c r="S1157" s="9" t="s">
        <v>12795</v>
      </c>
      <c r="T1157" s="9"/>
      <c r="U1157" s="9"/>
      <c r="V1157" s="9"/>
      <c r="W1157" s="9"/>
      <c r="X1157" s="9"/>
      <c r="Y1157" s="9"/>
      <c r="Z1157" s="9"/>
      <c r="AA1157" s="9"/>
      <c r="AB1157" s="9"/>
      <c r="AC1157" s="9"/>
      <c r="AD1157" s="9" t="s">
        <v>20</v>
      </c>
    </row>
    <row r="1158" spans="1:30" ht="29">
      <c r="A1158" s="3" t="s">
        <v>3153</v>
      </c>
      <c r="B1158" s="3" t="s">
        <v>8593</v>
      </c>
      <c r="C1158" s="3" t="s">
        <v>8594</v>
      </c>
      <c r="G1158" s="9" t="s">
        <v>12120</v>
      </c>
      <c r="H1158" s="9"/>
      <c r="I1158" s="9"/>
      <c r="J1158" s="9"/>
      <c r="K1158" s="9"/>
      <c r="L1158" s="9"/>
      <c r="M1158" s="9"/>
      <c r="N1158" s="10"/>
      <c r="O1158" s="9"/>
      <c r="P1158" s="9"/>
      <c r="Q1158" s="9"/>
      <c r="R1158" s="9" t="s">
        <v>12795</v>
      </c>
      <c r="S1158" s="9" t="s">
        <v>12795</v>
      </c>
      <c r="T1158" s="9"/>
      <c r="U1158" s="9"/>
      <c r="V1158" s="9"/>
      <c r="W1158" s="9"/>
      <c r="X1158" s="9"/>
      <c r="Y1158" s="9"/>
      <c r="Z1158" s="9"/>
      <c r="AA1158" s="9"/>
      <c r="AB1158" s="9"/>
      <c r="AC1158" s="9"/>
      <c r="AD1158" s="9" t="s">
        <v>19</v>
      </c>
    </row>
    <row r="1159" spans="1:30" ht="29">
      <c r="A1159" s="3" t="s">
        <v>3154</v>
      </c>
      <c r="B1159" s="3" t="s">
        <v>8595</v>
      </c>
      <c r="C1159" s="3" t="s">
        <v>8596</v>
      </c>
      <c r="G1159" s="9" t="s">
        <v>12120</v>
      </c>
      <c r="H1159" s="9"/>
      <c r="I1159" s="9"/>
      <c r="J1159" s="9"/>
      <c r="K1159" s="9"/>
      <c r="L1159" s="9"/>
      <c r="M1159" s="9"/>
      <c r="N1159" s="10"/>
      <c r="O1159" s="9"/>
      <c r="P1159" s="9"/>
      <c r="Q1159" s="9"/>
      <c r="R1159" s="9" t="s">
        <v>12795</v>
      </c>
      <c r="S1159" s="9" t="s">
        <v>12795</v>
      </c>
      <c r="T1159" s="9"/>
      <c r="U1159" s="9"/>
      <c r="V1159" s="9"/>
      <c r="W1159" s="9"/>
      <c r="X1159" s="9"/>
      <c r="Y1159" s="9"/>
      <c r="Z1159" s="9"/>
      <c r="AA1159" s="9"/>
      <c r="AB1159" s="9"/>
      <c r="AC1159" s="9"/>
      <c r="AD1159" s="9" t="s">
        <v>19</v>
      </c>
    </row>
    <row r="1160" spans="1:30" ht="29">
      <c r="A1160" s="3" t="s">
        <v>3157</v>
      </c>
      <c r="B1160" s="3" t="s">
        <v>8606</v>
      </c>
      <c r="C1160" s="3" t="s">
        <v>8607</v>
      </c>
      <c r="G1160" s="9" t="s">
        <v>12118</v>
      </c>
      <c r="H1160" s="9"/>
      <c r="I1160" s="9"/>
      <c r="J1160" s="9"/>
      <c r="K1160" s="9"/>
      <c r="L1160" s="9"/>
      <c r="M1160" s="9"/>
      <c r="N1160" s="10"/>
      <c r="O1160" s="9"/>
      <c r="P1160" s="9"/>
      <c r="Q1160" s="9">
        <v>-253</v>
      </c>
      <c r="R1160" s="9">
        <v>277</v>
      </c>
      <c r="S1160" s="9">
        <v>24</v>
      </c>
      <c r="T1160" s="9" t="s">
        <v>12117</v>
      </c>
      <c r="U1160" s="9"/>
      <c r="V1160" s="9"/>
      <c r="W1160" s="9"/>
      <c r="X1160" s="9"/>
      <c r="Y1160" s="9"/>
      <c r="Z1160" s="9"/>
      <c r="AA1160" s="9"/>
      <c r="AB1160" s="9"/>
      <c r="AC1160" s="9"/>
      <c r="AD1160" s="9" t="s">
        <v>19</v>
      </c>
    </row>
    <row r="1161" spans="1:30" ht="29">
      <c r="A1161" s="3" t="s">
        <v>3158</v>
      </c>
      <c r="B1161" s="3" t="s">
        <v>1269</v>
      </c>
      <c r="C1161" s="3" t="s">
        <v>1248</v>
      </c>
      <c r="G1161" s="9" t="s">
        <v>12120</v>
      </c>
      <c r="H1161" s="9"/>
      <c r="I1161" s="9"/>
      <c r="J1161" s="9"/>
      <c r="K1161" s="9"/>
      <c r="L1161" s="9"/>
      <c r="M1161" s="9"/>
      <c r="N1161" s="10"/>
      <c r="O1161" s="9"/>
      <c r="P1161" s="9"/>
      <c r="Q1161" s="9"/>
      <c r="R1161" s="9" t="s">
        <v>12795</v>
      </c>
      <c r="S1161" s="9" t="s">
        <v>12795</v>
      </c>
      <c r="T1161" s="9"/>
      <c r="U1161" s="9"/>
      <c r="V1161" s="9"/>
      <c r="W1161" s="9"/>
      <c r="X1161" s="9"/>
      <c r="Y1161" s="9"/>
      <c r="Z1161" s="9"/>
      <c r="AA1161" s="9"/>
      <c r="AB1161" s="9"/>
      <c r="AC1161" s="9"/>
      <c r="AD1161" s="9" t="s">
        <v>19</v>
      </c>
    </row>
    <row r="1162" spans="1:30" ht="29">
      <c r="A1162" s="3" t="s">
        <v>3158</v>
      </c>
      <c r="B1162" s="3" t="s">
        <v>8608</v>
      </c>
      <c r="C1162" s="3" t="s">
        <v>8609</v>
      </c>
      <c r="G1162" s="9" t="s">
        <v>12120</v>
      </c>
      <c r="H1162" s="9"/>
      <c r="I1162" s="9"/>
      <c r="J1162" s="9"/>
      <c r="K1162" s="9"/>
      <c r="L1162" s="9"/>
      <c r="M1162" s="9"/>
      <c r="N1162" s="10"/>
      <c r="O1162" s="9"/>
      <c r="P1162" s="9"/>
      <c r="Q1162" s="9"/>
      <c r="R1162" s="9" t="s">
        <v>12795</v>
      </c>
      <c r="S1162" s="9" t="s">
        <v>12795</v>
      </c>
      <c r="T1162" s="9"/>
      <c r="U1162" s="9"/>
      <c r="V1162" s="9"/>
      <c r="W1162" s="9"/>
      <c r="X1162" s="9"/>
      <c r="Y1162" s="9"/>
      <c r="Z1162" s="9"/>
      <c r="AA1162" s="9"/>
      <c r="AB1162" s="9"/>
      <c r="AC1162" s="9"/>
      <c r="AD1162" s="9" t="s">
        <v>19</v>
      </c>
    </row>
    <row r="1163" spans="1:30">
      <c r="A1163" s="3" t="s">
        <v>3160</v>
      </c>
      <c r="B1163" s="3" t="s">
        <v>8613</v>
      </c>
      <c r="C1163" s="3" t="s">
        <v>8612</v>
      </c>
      <c r="F1163" t="s">
        <v>19</v>
      </c>
      <c r="G1163" s="9" t="s">
        <v>25</v>
      </c>
      <c r="H1163" s="9"/>
      <c r="I1163" s="9">
        <v>1</v>
      </c>
      <c r="J1163" s="9">
        <v>3</v>
      </c>
      <c r="K1163" s="9" t="s">
        <v>12087</v>
      </c>
      <c r="L1163" s="9" t="s">
        <v>12079</v>
      </c>
      <c r="M1163" s="9"/>
      <c r="N1163" s="10"/>
      <c r="O1163" s="9"/>
      <c r="P1163" s="9">
        <v>356</v>
      </c>
      <c r="Q1163" s="9"/>
      <c r="R1163" s="9" t="s">
        <v>12795</v>
      </c>
      <c r="S1163" s="9" t="s">
        <v>12795</v>
      </c>
      <c r="T1163" s="9"/>
      <c r="U1163" s="9"/>
      <c r="V1163" s="9"/>
      <c r="W1163" s="9"/>
      <c r="X1163" s="9"/>
      <c r="Y1163" s="9"/>
      <c r="Z1163" s="9"/>
      <c r="AA1163" s="9"/>
      <c r="AB1163" s="9"/>
      <c r="AC1163" s="9"/>
      <c r="AD1163" s="9" t="s">
        <v>19</v>
      </c>
    </row>
    <row r="1164" spans="1:30">
      <c r="A1164" s="3" t="s">
        <v>3168</v>
      </c>
      <c r="B1164" s="3" t="s">
        <v>8618</v>
      </c>
      <c r="C1164" s="3" t="s">
        <v>8619</v>
      </c>
      <c r="G1164" s="9" t="s">
        <v>25</v>
      </c>
      <c r="H1164" s="9"/>
      <c r="I1164" s="9">
        <v>1</v>
      </c>
      <c r="J1164" s="9">
        <v>3</v>
      </c>
      <c r="K1164" s="9" t="s">
        <v>12087</v>
      </c>
      <c r="L1164" s="9" t="s">
        <v>12079</v>
      </c>
      <c r="M1164" s="9"/>
      <c r="N1164" s="10"/>
      <c r="O1164" s="9"/>
      <c r="P1164" s="9">
        <v>5676</v>
      </c>
      <c r="Q1164" s="9"/>
      <c r="R1164" s="9" t="s">
        <v>12795</v>
      </c>
      <c r="S1164" s="9" t="s">
        <v>12795</v>
      </c>
      <c r="T1164" s="9"/>
      <c r="U1164" s="9"/>
      <c r="V1164" s="9"/>
      <c r="W1164" s="9"/>
      <c r="X1164" s="9"/>
      <c r="Y1164" s="9"/>
      <c r="Z1164" s="9"/>
      <c r="AA1164" s="9"/>
      <c r="AB1164" s="9"/>
      <c r="AC1164" s="9"/>
      <c r="AD1164" s="9" t="s">
        <v>19</v>
      </c>
    </row>
    <row r="1165" spans="1:30" ht="130.5">
      <c r="A1165" s="3" t="s">
        <v>3172</v>
      </c>
      <c r="B1165" s="3" t="s">
        <v>12449</v>
      </c>
      <c r="C1165" s="3" t="s">
        <v>12448</v>
      </c>
      <c r="G1165" s="9" t="s">
        <v>25</v>
      </c>
      <c r="H1165" s="9"/>
      <c r="I1165" s="9">
        <v>15</v>
      </c>
      <c r="J1165" s="9">
        <v>70</v>
      </c>
      <c r="K1165" s="9"/>
      <c r="L1165" s="9" t="s">
        <v>12073</v>
      </c>
      <c r="M1165" s="9" t="s">
        <v>12140</v>
      </c>
      <c r="N1165" s="10" t="s">
        <v>12450</v>
      </c>
      <c r="O1165" s="9"/>
      <c r="P1165" s="9">
        <v>11</v>
      </c>
      <c r="Q1165" s="9"/>
      <c r="R1165" s="9" t="s">
        <v>12795</v>
      </c>
      <c r="S1165" s="9" t="s">
        <v>12795</v>
      </c>
      <c r="T1165" s="9"/>
      <c r="U1165" s="9"/>
      <c r="V1165" s="9"/>
      <c r="W1165" s="9"/>
      <c r="X1165" s="9"/>
      <c r="Y1165" s="9"/>
      <c r="Z1165" s="9"/>
      <c r="AA1165" s="9"/>
      <c r="AB1165" s="9"/>
      <c r="AC1165" s="9"/>
      <c r="AD1165" s="9" t="s">
        <v>20</v>
      </c>
    </row>
    <row r="1166" spans="1:30" ht="29">
      <c r="A1166" s="3" t="s">
        <v>3179</v>
      </c>
      <c r="B1166" s="3" t="s">
        <v>8627</v>
      </c>
      <c r="C1166" s="3" t="s">
        <v>8628</v>
      </c>
      <c r="G1166" s="9" t="s">
        <v>26</v>
      </c>
      <c r="H1166" s="9"/>
      <c r="I1166" s="9"/>
      <c r="J1166" s="9"/>
      <c r="K1166" s="9"/>
      <c r="L1166" s="9"/>
      <c r="M1166" s="9"/>
      <c r="N1166" s="10"/>
      <c r="O1166" s="9"/>
      <c r="P1166" s="9"/>
      <c r="Q1166" s="9"/>
      <c r="R1166" s="9" t="s">
        <v>12795</v>
      </c>
      <c r="S1166" s="9" t="s">
        <v>12795</v>
      </c>
      <c r="T1166" s="9"/>
      <c r="U1166" s="9"/>
      <c r="V1166" s="9"/>
      <c r="W1166" s="9"/>
      <c r="X1166" s="9"/>
      <c r="Y1166" s="9"/>
      <c r="Z1166" s="9"/>
      <c r="AA1166" s="9"/>
      <c r="AB1166" s="9"/>
      <c r="AC1166" s="9"/>
      <c r="AD1166" s="9" t="s">
        <v>19</v>
      </c>
    </row>
    <row r="1167" spans="1:30" ht="29">
      <c r="A1167" s="3" t="s">
        <v>3183</v>
      </c>
      <c r="B1167" s="3" t="s">
        <v>8637</v>
      </c>
      <c r="C1167" s="3" t="s">
        <v>8638</v>
      </c>
      <c r="G1167" s="9" t="s">
        <v>12118</v>
      </c>
      <c r="H1167" s="9"/>
      <c r="I1167" s="9"/>
      <c r="J1167" s="9"/>
      <c r="K1167" s="9"/>
      <c r="L1167" s="9"/>
      <c r="M1167" s="9"/>
      <c r="N1167" s="10"/>
      <c r="O1167" s="9"/>
      <c r="P1167" s="9"/>
      <c r="Q1167" s="9">
        <v>-190</v>
      </c>
      <c r="R1167" s="9">
        <v>207</v>
      </c>
      <c r="S1167" s="9">
        <v>17</v>
      </c>
      <c r="T1167" s="9"/>
      <c r="U1167" s="9"/>
      <c r="V1167" s="9"/>
      <c r="W1167" s="9"/>
      <c r="X1167" s="9"/>
      <c r="Y1167" s="9"/>
      <c r="Z1167" s="9"/>
      <c r="AA1167" s="9"/>
      <c r="AB1167" s="9"/>
      <c r="AC1167" s="9"/>
      <c r="AD1167" s="9" t="s">
        <v>19</v>
      </c>
    </row>
    <row r="1168" spans="1:30" ht="29">
      <c r="A1168" s="3" t="s">
        <v>3183</v>
      </c>
      <c r="B1168" s="3" t="s">
        <v>8639</v>
      </c>
      <c r="C1168" s="3" t="s">
        <v>8636</v>
      </c>
      <c r="G1168" s="9" t="s">
        <v>25</v>
      </c>
      <c r="H1168" s="9"/>
      <c r="I1168" s="9">
        <v>1</v>
      </c>
      <c r="J1168" s="9">
        <v>1</v>
      </c>
      <c r="K1168" s="9" t="s">
        <v>12078</v>
      </c>
      <c r="L1168" s="9" t="s">
        <v>12119</v>
      </c>
      <c r="M1168" s="9"/>
      <c r="N1168" s="10"/>
      <c r="O1168" s="9"/>
      <c r="P1168" s="9">
        <v>11843</v>
      </c>
      <c r="Q1168" s="9"/>
      <c r="R1168" s="9" t="s">
        <v>12795</v>
      </c>
      <c r="S1168" s="9" t="s">
        <v>12795</v>
      </c>
      <c r="T1168" s="9"/>
      <c r="U1168" s="9"/>
      <c r="V1168" s="9"/>
      <c r="W1168" s="9"/>
      <c r="X1168" s="9"/>
      <c r="Y1168" s="9"/>
      <c r="Z1168" s="9"/>
      <c r="AA1168" s="9"/>
      <c r="AB1168" s="9"/>
      <c r="AC1168" s="9"/>
      <c r="AD1168" s="9" t="s">
        <v>13141</v>
      </c>
    </row>
    <row r="1169" spans="1:30" ht="29">
      <c r="A1169" s="3" t="s">
        <v>3184</v>
      </c>
      <c r="B1169" s="3" t="s">
        <v>8641</v>
      </c>
      <c r="C1169" s="3" t="s">
        <v>8640</v>
      </c>
      <c r="G1169" s="9" t="s">
        <v>24</v>
      </c>
      <c r="H1169" s="9"/>
      <c r="I1169" s="9">
        <v>1</v>
      </c>
      <c r="J1169" s="9">
        <v>2</v>
      </c>
      <c r="K1169" s="9" t="s">
        <v>12078</v>
      </c>
      <c r="L1169" s="9" t="s">
        <v>12119</v>
      </c>
      <c r="M1169" s="9"/>
      <c r="N1169" s="10"/>
      <c r="O1169" s="9"/>
      <c r="P1169" s="9">
        <v>11843</v>
      </c>
      <c r="Q1169" s="9"/>
      <c r="R1169" s="9" t="s">
        <v>12795</v>
      </c>
      <c r="S1169" s="9" t="s">
        <v>12795</v>
      </c>
      <c r="T1169" s="9"/>
      <c r="U1169" s="9"/>
      <c r="V1169" s="9"/>
      <c r="W1169" s="9"/>
      <c r="X1169" s="9"/>
      <c r="Y1169" s="9"/>
      <c r="Z1169" s="9"/>
      <c r="AA1169" s="9"/>
      <c r="AB1169" s="9"/>
      <c r="AC1169" s="9"/>
      <c r="AD1169" s="9" t="s">
        <v>19</v>
      </c>
    </row>
    <row r="1170" spans="1:30" ht="29">
      <c r="A1170" s="3" t="s">
        <v>3187</v>
      </c>
      <c r="B1170" s="3" t="s">
        <v>8643</v>
      </c>
      <c r="C1170" s="3" t="s">
        <v>8642</v>
      </c>
      <c r="G1170" s="9" t="s">
        <v>26</v>
      </c>
      <c r="H1170" s="9"/>
      <c r="I1170" s="9"/>
      <c r="J1170" s="9"/>
      <c r="K1170" s="9"/>
      <c r="L1170" s="9"/>
      <c r="M1170" s="9"/>
      <c r="N1170" s="10"/>
      <c r="O1170" s="9"/>
      <c r="P1170" s="9"/>
      <c r="Q1170" s="9"/>
      <c r="R1170" s="9" t="s">
        <v>12795</v>
      </c>
      <c r="S1170" s="9" t="s">
        <v>12795</v>
      </c>
      <c r="T1170" s="9"/>
      <c r="U1170" s="9"/>
      <c r="V1170" s="9"/>
      <c r="W1170" s="9"/>
      <c r="X1170" s="9"/>
      <c r="Y1170" s="9"/>
      <c r="Z1170" s="9"/>
      <c r="AA1170" s="9"/>
      <c r="AB1170" s="9"/>
      <c r="AC1170" s="9"/>
      <c r="AD1170" s="9" t="s">
        <v>19</v>
      </c>
    </row>
    <row r="1171" spans="1:30" ht="29">
      <c r="A1171" s="3" t="s">
        <v>3189</v>
      </c>
      <c r="B1171" s="3" t="s">
        <v>8646</v>
      </c>
      <c r="C1171" s="3" t="s">
        <v>8648</v>
      </c>
      <c r="G1171" s="9" t="s">
        <v>12120</v>
      </c>
      <c r="H1171" s="9"/>
      <c r="I1171" s="9"/>
      <c r="J1171" s="9"/>
      <c r="K1171" s="9"/>
      <c r="L1171" s="9"/>
      <c r="M1171" s="9"/>
      <c r="N1171" s="10"/>
      <c r="O1171" s="9"/>
      <c r="P1171" s="9"/>
      <c r="Q1171" s="9"/>
      <c r="R1171" s="9" t="s">
        <v>12795</v>
      </c>
      <c r="S1171" s="9" t="s">
        <v>12795</v>
      </c>
      <c r="T1171" s="9" t="s">
        <v>12117</v>
      </c>
      <c r="U1171" s="9"/>
      <c r="V1171" s="9"/>
      <c r="W1171" s="9"/>
      <c r="X1171" s="9"/>
      <c r="Y1171" s="9"/>
      <c r="Z1171" s="9"/>
      <c r="AA1171" s="9"/>
      <c r="AB1171" s="9"/>
      <c r="AC1171" s="9"/>
      <c r="AD1171" s="9" t="s">
        <v>19</v>
      </c>
    </row>
    <row r="1172" spans="1:30" ht="29">
      <c r="A1172" s="3" t="s">
        <v>3191</v>
      </c>
      <c r="B1172" s="3" t="s">
        <v>8652</v>
      </c>
      <c r="C1172" s="3" t="s">
        <v>8653</v>
      </c>
      <c r="G1172" s="9" t="s">
        <v>26</v>
      </c>
      <c r="H1172" s="9"/>
      <c r="I1172" s="9"/>
      <c r="J1172" s="9"/>
      <c r="K1172" s="9"/>
      <c r="L1172" s="9"/>
      <c r="M1172" s="9"/>
      <c r="N1172" s="10"/>
      <c r="O1172" s="9"/>
      <c r="P1172" s="9"/>
      <c r="Q1172" s="9"/>
      <c r="R1172" s="9" t="s">
        <v>12795</v>
      </c>
      <c r="S1172" s="9" t="s">
        <v>12795</v>
      </c>
      <c r="T1172" s="9"/>
      <c r="U1172" s="9"/>
      <c r="V1172" s="9"/>
      <c r="W1172" s="9"/>
      <c r="X1172" s="9"/>
      <c r="Y1172" s="9"/>
      <c r="Z1172" s="9"/>
      <c r="AA1172" s="9"/>
      <c r="AB1172" s="9"/>
      <c r="AC1172" s="9"/>
      <c r="AD1172" s="9" t="s">
        <v>20</v>
      </c>
    </row>
    <row r="1173" spans="1:30" ht="29">
      <c r="A1173" s="3" t="s">
        <v>3191</v>
      </c>
      <c r="B1173" s="3" t="s">
        <v>8654</v>
      </c>
      <c r="C1173" s="3" t="s">
        <v>8655</v>
      </c>
      <c r="G1173" s="9" t="s">
        <v>12120</v>
      </c>
      <c r="H1173" s="9"/>
      <c r="I1173" s="9"/>
      <c r="J1173" s="9"/>
      <c r="K1173" s="9"/>
      <c r="L1173" s="9"/>
      <c r="M1173" s="9"/>
      <c r="N1173" s="10"/>
      <c r="O1173" s="9"/>
      <c r="P1173" s="9"/>
      <c r="Q1173" s="9"/>
      <c r="R1173" s="9" t="s">
        <v>12795</v>
      </c>
      <c r="S1173" s="9" t="s">
        <v>12795</v>
      </c>
      <c r="T1173" s="9"/>
      <c r="U1173" s="9"/>
      <c r="V1173" s="9"/>
      <c r="W1173" s="9"/>
      <c r="X1173" s="9"/>
      <c r="Y1173" s="9"/>
      <c r="Z1173" s="9"/>
      <c r="AA1173" s="9"/>
      <c r="AB1173" s="9"/>
      <c r="AC1173" s="9"/>
      <c r="AD1173" s="9" t="s">
        <v>19</v>
      </c>
    </row>
    <row r="1174" spans="1:30" ht="29">
      <c r="A1174" s="3" t="s">
        <v>3195</v>
      </c>
      <c r="B1174" s="3" t="s">
        <v>8657</v>
      </c>
      <c r="C1174" s="3" t="s">
        <v>8656</v>
      </c>
      <c r="G1174" s="9" t="s">
        <v>25</v>
      </c>
      <c r="H1174" s="9"/>
      <c r="I1174" s="9">
        <v>1</v>
      </c>
      <c r="J1174" s="9">
        <v>5</v>
      </c>
      <c r="K1174" s="9" t="s">
        <v>12094</v>
      </c>
      <c r="L1174" s="9" t="s">
        <v>12079</v>
      </c>
      <c r="M1174" s="9"/>
      <c r="N1174" s="10"/>
      <c r="O1174" s="9"/>
      <c r="P1174" s="9">
        <v>4240</v>
      </c>
      <c r="Q1174" s="9"/>
      <c r="R1174" s="9" t="s">
        <v>12795</v>
      </c>
      <c r="S1174" s="9" t="s">
        <v>12795</v>
      </c>
      <c r="T1174" s="9"/>
      <c r="U1174" s="9"/>
      <c r="V1174" s="9"/>
      <c r="W1174" s="9"/>
      <c r="X1174" s="9"/>
      <c r="Y1174" s="9"/>
      <c r="Z1174" s="9"/>
      <c r="AA1174" s="9"/>
      <c r="AB1174" s="9"/>
      <c r="AC1174" s="9"/>
      <c r="AD1174" s="9" t="s">
        <v>20</v>
      </c>
    </row>
    <row r="1175" spans="1:30" ht="29">
      <c r="A1175" s="3" t="s">
        <v>3195</v>
      </c>
      <c r="B1175" s="3" t="s">
        <v>8660</v>
      </c>
      <c r="C1175" s="3" t="s">
        <v>8661</v>
      </c>
      <c r="G1175" s="9" t="s">
        <v>26</v>
      </c>
      <c r="H1175" s="9"/>
      <c r="I1175" s="9"/>
      <c r="J1175" s="9"/>
      <c r="K1175" s="9"/>
      <c r="L1175" s="9"/>
      <c r="M1175" s="9"/>
      <c r="N1175" s="10"/>
      <c r="O1175" s="9"/>
      <c r="P1175" s="9"/>
      <c r="Q1175" s="9"/>
      <c r="R1175" s="9" t="s">
        <v>12795</v>
      </c>
      <c r="S1175" s="9" t="s">
        <v>12795</v>
      </c>
      <c r="T1175" s="9"/>
      <c r="U1175" s="9"/>
      <c r="V1175" s="9"/>
      <c r="W1175" s="9"/>
      <c r="X1175" s="9"/>
      <c r="Y1175" s="9"/>
      <c r="Z1175" s="9"/>
      <c r="AA1175" s="9"/>
      <c r="AB1175" s="9"/>
      <c r="AC1175" s="9"/>
      <c r="AD1175" s="9" t="s">
        <v>19</v>
      </c>
    </row>
    <row r="1176" spans="1:30" ht="29">
      <c r="A1176" s="3" t="s">
        <v>3195</v>
      </c>
      <c r="B1176" s="3" t="s">
        <v>8662</v>
      </c>
      <c r="C1176" s="3" t="s">
        <v>8663</v>
      </c>
      <c r="G1176" s="9" t="s">
        <v>12118</v>
      </c>
      <c r="H1176" s="9"/>
      <c r="I1176" s="9"/>
      <c r="J1176" s="9"/>
      <c r="K1176" s="9"/>
      <c r="L1176" s="9"/>
      <c r="M1176" s="9"/>
      <c r="N1176" s="10"/>
      <c r="O1176" s="9"/>
      <c r="P1176" s="9"/>
      <c r="Q1176" s="9">
        <v>50</v>
      </c>
      <c r="R1176" s="9">
        <v>37</v>
      </c>
      <c r="S1176" s="9">
        <v>87</v>
      </c>
      <c r="T1176" s="9"/>
      <c r="U1176" s="9"/>
      <c r="V1176" s="9"/>
      <c r="W1176" s="9"/>
      <c r="X1176" s="9"/>
      <c r="Y1176" s="9"/>
      <c r="Z1176" s="9"/>
      <c r="AA1176" s="9"/>
      <c r="AB1176" s="9"/>
      <c r="AC1176" s="9"/>
      <c r="AD1176" s="9" t="s">
        <v>20</v>
      </c>
    </row>
    <row r="1177" spans="1:30" ht="29">
      <c r="A1177" s="3" t="s">
        <v>3202</v>
      </c>
      <c r="B1177" s="3" t="s">
        <v>8678</v>
      </c>
      <c r="C1177" s="3" t="s">
        <v>8679</v>
      </c>
      <c r="G1177" s="9" t="s">
        <v>12120</v>
      </c>
      <c r="H1177" s="9"/>
      <c r="I1177" s="9"/>
      <c r="J1177" s="9"/>
      <c r="K1177" s="9"/>
      <c r="L1177" s="9"/>
      <c r="M1177" s="9"/>
      <c r="N1177" s="10"/>
      <c r="O1177" s="9"/>
      <c r="P1177" s="9"/>
      <c r="Q1177" s="9"/>
      <c r="R1177" s="9" t="s">
        <v>12795</v>
      </c>
      <c r="S1177" s="9" t="s">
        <v>12795</v>
      </c>
      <c r="T1177" s="9"/>
      <c r="U1177" s="9"/>
      <c r="V1177" s="9"/>
      <c r="W1177" s="9"/>
      <c r="X1177" s="9"/>
      <c r="Y1177" s="9"/>
      <c r="Z1177" s="9"/>
      <c r="AA1177" s="9"/>
      <c r="AB1177" s="9"/>
      <c r="AC1177" s="9"/>
      <c r="AD1177" s="9" t="s">
        <v>20</v>
      </c>
    </row>
    <row r="1178" spans="1:30" ht="29">
      <c r="A1178" s="3" t="s">
        <v>3202</v>
      </c>
      <c r="B1178" s="3" t="s">
        <v>8677</v>
      </c>
      <c r="C1178" s="3" t="s">
        <v>8680</v>
      </c>
      <c r="G1178" s="9" t="s">
        <v>24</v>
      </c>
      <c r="H1178" s="9"/>
      <c r="I1178" s="9">
        <v>1</v>
      </c>
      <c r="J1178" s="9">
        <v>5</v>
      </c>
      <c r="K1178" s="9" t="s">
        <v>12094</v>
      </c>
      <c r="L1178" s="9" t="s">
        <v>12079</v>
      </c>
      <c r="M1178" s="9"/>
      <c r="N1178" s="10"/>
      <c r="O1178" s="9"/>
      <c r="P1178" s="9">
        <v>4240</v>
      </c>
      <c r="Q1178" s="9"/>
      <c r="R1178" s="9" t="s">
        <v>12795</v>
      </c>
      <c r="S1178" s="9" t="s">
        <v>12795</v>
      </c>
      <c r="T1178" s="9"/>
      <c r="U1178" s="9"/>
      <c r="V1178" s="9"/>
      <c r="W1178" s="9"/>
      <c r="X1178" s="9"/>
      <c r="Y1178" s="9"/>
      <c r="Z1178" s="9"/>
      <c r="AA1178" s="9"/>
      <c r="AB1178" s="9"/>
      <c r="AC1178" s="9"/>
      <c r="AD1178" s="9" t="s">
        <v>19</v>
      </c>
    </row>
    <row r="1179" spans="1:30">
      <c r="A1179" s="3" t="s">
        <v>3209</v>
      </c>
      <c r="B1179" s="3" t="s">
        <v>8684</v>
      </c>
      <c r="C1179" s="3" t="s">
        <v>8683</v>
      </c>
      <c r="G1179" s="9" t="s">
        <v>24</v>
      </c>
      <c r="H1179" s="9"/>
      <c r="I1179" s="9">
        <v>1</v>
      </c>
      <c r="J1179" s="9">
        <v>2</v>
      </c>
      <c r="K1179" s="9" t="s">
        <v>12094</v>
      </c>
      <c r="L1179" s="9" t="s">
        <v>12119</v>
      </c>
      <c r="M1179" s="9"/>
      <c r="N1179" s="10"/>
      <c r="O1179" s="9"/>
      <c r="P1179" s="9">
        <v>301</v>
      </c>
      <c r="Q1179" s="9"/>
      <c r="R1179" s="9" t="s">
        <v>12795</v>
      </c>
      <c r="S1179" s="9" t="s">
        <v>12795</v>
      </c>
      <c r="T1179" s="9"/>
      <c r="U1179" s="9"/>
      <c r="V1179" s="9"/>
      <c r="W1179" s="9"/>
      <c r="X1179" s="9"/>
      <c r="Y1179" s="9"/>
      <c r="Z1179" s="9"/>
      <c r="AA1179" s="9"/>
      <c r="AB1179" s="9"/>
      <c r="AC1179" s="9"/>
      <c r="AD1179" s="9" t="s">
        <v>19</v>
      </c>
    </row>
    <row r="1180" spans="1:30" ht="29">
      <c r="A1180" s="3" t="s">
        <v>3213</v>
      </c>
      <c r="B1180" s="3" t="s">
        <v>8690</v>
      </c>
      <c r="C1180" s="3" t="s">
        <v>8689</v>
      </c>
      <c r="G1180" s="9" t="s">
        <v>12118</v>
      </c>
      <c r="H1180" s="9"/>
      <c r="I1180" s="9"/>
      <c r="J1180" s="9"/>
      <c r="K1180" s="9"/>
      <c r="L1180" s="9"/>
      <c r="M1180" s="9"/>
      <c r="N1180" s="10"/>
      <c r="O1180" s="9"/>
      <c r="P1180" s="9"/>
      <c r="Q1180" s="9">
        <v>-188</v>
      </c>
      <c r="R1180" s="9">
        <v>207</v>
      </c>
      <c r="S1180" s="9">
        <v>19</v>
      </c>
      <c r="T1180" s="9"/>
      <c r="U1180" s="9"/>
      <c r="V1180" s="9"/>
      <c r="W1180" s="9"/>
      <c r="X1180" s="9"/>
      <c r="Y1180" s="9"/>
      <c r="Z1180" s="9"/>
      <c r="AA1180" s="9"/>
      <c r="AB1180" s="9"/>
      <c r="AC1180" s="9"/>
      <c r="AD1180" s="9" t="s">
        <v>19</v>
      </c>
    </row>
    <row r="1181" spans="1:30" ht="29">
      <c r="A1181" s="3" t="s">
        <v>3214</v>
      </c>
      <c r="B1181" s="3" t="s">
        <v>8691</v>
      </c>
      <c r="C1181" s="3" t="s">
        <v>8692</v>
      </c>
      <c r="G1181" s="9" t="s">
        <v>25</v>
      </c>
      <c r="H1181" s="9"/>
      <c r="I1181" s="9">
        <v>1</v>
      </c>
      <c r="J1181" s="9">
        <v>2</v>
      </c>
      <c r="K1181" s="9" t="s">
        <v>12087</v>
      </c>
      <c r="L1181" s="9" t="s">
        <v>12119</v>
      </c>
      <c r="M1181" s="9"/>
      <c r="N1181" s="10"/>
      <c r="O1181" s="9"/>
      <c r="P1181" s="9">
        <v>1966</v>
      </c>
      <c r="Q1181" s="9"/>
      <c r="R1181" s="9" t="s">
        <v>12795</v>
      </c>
      <c r="S1181" s="9" t="s">
        <v>12795</v>
      </c>
      <c r="T1181" s="9"/>
      <c r="U1181" s="9"/>
      <c r="V1181" s="9"/>
      <c r="W1181" s="9"/>
      <c r="X1181" s="9"/>
      <c r="Y1181" s="9"/>
      <c r="Z1181" s="9"/>
      <c r="AA1181" s="9"/>
      <c r="AB1181" s="9"/>
      <c r="AC1181" s="9"/>
      <c r="AD1181" s="9" t="s">
        <v>19</v>
      </c>
    </row>
    <row r="1182" spans="1:30" ht="29">
      <c r="A1182" s="3" t="s">
        <v>3215</v>
      </c>
      <c r="B1182" s="3" t="s">
        <v>8693</v>
      </c>
      <c r="C1182" s="3" t="s">
        <v>8694</v>
      </c>
      <c r="G1182" s="9" t="s">
        <v>25</v>
      </c>
      <c r="H1182" s="9"/>
      <c r="I1182" s="9">
        <v>1</v>
      </c>
      <c r="J1182" s="9">
        <v>3</v>
      </c>
      <c r="K1182" s="9" t="s">
        <v>12087</v>
      </c>
      <c r="L1182" s="9" t="s">
        <v>12079</v>
      </c>
      <c r="M1182" s="9"/>
      <c r="N1182" s="10"/>
      <c r="O1182" s="9"/>
      <c r="P1182" s="9">
        <v>810</v>
      </c>
      <c r="Q1182" s="9"/>
      <c r="R1182" s="9" t="s">
        <v>12795</v>
      </c>
      <c r="S1182" s="9" t="s">
        <v>12795</v>
      </c>
      <c r="T1182" s="9"/>
      <c r="U1182" s="9"/>
      <c r="V1182" s="9"/>
      <c r="W1182" s="9"/>
      <c r="X1182" s="9"/>
      <c r="Y1182" s="9"/>
      <c r="Z1182" s="9"/>
      <c r="AA1182" s="9"/>
      <c r="AB1182" s="9"/>
      <c r="AC1182" s="9"/>
      <c r="AD1182" s="9" t="s">
        <v>20</v>
      </c>
    </row>
    <row r="1183" spans="1:30" ht="29">
      <c r="A1183" s="3" t="s">
        <v>3216</v>
      </c>
      <c r="B1183" s="3" t="s">
        <v>8695</v>
      </c>
      <c r="C1183" s="3" t="s">
        <v>8696</v>
      </c>
      <c r="G1183" s="9" t="s">
        <v>25</v>
      </c>
      <c r="H1183" s="9"/>
      <c r="I1183" s="9">
        <v>2</v>
      </c>
      <c r="J1183" s="9">
        <v>15</v>
      </c>
      <c r="K1183" s="9"/>
      <c r="L1183" s="9" t="s">
        <v>12079</v>
      </c>
      <c r="M1183" s="9"/>
      <c r="N1183" s="10"/>
      <c r="O1183" s="9"/>
      <c r="P1183" s="9">
        <v>10</v>
      </c>
      <c r="Q1183" s="9"/>
      <c r="R1183" s="9" t="s">
        <v>12795</v>
      </c>
      <c r="S1183" s="9" t="s">
        <v>12795</v>
      </c>
      <c r="T1183" s="9"/>
      <c r="U1183" s="9"/>
      <c r="V1183" s="9"/>
      <c r="W1183" s="9"/>
      <c r="X1183" s="9"/>
      <c r="Y1183" s="9"/>
      <c r="Z1183" s="9"/>
      <c r="AA1183" s="9"/>
      <c r="AB1183" s="9"/>
      <c r="AC1183" s="9"/>
      <c r="AD1183" s="9" t="s">
        <v>19</v>
      </c>
    </row>
    <row r="1184" spans="1:30" ht="29">
      <c r="A1184" s="3" t="s">
        <v>3217</v>
      </c>
      <c r="B1184" s="3" t="s">
        <v>8699</v>
      </c>
      <c r="C1184" s="3" t="s">
        <v>8700</v>
      </c>
      <c r="G1184" s="9" t="s">
        <v>12118</v>
      </c>
      <c r="H1184" s="9"/>
      <c r="I1184" s="9"/>
      <c r="J1184" s="9"/>
      <c r="K1184" s="9"/>
      <c r="L1184" s="9"/>
      <c r="M1184" s="9"/>
      <c r="N1184" s="10"/>
      <c r="O1184" s="9"/>
      <c r="P1184" s="9"/>
      <c r="Q1184" s="9">
        <v>18</v>
      </c>
      <c r="R1184" s="9">
        <v>19</v>
      </c>
      <c r="S1184" s="9">
        <v>37</v>
      </c>
      <c r="T1184" s="9"/>
      <c r="U1184" s="9"/>
      <c r="V1184" s="9"/>
      <c r="W1184" s="9"/>
      <c r="X1184" s="9"/>
      <c r="Y1184" s="9"/>
      <c r="Z1184" s="9"/>
      <c r="AA1184" s="9"/>
      <c r="AB1184" s="9"/>
      <c r="AC1184" s="9"/>
      <c r="AD1184" s="9" t="s">
        <v>20</v>
      </c>
    </row>
    <row r="1185" spans="1:30" ht="29">
      <c r="A1185" s="3" t="s">
        <v>3218</v>
      </c>
      <c r="B1185" s="3" t="s">
        <v>8701</v>
      </c>
      <c r="C1185" s="3" t="s">
        <v>8702</v>
      </c>
      <c r="G1185" s="9" t="s">
        <v>12118</v>
      </c>
      <c r="H1185" s="9"/>
      <c r="I1185" s="9"/>
      <c r="J1185" s="9"/>
      <c r="K1185" s="9"/>
      <c r="L1185" s="9"/>
      <c r="M1185" s="9"/>
      <c r="N1185" s="10"/>
      <c r="O1185" s="9"/>
      <c r="P1185" s="9"/>
      <c r="Q1185" s="9">
        <v>188</v>
      </c>
      <c r="R1185" s="9">
        <v>19</v>
      </c>
      <c r="S1185" s="9">
        <v>207</v>
      </c>
      <c r="T1185" s="9"/>
      <c r="U1185" s="9"/>
      <c r="V1185" s="9"/>
      <c r="W1185" s="9"/>
      <c r="X1185" s="9"/>
      <c r="Y1185" s="9"/>
      <c r="Z1185" s="9"/>
      <c r="AA1185" s="9"/>
      <c r="AB1185" s="9"/>
      <c r="AC1185" s="9"/>
      <c r="AD1185" s="9" t="s">
        <v>19</v>
      </c>
    </row>
    <row r="1186" spans="1:30" ht="29">
      <c r="A1186" s="3" t="s">
        <v>3219</v>
      </c>
      <c r="B1186" s="3" t="s">
        <v>8703</v>
      </c>
      <c r="C1186" s="3" t="s">
        <v>8704</v>
      </c>
      <c r="G1186" s="9" t="s">
        <v>24</v>
      </c>
      <c r="H1186" s="9"/>
      <c r="I1186" s="9">
        <v>2</v>
      </c>
      <c r="J1186" s="9">
        <v>7</v>
      </c>
      <c r="K1186" s="9"/>
      <c r="L1186" s="9" t="s">
        <v>12073</v>
      </c>
      <c r="M1186" s="9" t="s">
        <v>12142</v>
      </c>
      <c r="N1186" s="10" t="s">
        <v>12156</v>
      </c>
      <c r="O1186" s="9" t="s">
        <v>12074</v>
      </c>
      <c r="P1186" s="9">
        <v>1496</v>
      </c>
      <c r="Q1186" s="9"/>
      <c r="R1186" s="9" t="s">
        <v>12795</v>
      </c>
      <c r="S1186" s="9" t="s">
        <v>12795</v>
      </c>
      <c r="T1186" s="9"/>
      <c r="U1186" s="9"/>
      <c r="V1186" s="9"/>
      <c r="W1186" s="9"/>
      <c r="X1186" s="9"/>
      <c r="Y1186" s="9"/>
      <c r="Z1186" s="9"/>
      <c r="AA1186" s="9"/>
      <c r="AB1186" s="9"/>
      <c r="AC1186" s="9"/>
      <c r="AD1186" s="9" t="s">
        <v>20</v>
      </c>
    </row>
    <row r="1187" spans="1:30" ht="29">
      <c r="A1187" s="3" t="s">
        <v>3220</v>
      </c>
      <c r="B1187" s="3" t="s">
        <v>8707</v>
      </c>
      <c r="C1187" s="3" t="s">
        <v>8708</v>
      </c>
      <c r="G1187" s="9" t="s">
        <v>12121</v>
      </c>
      <c r="H1187" s="9"/>
      <c r="I1187" s="9"/>
      <c r="J1187" s="9"/>
      <c r="K1187" s="9"/>
      <c r="L1187" s="9"/>
      <c r="M1187" s="9"/>
      <c r="N1187" s="10"/>
      <c r="O1187" s="9"/>
      <c r="P1187" s="9"/>
      <c r="Q1187" s="9">
        <v>146</v>
      </c>
      <c r="R1187" s="9">
        <v>103</v>
      </c>
      <c r="S1187" s="9">
        <v>249</v>
      </c>
      <c r="T1187" s="9"/>
      <c r="U1187" s="9"/>
      <c r="V1187" s="9"/>
      <c r="W1187" s="9"/>
      <c r="X1187" s="9"/>
      <c r="Y1187" s="9"/>
      <c r="Z1187" s="9"/>
      <c r="AA1187" s="9"/>
      <c r="AB1187" s="9"/>
      <c r="AC1187" s="9"/>
      <c r="AD1187" s="9" t="s">
        <v>20</v>
      </c>
    </row>
    <row r="1188" spans="1:30" ht="29">
      <c r="A1188" s="3" t="s">
        <v>3225</v>
      </c>
      <c r="B1188" s="3" t="s">
        <v>8717</v>
      </c>
      <c r="C1188" s="3" t="s">
        <v>8718</v>
      </c>
      <c r="G1188" s="9" t="s">
        <v>12120</v>
      </c>
      <c r="H1188" s="9"/>
      <c r="I1188" s="9"/>
      <c r="J1188" s="9"/>
      <c r="K1188" s="9"/>
      <c r="L1188" s="9"/>
      <c r="M1188" s="9"/>
      <c r="N1188" s="10"/>
      <c r="O1188" s="9"/>
      <c r="P1188" s="9"/>
      <c r="Q1188" s="9"/>
      <c r="R1188" s="9" t="s">
        <v>12795</v>
      </c>
      <c r="S1188" s="9" t="s">
        <v>12795</v>
      </c>
      <c r="T1188" s="9"/>
      <c r="U1188" s="9"/>
      <c r="V1188" s="9"/>
      <c r="W1188" s="9"/>
      <c r="X1188" s="9"/>
      <c r="Y1188" s="9"/>
      <c r="Z1188" s="9"/>
      <c r="AA1188" s="9"/>
      <c r="AB1188" s="9"/>
      <c r="AC1188" s="9"/>
      <c r="AD1188" s="9" t="s">
        <v>20</v>
      </c>
    </row>
    <row r="1189" spans="1:30" ht="29">
      <c r="A1189" s="3" t="s">
        <v>3225</v>
      </c>
      <c r="B1189" s="3" t="s">
        <v>8716</v>
      </c>
      <c r="C1189" s="3" t="s">
        <v>8719</v>
      </c>
      <c r="G1189" s="9" t="s">
        <v>24</v>
      </c>
      <c r="H1189" s="9"/>
      <c r="I1189" s="9">
        <v>2</v>
      </c>
      <c r="J1189" s="9">
        <v>5</v>
      </c>
      <c r="K1189" s="9"/>
      <c r="L1189" s="9" t="s">
        <v>12079</v>
      </c>
      <c r="M1189" s="9"/>
      <c r="N1189" s="10"/>
      <c r="O1189" s="9"/>
      <c r="P1189" s="9">
        <v>1101</v>
      </c>
      <c r="Q1189" s="9"/>
      <c r="R1189" s="9" t="s">
        <v>12795</v>
      </c>
      <c r="S1189" s="9" t="s">
        <v>12795</v>
      </c>
      <c r="T1189" s="9"/>
      <c r="U1189" s="9"/>
      <c r="V1189" s="9"/>
      <c r="W1189" s="9"/>
      <c r="X1189" s="9"/>
      <c r="Y1189" s="9"/>
      <c r="Z1189" s="9"/>
      <c r="AA1189" s="9"/>
      <c r="AB1189" s="9"/>
      <c r="AC1189" s="9"/>
      <c r="AD1189" s="9" t="s">
        <v>19</v>
      </c>
    </row>
    <row r="1190" spans="1:30" ht="29">
      <c r="A1190" s="3" t="s">
        <v>3229</v>
      </c>
      <c r="B1190" s="3" t="s">
        <v>8721</v>
      </c>
      <c r="C1190" s="3" t="s">
        <v>8720</v>
      </c>
      <c r="G1190" s="9" t="s">
        <v>25</v>
      </c>
      <c r="H1190" s="9"/>
      <c r="I1190" s="9">
        <v>2</v>
      </c>
      <c r="J1190" s="9">
        <v>9</v>
      </c>
      <c r="K1190" s="9"/>
      <c r="L1190" s="9" t="s">
        <v>12079</v>
      </c>
      <c r="M1190" s="9"/>
      <c r="N1190" s="10"/>
      <c r="O1190" s="9"/>
      <c r="P1190" s="9">
        <v>61</v>
      </c>
      <c r="Q1190" s="9"/>
      <c r="R1190" s="9" t="s">
        <v>12795</v>
      </c>
      <c r="S1190" s="9" t="s">
        <v>12795</v>
      </c>
      <c r="T1190" s="9"/>
      <c r="U1190" s="9"/>
      <c r="V1190" s="9"/>
      <c r="W1190" s="9"/>
      <c r="X1190" s="9"/>
      <c r="Y1190" s="9"/>
      <c r="Z1190" s="9"/>
      <c r="AA1190" s="9"/>
      <c r="AB1190" s="9"/>
      <c r="AC1190" s="9"/>
      <c r="AD1190" s="9" t="s">
        <v>20</v>
      </c>
    </row>
    <row r="1191" spans="1:30" ht="29">
      <c r="A1191" s="3" t="s">
        <v>3231</v>
      </c>
      <c r="B1191" s="3" t="s">
        <v>8728</v>
      </c>
      <c r="C1191" s="3" t="s">
        <v>8727</v>
      </c>
      <c r="G1191" s="9" t="s">
        <v>25</v>
      </c>
      <c r="H1191" s="9"/>
      <c r="I1191" s="9">
        <v>2</v>
      </c>
      <c r="J1191" s="9">
        <v>5</v>
      </c>
      <c r="K1191" s="9"/>
      <c r="L1191" s="9" t="s">
        <v>12079</v>
      </c>
      <c r="M1191" s="9"/>
      <c r="N1191" s="10"/>
      <c r="O1191" s="9"/>
      <c r="P1191" s="9">
        <v>472</v>
      </c>
      <c r="Q1191" s="9"/>
      <c r="R1191" s="9" t="s">
        <v>12795</v>
      </c>
      <c r="S1191" s="9" t="s">
        <v>12795</v>
      </c>
      <c r="T1191" s="9"/>
      <c r="U1191" s="9"/>
      <c r="V1191" s="9"/>
      <c r="W1191" s="9"/>
      <c r="X1191" s="9"/>
      <c r="Y1191" s="9"/>
      <c r="Z1191" s="9"/>
      <c r="AA1191" s="9"/>
      <c r="AB1191" s="9"/>
      <c r="AC1191" s="9"/>
      <c r="AD1191" s="9" t="s">
        <v>20</v>
      </c>
    </row>
    <row r="1192" spans="1:30" ht="29">
      <c r="A1192" s="3" t="s">
        <v>3233</v>
      </c>
      <c r="B1192" s="3" t="s">
        <v>8733</v>
      </c>
      <c r="C1192" s="3" t="s">
        <v>8732</v>
      </c>
      <c r="G1192" s="9" t="s">
        <v>12120</v>
      </c>
      <c r="H1192" s="9"/>
      <c r="I1192" s="9"/>
      <c r="J1192" s="9"/>
      <c r="K1192" s="9"/>
      <c r="L1192" s="9"/>
      <c r="M1192" s="9"/>
      <c r="N1192" s="10"/>
      <c r="O1192" s="9"/>
      <c r="P1192" s="9"/>
      <c r="Q1192" s="9"/>
      <c r="R1192" s="9" t="s">
        <v>12795</v>
      </c>
      <c r="S1192" s="9" t="s">
        <v>12795</v>
      </c>
      <c r="T1192" s="9"/>
      <c r="U1192" s="9"/>
      <c r="V1192" s="9"/>
      <c r="W1192" s="9"/>
      <c r="X1192" s="9"/>
      <c r="Y1192" s="9"/>
      <c r="Z1192" s="9"/>
      <c r="AA1192" s="9"/>
      <c r="AB1192" s="9"/>
      <c r="AC1192" s="9"/>
      <c r="AD1192" s="9" t="s">
        <v>19</v>
      </c>
    </row>
    <row r="1193" spans="1:30" ht="29">
      <c r="A1193" s="3" t="s">
        <v>3239</v>
      </c>
      <c r="B1193" s="3" t="s">
        <v>8741</v>
      </c>
      <c r="C1193" s="3" t="s">
        <v>8740</v>
      </c>
      <c r="G1193" s="9" t="s">
        <v>24</v>
      </c>
      <c r="H1193" s="9"/>
      <c r="I1193" s="9">
        <v>1</v>
      </c>
      <c r="J1193" s="9">
        <v>3</v>
      </c>
      <c r="K1193" s="9" t="s">
        <v>12084</v>
      </c>
      <c r="L1193" s="9" t="s">
        <v>12079</v>
      </c>
      <c r="M1193" s="9"/>
      <c r="N1193" s="10"/>
      <c r="O1193" s="9"/>
      <c r="P1193" s="9">
        <v>52</v>
      </c>
      <c r="Q1193" s="9"/>
      <c r="R1193" s="9" t="s">
        <v>12795</v>
      </c>
      <c r="S1193" s="9" t="s">
        <v>12795</v>
      </c>
      <c r="T1193" s="9"/>
      <c r="U1193" s="9"/>
      <c r="V1193" s="9"/>
      <c r="W1193" s="9"/>
      <c r="X1193" s="9"/>
      <c r="Y1193" s="9"/>
      <c r="Z1193" s="9"/>
      <c r="AA1193" s="9"/>
      <c r="AB1193" s="9"/>
      <c r="AC1193" s="9"/>
      <c r="AD1193" s="9" t="s">
        <v>19</v>
      </c>
    </row>
    <row r="1194" spans="1:30" ht="29">
      <c r="A1194" s="3" t="s">
        <v>3240</v>
      </c>
      <c r="B1194" s="3" t="s">
        <v>8742</v>
      </c>
      <c r="C1194" s="3" t="s">
        <v>8743</v>
      </c>
      <c r="G1194" s="9" t="s">
        <v>25</v>
      </c>
      <c r="H1194" s="9"/>
      <c r="I1194" s="9">
        <v>1</v>
      </c>
      <c r="J1194" s="9">
        <v>5</v>
      </c>
      <c r="K1194" s="9" t="s">
        <v>12092</v>
      </c>
      <c r="L1194" s="9" t="s">
        <v>12079</v>
      </c>
      <c r="M1194" s="9"/>
      <c r="N1194" s="10"/>
      <c r="O1194" s="9"/>
      <c r="P1194" s="9">
        <v>308</v>
      </c>
      <c r="Q1194" s="9"/>
      <c r="R1194" s="9" t="s">
        <v>12795</v>
      </c>
      <c r="S1194" s="9" t="s">
        <v>12795</v>
      </c>
      <c r="T1194" s="9" t="s">
        <v>12117</v>
      </c>
      <c r="U1194" s="9"/>
      <c r="V1194" s="9"/>
      <c r="W1194" s="9"/>
      <c r="X1194" s="9"/>
      <c r="Y1194" s="9"/>
      <c r="Z1194" s="9"/>
      <c r="AA1194" s="9"/>
      <c r="AB1194" s="9"/>
      <c r="AC1194" s="9"/>
      <c r="AD1194" s="9" t="s">
        <v>19</v>
      </c>
    </row>
    <row r="1195" spans="1:30" ht="29">
      <c r="A1195" s="3" t="s">
        <v>3243</v>
      </c>
      <c r="B1195" s="3" t="s">
        <v>8745</v>
      </c>
      <c r="C1195" s="3" t="s">
        <v>8744</v>
      </c>
      <c r="G1195" s="9" t="s">
        <v>24</v>
      </c>
      <c r="H1195" s="9"/>
      <c r="I1195" s="9">
        <v>1</v>
      </c>
      <c r="J1195" s="9">
        <v>5</v>
      </c>
      <c r="K1195" s="9" t="s">
        <v>12092</v>
      </c>
      <c r="L1195" s="9" t="s">
        <v>12079</v>
      </c>
      <c r="M1195" s="9"/>
      <c r="N1195" s="10"/>
      <c r="O1195" s="9"/>
      <c r="P1195" s="9">
        <v>308</v>
      </c>
      <c r="Q1195" s="9"/>
      <c r="R1195" s="9" t="s">
        <v>12795</v>
      </c>
      <c r="S1195" s="9" t="s">
        <v>12795</v>
      </c>
      <c r="T1195" s="9"/>
      <c r="U1195" s="9"/>
      <c r="V1195" s="9"/>
      <c r="W1195" s="9"/>
      <c r="X1195" s="9"/>
      <c r="Y1195" s="9"/>
      <c r="Z1195" s="9"/>
      <c r="AA1195" s="9"/>
      <c r="AB1195" s="9"/>
      <c r="AC1195" s="9"/>
      <c r="AD1195" s="9" t="s">
        <v>20</v>
      </c>
    </row>
    <row r="1196" spans="1:30" ht="29">
      <c r="A1196" s="3" t="s">
        <v>3243</v>
      </c>
      <c r="B1196" s="3" t="s">
        <v>8747</v>
      </c>
      <c r="C1196" s="3" t="s">
        <v>8746</v>
      </c>
      <c r="G1196" s="9" t="s">
        <v>12118</v>
      </c>
      <c r="H1196" s="9"/>
      <c r="I1196" s="9"/>
      <c r="J1196" s="9"/>
      <c r="K1196" s="9"/>
      <c r="L1196" s="9"/>
      <c r="M1196" s="9"/>
      <c r="N1196" s="10"/>
      <c r="O1196" s="9"/>
      <c r="P1196" s="9"/>
      <c r="Q1196" s="9">
        <v>-560</v>
      </c>
      <c r="R1196" s="9">
        <v>591</v>
      </c>
      <c r="S1196" s="9">
        <v>31</v>
      </c>
      <c r="T1196" s="9"/>
      <c r="U1196" s="9"/>
      <c r="V1196" s="9"/>
      <c r="W1196" s="9"/>
      <c r="X1196" s="9"/>
      <c r="Y1196" s="9"/>
      <c r="Z1196" s="9"/>
      <c r="AA1196" s="9"/>
      <c r="AB1196" s="9"/>
      <c r="AC1196" s="9"/>
      <c r="AD1196" s="9" t="s">
        <v>20</v>
      </c>
    </row>
    <row r="1197" spans="1:30" ht="29">
      <c r="A1197" s="3" t="s">
        <v>3244</v>
      </c>
      <c r="B1197" s="3" t="s">
        <v>8749</v>
      </c>
      <c r="C1197" s="3" t="s">
        <v>8748</v>
      </c>
      <c r="G1197" s="9" t="s">
        <v>25</v>
      </c>
      <c r="H1197" s="9"/>
      <c r="I1197" s="9">
        <v>1</v>
      </c>
      <c r="J1197" s="9">
        <v>2</v>
      </c>
      <c r="K1197" s="9" t="s">
        <v>12096</v>
      </c>
      <c r="L1197" s="9" t="s">
        <v>12119</v>
      </c>
      <c r="M1197" s="9"/>
      <c r="N1197" s="10"/>
      <c r="O1197" s="9"/>
      <c r="P1197" s="9">
        <v>1294</v>
      </c>
      <c r="Q1197" s="9"/>
      <c r="R1197" s="9" t="s">
        <v>12795</v>
      </c>
      <c r="S1197" s="9" t="s">
        <v>12795</v>
      </c>
      <c r="T1197" s="9" t="s">
        <v>12117</v>
      </c>
      <c r="U1197" s="9"/>
      <c r="V1197" s="9"/>
      <c r="W1197" s="9"/>
      <c r="X1197" s="9"/>
      <c r="Y1197" s="9"/>
      <c r="Z1197" s="9"/>
      <c r="AA1197" s="9"/>
      <c r="AB1197" s="9"/>
      <c r="AC1197" s="9"/>
      <c r="AD1197" s="9" t="s">
        <v>20</v>
      </c>
    </row>
    <row r="1198" spans="1:30" ht="29">
      <c r="A1198" s="3" t="s">
        <v>3245</v>
      </c>
      <c r="B1198" s="3" t="s">
        <v>8751</v>
      </c>
      <c r="C1198" s="3" t="s">
        <v>8750</v>
      </c>
      <c r="G1198" s="9" t="s">
        <v>12118</v>
      </c>
      <c r="H1198" s="9"/>
      <c r="I1198" s="9"/>
      <c r="J1198" s="9"/>
      <c r="K1198" s="9"/>
      <c r="L1198" s="9"/>
      <c r="M1198" s="9"/>
      <c r="N1198" s="10"/>
      <c r="O1198" s="9"/>
      <c r="P1198" s="9"/>
      <c r="Q1198" s="9">
        <v>-1610</v>
      </c>
      <c r="R1198" s="9">
        <v>1966</v>
      </c>
      <c r="S1198" s="9">
        <v>356</v>
      </c>
      <c r="T1198" s="9"/>
      <c r="U1198" s="9"/>
      <c r="V1198" s="9"/>
      <c r="W1198" s="9"/>
      <c r="X1198" s="9"/>
      <c r="Y1198" s="9"/>
      <c r="Z1198" s="9"/>
      <c r="AA1198" s="9"/>
      <c r="AB1198" s="9"/>
      <c r="AC1198" s="9"/>
      <c r="AD1198" s="9" t="s">
        <v>19</v>
      </c>
    </row>
    <row r="1199" spans="1:30" ht="29">
      <c r="A1199" s="3" t="s">
        <v>3246</v>
      </c>
      <c r="B1199" s="3" t="s">
        <v>8753</v>
      </c>
      <c r="C1199" s="3" t="s">
        <v>8752</v>
      </c>
      <c r="G1199" s="9" t="s">
        <v>25</v>
      </c>
      <c r="H1199" s="9"/>
      <c r="I1199" s="9">
        <v>1</v>
      </c>
      <c r="J1199" s="9">
        <v>5</v>
      </c>
      <c r="K1199" s="9" t="s">
        <v>12125</v>
      </c>
      <c r="L1199" s="9" t="s">
        <v>12079</v>
      </c>
      <c r="M1199" s="9"/>
      <c r="N1199" s="10"/>
      <c r="O1199" s="9"/>
      <c r="P1199" s="9">
        <v>1565</v>
      </c>
      <c r="Q1199" s="9"/>
      <c r="R1199" s="9" t="s">
        <v>12795</v>
      </c>
      <c r="S1199" s="9" t="s">
        <v>12795</v>
      </c>
      <c r="T1199" s="9"/>
      <c r="U1199" s="9"/>
      <c r="V1199" s="9"/>
      <c r="W1199" s="9"/>
      <c r="X1199" s="9"/>
      <c r="Y1199" s="9"/>
      <c r="Z1199" s="9"/>
      <c r="AA1199" s="9"/>
      <c r="AB1199" s="9"/>
      <c r="AC1199" s="9"/>
      <c r="AD1199" s="9" t="s">
        <v>20</v>
      </c>
    </row>
    <row r="1200" spans="1:30" ht="29">
      <c r="A1200" s="3" t="s">
        <v>3246</v>
      </c>
      <c r="B1200" s="3" t="s">
        <v>8754</v>
      </c>
      <c r="C1200" s="3" t="s">
        <v>8755</v>
      </c>
      <c r="G1200" s="9" t="s">
        <v>12118</v>
      </c>
      <c r="H1200" s="9"/>
      <c r="I1200" s="9"/>
      <c r="J1200" s="9"/>
      <c r="K1200" s="9"/>
      <c r="L1200" s="9"/>
      <c r="M1200" s="9"/>
      <c r="N1200" s="10"/>
      <c r="O1200" s="9"/>
      <c r="P1200" s="9"/>
      <c r="Q1200" s="9">
        <v>4080</v>
      </c>
      <c r="R1200" s="9">
        <v>160</v>
      </c>
      <c r="S1200" s="9">
        <v>4240</v>
      </c>
      <c r="T1200" s="9"/>
      <c r="U1200" s="9"/>
      <c r="V1200" s="9"/>
      <c r="W1200" s="9"/>
      <c r="X1200" s="9"/>
      <c r="Y1200" s="9"/>
      <c r="Z1200" s="9"/>
      <c r="AA1200" s="9"/>
      <c r="AB1200" s="9"/>
      <c r="AC1200" s="9"/>
      <c r="AD1200" s="9" t="s">
        <v>20</v>
      </c>
    </row>
    <row r="1201" spans="1:30" ht="43.5">
      <c r="A1201" s="3" t="s">
        <v>3247</v>
      </c>
      <c r="B1201" s="3" t="s">
        <v>8757</v>
      </c>
      <c r="C1201" s="3" t="s">
        <v>8756</v>
      </c>
      <c r="G1201" s="9" t="s">
        <v>25</v>
      </c>
      <c r="H1201" s="9"/>
      <c r="I1201" s="9">
        <v>1</v>
      </c>
      <c r="J1201" s="9">
        <v>1</v>
      </c>
      <c r="K1201" s="9" t="s">
        <v>12078</v>
      </c>
      <c r="L1201" s="9" t="s">
        <v>12119</v>
      </c>
      <c r="M1201" s="9"/>
      <c r="N1201" s="10"/>
      <c r="O1201" s="9"/>
      <c r="P1201" s="9">
        <v>11843</v>
      </c>
      <c r="Q1201" s="9"/>
      <c r="R1201" s="9" t="s">
        <v>12795</v>
      </c>
      <c r="S1201" s="9" t="s">
        <v>12795</v>
      </c>
      <c r="T1201" s="9" t="s">
        <v>12117</v>
      </c>
      <c r="U1201" s="9"/>
      <c r="V1201" s="9"/>
      <c r="W1201" s="9"/>
      <c r="X1201" s="9"/>
      <c r="Y1201" s="9"/>
      <c r="Z1201" s="9"/>
      <c r="AA1201" s="9"/>
      <c r="AB1201" s="9"/>
      <c r="AC1201" s="9"/>
      <c r="AD1201" s="9" t="s">
        <v>20</v>
      </c>
    </row>
    <row r="1202" spans="1:30" ht="29">
      <c r="A1202" s="3" t="s">
        <v>3248</v>
      </c>
      <c r="B1202" s="3" t="s">
        <v>8763</v>
      </c>
      <c r="C1202" s="3" t="s">
        <v>8762</v>
      </c>
      <c r="G1202" s="9" t="s">
        <v>26</v>
      </c>
      <c r="H1202" s="9"/>
      <c r="I1202" s="9"/>
      <c r="J1202" s="9"/>
      <c r="K1202" s="9"/>
      <c r="L1202" s="9"/>
      <c r="M1202" s="9"/>
      <c r="N1202" s="10"/>
      <c r="O1202" s="9"/>
      <c r="P1202" s="9"/>
      <c r="Q1202" s="9"/>
      <c r="R1202" s="9" t="s">
        <v>12795</v>
      </c>
      <c r="S1202" s="9" t="s">
        <v>12795</v>
      </c>
      <c r="T1202" s="9"/>
      <c r="U1202" s="9"/>
      <c r="V1202" s="9"/>
      <c r="W1202" s="9"/>
      <c r="X1202" s="9"/>
      <c r="Y1202" s="9"/>
      <c r="Z1202" s="9"/>
      <c r="AA1202" s="9"/>
      <c r="AB1202" s="9"/>
      <c r="AC1202" s="9"/>
      <c r="AD1202" s="9" t="s">
        <v>19</v>
      </c>
    </row>
    <row r="1203" spans="1:30" ht="58">
      <c r="A1203" s="3" t="s">
        <v>3249</v>
      </c>
      <c r="B1203" s="3" t="s">
        <v>8765</v>
      </c>
      <c r="C1203" s="3" t="s">
        <v>8764</v>
      </c>
      <c r="G1203" s="9" t="s">
        <v>24</v>
      </c>
      <c r="H1203" s="9"/>
      <c r="I1203" s="9">
        <v>2</v>
      </c>
      <c r="J1203" s="9">
        <v>12</v>
      </c>
      <c r="K1203" s="9"/>
      <c r="L1203" s="9" t="s">
        <v>12079</v>
      </c>
      <c r="M1203" s="9"/>
      <c r="N1203" s="10"/>
      <c r="O1203" s="9" t="s">
        <v>12080</v>
      </c>
      <c r="P1203" s="9">
        <v>42</v>
      </c>
      <c r="Q1203" s="9"/>
      <c r="R1203" s="9" t="s">
        <v>12795</v>
      </c>
      <c r="S1203" s="9" t="s">
        <v>12795</v>
      </c>
      <c r="T1203" s="9"/>
      <c r="U1203" s="9"/>
      <c r="V1203" s="9"/>
      <c r="W1203" s="9"/>
      <c r="X1203" s="9"/>
      <c r="Y1203" s="9"/>
      <c r="Z1203" s="9"/>
      <c r="AA1203" s="9"/>
      <c r="AB1203" s="9"/>
      <c r="AC1203" s="9"/>
      <c r="AD1203" s="9" t="s">
        <v>20</v>
      </c>
    </row>
    <row r="1204" spans="1:30" ht="43.5">
      <c r="A1204" s="3" t="s">
        <v>3250</v>
      </c>
      <c r="B1204" s="3" t="s">
        <v>8766</v>
      </c>
      <c r="C1204" s="3" t="s">
        <v>8767</v>
      </c>
      <c r="G1204" s="9" t="s">
        <v>26</v>
      </c>
      <c r="H1204" s="9"/>
      <c r="I1204" s="9"/>
      <c r="J1204" s="9"/>
      <c r="K1204" s="9"/>
      <c r="L1204" s="9"/>
      <c r="M1204" s="9"/>
      <c r="N1204" s="10"/>
      <c r="O1204" s="9"/>
      <c r="P1204" s="9"/>
      <c r="Q1204" s="9"/>
      <c r="R1204" s="9" t="s">
        <v>12795</v>
      </c>
      <c r="S1204" s="9" t="s">
        <v>12795</v>
      </c>
      <c r="T1204" s="9"/>
      <c r="U1204" s="9"/>
      <c r="V1204" s="9"/>
      <c r="W1204" s="9"/>
      <c r="X1204" s="9"/>
      <c r="Y1204" s="9"/>
      <c r="Z1204" s="9"/>
      <c r="AA1204" s="9"/>
      <c r="AB1204" s="9"/>
      <c r="AC1204" s="9"/>
      <c r="AD1204" s="9" t="s">
        <v>20</v>
      </c>
    </row>
    <row r="1205" spans="1:30" ht="29">
      <c r="A1205" s="3" t="s">
        <v>3254</v>
      </c>
      <c r="B1205" s="3" t="s">
        <v>8768</v>
      </c>
      <c r="C1205" s="3" t="s">
        <v>8769</v>
      </c>
      <c r="G1205" s="9" t="s">
        <v>26</v>
      </c>
      <c r="H1205" s="9"/>
      <c r="I1205" s="9"/>
      <c r="J1205" s="9"/>
      <c r="K1205" s="9"/>
      <c r="L1205" s="9"/>
      <c r="M1205" s="9"/>
      <c r="N1205" s="10"/>
      <c r="O1205" s="9"/>
      <c r="P1205" s="9"/>
      <c r="Q1205" s="9"/>
      <c r="R1205" s="9" t="s">
        <v>12795</v>
      </c>
      <c r="S1205" s="9" t="s">
        <v>12795</v>
      </c>
      <c r="T1205" s="9"/>
      <c r="U1205" s="9"/>
      <c r="V1205" s="9"/>
      <c r="W1205" s="9"/>
      <c r="X1205" s="9"/>
      <c r="Y1205" s="9"/>
      <c r="Z1205" s="9"/>
      <c r="AA1205" s="9"/>
      <c r="AB1205" s="9"/>
      <c r="AC1205" s="9"/>
      <c r="AD1205" s="9" t="s">
        <v>20</v>
      </c>
    </row>
    <row r="1206" spans="1:30" ht="29">
      <c r="A1206" s="3" t="s">
        <v>3255</v>
      </c>
      <c r="B1206" s="3" t="s">
        <v>8775</v>
      </c>
      <c r="C1206" s="3" t="s">
        <v>8774</v>
      </c>
      <c r="G1206" s="9" t="s">
        <v>26</v>
      </c>
      <c r="H1206" s="9"/>
      <c r="I1206" s="9"/>
      <c r="J1206" s="9"/>
      <c r="K1206" s="9"/>
      <c r="L1206" s="9"/>
      <c r="M1206" s="9"/>
      <c r="N1206" s="10"/>
      <c r="O1206" s="9"/>
      <c r="P1206" s="9"/>
      <c r="Q1206" s="9"/>
      <c r="R1206" s="9" t="s">
        <v>12795</v>
      </c>
      <c r="S1206" s="9" t="s">
        <v>12795</v>
      </c>
      <c r="T1206" s="9" t="s">
        <v>4</v>
      </c>
      <c r="U1206" s="9"/>
      <c r="V1206" s="9"/>
      <c r="W1206" s="9"/>
      <c r="X1206" s="9"/>
      <c r="Y1206" s="9"/>
      <c r="Z1206" s="9"/>
      <c r="AA1206" s="9"/>
      <c r="AB1206" s="9"/>
      <c r="AC1206" s="9"/>
      <c r="AD1206" s="9" t="s">
        <v>20</v>
      </c>
    </row>
    <row r="1207" spans="1:30" ht="29">
      <c r="A1207" s="3" t="s">
        <v>3255</v>
      </c>
      <c r="B1207" s="3" t="s">
        <v>8777</v>
      </c>
      <c r="C1207" s="3" t="s">
        <v>8776</v>
      </c>
      <c r="F1207" t="s">
        <v>19</v>
      </c>
      <c r="G1207" s="9" t="s">
        <v>25</v>
      </c>
      <c r="H1207" s="9"/>
      <c r="I1207" s="9">
        <v>2</v>
      </c>
      <c r="J1207" s="9">
        <v>4</v>
      </c>
      <c r="K1207" s="9"/>
      <c r="L1207" s="9" t="s">
        <v>12079</v>
      </c>
      <c r="M1207" s="9"/>
      <c r="N1207" s="10"/>
      <c r="O1207" s="9"/>
      <c r="P1207" s="9">
        <v>635</v>
      </c>
      <c r="Q1207" s="9"/>
      <c r="R1207" s="9" t="s">
        <v>12795</v>
      </c>
      <c r="S1207" s="9" t="s">
        <v>12795</v>
      </c>
      <c r="T1207" s="9"/>
      <c r="U1207" s="9"/>
      <c r="V1207" s="9"/>
      <c r="W1207" s="9"/>
      <c r="X1207" s="9"/>
      <c r="Y1207" s="9"/>
      <c r="Z1207" s="9"/>
      <c r="AA1207" s="9"/>
      <c r="AB1207" s="9"/>
      <c r="AC1207" s="9"/>
      <c r="AD1207" s="9" t="s">
        <v>20</v>
      </c>
    </row>
    <row r="1208" spans="1:30" ht="29">
      <c r="A1208" s="3" t="s">
        <v>3255</v>
      </c>
      <c r="B1208" s="3" t="s">
        <v>8778</v>
      </c>
      <c r="C1208" s="3" t="s">
        <v>12453</v>
      </c>
      <c r="G1208" s="9" t="s">
        <v>12120</v>
      </c>
      <c r="H1208" s="9"/>
      <c r="I1208" s="9"/>
      <c r="J1208" s="9"/>
      <c r="K1208" s="9"/>
      <c r="L1208" s="9"/>
      <c r="M1208" s="9"/>
      <c r="N1208" s="10"/>
      <c r="O1208" s="9"/>
      <c r="P1208" s="9"/>
      <c r="Q1208" s="9"/>
      <c r="R1208" s="9" t="s">
        <v>12795</v>
      </c>
      <c r="S1208" s="9" t="s">
        <v>12795</v>
      </c>
      <c r="T1208" s="9"/>
      <c r="U1208" s="9"/>
      <c r="V1208" s="9"/>
      <c r="W1208" s="9"/>
      <c r="X1208" s="9"/>
      <c r="Y1208" s="9"/>
      <c r="Z1208" s="9"/>
      <c r="AA1208" s="9"/>
      <c r="AB1208" s="9"/>
      <c r="AC1208" s="9"/>
      <c r="AD1208" s="9" t="s">
        <v>19</v>
      </c>
    </row>
    <row r="1209" spans="1:30" ht="29">
      <c r="A1209" s="3" t="s">
        <v>3256</v>
      </c>
      <c r="B1209" s="3" t="s">
        <v>8780</v>
      </c>
      <c r="C1209" s="3" t="s">
        <v>8779</v>
      </c>
      <c r="G1209" s="9" t="s">
        <v>24</v>
      </c>
      <c r="H1209" s="9"/>
      <c r="I1209" s="9">
        <v>1</v>
      </c>
      <c r="J1209" s="9">
        <v>3</v>
      </c>
      <c r="K1209" s="9" t="s">
        <v>12094</v>
      </c>
      <c r="L1209" s="9" t="s">
        <v>12079</v>
      </c>
      <c r="M1209" s="9"/>
      <c r="N1209" s="10"/>
      <c r="O1209" s="9"/>
      <c r="P1209" s="9">
        <v>1496</v>
      </c>
      <c r="Q1209" s="9"/>
      <c r="R1209" s="9" t="s">
        <v>12795</v>
      </c>
      <c r="S1209" s="9" t="s">
        <v>12795</v>
      </c>
      <c r="T1209" s="9"/>
      <c r="U1209" s="9"/>
      <c r="V1209" s="9"/>
      <c r="W1209" s="9"/>
      <c r="X1209" s="9"/>
      <c r="Y1209" s="9"/>
      <c r="Z1209" s="9"/>
      <c r="AA1209" s="9"/>
      <c r="AB1209" s="9"/>
      <c r="AC1209" s="9"/>
      <c r="AD1209" s="9" t="s">
        <v>19</v>
      </c>
    </row>
    <row r="1210" spans="1:30" ht="29">
      <c r="A1210" s="3" t="s">
        <v>3258</v>
      </c>
      <c r="B1210" s="3" t="s">
        <v>8783</v>
      </c>
      <c r="C1210" s="3" t="s">
        <v>8784</v>
      </c>
      <c r="G1210" s="9" t="s">
        <v>25</v>
      </c>
      <c r="H1210" s="9"/>
      <c r="I1210" s="9">
        <v>1</v>
      </c>
      <c r="J1210" s="9">
        <v>4</v>
      </c>
      <c r="K1210" s="9" t="s">
        <v>12094</v>
      </c>
      <c r="L1210" s="9" t="s">
        <v>12079</v>
      </c>
      <c r="M1210" s="9"/>
      <c r="N1210" s="10"/>
      <c r="O1210" s="9"/>
      <c r="P1210" s="9">
        <v>4240</v>
      </c>
      <c r="Q1210" s="9"/>
      <c r="R1210" s="9" t="s">
        <v>12795</v>
      </c>
      <c r="S1210" s="9" t="s">
        <v>12795</v>
      </c>
      <c r="T1210" s="9"/>
      <c r="U1210" s="9"/>
      <c r="V1210" s="9"/>
      <c r="W1210" s="9"/>
      <c r="X1210" s="9"/>
      <c r="Y1210" s="9"/>
      <c r="Z1210" s="9"/>
      <c r="AA1210" s="9"/>
      <c r="AB1210" s="9"/>
      <c r="AC1210" s="9"/>
      <c r="AD1210" s="9" t="s">
        <v>20</v>
      </c>
    </row>
    <row r="1211" spans="1:30" ht="29">
      <c r="A1211" s="3" t="s">
        <v>3259</v>
      </c>
      <c r="B1211" s="3" t="s">
        <v>8786</v>
      </c>
      <c r="C1211" s="3" t="s">
        <v>8785</v>
      </c>
      <c r="G1211" s="9" t="s">
        <v>25</v>
      </c>
      <c r="H1211" s="9"/>
      <c r="I1211" s="9">
        <v>1</v>
      </c>
      <c r="J1211" s="9">
        <v>2</v>
      </c>
      <c r="K1211" s="9" t="s">
        <v>12094</v>
      </c>
      <c r="L1211" s="9" t="s">
        <v>12119</v>
      </c>
      <c r="M1211" s="9"/>
      <c r="N1211" s="10"/>
      <c r="O1211" s="9"/>
      <c r="P1211" s="9">
        <v>1741</v>
      </c>
      <c r="Q1211" s="9"/>
      <c r="R1211" s="9" t="s">
        <v>12795</v>
      </c>
      <c r="S1211" s="9" t="s">
        <v>12795</v>
      </c>
      <c r="T1211" s="9"/>
      <c r="U1211" s="9"/>
      <c r="V1211" s="9"/>
      <c r="W1211" s="9"/>
      <c r="X1211" s="9"/>
      <c r="Y1211" s="9"/>
      <c r="Z1211" s="9"/>
      <c r="AA1211" s="9"/>
      <c r="AB1211" s="9"/>
      <c r="AC1211" s="9"/>
      <c r="AD1211" s="9" t="s">
        <v>19</v>
      </c>
    </row>
    <row r="1212" spans="1:30" ht="43.5">
      <c r="A1212" s="3" t="s">
        <v>3259</v>
      </c>
      <c r="B1212" s="3" t="s">
        <v>8787</v>
      </c>
      <c r="C1212" s="3" t="s">
        <v>8789</v>
      </c>
      <c r="G1212" s="9" t="s">
        <v>24</v>
      </c>
      <c r="H1212" s="9"/>
      <c r="I1212" s="9">
        <v>2</v>
      </c>
      <c r="J1212" s="9">
        <v>9</v>
      </c>
      <c r="K1212" s="9"/>
      <c r="L1212" s="9" t="s">
        <v>12079</v>
      </c>
      <c r="M1212" s="9"/>
      <c r="N1212" s="10"/>
      <c r="O1212" s="9"/>
      <c r="P1212" s="9">
        <v>47</v>
      </c>
      <c r="Q1212" s="9"/>
      <c r="R1212" s="9" t="s">
        <v>12795</v>
      </c>
      <c r="S1212" s="9" t="s">
        <v>12795</v>
      </c>
      <c r="T1212" s="9"/>
      <c r="U1212" s="9"/>
      <c r="V1212" s="9"/>
      <c r="W1212" s="9"/>
      <c r="X1212" s="9"/>
      <c r="Y1212" s="9"/>
      <c r="Z1212" s="9"/>
      <c r="AA1212" s="9"/>
      <c r="AB1212" s="9"/>
      <c r="AC1212" s="9"/>
      <c r="AD1212" s="9" t="s">
        <v>19</v>
      </c>
    </row>
    <row r="1213" spans="1:30" ht="43.5">
      <c r="A1213" s="3" t="s">
        <v>3260</v>
      </c>
      <c r="B1213" s="3" t="s">
        <v>8790</v>
      </c>
      <c r="C1213" s="3" t="s">
        <v>8788</v>
      </c>
      <c r="G1213" s="9" t="s">
        <v>25</v>
      </c>
      <c r="H1213" s="9"/>
      <c r="I1213" s="9">
        <v>2</v>
      </c>
      <c r="J1213" s="9">
        <v>4</v>
      </c>
      <c r="K1213" s="9"/>
      <c r="L1213" s="9" t="s">
        <v>12079</v>
      </c>
      <c r="M1213" s="9"/>
      <c r="N1213" s="10"/>
      <c r="O1213" s="9"/>
      <c r="P1213" s="9">
        <v>635</v>
      </c>
      <c r="Q1213" s="9"/>
      <c r="R1213" s="9" t="s">
        <v>12795</v>
      </c>
      <c r="S1213" s="9" t="s">
        <v>12795</v>
      </c>
      <c r="T1213" s="9"/>
      <c r="U1213" s="9"/>
      <c r="V1213" s="9"/>
      <c r="W1213" s="9"/>
      <c r="X1213" s="9"/>
      <c r="Y1213" s="9"/>
      <c r="Z1213" s="9"/>
      <c r="AA1213" s="9"/>
      <c r="AB1213" s="9"/>
      <c r="AC1213" s="9"/>
      <c r="AD1213" s="9" t="s">
        <v>20</v>
      </c>
    </row>
    <row r="1214" spans="1:30" ht="43.5">
      <c r="A1214" s="3" t="s">
        <v>3260</v>
      </c>
      <c r="B1214" s="3" t="s">
        <v>8793</v>
      </c>
      <c r="C1214" s="3" t="s">
        <v>8794</v>
      </c>
      <c r="G1214" s="9" t="s">
        <v>12120</v>
      </c>
      <c r="H1214" s="9"/>
      <c r="I1214" s="9"/>
      <c r="J1214" s="9"/>
      <c r="K1214" s="9"/>
      <c r="L1214" s="9"/>
      <c r="M1214" s="9"/>
      <c r="N1214" s="10"/>
      <c r="O1214" s="9"/>
      <c r="P1214" s="9"/>
      <c r="Q1214" s="9"/>
      <c r="R1214" s="9" t="s">
        <v>12795</v>
      </c>
      <c r="S1214" s="9" t="s">
        <v>12795</v>
      </c>
      <c r="T1214" s="9"/>
      <c r="U1214" s="9"/>
      <c r="V1214" s="9"/>
      <c r="W1214" s="9"/>
      <c r="X1214" s="9"/>
      <c r="Y1214" s="9"/>
      <c r="Z1214" s="9"/>
      <c r="AA1214" s="9"/>
      <c r="AB1214" s="9"/>
      <c r="AC1214" s="9"/>
      <c r="AD1214" s="9" t="s">
        <v>20</v>
      </c>
    </row>
    <row r="1215" spans="1:30">
      <c r="A1215" s="3" t="s">
        <v>3262</v>
      </c>
      <c r="B1215" s="3" t="s">
        <v>8798</v>
      </c>
      <c r="C1215" s="3" t="s">
        <v>8797</v>
      </c>
      <c r="G1215" s="9" t="s">
        <v>12118</v>
      </c>
      <c r="H1215" s="9"/>
      <c r="I1215" s="9"/>
      <c r="J1215" s="9"/>
      <c r="K1215" s="9"/>
      <c r="L1215" s="9"/>
      <c r="M1215" s="9"/>
      <c r="N1215" s="10"/>
      <c r="O1215" s="9"/>
      <c r="P1215" s="9"/>
      <c r="Q1215" s="9">
        <v>-22</v>
      </c>
      <c r="R1215" s="9">
        <v>61</v>
      </c>
      <c r="S1215" s="9">
        <v>39</v>
      </c>
      <c r="T1215" s="9"/>
      <c r="U1215" s="9"/>
      <c r="V1215" s="9"/>
      <c r="W1215" s="9"/>
      <c r="X1215" s="9"/>
      <c r="Y1215" s="9"/>
      <c r="Z1215" s="9"/>
      <c r="AA1215" s="9"/>
      <c r="AB1215" s="9"/>
      <c r="AC1215" s="9"/>
      <c r="AD1215" s="9" t="s">
        <v>19</v>
      </c>
    </row>
    <row r="1216" spans="1:30">
      <c r="A1216" s="3" t="s">
        <v>3262</v>
      </c>
      <c r="B1216" s="3" t="s">
        <v>8800</v>
      </c>
      <c r="C1216" s="3" t="s">
        <v>8799</v>
      </c>
      <c r="G1216" s="9" t="s">
        <v>24</v>
      </c>
      <c r="H1216" s="9"/>
      <c r="I1216" s="9">
        <v>1</v>
      </c>
      <c r="J1216" s="9">
        <v>3</v>
      </c>
      <c r="K1216" s="9" t="s">
        <v>12094</v>
      </c>
      <c r="L1216" s="9" t="s">
        <v>12079</v>
      </c>
      <c r="M1216" s="9"/>
      <c r="N1216" s="10"/>
      <c r="O1216" s="9"/>
      <c r="P1216" s="9">
        <v>1741</v>
      </c>
      <c r="Q1216" s="9"/>
      <c r="R1216" s="9" t="s">
        <v>12795</v>
      </c>
      <c r="S1216" s="9" t="s">
        <v>12795</v>
      </c>
      <c r="T1216" s="9"/>
      <c r="U1216" s="9"/>
      <c r="V1216" s="9"/>
      <c r="W1216" s="9"/>
      <c r="X1216" s="9"/>
      <c r="Y1216" s="9"/>
      <c r="Z1216" s="9"/>
      <c r="AA1216" s="9"/>
      <c r="AB1216" s="9"/>
      <c r="AC1216" s="9"/>
      <c r="AD1216" s="9" t="s">
        <v>19</v>
      </c>
    </row>
    <row r="1217" spans="1:30">
      <c r="A1217" s="3" t="s">
        <v>3268</v>
      </c>
      <c r="B1217" s="3" t="s">
        <v>8808</v>
      </c>
      <c r="C1217" s="3" t="s">
        <v>8807</v>
      </c>
      <c r="G1217" s="9" t="s">
        <v>24</v>
      </c>
      <c r="H1217" s="9"/>
      <c r="I1217" s="9">
        <v>1</v>
      </c>
      <c r="J1217" s="9">
        <v>2</v>
      </c>
      <c r="K1217" s="9" t="s">
        <v>12087</v>
      </c>
      <c r="L1217" s="9" t="s">
        <v>12119</v>
      </c>
      <c r="M1217" s="9"/>
      <c r="N1217" s="10"/>
      <c r="O1217" s="9"/>
      <c r="P1217" s="9">
        <v>1966</v>
      </c>
      <c r="Q1217" s="9"/>
      <c r="R1217" s="9" t="s">
        <v>12795</v>
      </c>
      <c r="S1217" s="9" t="s">
        <v>12795</v>
      </c>
      <c r="T1217" s="9"/>
      <c r="U1217" s="9"/>
      <c r="V1217" s="9"/>
      <c r="W1217" s="9"/>
      <c r="X1217" s="9"/>
      <c r="Y1217" s="9"/>
      <c r="Z1217" s="9"/>
      <c r="AA1217" s="9"/>
      <c r="AB1217" s="9"/>
      <c r="AC1217" s="9"/>
      <c r="AD1217" s="9" t="s">
        <v>19</v>
      </c>
    </row>
    <row r="1218" spans="1:30" ht="304.5">
      <c r="A1218" s="3" t="s">
        <v>3269</v>
      </c>
      <c r="B1218" s="3" t="s">
        <v>12913</v>
      </c>
      <c r="C1218" s="3" t="s">
        <v>12454</v>
      </c>
      <c r="G1218" s="9" t="s">
        <v>24</v>
      </c>
      <c r="H1218" s="9"/>
      <c r="I1218" s="9">
        <v>37</v>
      </c>
      <c r="J1218" s="9">
        <v>151</v>
      </c>
      <c r="K1218" s="9"/>
      <c r="L1218" s="9" t="s">
        <v>12073</v>
      </c>
      <c r="M1218" s="9" t="s">
        <v>12142</v>
      </c>
      <c r="N1218" s="10" t="s">
        <v>12455</v>
      </c>
      <c r="O1218" s="9" t="s">
        <v>12074</v>
      </c>
      <c r="P1218" s="9">
        <v>1</v>
      </c>
      <c r="Q1218" s="9"/>
      <c r="R1218" s="9" t="s">
        <v>12795</v>
      </c>
      <c r="S1218" s="9" t="s">
        <v>12795</v>
      </c>
      <c r="T1218" s="9"/>
      <c r="U1218" s="9"/>
      <c r="V1218" s="9"/>
      <c r="W1218" s="9"/>
      <c r="X1218" s="9"/>
      <c r="Y1218" s="9"/>
      <c r="Z1218" s="9"/>
      <c r="AA1218" s="9"/>
      <c r="AB1218" s="9"/>
      <c r="AC1218" s="9" t="s">
        <v>19</v>
      </c>
      <c r="AD1218" s="9" t="s">
        <v>20</v>
      </c>
    </row>
    <row r="1219" spans="1:30" ht="29">
      <c r="A1219" s="3" t="s">
        <v>3270</v>
      </c>
      <c r="B1219" s="3" t="s">
        <v>8814</v>
      </c>
      <c r="C1219" s="3" t="s">
        <v>8811</v>
      </c>
      <c r="G1219" s="9" t="s">
        <v>12120</v>
      </c>
      <c r="H1219" s="9"/>
      <c r="I1219" s="9"/>
      <c r="J1219" s="9"/>
      <c r="K1219" s="9"/>
      <c r="L1219" s="9"/>
      <c r="M1219" s="9"/>
      <c r="N1219" s="10"/>
      <c r="O1219" s="9"/>
      <c r="P1219" s="9"/>
      <c r="Q1219" s="9"/>
      <c r="R1219" s="9" t="s">
        <v>12795</v>
      </c>
      <c r="S1219" s="9" t="s">
        <v>12795</v>
      </c>
      <c r="T1219" s="9" t="s">
        <v>12117</v>
      </c>
      <c r="U1219" s="9"/>
      <c r="V1219" s="9"/>
      <c r="W1219" s="9"/>
      <c r="X1219" s="9"/>
      <c r="Y1219" s="9"/>
      <c r="Z1219" s="9"/>
      <c r="AA1219" s="9"/>
      <c r="AB1219" s="9"/>
      <c r="AC1219" s="9"/>
      <c r="AD1219" s="9" t="s">
        <v>19</v>
      </c>
    </row>
    <row r="1220" spans="1:30" ht="29">
      <c r="A1220" s="3" t="s">
        <v>3272</v>
      </c>
      <c r="B1220" s="3" t="s">
        <v>8815</v>
      </c>
      <c r="C1220" s="3" t="s">
        <v>8816</v>
      </c>
      <c r="G1220" s="9" t="s">
        <v>25</v>
      </c>
      <c r="H1220" s="9"/>
      <c r="I1220" s="9">
        <v>1</v>
      </c>
      <c r="J1220" s="9">
        <v>1</v>
      </c>
      <c r="K1220" s="9" t="s">
        <v>12078</v>
      </c>
      <c r="L1220" s="9" t="s">
        <v>12119</v>
      </c>
      <c r="M1220" s="9"/>
      <c r="N1220" s="10"/>
      <c r="O1220" s="9"/>
      <c r="P1220" s="9">
        <v>11843</v>
      </c>
      <c r="Q1220" s="9"/>
      <c r="R1220" s="9" t="s">
        <v>12795</v>
      </c>
      <c r="S1220" s="9" t="s">
        <v>12795</v>
      </c>
      <c r="T1220" s="9"/>
      <c r="U1220" s="9"/>
      <c r="V1220" s="9"/>
      <c r="W1220" s="9"/>
      <c r="X1220" s="9"/>
      <c r="Y1220" s="9"/>
      <c r="Z1220" s="9"/>
      <c r="AA1220" s="9"/>
      <c r="AB1220" s="9"/>
      <c r="AC1220" s="9"/>
      <c r="AD1220" s="9" t="s">
        <v>20</v>
      </c>
    </row>
    <row r="1221" spans="1:30" ht="29">
      <c r="A1221" s="3" t="s">
        <v>3273</v>
      </c>
      <c r="B1221" s="3" t="s">
        <v>8817</v>
      </c>
      <c r="C1221" s="3" t="s">
        <v>8818</v>
      </c>
      <c r="G1221" s="9" t="s">
        <v>12118</v>
      </c>
      <c r="H1221" s="9"/>
      <c r="I1221" s="9"/>
      <c r="J1221" s="9"/>
      <c r="K1221" s="9"/>
      <c r="L1221" s="9"/>
      <c r="M1221" s="9"/>
      <c r="N1221" s="10"/>
      <c r="O1221" s="9"/>
      <c r="P1221" s="9"/>
      <c r="Q1221" s="9">
        <v>-1150</v>
      </c>
      <c r="R1221" s="9">
        <v>1741</v>
      </c>
      <c r="S1221" s="9">
        <v>591</v>
      </c>
      <c r="T1221" s="9"/>
      <c r="U1221" s="9"/>
      <c r="V1221" s="9"/>
      <c r="W1221" s="9"/>
      <c r="X1221" s="9"/>
      <c r="Y1221" s="9"/>
      <c r="Z1221" s="9"/>
      <c r="AA1221" s="9"/>
      <c r="AB1221" s="9"/>
      <c r="AC1221" s="9"/>
      <c r="AD1221" s="9" t="s">
        <v>19</v>
      </c>
    </row>
    <row r="1222" spans="1:30" ht="29">
      <c r="A1222" s="3" t="s">
        <v>3279</v>
      </c>
      <c r="B1222" s="3" t="s">
        <v>3280</v>
      </c>
      <c r="C1222" s="3" t="s">
        <v>1789</v>
      </c>
      <c r="G1222" s="9" t="s">
        <v>12120</v>
      </c>
      <c r="H1222" s="9"/>
      <c r="I1222" s="9"/>
      <c r="J1222" s="9"/>
      <c r="K1222" s="9"/>
      <c r="L1222" s="9"/>
      <c r="M1222" s="9"/>
      <c r="N1222" s="10"/>
      <c r="O1222" s="9"/>
      <c r="P1222" s="9"/>
      <c r="Q1222" s="9"/>
      <c r="R1222" s="9" t="s">
        <v>12795</v>
      </c>
      <c r="S1222" s="9" t="s">
        <v>12795</v>
      </c>
      <c r="T1222" s="9"/>
      <c r="U1222" s="9"/>
      <c r="V1222" s="9"/>
      <c r="W1222" s="9"/>
      <c r="X1222" s="9"/>
      <c r="Y1222" s="9"/>
      <c r="Z1222" s="9"/>
      <c r="AA1222" s="9"/>
      <c r="AB1222" s="9"/>
      <c r="AC1222" s="9"/>
      <c r="AD1222" s="9" t="s">
        <v>19</v>
      </c>
    </row>
    <row r="1223" spans="1:30" ht="29">
      <c r="A1223" s="3" t="s">
        <v>3279</v>
      </c>
      <c r="B1223" s="3" t="s">
        <v>8824</v>
      </c>
      <c r="C1223" s="3" t="s">
        <v>8823</v>
      </c>
      <c r="G1223" s="9" t="s">
        <v>12120</v>
      </c>
      <c r="H1223" s="9"/>
      <c r="I1223" s="9"/>
      <c r="J1223" s="9"/>
      <c r="K1223" s="9"/>
      <c r="L1223" s="9"/>
      <c r="M1223" s="9"/>
      <c r="N1223" s="10"/>
      <c r="O1223" s="9"/>
      <c r="P1223" s="9"/>
      <c r="Q1223" s="9"/>
      <c r="R1223" s="9" t="s">
        <v>12795</v>
      </c>
      <c r="S1223" s="9" t="s">
        <v>12795</v>
      </c>
      <c r="T1223" s="9"/>
      <c r="U1223" s="9"/>
      <c r="V1223" s="9"/>
      <c r="W1223" s="9"/>
      <c r="X1223" s="9"/>
      <c r="Y1223" s="9"/>
      <c r="Z1223" s="9"/>
      <c r="AA1223" s="9"/>
      <c r="AB1223" s="9"/>
      <c r="AC1223" s="9"/>
      <c r="AD1223" s="9" t="s">
        <v>20</v>
      </c>
    </row>
    <row r="1224" spans="1:30" ht="29">
      <c r="A1224" s="3" t="s">
        <v>3281</v>
      </c>
      <c r="B1224" s="3" t="s">
        <v>8828</v>
      </c>
      <c r="C1224" s="3" t="s">
        <v>8829</v>
      </c>
      <c r="G1224" s="9" t="s">
        <v>12118</v>
      </c>
      <c r="H1224" s="9"/>
      <c r="I1224" s="9"/>
      <c r="J1224" s="9"/>
      <c r="K1224" s="9"/>
      <c r="L1224" s="9"/>
      <c r="M1224" s="9"/>
      <c r="N1224" s="10"/>
      <c r="O1224" s="9"/>
      <c r="P1224" s="9"/>
      <c r="Q1224" s="9">
        <v>-514</v>
      </c>
      <c r="R1224" s="9">
        <v>526</v>
      </c>
      <c r="S1224" s="9">
        <v>12</v>
      </c>
      <c r="T1224" s="9"/>
      <c r="U1224" s="9"/>
      <c r="V1224" s="9"/>
      <c r="W1224" s="9"/>
      <c r="X1224" s="9"/>
      <c r="Y1224" s="9"/>
      <c r="Z1224" s="9"/>
      <c r="AA1224" s="9"/>
      <c r="AB1224" s="9"/>
      <c r="AC1224" s="9"/>
      <c r="AD1224" s="9" t="s">
        <v>19</v>
      </c>
    </row>
    <row r="1225" spans="1:30" ht="29">
      <c r="A1225" s="3" t="s">
        <v>3281</v>
      </c>
      <c r="B1225" s="3" t="s">
        <v>3282</v>
      </c>
      <c r="C1225" s="3" t="s">
        <v>3283</v>
      </c>
      <c r="G1225" s="9" t="s">
        <v>12120</v>
      </c>
      <c r="H1225" s="9"/>
      <c r="I1225" s="9"/>
      <c r="J1225" s="9"/>
      <c r="K1225" s="9"/>
      <c r="L1225" s="9"/>
      <c r="M1225" s="9"/>
      <c r="N1225" s="10"/>
      <c r="O1225" s="9"/>
      <c r="P1225" s="9"/>
      <c r="Q1225" s="9"/>
      <c r="R1225" s="9" t="s">
        <v>12795</v>
      </c>
      <c r="S1225" s="9" t="s">
        <v>12795</v>
      </c>
      <c r="T1225" s="9"/>
      <c r="U1225" s="9"/>
      <c r="V1225" s="9"/>
      <c r="W1225" s="9"/>
      <c r="X1225" s="9"/>
      <c r="Y1225" s="9"/>
      <c r="Z1225" s="9"/>
      <c r="AA1225" s="9"/>
      <c r="AB1225" s="9"/>
      <c r="AC1225" s="9"/>
      <c r="AD1225" s="9" t="s">
        <v>20</v>
      </c>
    </row>
    <row r="1226" spans="1:30" ht="58">
      <c r="A1226" s="3" t="s">
        <v>3284</v>
      </c>
      <c r="B1226" s="3" t="s">
        <v>8830</v>
      </c>
      <c r="C1226" s="3" t="s">
        <v>8832</v>
      </c>
      <c r="G1226" s="9" t="s">
        <v>26</v>
      </c>
      <c r="H1226" s="9"/>
      <c r="I1226" s="9"/>
      <c r="J1226" s="9"/>
      <c r="K1226" s="9"/>
      <c r="L1226" s="9"/>
      <c r="M1226" s="9"/>
      <c r="N1226" s="10"/>
      <c r="O1226" s="9"/>
      <c r="P1226" s="9"/>
      <c r="Q1226" s="9"/>
      <c r="R1226" s="9" t="s">
        <v>12795</v>
      </c>
      <c r="S1226" s="9" t="s">
        <v>12795</v>
      </c>
      <c r="T1226" s="9"/>
      <c r="U1226" s="9"/>
      <c r="V1226" s="9"/>
      <c r="W1226" s="9"/>
      <c r="X1226" s="9"/>
      <c r="Y1226" s="9"/>
      <c r="Z1226" s="9"/>
      <c r="AA1226" s="9"/>
      <c r="AB1226" s="9"/>
      <c r="AC1226" s="9"/>
      <c r="AD1226" s="9" t="s">
        <v>19</v>
      </c>
    </row>
    <row r="1227" spans="1:30" ht="29">
      <c r="A1227" s="3" t="s">
        <v>3285</v>
      </c>
      <c r="B1227" s="3" t="s">
        <v>8834</v>
      </c>
      <c r="C1227" s="3" t="s">
        <v>8835</v>
      </c>
      <c r="G1227" s="9" t="s">
        <v>25</v>
      </c>
      <c r="H1227" s="9"/>
      <c r="I1227" s="9">
        <v>1</v>
      </c>
      <c r="J1227" s="9">
        <v>2</v>
      </c>
      <c r="K1227" s="9" t="s">
        <v>12078</v>
      </c>
      <c r="L1227" s="9" t="s">
        <v>12119</v>
      </c>
      <c r="M1227" s="9"/>
      <c r="N1227" s="10"/>
      <c r="O1227" s="9"/>
      <c r="P1227" s="9">
        <v>11843</v>
      </c>
      <c r="Q1227" s="9"/>
      <c r="R1227" s="9" t="s">
        <v>12795</v>
      </c>
      <c r="S1227" s="9" t="s">
        <v>12795</v>
      </c>
      <c r="T1227" s="9"/>
      <c r="U1227" s="9"/>
      <c r="V1227" s="9"/>
      <c r="W1227" s="9"/>
      <c r="X1227" s="9"/>
      <c r="Y1227" s="9"/>
      <c r="Z1227" s="9"/>
      <c r="AA1227" s="9"/>
      <c r="AB1227" s="9"/>
      <c r="AC1227" s="9"/>
      <c r="AD1227" s="9" t="s">
        <v>20</v>
      </c>
    </row>
    <row r="1228" spans="1:30" ht="29">
      <c r="A1228" s="3" t="s">
        <v>3285</v>
      </c>
      <c r="B1228" s="3" t="s">
        <v>8837</v>
      </c>
      <c r="C1228" s="3" t="s">
        <v>8838</v>
      </c>
      <c r="G1228" s="9" t="s">
        <v>12118</v>
      </c>
      <c r="H1228" s="9"/>
      <c r="I1228" s="9"/>
      <c r="J1228" s="9"/>
      <c r="K1228" s="9"/>
      <c r="L1228" s="9"/>
      <c r="M1228" s="9"/>
      <c r="N1228" s="10"/>
      <c r="O1228" s="9"/>
      <c r="P1228" s="9"/>
      <c r="Q1228" s="9">
        <v>514</v>
      </c>
      <c r="R1228" s="9">
        <v>12</v>
      </c>
      <c r="S1228" s="9">
        <v>526</v>
      </c>
      <c r="T1228" s="9"/>
      <c r="U1228" s="9"/>
      <c r="V1228" s="9"/>
      <c r="W1228" s="9"/>
      <c r="X1228" s="9"/>
      <c r="Y1228" s="9"/>
      <c r="Z1228" s="9"/>
      <c r="AA1228" s="9"/>
      <c r="AB1228" s="9"/>
      <c r="AC1228" s="9"/>
      <c r="AD1228" s="9" t="s">
        <v>19</v>
      </c>
    </row>
    <row r="1229" spans="1:30" ht="29">
      <c r="A1229" s="3" t="s">
        <v>3285</v>
      </c>
      <c r="B1229" s="3" t="s">
        <v>8839</v>
      </c>
      <c r="C1229" s="3" t="s">
        <v>8836</v>
      </c>
      <c r="G1229" s="9" t="s">
        <v>25</v>
      </c>
      <c r="H1229" s="9"/>
      <c r="I1229" s="9">
        <v>1</v>
      </c>
      <c r="J1229" s="9">
        <v>3</v>
      </c>
      <c r="K1229" s="9" t="s">
        <v>12078</v>
      </c>
      <c r="L1229" s="9" t="s">
        <v>12079</v>
      </c>
      <c r="M1229" s="9"/>
      <c r="N1229" s="10"/>
      <c r="O1229" s="9"/>
      <c r="P1229" s="9">
        <v>11843</v>
      </c>
      <c r="Q1229" s="9"/>
      <c r="R1229" s="9" t="s">
        <v>12795</v>
      </c>
      <c r="S1229" s="9" t="s">
        <v>12795</v>
      </c>
      <c r="T1229" s="9"/>
      <c r="U1229" s="9"/>
      <c r="V1229" s="9"/>
      <c r="W1229" s="9"/>
      <c r="X1229" s="9"/>
      <c r="Y1229" s="9"/>
      <c r="Z1229" s="9"/>
      <c r="AA1229" s="9"/>
      <c r="AB1229" s="9"/>
      <c r="AC1229" s="9"/>
      <c r="AD1229" s="9" t="s">
        <v>20</v>
      </c>
    </row>
    <row r="1230" spans="1:30" ht="43.5">
      <c r="A1230" s="3" t="s">
        <v>3287</v>
      </c>
      <c r="B1230" s="3" t="s">
        <v>8843</v>
      </c>
      <c r="C1230" s="3" t="s">
        <v>8842</v>
      </c>
      <c r="G1230" s="9" t="s">
        <v>25</v>
      </c>
      <c r="H1230" s="9"/>
      <c r="I1230" s="9">
        <v>1</v>
      </c>
      <c r="J1230" s="9">
        <v>2</v>
      </c>
      <c r="K1230" s="9" t="s">
        <v>12087</v>
      </c>
      <c r="L1230" s="9" t="s">
        <v>12119</v>
      </c>
      <c r="M1230" s="9"/>
      <c r="N1230" s="10"/>
      <c r="O1230" s="9"/>
      <c r="P1230" s="9">
        <v>1966</v>
      </c>
      <c r="Q1230" s="9"/>
      <c r="R1230" s="9" t="s">
        <v>12795</v>
      </c>
      <c r="S1230" s="9" t="s">
        <v>12795</v>
      </c>
      <c r="T1230" s="9"/>
      <c r="U1230" s="9"/>
      <c r="V1230" s="9"/>
      <c r="W1230" s="9"/>
      <c r="X1230" s="9"/>
      <c r="Y1230" s="9"/>
      <c r="Z1230" s="9"/>
      <c r="AA1230" s="9"/>
      <c r="AB1230" s="9"/>
      <c r="AC1230" s="9"/>
      <c r="AD1230" s="9" t="s">
        <v>20</v>
      </c>
    </row>
    <row r="1231" spans="1:30" ht="43.5">
      <c r="A1231" s="3" t="s">
        <v>3287</v>
      </c>
      <c r="B1231" s="3" t="s">
        <v>8845</v>
      </c>
      <c r="C1231" s="3" t="s">
        <v>8844</v>
      </c>
      <c r="G1231" s="9" t="s">
        <v>26</v>
      </c>
      <c r="H1231" s="9"/>
      <c r="I1231" s="9"/>
      <c r="J1231" s="9"/>
      <c r="K1231" s="9"/>
      <c r="L1231" s="9"/>
      <c r="M1231" s="9"/>
      <c r="N1231" s="10"/>
      <c r="O1231" s="9"/>
      <c r="P1231" s="9"/>
      <c r="Q1231" s="9"/>
      <c r="R1231" s="9" t="s">
        <v>12795</v>
      </c>
      <c r="S1231" s="9" t="s">
        <v>12795</v>
      </c>
      <c r="T1231" s="9"/>
      <c r="U1231" s="9"/>
      <c r="V1231" s="9"/>
      <c r="W1231" s="9"/>
      <c r="X1231" s="9"/>
      <c r="Y1231" s="9"/>
      <c r="Z1231" s="9"/>
      <c r="AA1231" s="9"/>
      <c r="AB1231" s="9"/>
      <c r="AC1231" s="9"/>
      <c r="AD1231" s="9" t="s">
        <v>19</v>
      </c>
    </row>
    <row r="1232" spans="1:30" ht="43.5">
      <c r="A1232" s="3" t="s">
        <v>3287</v>
      </c>
      <c r="B1232" s="3" t="s">
        <v>8846</v>
      </c>
      <c r="C1232" s="3" t="s">
        <v>8842</v>
      </c>
      <c r="G1232" s="9" t="s">
        <v>25</v>
      </c>
      <c r="H1232" s="9"/>
      <c r="I1232" s="9">
        <v>1</v>
      </c>
      <c r="J1232" s="9">
        <v>2</v>
      </c>
      <c r="K1232" s="9" t="s">
        <v>12078</v>
      </c>
      <c r="L1232" s="9" t="s">
        <v>12119</v>
      </c>
      <c r="M1232" s="9"/>
      <c r="N1232" s="10"/>
      <c r="O1232" s="9"/>
      <c r="P1232" s="9">
        <v>11843</v>
      </c>
      <c r="Q1232" s="9"/>
      <c r="R1232" s="9" t="s">
        <v>12795</v>
      </c>
      <c r="S1232" s="9" t="s">
        <v>12795</v>
      </c>
      <c r="T1232" s="9"/>
      <c r="U1232" s="9"/>
      <c r="V1232" s="9"/>
      <c r="W1232" s="9"/>
      <c r="X1232" s="9"/>
      <c r="Y1232" s="9"/>
      <c r="Z1232" s="9"/>
      <c r="AA1232" s="9"/>
      <c r="AB1232" s="9"/>
      <c r="AC1232" s="9"/>
      <c r="AD1232" s="9" t="s">
        <v>19</v>
      </c>
    </row>
    <row r="1233" spans="1:30" ht="43.5">
      <c r="A1233" s="3" t="s">
        <v>3287</v>
      </c>
      <c r="B1233" s="3" t="s">
        <v>8847</v>
      </c>
      <c r="C1233" s="3" t="s">
        <v>8842</v>
      </c>
      <c r="F1233" t="s">
        <v>19</v>
      </c>
      <c r="G1233" s="9" t="s">
        <v>25</v>
      </c>
      <c r="H1233" s="9"/>
      <c r="I1233" s="9">
        <v>1</v>
      </c>
      <c r="J1233" s="9">
        <v>2</v>
      </c>
      <c r="K1233" s="9" t="s">
        <v>12078</v>
      </c>
      <c r="L1233" s="9" t="s">
        <v>12119</v>
      </c>
      <c r="M1233" s="9"/>
      <c r="N1233" s="10"/>
      <c r="O1233" s="9"/>
      <c r="P1233" s="9">
        <v>11843</v>
      </c>
      <c r="Q1233" s="9"/>
      <c r="R1233" s="9" t="s">
        <v>12795</v>
      </c>
      <c r="S1233" s="9" t="s">
        <v>12795</v>
      </c>
      <c r="T1233" s="9"/>
      <c r="U1233" s="9"/>
      <c r="V1233" s="9"/>
      <c r="W1233" s="9"/>
      <c r="X1233" s="9"/>
      <c r="Y1233" s="9"/>
      <c r="Z1233" s="9"/>
      <c r="AA1233" s="9"/>
      <c r="AB1233" s="9"/>
      <c r="AC1233" s="9"/>
      <c r="AD1233" s="9" t="s">
        <v>20</v>
      </c>
    </row>
    <row r="1234" spans="1:30" ht="29">
      <c r="A1234" s="3" t="s">
        <v>3287</v>
      </c>
      <c r="B1234" s="3" t="s">
        <v>3280</v>
      </c>
      <c r="C1234" s="3" t="s">
        <v>1789</v>
      </c>
      <c r="G1234" s="9" t="s">
        <v>12120</v>
      </c>
      <c r="H1234" s="9"/>
      <c r="I1234" s="9"/>
      <c r="J1234" s="9"/>
      <c r="K1234" s="9"/>
      <c r="L1234" s="9"/>
      <c r="M1234" s="9"/>
      <c r="N1234" s="10"/>
      <c r="O1234" s="9"/>
      <c r="P1234" s="9"/>
      <c r="Q1234" s="9"/>
      <c r="R1234" s="9" t="s">
        <v>12795</v>
      </c>
      <c r="S1234" s="9" t="s">
        <v>12795</v>
      </c>
      <c r="T1234" s="9"/>
      <c r="U1234" s="9"/>
      <c r="V1234" s="9"/>
      <c r="W1234" s="9"/>
      <c r="X1234" s="9"/>
      <c r="Y1234" s="9"/>
      <c r="Z1234" s="9"/>
      <c r="AA1234" s="9"/>
      <c r="AB1234" s="9"/>
      <c r="AC1234" s="9"/>
      <c r="AD1234" s="9" t="s">
        <v>19</v>
      </c>
    </row>
    <row r="1235" spans="1:30" ht="29">
      <c r="A1235" s="3" t="s">
        <v>3290</v>
      </c>
      <c r="B1235" s="3" t="s">
        <v>8855</v>
      </c>
      <c r="C1235" s="3" t="s">
        <v>8854</v>
      </c>
      <c r="G1235" s="9" t="s">
        <v>25</v>
      </c>
      <c r="H1235" s="9"/>
      <c r="I1235" s="9">
        <v>1</v>
      </c>
      <c r="J1235" s="9">
        <v>5</v>
      </c>
      <c r="K1235" s="9" t="s">
        <v>12094</v>
      </c>
      <c r="L1235" s="9" t="s">
        <v>12073</v>
      </c>
      <c r="M1235" s="9" t="s">
        <v>12142</v>
      </c>
      <c r="N1235" s="10" t="s">
        <v>12143</v>
      </c>
      <c r="O1235" s="9"/>
      <c r="P1235" s="9">
        <v>4240</v>
      </c>
      <c r="Q1235" s="9"/>
      <c r="R1235" s="9" t="s">
        <v>12795</v>
      </c>
      <c r="S1235" s="9" t="s">
        <v>12795</v>
      </c>
      <c r="T1235" s="9"/>
      <c r="U1235" s="9"/>
      <c r="V1235" s="9"/>
      <c r="W1235" s="9"/>
      <c r="X1235" s="9"/>
      <c r="Y1235" s="9"/>
      <c r="Z1235" s="9"/>
      <c r="AA1235" s="9"/>
      <c r="AB1235" s="9"/>
      <c r="AC1235" s="9"/>
      <c r="AD1235" s="9" t="s">
        <v>19</v>
      </c>
    </row>
    <row r="1236" spans="1:30" ht="29">
      <c r="A1236" s="3" t="s">
        <v>3290</v>
      </c>
      <c r="B1236" s="3" t="s">
        <v>8856</v>
      </c>
      <c r="C1236" s="3" t="s">
        <v>8857</v>
      </c>
      <c r="G1236" s="9" t="s">
        <v>25</v>
      </c>
      <c r="H1236" s="9"/>
      <c r="I1236" s="9">
        <v>2</v>
      </c>
      <c r="J1236" s="9">
        <v>11</v>
      </c>
      <c r="K1236" s="9"/>
      <c r="L1236" s="9" t="s">
        <v>12079</v>
      </c>
      <c r="M1236" s="9"/>
      <c r="N1236" s="10"/>
      <c r="O1236" s="9"/>
      <c r="P1236" s="9">
        <v>16</v>
      </c>
      <c r="Q1236" s="9"/>
      <c r="R1236" s="9" t="s">
        <v>12795</v>
      </c>
      <c r="S1236" s="9" t="s">
        <v>12795</v>
      </c>
      <c r="T1236" s="9"/>
      <c r="U1236" s="9"/>
      <c r="V1236" s="9"/>
      <c r="W1236" s="9"/>
      <c r="X1236" s="9"/>
      <c r="Y1236" s="9"/>
      <c r="Z1236" s="9"/>
      <c r="AA1236" s="9"/>
      <c r="AB1236" s="9"/>
      <c r="AC1236" s="9"/>
      <c r="AD1236" s="9" t="s">
        <v>20</v>
      </c>
    </row>
    <row r="1237" spans="1:30" ht="29">
      <c r="A1237" s="3" t="s">
        <v>3291</v>
      </c>
      <c r="B1237" s="3" t="s">
        <v>8693</v>
      </c>
      <c r="C1237" s="3" t="s">
        <v>8694</v>
      </c>
      <c r="G1237" s="9" t="s">
        <v>25</v>
      </c>
      <c r="H1237" s="9"/>
      <c r="I1237" s="9">
        <v>1</v>
      </c>
      <c r="J1237" s="9">
        <v>3</v>
      </c>
      <c r="K1237" s="9" t="s">
        <v>12087</v>
      </c>
      <c r="L1237" s="9" t="s">
        <v>12079</v>
      </c>
      <c r="M1237" s="9"/>
      <c r="N1237" s="10"/>
      <c r="O1237" s="9"/>
      <c r="P1237" s="9">
        <v>810</v>
      </c>
      <c r="Q1237" s="9"/>
      <c r="R1237" s="9" t="s">
        <v>12795</v>
      </c>
      <c r="S1237" s="9" t="s">
        <v>12795</v>
      </c>
      <c r="T1237" s="9" t="s">
        <v>12117</v>
      </c>
      <c r="U1237" s="9"/>
      <c r="V1237" s="9"/>
      <c r="W1237" s="9"/>
      <c r="X1237" s="9"/>
      <c r="Y1237" s="9"/>
      <c r="Z1237" s="9"/>
      <c r="AA1237" s="9"/>
      <c r="AB1237" s="9"/>
      <c r="AC1237" s="9"/>
      <c r="AD1237" s="9" t="s">
        <v>19</v>
      </c>
    </row>
    <row r="1238" spans="1:30" ht="29">
      <c r="A1238" s="3" t="s">
        <v>3292</v>
      </c>
      <c r="B1238" s="3" t="s">
        <v>8861</v>
      </c>
      <c r="C1238" s="3" t="s">
        <v>8860</v>
      </c>
      <c r="G1238" s="9" t="s">
        <v>25</v>
      </c>
      <c r="H1238" s="9"/>
      <c r="I1238" s="9">
        <v>2</v>
      </c>
      <c r="J1238" s="9">
        <v>8</v>
      </c>
      <c r="K1238" s="9"/>
      <c r="L1238" s="9" t="s">
        <v>12079</v>
      </c>
      <c r="M1238" s="9"/>
      <c r="N1238" s="10"/>
      <c r="O1238" s="9"/>
      <c r="P1238" s="9">
        <v>27</v>
      </c>
      <c r="Q1238" s="9"/>
      <c r="R1238" s="9" t="s">
        <v>12795</v>
      </c>
      <c r="S1238" s="9" t="s">
        <v>12795</v>
      </c>
      <c r="T1238" s="9"/>
      <c r="U1238" s="9"/>
      <c r="V1238" s="9"/>
      <c r="W1238" s="9"/>
      <c r="X1238" s="9"/>
      <c r="Y1238" s="9"/>
      <c r="Z1238" s="9"/>
      <c r="AA1238" s="9"/>
      <c r="AB1238" s="9"/>
      <c r="AC1238" s="9"/>
      <c r="AD1238" s="9" t="s">
        <v>20</v>
      </c>
    </row>
    <row r="1239" spans="1:30" ht="29">
      <c r="A1239" s="3" t="s">
        <v>3296</v>
      </c>
      <c r="B1239" s="3" t="s">
        <v>8863</v>
      </c>
      <c r="C1239" s="3" t="s">
        <v>8862</v>
      </c>
      <c r="G1239" s="9" t="s">
        <v>24</v>
      </c>
      <c r="H1239" s="9"/>
      <c r="I1239" s="9">
        <v>1</v>
      </c>
      <c r="J1239" s="9">
        <v>3</v>
      </c>
      <c r="K1239" s="9" t="s">
        <v>12087</v>
      </c>
      <c r="L1239" s="9" t="s">
        <v>12079</v>
      </c>
      <c r="M1239" s="9"/>
      <c r="N1239" s="10"/>
      <c r="O1239" s="9"/>
      <c r="P1239" s="9">
        <v>356</v>
      </c>
      <c r="Q1239" s="9"/>
      <c r="R1239" s="9" t="s">
        <v>12795</v>
      </c>
      <c r="S1239" s="9" t="s">
        <v>12795</v>
      </c>
      <c r="T1239" s="9"/>
      <c r="U1239" s="9"/>
      <c r="V1239" s="9"/>
      <c r="W1239" s="9"/>
      <c r="X1239" s="9"/>
      <c r="Y1239" s="9"/>
      <c r="Z1239" s="9"/>
      <c r="AA1239" s="9"/>
      <c r="AB1239" s="9"/>
      <c r="AC1239" s="9"/>
      <c r="AD1239" s="9" t="s">
        <v>19</v>
      </c>
    </row>
    <row r="1240" spans="1:30" ht="43.5">
      <c r="A1240" s="3" t="s">
        <v>3298</v>
      </c>
      <c r="B1240" s="3" t="s">
        <v>8870</v>
      </c>
      <c r="C1240" s="3" t="s">
        <v>8871</v>
      </c>
      <c r="G1240" s="9" t="s">
        <v>26</v>
      </c>
      <c r="H1240" s="9"/>
      <c r="I1240" s="9"/>
      <c r="J1240" s="9"/>
      <c r="K1240" s="9"/>
      <c r="L1240" s="9"/>
      <c r="M1240" s="9"/>
      <c r="N1240" s="10"/>
      <c r="O1240" s="9"/>
      <c r="P1240" s="9"/>
      <c r="Q1240" s="9"/>
      <c r="R1240" s="9" t="s">
        <v>12795</v>
      </c>
      <c r="S1240" s="9" t="s">
        <v>12795</v>
      </c>
      <c r="T1240" s="9"/>
      <c r="U1240" s="9"/>
      <c r="V1240" s="9"/>
      <c r="W1240" s="9"/>
      <c r="X1240" s="9"/>
      <c r="Y1240" s="9"/>
      <c r="Z1240" s="9"/>
      <c r="AA1240" s="9"/>
      <c r="AB1240" s="9"/>
      <c r="AC1240" s="9"/>
      <c r="AD1240" s="9" t="s">
        <v>13141</v>
      </c>
    </row>
    <row r="1241" spans="1:30" ht="29">
      <c r="A1241" s="3" t="s">
        <v>3299</v>
      </c>
      <c r="B1241" s="3" t="s">
        <v>8872</v>
      </c>
      <c r="C1241" s="3" t="s">
        <v>8873</v>
      </c>
      <c r="G1241" s="9" t="s">
        <v>12118</v>
      </c>
      <c r="H1241" s="9"/>
      <c r="I1241" s="9"/>
      <c r="J1241" s="9"/>
      <c r="K1241" s="9"/>
      <c r="L1241" s="9"/>
      <c r="M1241" s="9"/>
      <c r="N1241" s="10"/>
      <c r="O1241" s="9"/>
      <c r="P1241" s="9"/>
      <c r="Q1241" s="9">
        <v>-89</v>
      </c>
      <c r="R1241" s="9">
        <v>92</v>
      </c>
      <c r="S1241" s="9">
        <v>3</v>
      </c>
      <c r="T1241" s="9"/>
      <c r="U1241" s="9"/>
      <c r="V1241" s="9"/>
      <c r="W1241" s="9"/>
      <c r="X1241" s="9"/>
      <c r="Y1241" s="9"/>
      <c r="Z1241" s="9"/>
      <c r="AA1241" s="9"/>
      <c r="AB1241" s="9"/>
      <c r="AC1241" s="9"/>
      <c r="AD1241" s="9" t="s">
        <v>19</v>
      </c>
    </row>
    <row r="1242" spans="1:30" ht="29">
      <c r="A1242" s="3" t="s">
        <v>3300</v>
      </c>
      <c r="B1242" s="3" t="s">
        <v>8876</v>
      </c>
      <c r="C1242" s="3" t="s">
        <v>8877</v>
      </c>
      <c r="G1242" s="9" t="s">
        <v>26</v>
      </c>
      <c r="H1242" s="9"/>
      <c r="I1242" s="9"/>
      <c r="J1242" s="9"/>
      <c r="K1242" s="9"/>
      <c r="L1242" s="9"/>
      <c r="M1242" s="9"/>
      <c r="N1242" s="10"/>
      <c r="O1242" s="9"/>
      <c r="P1242" s="9"/>
      <c r="Q1242" s="9"/>
      <c r="R1242" s="9" t="s">
        <v>12795</v>
      </c>
      <c r="S1242" s="9" t="s">
        <v>12795</v>
      </c>
      <c r="T1242" s="9"/>
      <c r="U1242" s="9"/>
      <c r="V1242" s="9"/>
      <c r="W1242" s="9"/>
      <c r="X1242" s="9"/>
      <c r="Y1242" s="9"/>
      <c r="Z1242" s="9"/>
      <c r="AA1242" s="9"/>
      <c r="AB1242" s="9"/>
      <c r="AC1242" s="9"/>
      <c r="AD1242" s="9" t="s">
        <v>20</v>
      </c>
    </row>
    <row r="1243" spans="1:30" ht="58">
      <c r="A1243" s="3" t="s">
        <v>3302</v>
      </c>
      <c r="B1243" s="3" t="s">
        <v>8878</v>
      </c>
      <c r="C1243" s="3" t="s">
        <v>8879</v>
      </c>
      <c r="G1243" s="9" t="s">
        <v>26</v>
      </c>
      <c r="H1243" s="9"/>
      <c r="I1243" s="9"/>
      <c r="J1243" s="9"/>
      <c r="K1243" s="9"/>
      <c r="L1243" s="9"/>
      <c r="M1243" s="9"/>
      <c r="N1243" s="10"/>
      <c r="O1243" s="9"/>
      <c r="P1243" s="9"/>
      <c r="Q1243" s="9"/>
      <c r="R1243" s="9" t="s">
        <v>12795</v>
      </c>
      <c r="S1243" s="9" t="s">
        <v>12795</v>
      </c>
      <c r="T1243" s="9"/>
      <c r="U1243" s="9"/>
      <c r="V1243" s="9"/>
      <c r="W1243" s="9"/>
      <c r="X1243" s="9"/>
      <c r="Y1243" s="9"/>
      <c r="Z1243" s="9"/>
      <c r="AA1243" s="9"/>
      <c r="AB1243" s="9"/>
      <c r="AC1243" s="9"/>
      <c r="AD1243" s="9" t="s">
        <v>20</v>
      </c>
    </row>
    <row r="1244" spans="1:30" ht="58">
      <c r="A1244" s="3" t="s">
        <v>3302</v>
      </c>
      <c r="B1244" s="3" t="s">
        <v>8880</v>
      </c>
      <c r="C1244" s="3" t="s">
        <v>8881</v>
      </c>
      <c r="G1244" s="9" t="s">
        <v>12118</v>
      </c>
      <c r="H1244" s="9"/>
      <c r="I1244" s="9"/>
      <c r="J1244" s="9"/>
      <c r="K1244" s="9"/>
      <c r="L1244" s="9"/>
      <c r="M1244" s="9"/>
      <c r="N1244" s="10"/>
      <c r="O1244" s="9"/>
      <c r="P1244" s="9"/>
      <c r="Q1244" s="9">
        <v>-161</v>
      </c>
      <c r="R1244" s="9">
        <v>169</v>
      </c>
      <c r="S1244" s="9">
        <v>8</v>
      </c>
      <c r="T1244" s="9"/>
      <c r="U1244" s="9"/>
      <c r="V1244" s="9"/>
      <c r="W1244" s="9"/>
      <c r="X1244" s="9"/>
      <c r="Y1244" s="9"/>
      <c r="Z1244" s="9"/>
      <c r="AA1244" s="9"/>
      <c r="AB1244" s="9"/>
      <c r="AC1244" s="9"/>
      <c r="AD1244" s="9" t="s">
        <v>19</v>
      </c>
    </row>
    <row r="1245" spans="1:30">
      <c r="A1245" s="3" t="s">
        <v>3304</v>
      </c>
      <c r="B1245" s="3" t="s">
        <v>8882</v>
      </c>
      <c r="C1245" s="3" t="s">
        <v>8883</v>
      </c>
      <c r="G1245" s="9" t="s">
        <v>25</v>
      </c>
      <c r="H1245" s="9"/>
      <c r="I1245" s="9">
        <v>2</v>
      </c>
      <c r="J1245" s="9">
        <v>8</v>
      </c>
      <c r="K1245" s="9"/>
      <c r="L1245" s="9" t="s">
        <v>12079</v>
      </c>
      <c r="M1245" s="9"/>
      <c r="N1245" s="10"/>
      <c r="O1245" s="9"/>
      <c r="P1245" s="9">
        <v>14</v>
      </c>
      <c r="Q1245" s="9"/>
      <c r="R1245" s="9" t="s">
        <v>12795</v>
      </c>
      <c r="S1245" s="9" t="s">
        <v>12795</v>
      </c>
      <c r="T1245" s="9"/>
      <c r="U1245" s="9"/>
      <c r="V1245" s="9"/>
      <c r="W1245" s="9"/>
      <c r="X1245" s="9"/>
      <c r="Y1245" s="9"/>
      <c r="Z1245" s="9"/>
      <c r="AA1245" s="9"/>
      <c r="AB1245" s="9"/>
      <c r="AC1245" s="9"/>
      <c r="AD1245" s="9" t="s">
        <v>20</v>
      </c>
    </row>
    <row r="1246" spans="1:30">
      <c r="A1246" s="3" t="s">
        <v>3305</v>
      </c>
      <c r="B1246" s="3" t="s">
        <v>8884</v>
      </c>
      <c r="C1246" s="3" t="s">
        <v>8886</v>
      </c>
      <c r="G1246" s="9" t="s">
        <v>25</v>
      </c>
      <c r="H1246" s="9"/>
      <c r="I1246" s="9">
        <v>1</v>
      </c>
      <c r="J1246" s="9">
        <v>2</v>
      </c>
      <c r="K1246" s="9" t="s">
        <v>12087</v>
      </c>
      <c r="L1246" s="9" t="s">
        <v>12119</v>
      </c>
      <c r="M1246" s="9"/>
      <c r="N1246" s="10"/>
      <c r="O1246" s="9"/>
      <c r="P1246" s="9">
        <v>1966</v>
      </c>
      <c r="Q1246" s="9"/>
      <c r="R1246" s="9" t="s">
        <v>12795</v>
      </c>
      <c r="S1246" s="9" t="s">
        <v>12795</v>
      </c>
      <c r="T1246" s="9"/>
      <c r="U1246" s="9"/>
      <c r="V1246" s="9"/>
      <c r="W1246" s="9"/>
      <c r="X1246" s="9"/>
      <c r="Y1246" s="9"/>
      <c r="Z1246" s="9"/>
      <c r="AA1246" s="9"/>
      <c r="AB1246" s="9"/>
      <c r="AC1246" s="9"/>
      <c r="AD1246" s="9" t="s">
        <v>20</v>
      </c>
    </row>
    <row r="1247" spans="1:30">
      <c r="A1247" s="3" t="s">
        <v>3305</v>
      </c>
      <c r="B1247" s="3" t="s">
        <v>8885</v>
      </c>
      <c r="C1247" s="3" t="s">
        <v>8887</v>
      </c>
      <c r="G1247" s="9" t="s">
        <v>25</v>
      </c>
      <c r="H1247" s="9"/>
      <c r="I1247" s="9">
        <v>1</v>
      </c>
      <c r="J1247" s="9">
        <v>2</v>
      </c>
      <c r="K1247" s="9" t="s">
        <v>12087</v>
      </c>
      <c r="L1247" s="9" t="s">
        <v>12119</v>
      </c>
      <c r="M1247" s="9"/>
      <c r="N1247" s="10"/>
      <c r="O1247" s="9"/>
      <c r="P1247" s="9">
        <v>1966</v>
      </c>
      <c r="Q1247" s="9"/>
      <c r="R1247" s="9" t="s">
        <v>12795</v>
      </c>
      <c r="S1247" s="9" t="s">
        <v>12795</v>
      </c>
      <c r="T1247" s="9"/>
      <c r="U1247" s="9"/>
      <c r="V1247" s="9"/>
      <c r="W1247" s="9"/>
      <c r="X1247" s="9"/>
      <c r="Y1247" s="9"/>
      <c r="Z1247" s="9"/>
      <c r="AA1247" s="9"/>
      <c r="AB1247" s="9"/>
      <c r="AC1247" s="9"/>
      <c r="AD1247" s="9" t="s">
        <v>13141</v>
      </c>
    </row>
    <row r="1248" spans="1:30" ht="29">
      <c r="A1248" s="3" t="s">
        <v>3306</v>
      </c>
      <c r="B1248" s="3" t="s">
        <v>8889</v>
      </c>
      <c r="C1248" s="3" t="s">
        <v>8888</v>
      </c>
      <c r="G1248" s="9" t="s">
        <v>26</v>
      </c>
      <c r="H1248" s="9"/>
      <c r="I1248" s="9"/>
      <c r="J1248" s="9"/>
      <c r="K1248" s="9"/>
      <c r="L1248" s="9"/>
      <c r="M1248" s="9"/>
      <c r="N1248" s="10"/>
      <c r="O1248" s="9"/>
      <c r="P1248" s="9"/>
      <c r="Q1248" s="9"/>
      <c r="R1248" s="9" t="s">
        <v>12795</v>
      </c>
      <c r="S1248" s="9" t="s">
        <v>12795</v>
      </c>
      <c r="T1248" s="9"/>
      <c r="U1248" s="9"/>
      <c r="V1248" s="9"/>
      <c r="W1248" s="9"/>
      <c r="X1248" s="9"/>
      <c r="Y1248" s="9"/>
      <c r="Z1248" s="9"/>
      <c r="AA1248" s="9"/>
      <c r="AB1248" s="9"/>
      <c r="AC1248" s="9"/>
      <c r="AD1248" s="9" t="s">
        <v>20</v>
      </c>
    </row>
    <row r="1249" spans="1:30" ht="29">
      <c r="A1249" s="3" t="s">
        <v>3307</v>
      </c>
      <c r="B1249" s="3" t="s">
        <v>8891</v>
      </c>
      <c r="C1249" s="3" t="s">
        <v>8890</v>
      </c>
      <c r="G1249" s="9" t="s">
        <v>25</v>
      </c>
      <c r="H1249" s="9"/>
      <c r="I1249" s="9">
        <v>2</v>
      </c>
      <c r="J1249" s="9">
        <v>9</v>
      </c>
      <c r="K1249" s="9"/>
      <c r="L1249" s="9" t="s">
        <v>12073</v>
      </c>
      <c r="M1249" s="9" t="s">
        <v>12140</v>
      </c>
      <c r="N1249" s="10" t="s">
        <v>12136</v>
      </c>
      <c r="O1249" s="9"/>
      <c r="P1249" s="9">
        <v>8</v>
      </c>
      <c r="Q1249" s="9"/>
      <c r="R1249" s="9" t="s">
        <v>12795</v>
      </c>
      <c r="S1249" s="9" t="s">
        <v>12795</v>
      </c>
      <c r="T1249" s="9" t="s">
        <v>12117</v>
      </c>
      <c r="U1249" s="9"/>
      <c r="V1249" s="9"/>
      <c r="W1249" s="9"/>
      <c r="X1249" s="9"/>
      <c r="Y1249" s="9"/>
      <c r="Z1249" s="9"/>
      <c r="AA1249" s="9"/>
      <c r="AB1249" s="9"/>
      <c r="AC1249" s="9"/>
      <c r="AD1249" s="9" t="s">
        <v>19</v>
      </c>
    </row>
    <row r="1250" spans="1:30" ht="116">
      <c r="A1250" s="3" t="s">
        <v>3308</v>
      </c>
      <c r="B1250" s="11" t="s">
        <v>12457</v>
      </c>
      <c r="C1250" s="11" t="s">
        <v>12458</v>
      </c>
      <c r="G1250" s="9" t="s">
        <v>26</v>
      </c>
      <c r="H1250" s="9"/>
      <c r="I1250" s="9"/>
      <c r="J1250" s="9"/>
      <c r="K1250" s="9"/>
      <c r="L1250" s="9"/>
      <c r="M1250" s="9"/>
      <c r="N1250" s="10"/>
      <c r="O1250" s="9"/>
      <c r="P1250" s="9"/>
      <c r="Q1250" s="9"/>
      <c r="R1250" s="9" t="s">
        <v>12795</v>
      </c>
      <c r="S1250" s="9" t="s">
        <v>12795</v>
      </c>
      <c r="T1250" s="9"/>
      <c r="U1250" s="9"/>
      <c r="V1250" s="9"/>
      <c r="W1250" s="9"/>
      <c r="X1250" s="9"/>
      <c r="Y1250" s="9"/>
      <c r="Z1250" s="9"/>
      <c r="AA1250" s="9"/>
      <c r="AB1250" s="9"/>
      <c r="AC1250" s="9"/>
      <c r="AD1250" s="9" t="s">
        <v>20</v>
      </c>
    </row>
    <row r="1251" spans="1:30" ht="116">
      <c r="A1251" s="3" t="s">
        <v>3308</v>
      </c>
      <c r="B1251" s="3" t="s">
        <v>12461</v>
      </c>
      <c r="C1251" s="3" t="s">
        <v>12462</v>
      </c>
      <c r="G1251" s="9" t="s">
        <v>12120</v>
      </c>
      <c r="H1251" s="9"/>
      <c r="I1251" s="9"/>
      <c r="J1251" s="9"/>
      <c r="K1251" s="9"/>
      <c r="L1251" s="9"/>
      <c r="M1251" s="9"/>
      <c r="N1251" s="10"/>
      <c r="O1251" s="9"/>
      <c r="P1251" s="9"/>
      <c r="Q1251" s="9"/>
      <c r="R1251" s="9" t="s">
        <v>12795</v>
      </c>
      <c r="S1251" s="9" t="s">
        <v>12795</v>
      </c>
      <c r="T1251" s="9"/>
      <c r="U1251" s="9"/>
      <c r="V1251" s="9"/>
      <c r="W1251" s="9"/>
      <c r="X1251" s="9"/>
      <c r="Y1251" s="9"/>
      <c r="Z1251" s="9"/>
      <c r="AA1251" s="9"/>
      <c r="AB1251" s="9"/>
      <c r="AC1251" s="9"/>
      <c r="AD1251" s="9" t="s">
        <v>20</v>
      </c>
    </row>
    <row r="1252" spans="1:30" ht="116">
      <c r="A1252" s="3" t="s">
        <v>3308</v>
      </c>
      <c r="B1252" s="3" t="s">
        <v>12460</v>
      </c>
      <c r="C1252" s="3" t="s">
        <v>12463</v>
      </c>
      <c r="G1252" s="9" t="s">
        <v>24</v>
      </c>
      <c r="H1252" s="9"/>
      <c r="I1252" s="9">
        <v>6</v>
      </c>
      <c r="J1252" s="9">
        <v>30</v>
      </c>
      <c r="K1252" s="9"/>
      <c r="L1252" s="9" t="s">
        <v>12079</v>
      </c>
      <c r="M1252" s="9"/>
      <c r="N1252" s="10"/>
      <c r="O1252" s="9"/>
      <c r="P1252" s="9">
        <v>31</v>
      </c>
      <c r="Q1252" s="9"/>
      <c r="R1252" s="9" t="s">
        <v>12795</v>
      </c>
      <c r="S1252" s="9" t="s">
        <v>12795</v>
      </c>
      <c r="T1252" s="9"/>
      <c r="U1252" s="9"/>
      <c r="V1252" s="9"/>
      <c r="W1252" s="9"/>
      <c r="X1252" s="9"/>
      <c r="Y1252" s="9"/>
      <c r="Z1252" s="9"/>
      <c r="AA1252" s="9"/>
      <c r="AB1252" s="9"/>
      <c r="AC1252" s="9"/>
      <c r="AD1252" s="9" t="s">
        <v>20</v>
      </c>
    </row>
    <row r="1253" spans="1:30" ht="29">
      <c r="A1253" s="3" t="s">
        <v>3309</v>
      </c>
      <c r="B1253" s="3" t="s">
        <v>8893</v>
      </c>
      <c r="C1253" s="3" t="s">
        <v>8892</v>
      </c>
      <c r="G1253" s="9" t="s">
        <v>25</v>
      </c>
      <c r="H1253" s="9"/>
      <c r="I1253" s="9">
        <v>2</v>
      </c>
      <c r="J1253" s="9">
        <v>8</v>
      </c>
      <c r="K1253" s="9"/>
      <c r="L1253" s="9" t="s">
        <v>12079</v>
      </c>
      <c r="M1253" s="9"/>
      <c r="N1253" s="10"/>
      <c r="O1253" s="9"/>
      <c r="P1253" s="9">
        <v>33</v>
      </c>
      <c r="Q1253" s="9"/>
      <c r="R1253" s="9" t="s">
        <v>12795</v>
      </c>
      <c r="S1253" s="9" t="s">
        <v>12795</v>
      </c>
      <c r="T1253" s="9"/>
      <c r="U1253" s="9"/>
      <c r="V1253" s="9"/>
      <c r="W1253" s="9"/>
      <c r="X1253" s="9"/>
      <c r="Y1253" s="9"/>
      <c r="Z1253" s="9"/>
      <c r="AA1253" s="9"/>
      <c r="AB1253" s="9"/>
      <c r="AC1253" s="9"/>
      <c r="AD1253" s="9" t="s">
        <v>20</v>
      </c>
    </row>
    <row r="1254" spans="1:30" ht="29">
      <c r="A1254" s="3" t="s">
        <v>3310</v>
      </c>
      <c r="B1254" s="3" t="s">
        <v>8894</v>
      </c>
      <c r="C1254" s="3" t="s">
        <v>8895</v>
      </c>
      <c r="G1254" s="9" t="s">
        <v>26</v>
      </c>
      <c r="H1254" s="9"/>
      <c r="I1254" s="9"/>
      <c r="J1254" s="9"/>
      <c r="K1254" s="9"/>
      <c r="L1254" s="9"/>
      <c r="M1254" s="9"/>
      <c r="N1254" s="10"/>
      <c r="O1254" s="9"/>
      <c r="P1254" s="9"/>
      <c r="Q1254" s="9"/>
      <c r="R1254" s="9" t="s">
        <v>12795</v>
      </c>
      <c r="S1254" s="9" t="s">
        <v>12795</v>
      </c>
      <c r="T1254" s="9"/>
      <c r="U1254" s="9"/>
      <c r="V1254" s="9"/>
      <c r="W1254" s="9"/>
      <c r="X1254" s="9"/>
      <c r="Y1254" s="9"/>
      <c r="Z1254" s="9"/>
      <c r="AA1254" s="9"/>
      <c r="AB1254" s="9"/>
      <c r="AC1254" s="9"/>
      <c r="AD1254" s="9" t="s">
        <v>13141</v>
      </c>
    </row>
    <row r="1255" spans="1:30" ht="29">
      <c r="A1255" s="3" t="s">
        <v>3310</v>
      </c>
      <c r="B1255" s="3" t="s">
        <v>8896</v>
      </c>
      <c r="C1255" s="3" t="s">
        <v>8897</v>
      </c>
      <c r="G1255" s="9" t="s">
        <v>12120</v>
      </c>
      <c r="H1255" s="9"/>
      <c r="I1255" s="9"/>
      <c r="J1255" s="9"/>
      <c r="K1255" s="9"/>
      <c r="L1255" s="9"/>
      <c r="M1255" s="9"/>
      <c r="N1255" s="10"/>
      <c r="O1255" s="9"/>
      <c r="P1255" s="9"/>
      <c r="Q1255" s="9"/>
      <c r="R1255" s="9" t="s">
        <v>12795</v>
      </c>
      <c r="S1255" s="9" t="s">
        <v>12795</v>
      </c>
      <c r="T1255" s="9"/>
      <c r="U1255" s="9"/>
      <c r="V1255" s="9"/>
      <c r="W1255" s="9"/>
      <c r="X1255" s="9"/>
      <c r="Y1255" s="9"/>
      <c r="Z1255" s="9"/>
      <c r="AA1255" s="9"/>
      <c r="AB1255" s="9"/>
      <c r="AC1255" s="9"/>
      <c r="AD1255" s="9" t="s">
        <v>20</v>
      </c>
    </row>
    <row r="1256" spans="1:30" ht="29">
      <c r="A1256" s="3" t="s">
        <v>3318</v>
      </c>
      <c r="B1256" s="3" t="s">
        <v>8904</v>
      </c>
      <c r="C1256" s="3" t="s">
        <v>8905</v>
      </c>
      <c r="G1256" s="9" t="s">
        <v>12118</v>
      </c>
      <c r="H1256" s="9"/>
      <c r="I1256" s="9"/>
      <c r="J1256" s="9"/>
      <c r="K1256" s="9"/>
      <c r="L1256" s="9"/>
      <c r="M1256" s="9"/>
      <c r="N1256" s="10"/>
      <c r="O1256" s="9"/>
      <c r="P1256" s="9"/>
      <c r="Q1256" s="9">
        <v>-4</v>
      </c>
      <c r="R1256" s="9">
        <v>6</v>
      </c>
      <c r="S1256" s="9">
        <v>2</v>
      </c>
      <c r="T1256" s="9"/>
      <c r="U1256" s="9"/>
      <c r="V1256" s="9"/>
      <c r="W1256" s="9"/>
      <c r="X1256" s="9"/>
      <c r="Y1256" s="9"/>
      <c r="Z1256" s="9"/>
      <c r="AA1256" s="9"/>
      <c r="AB1256" s="9"/>
      <c r="AC1256" s="9"/>
      <c r="AD1256" s="9" t="s">
        <v>20</v>
      </c>
    </row>
    <row r="1257" spans="1:30" ht="29">
      <c r="A1257" s="3" t="s">
        <v>3321</v>
      </c>
      <c r="B1257" s="3" t="s">
        <v>8908</v>
      </c>
      <c r="C1257" s="3" t="s">
        <v>8911</v>
      </c>
      <c r="G1257" s="9" t="s">
        <v>24</v>
      </c>
      <c r="H1257" s="9"/>
      <c r="I1257" s="9">
        <v>1</v>
      </c>
      <c r="J1257" s="9">
        <v>1</v>
      </c>
      <c r="K1257" s="9" t="s">
        <v>12078</v>
      </c>
      <c r="L1257" s="9" t="s">
        <v>12119</v>
      </c>
      <c r="M1257" s="9"/>
      <c r="N1257" s="10"/>
      <c r="O1257" s="9"/>
      <c r="P1257" s="9">
        <v>11843</v>
      </c>
      <c r="Q1257" s="9"/>
      <c r="R1257" s="9" t="s">
        <v>12795</v>
      </c>
      <c r="S1257" s="9" t="s">
        <v>12795</v>
      </c>
      <c r="T1257" s="9" t="s">
        <v>12117</v>
      </c>
      <c r="U1257" s="9"/>
      <c r="V1257" s="9"/>
      <c r="W1257" s="9"/>
      <c r="X1257" s="9"/>
      <c r="Y1257" s="9"/>
      <c r="Z1257" s="9"/>
      <c r="AA1257" s="9"/>
      <c r="AB1257" s="9"/>
      <c r="AC1257" s="9"/>
      <c r="AD1257" s="9" t="s">
        <v>19</v>
      </c>
    </row>
    <row r="1258" spans="1:30" ht="58">
      <c r="A1258" s="3" t="s">
        <v>3321</v>
      </c>
      <c r="B1258" s="3" t="s">
        <v>8912</v>
      </c>
      <c r="C1258" s="3" t="s">
        <v>8913</v>
      </c>
      <c r="G1258" s="9" t="s">
        <v>25</v>
      </c>
      <c r="H1258" s="9"/>
      <c r="I1258" s="9">
        <v>7</v>
      </c>
      <c r="J1258" s="9">
        <v>26</v>
      </c>
      <c r="K1258" s="9"/>
      <c r="L1258" s="9" t="s">
        <v>12073</v>
      </c>
      <c r="M1258" s="9" t="s">
        <v>12154</v>
      </c>
      <c r="N1258" s="10" t="s">
        <v>12466</v>
      </c>
      <c r="O1258" s="9"/>
      <c r="P1258" s="9"/>
      <c r="Q1258" s="9"/>
      <c r="R1258" s="9" t="s">
        <v>12795</v>
      </c>
      <c r="S1258" s="9" t="s">
        <v>12795</v>
      </c>
      <c r="T1258" s="9"/>
      <c r="U1258" s="9"/>
      <c r="V1258" s="9"/>
      <c r="W1258" s="9"/>
      <c r="X1258" s="9"/>
      <c r="Y1258" s="9"/>
      <c r="Z1258" s="9"/>
      <c r="AA1258" s="9"/>
      <c r="AB1258" s="9"/>
      <c r="AC1258" s="9"/>
      <c r="AD1258" s="9" t="s">
        <v>20</v>
      </c>
    </row>
    <row r="1259" spans="1:30" ht="29">
      <c r="A1259" s="3" t="s">
        <v>3322</v>
      </c>
      <c r="B1259" s="3" t="s">
        <v>8915</v>
      </c>
      <c r="C1259" s="3" t="s">
        <v>8914</v>
      </c>
      <c r="G1259" s="9" t="s">
        <v>24</v>
      </c>
      <c r="H1259" s="9"/>
      <c r="I1259" s="9">
        <v>2</v>
      </c>
      <c r="J1259" s="9">
        <v>7</v>
      </c>
      <c r="K1259" s="9"/>
      <c r="L1259" s="9" t="s">
        <v>12079</v>
      </c>
      <c r="M1259" s="9"/>
      <c r="N1259" s="10"/>
      <c r="O1259" s="9"/>
      <c r="P1259" s="9">
        <v>635</v>
      </c>
      <c r="Q1259" s="9"/>
      <c r="R1259" s="9" t="s">
        <v>12795</v>
      </c>
      <c r="S1259" s="9" t="s">
        <v>12795</v>
      </c>
      <c r="T1259" s="9" t="s">
        <v>4</v>
      </c>
      <c r="U1259" s="9"/>
      <c r="V1259" s="9"/>
      <c r="W1259" s="9"/>
      <c r="X1259" s="9"/>
      <c r="Y1259" s="9"/>
      <c r="Z1259" s="9"/>
      <c r="AA1259" s="9"/>
      <c r="AB1259" s="9"/>
      <c r="AC1259" s="9"/>
      <c r="AD1259" s="9" t="s">
        <v>19</v>
      </c>
    </row>
    <row r="1260" spans="1:30" ht="29">
      <c r="A1260" s="3" t="s">
        <v>3326</v>
      </c>
      <c r="B1260" s="3" t="s">
        <v>8921</v>
      </c>
      <c r="C1260" s="3" t="s">
        <v>8920</v>
      </c>
      <c r="E1260" t="s">
        <v>20</v>
      </c>
      <c r="G1260" s="9" t="s">
        <v>12118</v>
      </c>
      <c r="H1260" s="9"/>
      <c r="I1260" s="9"/>
      <c r="J1260" s="9"/>
      <c r="K1260" s="9"/>
      <c r="L1260" s="9"/>
      <c r="M1260" s="9"/>
      <c r="N1260" s="10"/>
      <c r="O1260" s="9"/>
      <c r="P1260" s="9"/>
      <c r="Q1260" s="9">
        <v>1846</v>
      </c>
      <c r="R1260" s="9">
        <v>196</v>
      </c>
      <c r="S1260" s="9">
        <v>2042</v>
      </c>
      <c r="T1260" s="9" t="s">
        <v>12117</v>
      </c>
      <c r="U1260" s="9"/>
      <c r="V1260" s="9"/>
      <c r="W1260" s="9"/>
      <c r="X1260" s="9"/>
      <c r="Y1260" s="9"/>
      <c r="Z1260" s="9"/>
      <c r="AA1260" s="9"/>
      <c r="AB1260" s="9"/>
      <c r="AC1260" s="9"/>
      <c r="AD1260" s="9" t="s">
        <v>19</v>
      </c>
    </row>
    <row r="1261" spans="1:30" ht="29">
      <c r="A1261" s="3" t="s">
        <v>3327</v>
      </c>
      <c r="B1261" s="3" t="s">
        <v>8923</v>
      </c>
      <c r="C1261" s="3" t="s">
        <v>8922</v>
      </c>
      <c r="G1261" s="9" t="s">
        <v>12120</v>
      </c>
      <c r="H1261" s="9"/>
      <c r="I1261" s="9"/>
      <c r="J1261" s="9"/>
      <c r="K1261" s="9"/>
      <c r="L1261" s="9"/>
      <c r="M1261" s="9"/>
      <c r="N1261" s="10"/>
      <c r="O1261" s="9"/>
      <c r="P1261" s="9"/>
      <c r="Q1261" s="9"/>
      <c r="R1261" s="9" t="s">
        <v>12795</v>
      </c>
      <c r="S1261" s="9" t="s">
        <v>12795</v>
      </c>
      <c r="T1261" s="9"/>
      <c r="U1261" s="9"/>
      <c r="V1261" s="9"/>
      <c r="W1261" s="9"/>
      <c r="X1261" s="9"/>
      <c r="Y1261" s="9"/>
      <c r="Z1261" s="9"/>
      <c r="AA1261" s="9"/>
      <c r="AB1261" s="9"/>
      <c r="AC1261" s="9"/>
      <c r="AD1261" s="9" t="s">
        <v>19</v>
      </c>
    </row>
    <row r="1262" spans="1:30" ht="29">
      <c r="A1262" s="3" t="s">
        <v>3328</v>
      </c>
      <c r="B1262" s="3" t="s">
        <v>8925</v>
      </c>
      <c r="C1262" s="3" t="s">
        <v>8924</v>
      </c>
      <c r="G1262" s="9" t="s">
        <v>24</v>
      </c>
      <c r="H1262" s="9"/>
      <c r="I1262" s="9">
        <v>1</v>
      </c>
      <c r="J1262" s="9">
        <v>3</v>
      </c>
      <c r="K1262" s="9" t="s">
        <v>12094</v>
      </c>
      <c r="L1262" s="9" t="s">
        <v>12079</v>
      </c>
      <c r="M1262" s="9"/>
      <c r="N1262" s="10"/>
      <c r="O1262" s="9"/>
      <c r="P1262" s="9">
        <v>1496</v>
      </c>
      <c r="Q1262" s="9"/>
      <c r="R1262" s="9" t="s">
        <v>12795</v>
      </c>
      <c r="S1262" s="9" t="s">
        <v>12795</v>
      </c>
      <c r="T1262" s="9"/>
      <c r="U1262" s="9"/>
      <c r="V1262" s="9"/>
      <c r="W1262" s="9"/>
      <c r="X1262" s="9"/>
      <c r="Y1262" s="9"/>
      <c r="Z1262" s="9"/>
      <c r="AA1262" s="9"/>
      <c r="AB1262" s="9"/>
      <c r="AC1262" s="9"/>
      <c r="AD1262" s="9" t="s">
        <v>19</v>
      </c>
    </row>
    <row r="1263" spans="1:30" ht="29">
      <c r="A1263" s="3" t="s">
        <v>3330</v>
      </c>
      <c r="B1263" s="3" t="s">
        <v>8928</v>
      </c>
      <c r="C1263" s="3" t="s">
        <v>8929</v>
      </c>
      <c r="G1263" s="9" t="s">
        <v>25</v>
      </c>
      <c r="H1263" s="9"/>
      <c r="I1263" s="9">
        <v>1</v>
      </c>
      <c r="J1263" s="9">
        <v>6</v>
      </c>
      <c r="K1263" s="9" t="s">
        <v>12094</v>
      </c>
      <c r="L1263" s="9" t="s">
        <v>12073</v>
      </c>
      <c r="M1263" s="9" t="s">
        <v>12142</v>
      </c>
      <c r="N1263" s="10" t="s">
        <v>12160</v>
      </c>
      <c r="O1263" s="9"/>
      <c r="P1263" s="9">
        <v>156</v>
      </c>
      <c r="Q1263" s="9"/>
      <c r="R1263" s="9" t="s">
        <v>12795</v>
      </c>
      <c r="S1263" s="9" t="s">
        <v>12795</v>
      </c>
      <c r="T1263" s="9"/>
      <c r="U1263" s="9"/>
      <c r="V1263" s="9"/>
      <c r="W1263" s="9"/>
      <c r="X1263" s="9"/>
      <c r="Y1263" s="9"/>
      <c r="Z1263" s="9"/>
      <c r="AA1263" s="9"/>
      <c r="AB1263" s="9"/>
      <c r="AC1263" s="9"/>
      <c r="AD1263" s="9" t="s">
        <v>20</v>
      </c>
    </row>
    <row r="1264" spans="1:30" ht="29">
      <c r="A1264" s="3" t="s">
        <v>3333</v>
      </c>
      <c r="B1264" s="3" t="s">
        <v>8930</v>
      </c>
      <c r="C1264" s="3" t="s">
        <v>8931</v>
      </c>
      <c r="G1264" s="9" t="s">
        <v>12120</v>
      </c>
      <c r="H1264" s="9"/>
      <c r="I1264" s="9"/>
      <c r="J1264" s="9"/>
      <c r="K1264" s="9"/>
      <c r="L1264" s="9"/>
      <c r="M1264" s="9"/>
      <c r="N1264" s="10"/>
      <c r="O1264" s="9"/>
      <c r="P1264" s="9"/>
      <c r="Q1264" s="9"/>
      <c r="R1264" s="9" t="s">
        <v>12795</v>
      </c>
      <c r="S1264" s="9" t="s">
        <v>12795</v>
      </c>
      <c r="T1264" s="9"/>
      <c r="U1264" s="9"/>
      <c r="V1264" s="9"/>
      <c r="W1264" s="9"/>
      <c r="X1264" s="9"/>
      <c r="Y1264" s="9"/>
      <c r="Z1264" s="9"/>
      <c r="AA1264" s="9"/>
      <c r="AB1264" s="9"/>
      <c r="AC1264" s="9"/>
      <c r="AD1264" s="9" t="s">
        <v>19</v>
      </c>
    </row>
    <row r="1265" spans="1:30" ht="29">
      <c r="A1265" s="3" t="s">
        <v>3334</v>
      </c>
      <c r="B1265" s="3" t="s">
        <v>12469</v>
      </c>
      <c r="C1265" s="3" t="s">
        <v>12468</v>
      </c>
      <c r="G1265" s="9" t="s">
        <v>12118</v>
      </c>
      <c r="H1265" s="9"/>
      <c r="I1265" s="9"/>
      <c r="J1265" s="9"/>
      <c r="K1265" s="9"/>
      <c r="L1265" s="9"/>
      <c r="M1265" s="9"/>
      <c r="N1265" s="10"/>
      <c r="O1265" s="9"/>
      <c r="P1265" s="9"/>
      <c r="Q1265" s="9">
        <v>245</v>
      </c>
      <c r="R1265" s="9">
        <v>1496</v>
      </c>
      <c r="S1265" s="9">
        <v>1741</v>
      </c>
      <c r="T1265" s="9"/>
      <c r="U1265" s="9"/>
      <c r="V1265" s="9"/>
      <c r="W1265" s="9"/>
      <c r="X1265" s="9"/>
      <c r="Y1265" s="9"/>
      <c r="Z1265" s="9"/>
      <c r="AA1265" s="9"/>
      <c r="AB1265" s="9"/>
      <c r="AC1265" s="9"/>
      <c r="AD1265" s="9" t="s">
        <v>19</v>
      </c>
    </row>
    <row r="1266" spans="1:30" ht="29">
      <c r="A1266" s="3" t="s">
        <v>3335</v>
      </c>
      <c r="B1266" s="3" t="s">
        <v>8933</v>
      </c>
      <c r="C1266" s="3" t="s">
        <v>8934</v>
      </c>
      <c r="G1266" s="9" t="s">
        <v>12120</v>
      </c>
      <c r="H1266" s="9"/>
      <c r="I1266" s="9"/>
      <c r="J1266" s="9"/>
      <c r="K1266" s="9"/>
      <c r="L1266" s="9"/>
      <c r="M1266" s="9"/>
      <c r="N1266" s="10"/>
      <c r="O1266" s="9"/>
      <c r="P1266" s="9"/>
      <c r="Q1266" s="9"/>
      <c r="R1266" s="9" t="s">
        <v>12795</v>
      </c>
      <c r="S1266" s="9" t="s">
        <v>12795</v>
      </c>
      <c r="T1266" s="9" t="s">
        <v>12117</v>
      </c>
      <c r="U1266" s="9"/>
      <c r="V1266" s="9"/>
      <c r="W1266" s="9"/>
      <c r="X1266" s="9"/>
      <c r="Y1266" s="9"/>
      <c r="Z1266" s="9"/>
      <c r="AA1266" s="9"/>
      <c r="AB1266" s="9"/>
      <c r="AC1266" s="9"/>
      <c r="AD1266" s="9" t="s">
        <v>19</v>
      </c>
    </row>
    <row r="1267" spans="1:30" ht="29">
      <c r="A1267" s="3" t="s">
        <v>3339</v>
      </c>
      <c r="B1267" s="3" t="s">
        <v>1269</v>
      </c>
      <c r="C1267" s="3" t="s">
        <v>1248</v>
      </c>
      <c r="G1267" s="9" t="s">
        <v>12120</v>
      </c>
      <c r="H1267" s="9"/>
      <c r="I1267" s="9"/>
      <c r="J1267" s="9"/>
      <c r="K1267" s="9"/>
      <c r="L1267" s="9"/>
      <c r="M1267" s="9"/>
      <c r="N1267" s="10"/>
      <c r="O1267" s="9"/>
      <c r="P1267" s="9"/>
      <c r="Q1267" s="9"/>
      <c r="R1267" s="9" t="s">
        <v>12795</v>
      </c>
      <c r="S1267" s="9" t="s">
        <v>12795</v>
      </c>
      <c r="T1267" s="9"/>
      <c r="U1267" s="9"/>
      <c r="V1267" s="9"/>
      <c r="W1267" s="9"/>
      <c r="X1267" s="9"/>
      <c r="Y1267" s="9"/>
      <c r="Z1267" s="9"/>
      <c r="AA1267" s="9"/>
      <c r="AB1267" s="9"/>
      <c r="AC1267" s="9"/>
      <c r="AD1267" s="9" t="s">
        <v>19</v>
      </c>
    </row>
    <row r="1268" spans="1:30" ht="29">
      <c r="A1268" s="3" t="s">
        <v>3340</v>
      </c>
      <c r="B1268" s="3" t="s">
        <v>8939</v>
      </c>
      <c r="C1268" s="3" t="s">
        <v>8940</v>
      </c>
      <c r="G1268" s="9" t="s">
        <v>25</v>
      </c>
      <c r="H1268" s="9"/>
      <c r="I1268" s="9">
        <v>1</v>
      </c>
      <c r="J1268" s="9">
        <v>3</v>
      </c>
      <c r="K1268" s="9" t="s">
        <v>12087</v>
      </c>
      <c r="L1268" s="9" t="s">
        <v>12079</v>
      </c>
      <c r="M1268" s="9"/>
      <c r="N1268" s="10"/>
      <c r="O1268" s="9"/>
      <c r="P1268" s="9">
        <v>356</v>
      </c>
      <c r="Q1268" s="9"/>
      <c r="R1268" s="9" t="s">
        <v>12795</v>
      </c>
      <c r="S1268" s="9" t="s">
        <v>12795</v>
      </c>
      <c r="T1268" s="9"/>
      <c r="U1268" s="9"/>
      <c r="V1268" s="9"/>
      <c r="W1268" s="9"/>
      <c r="X1268" s="9"/>
      <c r="Y1268" s="9"/>
      <c r="Z1268" s="9"/>
      <c r="AA1268" s="9"/>
      <c r="AB1268" s="9"/>
      <c r="AC1268" s="9"/>
      <c r="AD1268" s="9" t="s">
        <v>20</v>
      </c>
    </row>
    <row r="1269" spans="1:30" ht="29">
      <c r="A1269" s="3" t="s">
        <v>3340</v>
      </c>
      <c r="B1269" s="3" t="s">
        <v>8942</v>
      </c>
      <c r="C1269" s="3" t="s">
        <v>8941</v>
      </c>
      <c r="G1269" s="9" t="s">
        <v>12118</v>
      </c>
      <c r="H1269" s="9"/>
      <c r="I1269" s="9"/>
      <c r="J1269" s="9"/>
      <c r="K1269" s="9"/>
      <c r="L1269" s="9"/>
      <c r="M1269" s="9"/>
      <c r="N1269" s="10"/>
      <c r="O1269" s="9"/>
      <c r="P1269" s="9"/>
      <c r="Q1269" s="9">
        <v>-800</v>
      </c>
      <c r="R1269" s="9">
        <v>887</v>
      </c>
      <c r="S1269" s="9">
        <v>87</v>
      </c>
      <c r="T1269" s="9"/>
      <c r="U1269" s="9"/>
      <c r="V1269" s="9"/>
      <c r="W1269" s="9"/>
      <c r="X1269" s="9"/>
      <c r="Y1269" s="9"/>
      <c r="Z1269" s="9"/>
      <c r="AA1269" s="9"/>
      <c r="AB1269" s="9"/>
      <c r="AC1269" s="9"/>
      <c r="AD1269" s="9" t="s">
        <v>19</v>
      </c>
    </row>
    <row r="1270" spans="1:30" ht="29">
      <c r="A1270" s="3" t="s">
        <v>3346</v>
      </c>
      <c r="B1270" s="3" t="s">
        <v>8950</v>
      </c>
      <c r="C1270" s="3" t="s">
        <v>8951</v>
      </c>
      <c r="G1270" s="9" t="s">
        <v>12120</v>
      </c>
      <c r="H1270" s="9"/>
      <c r="I1270" s="9"/>
      <c r="J1270" s="9"/>
      <c r="K1270" s="9"/>
      <c r="L1270" s="9"/>
      <c r="M1270" s="9"/>
      <c r="N1270" s="10"/>
      <c r="O1270" s="9"/>
      <c r="P1270" s="9"/>
      <c r="Q1270" s="9"/>
      <c r="R1270" s="9" t="s">
        <v>12795</v>
      </c>
      <c r="S1270" s="9" t="s">
        <v>12795</v>
      </c>
      <c r="T1270" s="9"/>
      <c r="U1270" s="9"/>
      <c r="V1270" s="9"/>
      <c r="W1270" s="9"/>
      <c r="X1270" s="9"/>
      <c r="Y1270" s="9"/>
      <c r="Z1270" s="9"/>
      <c r="AA1270" s="9"/>
      <c r="AB1270" s="9"/>
      <c r="AC1270" s="9"/>
      <c r="AD1270" s="9" t="s">
        <v>20</v>
      </c>
    </row>
    <row r="1271" spans="1:30" ht="29">
      <c r="A1271" s="3" t="s">
        <v>3347</v>
      </c>
      <c r="B1271" s="3" t="s">
        <v>8954</v>
      </c>
      <c r="C1271" s="3" t="s">
        <v>8955</v>
      </c>
      <c r="G1271" s="9" t="s">
        <v>26</v>
      </c>
      <c r="H1271" s="9"/>
      <c r="I1271" s="9"/>
      <c r="J1271" s="9"/>
      <c r="K1271" s="9"/>
      <c r="L1271" s="9"/>
      <c r="M1271" s="9"/>
      <c r="N1271" s="10"/>
      <c r="O1271" s="9"/>
      <c r="P1271" s="9"/>
      <c r="Q1271" s="9"/>
      <c r="R1271" s="9" t="s">
        <v>12795</v>
      </c>
      <c r="S1271" s="9" t="s">
        <v>12795</v>
      </c>
      <c r="T1271" s="9"/>
      <c r="U1271" s="9"/>
      <c r="V1271" s="9"/>
      <c r="W1271" s="9"/>
      <c r="X1271" s="9"/>
      <c r="Y1271" s="9"/>
      <c r="Z1271" s="9"/>
      <c r="AA1271" s="9"/>
      <c r="AB1271" s="9"/>
      <c r="AC1271" s="9"/>
      <c r="AD1271" s="9" t="s">
        <v>20</v>
      </c>
    </row>
    <row r="1272" spans="1:30" ht="29">
      <c r="A1272" s="3" t="s">
        <v>3348</v>
      </c>
      <c r="B1272" s="3" t="s">
        <v>13058</v>
      </c>
      <c r="C1272" s="3" t="s">
        <v>13059</v>
      </c>
      <c r="E1272" t="s">
        <v>20</v>
      </c>
      <c r="G1272" s="9" t="s">
        <v>12120</v>
      </c>
      <c r="H1272" s="9"/>
      <c r="I1272" s="9"/>
      <c r="J1272" s="9"/>
      <c r="K1272" s="9"/>
      <c r="L1272" s="9"/>
      <c r="M1272" s="9"/>
      <c r="N1272" s="10"/>
      <c r="O1272" s="9"/>
      <c r="P1272" s="9"/>
      <c r="Q1272" s="9"/>
      <c r="R1272" s="9" t="s">
        <v>12795</v>
      </c>
      <c r="S1272" s="9" t="s">
        <v>12795</v>
      </c>
      <c r="T1272" s="9"/>
      <c r="U1272" s="9"/>
      <c r="V1272" s="9"/>
      <c r="W1272" s="9"/>
      <c r="X1272" s="9"/>
      <c r="Y1272" s="9"/>
      <c r="Z1272" s="9"/>
      <c r="AA1272" s="9"/>
      <c r="AB1272" s="9"/>
      <c r="AC1272" s="9"/>
      <c r="AD1272" s="9" t="s">
        <v>19</v>
      </c>
    </row>
    <row r="1273" spans="1:30" ht="29">
      <c r="A1273" s="3" t="s">
        <v>3348</v>
      </c>
      <c r="B1273" s="11" t="s">
        <v>8959</v>
      </c>
      <c r="C1273" s="3" t="s">
        <v>8958</v>
      </c>
      <c r="G1273" s="9" t="s">
        <v>24</v>
      </c>
      <c r="H1273" s="9"/>
      <c r="I1273" s="9">
        <v>1</v>
      </c>
      <c r="J1273" s="9">
        <v>2</v>
      </c>
      <c r="K1273" s="9" t="s">
        <v>12094</v>
      </c>
      <c r="L1273" s="9" t="s">
        <v>12119</v>
      </c>
      <c r="M1273" s="9"/>
      <c r="N1273" s="10"/>
      <c r="O1273" s="9"/>
      <c r="P1273" s="9">
        <v>1741</v>
      </c>
      <c r="Q1273" s="9"/>
      <c r="R1273" s="9" t="s">
        <v>12795</v>
      </c>
      <c r="S1273" s="9" t="s">
        <v>12795</v>
      </c>
      <c r="T1273" s="9"/>
      <c r="U1273" s="9"/>
      <c r="V1273" s="9"/>
      <c r="W1273" s="9"/>
      <c r="X1273" s="9"/>
      <c r="Y1273" s="9"/>
      <c r="Z1273" s="9"/>
      <c r="AA1273" s="9"/>
      <c r="AB1273" s="9"/>
      <c r="AC1273" s="9"/>
      <c r="AD1273" s="9" t="s">
        <v>19</v>
      </c>
    </row>
    <row r="1274" spans="1:30" ht="29">
      <c r="A1274" s="3" t="s">
        <v>3352</v>
      </c>
      <c r="B1274" s="3" t="s">
        <v>1269</v>
      </c>
      <c r="C1274" s="3" t="s">
        <v>1248</v>
      </c>
      <c r="G1274" s="9" t="s">
        <v>12120</v>
      </c>
      <c r="H1274" s="9"/>
      <c r="I1274" s="9"/>
      <c r="J1274" s="9"/>
      <c r="K1274" s="9"/>
      <c r="L1274" s="9"/>
      <c r="M1274" s="9"/>
      <c r="N1274" s="10"/>
      <c r="O1274" s="9"/>
      <c r="P1274" s="9"/>
      <c r="Q1274" s="9"/>
      <c r="R1274" s="9" t="s">
        <v>12795</v>
      </c>
      <c r="S1274" s="9" t="s">
        <v>12795</v>
      </c>
      <c r="T1274" s="9"/>
      <c r="U1274" s="9"/>
      <c r="V1274" s="9"/>
      <c r="W1274" s="9"/>
      <c r="X1274" s="9"/>
      <c r="Y1274" s="9"/>
      <c r="Z1274" s="9"/>
      <c r="AA1274" s="9"/>
      <c r="AB1274" s="9"/>
      <c r="AC1274" s="9"/>
      <c r="AD1274" s="9" t="s">
        <v>19</v>
      </c>
    </row>
    <row r="1275" spans="1:30" ht="29">
      <c r="A1275" s="3" t="s">
        <v>3353</v>
      </c>
      <c r="B1275" s="3" t="s">
        <v>8966</v>
      </c>
      <c r="C1275" s="3" t="s">
        <v>8967</v>
      </c>
      <c r="G1275" s="9" t="s">
        <v>25</v>
      </c>
      <c r="H1275" s="9"/>
      <c r="I1275" s="9">
        <v>1</v>
      </c>
      <c r="J1275" s="9">
        <v>3</v>
      </c>
      <c r="K1275" s="9" t="s">
        <v>12087</v>
      </c>
      <c r="L1275" s="9" t="s">
        <v>12079</v>
      </c>
      <c r="M1275" s="9"/>
      <c r="N1275" s="10"/>
      <c r="O1275" s="9"/>
      <c r="P1275" s="9">
        <v>356</v>
      </c>
      <c r="Q1275" s="9"/>
      <c r="R1275" s="9" t="s">
        <v>12795</v>
      </c>
      <c r="S1275" s="9" t="s">
        <v>12795</v>
      </c>
      <c r="T1275" s="9"/>
      <c r="U1275" s="9"/>
      <c r="V1275" s="9"/>
      <c r="W1275" s="9"/>
      <c r="X1275" s="9"/>
      <c r="Y1275" s="9"/>
      <c r="Z1275" s="9"/>
      <c r="AA1275" s="9"/>
      <c r="AB1275" s="9"/>
      <c r="AC1275" s="9"/>
      <c r="AD1275" s="9" t="s">
        <v>19</v>
      </c>
    </row>
    <row r="1276" spans="1:30" ht="29">
      <c r="A1276" s="3" t="s">
        <v>3353</v>
      </c>
      <c r="B1276" s="3" t="s">
        <v>8969</v>
      </c>
      <c r="C1276" s="3" t="s">
        <v>8968</v>
      </c>
      <c r="G1276" s="9" t="s">
        <v>25</v>
      </c>
      <c r="H1276" s="9"/>
      <c r="I1276" s="9">
        <v>1</v>
      </c>
      <c r="J1276" s="9">
        <v>4</v>
      </c>
      <c r="K1276" s="9" t="s">
        <v>12084</v>
      </c>
      <c r="L1276" s="9" t="s">
        <v>12079</v>
      </c>
      <c r="M1276" s="9"/>
      <c r="N1276" s="10"/>
      <c r="O1276" s="9"/>
      <c r="P1276" s="9">
        <v>13</v>
      </c>
      <c r="Q1276" s="9"/>
      <c r="R1276" s="9" t="s">
        <v>12795</v>
      </c>
      <c r="S1276" s="9" t="s">
        <v>12795</v>
      </c>
      <c r="T1276" s="9"/>
      <c r="U1276" s="9"/>
      <c r="V1276" s="9"/>
      <c r="W1276" s="9"/>
      <c r="X1276" s="9"/>
      <c r="Y1276" s="9"/>
      <c r="Z1276" s="9"/>
      <c r="AA1276" s="9"/>
      <c r="AB1276" s="9"/>
      <c r="AC1276" s="9"/>
      <c r="AD1276" s="9" t="s">
        <v>20</v>
      </c>
    </row>
    <row r="1277" spans="1:30" ht="29">
      <c r="A1277" s="3" t="s">
        <v>3354</v>
      </c>
      <c r="B1277" s="3" t="s">
        <v>8975</v>
      </c>
      <c r="C1277" s="3" t="s">
        <v>8974</v>
      </c>
      <c r="G1277" s="9" t="s">
        <v>25</v>
      </c>
      <c r="H1277" s="9"/>
      <c r="I1277" s="9">
        <v>1</v>
      </c>
      <c r="J1277" s="9">
        <v>9</v>
      </c>
      <c r="K1277" s="9" t="s">
        <v>12098</v>
      </c>
      <c r="L1277" s="9" t="s">
        <v>12073</v>
      </c>
      <c r="M1277" s="9" t="s">
        <v>12149</v>
      </c>
      <c r="N1277" s="10" t="s">
        <v>12160</v>
      </c>
      <c r="O1277" s="9"/>
      <c r="P1277" s="9">
        <v>35</v>
      </c>
      <c r="Q1277" s="9"/>
      <c r="R1277" s="9" t="s">
        <v>12795</v>
      </c>
      <c r="S1277" s="9" t="s">
        <v>12795</v>
      </c>
      <c r="T1277" s="9"/>
      <c r="U1277" s="9"/>
      <c r="V1277" s="9"/>
      <c r="W1277" s="9"/>
      <c r="X1277" s="9"/>
      <c r="Y1277" s="9"/>
      <c r="Z1277" s="9"/>
      <c r="AA1277" s="9"/>
      <c r="AB1277" s="9"/>
      <c r="AC1277" s="9"/>
      <c r="AD1277" s="9" t="s">
        <v>19</v>
      </c>
    </row>
    <row r="1278" spans="1:30" ht="29">
      <c r="A1278" s="3" t="s">
        <v>3355</v>
      </c>
      <c r="B1278" s="3" t="s">
        <v>8976</v>
      </c>
      <c r="C1278" s="3" t="s">
        <v>8977</v>
      </c>
      <c r="G1278" s="9" t="s">
        <v>24</v>
      </c>
      <c r="H1278" s="9"/>
      <c r="I1278" s="9">
        <v>2</v>
      </c>
      <c r="J1278" s="9">
        <v>13</v>
      </c>
      <c r="K1278" s="9"/>
      <c r="L1278" s="9" t="s">
        <v>12079</v>
      </c>
      <c r="M1278" s="9"/>
      <c r="N1278" s="10"/>
      <c r="O1278" s="9"/>
      <c r="P1278" s="9">
        <v>1565</v>
      </c>
      <c r="Q1278" s="9"/>
      <c r="R1278" s="9" t="s">
        <v>12795</v>
      </c>
      <c r="S1278" s="9" t="s">
        <v>12795</v>
      </c>
      <c r="T1278" s="9"/>
      <c r="U1278" s="9"/>
      <c r="V1278" s="9"/>
      <c r="W1278" s="9"/>
      <c r="X1278" s="9"/>
      <c r="Y1278" s="9"/>
      <c r="Z1278" s="9"/>
      <c r="AA1278" s="9"/>
      <c r="AB1278" s="9"/>
      <c r="AC1278" s="9"/>
      <c r="AD1278" s="9" t="s">
        <v>19</v>
      </c>
    </row>
    <row r="1279" spans="1:30" ht="29">
      <c r="A1279" s="3" t="s">
        <v>3356</v>
      </c>
      <c r="B1279" s="3" t="s">
        <v>8984</v>
      </c>
      <c r="C1279" s="3" t="s">
        <v>8981</v>
      </c>
      <c r="G1279" s="9" t="s">
        <v>24</v>
      </c>
      <c r="H1279" s="9"/>
      <c r="I1279" s="9">
        <v>1</v>
      </c>
      <c r="J1279" s="9">
        <v>3</v>
      </c>
      <c r="K1279" s="9" t="s">
        <v>12094</v>
      </c>
      <c r="L1279" s="9" t="s">
        <v>12079</v>
      </c>
      <c r="M1279" s="9"/>
      <c r="N1279" s="10"/>
      <c r="O1279" s="9"/>
      <c r="P1279" s="9">
        <v>1496</v>
      </c>
      <c r="Q1279" s="9"/>
      <c r="R1279" s="9" t="s">
        <v>12795</v>
      </c>
      <c r="S1279" s="9" t="s">
        <v>12795</v>
      </c>
      <c r="T1279" s="9"/>
      <c r="U1279" s="9"/>
      <c r="V1279" s="9"/>
      <c r="W1279" s="9"/>
      <c r="X1279" s="9"/>
      <c r="Y1279" s="9"/>
      <c r="Z1279" s="9"/>
      <c r="AA1279" s="9"/>
      <c r="AB1279" s="9"/>
      <c r="AC1279" s="9"/>
      <c r="AD1279" s="9" t="s">
        <v>20</v>
      </c>
    </row>
    <row r="1280" spans="1:30" ht="29">
      <c r="A1280" s="3" t="s">
        <v>3357</v>
      </c>
      <c r="B1280" s="3" t="s">
        <v>8985</v>
      </c>
      <c r="C1280" s="3" t="s">
        <v>8980</v>
      </c>
      <c r="G1280" s="9" t="s">
        <v>25</v>
      </c>
      <c r="H1280" s="9"/>
      <c r="I1280" s="9">
        <v>1</v>
      </c>
      <c r="J1280" s="9">
        <v>4</v>
      </c>
      <c r="K1280" s="9" t="s">
        <v>12094</v>
      </c>
      <c r="L1280" s="9" t="s">
        <v>12079</v>
      </c>
      <c r="M1280" s="9"/>
      <c r="N1280" s="10"/>
      <c r="O1280" s="9"/>
      <c r="P1280" s="9">
        <v>1496</v>
      </c>
      <c r="Q1280" s="9"/>
      <c r="R1280" s="9" t="s">
        <v>12795</v>
      </c>
      <c r="S1280" s="9" t="s">
        <v>12795</v>
      </c>
      <c r="T1280" s="9"/>
      <c r="U1280" s="9"/>
      <c r="V1280" s="9"/>
      <c r="W1280" s="9"/>
      <c r="X1280" s="9"/>
      <c r="Y1280" s="9"/>
      <c r="Z1280" s="9"/>
      <c r="AA1280" s="9"/>
      <c r="AB1280" s="9"/>
      <c r="AC1280" s="9"/>
      <c r="AD1280" s="9" t="s">
        <v>19</v>
      </c>
    </row>
    <row r="1281" spans="1:30" ht="29">
      <c r="A1281" s="3" t="s">
        <v>3358</v>
      </c>
      <c r="B1281" s="3" t="s">
        <v>8986</v>
      </c>
      <c r="C1281" s="3" t="s">
        <v>8987</v>
      </c>
      <c r="G1281" s="9" t="s">
        <v>26</v>
      </c>
      <c r="H1281" s="9"/>
      <c r="I1281" s="9">
        <v>1</v>
      </c>
      <c r="J1281" s="9">
        <v>1</v>
      </c>
      <c r="K1281" s="9" t="s">
        <v>12094</v>
      </c>
      <c r="L1281" s="9" t="s">
        <v>12119</v>
      </c>
      <c r="M1281" s="9"/>
      <c r="N1281" s="10"/>
      <c r="O1281" s="9"/>
      <c r="P1281" s="9">
        <v>780</v>
      </c>
      <c r="Q1281" s="9"/>
      <c r="R1281" s="9" t="s">
        <v>12795</v>
      </c>
      <c r="S1281" s="9" t="s">
        <v>12795</v>
      </c>
      <c r="T1281" s="9"/>
      <c r="U1281" s="9"/>
      <c r="V1281" s="9"/>
      <c r="W1281" s="9"/>
      <c r="X1281" s="9"/>
      <c r="Y1281" s="9"/>
      <c r="Z1281" s="9"/>
      <c r="AA1281" s="9"/>
      <c r="AB1281" s="9"/>
      <c r="AC1281" s="9"/>
      <c r="AD1281" s="9" t="s">
        <v>19</v>
      </c>
    </row>
    <row r="1282" spans="1:30">
      <c r="A1282" s="3" t="s">
        <v>3359</v>
      </c>
      <c r="B1282" s="3" t="s">
        <v>8988</v>
      </c>
      <c r="C1282" s="3" t="s">
        <v>8989</v>
      </c>
      <c r="G1282" s="9" t="s">
        <v>25</v>
      </c>
      <c r="H1282" s="9"/>
      <c r="I1282" s="9">
        <v>1</v>
      </c>
      <c r="J1282" s="9">
        <v>3</v>
      </c>
      <c r="K1282" s="9" t="s">
        <v>12078</v>
      </c>
      <c r="L1282" s="9" t="s">
        <v>12079</v>
      </c>
      <c r="M1282" s="9"/>
      <c r="N1282" s="10"/>
      <c r="O1282" s="9"/>
      <c r="P1282" s="9">
        <v>11843</v>
      </c>
      <c r="Q1282" s="9"/>
      <c r="R1282" s="9" t="s">
        <v>12795</v>
      </c>
      <c r="S1282" s="9" t="s">
        <v>12795</v>
      </c>
      <c r="T1282" s="9"/>
      <c r="U1282" s="9"/>
      <c r="V1282" s="9"/>
      <c r="W1282" s="9"/>
      <c r="X1282" s="9"/>
      <c r="Y1282" s="9"/>
      <c r="Z1282" s="9"/>
      <c r="AA1282" s="9"/>
      <c r="AB1282" s="9"/>
      <c r="AC1282" s="9"/>
      <c r="AD1282" s="9" t="s">
        <v>13141</v>
      </c>
    </row>
    <row r="1283" spans="1:30">
      <c r="A1283" s="3" t="s">
        <v>3361</v>
      </c>
      <c r="B1283" s="3" t="s">
        <v>8992</v>
      </c>
      <c r="C1283" s="3" t="s">
        <v>8993</v>
      </c>
      <c r="G1283" s="9" t="s">
        <v>12118</v>
      </c>
      <c r="H1283" s="9"/>
      <c r="I1283" s="9"/>
      <c r="J1283" s="9"/>
      <c r="K1283" s="9"/>
      <c r="L1283" s="9"/>
      <c r="M1283" s="9"/>
      <c r="N1283" s="10"/>
      <c r="O1283" s="9"/>
      <c r="P1283" s="9"/>
      <c r="Q1283" s="9">
        <v>42</v>
      </c>
      <c r="R1283" s="9">
        <v>61</v>
      </c>
      <c r="S1283" s="9">
        <v>103</v>
      </c>
      <c r="T1283" s="9"/>
      <c r="U1283" s="9"/>
      <c r="V1283" s="9"/>
      <c r="W1283" s="9"/>
      <c r="X1283" s="9"/>
      <c r="Y1283" s="9"/>
      <c r="Z1283" s="9"/>
      <c r="AA1283" s="9"/>
      <c r="AB1283" s="9"/>
      <c r="AC1283" s="9"/>
      <c r="AD1283" s="9" t="s">
        <v>19</v>
      </c>
    </row>
    <row r="1284" spans="1:30" ht="29">
      <c r="A1284" s="3" t="s">
        <v>3362</v>
      </c>
      <c r="B1284" s="3" t="s">
        <v>8995</v>
      </c>
      <c r="C1284" s="3" t="s">
        <v>8994</v>
      </c>
      <c r="G1284" s="9" t="s">
        <v>25</v>
      </c>
      <c r="H1284" s="9"/>
      <c r="I1284" s="9">
        <v>1</v>
      </c>
      <c r="J1284" s="9">
        <v>3</v>
      </c>
      <c r="K1284" s="9" t="s">
        <v>12087</v>
      </c>
      <c r="L1284" s="9" t="s">
        <v>12079</v>
      </c>
      <c r="M1284" s="9"/>
      <c r="N1284" s="10"/>
      <c r="O1284" s="9"/>
      <c r="P1284" s="9">
        <v>356</v>
      </c>
      <c r="Q1284" s="9"/>
      <c r="R1284" s="9" t="s">
        <v>12795</v>
      </c>
      <c r="S1284" s="9" t="s">
        <v>12795</v>
      </c>
      <c r="T1284" s="9"/>
      <c r="U1284" s="9"/>
      <c r="V1284" s="9"/>
      <c r="W1284" s="9"/>
      <c r="X1284" s="9"/>
      <c r="Y1284" s="9"/>
      <c r="Z1284" s="9"/>
      <c r="AA1284" s="9"/>
      <c r="AB1284" s="9"/>
      <c r="AC1284" s="9"/>
      <c r="AD1284" s="9" t="s">
        <v>19</v>
      </c>
    </row>
    <row r="1285" spans="1:30" ht="29">
      <c r="A1285" s="3" t="s">
        <v>3362</v>
      </c>
      <c r="B1285" s="3" t="s">
        <v>8996</v>
      </c>
      <c r="C1285" s="3" t="s">
        <v>8997</v>
      </c>
      <c r="G1285" s="9" t="s">
        <v>12120</v>
      </c>
      <c r="H1285" s="9"/>
      <c r="I1285" s="9"/>
      <c r="J1285" s="9"/>
      <c r="K1285" s="9"/>
      <c r="L1285" s="9"/>
      <c r="M1285" s="9"/>
      <c r="N1285" s="10"/>
      <c r="O1285" s="9"/>
      <c r="P1285" s="9"/>
      <c r="Q1285" s="9"/>
      <c r="R1285" s="9" t="s">
        <v>12795</v>
      </c>
      <c r="S1285" s="9" t="s">
        <v>12795</v>
      </c>
      <c r="T1285" s="9"/>
      <c r="U1285" s="9"/>
      <c r="V1285" s="9"/>
      <c r="W1285" s="9"/>
      <c r="X1285" s="9"/>
      <c r="Y1285" s="9"/>
      <c r="Z1285" s="9"/>
      <c r="AA1285" s="9"/>
      <c r="AB1285" s="9"/>
      <c r="AC1285" s="9"/>
      <c r="AD1285" s="9" t="s">
        <v>19</v>
      </c>
    </row>
    <row r="1286" spans="1:30" ht="29">
      <c r="A1286" s="3" t="s">
        <v>3363</v>
      </c>
      <c r="B1286" s="3" t="s">
        <v>9001</v>
      </c>
      <c r="C1286" s="3" t="s">
        <v>9000</v>
      </c>
      <c r="G1286" s="9" t="s">
        <v>24</v>
      </c>
      <c r="H1286" s="9"/>
      <c r="I1286" s="9">
        <v>1</v>
      </c>
      <c r="J1286" s="9">
        <v>3</v>
      </c>
      <c r="K1286" s="9" t="s">
        <v>12087</v>
      </c>
      <c r="L1286" s="9" t="s">
        <v>12079</v>
      </c>
      <c r="M1286" s="9"/>
      <c r="N1286" s="10"/>
      <c r="O1286" s="9"/>
      <c r="P1286" s="9">
        <v>5676</v>
      </c>
      <c r="Q1286" s="9"/>
      <c r="R1286" s="9" t="s">
        <v>12795</v>
      </c>
      <c r="S1286" s="9" t="s">
        <v>12795</v>
      </c>
      <c r="T1286" s="9"/>
      <c r="U1286" s="9"/>
      <c r="V1286" s="9"/>
      <c r="W1286" s="9"/>
      <c r="X1286" s="9"/>
      <c r="Y1286" s="9"/>
      <c r="Z1286" s="9"/>
      <c r="AA1286" s="9"/>
      <c r="AB1286" s="9"/>
      <c r="AC1286" s="9"/>
      <c r="AD1286" s="9" t="s">
        <v>20</v>
      </c>
    </row>
    <row r="1287" spans="1:30" ht="29">
      <c r="A1287" s="3" t="s">
        <v>3368</v>
      </c>
      <c r="B1287" s="3" t="s">
        <v>1269</v>
      </c>
      <c r="C1287" s="3" t="s">
        <v>1248</v>
      </c>
      <c r="G1287" s="9" t="s">
        <v>12120</v>
      </c>
      <c r="H1287" s="9"/>
      <c r="I1287" s="9"/>
      <c r="J1287" s="9"/>
      <c r="K1287" s="9"/>
      <c r="L1287" s="9"/>
      <c r="M1287" s="9"/>
      <c r="N1287" s="10"/>
      <c r="O1287" s="9"/>
      <c r="P1287" s="9"/>
      <c r="Q1287" s="9"/>
      <c r="R1287" s="9" t="s">
        <v>12795</v>
      </c>
      <c r="S1287" s="9" t="s">
        <v>12795</v>
      </c>
      <c r="T1287" s="9" t="s">
        <v>4</v>
      </c>
      <c r="U1287" s="9"/>
      <c r="V1287" s="9"/>
      <c r="W1287" s="9"/>
      <c r="X1287" s="9"/>
      <c r="Y1287" s="9"/>
      <c r="Z1287" s="9"/>
      <c r="AA1287" s="9"/>
      <c r="AB1287" s="9"/>
      <c r="AC1287" s="9"/>
      <c r="AD1287" s="9" t="s">
        <v>19</v>
      </c>
    </row>
    <row r="1288" spans="1:30" ht="29">
      <c r="A1288" s="3" t="s">
        <v>3368</v>
      </c>
      <c r="B1288" s="3" t="s">
        <v>9002</v>
      </c>
      <c r="C1288" s="3" t="s">
        <v>9003</v>
      </c>
      <c r="G1288" s="9" t="s">
        <v>25</v>
      </c>
      <c r="H1288" s="9"/>
      <c r="I1288" s="9">
        <v>1</v>
      </c>
      <c r="J1288" s="9">
        <v>6</v>
      </c>
      <c r="K1288" s="9" t="s">
        <v>12094</v>
      </c>
      <c r="L1288" s="9" t="s">
        <v>12079</v>
      </c>
      <c r="M1288" s="9"/>
      <c r="N1288" s="10"/>
      <c r="O1288" s="9"/>
      <c r="P1288" s="9">
        <v>4240</v>
      </c>
      <c r="Q1288" s="9"/>
      <c r="R1288" s="9" t="s">
        <v>12795</v>
      </c>
      <c r="S1288" s="9" t="s">
        <v>12795</v>
      </c>
      <c r="T1288" s="9"/>
      <c r="U1288" s="9"/>
      <c r="V1288" s="9"/>
      <c r="W1288" s="9"/>
      <c r="X1288" s="9"/>
      <c r="Y1288" s="9"/>
      <c r="Z1288" s="9"/>
      <c r="AA1288" s="9"/>
      <c r="AB1288" s="9"/>
      <c r="AC1288" s="9"/>
      <c r="AD1288" s="9" t="s">
        <v>19</v>
      </c>
    </row>
    <row r="1289" spans="1:30" ht="29">
      <c r="A1289" s="3" t="s">
        <v>3369</v>
      </c>
      <c r="B1289" s="3" t="s">
        <v>9005</v>
      </c>
      <c r="C1289" s="3" t="s">
        <v>9006</v>
      </c>
      <c r="G1289" s="9" t="s">
        <v>26</v>
      </c>
      <c r="H1289" s="9"/>
      <c r="I1289" s="9"/>
      <c r="J1289" s="9"/>
      <c r="K1289" s="9"/>
      <c r="L1289" s="9"/>
      <c r="M1289" s="9"/>
      <c r="N1289" s="10"/>
      <c r="O1289" s="9"/>
      <c r="P1289" s="9"/>
      <c r="Q1289" s="9"/>
      <c r="R1289" s="9" t="s">
        <v>12795</v>
      </c>
      <c r="S1289" s="9" t="s">
        <v>12795</v>
      </c>
      <c r="T1289" s="9"/>
      <c r="U1289" s="9"/>
      <c r="V1289" s="9"/>
      <c r="W1289" s="9"/>
      <c r="X1289" s="9"/>
      <c r="Y1289" s="9"/>
      <c r="Z1289" s="9"/>
      <c r="AA1289" s="9"/>
      <c r="AB1289" s="9"/>
      <c r="AC1289" s="9"/>
      <c r="AD1289" s="9" t="s">
        <v>13141</v>
      </c>
    </row>
    <row r="1290" spans="1:30" ht="29">
      <c r="A1290" s="3" t="s">
        <v>3369</v>
      </c>
      <c r="B1290" s="3" t="s">
        <v>9004</v>
      </c>
      <c r="C1290" s="3" t="s">
        <v>9007</v>
      </c>
      <c r="G1290" s="9" t="s">
        <v>24</v>
      </c>
      <c r="H1290" s="9"/>
      <c r="I1290" s="9">
        <v>1</v>
      </c>
      <c r="J1290" s="9">
        <v>3</v>
      </c>
      <c r="K1290" s="9" t="s">
        <v>12078</v>
      </c>
      <c r="L1290" s="9" t="s">
        <v>12079</v>
      </c>
      <c r="M1290" s="9"/>
      <c r="N1290" s="10"/>
      <c r="O1290" s="9"/>
      <c r="P1290" s="9">
        <v>11843</v>
      </c>
      <c r="Q1290" s="9"/>
      <c r="R1290" s="9" t="s">
        <v>12795</v>
      </c>
      <c r="S1290" s="9" t="s">
        <v>12795</v>
      </c>
      <c r="T1290" s="9"/>
      <c r="U1290" s="9"/>
      <c r="V1290" s="9"/>
      <c r="W1290" s="9"/>
      <c r="X1290" s="9"/>
      <c r="Y1290" s="9"/>
      <c r="Z1290" s="9"/>
      <c r="AA1290" s="9"/>
      <c r="AB1290" s="9"/>
      <c r="AC1290" s="9"/>
      <c r="AD1290" s="9" t="s">
        <v>19</v>
      </c>
    </row>
    <row r="1291" spans="1:30" ht="29">
      <c r="A1291" s="3" t="s">
        <v>3369</v>
      </c>
      <c r="B1291" s="3" t="s">
        <v>9008</v>
      </c>
      <c r="C1291" s="3" t="s">
        <v>9009</v>
      </c>
      <c r="G1291" s="9" t="s">
        <v>25</v>
      </c>
      <c r="H1291" s="9"/>
      <c r="I1291" s="9">
        <v>1</v>
      </c>
      <c r="J1291" s="9">
        <v>2</v>
      </c>
      <c r="K1291" s="9" t="s">
        <v>12087</v>
      </c>
      <c r="L1291" s="9" t="s">
        <v>12119</v>
      </c>
      <c r="M1291" s="9"/>
      <c r="N1291" s="10"/>
      <c r="O1291" s="9"/>
      <c r="P1291" s="9">
        <v>1966</v>
      </c>
      <c r="Q1291" s="9"/>
      <c r="R1291" s="9" t="s">
        <v>12795</v>
      </c>
      <c r="S1291" s="9" t="s">
        <v>12795</v>
      </c>
      <c r="T1291" s="9"/>
      <c r="U1291" s="9"/>
      <c r="V1291" s="9"/>
      <c r="W1291" s="9"/>
      <c r="X1291" s="9"/>
      <c r="Y1291" s="9"/>
      <c r="Z1291" s="9"/>
      <c r="AA1291" s="9"/>
      <c r="AB1291" s="9"/>
      <c r="AC1291" s="9"/>
      <c r="AD1291" s="9" t="s">
        <v>19</v>
      </c>
    </row>
    <row r="1292" spans="1:30" ht="72.5">
      <c r="A1292" s="3" t="s">
        <v>3371</v>
      </c>
      <c r="B1292" s="3" t="s">
        <v>12470</v>
      </c>
      <c r="C1292" s="3" t="s">
        <v>12471</v>
      </c>
      <c r="G1292" s="9" t="s">
        <v>25</v>
      </c>
      <c r="H1292" s="9"/>
      <c r="I1292" s="9">
        <v>9</v>
      </c>
      <c r="J1292" s="9">
        <v>43</v>
      </c>
      <c r="K1292" s="9"/>
      <c r="L1292" s="9" t="s">
        <v>12073</v>
      </c>
      <c r="M1292" s="9" t="s">
        <v>12140</v>
      </c>
      <c r="N1292" s="10" t="s">
        <v>12472</v>
      </c>
      <c r="O1292" s="9"/>
      <c r="P1292" s="9">
        <v>45</v>
      </c>
      <c r="Q1292" s="9"/>
      <c r="R1292" s="9" t="s">
        <v>12795</v>
      </c>
      <c r="S1292" s="9" t="s">
        <v>12795</v>
      </c>
      <c r="T1292" s="9"/>
      <c r="U1292" s="9"/>
      <c r="V1292" s="9"/>
      <c r="W1292" s="9"/>
      <c r="X1292" s="9"/>
      <c r="Y1292" s="9"/>
      <c r="Z1292" s="9"/>
      <c r="AA1292" s="9"/>
      <c r="AB1292" s="9"/>
      <c r="AC1292" s="9"/>
      <c r="AD1292" s="9" t="s">
        <v>20</v>
      </c>
    </row>
    <row r="1293" spans="1:30" ht="29">
      <c r="A1293" s="3" t="s">
        <v>3375</v>
      </c>
      <c r="B1293" s="3" t="s">
        <v>1269</v>
      </c>
      <c r="C1293" s="3" t="s">
        <v>1248</v>
      </c>
      <c r="G1293" s="9" t="s">
        <v>12120</v>
      </c>
      <c r="H1293" s="9"/>
      <c r="I1293" s="9"/>
      <c r="J1293" s="9"/>
      <c r="K1293" s="9"/>
      <c r="L1293" s="9"/>
      <c r="M1293" s="9"/>
      <c r="N1293" s="10"/>
      <c r="O1293" s="9"/>
      <c r="P1293" s="9"/>
      <c r="Q1293" s="9"/>
      <c r="R1293" s="9" t="s">
        <v>12795</v>
      </c>
      <c r="S1293" s="9" t="s">
        <v>12795</v>
      </c>
      <c r="T1293" s="9"/>
      <c r="U1293" s="9"/>
      <c r="V1293" s="9"/>
      <c r="W1293" s="9"/>
      <c r="X1293" s="9"/>
      <c r="Y1293" s="9"/>
      <c r="Z1293" s="9"/>
      <c r="AA1293" s="9"/>
      <c r="AB1293" s="9"/>
      <c r="AC1293" s="9"/>
      <c r="AD1293" s="9" t="s">
        <v>19</v>
      </c>
    </row>
    <row r="1294" spans="1:30" ht="29">
      <c r="A1294" s="3" t="s">
        <v>3376</v>
      </c>
      <c r="B1294" s="3" t="s">
        <v>9016</v>
      </c>
      <c r="C1294" s="3" t="s">
        <v>9015</v>
      </c>
      <c r="G1294" s="9" t="s">
        <v>25</v>
      </c>
      <c r="H1294" s="9"/>
      <c r="I1294" s="9">
        <v>1</v>
      </c>
      <c r="J1294" s="9">
        <v>3</v>
      </c>
      <c r="K1294" s="9" t="s">
        <v>12087</v>
      </c>
      <c r="L1294" s="9" t="s">
        <v>12079</v>
      </c>
      <c r="M1294" s="9"/>
      <c r="N1294" s="10"/>
      <c r="O1294" s="9"/>
      <c r="P1294" s="9">
        <v>356</v>
      </c>
      <c r="Q1294" s="9"/>
      <c r="R1294" s="9" t="s">
        <v>12795</v>
      </c>
      <c r="S1294" s="9" t="s">
        <v>12795</v>
      </c>
      <c r="T1294" s="9"/>
      <c r="U1294" s="9"/>
      <c r="V1294" s="9"/>
      <c r="W1294" s="9"/>
      <c r="X1294" s="9"/>
      <c r="Y1294" s="9"/>
      <c r="Z1294" s="9"/>
      <c r="AA1294" s="9"/>
      <c r="AB1294" s="9"/>
      <c r="AC1294" s="9"/>
      <c r="AD1294" s="9" t="s">
        <v>20</v>
      </c>
    </row>
    <row r="1295" spans="1:30" ht="29">
      <c r="A1295" s="3" t="s">
        <v>3376</v>
      </c>
      <c r="B1295" s="3" t="s">
        <v>9014</v>
      </c>
      <c r="C1295" s="3" t="s">
        <v>9017</v>
      </c>
      <c r="G1295" s="9" t="s">
        <v>24</v>
      </c>
      <c r="H1295" s="9"/>
      <c r="I1295" s="9">
        <v>1</v>
      </c>
      <c r="J1295" s="9">
        <v>8</v>
      </c>
      <c r="K1295" s="9" t="s">
        <v>12092</v>
      </c>
      <c r="L1295" s="9" t="s">
        <v>12073</v>
      </c>
      <c r="M1295" s="9" t="s">
        <v>12142</v>
      </c>
      <c r="N1295" s="10" t="s">
        <v>12143</v>
      </c>
      <c r="O1295" s="9"/>
      <c r="P1295" s="9">
        <v>371</v>
      </c>
      <c r="Q1295" s="9"/>
      <c r="R1295" s="9" t="s">
        <v>12795</v>
      </c>
      <c r="S1295" s="9" t="s">
        <v>12795</v>
      </c>
      <c r="T1295" s="9"/>
      <c r="U1295" s="9"/>
      <c r="V1295" s="9"/>
      <c r="W1295" s="9"/>
      <c r="X1295" s="9"/>
      <c r="Y1295" s="9"/>
      <c r="Z1295" s="9"/>
      <c r="AA1295" s="9"/>
      <c r="AB1295" s="9"/>
      <c r="AC1295" s="9"/>
      <c r="AD1295" s="9" t="s">
        <v>19</v>
      </c>
    </row>
    <row r="1296" spans="1:30" ht="29">
      <c r="A1296" s="3" t="s">
        <v>3378</v>
      </c>
      <c r="B1296" s="3" t="s">
        <v>9021</v>
      </c>
      <c r="C1296" s="3" t="s">
        <v>9018</v>
      </c>
      <c r="G1296" s="9" t="s">
        <v>25</v>
      </c>
      <c r="H1296" s="9"/>
      <c r="I1296" s="9">
        <v>1</v>
      </c>
      <c r="J1296" s="9">
        <v>3</v>
      </c>
      <c r="K1296" s="9" t="s">
        <v>12087</v>
      </c>
      <c r="L1296" s="9" t="s">
        <v>12079</v>
      </c>
      <c r="M1296" s="9"/>
      <c r="N1296" s="10"/>
      <c r="O1296" s="9"/>
      <c r="P1296" s="9">
        <v>5676</v>
      </c>
      <c r="Q1296" s="9"/>
      <c r="R1296" s="9" t="s">
        <v>12795</v>
      </c>
      <c r="S1296" s="9" t="s">
        <v>12795</v>
      </c>
      <c r="T1296" s="9"/>
      <c r="U1296" s="9"/>
      <c r="V1296" s="9"/>
      <c r="W1296" s="9"/>
      <c r="X1296" s="9"/>
      <c r="Y1296" s="9"/>
      <c r="Z1296" s="9"/>
      <c r="AA1296" s="9"/>
      <c r="AB1296" s="9"/>
      <c r="AC1296" s="9"/>
      <c r="AD1296" s="9" t="s">
        <v>19</v>
      </c>
    </row>
    <row r="1297" spans="1:30" ht="29">
      <c r="A1297" s="3" t="s">
        <v>3379</v>
      </c>
      <c r="B1297" s="3" t="s">
        <v>9023</v>
      </c>
      <c r="C1297" s="3" t="s">
        <v>9022</v>
      </c>
      <c r="G1297" s="9" t="s">
        <v>24</v>
      </c>
      <c r="H1297" s="9"/>
      <c r="I1297" s="9">
        <v>1</v>
      </c>
      <c r="J1297" s="9">
        <v>6</v>
      </c>
      <c r="K1297" s="9" t="s">
        <v>12094</v>
      </c>
      <c r="L1297" s="9" t="s">
        <v>12079</v>
      </c>
      <c r="M1297" s="9"/>
      <c r="N1297" s="10"/>
      <c r="O1297" s="9"/>
      <c r="P1297" s="9">
        <v>4240</v>
      </c>
      <c r="Q1297" s="9"/>
      <c r="R1297" s="9" t="s">
        <v>12795</v>
      </c>
      <c r="S1297" s="9" t="s">
        <v>12795</v>
      </c>
      <c r="T1297" s="9"/>
      <c r="U1297" s="9"/>
      <c r="V1297" s="9"/>
      <c r="W1297" s="9"/>
      <c r="X1297" s="9"/>
      <c r="Y1297" s="9"/>
      <c r="Z1297" s="9"/>
      <c r="AA1297" s="9"/>
      <c r="AB1297" s="9"/>
      <c r="AC1297" s="9"/>
      <c r="AD1297" s="9" t="s">
        <v>19</v>
      </c>
    </row>
    <row r="1298" spans="1:30" ht="29">
      <c r="A1298" s="3" t="s">
        <v>3381</v>
      </c>
      <c r="B1298" s="3" t="s">
        <v>9029</v>
      </c>
      <c r="C1298" s="3" t="s">
        <v>9028</v>
      </c>
      <c r="G1298" s="9" t="s">
        <v>24</v>
      </c>
      <c r="H1298" s="9"/>
      <c r="I1298" s="9">
        <v>1</v>
      </c>
      <c r="J1298" s="9">
        <v>6</v>
      </c>
      <c r="K1298" s="9" t="s">
        <v>12094</v>
      </c>
      <c r="L1298" s="9" t="s">
        <v>12079</v>
      </c>
      <c r="M1298" s="9"/>
      <c r="N1298" s="10"/>
      <c r="O1298" s="9"/>
      <c r="P1298" s="9">
        <v>4240</v>
      </c>
      <c r="Q1298" s="9"/>
      <c r="R1298" s="9" t="s">
        <v>12795</v>
      </c>
      <c r="S1298" s="9" t="s">
        <v>12795</v>
      </c>
      <c r="T1298" s="9"/>
      <c r="U1298" s="9"/>
      <c r="V1298" s="9"/>
      <c r="W1298" s="9"/>
      <c r="X1298" s="9"/>
      <c r="Y1298" s="9"/>
      <c r="Z1298" s="9"/>
      <c r="AA1298" s="9"/>
      <c r="AB1298" s="9"/>
      <c r="AC1298" s="9"/>
      <c r="AD1298" s="9" t="s">
        <v>19</v>
      </c>
    </row>
    <row r="1299" spans="1:30" ht="29">
      <c r="A1299" s="3" t="s">
        <v>3383</v>
      </c>
      <c r="B1299" s="3" t="s">
        <v>9037</v>
      </c>
      <c r="C1299" s="3" t="s">
        <v>9036</v>
      </c>
      <c r="G1299" s="9" t="s">
        <v>26</v>
      </c>
      <c r="H1299" s="9"/>
      <c r="I1299" s="9"/>
      <c r="J1299" s="9"/>
      <c r="K1299" s="9"/>
      <c r="L1299" s="9"/>
      <c r="M1299" s="9"/>
      <c r="N1299" s="10"/>
      <c r="O1299" s="9"/>
      <c r="P1299" s="9"/>
      <c r="Q1299" s="9"/>
      <c r="R1299" s="9" t="s">
        <v>12795</v>
      </c>
      <c r="S1299" s="9" t="s">
        <v>12795</v>
      </c>
      <c r="T1299" s="9"/>
      <c r="U1299" s="9"/>
      <c r="V1299" s="9"/>
      <c r="W1299" s="9"/>
      <c r="X1299" s="9"/>
      <c r="Y1299" s="9"/>
      <c r="Z1299" s="9"/>
      <c r="AA1299" s="9"/>
      <c r="AB1299" s="9"/>
      <c r="AC1299" s="9"/>
      <c r="AD1299" s="9" t="s">
        <v>20</v>
      </c>
    </row>
    <row r="1300" spans="1:30" ht="29">
      <c r="A1300" s="3" t="s">
        <v>3385</v>
      </c>
      <c r="B1300" s="3" t="s">
        <v>9038</v>
      </c>
      <c r="C1300" s="3" t="s">
        <v>9039</v>
      </c>
      <c r="G1300" s="9" t="s">
        <v>26</v>
      </c>
      <c r="H1300" s="9"/>
      <c r="I1300" s="9"/>
      <c r="J1300" s="9"/>
      <c r="K1300" s="9"/>
      <c r="L1300" s="9"/>
      <c r="M1300" s="9"/>
      <c r="N1300" s="10"/>
      <c r="O1300" s="9"/>
      <c r="P1300" s="9"/>
      <c r="Q1300" s="9"/>
      <c r="R1300" s="9" t="s">
        <v>12795</v>
      </c>
      <c r="S1300" s="9" t="s">
        <v>12795</v>
      </c>
      <c r="T1300" s="9"/>
      <c r="U1300" s="9"/>
      <c r="V1300" s="9"/>
      <c r="W1300" s="9"/>
      <c r="X1300" s="9"/>
      <c r="Y1300" s="9"/>
      <c r="Z1300" s="9"/>
      <c r="AA1300" s="9"/>
      <c r="AB1300" s="9"/>
      <c r="AC1300" s="9"/>
      <c r="AD1300" s="9" t="s">
        <v>20</v>
      </c>
    </row>
    <row r="1301" spans="1:30" ht="29">
      <c r="A1301" s="3" t="s">
        <v>3385</v>
      </c>
      <c r="B1301" s="3" t="s">
        <v>9040</v>
      </c>
      <c r="C1301" s="3" t="s">
        <v>9041</v>
      </c>
      <c r="G1301" s="9" t="s">
        <v>12120</v>
      </c>
      <c r="H1301" s="9"/>
      <c r="I1301" s="9"/>
      <c r="J1301" s="9"/>
      <c r="K1301" s="9"/>
      <c r="L1301" s="9"/>
      <c r="M1301" s="9"/>
      <c r="N1301" s="10"/>
      <c r="O1301" s="9"/>
      <c r="P1301" s="9"/>
      <c r="Q1301" s="9"/>
      <c r="R1301" s="9" t="s">
        <v>12795</v>
      </c>
      <c r="S1301" s="9" t="s">
        <v>12795</v>
      </c>
      <c r="T1301" s="9"/>
      <c r="U1301" s="9"/>
      <c r="V1301" s="9"/>
      <c r="W1301" s="9"/>
      <c r="X1301" s="9"/>
      <c r="Y1301" s="9"/>
      <c r="Z1301" s="9"/>
      <c r="AA1301" s="9"/>
      <c r="AB1301" s="9"/>
      <c r="AC1301" s="9"/>
      <c r="AD1301" s="9" t="s">
        <v>19</v>
      </c>
    </row>
    <row r="1302" spans="1:30" ht="29">
      <c r="A1302" s="3" t="s">
        <v>3386</v>
      </c>
      <c r="B1302" s="3" t="s">
        <v>9042</v>
      </c>
      <c r="C1302" s="3" t="s">
        <v>9043</v>
      </c>
      <c r="G1302" s="9" t="s">
        <v>24</v>
      </c>
      <c r="H1302" s="9"/>
      <c r="I1302" s="9">
        <v>1</v>
      </c>
      <c r="J1302" s="9">
        <v>3</v>
      </c>
      <c r="K1302" s="9" t="s">
        <v>12087</v>
      </c>
      <c r="L1302" s="9" t="s">
        <v>12079</v>
      </c>
      <c r="M1302" s="9"/>
      <c r="N1302" s="10"/>
      <c r="O1302" s="9"/>
      <c r="P1302" s="9">
        <v>5676</v>
      </c>
      <c r="Q1302" s="9"/>
      <c r="R1302" s="9" t="s">
        <v>12795</v>
      </c>
      <c r="S1302" s="9" t="s">
        <v>12795</v>
      </c>
      <c r="T1302" s="9"/>
      <c r="U1302" s="9"/>
      <c r="V1302" s="9"/>
      <c r="W1302" s="9"/>
      <c r="X1302" s="9"/>
      <c r="Y1302" s="9"/>
      <c r="Z1302" s="9"/>
      <c r="AA1302" s="9"/>
      <c r="AB1302" s="9"/>
      <c r="AC1302" s="9"/>
      <c r="AD1302" s="9" t="s">
        <v>20</v>
      </c>
    </row>
    <row r="1303" spans="1:30" ht="29">
      <c r="A1303" s="3" t="s">
        <v>3386</v>
      </c>
      <c r="B1303" s="3" t="s">
        <v>3387</v>
      </c>
      <c r="C1303" s="3" t="s">
        <v>3388</v>
      </c>
      <c r="G1303" s="9" t="s">
        <v>12120</v>
      </c>
      <c r="H1303" s="9"/>
      <c r="I1303" s="9"/>
      <c r="J1303" s="9"/>
      <c r="K1303" s="9"/>
      <c r="L1303" s="9"/>
      <c r="M1303" s="9"/>
      <c r="N1303" s="10"/>
      <c r="O1303" s="9"/>
      <c r="P1303" s="9"/>
      <c r="Q1303" s="9"/>
      <c r="R1303" s="9" t="s">
        <v>12795</v>
      </c>
      <c r="S1303" s="9" t="s">
        <v>12795</v>
      </c>
      <c r="T1303" s="9"/>
      <c r="U1303" s="9"/>
      <c r="V1303" s="9"/>
      <c r="W1303" s="9"/>
      <c r="X1303" s="9"/>
      <c r="Y1303" s="9"/>
      <c r="Z1303" s="9"/>
      <c r="AA1303" s="9"/>
      <c r="AB1303" s="9"/>
      <c r="AC1303" s="9"/>
      <c r="AD1303" s="9" t="s">
        <v>20</v>
      </c>
    </row>
    <row r="1304" spans="1:30" ht="29">
      <c r="A1304" s="3" t="s">
        <v>3389</v>
      </c>
      <c r="B1304" s="3" t="s">
        <v>9044</v>
      </c>
      <c r="C1304" s="3" t="s">
        <v>9045</v>
      </c>
      <c r="G1304" s="9" t="s">
        <v>26</v>
      </c>
      <c r="H1304" s="9"/>
      <c r="I1304" s="9"/>
      <c r="J1304" s="9"/>
      <c r="K1304" s="9"/>
      <c r="L1304" s="9"/>
      <c r="M1304" s="9"/>
      <c r="N1304" s="10"/>
      <c r="O1304" s="9"/>
      <c r="P1304" s="9"/>
      <c r="Q1304" s="9"/>
      <c r="R1304" s="9" t="s">
        <v>12795</v>
      </c>
      <c r="S1304" s="9" t="s">
        <v>12795</v>
      </c>
      <c r="T1304" s="9"/>
      <c r="U1304" s="9"/>
      <c r="V1304" s="9"/>
      <c r="W1304" s="9"/>
      <c r="X1304" s="9"/>
      <c r="Y1304" s="9"/>
      <c r="Z1304" s="9"/>
      <c r="AA1304" s="9"/>
      <c r="AB1304" s="9"/>
      <c r="AC1304" s="9"/>
      <c r="AD1304" s="9" t="s">
        <v>20</v>
      </c>
    </row>
    <row r="1305" spans="1:30" ht="29">
      <c r="A1305" s="3" t="s">
        <v>3390</v>
      </c>
      <c r="B1305" s="3" t="s">
        <v>9047</v>
      </c>
      <c r="C1305" s="3" t="s">
        <v>9046</v>
      </c>
      <c r="G1305" s="9" t="s">
        <v>12120</v>
      </c>
      <c r="H1305" s="9"/>
      <c r="I1305" s="9"/>
      <c r="J1305" s="9"/>
      <c r="K1305" s="9"/>
      <c r="L1305" s="9"/>
      <c r="M1305" s="9"/>
      <c r="N1305" s="10"/>
      <c r="O1305" s="9"/>
      <c r="P1305" s="9"/>
      <c r="Q1305" s="9"/>
      <c r="R1305" s="9" t="s">
        <v>12795</v>
      </c>
      <c r="S1305" s="9" t="s">
        <v>12795</v>
      </c>
      <c r="T1305" s="9"/>
      <c r="U1305" s="9"/>
      <c r="V1305" s="9"/>
      <c r="W1305" s="9"/>
      <c r="X1305" s="9"/>
      <c r="Y1305" s="9"/>
      <c r="Z1305" s="9"/>
      <c r="AA1305" s="9"/>
      <c r="AB1305" s="9"/>
      <c r="AC1305" s="9"/>
      <c r="AD1305" s="9" t="s">
        <v>19</v>
      </c>
    </row>
    <row r="1306" spans="1:30" ht="29">
      <c r="A1306" s="3" t="s">
        <v>3391</v>
      </c>
      <c r="B1306" s="3" t="s">
        <v>9048</v>
      </c>
      <c r="C1306" s="3" t="s">
        <v>9049</v>
      </c>
      <c r="G1306" s="9" t="s">
        <v>26</v>
      </c>
      <c r="H1306" s="9"/>
      <c r="I1306" s="9"/>
      <c r="J1306" s="9"/>
      <c r="K1306" s="9"/>
      <c r="L1306" s="9"/>
      <c r="M1306" s="9"/>
      <c r="N1306" s="10"/>
      <c r="O1306" s="9"/>
      <c r="P1306" s="9"/>
      <c r="Q1306" s="9"/>
      <c r="R1306" s="9" t="s">
        <v>12795</v>
      </c>
      <c r="S1306" s="9" t="s">
        <v>12795</v>
      </c>
      <c r="T1306" s="9"/>
      <c r="U1306" s="9"/>
      <c r="V1306" s="9"/>
      <c r="W1306" s="9"/>
      <c r="X1306" s="9"/>
      <c r="Y1306" s="9"/>
      <c r="Z1306" s="9"/>
      <c r="AA1306" s="9"/>
      <c r="AB1306" s="9"/>
      <c r="AC1306" s="9"/>
      <c r="AD1306" s="9" t="s">
        <v>20</v>
      </c>
    </row>
    <row r="1307" spans="1:30" ht="29">
      <c r="A1307" s="3" t="s">
        <v>3392</v>
      </c>
      <c r="B1307" s="3" t="s">
        <v>9054</v>
      </c>
      <c r="C1307" s="3" t="s">
        <v>9055</v>
      </c>
      <c r="G1307" s="9" t="s">
        <v>25</v>
      </c>
      <c r="H1307" s="9"/>
      <c r="I1307" s="9">
        <v>1</v>
      </c>
      <c r="J1307" s="9">
        <v>3</v>
      </c>
      <c r="K1307" s="9" t="s">
        <v>12078</v>
      </c>
      <c r="L1307" s="9" t="s">
        <v>12079</v>
      </c>
      <c r="M1307" s="9"/>
      <c r="N1307" s="10"/>
      <c r="O1307" s="9"/>
      <c r="P1307" s="9">
        <v>11843</v>
      </c>
      <c r="Q1307" s="9"/>
      <c r="R1307" s="9" t="s">
        <v>12795</v>
      </c>
      <c r="S1307" s="9" t="s">
        <v>12795</v>
      </c>
      <c r="T1307" s="9"/>
      <c r="U1307" s="9"/>
      <c r="V1307" s="9"/>
      <c r="W1307" s="9"/>
      <c r="X1307" s="9"/>
      <c r="Y1307" s="9"/>
      <c r="Z1307" s="9"/>
      <c r="AA1307" s="9"/>
      <c r="AB1307" s="9"/>
      <c r="AC1307" s="9"/>
      <c r="AD1307" s="9" t="s">
        <v>20</v>
      </c>
    </row>
    <row r="1308" spans="1:30" ht="29">
      <c r="A1308" s="3" t="s">
        <v>3392</v>
      </c>
      <c r="B1308" s="3" t="s">
        <v>12474</v>
      </c>
      <c r="C1308" s="3" t="s">
        <v>12475</v>
      </c>
      <c r="G1308" s="9" t="s">
        <v>26</v>
      </c>
      <c r="H1308" s="9"/>
      <c r="I1308" s="9"/>
      <c r="J1308" s="9"/>
      <c r="K1308" s="9"/>
      <c r="L1308" s="9"/>
      <c r="M1308" s="9"/>
      <c r="N1308" s="10"/>
      <c r="O1308" s="9"/>
      <c r="P1308" s="9"/>
      <c r="Q1308" s="9"/>
      <c r="R1308" s="9" t="s">
        <v>12795</v>
      </c>
      <c r="S1308" s="9" t="s">
        <v>12795</v>
      </c>
      <c r="T1308" s="9"/>
      <c r="U1308" s="9"/>
      <c r="V1308" s="9"/>
      <c r="W1308" s="9"/>
      <c r="X1308" s="9"/>
      <c r="Y1308" s="9"/>
      <c r="Z1308" s="9"/>
      <c r="AA1308" s="9"/>
      <c r="AB1308" s="9"/>
      <c r="AC1308" s="9"/>
      <c r="AD1308" s="9" t="s">
        <v>20</v>
      </c>
    </row>
    <row r="1309" spans="1:30" ht="29">
      <c r="A1309" s="3" t="s">
        <v>3393</v>
      </c>
      <c r="B1309" s="3" t="s">
        <v>9057</v>
      </c>
      <c r="C1309" s="3" t="s">
        <v>9056</v>
      </c>
      <c r="G1309" s="9" t="s">
        <v>25</v>
      </c>
      <c r="H1309" s="9"/>
      <c r="I1309" s="9">
        <v>1</v>
      </c>
      <c r="J1309" s="9">
        <v>2</v>
      </c>
      <c r="K1309" s="9" t="s">
        <v>12078</v>
      </c>
      <c r="L1309" s="9" t="s">
        <v>12119</v>
      </c>
      <c r="M1309" s="9"/>
      <c r="N1309" s="10"/>
      <c r="O1309" s="9"/>
      <c r="P1309" s="9">
        <v>11843</v>
      </c>
      <c r="Q1309" s="9"/>
      <c r="R1309" s="9" t="s">
        <v>12795</v>
      </c>
      <c r="S1309" s="9" t="s">
        <v>12795</v>
      </c>
      <c r="T1309" s="9"/>
      <c r="U1309" s="9"/>
      <c r="V1309" s="9"/>
      <c r="W1309" s="9"/>
      <c r="X1309" s="9"/>
      <c r="Y1309" s="9"/>
      <c r="Z1309" s="9"/>
      <c r="AA1309" s="9"/>
      <c r="AB1309" s="9"/>
      <c r="AC1309" s="9"/>
      <c r="AD1309" s="9" t="s">
        <v>20</v>
      </c>
    </row>
    <row r="1310" spans="1:30" ht="29">
      <c r="A1310" s="3" t="s">
        <v>3394</v>
      </c>
      <c r="B1310" s="3" t="s">
        <v>9059</v>
      </c>
      <c r="C1310" s="3" t="s">
        <v>9058</v>
      </c>
      <c r="G1310" s="9" t="s">
        <v>26</v>
      </c>
      <c r="H1310" s="9"/>
      <c r="I1310" s="9"/>
      <c r="J1310" s="9"/>
      <c r="K1310" s="9"/>
      <c r="L1310" s="9"/>
      <c r="M1310" s="9"/>
      <c r="N1310" s="10"/>
      <c r="O1310" s="9"/>
      <c r="P1310" s="9"/>
      <c r="Q1310" s="9"/>
      <c r="R1310" s="9" t="s">
        <v>12795</v>
      </c>
      <c r="S1310" s="9" t="s">
        <v>12795</v>
      </c>
      <c r="T1310" s="9"/>
      <c r="U1310" s="9"/>
      <c r="V1310" s="9"/>
      <c r="W1310" s="9"/>
      <c r="X1310" s="9"/>
      <c r="Y1310" s="9"/>
      <c r="Z1310" s="9"/>
      <c r="AA1310" s="9"/>
      <c r="AB1310" s="9"/>
      <c r="AC1310" s="9"/>
      <c r="AD1310" s="9" t="s">
        <v>20</v>
      </c>
    </row>
    <row r="1311" spans="1:30" ht="29">
      <c r="A1311" s="3" t="s">
        <v>3395</v>
      </c>
      <c r="B1311" s="3" t="s">
        <v>9060</v>
      </c>
      <c r="C1311" s="3" t="s">
        <v>9061</v>
      </c>
      <c r="G1311" s="9" t="s">
        <v>26</v>
      </c>
      <c r="H1311" s="9"/>
      <c r="I1311" s="9"/>
      <c r="J1311" s="9"/>
      <c r="K1311" s="9"/>
      <c r="L1311" s="9"/>
      <c r="M1311" s="9"/>
      <c r="N1311" s="10"/>
      <c r="O1311" s="9"/>
      <c r="P1311" s="9"/>
      <c r="Q1311" s="9"/>
      <c r="R1311" s="9" t="s">
        <v>12795</v>
      </c>
      <c r="S1311" s="9" t="s">
        <v>12795</v>
      </c>
      <c r="T1311" s="9"/>
      <c r="U1311" s="9"/>
      <c r="V1311" s="9"/>
      <c r="W1311" s="9"/>
      <c r="X1311" s="9"/>
      <c r="Y1311" s="9"/>
      <c r="Z1311" s="9"/>
      <c r="AA1311" s="9"/>
      <c r="AB1311" s="9"/>
      <c r="AC1311" s="9"/>
      <c r="AD1311" s="9" t="s">
        <v>20</v>
      </c>
    </row>
    <row r="1312" spans="1:30" ht="29">
      <c r="A1312" s="3" t="s">
        <v>3396</v>
      </c>
      <c r="B1312" s="3" t="s">
        <v>9063</v>
      </c>
      <c r="C1312" s="3" t="s">
        <v>9062</v>
      </c>
      <c r="G1312" s="9" t="s">
        <v>12118</v>
      </c>
      <c r="H1312" s="9"/>
      <c r="I1312" s="9"/>
      <c r="J1312" s="9"/>
      <c r="K1312" s="9"/>
      <c r="L1312" s="9"/>
      <c r="M1312" s="9"/>
      <c r="N1312" s="10"/>
      <c r="O1312" s="9"/>
      <c r="P1312" s="9"/>
      <c r="Q1312" s="9">
        <v>-556</v>
      </c>
      <c r="R1312" s="9">
        <v>591</v>
      </c>
      <c r="S1312" s="9">
        <v>35</v>
      </c>
      <c r="T1312" s="9"/>
      <c r="U1312" s="9"/>
      <c r="V1312" s="9"/>
      <c r="W1312" s="9"/>
      <c r="X1312" s="9"/>
      <c r="Y1312" s="9"/>
      <c r="Z1312" s="9"/>
      <c r="AA1312" s="9"/>
      <c r="AB1312" s="9"/>
      <c r="AC1312" s="9"/>
      <c r="AD1312" s="9" t="s">
        <v>19</v>
      </c>
    </row>
    <row r="1313" spans="1:30" ht="29">
      <c r="A1313" s="3" t="s">
        <v>3396</v>
      </c>
      <c r="B1313" s="3" t="s">
        <v>9064</v>
      </c>
      <c r="C1313" s="3" t="s">
        <v>9065</v>
      </c>
      <c r="G1313" s="9" t="s">
        <v>26</v>
      </c>
      <c r="H1313" s="9"/>
      <c r="I1313" s="9"/>
      <c r="J1313" s="9"/>
      <c r="K1313" s="9"/>
      <c r="L1313" s="9"/>
      <c r="M1313" s="9"/>
      <c r="N1313" s="10"/>
      <c r="O1313" s="9"/>
      <c r="P1313" s="9"/>
      <c r="Q1313" s="9"/>
      <c r="R1313" s="9" t="s">
        <v>12795</v>
      </c>
      <c r="S1313" s="9" t="s">
        <v>12795</v>
      </c>
      <c r="T1313" s="9"/>
      <c r="U1313" s="9"/>
      <c r="V1313" s="9"/>
      <c r="W1313" s="9"/>
      <c r="X1313" s="9"/>
      <c r="Y1313" s="9"/>
      <c r="Z1313" s="9"/>
      <c r="AA1313" s="9"/>
      <c r="AB1313" s="9"/>
      <c r="AC1313" s="9"/>
      <c r="AD1313" s="9" t="s">
        <v>20</v>
      </c>
    </row>
    <row r="1314" spans="1:30" ht="29">
      <c r="A1314" s="3" t="s">
        <v>3398</v>
      </c>
      <c r="B1314" s="3" t="s">
        <v>9069</v>
      </c>
      <c r="C1314" s="3" t="s">
        <v>9068</v>
      </c>
      <c r="G1314" s="9" t="s">
        <v>26</v>
      </c>
      <c r="H1314" s="9"/>
      <c r="I1314" s="9"/>
      <c r="J1314" s="9"/>
      <c r="K1314" s="9"/>
      <c r="L1314" s="9"/>
      <c r="M1314" s="9"/>
      <c r="N1314" s="10"/>
      <c r="O1314" s="9"/>
      <c r="P1314" s="9"/>
      <c r="Q1314" s="9"/>
      <c r="R1314" s="9" t="s">
        <v>12795</v>
      </c>
      <c r="S1314" s="9" t="s">
        <v>12795</v>
      </c>
      <c r="T1314" s="9"/>
      <c r="U1314" s="9"/>
      <c r="V1314" s="9"/>
      <c r="W1314" s="9"/>
      <c r="X1314" s="9"/>
      <c r="Y1314" s="9"/>
      <c r="Z1314" s="9"/>
      <c r="AA1314" s="9"/>
      <c r="AB1314" s="9"/>
      <c r="AC1314" s="9" t="s">
        <v>19</v>
      </c>
      <c r="AD1314" s="9" t="s">
        <v>19</v>
      </c>
    </row>
    <row r="1315" spans="1:30" ht="29">
      <c r="A1315" s="3" t="s">
        <v>3399</v>
      </c>
      <c r="B1315" s="3" t="s">
        <v>9072</v>
      </c>
      <c r="C1315" s="3" t="s">
        <v>9073</v>
      </c>
      <c r="G1315" s="9" t="s">
        <v>12120</v>
      </c>
      <c r="H1315" s="9"/>
      <c r="I1315" s="9"/>
      <c r="J1315" s="9"/>
      <c r="K1315" s="9"/>
      <c r="L1315" s="9"/>
      <c r="M1315" s="9"/>
      <c r="N1315" s="10"/>
      <c r="O1315" s="9"/>
      <c r="P1315" s="9"/>
      <c r="Q1315" s="9"/>
      <c r="R1315" s="9" t="s">
        <v>12795</v>
      </c>
      <c r="S1315" s="9" t="s">
        <v>12795</v>
      </c>
      <c r="T1315" s="9"/>
      <c r="U1315" s="9"/>
      <c r="V1315" s="9"/>
      <c r="W1315" s="9"/>
      <c r="X1315" s="9"/>
      <c r="Y1315" s="9"/>
      <c r="Z1315" s="9"/>
      <c r="AA1315" s="9"/>
      <c r="AB1315" s="9"/>
      <c r="AC1315" s="9"/>
      <c r="AD1315" s="9" t="s">
        <v>20</v>
      </c>
    </row>
    <row r="1316" spans="1:30" ht="29">
      <c r="A1316" s="3" t="s">
        <v>3400</v>
      </c>
      <c r="B1316" s="3" t="s">
        <v>9075</v>
      </c>
      <c r="C1316" s="3" t="s">
        <v>9074</v>
      </c>
      <c r="G1316" s="9" t="s">
        <v>24</v>
      </c>
      <c r="H1316" s="9"/>
      <c r="I1316" s="9">
        <v>1</v>
      </c>
      <c r="J1316" s="9">
        <v>3</v>
      </c>
      <c r="K1316" s="9" t="s">
        <v>12094</v>
      </c>
      <c r="L1316" s="9" t="s">
        <v>12079</v>
      </c>
      <c r="M1316" s="9"/>
      <c r="N1316" s="10"/>
      <c r="O1316" s="9"/>
      <c r="P1316" s="9">
        <v>1496</v>
      </c>
      <c r="Q1316" s="9"/>
      <c r="R1316" s="9" t="s">
        <v>12795</v>
      </c>
      <c r="S1316" s="9" t="s">
        <v>12795</v>
      </c>
      <c r="T1316" s="9" t="s">
        <v>4</v>
      </c>
      <c r="U1316" s="9"/>
      <c r="V1316" s="9"/>
      <c r="W1316" s="9"/>
      <c r="X1316" s="9"/>
      <c r="Y1316" s="9"/>
      <c r="Z1316" s="9"/>
      <c r="AA1316" s="9"/>
      <c r="AB1316" s="9"/>
      <c r="AC1316" s="9"/>
      <c r="AD1316" s="9" t="s">
        <v>19</v>
      </c>
    </row>
    <row r="1317" spans="1:30" ht="29">
      <c r="A1317" s="3" t="s">
        <v>3404</v>
      </c>
      <c r="B1317" s="3" t="s">
        <v>9077</v>
      </c>
      <c r="C1317" s="3" t="s">
        <v>9076</v>
      </c>
      <c r="G1317" s="9" t="s">
        <v>24</v>
      </c>
      <c r="H1317" s="9"/>
      <c r="I1317" s="9">
        <v>1</v>
      </c>
      <c r="J1317" s="9">
        <v>3</v>
      </c>
      <c r="K1317" s="9" t="s">
        <v>12094</v>
      </c>
      <c r="L1317" s="9" t="s">
        <v>12079</v>
      </c>
      <c r="M1317" s="9"/>
      <c r="N1317" s="10"/>
      <c r="O1317" s="9"/>
      <c r="P1317" s="9">
        <v>1496</v>
      </c>
      <c r="Q1317" s="9"/>
      <c r="R1317" s="9" t="s">
        <v>12795</v>
      </c>
      <c r="S1317" s="9" t="s">
        <v>12795</v>
      </c>
      <c r="T1317" s="9"/>
      <c r="U1317" s="9"/>
      <c r="V1317" s="9"/>
      <c r="W1317" s="9"/>
      <c r="X1317" s="9"/>
      <c r="Y1317" s="9"/>
      <c r="Z1317" s="9"/>
      <c r="AA1317" s="9"/>
      <c r="AB1317" s="9"/>
      <c r="AC1317" s="9"/>
      <c r="AD1317" s="9" t="s">
        <v>19</v>
      </c>
    </row>
    <row r="1318" spans="1:30" ht="29">
      <c r="A1318" s="3" t="s">
        <v>3405</v>
      </c>
      <c r="B1318" s="3" t="s">
        <v>9081</v>
      </c>
      <c r="C1318" s="3" t="s">
        <v>9080</v>
      </c>
      <c r="G1318" s="9" t="s">
        <v>24</v>
      </c>
      <c r="H1318" s="9"/>
      <c r="I1318" s="9">
        <v>1</v>
      </c>
      <c r="J1318" s="9">
        <v>3</v>
      </c>
      <c r="K1318" s="9" t="s">
        <v>12078</v>
      </c>
      <c r="L1318" s="9" t="s">
        <v>12079</v>
      </c>
      <c r="M1318" s="9"/>
      <c r="N1318" s="10"/>
      <c r="O1318" s="9"/>
      <c r="P1318" s="9">
        <v>11843</v>
      </c>
      <c r="Q1318" s="9"/>
      <c r="R1318" s="9" t="s">
        <v>12795</v>
      </c>
      <c r="S1318" s="9" t="s">
        <v>12795</v>
      </c>
      <c r="T1318" s="9"/>
      <c r="U1318" s="9"/>
      <c r="V1318" s="9"/>
      <c r="W1318" s="9"/>
      <c r="X1318" s="9"/>
      <c r="Y1318" s="9"/>
      <c r="Z1318" s="9"/>
      <c r="AA1318" s="9"/>
      <c r="AB1318" s="9"/>
      <c r="AC1318" s="9"/>
      <c r="AD1318" s="9" t="s">
        <v>20</v>
      </c>
    </row>
    <row r="1319" spans="1:30" ht="29">
      <c r="A1319" s="3" t="s">
        <v>3406</v>
      </c>
      <c r="B1319" s="3" t="s">
        <v>1702</v>
      </c>
      <c r="C1319" s="3" t="s">
        <v>1105</v>
      </c>
      <c r="G1319" s="9" t="s">
        <v>12120</v>
      </c>
      <c r="H1319" s="9"/>
      <c r="I1319" s="9"/>
      <c r="J1319" s="9"/>
      <c r="K1319" s="9"/>
      <c r="L1319" s="9"/>
      <c r="M1319" s="9"/>
      <c r="N1319" s="10"/>
      <c r="O1319" s="9"/>
      <c r="P1319" s="9"/>
      <c r="Q1319" s="9"/>
      <c r="R1319" s="9" t="s">
        <v>12795</v>
      </c>
      <c r="S1319" s="9" t="s">
        <v>12795</v>
      </c>
      <c r="T1319" s="9"/>
      <c r="U1319" s="9"/>
      <c r="V1319" s="9"/>
      <c r="W1319" s="9"/>
      <c r="X1319" s="9"/>
      <c r="Y1319" s="9"/>
      <c r="Z1319" s="9"/>
      <c r="AA1319" s="9"/>
      <c r="AB1319" s="9"/>
      <c r="AC1319" s="9"/>
      <c r="AD1319" s="9" t="s">
        <v>19</v>
      </c>
    </row>
    <row r="1320" spans="1:30" ht="29">
      <c r="A1320" s="3" t="s">
        <v>3409</v>
      </c>
      <c r="B1320" s="3" t="s">
        <v>9083</v>
      </c>
      <c r="C1320" s="3" t="s">
        <v>9082</v>
      </c>
      <c r="G1320" s="9" t="s">
        <v>24</v>
      </c>
      <c r="H1320" s="9"/>
      <c r="I1320" s="9">
        <v>1</v>
      </c>
      <c r="J1320" s="9">
        <v>6</v>
      </c>
      <c r="K1320" s="9" t="s">
        <v>12094</v>
      </c>
      <c r="L1320" s="9" t="s">
        <v>12079</v>
      </c>
      <c r="M1320" s="9"/>
      <c r="N1320" s="10"/>
      <c r="O1320" s="9"/>
      <c r="P1320" s="9">
        <v>4240</v>
      </c>
      <c r="Q1320" s="9"/>
      <c r="R1320" s="9" t="s">
        <v>12795</v>
      </c>
      <c r="S1320" s="9" t="s">
        <v>12795</v>
      </c>
      <c r="T1320" s="9"/>
      <c r="U1320" s="9"/>
      <c r="V1320" s="9"/>
      <c r="W1320" s="9"/>
      <c r="X1320" s="9"/>
      <c r="Y1320" s="9"/>
      <c r="Z1320" s="9"/>
      <c r="AA1320" s="9"/>
      <c r="AB1320" s="9"/>
      <c r="AC1320" s="9"/>
      <c r="AD1320" s="9" t="s">
        <v>19</v>
      </c>
    </row>
    <row r="1321" spans="1:30" ht="29">
      <c r="A1321" s="3" t="s">
        <v>3414</v>
      </c>
      <c r="B1321" s="3" t="s">
        <v>9089</v>
      </c>
      <c r="C1321" s="3" t="s">
        <v>9086</v>
      </c>
      <c r="G1321" s="9" t="s">
        <v>25</v>
      </c>
      <c r="H1321" s="9"/>
      <c r="I1321" s="9">
        <v>2</v>
      </c>
      <c r="J1321" s="9">
        <v>10</v>
      </c>
      <c r="K1321" s="9"/>
      <c r="L1321" s="9" t="s">
        <v>12079</v>
      </c>
      <c r="M1321" s="9"/>
      <c r="N1321" s="10"/>
      <c r="O1321" s="9"/>
      <c r="P1321" s="9">
        <v>167</v>
      </c>
      <c r="Q1321" s="9"/>
      <c r="R1321" s="9" t="s">
        <v>12795</v>
      </c>
      <c r="S1321" s="9" t="s">
        <v>12795</v>
      </c>
      <c r="T1321" s="9"/>
      <c r="U1321" s="9"/>
      <c r="V1321" s="9"/>
      <c r="W1321" s="9"/>
      <c r="X1321" s="9"/>
      <c r="Y1321" s="9"/>
      <c r="Z1321" s="9"/>
      <c r="AA1321" s="9"/>
      <c r="AB1321" s="9"/>
      <c r="AC1321" s="9"/>
      <c r="AD1321" s="9" t="s">
        <v>20</v>
      </c>
    </row>
    <row r="1322" spans="1:30" ht="29">
      <c r="A1322" s="3" t="s">
        <v>3414</v>
      </c>
      <c r="B1322" s="3" t="s">
        <v>9091</v>
      </c>
      <c r="C1322" s="3" t="s">
        <v>9090</v>
      </c>
      <c r="G1322" s="9" t="s">
        <v>25</v>
      </c>
      <c r="H1322" s="9"/>
      <c r="I1322" s="9">
        <v>1</v>
      </c>
      <c r="J1322" s="9">
        <v>3</v>
      </c>
      <c r="K1322" s="9" t="s">
        <v>12087</v>
      </c>
      <c r="L1322" s="9" t="s">
        <v>12079</v>
      </c>
      <c r="M1322" s="9"/>
      <c r="N1322" s="10"/>
      <c r="O1322" s="9"/>
      <c r="P1322" s="9">
        <v>5676</v>
      </c>
      <c r="Q1322" s="9"/>
      <c r="R1322" s="9" t="s">
        <v>12795</v>
      </c>
      <c r="S1322" s="9" t="s">
        <v>12795</v>
      </c>
      <c r="T1322" s="9"/>
      <c r="U1322" s="9"/>
      <c r="V1322" s="9"/>
      <c r="W1322" s="9"/>
      <c r="X1322" s="9"/>
      <c r="Y1322" s="9"/>
      <c r="Z1322" s="9"/>
      <c r="AA1322" s="9"/>
      <c r="AB1322" s="9"/>
      <c r="AC1322" s="9"/>
      <c r="AD1322" s="9" t="s">
        <v>20</v>
      </c>
    </row>
    <row r="1323" spans="1:30" ht="29">
      <c r="A1323" s="3" t="s">
        <v>3415</v>
      </c>
      <c r="B1323" s="3" t="s">
        <v>9097</v>
      </c>
      <c r="C1323" s="3" t="s">
        <v>9096</v>
      </c>
      <c r="G1323" s="9" t="s">
        <v>24</v>
      </c>
      <c r="H1323" s="9"/>
      <c r="I1323" s="9">
        <v>1</v>
      </c>
      <c r="J1323" s="9">
        <v>3</v>
      </c>
      <c r="K1323" s="9" t="s">
        <v>12078</v>
      </c>
      <c r="L1323" s="9" t="s">
        <v>12079</v>
      </c>
      <c r="M1323" s="9"/>
      <c r="N1323" s="10"/>
      <c r="O1323" s="9"/>
      <c r="P1323" s="9">
        <v>11843</v>
      </c>
      <c r="Q1323" s="9"/>
      <c r="R1323" s="9" t="s">
        <v>12795</v>
      </c>
      <c r="S1323" s="9" t="s">
        <v>12795</v>
      </c>
      <c r="T1323" s="9"/>
      <c r="U1323" s="9"/>
      <c r="V1323" s="9"/>
      <c r="W1323" s="9"/>
      <c r="X1323" s="9"/>
      <c r="Y1323" s="9"/>
      <c r="Z1323" s="9"/>
      <c r="AA1323" s="9"/>
      <c r="AB1323" s="9"/>
      <c r="AC1323" s="9"/>
      <c r="AD1323" s="9" t="s">
        <v>19</v>
      </c>
    </row>
    <row r="1324" spans="1:30" ht="29">
      <c r="A1324" s="3" t="s">
        <v>3419</v>
      </c>
      <c r="B1324" s="3" t="s">
        <v>9098</v>
      </c>
      <c r="C1324" s="3" t="s">
        <v>9099</v>
      </c>
      <c r="G1324" s="9" t="s">
        <v>12118</v>
      </c>
      <c r="H1324" s="9"/>
      <c r="I1324" s="9"/>
      <c r="J1324" s="9"/>
      <c r="K1324" s="9"/>
      <c r="L1324" s="9"/>
      <c r="M1324" s="9"/>
      <c r="N1324" s="10"/>
      <c r="O1324" s="9"/>
      <c r="P1324" s="9"/>
      <c r="Q1324" s="9">
        <v>-5320</v>
      </c>
      <c r="R1324" s="9">
        <v>5676</v>
      </c>
      <c r="S1324" s="9">
        <v>356</v>
      </c>
      <c r="T1324" s="9"/>
      <c r="U1324" s="9"/>
      <c r="V1324" s="9"/>
      <c r="W1324" s="9"/>
      <c r="X1324" s="9"/>
      <c r="Y1324" s="9"/>
      <c r="Z1324" s="9"/>
      <c r="AA1324" s="9"/>
      <c r="AB1324" s="9"/>
      <c r="AC1324" s="9"/>
      <c r="AD1324" s="9" t="s">
        <v>19</v>
      </c>
    </row>
    <row r="1325" spans="1:30" ht="29">
      <c r="A1325" s="3" t="s">
        <v>3422</v>
      </c>
      <c r="B1325" s="3" t="s">
        <v>9100</v>
      </c>
      <c r="C1325" s="3" t="s">
        <v>9101</v>
      </c>
      <c r="G1325" s="9" t="s">
        <v>26</v>
      </c>
      <c r="H1325" s="9"/>
      <c r="I1325" s="9"/>
      <c r="J1325" s="9"/>
      <c r="K1325" s="9"/>
      <c r="L1325" s="9"/>
      <c r="M1325" s="9"/>
      <c r="N1325" s="10"/>
      <c r="O1325" s="9"/>
      <c r="P1325" s="9"/>
      <c r="Q1325" s="9"/>
      <c r="R1325" s="9" t="s">
        <v>12795</v>
      </c>
      <c r="S1325" s="9" t="s">
        <v>12795</v>
      </c>
      <c r="T1325" s="9"/>
      <c r="U1325" s="9"/>
      <c r="V1325" s="9"/>
      <c r="W1325" s="9"/>
      <c r="X1325" s="9"/>
      <c r="Y1325" s="9"/>
      <c r="Z1325" s="9"/>
      <c r="AA1325" s="9"/>
      <c r="AB1325" s="9"/>
      <c r="AC1325" s="9"/>
      <c r="AD1325" s="9" t="s">
        <v>19</v>
      </c>
    </row>
    <row r="1326" spans="1:30" ht="29">
      <c r="A1326" s="3" t="s">
        <v>3424</v>
      </c>
      <c r="B1326" s="3" t="s">
        <v>9104</v>
      </c>
      <c r="C1326" s="3" t="s">
        <v>9105</v>
      </c>
      <c r="G1326" s="9" t="s">
        <v>25</v>
      </c>
      <c r="H1326" s="9"/>
      <c r="I1326" s="9">
        <v>1</v>
      </c>
      <c r="J1326" s="9">
        <v>5</v>
      </c>
      <c r="K1326" s="9" t="s">
        <v>12094</v>
      </c>
      <c r="L1326" s="9" t="s">
        <v>12079</v>
      </c>
      <c r="M1326" s="9"/>
      <c r="N1326" s="10"/>
      <c r="O1326" s="9"/>
      <c r="P1326" s="9">
        <v>4240</v>
      </c>
      <c r="Q1326" s="9"/>
      <c r="R1326" s="9" t="s">
        <v>12795</v>
      </c>
      <c r="S1326" s="9" t="s">
        <v>12795</v>
      </c>
      <c r="T1326" s="9"/>
      <c r="U1326" s="9"/>
      <c r="V1326" s="9"/>
      <c r="W1326" s="9"/>
      <c r="X1326" s="9"/>
      <c r="Y1326" s="9"/>
      <c r="Z1326" s="9"/>
      <c r="AA1326" s="9"/>
      <c r="AB1326" s="9"/>
      <c r="AC1326" s="9"/>
      <c r="AD1326" s="9" t="s">
        <v>19</v>
      </c>
    </row>
    <row r="1327" spans="1:30" ht="29">
      <c r="A1327" s="3" t="s">
        <v>3425</v>
      </c>
      <c r="B1327" s="3" t="s">
        <v>9106</v>
      </c>
      <c r="C1327" s="3" t="s">
        <v>9107</v>
      </c>
      <c r="G1327" s="9" t="s">
        <v>25</v>
      </c>
      <c r="H1327" s="9"/>
      <c r="I1327" s="9">
        <v>6</v>
      </c>
      <c r="J1327" s="9">
        <v>17</v>
      </c>
      <c r="K1327" s="9"/>
      <c r="L1327" s="9" t="s">
        <v>12079</v>
      </c>
      <c r="M1327" s="9"/>
      <c r="N1327" s="10"/>
      <c r="O1327" s="9"/>
      <c r="P1327" s="9">
        <v>277</v>
      </c>
      <c r="Q1327" s="9"/>
      <c r="R1327" s="9" t="s">
        <v>12795</v>
      </c>
      <c r="S1327" s="9" t="s">
        <v>12795</v>
      </c>
      <c r="T1327" s="9"/>
      <c r="U1327" s="9"/>
      <c r="V1327" s="9"/>
      <c r="W1327" s="9"/>
      <c r="X1327" s="9"/>
      <c r="Y1327" s="9"/>
      <c r="Z1327" s="9"/>
      <c r="AA1327" s="9"/>
      <c r="AB1327" s="9"/>
      <c r="AC1327" s="9"/>
      <c r="AD1327" s="9" t="s">
        <v>20</v>
      </c>
    </row>
    <row r="1328" spans="1:30" ht="29">
      <c r="A1328" s="3" t="s">
        <v>3426</v>
      </c>
      <c r="B1328" s="3" t="s">
        <v>9109</v>
      </c>
      <c r="C1328" s="3" t="s">
        <v>9108</v>
      </c>
      <c r="G1328" s="9" t="s">
        <v>25</v>
      </c>
      <c r="H1328" s="9"/>
      <c r="I1328" s="9">
        <v>2</v>
      </c>
      <c r="J1328" s="9">
        <v>4</v>
      </c>
      <c r="K1328" s="9"/>
      <c r="L1328" s="9" t="s">
        <v>12079</v>
      </c>
      <c r="M1328" s="9"/>
      <c r="N1328" s="10"/>
      <c r="O1328" s="9"/>
      <c r="P1328" s="9">
        <v>635</v>
      </c>
      <c r="Q1328" s="9"/>
      <c r="R1328" s="9" t="s">
        <v>12795</v>
      </c>
      <c r="S1328" s="9" t="s">
        <v>12795</v>
      </c>
      <c r="T1328" s="9"/>
      <c r="U1328" s="9"/>
      <c r="V1328" s="9"/>
      <c r="W1328" s="9"/>
      <c r="X1328" s="9"/>
      <c r="Y1328" s="9"/>
      <c r="Z1328" s="9"/>
      <c r="AA1328" s="9"/>
      <c r="AB1328" s="9"/>
      <c r="AC1328" s="9"/>
      <c r="AD1328" s="9" t="s">
        <v>19</v>
      </c>
    </row>
    <row r="1329" spans="1:30" ht="43.5">
      <c r="A1329" s="3" t="s">
        <v>3427</v>
      </c>
      <c r="B1329" s="3" t="s">
        <v>9110</v>
      </c>
      <c r="C1329" s="3" t="s">
        <v>9111</v>
      </c>
      <c r="G1329" s="9" t="s">
        <v>12118</v>
      </c>
      <c r="H1329" s="9"/>
      <c r="I1329" s="9"/>
      <c r="J1329" s="9"/>
      <c r="K1329" s="9"/>
      <c r="L1329" s="9"/>
      <c r="M1329" s="9"/>
      <c r="N1329" s="10"/>
      <c r="O1329" s="9"/>
      <c r="P1329" s="9"/>
      <c r="Q1329" s="9">
        <v>-3605</v>
      </c>
      <c r="R1329" s="9">
        <v>4240</v>
      </c>
      <c r="S1329" s="9">
        <v>635</v>
      </c>
      <c r="T1329" s="9"/>
      <c r="U1329" s="9"/>
      <c r="V1329" s="9"/>
      <c r="W1329" s="9"/>
      <c r="X1329" s="9"/>
      <c r="Y1329" s="9"/>
      <c r="Z1329" s="9"/>
      <c r="AA1329" s="9"/>
      <c r="AB1329" s="9"/>
      <c r="AC1329" s="9"/>
      <c r="AD1329" s="9" t="s">
        <v>20</v>
      </c>
    </row>
    <row r="1330" spans="1:30" ht="29">
      <c r="A1330" s="3" t="s">
        <v>3436</v>
      </c>
      <c r="B1330" s="3" t="s">
        <v>9123</v>
      </c>
      <c r="C1330" s="3" t="s">
        <v>9122</v>
      </c>
      <c r="G1330" s="9" t="s">
        <v>25</v>
      </c>
      <c r="H1330" s="9"/>
      <c r="I1330" s="9">
        <v>1</v>
      </c>
      <c r="J1330" s="9">
        <v>5</v>
      </c>
      <c r="K1330" s="9" t="s">
        <v>12094</v>
      </c>
      <c r="L1330" s="9" t="s">
        <v>12079</v>
      </c>
      <c r="M1330" s="9"/>
      <c r="N1330" s="10"/>
      <c r="O1330" s="9"/>
      <c r="P1330" s="9">
        <v>4240</v>
      </c>
      <c r="Q1330" s="9"/>
      <c r="R1330" s="9" t="s">
        <v>12795</v>
      </c>
      <c r="S1330" s="9" t="s">
        <v>12795</v>
      </c>
      <c r="T1330" s="9"/>
      <c r="U1330" s="9"/>
      <c r="V1330" s="9"/>
      <c r="W1330" s="9"/>
      <c r="X1330" s="9"/>
      <c r="Y1330" s="9"/>
      <c r="Z1330" s="9"/>
      <c r="AA1330" s="9"/>
      <c r="AB1330" s="9"/>
      <c r="AC1330" s="9"/>
      <c r="AD1330" s="9" t="s">
        <v>19</v>
      </c>
    </row>
    <row r="1331" spans="1:30" ht="29">
      <c r="A1331" s="3" t="s">
        <v>3439</v>
      </c>
      <c r="B1331" s="3" t="s">
        <v>9127</v>
      </c>
      <c r="C1331" s="3" t="s">
        <v>9126</v>
      </c>
      <c r="G1331" s="9" t="s">
        <v>26</v>
      </c>
      <c r="H1331" s="9"/>
      <c r="I1331" s="9"/>
      <c r="J1331" s="9"/>
      <c r="K1331" s="9"/>
      <c r="L1331" s="9"/>
      <c r="M1331" s="9"/>
      <c r="N1331" s="10"/>
      <c r="O1331" s="9"/>
      <c r="P1331" s="9"/>
      <c r="Q1331" s="9"/>
      <c r="R1331" s="9" t="s">
        <v>12795</v>
      </c>
      <c r="S1331" s="9" t="s">
        <v>12795</v>
      </c>
      <c r="T1331" s="9" t="s">
        <v>12117</v>
      </c>
      <c r="U1331" s="9"/>
      <c r="V1331" s="9"/>
      <c r="W1331" s="9"/>
      <c r="X1331" s="9"/>
      <c r="Y1331" s="9"/>
      <c r="Z1331" s="9"/>
      <c r="AA1331" s="9"/>
      <c r="AB1331" s="9"/>
      <c r="AC1331" s="9"/>
      <c r="AD1331" s="9" t="s">
        <v>20</v>
      </c>
    </row>
    <row r="1332" spans="1:30" ht="29">
      <c r="A1332" s="3" t="s">
        <v>3440</v>
      </c>
      <c r="B1332" s="3" t="s">
        <v>9130</v>
      </c>
      <c r="C1332" s="3" t="s">
        <v>9128</v>
      </c>
      <c r="G1332" s="9" t="s">
        <v>26</v>
      </c>
      <c r="H1332" s="9"/>
      <c r="I1332" s="9"/>
      <c r="J1332" s="9"/>
      <c r="K1332" s="9"/>
      <c r="L1332" s="9"/>
      <c r="M1332" s="9"/>
      <c r="N1332" s="10"/>
      <c r="O1332" s="9"/>
      <c r="P1332" s="9"/>
      <c r="Q1332" s="9"/>
      <c r="R1332" s="9" t="s">
        <v>12795</v>
      </c>
      <c r="S1332" s="9" t="s">
        <v>12795</v>
      </c>
      <c r="T1332" s="9"/>
      <c r="U1332" s="9"/>
      <c r="V1332" s="9"/>
      <c r="W1332" s="9"/>
      <c r="X1332" s="9"/>
      <c r="Y1332" s="9"/>
      <c r="Z1332" s="9"/>
      <c r="AA1332" s="9"/>
      <c r="AB1332" s="9"/>
      <c r="AC1332" s="9"/>
      <c r="AD1332" s="9" t="s">
        <v>20</v>
      </c>
    </row>
    <row r="1333" spans="1:30" ht="29">
      <c r="A1333" s="3" t="s">
        <v>3443</v>
      </c>
      <c r="B1333" s="3" t="s">
        <v>9137</v>
      </c>
      <c r="C1333" s="3" t="s">
        <v>9136</v>
      </c>
      <c r="G1333" s="9" t="s">
        <v>26</v>
      </c>
      <c r="H1333" s="9"/>
      <c r="I1333" s="9"/>
      <c r="J1333" s="9"/>
      <c r="K1333" s="9"/>
      <c r="L1333" s="9"/>
      <c r="M1333" s="9"/>
      <c r="N1333" s="10"/>
      <c r="O1333" s="9"/>
      <c r="P1333" s="9"/>
      <c r="Q1333" s="9"/>
      <c r="R1333" s="9" t="s">
        <v>12795</v>
      </c>
      <c r="S1333" s="9" t="s">
        <v>12795</v>
      </c>
      <c r="T1333" s="9"/>
      <c r="U1333" s="9"/>
      <c r="V1333" s="9"/>
      <c r="W1333" s="9"/>
      <c r="X1333" s="9"/>
      <c r="Y1333" s="9"/>
      <c r="Z1333" s="9"/>
      <c r="AA1333" s="9"/>
      <c r="AB1333" s="9"/>
      <c r="AC1333" s="9"/>
      <c r="AD1333" s="9" t="s">
        <v>19</v>
      </c>
    </row>
    <row r="1334" spans="1:30" ht="29">
      <c r="A1334" s="3" t="s">
        <v>3443</v>
      </c>
      <c r="B1334" s="3" t="s">
        <v>9138</v>
      </c>
      <c r="C1334" s="3" t="s">
        <v>9139</v>
      </c>
      <c r="G1334" s="9" t="s">
        <v>25</v>
      </c>
      <c r="H1334" s="9"/>
      <c r="I1334" s="9">
        <v>1</v>
      </c>
      <c r="J1334" s="9">
        <v>1</v>
      </c>
      <c r="K1334" s="9" t="s">
        <v>12078</v>
      </c>
      <c r="L1334" s="9" t="s">
        <v>12119</v>
      </c>
      <c r="M1334" s="9"/>
      <c r="N1334" s="10"/>
      <c r="O1334" s="9"/>
      <c r="P1334" s="9">
        <v>11843</v>
      </c>
      <c r="Q1334" s="9"/>
      <c r="R1334" s="9" t="s">
        <v>12795</v>
      </c>
      <c r="S1334" s="9" t="s">
        <v>12795</v>
      </c>
      <c r="T1334" s="9"/>
      <c r="U1334" s="9"/>
      <c r="V1334" s="9"/>
      <c r="W1334" s="9"/>
      <c r="X1334" s="9"/>
      <c r="Y1334" s="9"/>
      <c r="Z1334" s="9"/>
      <c r="AA1334" s="9"/>
      <c r="AB1334" s="9"/>
      <c r="AC1334" s="9"/>
      <c r="AD1334" s="9" t="s">
        <v>20</v>
      </c>
    </row>
    <row r="1335" spans="1:30" ht="29">
      <c r="A1335" s="3" t="s">
        <v>3445</v>
      </c>
      <c r="B1335" s="3" t="s">
        <v>9143</v>
      </c>
      <c r="C1335" s="3" t="s">
        <v>9144</v>
      </c>
      <c r="G1335" s="9" t="s">
        <v>26</v>
      </c>
      <c r="H1335" s="9"/>
      <c r="I1335" s="9"/>
      <c r="J1335" s="9"/>
      <c r="K1335" s="9"/>
      <c r="L1335" s="9"/>
      <c r="M1335" s="9"/>
      <c r="N1335" s="10"/>
      <c r="O1335" s="9"/>
      <c r="P1335" s="9"/>
      <c r="Q1335" s="9"/>
      <c r="R1335" s="9" t="s">
        <v>12795</v>
      </c>
      <c r="S1335" s="9" t="s">
        <v>12795</v>
      </c>
      <c r="T1335" s="9"/>
      <c r="U1335" s="9"/>
      <c r="V1335" s="9"/>
      <c r="W1335" s="9"/>
      <c r="X1335" s="9"/>
      <c r="Y1335" s="9"/>
      <c r="Z1335" s="9"/>
      <c r="AA1335" s="9"/>
      <c r="AB1335" s="9"/>
      <c r="AC1335" s="9"/>
      <c r="AD1335" s="9" t="s">
        <v>19</v>
      </c>
    </row>
    <row r="1336" spans="1:30" ht="29">
      <c r="A1336" s="3" t="s">
        <v>3445</v>
      </c>
      <c r="B1336" s="3" t="s">
        <v>9142</v>
      </c>
      <c r="C1336" s="3" t="s">
        <v>9145</v>
      </c>
      <c r="G1336" s="9" t="s">
        <v>24</v>
      </c>
      <c r="H1336" s="9"/>
      <c r="I1336" s="9">
        <v>1</v>
      </c>
      <c r="J1336" s="9">
        <v>1</v>
      </c>
      <c r="K1336" s="9" t="s">
        <v>12078</v>
      </c>
      <c r="L1336" s="9" t="s">
        <v>12119</v>
      </c>
      <c r="M1336" s="9"/>
      <c r="N1336" s="10"/>
      <c r="O1336" s="9"/>
      <c r="P1336" s="9">
        <v>11843</v>
      </c>
      <c r="Q1336" s="9"/>
      <c r="R1336" s="9" t="s">
        <v>12795</v>
      </c>
      <c r="S1336" s="9" t="s">
        <v>12795</v>
      </c>
      <c r="T1336" s="9"/>
      <c r="U1336" s="9"/>
      <c r="V1336" s="9"/>
      <c r="W1336" s="9"/>
      <c r="X1336" s="9"/>
      <c r="Y1336" s="9"/>
      <c r="Z1336" s="9"/>
      <c r="AA1336" s="9"/>
      <c r="AB1336" s="9"/>
      <c r="AC1336" s="9"/>
      <c r="AD1336" s="9" t="s">
        <v>19</v>
      </c>
    </row>
    <row r="1337" spans="1:30" ht="29">
      <c r="A1337" s="3" t="s">
        <v>3446</v>
      </c>
      <c r="B1337" s="3" t="s">
        <v>9149</v>
      </c>
      <c r="C1337" s="3" t="s">
        <v>9148</v>
      </c>
      <c r="G1337" s="9" t="s">
        <v>24</v>
      </c>
      <c r="H1337" s="9"/>
      <c r="I1337" s="9">
        <v>1</v>
      </c>
      <c r="J1337" s="9">
        <v>3</v>
      </c>
      <c r="K1337" s="9" t="s">
        <v>12087</v>
      </c>
      <c r="L1337" s="9" t="s">
        <v>12079</v>
      </c>
      <c r="M1337" s="9"/>
      <c r="N1337" s="10"/>
      <c r="O1337" s="9"/>
      <c r="P1337" s="9">
        <v>5676</v>
      </c>
      <c r="Q1337" s="9"/>
      <c r="R1337" s="9" t="s">
        <v>12795</v>
      </c>
      <c r="S1337" s="9" t="s">
        <v>12795</v>
      </c>
      <c r="T1337" s="9"/>
      <c r="U1337" s="9"/>
      <c r="V1337" s="9"/>
      <c r="W1337" s="9"/>
      <c r="X1337" s="9"/>
      <c r="Y1337" s="9"/>
      <c r="Z1337" s="9"/>
      <c r="AA1337" s="9"/>
      <c r="AB1337" s="9"/>
      <c r="AC1337" s="9"/>
      <c r="AD1337" s="9" t="s">
        <v>19</v>
      </c>
    </row>
    <row r="1338" spans="1:30" ht="29">
      <c r="A1338" s="3" t="s">
        <v>3446</v>
      </c>
      <c r="B1338" s="3" t="s">
        <v>9151</v>
      </c>
      <c r="C1338" s="3" t="s">
        <v>9150</v>
      </c>
      <c r="G1338" s="9" t="s">
        <v>12118</v>
      </c>
      <c r="H1338" s="9"/>
      <c r="I1338" s="9"/>
      <c r="J1338" s="9"/>
      <c r="K1338" s="9"/>
      <c r="L1338" s="9"/>
      <c r="M1338" s="9"/>
      <c r="N1338" s="10"/>
      <c r="O1338" s="9"/>
      <c r="P1338" s="9"/>
      <c r="Q1338" s="9">
        <v>2000</v>
      </c>
      <c r="R1338" s="9">
        <v>42</v>
      </c>
      <c r="S1338" s="9">
        <v>2042</v>
      </c>
      <c r="T1338" s="9"/>
      <c r="U1338" s="9"/>
      <c r="V1338" s="9"/>
      <c r="W1338" s="9"/>
      <c r="X1338" s="9"/>
      <c r="Y1338" s="9"/>
      <c r="Z1338" s="9"/>
      <c r="AA1338" s="9"/>
      <c r="AB1338" s="9"/>
      <c r="AC1338" s="9"/>
      <c r="AD1338" s="9" t="s">
        <v>19</v>
      </c>
    </row>
    <row r="1339" spans="1:30" ht="43.5">
      <c r="A1339" s="3" t="s">
        <v>3447</v>
      </c>
      <c r="B1339" s="3" t="s">
        <v>12479</v>
      </c>
      <c r="C1339" s="3" t="s">
        <v>9152</v>
      </c>
      <c r="G1339" s="9" t="s">
        <v>26</v>
      </c>
      <c r="H1339" s="9"/>
      <c r="I1339" s="9"/>
      <c r="J1339" s="9"/>
      <c r="K1339" s="9"/>
      <c r="L1339" s="9"/>
      <c r="M1339" s="9"/>
      <c r="N1339" s="10"/>
      <c r="O1339" s="9"/>
      <c r="P1339" s="9"/>
      <c r="Q1339" s="9"/>
      <c r="R1339" s="9" t="s">
        <v>12795</v>
      </c>
      <c r="S1339" s="9" t="s">
        <v>12795</v>
      </c>
      <c r="T1339" s="9"/>
      <c r="U1339" s="9"/>
      <c r="V1339" s="9"/>
      <c r="W1339" s="9"/>
      <c r="X1339" s="9"/>
      <c r="Y1339" s="9"/>
      <c r="Z1339" s="9"/>
      <c r="AA1339" s="9"/>
      <c r="AB1339" s="9"/>
      <c r="AC1339" s="9"/>
      <c r="AD1339" s="9" t="s">
        <v>20</v>
      </c>
    </row>
    <row r="1340" spans="1:30" ht="29">
      <c r="A1340" s="3" t="s">
        <v>3450</v>
      </c>
      <c r="B1340" s="3" t="s">
        <v>9164</v>
      </c>
      <c r="C1340" s="3" t="s">
        <v>9163</v>
      </c>
      <c r="G1340" s="9" t="s">
        <v>25</v>
      </c>
      <c r="H1340" s="9"/>
      <c r="I1340" s="9">
        <v>1</v>
      </c>
      <c r="J1340" s="9">
        <v>2</v>
      </c>
      <c r="K1340" s="9" t="s">
        <v>12078</v>
      </c>
      <c r="L1340" s="9" t="s">
        <v>12119</v>
      </c>
      <c r="M1340" s="9"/>
      <c r="N1340" s="10"/>
      <c r="O1340" s="9"/>
      <c r="P1340" s="9">
        <v>11843</v>
      </c>
      <c r="Q1340" s="9"/>
      <c r="R1340" s="9" t="s">
        <v>12795</v>
      </c>
      <c r="S1340" s="9" t="s">
        <v>12795</v>
      </c>
      <c r="T1340" s="9"/>
      <c r="U1340" s="9"/>
      <c r="V1340" s="9"/>
      <c r="W1340" s="9"/>
      <c r="X1340" s="9"/>
      <c r="Y1340" s="9"/>
      <c r="Z1340" s="9"/>
      <c r="AA1340" s="9"/>
      <c r="AB1340" s="9"/>
      <c r="AC1340" s="9"/>
      <c r="AD1340" s="9" t="s">
        <v>20</v>
      </c>
    </row>
    <row r="1341" spans="1:30" ht="29">
      <c r="A1341" s="3" t="s">
        <v>3450</v>
      </c>
      <c r="B1341" s="3" t="s">
        <v>9168</v>
      </c>
      <c r="C1341" s="3" t="s">
        <v>9167</v>
      </c>
      <c r="G1341" s="9" t="s">
        <v>12118</v>
      </c>
      <c r="H1341" s="9"/>
      <c r="I1341" s="9"/>
      <c r="J1341" s="9"/>
      <c r="K1341" s="9"/>
      <c r="L1341" s="9"/>
      <c r="M1341" s="9"/>
      <c r="N1341" s="10"/>
      <c r="O1341" s="9"/>
      <c r="P1341" s="9"/>
      <c r="Q1341" s="9">
        <v>73</v>
      </c>
      <c r="R1341" s="9">
        <v>0</v>
      </c>
      <c r="S1341" s="9">
        <v>73</v>
      </c>
      <c r="T1341" s="9"/>
      <c r="U1341" s="9"/>
      <c r="V1341" s="9"/>
      <c r="W1341" s="9"/>
      <c r="X1341" s="9"/>
      <c r="Y1341" s="9"/>
      <c r="Z1341" s="9"/>
      <c r="AA1341" s="9"/>
      <c r="AB1341" s="9"/>
      <c r="AC1341" s="9"/>
      <c r="AD1341" s="9" t="s">
        <v>19</v>
      </c>
    </row>
    <row r="1342" spans="1:30" ht="29">
      <c r="A1342" s="3" t="s">
        <v>3459</v>
      </c>
      <c r="B1342" s="3" t="s">
        <v>9176</v>
      </c>
      <c r="C1342" s="3" t="s">
        <v>9175</v>
      </c>
      <c r="G1342" s="9" t="s">
        <v>25</v>
      </c>
      <c r="H1342" s="9"/>
      <c r="I1342" s="9">
        <v>1</v>
      </c>
      <c r="J1342" s="9">
        <v>1</v>
      </c>
      <c r="K1342" s="9" t="s">
        <v>12078</v>
      </c>
      <c r="L1342" s="9" t="s">
        <v>12119</v>
      </c>
      <c r="M1342" s="9"/>
      <c r="N1342" s="10"/>
      <c r="O1342" s="9"/>
      <c r="P1342" s="9">
        <v>11843</v>
      </c>
      <c r="Q1342" s="9"/>
      <c r="R1342" s="9" t="s">
        <v>12795</v>
      </c>
      <c r="S1342" s="9" t="s">
        <v>12795</v>
      </c>
      <c r="T1342" s="9"/>
      <c r="U1342" s="9"/>
      <c r="V1342" s="9"/>
      <c r="W1342" s="9"/>
      <c r="X1342" s="9"/>
      <c r="Y1342" s="9"/>
      <c r="Z1342" s="9"/>
      <c r="AA1342" s="9"/>
      <c r="AB1342" s="9"/>
      <c r="AC1342" s="9"/>
      <c r="AD1342" s="9" t="s">
        <v>20</v>
      </c>
    </row>
    <row r="1343" spans="1:30" ht="29">
      <c r="A1343" s="3" t="s">
        <v>3459</v>
      </c>
      <c r="B1343" s="3" t="s">
        <v>9178</v>
      </c>
      <c r="C1343" s="3" t="s">
        <v>9177</v>
      </c>
      <c r="G1343" s="9" t="s">
        <v>24</v>
      </c>
      <c r="H1343" s="9"/>
      <c r="I1343" s="9">
        <v>1</v>
      </c>
      <c r="J1343" s="9">
        <v>3</v>
      </c>
      <c r="K1343" s="9" t="s">
        <v>12087</v>
      </c>
      <c r="L1343" s="9" t="s">
        <v>12079</v>
      </c>
      <c r="M1343" s="9"/>
      <c r="N1343" s="10"/>
      <c r="O1343" s="9"/>
      <c r="P1343" s="9">
        <v>431</v>
      </c>
      <c r="Q1343" s="9"/>
      <c r="R1343" s="9" t="s">
        <v>12795</v>
      </c>
      <c r="S1343" s="9" t="s">
        <v>12795</v>
      </c>
      <c r="T1343" s="9"/>
      <c r="U1343" s="9"/>
      <c r="V1343" s="9"/>
      <c r="W1343" s="9"/>
      <c r="X1343" s="9"/>
      <c r="Y1343" s="9"/>
      <c r="Z1343" s="9"/>
      <c r="AA1343" s="9"/>
      <c r="AB1343" s="9"/>
      <c r="AC1343" s="9"/>
      <c r="AD1343" s="9" t="s">
        <v>19</v>
      </c>
    </row>
    <row r="1344" spans="1:30" ht="29">
      <c r="A1344" s="3" t="s">
        <v>3460</v>
      </c>
      <c r="B1344" s="3" t="s">
        <v>9180</v>
      </c>
      <c r="C1344" s="3" t="s">
        <v>9179</v>
      </c>
      <c r="G1344" s="9" t="s">
        <v>26</v>
      </c>
      <c r="H1344" s="9"/>
      <c r="I1344" s="9"/>
      <c r="J1344" s="9"/>
      <c r="K1344" s="9"/>
      <c r="L1344" s="9"/>
      <c r="M1344" s="9"/>
      <c r="N1344" s="10"/>
      <c r="O1344" s="9"/>
      <c r="P1344" s="9"/>
      <c r="Q1344" s="9"/>
      <c r="R1344" s="9" t="s">
        <v>12795</v>
      </c>
      <c r="S1344" s="9" t="s">
        <v>12795</v>
      </c>
      <c r="T1344" s="9"/>
      <c r="U1344" s="9"/>
      <c r="V1344" s="9"/>
      <c r="W1344" s="9"/>
      <c r="X1344" s="9"/>
      <c r="Y1344" s="9"/>
      <c r="Z1344" s="9"/>
      <c r="AA1344" s="9"/>
      <c r="AB1344" s="9"/>
      <c r="AC1344" s="9"/>
      <c r="AD1344" s="9" t="s">
        <v>19</v>
      </c>
    </row>
    <row r="1345" spans="1:30" ht="29">
      <c r="A1345" s="3" t="s">
        <v>3460</v>
      </c>
      <c r="B1345" s="3" t="s">
        <v>9181</v>
      </c>
      <c r="C1345" s="3" t="s">
        <v>9182</v>
      </c>
      <c r="G1345" s="9" t="s">
        <v>25</v>
      </c>
      <c r="H1345" s="9"/>
      <c r="I1345" s="9">
        <v>1</v>
      </c>
      <c r="J1345" s="9">
        <v>3</v>
      </c>
      <c r="K1345" s="9" t="s">
        <v>12084</v>
      </c>
      <c r="L1345" s="9" t="s">
        <v>12079</v>
      </c>
      <c r="M1345" s="9"/>
      <c r="N1345" s="10"/>
      <c r="O1345" s="9"/>
      <c r="P1345" s="9">
        <v>4</v>
      </c>
      <c r="Q1345" s="9"/>
      <c r="R1345" s="9" t="s">
        <v>12795</v>
      </c>
      <c r="S1345" s="9" t="s">
        <v>12795</v>
      </c>
      <c r="T1345" s="9"/>
      <c r="U1345" s="9"/>
      <c r="V1345" s="9"/>
      <c r="W1345" s="9"/>
      <c r="X1345" s="9"/>
      <c r="Y1345" s="9"/>
      <c r="Z1345" s="9"/>
      <c r="AA1345" s="9"/>
      <c r="AB1345" s="9"/>
      <c r="AC1345" s="9"/>
      <c r="AD1345" s="9" t="s">
        <v>20</v>
      </c>
    </row>
    <row r="1346" spans="1:30" ht="29">
      <c r="A1346" s="3" t="s">
        <v>3466</v>
      </c>
      <c r="B1346" s="3" t="s">
        <v>1008</v>
      </c>
      <c r="C1346" s="3" t="s">
        <v>1009</v>
      </c>
      <c r="G1346" s="9" t="s">
        <v>12120</v>
      </c>
      <c r="H1346" s="9"/>
      <c r="I1346" s="9"/>
      <c r="J1346" s="9"/>
      <c r="K1346" s="9"/>
      <c r="L1346" s="9"/>
      <c r="M1346" s="9"/>
      <c r="N1346" s="10"/>
      <c r="O1346" s="9"/>
      <c r="P1346" s="9"/>
      <c r="Q1346" s="9"/>
      <c r="R1346" s="9" t="s">
        <v>12795</v>
      </c>
      <c r="S1346" s="9" t="s">
        <v>12795</v>
      </c>
      <c r="T1346" s="9"/>
      <c r="U1346" s="9"/>
      <c r="V1346" s="9"/>
      <c r="W1346" s="9"/>
      <c r="X1346" s="9"/>
      <c r="Y1346" s="9"/>
      <c r="Z1346" s="9"/>
      <c r="AA1346" s="9"/>
      <c r="AB1346" s="9"/>
      <c r="AC1346" s="9"/>
      <c r="AD1346" s="9" t="s">
        <v>19</v>
      </c>
    </row>
    <row r="1347" spans="1:30" ht="29">
      <c r="A1347" s="3" t="s">
        <v>3470</v>
      </c>
      <c r="B1347" s="3" t="s">
        <v>12918</v>
      </c>
      <c r="C1347" s="3" t="s">
        <v>9188</v>
      </c>
      <c r="G1347" s="9" t="s">
        <v>12120</v>
      </c>
      <c r="H1347" s="9"/>
      <c r="I1347" s="9"/>
      <c r="J1347" s="9"/>
      <c r="K1347" s="9"/>
      <c r="L1347" s="9"/>
      <c r="M1347" s="9"/>
      <c r="N1347" s="10"/>
      <c r="O1347" s="9"/>
      <c r="P1347" s="9"/>
      <c r="Q1347" s="9"/>
      <c r="R1347" s="9" t="s">
        <v>12795</v>
      </c>
      <c r="S1347" s="9" t="s">
        <v>12795</v>
      </c>
      <c r="T1347" s="9"/>
      <c r="U1347" s="9"/>
      <c r="V1347" s="9"/>
      <c r="W1347" s="9"/>
      <c r="X1347" s="9"/>
      <c r="Y1347" s="9"/>
      <c r="Z1347" s="9"/>
      <c r="AA1347" s="9"/>
      <c r="AB1347" s="9"/>
      <c r="AC1347" s="9"/>
      <c r="AD1347" s="9" t="s">
        <v>20</v>
      </c>
    </row>
    <row r="1348" spans="1:30" ht="29">
      <c r="A1348" s="3" t="s">
        <v>3471</v>
      </c>
      <c r="B1348" s="3" t="s">
        <v>12919</v>
      </c>
      <c r="C1348" s="3" t="s">
        <v>9189</v>
      </c>
      <c r="G1348" s="9" t="s">
        <v>25</v>
      </c>
      <c r="H1348" s="9"/>
      <c r="I1348" s="9">
        <v>1</v>
      </c>
      <c r="J1348" s="9">
        <v>2</v>
      </c>
      <c r="K1348" s="9" t="s">
        <v>12078</v>
      </c>
      <c r="L1348" s="9" t="s">
        <v>12119</v>
      </c>
      <c r="M1348" s="9"/>
      <c r="N1348" s="10"/>
      <c r="O1348" s="9"/>
      <c r="P1348" s="9">
        <v>11843</v>
      </c>
      <c r="Q1348" s="9"/>
      <c r="R1348" s="9" t="s">
        <v>12795</v>
      </c>
      <c r="S1348" s="9" t="s">
        <v>12795</v>
      </c>
      <c r="T1348" s="9"/>
      <c r="U1348" s="9"/>
      <c r="V1348" s="9"/>
      <c r="W1348" s="9"/>
      <c r="X1348" s="9"/>
      <c r="Y1348" s="9"/>
      <c r="Z1348" s="9"/>
      <c r="AA1348" s="9"/>
      <c r="AB1348" s="9"/>
      <c r="AC1348" s="9"/>
      <c r="AD1348" s="9" t="s">
        <v>20</v>
      </c>
    </row>
    <row r="1349" spans="1:30" ht="29">
      <c r="A1349" s="3" t="s">
        <v>3472</v>
      </c>
      <c r="B1349" s="3" t="s">
        <v>9194</v>
      </c>
      <c r="C1349" s="3" t="s">
        <v>9192</v>
      </c>
      <c r="G1349" s="9" t="s">
        <v>25</v>
      </c>
      <c r="H1349" s="9"/>
      <c r="I1349" s="9">
        <v>1</v>
      </c>
      <c r="J1349" s="9">
        <v>7</v>
      </c>
      <c r="K1349" s="9" t="s">
        <v>12098</v>
      </c>
      <c r="L1349" s="9" t="s">
        <v>12079</v>
      </c>
      <c r="M1349" s="9"/>
      <c r="N1349" s="10"/>
      <c r="O1349" s="9"/>
      <c r="P1349" s="9">
        <v>111</v>
      </c>
      <c r="Q1349" s="9"/>
      <c r="R1349" s="9" t="s">
        <v>12795</v>
      </c>
      <c r="S1349" s="9" t="s">
        <v>12795</v>
      </c>
      <c r="T1349" s="9"/>
      <c r="U1349" s="9"/>
      <c r="V1349" s="9"/>
      <c r="W1349" s="9"/>
      <c r="X1349" s="9"/>
      <c r="Y1349" s="9"/>
      <c r="Z1349" s="9"/>
      <c r="AA1349" s="9"/>
      <c r="AB1349" s="9"/>
      <c r="AC1349" s="9"/>
      <c r="AD1349" s="9" t="s">
        <v>20</v>
      </c>
    </row>
    <row r="1350" spans="1:30" ht="29">
      <c r="A1350" s="3" t="s">
        <v>3472</v>
      </c>
      <c r="B1350" s="3" t="s">
        <v>9195</v>
      </c>
      <c r="C1350" s="3" t="s">
        <v>12481</v>
      </c>
      <c r="G1350" s="9" t="s">
        <v>12120</v>
      </c>
      <c r="H1350" s="9"/>
      <c r="I1350" s="9"/>
      <c r="J1350" s="9"/>
      <c r="K1350" s="9"/>
      <c r="L1350" s="9"/>
      <c r="M1350" s="9"/>
      <c r="N1350" s="10"/>
      <c r="O1350" s="9"/>
      <c r="P1350" s="9"/>
      <c r="Q1350" s="9"/>
      <c r="R1350" s="9" t="s">
        <v>12795</v>
      </c>
      <c r="S1350" s="9" t="s">
        <v>12795</v>
      </c>
      <c r="T1350" s="9"/>
      <c r="U1350" s="9"/>
      <c r="V1350" s="9"/>
      <c r="W1350" s="9"/>
      <c r="X1350" s="9"/>
      <c r="Y1350" s="9"/>
      <c r="Z1350" s="9"/>
      <c r="AA1350" s="9"/>
      <c r="AB1350" s="9"/>
      <c r="AC1350" s="9"/>
      <c r="AD1350" s="9" t="s">
        <v>19</v>
      </c>
    </row>
    <row r="1351" spans="1:30" ht="29">
      <c r="A1351" s="3" t="s">
        <v>3472</v>
      </c>
      <c r="B1351" s="3" t="s">
        <v>9193</v>
      </c>
      <c r="C1351" s="3" t="s">
        <v>9196</v>
      </c>
      <c r="G1351" s="9" t="s">
        <v>24</v>
      </c>
      <c r="H1351" s="9"/>
      <c r="I1351" s="9">
        <v>1</v>
      </c>
      <c r="J1351" s="9">
        <v>5</v>
      </c>
      <c r="K1351" s="9" t="s">
        <v>12094</v>
      </c>
      <c r="L1351" s="9" t="s">
        <v>12079</v>
      </c>
      <c r="M1351" s="9"/>
      <c r="N1351" s="10"/>
      <c r="O1351" s="9"/>
      <c r="P1351" s="9">
        <v>1741</v>
      </c>
      <c r="Q1351" s="9"/>
      <c r="R1351" s="9" t="s">
        <v>12795</v>
      </c>
      <c r="S1351" s="9" t="s">
        <v>12795</v>
      </c>
      <c r="T1351" s="9"/>
      <c r="U1351" s="9"/>
      <c r="V1351" s="9"/>
      <c r="W1351" s="9"/>
      <c r="X1351" s="9"/>
      <c r="Y1351" s="9"/>
      <c r="Z1351" s="9"/>
      <c r="AA1351" s="9"/>
      <c r="AB1351" s="9"/>
      <c r="AC1351" s="9"/>
      <c r="AD1351" s="9" t="s">
        <v>19</v>
      </c>
    </row>
    <row r="1352" spans="1:30" ht="29">
      <c r="A1352" s="3" t="s">
        <v>3477</v>
      </c>
      <c r="B1352" s="3" t="s">
        <v>3478</v>
      </c>
      <c r="C1352" s="3" t="s">
        <v>3479</v>
      </c>
      <c r="G1352" s="9" t="s">
        <v>12120</v>
      </c>
      <c r="H1352" s="9"/>
      <c r="I1352" s="9"/>
      <c r="J1352" s="9"/>
      <c r="K1352" s="9"/>
      <c r="L1352" s="9"/>
      <c r="M1352" s="9"/>
      <c r="N1352" s="10"/>
      <c r="O1352" s="9"/>
      <c r="P1352" s="9"/>
      <c r="Q1352" s="9"/>
      <c r="R1352" s="9" t="s">
        <v>12795</v>
      </c>
      <c r="S1352" s="9" t="s">
        <v>12795</v>
      </c>
      <c r="T1352" s="9"/>
      <c r="U1352" s="9"/>
      <c r="V1352" s="9"/>
      <c r="W1352" s="9"/>
      <c r="X1352" s="9"/>
      <c r="Y1352" s="9"/>
      <c r="Z1352" s="9"/>
      <c r="AA1352" s="9"/>
      <c r="AB1352" s="9"/>
      <c r="AC1352" s="9"/>
      <c r="AD1352" s="9" t="s">
        <v>13141</v>
      </c>
    </row>
    <row r="1353" spans="1:30" ht="29">
      <c r="A1353" s="3" t="s">
        <v>3480</v>
      </c>
      <c r="B1353" s="3" t="s">
        <v>9205</v>
      </c>
      <c r="C1353" s="3" t="s">
        <v>9206</v>
      </c>
      <c r="G1353" s="9" t="s">
        <v>25</v>
      </c>
      <c r="H1353" s="9"/>
      <c r="I1353" s="9">
        <v>1</v>
      </c>
      <c r="J1353" s="9">
        <v>4</v>
      </c>
      <c r="K1353" s="9" t="s">
        <v>12078</v>
      </c>
      <c r="L1353" s="9" t="s">
        <v>12073</v>
      </c>
      <c r="M1353" s="9" t="s">
        <v>12149</v>
      </c>
      <c r="N1353" s="10" t="s">
        <v>12143</v>
      </c>
      <c r="O1353" s="9"/>
      <c r="P1353" s="9">
        <v>11843</v>
      </c>
      <c r="Q1353" s="9"/>
      <c r="R1353" s="9" t="s">
        <v>12795</v>
      </c>
      <c r="S1353" s="9" t="s">
        <v>12795</v>
      </c>
      <c r="T1353" s="9"/>
      <c r="U1353" s="9"/>
      <c r="V1353" s="9"/>
      <c r="W1353" s="9"/>
      <c r="X1353" s="9"/>
      <c r="Y1353" s="9"/>
      <c r="Z1353" s="9"/>
      <c r="AA1353" s="9"/>
      <c r="AB1353" s="9"/>
      <c r="AC1353" s="9"/>
      <c r="AD1353" s="9" t="s">
        <v>19</v>
      </c>
    </row>
    <row r="1354" spans="1:30" ht="29">
      <c r="A1354" s="3" t="s">
        <v>3481</v>
      </c>
      <c r="B1354" s="3" t="s">
        <v>9212</v>
      </c>
      <c r="C1354" s="3" t="s">
        <v>9211</v>
      </c>
      <c r="G1354" s="9" t="s">
        <v>12120</v>
      </c>
      <c r="H1354" s="9"/>
      <c r="I1354" s="9"/>
      <c r="J1354" s="9"/>
      <c r="K1354" s="9"/>
      <c r="L1354" s="9"/>
      <c r="M1354" s="9"/>
      <c r="N1354" s="10"/>
      <c r="O1354" s="9"/>
      <c r="P1354" s="9"/>
      <c r="Q1354" s="9"/>
      <c r="R1354" s="9" t="s">
        <v>12795</v>
      </c>
      <c r="S1354" s="9" t="s">
        <v>12795</v>
      </c>
      <c r="T1354" s="9"/>
      <c r="U1354" s="9"/>
      <c r="V1354" s="9"/>
      <c r="W1354" s="9"/>
      <c r="X1354" s="9"/>
      <c r="Y1354" s="9"/>
      <c r="Z1354" s="9"/>
      <c r="AA1354" s="9"/>
      <c r="AB1354" s="9"/>
      <c r="AC1354" s="9"/>
      <c r="AD1354" s="9" t="s">
        <v>20</v>
      </c>
    </row>
    <row r="1355" spans="1:30" ht="29">
      <c r="A1355" s="3" t="s">
        <v>3483</v>
      </c>
      <c r="B1355" s="3" t="s">
        <v>9213</v>
      </c>
      <c r="C1355" s="3" t="s">
        <v>9214</v>
      </c>
      <c r="G1355" s="9" t="s">
        <v>25</v>
      </c>
      <c r="H1355" s="9"/>
      <c r="I1355" s="9">
        <v>1</v>
      </c>
      <c r="J1355" s="9">
        <v>3</v>
      </c>
      <c r="K1355" s="9" t="s">
        <v>12087</v>
      </c>
      <c r="L1355" s="9" t="s">
        <v>12079</v>
      </c>
      <c r="M1355" s="9"/>
      <c r="N1355" s="10"/>
      <c r="O1355" s="9"/>
      <c r="P1355" s="9">
        <v>309</v>
      </c>
      <c r="Q1355" s="9"/>
      <c r="R1355" s="9" t="s">
        <v>12795</v>
      </c>
      <c r="S1355" s="9" t="s">
        <v>12795</v>
      </c>
      <c r="T1355" s="9"/>
      <c r="U1355" s="9"/>
      <c r="V1355" s="9"/>
      <c r="W1355" s="9"/>
      <c r="X1355" s="9"/>
      <c r="Y1355" s="9"/>
      <c r="Z1355" s="9"/>
      <c r="AA1355" s="9"/>
      <c r="AB1355" s="9"/>
      <c r="AC1355" s="9"/>
      <c r="AD1355" s="9" t="s">
        <v>19</v>
      </c>
    </row>
    <row r="1356" spans="1:30" ht="29">
      <c r="A1356" s="3" t="s">
        <v>3483</v>
      </c>
      <c r="B1356" s="3" t="s">
        <v>9216</v>
      </c>
      <c r="C1356" s="3" t="s">
        <v>9215</v>
      </c>
      <c r="G1356" s="9" t="s">
        <v>24</v>
      </c>
      <c r="H1356" s="9"/>
      <c r="I1356" s="9">
        <v>1</v>
      </c>
      <c r="J1356" s="9">
        <v>3</v>
      </c>
      <c r="K1356" s="9" t="s">
        <v>12094</v>
      </c>
      <c r="L1356" s="9" t="s">
        <v>12073</v>
      </c>
      <c r="M1356" s="9" t="s">
        <v>12149</v>
      </c>
      <c r="N1356" s="10" t="s">
        <v>12143</v>
      </c>
      <c r="O1356" s="9" t="s">
        <v>12074</v>
      </c>
      <c r="P1356" s="9">
        <v>1496</v>
      </c>
      <c r="Q1356" s="9"/>
      <c r="R1356" s="9" t="s">
        <v>12795</v>
      </c>
      <c r="S1356" s="9" t="s">
        <v>12795</v>
      </c>
      <c r="T1356" s="9"/>
      <c r="U1356" s="9"/>
      <c r="V1356" s="9"/>
      <c r="W1356" s="9"/>
      <c r="X1356" s="9"/>
      <c r="Y1356" s="9"/>
      <c r="Z1356" s="9"/>
      <c r="AA1356" s="9"/>
      <c r="AB1356" s="9"/>
      <c r="AC1356" s="9"/>
      <c r="AD1356" s="9" t="s">
        <v>19</v>
      </c>
    </row>
    <row r="1357" spans="1:30" ht="29">
      <c r="A1357" s="3" t="s">
        <v>3484</v>
      </c>
      <c r="B1357" s="3" t="s">
        <v>2096</v>
      </c>
      <c r="C1357" s="3" t="s">
        <v>3485</v>
      </c>
      <c r="G1357" s="9" t="s">
        <v>12120</v>
      </c>
      <c r="H1357" s="9"/>
      <c r="I1357" s="9"/>
      <c r="J1357" s="9"/>
      <c r="K1357" s="9"/>
      <c r="L1357" s="9"/>
      <c r="M1357" s="9"/>
      <c r="N1357" s="10"/>
      <c r="O1357" s="9"/>
      <c r="P1357" s="9"/>
      <c r="Q1357" s="9"/>
      <c r="R1357" s="9" t="s">
        <v>12795</v>
      </c>
      <c r="S1357" s="9" t="s">
        <v>12795</v>
      </c>
      <c r="T1357" s="9"/>
      <c r="U1357" s="9"/>
      <c r="V1357" s="9"/>
      <c r="W1357" s="9"/>
      <c r="X1357" s="9"/>
      <c r="Y1357" s="9"/>
      <c r="Z1357" s="9"/>
      <c r="AA1357" s="9"/>
      <c r="AB1357" s="9"/>
      <c r="AC1357" s="9"/>
      <c r="AD1357" s="9" t="s">
        <v>19</v>
      </c>
    </row>
    <row r="1358" spans="1:30" ht="29">
      <c r="A1358" s="3" t="s">
        <v>3484</v>
      </c>
      <c r="B1358" s="3" t="s">
        <v>13061</v>
      </c>
      <c r="C1358" s="3" t="s">
        <v>13064</v>
      </c>
      <c r="G1358" s="9" t="s">
        <v>12118</v>
      </c>
      <c r="H1358" s="9"/>
      <c r="I1358" s="9"/>
      <c r="J1358" s="9"/>
      <c r="K1358" s="9"/>
      <c r="L1358" s="9"/>
      <c r="M1358" s="9"/>
      <c r="N1358" s="10"/>
      <c r="O1358" s="9"/>
      <c r="P1358" s="9"/>
      <c r="Q1358" s="9">
        <v>-45</v>
      </c>
      <c r="R1358" s="9">
        <v>309</v>
      </c>
      <c r="S1358" s="9">
        <v>264</v>
      </c>
      <c r="T1358" s="9"/>
      <c r="U1358" s="9"/>
      <c r="V1358" s="9"/>
      <c r="W1358" s="9"/>
      <c r="X1358" s="9"/>
      <c r="Y1358" s="9"/>
      <c r="Z1358" s="9"/>
      <c r="AA1358" s="9"/>
      <c r="AB1358" s="9"/>
      <c r="AC1358" s="9"/>
      <c r="AD1358" s="9" t="s">
        <v>20</v>
      </c>
    </row>
    <row r="1359" spans="1:30" ht="29">
      <c r="A1359" s="3" t="s">
        <v>3484</v>
      </c>
      <c r="B1359" s="3" t="s">
        <v>13062</v>
      </c>
      <c r="C1359" s="3" t="s">
        <v>13065</v>
      </c>
      <c r="G1359" s="9" t="s">
        <v>25</v>
      </c>
      <c r="H1359" s="9"/>
      <c r="I1359" s="9">
        <v>1</v>
      </c>
      <c r="J1359" s="9">
        <v>6</v>
      </c>
      <c r="K1359" s="9" t="s">
        <v>12125</v>
      </c>
      <c r="L1359" s="9" t="s">
        <v>12079</v>
      </c>
      <c r="M1359" s="9"/>
      <c r="N1359" s="10"/>
      <c r="O1359" s="9"/>
      <c r="P1359" s="9">
        <v>336</v>
      </c>
      <c r="Q1359" s="9"/>
      <c r="R1359" s="9" t="s">
        <v>12795</v>
      </c>
      <c r="S1359" s="9" t="s">
        <v>12795</v>
      </c>
      <c r="T1359" s="9"/>
      <c r="U1359" s="9"/>
      <c r="V1359" s="9"/>
      <c r="W1359" s="9"/>
      <c r="X1359" s="9"/>
      <c r="Y1359" s="9"/>
      <c r="Z1359" s="9"/>
      <c r="AA1359" s="9"/>
      <c r="AB1359" s="9"/>
      <c r="AC1359" s="9"/>
      <c r="AD1359" s="9" t="s">
        <v>20</v>
      </c>
    </row>
    <row r="1360" spans="1:30" ht="29">
      <c r="A1360" s="3" t="s">
        <v>3486</v>
      </c>
      <c r="B1360" s="3" t="s">
        <v>9218</v>
      </c>
      <c r="C1360" s="3" t="s">
        <v>9217</v>
      </c>
      <c r="G1360" s="9" t="s">
        <v>25</v>
      </c>
      <c r="H1360" s="9"/>
      <c r="I1360" s="9">
        <v>1</v>
      </c>
      <c r="J1360" s="9">
        <v>3</v>
      </c>
      <c r="K1360" s="9" t="s">
        <v>12087</v>
      </c>
      <c r="L1360" s="9" t="s">
        <v>12079</v>
      </c>
      <c r="M1360" s="9"/>
      <c r="N1360" s="10"/>
      <c r="O1360" s="9"/>
      <c r="P1360" s="9">
        <v>5676</v>
      </c>
      <c r="Q1360" s="9"/>
      <c r="R1360" s="9" t="s">
        <v>12795</v>
      </c>
      <c r="S1360" s="9" t="s">
        <v>12795</v>
      </c>
      <c r="T1360" s="9"/>
      <c r="U1360" s="9"/>
      <c r="V1360" s="9"/>
      <c r="W1360" s="9"/>
      <c r="X1360" s="9"/>
      <c r="Y1360" s="9"/>
      <c r="Z1360" s="9"/>
      <c r="AA1360" s="9"/>
      <c r="AB1360" s="9"/>
      <c r="AC1360" s="9"/>
      <c r="AD1360" s="9" t="s">
        <v>19</v>
      </c>
    </row>
    <row r="1361" spans="1:30" ht="29">
      <c r="A1361" s="3" t="s">
        <v>3487</v>
      </c>
      <c r="B1361" s="3" t="s">
        <v>12920</v>
      </c>
      <c r="C1361" s="3" t="s">
        <v>9221</v>
      </c>
      <c r="G1361" s="9" t="s">
        <v>24</v>
      </c>
      <c r="H1361" s="9"/>
      <c r="I1361" s="9">
        <v>1</v>
      </c>
      <c r="J1361" s="9">
        <v>1</v>
      </c>
      <c r="K1361" s="9" t="s">
        <v>12078</v>
      </c>
      <c r="L1361" s="9" t="s">
        <v>12119</v>
      </c>
      <c r="M1361" s="9"/>
      <c r="N1361" s="10"/>
      <c r="O1361" s="9"/>
      <c r="P1361" s="9">
        <v>11843</v>
      </c>
      <c r="Q1361" s="9"/>
      <c r="R1361" s="9" t="s">
        <v>12795</v>
      </c>
      <c r="S1361" s="9" t="s">
        <v>12795</v>
      </c>
      <c r="T1361" s="9"/>
      <c r="U1361" s="9"/>
      <c r="V1361" s="9"/>
      <c r="W1361" s="9"/>
      <c r="X1361" s="9"/>
      <c r="Y1361" s="9"/>
      <c r="Z1361" s="9"/>
      <c r="AA1361" s="9"/>
      <c r="AB1361" s="9"/>
      <c r="AC1361" s="9"/>
      <c r="AD1361" s="9" t="s">
        <v>19</v>
      </c>
    </row>
    <row r="1362" spans="1:30" ht="29">
      <c r="A1362" s="3" t="s">
        <v>3488</v>
      </c>
      <c r="B1362" s="3" t="s">
        <v>3489</v>
      </c>
      <c r="C1362" s="3" t="s">
        <v>3490</v>
      </c>
      <c r="G1362" s="9" t="s">
        <v>12118</v>
      </c>
      <c r="H1362" s="9"/>
      <c r="I1362" s="9"/>
      <c r="J1362" s="9"/>
      <c r="K1362" s="9"/>
      <c r="L1362" s="9"/>
      <c r="M1362" s="9"/>
      <c r="N1362" s="10"/>
      <c r="O1362" s="9"/>
      <c r="P1362" s="9"/>
      <c r="Q1362" s="9">
        <v>0</v>
      </c>
      <c r="R1362" s="9">
        <v>1</v>
      </c>
      <c r="S1362" s="9">
        <v>1</v>
      </c>
      <c r="T1362" s="9"/>
      <c r="U1362" s="9"/>
      <c r="V1362" s="9"/>
      <c r="W1362" s="9"/>
      <c r="X1362" s="9"/>
      <c r="Y1362" s="9"/>
      <c r="Z1362" s="9"/>
      <c r="AA1362" s="9"/>
      <c r="AB1362" s="9"/>
      <c r="AC1362" s="9"/>
      <c r="AD1362" s="9" t="s">
        <v>20</v>
      </c>
    </row>
    <row r="1363" spans="1:30" ht="29">
      <c r="A1363" s="3" t="s">
        <v>3488</v>
      </c>
      <c r="B1363" s="3" t="s">
        <v>9222</v>
      </c>
      <c r="C1363" s="3" t="s">
        <v>9223</v>
      </c>
      <c r="G1363" s="9" t="s">
        <v>12120</v>
      </c>
      <c r="H1363" s="9"/>
      <c r="I1363" s="9"/>
      <c r="J1363" s="9"/>
      <c r="K1363" s="9"/>
      <c r="L1363" s="9"/>
      <c r="M1363" s="9"/>
      <c r="N1363" s="10"/>
      <c r="O1363" s="9"/>
      <c r="P1363" s="9"/>
      <c r="Q1363" s="9"/>
      <c r="R1363" s="9" t="s">
        <v>12795</v>
      </c>
      <c r="S1363" s="9" t="s">
        <v>12795</v>
      </c>
      <c r="T1363" s="9"/>
      <c r="U1363" s="9"/>
      <c r="V1363" s="9"/>
      <c r="W1363" s="9"/>
      <c r="X1363" s="9"/>
      <c r="Y1363" s="9"/>
      <c r="Z1363" s="9"/>
      <c r="AA1363" s="9"/>
      <c r="AB1363" s="9"/>
      <c r="AC1363" s="9"/>
      <c r="AD1363" s="9" t="s">
        <v>19</v>
      </c>
    </row>
    <row r="1364" spans="1:30" ht="29">
      <c r="A1364" s="3" t="s">
        <v>3494</v>
      </c>
      <c r="B1364" s="3" t="s">
        <v>9227</v>
      </c>
      <c r="C1364" s="3" t="s">
        <v>9226</v>
      </c>
      <c r="G1364" s="9" t="s">
        <v>24</v>
      </c>
      <c r="H1364" s="9"/>
      <c r="I1364" s="9">
        <v>1</v>
      </c>
      <c r="J1364" s="9">
        <v>2</v>
      </c>
      <c r="K1364" s="9" t="s">
        <v>12078</v>
      </c>
      <c r="L1364" s="9" t="s">
        <v>12119</v>
      </c>
      <c r="M1364" s="9"/>
      <c r="N1364" s="10"/>
      <c r="O1364" s="9"/>
      <c r="P1364" s="9">
        <v>11843</v>
      </c>
      <c r="Q1364" s="9"/>
      <c r="R1364" s="9" t="s">
        <v>12795</v>
      </c>
      <c r="S1364" s="9" t="s">
        <v>12795</v>
      </c>
      <c r="T1364" s="9"/>
      <c r="U1364" s="9"/>
      <c r="V1364" s="9"/>
      <c r="W1364" s="9"/>
      <c r="X1364" s="9"/>
      <c r="Y1364" s="9"/>
      <c r="Z1364" s="9"/>
      <c r="AA1364" s="9"/>
      <c r="AB1364" s="9"/>
      <c r="AC1364" s="9"/>
      <c r="AD1364" s="9" t="s">
        <v>19</v>
      </c>
    </row>
    <row r="1365" spans="1:30" ht="29">
      <c r="A1365" s="3" t="s">
        <v>3494</v>
      </c>
      <c r="B1365" s="3" t="s">
        <v>9228</v>
      </c>
      <c r="C1365" s="3" t="s">
        <v>9229</v>
      </c>
      <c r="G1365" s="9" t="s">
        <v>25</v>
      </c>
      <c r="H1365" s="9"/>
      <c r="I1365" s="9">
        <v>1</v>
      </c>
      <c r="J1365" s="9">
        <v>7</v>
      </c>
      <c r="K1365" s="9" t="s">
        <v>12125</v>
      </c>
      <c r="L1365" s="9" t="s">
        <v>12079</v>
      </c>
      <c r="M1365" s="9"/>
      <c r="N1365" s="10"/>
      <c r="O1365" s="9"/>
      <c r="P1365" s="9">
        <v>320</v>
      </c>
      <c r="Q1365" s="9"/>
      <c r="R1365" s="9" t="s">
        <v>12795</v>
      </c>
      <c r="S1365" s="9" t="s">
        <v>12795</v>
      </c>
      <c r="T1365" s="9"/>
      <c r="U1365" s="9"/>
      <c r="V1365" s="9"/>
      <c r="W1365" s="9"/>
      <c r="X1365" s="9"/>
      <c r="Y1365" s="9"/>
      <c r="Z1365" s="9"/>
      <c r="AA1365" s="9"/>
      <c r="AB1365" s="9"/>
      <c r="AC1365" s="9"/>
      <c r="AD1365" s="9" t="s">
        <v>20</v>
      </c>
    </row>
    <row r="1366" spans="1:30" ht="29">
      <c r="A1366" s="3" t="s">
        <v>3497</v>
      </c>
      <c r="B1366" s="3" t="s">
        <v>9231</v>
      </c>
      <c r="C1366" s="3" t="s">
        <v>9230</v>
      </c>
      <c r="G1366" s="9" t="s">
        <v>24</v>
      </c>
      <c r="H1366" s="9"/>
      <c r="I1366" s="9">
        <v>1</v>
      </c>
      <c r="J1366" s="9">
        <v>3</v>
      </c>
      <c r="K1366" s="9" t="s">
        <v>12087</v>
      </c>
      <c r="L1366" s="9" t="s">
        <v>12079</v>
      </c>
      <c r="M1366" s="9"/>
      <c r="N1366" s="10"/>
      <c r="O1366" s="9"/>
      <c r="P1366" s="9">
        <v>5676</v>
      </c>
      <c r="Q1366" s="9"/>
      <c r="R1366" s="9" t="s">
        <v>12795</v>
      </c>
      <c r="S1366" s="9" t="s">
        <v>12795</v>
      </c>
      <c r="T1366" s="9"/>
      <c r="U1366" s="9"/>
      <c r="V1366" s="9"/>
      <c r="W1366" s="9"/>
      <c r="X1366" s="9"/>
      <c r="Y1366" s="9"/>
      <c r="Z1366" s="9"/>
      <c r="AA1366" s="9"/>
      <c r="AB1366" s="9"/>
      <c r="AC1366" s="9"/>
      <c r="AD1366" s="9" t="s">
        <v>19</v>
      </c>
    </row>
    <row r="1367" spans="1:30" ht="29">
      <c r="A1367" s="3" t="s">
        <v>3502</v>
      </c>
      <c r="B1367" s="3" t="s">
        <v>9233</v>
      </c>
      <c r="C1367" s="3" t="s">
        <v>9232</v>
      </c>
      <c r="G1367" s="9" t="s">
        <v>26</v>
      </c>
      <c r="H1367" s="9"/>
      <c r="I1367" s="9"/>
      <c r="J1367" s="9"/>
      <c r="K1367" s="9"/>
      <c r="L1367" s="9"/>
      <c r="M1367" s="9"/>
      <c r="N1367" s="10"/>
      <c r="O1367" s="9"/>
      <c r="P1367" s="9"/>
      <c r="Q1367" s="9"/>
      <c r="R1367" s="9" t="s">
        <v>12795</v>
      </c>
      <c r="S1367" s="9" t="s">
        <v>12795</v>
      </c>
      <c r="T1367" s="9" t="s">
        <v>12117</v>
      </c>
      <c r="U1367" s="9"/>
      <c r="V1367" s="9"/>
      <c r="W1367" s="9"/>
      <c r="X1367" s="9"/>
      <c r="Y1367" s="9"/>
      <c r="Z1367" s="9"/>
      <c r="AA1367" s="9"/>
      <c r="AB1367" s="9"/>
      <c r="AC1367" s="9"/>
      <c r="AD1367" s="9" t="s">
        <v>20</v>
      </c>
    </row>
    <row r="1368" spans="1:30" ht="29">
      <c r="A1368" s="3" t="s">
        <v>3502</v>
      </c>
      <c r="B1368" s="3" t="s">
        <v>9234</v>
      </c>
      <c r="C1368" s="3" t="s">
        <v>9235</v>
      </c>
      <c r="G1368" s="9" t="s">
        <v>25</v>
      </c>
      <c r="H1368" s="9"/>
      <c r="I1368" s="9">
        <v>1</v>
      </c>
      <c r="J1368" s="9">
        <v>2</v>
      </c>
      <c r="K1368" s="9" t="s">
        <v>12123</v>
      </c>
      <c r="L1368" s="9" t="s">
        <v>12079</v>
      </c>
      <c r="M1368" s="9"/>
      <c r="N1368" s="10"/>
      <c r="O1368" s="9"/>
      <c r="P1368" s="9">
        <v>134</v>
      </c>
      <c r="Q1368" s="9"/>
      <c r="R1368" s="9" t="s">
        <v>12795</v>
      </c>
      <c r="S1368" s="9" t="s">
        <v>12795</v>
      </c>
      <c r="T1368" s="9"/>
      <c r="U1368" s="9"/>
      <c r="V1368" s="9"/>
      <c r="W1368" s="9"/>
      <c r="X1368" s="9"/>
      <c r="Y1368" s="9"/>
      <c r="Z1368" s="9"/>
      <c r="AA1368" s="9"/>
      <c r="AB1368" s="9"/>
      <c r="AC1368" s="9"/>
      <c r="AD1368" s="9" t="s">
        <v>19</v>
      </c>
    </row>
    <row r="1369" spans="1:30" ht="29">
      <c r="A1369" s="3" t="s">
        <v>3502</v>
      </c>
      <c r="B1369" s="3" t="s">
        <v>9239</v>
      </c>
      <c r="C1369" s="3" t="s">
        <v>9238</v>
      </c>
      <c r="G1369" s="9" t="s">
        <v>12118</v>
      </c>
      <c r="H1369" s="9"/>
      <c r="I1369" s="9"/>
      <c r="J1369" s="9"/>
      <c r="K1369" s="9"/>
      <c r="L1369" s="9"/>
      <c r="M1369" s="9"/>
      <c r="N1369" s="10"/>
      <c r="O1369" s="9"/>
      <c r="P1369" s="9"/>
      <c r="Q1369" s="9">
        <v>-14</v>
      </c>
      <c r="R1369" s="9">
        <v>148</v>
      </c>
      <c r="S1369" s="9">
        <v>134</v>
      </c>
      <c r="T1369" s="9"/>
      <c r="U1369" s="9"/>
      <c r="V1369" s="9"/>
      <c r="W1369" s="9"/>
      <c r="X1369" s="9"/>
      <c r="Y1369" s="9"/>
      <c r="Z1369" s="9"/>
      <c r="AA1369" s="9"/>
      <c r="AB1369" s="9"/>
      <c r="AC1369" s="9"/>
      <c r="AD1369" s="9" t="s">
        <v>20</v>
      </c>
    </row>
    <row r="1370" spans="1:30" ht="29">
      <c r="A1370" s="3" t="s">
        <v>3503</v>
      </c>
      <c r="B1370" s="3" t="s">
        <v>9241</v>
      </c>
      <c r="C1370" s="3" t="s">
        <v>9240</v>
      </c>
      <c r="G1370" s="9" t="s">
        <v>24</v>
      </c>
      <c r="H1370" s="9"/>
      <c r="I1370" s="9">
        <v>1</v>
      </c>
      <c r="J1370" s="9">
        <v>2</v>
      </c>
      <c r="K1370" s="9" t="s">
        <v>12087</v>
      </c>
      <c r="L1370" s="9" t="s">
        <v>12119</v>
      </c>
      <c r="M1370" s="9"/>
      <c r="N1370" s="10"/>
      <c r="O1370" s="9"/>
      <c r="P1370" s="9">
        <v>1966</v>
      </c>
      <c r="Q1370" s="9"/>
      <c r="R1370" s="9" t="s">
        <v>12795</v>
      </c>
      <c r="S1370" s="9" t="s">
        <v>12795</v>
      </c>
      <c r="T1370" s="9"/>
      <c r="U1370" s="9"/>
      <c r="V1370" s="9"/>
      <c r="W1370" s="9"/>
      <c r="X1370" s="9"/>
      <c r="Y1370" s="9"/>
      <c r="Z1370" s="9"/>
      <c r="AA1370" s="9"/>
      <c r="AB1370" s="9"/>
      <c r="AC1370" s="9"/>
      <c r="AD1370" s="9" t="s">
        <v>20</v>
      </c>
    </row>
    <row r="1371" spans="1:30" ht="29">
      <c r="A1371" s="3" t="s">
        <v>3504</v>
      </c>
      <c r="B1371" s="3" t="s">
        <v>9243</v>
      </c>
      <c r="C1371" s="3" t="s">
        <v>9242</v>
      </c>
      <c r="G1371" s="9" t="s">
        <v>12120</v>
      </c>
      <c r="H1371" s="9"/>
      <c r="I1371" s="9"/>
      <c r="J1371" s="9"/>
      <c r="K1371" s="9"/>
      <c r="L1371" s="9"/>
      <c r="M1371" s="9"/>
      <c r="N1371" s="10"/>
      <c r="O1371" s="9"/>
      <c r="P1371" s="9"/>
      <c r="Q1371" s="9"/>
      <c r="R1371" s="9" t="s">
        <v>12795</v>
      </c>
      <c r="S1371" s="9" t="s">
        <v>12795</v>
      </c>
      <c r="T1371" s="9"/>
      <c r="U1371" s="9"/>
      <c r="V1371" s="9"/>
      <c r="W1371" s="9"/>
      <c r="X1371" s="9"/>
      <c r="Y1371" s="9"/>
      <c r="Z1371" s="9"/>
      <c r="AA1371" s="9"/>
      <c r="AB1371" s="9"/>
      <c r="AC1371" s="9"/>
      <c r="AD1371" s="9" t="s">
        <v>20</v>
      </c>
    </row>
    <row r="1372" spans="1:30" ht="29">
      <c r="A1372" s="3" t="s">
        <v>3504</v>
      </c>
      <c r="B1372" s="3" t="s">
        <v>9245</v>
      </c>
      <c r="C1372" s="3" t="s">
        <v>9244</v>
      </c>
      <c r="G1372" s="9" t="s">
        <v>12118</v>
      </c>
      <c r="H1372" s="9"/>
      <c r="I1372" s="9"/>
      <c r="J1372" s="9"/>
      <c r="K1372" s="9"/>
      <c r="L1372" s="9"/>
      <c r="M1372" s="9"/>
      <c r="N1372" s="10"/>
      <c r="O1372" s="9"/>
      <c r="P1372" s="9"/>
      <c r="Q1372" s="9">
        <v>-16</v>
      </c>
      <c r="R1372" s="9">
        <v>29</v>
      </c>
      <c r="S1372" s="9">
        <v>13</v>
      </c>
      <c r="T1372" s="9"/>
      <c r="U1372" s="9"/>
      <c r="V1372" s="9"/>
      <c r="W1372" s="9"/>
      <c r="X1372" s="9"/>
      <c r="Y1372" s="9"/>
      <c r="Z1372" s="9"/>
      <c r="AA1372" s="9"/>
      <c r="AB1372" s="9"/>
      <c r="AC1372" s="9"/>
      <c r="AD1372" s="9" t="s">
        <v>20</v>
      </c>
    </row>
    <row r="1373" spans="1:30" ht="29">
      <c r="A1373" s="3" t="s">
        <v>3504</v>
      </c>
      <c r="B1373" s="3" t="s">
        <v>9246</v>
      </c>
      <c r="C1373" s="3" t="s">
        <v>9247</v>
      </c>
      <c r="G1373" s="9" t="s">
        <v>25</v>
      </c>
      <c r="H1373" s="9"/>
      <c r="I1373" s="9">
        <v>1</v>
      </c>
      <c r="J1373" s="9">
        <v>7</v>
      </c>
      <c r="K1373" s="9" t="s">
        <v>12098</v>
      </c>
      <c r="L1373" s="9" t="s">
        <v>12073</v>
      </c>
      <c r="M1373" s="9" t="s">
        <v>12142</v>
      </c>
      <c r="N1373" s="10" t="s">
        <v>12143</v>
      </c>
      <c r="O1373" s="9"/>
      <c r="P1373" s="9">
        <v>2042</v>
      </c>
      <c r="Q1373" s="9"/>
      <c r="R1373" s="9" t="s">
        <v>12795</v>
      </c>
      <c r="S1373" s="9" t="s">
        <v>12795</v>
      </c>
      <c r="T1373" s="9"/>
      <c r="U1373" s="9"/>
      <c r="V1373" s="9"/>
      <c r="W1373" s="9"/>
      <c r="X1373" s="9"/>
      <c r="Y1373" s="9"/>
      <c r="Z1373" s="9"/>
      <c r="AA1373" s="9"/>
      <c r="AB1373" s="9"/>
      <c r="AC1373" s="9"/>
      <c r="AD1373" s="9" t="s">
        <v>19</v>
      </c>
    </row>
    <row r="1374" spans="1:30" ht="29">
      <c r="A1374" s="3" t="s">
        <v>3505</v>
      </c>
      <c r="B1374" s="3" t="s">
        <v>9249</v>
      </c>
      <c r="C1374" s="3" t="s">
        <v>9248</v>
      </c>
      <c r="G1374" s="9" t="s">
        <v>24</v>
      </c>
      <c r="H1374" s="9"/>
      <c r="I1374" s="9">
        <v>1</v>
      </c>
      <c r="J1374" s="9">
        <v>3</v>
      </c>
      <c r="K1374" s="9" t="s">
        <v>12087</v>
      </c>
      <c r="L1374" s="9" t="s">
        <v>12079</v>
      </c>
      <c r="M1374" s="9"/>
      <c r="N1374" s="10"/>
      <c r="O1374" s="9"/>
      <c r="P1374" s="9">
        <v>5676</v>
      </c>
      <c r="Q1374" s="9"/>
      <c r="R1374" s="9" t="s">
        <v>12795</v>
      </c>
      <c r="S1374" s="9" t="s">
        <v>12795</v>
      </c>
      <c r="T1374" s="9"/>
      <c r="U1374" s="9"/>
      <c r="V1374" s="9"/>
      <c r="W1374" s="9"/>
      <c r="X1374" s="9"/>
      <c r="Y1374" s="9"/>
      <c r="Z1374" s="9"/>
      <c r="AA1374" s="9"/>
      <c r="AB1374" s="9"/>
      <c r="AC1374" s="9"/>
      <c r="AD1374" s="9" t="s">
        <v>19</v>
      </c>
    </row>
    <row r="1375" spans="1:30" ht="29">
      <c r="A1375" s="3" t="s">
        <v>3506</v>
      </c>
      <c r="B1375" s="3" t="s">
        <v>12922</v>
      </c>
      <c r="C1375" s="3" t="s">
        <v>9254</v>
      </c>
      <c r="G1375" s="9" t="s">
        <v>24</v>
      </c>
      <c r="H1375" s="9"/>
      <c r="I1375" s="9">
        <v>1</v>
      </c>
      <c r="J1375" s="9">
        <v>1</v>
      </c>
      <c r="K1375" s="9" t="s">
        <v>12078</v>
      </c>
      <c r="L1375" s="9" t="s">
        <v>12119</v>
      </c>
      <c r="M1375" s="9"/>
      <c r="N1375" s="10"/>
      <c r="O1375" s="9"/>
      <c r="P1375" s="9">
        <v>11843</v>
      </c>
      <c r="Q1375" s="9"/>
      <c r="R1375" s="9" t="s">
        <v>12795</v>
      </c>
      <c r="S1375" s="9" t="s">
        <v>12795</v>
      </c>
      <c r="T1375" s="9"/>
      <c r="U1375" s="9"/>
      <c r="V1375" s="9"/>
      <c r="W1375" s="9"/>
      <c r="X1375" s="9"/>
      <c r="Y1375" s="9"/>
      <c r="Z1375" s="9"/>
      <c r="AA1375" s="9"/>
      <c r="AB1375" s="9"/>
      <c r="AC1375" s="9"/>
      <c r="AD1375" s="9" t="s">
        <v>19</v>
      </c>
    </row>
    <row r="1376" spans="1:30" ht="29">
      <c r="A1376" s="3" t="s">
        <v>3507</v>
      </c>
      <c r="B1376" s="3" t="s">
        <v>9256</v>
      </c>
      <c r="C1376" s="3" t="s">
        <v>9255</v>
      </c>
      <c r="G1376" s="9" t="s">
        <v>24</v>
      </c>
      <c r="H1376" s="9"/>
      <c r="I1376" s="9">
        <v>1</v>
      </c>
      <c r="J1376" s="9">
        <v>6</v>
      </c>
      <c r="K1376" s="9" t="s">
        <v>12094</v>
      </c>
      <c r="L1376" s="9" t="s">
        <v>12079</v>
      </c>
      <c r="M1376" s="9"/>
      <c r="N1376" s="10"/>
      <c r="O1376" s="9"/>
      <c r="P1376" s="9">
        <v>930</v>
      </c>
      <c r="Q1376" s="9"/>
      <c r="R1376" s="9" t="s">
        <v>12795</v>
      </c>
      <c r="S1376" s="9" t="s">
        <v>12795</v>
      </c>
      <c r="T1376" s="9"/>
      <c r="U1376" s="9"/>
      <c r="V1376" s="9"/>
      <c r="W1376" s="9"/>
      <c r="X1376" s="9"/>
      <c r="Y1376" s="9"/>
      <c r="Z1376" s="9"/>
      <c r="AA1376" s="9"/>
      <c r="AB1376" s="9"/>
      <c r="AC1376" s="9"/>
      <c r="AD1376" s="9" t="s">
        <v>19</v>
      </c>
    </row>
    <row r="1377" spans="1:30" ht="29">
      <c r="A1377" s="3" t="s">
        <v>3508</v>
      </c>
      <c r="B1377" s="3" t="s">
        <v>9258</v>
      </c>
      <c r="C1377" s="3" t="s">
        <v>9257</v>
      </c>
      <c r="G1377" s="9" t="s">
        <v>12120</v>
      </c>
      <c r="H1377" s="9"/>
      <c r="I1377" s="9"/>
      <c r="J1377" s="9"/>
      <c r="K1377" s="9"/>
      <c r="L1377" s="9"/>
      <c r="M1377" s="9"/>
      <c r="N1377" s="10"/>
      <c r="O1377" s="9"/>
      <c r="P1377" s="9"/>
      <c r="Q1377" s="9"/>
      <c r="R1377" s="9" t="s">
        <v>12795</v>
      </c>
      <c r="S1377" s="9" t="s">
        <v>12795</v>
      </c>
      <c r="T1377" s="9"/>
      <c r="U1377" s="9"/>
      <c r="V1377" s="9"/>
      <c r="W1377" s="9"/>
      <c r="X1377" s="9"/>
      <c r="Y1377" s="9"/>
      <c r="Z1377" s="9"/>
      <c r="AA1377" s="9"/>
      <c r="AB1377" s="9"/>
      <c r="AC1377" s="9"/>
      <c r="AD1377" s="9" t="s">
        <v>19</v>
      </c>
    </row>
    <row r="1378" spans="1:30" ht="29">
      <c r="A1378" s="3" t="s">
        <v>3510</v>
      </c>
      <c r="B1378" s="3" t="s">
        <v>9262</v>
      </c>
      <c r="C1378" s="3" t="s">
        <v>9261</v>
      </c>
      <c r="G1378" s="9" t="s">
        <v>25</v>
      </c>
      <c r="H1378" s="9"/>
      <c r="I1378" s="9">
        <v>1</v>
      </c>
      <c r="J1378" s="9">
        <v>3</v>
      </c>
      <c r="K1378" s="9" t="s">
        <v>12087</v>
      </c>
      <c r="L1378" s="9" t="s">
        <v>12079</v>
      </c>
      <c r="M1378" s="9"/>
      <c r="N1378" s="10"/>
      <c r="O1378" s="9"/>
      <c r="P1378" s="9">
        <v>356</v>
      </c>
      <c r="Q1378" s="9"/>
      <c r="R1378" s="9" t="s">
        <v>12795</v>
      </c>
      <c r="S1378" s="9" t="s">
        <v>12795</v>
      </c>
      <c r="T1378" s="9"/>
      <c r="U1378" s="9"/>
      <c r="V1378" s="9"/>
      <c r="W1378" s="9"/>
      <c r="X1378" s="9"/>
      <c r="Y1378" s="9"/>
      <c r="Z1378" s="9"/>
      <c r="AA1378" s="9"/>
      <c r="AB1378" s="9"/>
      <c r="AC1378" s="9"/>
      <c r="AD1378" s="9" t="s">
        <v>19</v>
      </c>
    </row>
    <row r="1379" spans="1:30" ht="29">
      <c r="A1379" s="3" t="s">
        <v>3511</v>
      </c>
      <c r="B1379" s="3" t="s">
        <v>9264</v>
      </c>
      <c r="C1379" s="3" t="s">
        <v>9263</v>
      </c>
      <c r="G1379" s="9" t="s">
        <v>26</v>
      </c>
      <c r="H1379" s="9"/>
      <c r="I1379" s="9"/>
      <c r="J1379" s="9"/>
      <c r="K1379" s="9"/>
      <c r="L1379" s="9"/>
      <c r="M1379" s="9"/>
      <c r="N1379" s="10"/>
      <c r="O1379" s="9"/>
      <c r="P1379" s="9"/>
      <c r="Q1379" s="9"/>
      <c r="R1379" s="9" t="s">
        <v>12795</v>
      </c>
      <c r="S1379" s="9" t="s">
        <v>12795</v>
      </c>
      <c r="T1379" s="9"/>
      <c r="U1379" s="9"/>
      <c r="V1379" s="9"/>
      <c r="W1379" s="9"/>
      <c r="X1379" s="9"/>
      <c r="Y1379" s="9"/>
      <c r="Z1379" s="9"/>
      <c r="AA1379" s="9"/>
      <c r="AB1379" s="9"/>
      <c r="AC1379" s="9"/>
      <c r="AD1379" s="9" t="s">
        <v>19</v>
      </c>
    </row>
    <row r="1380" spans="1:30" ht="29">
      <c r="A1380" s="3" t="s">
        <v>3512</v>
      </c>
      <c r="B1380" s="3" t="s">
        <v>1900</v>
      </c>
      <c r="C1380" s="3" t="s">
        <v>1234</v>
      </c>
      <c r="G1380" s="9" t="s">
        <v>12118</v>
      </c>
      <c r="H1380" s="9"/>
      <c r="I1380" s="9"/>
      <c r="J1380" s="9"/>
      <c r="K1380" s="9"/>
      <c r="L1380" s="9"/>
      <c r="M1380" s="9"/>
      <c r="N1380" s="10"/>
      <c r="O1380" s="9"/>
      <c r="P1380" s="9"/>
      <c r="Q1380" s="9">
        <v>155</v>
      </c>
      <c r="R1380" s="9">
        <v>352</v>
      </c>
      <c r="S1380" s="9">
        <v>507</v>
      </c>
      <c r="T1380" s="9"/>
      <c r="U1380" s="9"/>
      <c r="V1380" s="9"/>
      <c r="W1380" s="9"/>
      <c r="X1380" s="9"/>
      <c r="Y1380" s="9"/>
      <c r="Z1380" s="9"/>
      <c r="AA1380" s="9"/>
      <c r="AB1380" s="9"/>
      <c r="AC1380" s="9"/>
      <c r="AD1380" s="9" t="s">
        <v>20</v>
      </c>
    </row>
    <row r="1381" spans="1:30" ht="29">
      <c r="A1381" s="3" t="s">
        <v>3515</v>
      </c>
      <c r="B1381" s="3" t="s">
        <v>9268</v>
      </c>
      <c r="C1381" s="3" t="s">
        <v>9267</v>
      </c>
      <c r="G1381" s="9" t="s">
        <v>25</v>
      </c>
      <c r="H1381" s="9"/>
      <c r="I1381" s="9">
        <v>1</v>
      </c>
      <c r="J1381" s="9">
        <v>4</v>
      </c>
      <c r="K1381" s="9" t="s">
        <v>12094</v>
      </c>
      <c r="L1381" s="9" t="s">
        <v>12079</v>
      </c>
      <c r="M1381" s="9"/>
      <c r="N1381" s="10"/>
      <c r="O1381" s="9"/>
      <c r="P1381" s="9">
        <v>1496</v>
      </c>
      <c r="Q1381" s="9"/>
      <c r="R1381" s="9" t="s">
        <v>12795</v>
      </c>
      <c r="S1381" s="9" t="s">
        <v>12795</v>
      </c>
      <c r="T1381" s="9"/>
      <c r="U1381" s="9"/>
      <c r="V1381" s="9"/>
      <c r="W1381" s="9"/>
      <c r="X1381" s="9"/>
      <c r="Y1381" s="9"/>
      <c r="Z1381" s="9"/>
      <c r="AA1381" s="9"/>
      <c r="AB1381" s="9"/>
      <c r="AC1381" s="9"/>
      <c r="AD1381" s="9" t="s">
        <v>20</v>
      </c>
    </row>
    <row r="1382" spans="1:30" ht="29">
      <c r="A1382" s="3" t="s">
        <v>3516</v>
      </c>
      <c r="B1382" s="3" t="s">
        <v>9269</v>
      </c>
      <c r="C1382" s="3" t="s">
        <v>9270</v>
      </c>
      <c r="G1382" s="9" t="s">
        <v>12118</v>
      </c>
      <c r="H1382" s="9"/>
      <c r="I1382" s="9"/>
      <c r="J1382" s="9"/>
      <c r="K1382" s="9"/>
      <c r="L1382" s="9"/>
      <c r="M1382" s="9"/>
      <c r="N1382" s="10"/>
      <c r="O1382" s="9"/>
      <c r="P1382" s="9"/>
      <c r="Q1382" s="9">
        <v>-4866</v>
      </c>
      <c r="R1382" s="9">
        <v>5676</v>
      </c>
      <c r="S1382" s="9">
        <v>810</v>
      </c>
      <c r="T1382" s="9"/>
      <c r="U1382" s="9"/>
      <c r="V1382" s="9"/>
      <c r="W1382" s="9"/>
      <c r="X1382" s="9"/>
      <c r="Y1382" s="9"/>
      <c r="Z1382" s="9"/>
      <c r="AA1382" s="9"/>
      <c r="AB1382" s="9"/>
      <c r="AC1382" s="9"/>
      <c r="AD1382" s="9" t="s">
        <v>19</v>
      </c>
    </row>
    <row r="1383" spans="1:30" ht="29">
      <c r="A1383" s="3" t="s">
        <v>3516</v>
      </c>
      <c r="B1383" s="3" t="s">
        <v>9272</v>
      </c>
      <c r="C1383" s="3" t="s">
        <v>9271</v>
      </c>
      <c r="G1383" s="9" t="s">
        <v>12118</v>
      </c>
      <c r="H1383" s="9"/>
      <c r="I1383" s="9"/>
      <c r="J1383" s="9"/>
      <c r="K1383" s="9"/>
      <c r="L1383" s="9"/>
      <c r="M1383" s="9"/>
      <c r="N1383" s="10"/>
      <c r="O1383" s="9"/>
      <c r="P1383" s="9"/>
      <c r="Q1383" s="9">
        <v>-333</v>
      </c>
      <c r="R1383" s="9">
        <v>431</v>
      </c>
      <c r="S1383" s="9">
        <v>98</v>
      </c>
      <c r="T1383" s="9"/>
      <c r="U1383" s="9"/>
      <c r="V1383" s="9"/>
      <c r="W1383" s="9"/>
      <c r="X1383" s="9"/>
      <c r="Y1383" s="9"/>
      <c r="Z1383" s="9"/>
      <c r="AA1383" s="9"/>
      <c r="AB1383" s="9"/>
      <c r="AC1383" s="9"/>
      <c r="AD1383" s="9" t="s">
        <v>19</v>
      </c>
    </row>
    <row r="1384" spans="1:30" ht="29">
      <c r="A1384" s="3" t="s">
        <v>3517</v>
      </c>
      <c r="B1384" s="3" t="s">
        <v>9273</v>
      </c>
      <c r="C1384" s="3" t="s">
        <v>9274</v>
      </c>
      <c r="G1384" s="9" t="s">
        <v>25</v>
      </c>
      <c r="H1384" s="9"/>
      <c r="I1384" s="9">
        <v>1</v>
      </c>
      <c r="J1384" s="9">
        <v>3</v>
      </c>
      <c r="K1384" s="9" t="s">
        <v>12078</v>
      </c>
      <c r="L1384" s="9" t="s">
        <v>12079</v>
      </c>
      <c r="M1384" s="9"/>
      <c r="N1384" s="10"/>
      <c r="O1384" s="9"/>
      <c r="P1384" s="9">
        <v>11843</v>
      </c>
      <c r="Q1384" s="9"/>
      <c r="R1384" s="9" t="s">
        <v>12795</v>
      </c>
      <c r="S1384" s="9" t="s">
        <v>12795</v>
      </c>
      <c r="T1384" s="9"/>
      <c r="U1384" s="9"/>
      <c r="V1384" s="9"/>
      <c r="W1384" s="9"/>
      <c r="X1384" s="9"/>
      <c r="Y1384" s="9"/>
      <c r="Z1384" s="9"/>
      <c r="AA1384" s="9"/>
      <c r="AB1384" s="9"/>
      <c r="AC1384" s="9"/>
      <c r="AD1384" s="9" t="s">
        <v>20</v>
      </c>
    </row>
    <row r="1385" spans="1:30" ht="29">
      <c r="A1385" s="3" t="s">
        <v>3520</v>
      </c>
      <c r="B1385" s="3" t="s">
        <v>9279</v>
      </c>
      <c r="C1385" s="3" t="s">
        <v>9280</v>
      </c>
      <c r="G1385" s="9" t="s">
        <v>12118</v>
      </c>
      <c r="H1385" s="9"/>
      <c r="I1385" s="9"/>
      <c r="J1385" s="9"/>
      <c r="K1385" s="9"/>
      <c r="L1385" s="9"/>
      <c r="M1385" s="9"/>
      <c r="N1385" s="10"/>
      <c r="O1385" s="9"/>
      <c r="P1385" s="9"/>
      <c r="Q1385" s="9">
        <v>743</v>
      </c>
      <c r="R1385" s="9">
        <v>67</v>
      </c>
      <c r="S1385" s="9">
        <v>810</v>
      </c>
      <c r="T1385" s="9"/>
      <c r="U1385" s="9"/>
      <c r="V1385" s="9"/>
      <c r="W1385" s="9"/>
      <c r="X1385" s="9"/>
      <c r="Y1385" s="9"/>
      <c r="Z1385" s="9"/>
      <c r="AA1385" s="9"/>
      <c r="AB1385" s="9"/>
      <c r="AC1385" s="9"/>
      <c r="AD1385" s="9" t="s">
        <v>20</v>
      </c>
    </row>
    <row r="1386" spans="1:30" ht="29">
      <c r="A1386" s="3" t="s">
        <v>3520</v>
      </c>
      <c r="B1386" s="3" t="s">
        <v>9282</v>
      </c>
      <c r="C1386" s="3" t="s">
        <v>9281</v>
      </c>
      <c r="G1386" s="9" t="s">
        <v>25</v>
      </c>
      <c r="H1386" s="9"/>
      <c r="I1386" s="9">
        <v>1</v>
      </c>
      <c r="J1386" s="9">
        <v>3</v>
      </c>
      <c r="K1386" s="9" t="s">
        <v>12078</v>
      </c>
      <c r="L1386" s="9" t="s">
        <v>12079</v>
      </c>
      <c r="M1386" s="9"/>
      <c r="N1386" s="10"/>
      <c r="O1386" s="9"/>
      <c r="P1386" s="9">
        <v>11843</v>
      </c>
      <c r="Q1386" s="9"/>
      <c r="R1386" s="9" t="s">
        <v>12795</v>
      </c>
      <c r="S1386" s="9" t="s">
        <v>12795</v>
      </c>
      <c r="T1386" s="9"/>
      <c r="U1386" s="9"/>
      <c r="V1386" s="9"/>
      <c r="W1386" s="9"/>
      <c r="X1386" s="9"/>
      <c r="Y1386" s="9"/>
      <c r="Z1386" s="9"/>
      <c r="AA1386" s="9"/>
      <c r="AB1386" s="9"/>
      <c r="AC1386" s="9"/>
      <c r="AD1386" s="9" t="s">
        <v>20</v>
      </c>
    </row>
    <row r="1387" spans="1:30" ht="29">
      <c r="A1387" s="3" t="s">
        <v>3520</v>
      </c>
      <c r="B1387" s="3" t="s">
        <v>9283</v>
      </c>
      <c r="C1387" s="3" t="s">
        <v>9281</v>
      </c>
      <c r="G1387" s="9" t="s">
        <v>25</v>
      </c>
      <c r="H1387" s="9"/>
      <c r="I1387" s="9">
        <v>1</v>
      </c>
      <c r="J1387" s="9">
        <v>5</v>
      </c>
      <c r="K1387" s="9" t="s">
        <v>12094</v>
      </c>
      <c r="L1387" s="9" t="s">
        <v>12079</v>
      </c>
      <c r="M1387" s="9"/>
      <c r="N1387" s="10"/>
      <c r="O1387" s="9"/>
      <c r="P1387" s="9">
        <v>4240</v>
      </c>
      <c r="Q1387" s="9"/>
      <c r="R1387" s="9" t="s">
        <v>12795</v>
      </c>
      <c r="S1387" s="9" t="s">
        <v>12795</v>
      </c>
      <c r="T1387" s="9"/>
      <c r="U1387" s="9"/>
      <c r="V1387" s="9"/>
      <c r="W1387" s="9"/>
      <c r="X1387" s="9"/>
      <c r="Y1387" s="9"/>
      <c r="Z1387" s="9"/>
      <c r="AA1387" s="9"/>
      <c r="AB1387" s="9"/>
      <c r="AC1387" s="9"/>
      <c r="AD1387" s="9" t="s">
        <v>20</v>
      </c>
    </row>
    <row r="1388" spans="1:30" ht="29">
      <c r="A1388" s="3" t="s">
        <v>3524</v>
      </c>
      <c r="B1388" s="3" t="s">
        <v>9291</v>
      </c>
      <c r="C1388" s="3" t="s">
        <v>9290</v>
      </c>
      <c r="G1388" s="9" t="s">
        <v>26</v>
      </c>
      <c r="H1388" s="9"/>
      <c r="I1388" s="9"/>
      <c r="J1388" s="9"/>
      <c r="K1388" s="9"/>
      <c r="L1388" s="9"/>
      <c r="M1388" s="9"/>
      <c r="N1388" s="10"/>
      <c r="O1388" s="9"/>
      <c r="P1388" s="9"/>
      <c r="Q1388" s="9"/>
      <c r="R1388" s="9" t="s">
        <v>12795</v>
      </c>
      <c r="S1388" s="9" t="s">
        <v>12795</v>
      </c>
      <c r="T1388" s="9"/>
      <c r="U1388" s="9"/>
      <c r="V1388" s="9"/>
      <c r="W1388" s="9"/>
      <c r="X1388" s="9"/>
      <c r="Y1388" s="9"/>
      <c r="Z1388" s="9"/>
      <c r="AA1388" s="9"/>
      <c r="AB1388" s="9"/>
      <c r="AC1388" s="9"/>
      <c r="AD1388" s="9" t="s">
        <v>20</v>
      </c>
    </row>
    <row r="1389" spans="1:30" ht="29">
      <c r="A1389" s="3" t="s">
        <v>3524</v>
      </c>
      <c r="B1389" s="3" t="s">
        <v>9292</v>
      </c>
      <c r="C1389" s="3" t="s">
        <v>9293</v>
      </c>
      <c r="G1389" s="9" t="s">
        <v>24</v>
      </c>
      <c r="H1389" s="9"/>
      <c r="I1389" s="9">
        <v>1</v>
      </c>
      <c r="J1389" s="9">
        <v>3</v>
      </c>
      <c r="K1389" s="9" t="s">
        <v>12094</v>
      </c>
      <c r="L1389" s="9" t="s">
        <v>12079</v>
      </c>
      <c r="M1389" s="9"/>
      <c r="N1389" s="10"/>
      <c r="O1389" s="9"/>
      <c r="P1389" s="9">
        <v>1496</v>
      </c>
      <c r="Q1389" s="9"/>
      <c r="R1389" s="9" t="s">
        <v>12795</v>
      </c>
      <c r="S1389" s="9" t="s">
        <v>12795</v>
      </c>
      <c r="T1389" s="9"/>
      <c r="U1389" s="9"/>
      <c r="V1389" s="9"/>
      <c r="W1389" s="9"/>
      <c r="X1389" s="9"/>
      <c r="Y1389" s="9"/>
      <c r="Z1389" s="9"/>
      <c r="AA1389" s="9"/>
      <c r="AB1389" s="9"/>
      <c r="AC1389" s="9"/>
      <c r="AD1389" s="9" t="s">
        <v>19</v>
      </c>
    </row>
    <row r="1390" spans="1:30" ht="29">
      <c r="A1390" s="3" t="s">
        <v>3526</v>
      </c>
      <c r="B1390" s="3" t="s">
        <v>12923</v>
      </c>
      <c r="C1390" s="3" t="s">
        <v>9302</v>
      </c>
      <c r="G1390" s="9" t="s">
        <v>25</v>
      </c>
      <c r="H1390" s="9"/>
      <c r="I1390" s="9">
        <v>1</v>
      </c>
      <c r="J1390" s="9">
        <v>3</v>
      </c>
      <c r="K1390" s="9" t="s">
        <v>12087</v>
      </c>
      <c r="L1390" s="9" t="s">
        <v>12079</v>
      </c>
      <c r="M1390" s="9"/>
      <c r="N1390" s="10"/>
      <c r="O1390" s="9"/>
      <c r="P1390" s="9">
        <v>810</v>
      </c>
      <c r="Q1390" s="9"/>
      <c r="R1390" s="9" t="s">
        <v>12795</v>
      </c>
      <c r="S1390" s="9" t="s">
        <v>12795</v>
      </c>
      <c r="T1390" s="9"/>
      <c r="U1390" s="9"/>
      <c r="V1390" s="9"/>
      <c r="W1390" s="9"/>
      <c r="X1390" s="9"/>
      <c r="Y1390" s="9"/>
      <c r="Z1390" s="9"/>
      <c r="AA1390" s="9"/>
      <c r="AB1390" s="9"/>
      <c r="AC1390" s="9"/>
      <c r="AD1390" s="9" t="s">
        <v>20</v>
      </c>
    </row>
    <row r="1391" spans="1:30" ht="29">
      <c r="A1391" s="3" t="s">
        <v>3530</v>
      </c>
      <c r="B1391" s="3" t="s">
        <v>9305</v>
      </c>
      <c r="C1391" s="3" t="s">
        <v>9306</v>
      </c>
      <c r="G1391" s="9" t="s">
        <v>25</v>
      </c>
      <c r="H1391" s="9"/>
      <c r="I1391" s="9">
        <v>1</v>
      </c>
      <c r="J1391" s="9">
        <v>6</v>
      </c>
      <c r="K1391" s="9" t="s">
        <v>12125</v>
      </c>
      <c r="L1391" s="9" t="s">
        <v>12079</v>
      </c>
      <c r="M1391" s="9"/>
      <c r="N1391" s="10"/>
      <c r="O1391" s="9"/>
      <c r="P1391" s="9">
        <v>92</v>
      </c>
      <c r="Q1391" s="9"/>
      <c r="R1391" s="9" t="s">
        <v>12795</v>
      </c>
      <c r="S1391" s="9" t="s">
        <v>12795</v>
      </c>
      <c r="T1391" s="9"/>
      <c r="U1391" s="9"/>
      <c r="V1391" s="9"/>
      <c r="W1391" s="9"/>
      <c r="X1391" s="9"/>
      <c r="Y1391" s="9"/>
      <c r="Z1391" s="9"/>
      <c r="AA1391" s="9"/>
      <c r="AB1391" s="9"/>
      <c r="AC1391" s="9"/>
      <c r="AD1391" s="9" t="s">
        <v>20</v>
      </c>
    </row>
    <row r="1392" spans="1:30" ht="29">
      <c r="A1392" s="3" t="s">
        <v>3533</v>
      </c>
      <c r="B1392" s="3" t="s">
        <v>9309</v>
      </c>
      <c r="C1392" s="3" t="s">
        <v>9310</v>
      </c>
      <c r="G1392" s="9" t="s">
        <v>26</v>
      </c>
      <c r="H1392" s="9"/>
      <c r="I1392" s="9"/>
      <c r="J1392" s="9"/>
      <c r="K1392" s="9"/>
      <c r="L1392" s="9"/>
      <c r="M1392" s="9"/>
      <c r="N1392" s="10"/>
      <c r="O1392" s="9"/>
      <c r="P1392" s="9"/>
      <c r="Q1392" s="9"/>
      <c r="R1392" s="9" t="s">
        <v>12795</v>
      </c>
      <c r="S1392" s="9" t="s">
        <v>12795</v>
      </c>
      <c r="T1392" s="9"/>
      <c r="U1392" s="9"/>
      <c r="V1392" s="9"/>
      <c r="W1392" s="9"/>
      <c r="X1392" s="9"/>
      <c r="Y1392" s="9"/>
      <c r="Z1392" s="9"/>
      <c r="AA1392" s="9"/>
      <c r="AB1392" s="9"/>
      <c r="AC1392" s="9"/>
      <c r="AD1392" s="9" t="s">
        <v>19</v>
      </c>
    </row>
    <row r="1393" spans="1:30" ht="29">
      <c r="A1393" s="3" t="s">
        <v>3533</v>
      </c>
      <c r="B1393" s="3" t="s">
        <v>9311</v>
      </c>
      <c r="C1393" s="3" t="s">
        <v>9307</v>
      </c>
      <c r="G1393" s="9" t="s">
        <v>25</v>
      </c>
      <c r="H1393" s="9"/>
      <c r="I1393" s="9">
        <v>1</v>
      </c>
      <c r="J1393" s="9">
        <v>3</v>
      </c>
      <c r="K1393" s="9" t="s">
        <v>12078</v>
      </c>
      <c r="L1393" s="9" t="s">
        <v>12073</v>
      </c>
      <c r="M1393" s="9" t="s">
        <v>12149</v>
      </c>
      <c r="N1393" s="10" t="s">
        <v>12143</v>
      </c>
      <c r="O1393" s="9"/>
      <c r="P1393" s="9">
        <v>11843</v>
      </c>
      <c r="Q1393" s="9"/>
      <c r="R1393" s="9" t="s">
        <v>12795</v>
      </c>
      <c r="S1393" s="9" t="s">
        <v>12795</v>
      </c>
      <c r="T1393" s="9"/>
      <c r="U1393" s="9"/>
      <c r="V1393" s="9"/>
      <c r="W1393" s="9"/>
      <c r="X1393" s="9"/>
      <c r="Y1393" s="9"/>
      <c r="Z1393" s="9"/>
      <c r="AA1393" s="9"/>
      <c r="AB1393" s="9"/>
      <c r="AC1393" s="9"/>
      <c r="AD1393" s="9" t="s">
        <v>19</v>
      </c>
    </row>
    <row r="1394" spans="1:30" ht="29">
      <c r="A1394" s="3" t="s">
        <v>3533</v>
      </c>
      <c r="B1394" s="3" t="s">
        <v>9308</v>
      </c>
      <c r="C1394" s="3" t="s">
        <v>9312</v>
      </c>
      <c r="G1394" s="9" t="s">
        <v>24</v>
      </c>
      <c r="H1394" s="9"/>
      <c r="I1394" s="9">
        <v>1</v>
      </c>
      <c r="J1394" s="9">
        <v>3</v>
      </c>
      <c r="K1394" s="9" t="s">
        <v>12087</v>
      </c>
      <c r="L1394" s="9" t="s">
        <v>12079</v>
      </c>
      <c r="M1394" s="9"/>
      <c r="N1394" s="10"/>
      <c r="O1394" s="9"/>
      <c r="P1394" s="9">
        <v>5676</v>
      </c>
      <c r="Q1394" s="9"/>
      <c r="R1394" s="9" t="s">
        <v>12795</v>
      </c>
      <c r="S1394" s="9" t="s">
        <v>12795</v>
      </c>
      <c r="T1394" s="9"/>
      <c r="U1394" s="9"/>
      <c r="V1394" s="9"/>
      <c r="W1394" s="9"/>
      <c r="X1394" s="9"/>
      <c r="Y1394" s="9"/>
      <c r="Z1394" s="9"/>
      <c r="AA1394" s="9"/>
      <c r="AB1394" s="9"/>
      <c r="AC1394" s="9"/>
      <c r="AD1394" s="9" t="s">
        <v>19</v>
      </c>
    </row>
    <row r="1395" spans="1:30" ht="29">
      <c r="A1395" s="3" t="s">
        <v>3534</v>
      </c>
      <c r="B1395" s="3" t="s">
        <v>9314</v>
      </c>
      <c r="C1395" s="3" t="s">
        <v>9313</v>
      </c>
      <c r="G1395" s="9" t="s">
        <v>25</v>
      </c>
      <c r="H1395" s="9"/>
      <c r="I1395" s="9">
        <v>1</v>
      </c>
      <c r="J1395" s="9">
        <v>2</v>
      </c>
      <c r="K1395" s="9" t="s">
        <v>12092</v>
      </c>
      <c r="L1395" s="9" t="s">
        <v>12119</v>
      </c>
      <c r="M1395" s="9"/>
      <c r="N1395" s="10"/>
      <c r="O1395" s="9"/>
      <c r="P1395" s="9">
        <v>361</v>
      </c>
      <c r="Q1395" s="9"/>
      <c r="R1395" s="9" t="s">
        <v>12795</v>
      </c>
      <c r="S1395" s="9" t="s">
        <v>12795</v>
      </c>
      <c r="T1395" s="9"/>
      <c r="U1395" s="9"/>
      <c r="V1395" s="9"/>
      <c r="W1395" s="9"/>
      <c r="X1395" s="9"/>
      <c r="Y1395" s="9"/>
      <c r="Z1395" s="9"/>
      <c r="AA1395" s="9"/>
      <c r="AB1395" s="9"/>
      <c r="AC1395" s="9"/>
      <c r="AD1395" s="9" t="s">
        <v>19</v>
      </c>
    </row>
    <row r="1396" spans="1:30" ht="29">
      <c r="A1396" s="3" t="s">
        <v>3534</v>
      </c>
      <c r="B1396" s="3" t="s">
        <v>8908</v>
      </c>
      <c r="C1396" s="3" t="s">
        <v>9252</v>
      </c>
      <c r="G1396" s="9" t="s">
        <v>24</v>
      </c>
      <c r="H1396" s="9"/>
      <c r="I1396" s="9">
        <v>1</v>
      </c>
      <c r="J1396" s="9">
        <v>1</v>
      </c>
      <c r="K1396" s="9" t="s">
        <v>12078</v>
      </c>
      <c r="L1396" s="9" t="s">
        <v>12119</v>
      </c>
      <c r="M1396" s="9"/>
      <c r="N1396" s="10"/>
      <c r="O1396" s="9"/>
      <c r="P1396" s="9">
        <v>11843</v>
      </c>
      <c r="Q1396" s="9"/>
      <c r="R1396" s="9" t="s">
        <v>12795</v>
      </c>
      <c r="S1396" s="9" t="s">
        <v>12795</v>
      </c>
      <c r="T1396" s="9"/>
      <c r="U1396" s="9"/>
      <c r="V1396" s="9"/>
      <c r="W1396" s="9"/>
      <c r="X1396" s="9"/>
      <c r="Y1396" s="9"/>
      <c r="Z1396" s="9"/>
      <c r="AA1396" s="9"/>
      <c r="AB1396" s="9"/>
      <c r="AC1396" s="9"/>
      <c r="AD1396" s="9" t="s">
        <v>19</v>
      </c>
    </row>
    <row r="1397" spans="1:30" ht="29">
      <c r="A1397" s="3" t="s">
        <v>3535</v>
      </c>
      <c r="B1397" s="3" t="s">
        <v>9317</v>
      </c>
      <c r="C1397" s="3" t="s">
        <v>9316</v>
      </c>
      <c r="F1397" t="s">
        <v>19</v>
      </c>
      <c r="G1397" s="9" t="s">
        <v>25</v>
      </c>
      <c r="H1397" s="9"/>
      <c r="I1397" s="9">
        <v>1</v>
      </c>
      <c r="J1397" s="9">
        <v>2</v>
      </c>
      <c r="K1397" s="9" t="s">
        <v>12092</v>
      </c>
      <c r="L1397" s="9" t="s">
        <v>12119</v>
      </c>
      <c r="M1397" s="9"/>
      <c r="N1397" s="10"/>
      <c r="O1397" s="9"/>
      <c r="P1397" s="9">
        <v>361</v>
      </c>
      <c r="Q1397" s="9"/>
      <c r="R1397" s="9" t="s">
        <v>12795</v>
      </c>
      <c r="S1397" s="9" t="s">
        <v>12795</v>
      </c>
      <c r="T1397" s="9" t="s">
        <v>12117</v>
      </c>
      <c r="U1397" s="9"/>
      <c r="V1397" s="9"/>
      <c r="W1397" s="9"/>
      <c r="X1397" s="9"/>
      <c r="Y1397" s="9"/>
      <c r="Z1397" s="9"/>
      <c r="AA1397" s="9"/>
      <c r="AB1397" s="9"/>
      <c r="AC1397" s="9"/>
      <c r="AD1397" s="9" t="s">
        <v>20</v>
      </c>
    </row>
    <row r="1398" spans="1:30" ht="43.5">
      <c r="A1398" s="3" t="s">
        <v>3536</v>
      </c>
      <c r="B1398" s="3" t="s">
        <v>9324</v>
      </c>
      <c r="C1398" s="3" t="s">
        <v>9323</v>
      </c>
      <c r="G1398" s="9" t="s">
        <v>26</v>
      </c>
      <c r="H1398" s="9"/>
      <c r="I1398" s="9"/>
      <c r="J1398" s="9"/>
      <c r="K1398" s="9"/>
      <c r="L1398" s="9"/>
      <c r="M1398" s="9"/>
      <c r="N1398" s="10"/>
      <c r="O1398" s="9"/>
      <c r="P1398" s="9"/>
      <c r="Q1398" s="9"/>
      <c r="R1398" s="9" t="s">
        <v>12795</v>
      </c>
      <c r="S1398" s="9" t="s">
        <v>12795</v>
      </c>
      <c r="T1398" s="9"/>
      <c r="U1398" s="9"/>
      <c r="V1398" s="9"/>
      <c r="W1398" s="9"/>
      <c r="X1398" s="9"/>
      <c r="Y1398" s="9"/>
      <c r="Z1398" s="9"/>
      <c r="AA1398" s="9"/>
      <c r="AB1398" s="9"/>
      <c r="AC1398" s="9"/>
      <c r="AD1398" s="9" t="s">
        <v>20</v>
      </c>
    </row>
    <row r="1399" spans="1:30" ht="29">
      <c r="A1399" s="3" t="s">
        <v>3537</v>
      </c>
      <c r="B1399" s="3" t="s">
        <v>9329</v>
      </c>
      <c r="C1399" s="3" t="s">
        <v>9332</v>
      </c>
      <c r="G1399" s="9" t="s">
        <v>24</v>
      </c>
      <c r="H1399" s="9"/>
      <c r="I1399" s="9">
        <v>1</v>
      </c>
      <c r="J1399" s="9">
        <v>5</v>
      </c>
      <c r="K1399" s="9" t="s">
        <v>12094</v>
      </c>
      <c r="L1399" s="9" t="s">
        <v>12079</v>
      </c>
      <c r="M1399" s="9"/>
      <c r="N1399" s="10"/>
      <c r="O1399" s="9"/>
      <c r="P1399" s="9">
        <v>4240</v>
      </c>
      <c r="Q1399" s="9"/>
      <c r="R1399" s="9" t="s">
        <v>12795</v>
      </c>
      <c r="S1399" s="9" t="s">
        <v>12795</v>
      </c>
      <c r="T1399" s="9"/>
      <c r="U1399" s="9"/>
      <c r="V1399" s="9"/>
      <c r="W1399" s="9"/>
      <c r="X1399" s="9"/>
      <c r="Y1399" s="9"/>
      <c r="Z1399" s="9"/>
      <c r="AA1399" s="9"/>
      <c r="AB1399" s="9"/>
      <c r="AC1399" s="9"/>
      <c r="AD1399" s="9" t="s">
        <v>19</v>
      </c>
    </row>
    <row r="1400" spans="1:30" ht="29">
      <c r="A1400" s="3" t="s">
        <v>3538</v>
      </c>
      <c r="B1400" s="3" t="s">
        <v>9336</v>
      </c>
      <c r="C1400" s="3" t="s">
        <v>9335</v>
      </c>
      <c r="G1400" s="9" t="s">
        <v>25</v>
      </c>
      <c r="H1400" s="9"/>
      <c r="I1400" s="9">
        <v>1</v>
      </c>
      <c r="J1400" s="9">
        <v>8</v>
      </c>
      <c r="K1400" s="9" t="s">
        <v>12125</v>
      </c>
      <c r="L1400" s="9" t="s">
        <v>12079</v>
      </c>
      <c r="M1400" s="9"/>
      <c r="N1400" s="10"/>
      <c r="O1400" s="9"/>
      <c r="P1400" s="9">
        <v>14</v>
      </c>
      <c r="Q1400" s="9"/>
      <c r="R1400" s="9" t="s">
        <v>12795</v>
      </c>
      <c r="S1400" s="9" t="s">
        <v>12795</v>
      </c>
      <c r="T1400" s="9"/>
      <c r="U1400" s="9"/>
      <c r="V1400" s="9"/>
      <c r="W1400" s="9"/>
      <c r="X1400" s="9"/>
      <c r="Y1400" s="9"/>
      <c r="Z1400" s="9"/>
      <c r="AA1400" s="9"/>
      <c r="AB1400" s="9"/>
      <c r="AC1400" s="9"/>
      <c r="AD1400" s="9" t="s">
        <v>20</v>
      </c>
    </row>
    <row r="1401" spans="1:30" ht="29">
      <c r="A1401" s="3" t="s">
        <v>3542</v>
      </c>
      <c r="B1401" s="3" t="s">
        <v>9337</v>
      </c>
      <c r="C1401" s="3" t="s">
        <v>9338</v>
      </c>
      <c r="G1401" s="9" t="s">
        <v>25</v>
      </c>
      <c r="H1401" s="9"/>
      <c r="I1401" s="9">
        <v>1</v>
      </c>
      <c r="J1401" s="9">
        <v>3</v>
      </c>
      <c r="K1401" s="9" t="s">
        <v>12087</v>
      </c>
      <c r="L1401" s="9" t="s">
        <v>12079</v>
      </c>
      <c r="M1401" s="9"/>
      <c r="N1401" s="10"/>
      <c r="O1401" s="9"/>
      <c r="P1401" s="9">
        <v>5676</v>
      </c>
      <c r="Q1401" s="9"/>
      <c r="R1401" s="9" t="s">
        <v>12795</v>
      </c>
      <c r="S1401" s="9" t="s">
        <v>12795</v>
      </c>
      <c r="T1401" s="9"/>
      <c r="U1401" s="9"/>
      <c r="V1401" s="9"/>
      <c r="W1401" s="9"/>
      <c r="X1401" s="9"/>
      <c r="Y1401" s="9"/>
      <c r="Z1401" s="9"/>
      <c r="AA1401" s="9"/>
      <c r="AB1401" s="9"/>
      <c r="AC1401" s="9"/>
      <c r="AD1401" s="9" t="s">
        <v>20</v>
      </c>
    </row>
    <row r="1402" spans="1:30" ht="29">
      <c r="A1402" s="3" t="s">
        <v>3543</v>
      </c>
      <c r="B1402" s="3" t="s">
        <v>9339</v>
      </c>
      <c r="C1402" s="3" t="s">
        <v>9340</v>
      </c>
      <c r="G1402" s="9" t="s">
        <v>25</v>
      </c>
      <c r="H1402" s="9"/>
      <c r="I1402" s="9">
        <v>1</v>
      </c>
      <c r="J1402" s="9">
        <v>2</v>
      </c>
      <c r="K1402" s="9" t="s">
        <v>12096</v>
      </c>
      <c r="L1402" s="9" t="s">
        <v>12119</v>
      </c>
      <c r="M1402" s="9"/>
      <c r="N1402" s="10"/>
      <c r="O1402" s="9"/>
      <c r="P1402" s="9">
        <v>485</v>
      </c>
      <c r="Q1402" s="9"/>
      <c r="R1402" s="9" t="s">
        <v>12795</v>
      </c>
      <c r="S1402" s="9" t="s">
        <v>12795</v>
      </c>
      <c r="T1402" s="9"/>
      <c r="U1402" s="9"/>
      <c r="V1402" s="9"/>
      <c r="W1402" s="9"/>
      <c r="X1402" s="9"/>
      <c r="Y1402" s="9"/>
      <c r="Z1402" s="9"/>
      <c r="AA1402" s="9"/>
      <c r="AB1402" s="9"/>
      <c r="AC1402" s="9"/>
      <c r="AD1402" s="9" t="s">
        <v>19</v>
      </c>
    </row>
    <row r="1403" spans="1:30" ht="29">
      <c r="A1403" s="3" t="s">
        <v>3548</v>
      </c>
      <c r="B1403" s="3" t="s">
        <v>9352</v>
      </c>
      <c r="C1403" s="3" t="s">
        <v>9353</v>
      </c>
      <c r="G1403" s="9" t="s">
        <v>12120</v>
      </c>
      <c r="H1403" s="9"/>
      <c r="I1403" s="9"/>
      <c r="J1403" s="9"/>
      <c r="K1403" s="9"/>
      <c r="L1403" s="9"/>
      <c r="M1403" s="9"/>
      <c r="N1403" s="10"/>
      <c r="O1403" s="9"/>
      <c r="P1403" s="9"/>
      <c r="Q1403" s="9"/>
      <c r="R1403" s="9" t="s">
        <v>12795</v>
      </c>
      <c r="S1403" s="9" t="s">
        <v>12795</v>
      </c>
      <c r="T1403" s="9"/>
      <c r="U1403" s="9"/>
      <c r="V1403" s="9"/>
      <c r="W1403" s="9"/>
      <c r="X1403" s="9"/>
      <c r="Y1403" s="9"/>
      <c r="Z1403" s="9"/>
      <c r="AA1403" s="9"/>
      <c r="AB1403" s="9"/>
      <c r="AC1403" s="9"/>
      <c r="AD1403" s="9" t="s">
        <v>19</v>
      </c>
    </row>
    <row r="1404" spans="1:30" ht="29">
      <c r="A1404" s="3" t="s">
        <v>3549</v>
      </c>
      <c r="B1404" s="3" t="s">
        <v>9354</v>
      </c>
      <c r="C1404" s="3" t="s">
        <v>9355</v>
      </c>
      <c r="G1404" s="9" t="s">
        <v>25</v>
      </c>
      <c r="H1404" s="9"/>
      <c r="I1404" s="9">
        <v>1</v>
      </c>
      <c r="J1404" s="9">
        <v>3</v>
      </c>
      <c r="K1404" s="9" t="s">
        <v>12087</v>
      </c>
      <c r="L1404" s="9" t="s">
        <v>12079</v>
      </c>
      <c r="M1404" s="9"/>
      <c r="N1404" s="10"/>
      <c r="O1404" s="9"/>
      <c r="P1404" s="9">
        <v>356</v>
      </c>
      <c r="Q1404" s="9"/>
      <c r="R1404" s="9" t="s">
        <v>12795</v>
      </c>
      <c r="S1404" s="9" t="s">
        <v>12795</v>
      </c>
      <c r="T1404" s="9"/>
      <c r="U1404" s="9"/>
      <c r="V1404" s="9"/>
      <c r="W1404" s="9"/>
      <c r="X1404" s="9"/>
      <c r="Y1404" s="9"/>
      <c r="Z1404" s="9"/>
      <c r="AA1404" s="9"/>
      <c r="AB1404" s="9"/>
      <c r="AC1404" s="9"/>
      <c r="AD1404" s="9" t="s">
        <v>20</v>
      </c>
    </row>
    <row r="1405" spans="1:30" ht="29">
      <c r="A1405" s="3" t="s">
        <v>3557</v>
      </c>
      <c r="B1405" s="3" t="s">
        <v>9368</v>
      </c>
      <c r="C1405" s="3" t="s">
        <v>9369</v>
      </c>
      <c r="G1405" s="9" t="s">
        <v>12120</v>
      </c>
      <c r="H1405" s="9"/>
      <c r="I1405" s="9"/>
      <c r="J1405" s="9"/>
      <c r="K1405" s="9"/>
      <c r="L1405" s="9"/>
      <c r="M1405" s="9"/>
      <c r="N1405" s="10"/>
      <c r="O1405" s="9"/>
      <c r="P1405" s="9"/>
      <c r="Q1405" s="9"/>
      <c r="R1405" s="9" t="s">
        <v>12795</v>
      </c>
      <c r="S1405" s="9" t="s">
        <v>12795</v>
      </c>
      <c r="T1405" s="9"/>
      <c r="U1405" s="9"/>
      <c r="V1405" s="9"/>
      <c r="W1405" s="9"/>
      <c r="X1405" s="9"/>
      <c r="Y1405" s="9"/>
      <c r="Z1405" s="9"/>
      <c r="AA1405" s="9"/>
      <c r="AB1405" s="9"/>
      <c r="AC1405" s="9"/>
      <c r="AD1405" s="9" t="s">
        <v>19</v>
      </c>
    </row>
    <row r="1406" spans="1:30" ht="29">
      <c r="A1406" s="3" t="s">
        <v>3561</v>
      </c>
      <c r="B1406" s="3" t="s">
        <v>9379</v>
      </c>
      <c r="C1406" s="3" t="s">
        <v>9380</v>
      </c>
      <c r="G1406" s="9" t="s">
        <v>12120</v>
      </c>
      <c r="H1406" s="9"/>
      <c r="I1406" s="9"/>
      <c r="J1406" s="9"/>
      <c r="K1406" s="9"/>
      <c r="L1406" s="9"/>
      <c r="M1406" s="9"/>
      <c r="N1406" s="10"/>
      <c r="O1406" s="9"/>
      <c r="P1406" s="9"/>
      <c r="Q1406" s="9"/>
      <c r="R1406" s="9" t="s">
        <v>12795</v>
      </c>
      <c r="S1406" s="9" t="s">
        <v>12795</v>
      </c>
      <c r="T1406" s="9"/>
      <c r="U1406" s="9"/>
      <c r="V1406" s="9"/>
      <c r="W1406" s="9"/>
      <c r="X1406" s="9"/>
      <c r="Y1406" s="9"/>
      <c r="Z1406" s="9"/>
      <c r="AA1406" s="9"/>
      <c r="AB1406" s="9"/>
      <c r="AC1406" s="9"/>
      <c r="AD1406" s="9" t="s">
        <v>20</v>
      </c>
    </row>
    <row r="1407" spans="1:30" ht="29">
      <c r="A1407" s="3" t="s">
        <v>3563</v>
      </c>
      <c r="B1407" s="3" t="s">
        <v>9386</v>
      </c>
      <c r="C1407" s="3" t="s">
        <v>9387</v>
      </c>
      <c r="G1407" s="9" t="s">
        <v>25</v>
      </c>
      <c r="H1407" s="9"/>
      <c r="I1407" s="9">
        <v>1</v>
      </c>
      <c r="J1407" s="9">
        <v>3</v>
      </c>
      <c r="K1407" s="9" t="s">
        <v>12094</v>
      </c>
      <c r="L1407" s="9" t="s">
        <v>12079</v>
      </c>
      <c r="M1407" s="9"/>
      <c r="N1407" s="10"/>
      <c r="O1407" s="9"/>
      <c r="P1407" s="9">
        <v>1496</v>
      </c>
      <c r="Q1407" s="9"/>
      <c r="R1407" s="9" t="s">
        <v>12795</v>
      </c>
      <c r="S1407" s="9" t="s">
        <v>12795</v>
      </c>
      <c r="T1407" s="9"/>
      <c r="U1407" s="9"/>
      <c r="V1407" s="9"/>
      <c r="W1407" s="9"/>
      <c r="X1407" s="9"/>
      <c r="Y1407" s="9"/>
      <c r="Z1407" s="9"/>
      <c r="AA1407" s="9"/>
      <c r="AB1407" s="9"/>
      <c r="AC1407" s="9"/>
      <c r="AD1407" s="9" t="s">
        <v>20</v>
      </c>
    </row>
    <row r="1408" spans="1:30" ht="29">
      <c r="A1408" s="3" t="s">
        <v>3564</v>
      </c>
      <c r="B1408" s="3" t="s">
        <v>9390</v>
      </c>
      <c r="C1408" s="3" t="s">
        <v>9389</v>
      </c>
      <c r="E1408" t="s">
        <v>20</v>
      </c>
      <c r="G1408" s="9" t="s">
        <v>25</v>
      </c>
      <c r="H1408" s="9"/>
      <c r="I1408" s="9">
        <v>1</v>
      </c>
      <c r="J1408" s="9">
        <v>5</v>
      </c>
      <c r="K1408" s="9" t="s">
        <v>12094</v>
      </c>
      <c r="L1408" s="9" t="s">
        <v>12079</v>
      </c>
      <c r="M1408" s="9"/>
      <c r="N1408" s="10"/>
      <c r="O1408" s="9"/>
      <c r="P1408" s="9">
        <v>4240</v>
      </c>
      <c r="Q1408" s="9"/>
      <c r="R1408" s="9" t="s">
        <v>12795</v>
      </c>
      <c r="S1408" s="9" t="s">
        <v>12795</v>
      </c>
      <c r="T1408" s="9"/>
      <c r="U1408" s="9"/>
      <c r="V1408" s="9"/>
      <c r="W1408" s="9"/>
      <c r="X1408" s="9"/>
      <c r="Y1408" s="9"/>
      <c r="Z1408" s="9"/>
      <c r="AA1408" s="9"/>
      <c r="AB1408" s="9"/>
      <c r="AC1408" s="9"/>
      <c r="AD1408" s="9" t="s">
        <v>20</v>
      </c>
    </row>
    <row r="1409" spans="1:30" ht="29">
      <c r="A1409" s="3" t="s">
        <v>3569</v>
      </c>
      <c r="B1409" s="3" t="s">
        <v>9401</v>
      </c>
      <c r="C1409" s="3" t="s">
        <v>9402</v>
      </c>
      <c r="G1409" s="9" t="s">
        <v>26</v>
      </c>
      <c r="H1409" s="9"/>
      <c r="I1409" s="9"/>
      <c r="J1409" s="9"/>
      <c r="K1409" s="9"/>
      <c r="L1409" s="9"/>
      <c r="M1409" s="9"/>
      <c r="N1409" s="10"/>
      <c r="O1409" s="9"/>
      <c r="P1409" s="9"/>
      <c r="Q1409" s="9"/>
      <c r="R1409" s="9" t="s">
        <v>12795</v>
      </c>
      <c r="S1409" s="9" t="s">
        <v>12795</v>
      </c>
      <c r="T1409" s="9"/>
      <c r="U1409" s="9"/>
      <c r="V1409" s="9"/>
      <c r="W1409" s="9"/>
      <c r="X1409" s="9"/>
      <c r="Y1409" s="9"/>
      <c r="Z1409" s="9"/>
      <c r="AA1409" s="9"/>
      <c r="AB1409" s="9"/>
      <c r="AC1409" s="9"/>
      <c r="AD1409" s="9" t="s">
        <v>19</v>
      </c>
    </row>
    <row r="1410" spans="1:30" ht="29">
      <c r="A1410" s="3" t="s">
        <v>3570</v>
      </c>
      <c r="B1410" s="3" t="s">
        <v>8908</v>
      </c>
      <c r="C1410" s="3" t="s">
        <v>9252</v>
      </c>
      <c r="G1410" s="9" t="s">
        <v>24</v>
      </c>
      <c r="H1410" s="9"/>
      <c r="I1410" s="9">
        <v>1</v>
      </c>
      <c r="J1410" s="9">
        <v>1</v>
      </c>
      <c r="K1410" s="9" t="s">
        <v>12078</v>
      </c>
      <c r="L1410" s="9" t="s">
        <v>12119</v>
      </c>
      <c r="M1410" s="9"/>
      <c r="N1410" s="10"/>
      <c r="O1410" s="9" t="s">
        <v>12074</v>
      </c>
      <c r="P1410" s="9">
        <v>11843</v>
      </c>
      <c r="Q1410" s="9"/>
      <c r="R1410" s="9" t="s">
        <v>12795</v>
      </c>
      <c r="S1410" s="9" t="s">
        <v>12795</v>
      </c>
      <c r="T1410" s="9"/>
      <c r="U1410" s="9"/>
      <c r="V1410" s="9"/>
      <c r="W1410" s="9"/>
      <c r="X1410" s="9"/>
      <c r="Y1410" s="9"/>
      <c r="Z1410" s="9"/>
      <c r="AA1410" s="9"/>
      <c r="AB1410" s="9"/>
      <c r="AC1410" s="9"/>
      <c r="AD1410" s="9" t="s">
        <v>19</v>
      </c>
    </row>
    <row r="1411" spans="1:30" ht="29">
      <c r="A1411" s="3" t="s">
        <v>3573</v>
      </c>
      <c r="B1411" s="3" t="s">
        <v>9407</v>
      </c>
      <c r="C1411" s="3" t="s">
        <v>9408</v>
      </c>
      <c r="G1411" s="9" t="s">
        <v>12120</v>
      </c>
      <c r="H1411" s="9"/>
      <c r="I1411" s="9"/>
      <c r="J1411" s="9"/>
      <c r="K1411" s="9"/>
      <c r="L1411" s="9"/>
      <c r="M1411" s="9"/>
      <c r="N1411" s="10"/>
      <c r="O1411" s="9"/>
      <c r="P1411" s="9"/>
      <c r="Q1411" s="9"/>
      <c r="R1411" s="9" t="s">
        <v>12795</v>
      </c>
      <c r="S1411" s="9" t="s">
        <v>12795</v>
      </c>
      <c r="T1411" s="9"/>
      <c r="U1411" s="9"/>
      <c r="V1411" s="9"/>
      <c r="W1411" s="9"/>
      <c r="X1411" s="9"/>
      <c r="Y1411" s="9"/>
      <c r="Z1411" s="9"/>
      <c r="AA1411" s="9"/>
      <c r="AB1411" s="9"/>
      <c r="AC1411" s="9"/>
      <c r="AD1411" s="9" t="s">
        <v>19</v>
      </c>
    </row>
    <row r="1412" spans="1:30" ht="29">
      <c r="A1412" s="3" t="s">
        <v>3578</v>
      </c>
      <c r="B1412" s="3" t="s">
        <v>9411</v>
      </c>
      <c r="C1412" s="3" t="s">
        <v>9412</v>
      </c>
      <c r="G1412" s="9" t="s">
        <v>25</v>
      </c>
      <c r="H1412" s="9"/>
      <c r="I1412" s="9">
        <v>1</v>
      </c>
      <c r="J1412" s="9">
        <v>6</v>
      </c>
      <c r="K1412" s="9" t="s">
        <v>12125</v>
      </c>
      <c r="L1412" s="9" t="s">
        <v>12073</v>
      </c>
      <c r="M1412" s="9" t="s">
        <v>12142</v>
      </c>
      <c r="N1412" s="10" t="s">
        <v>12143</v>
      </c>
      <c r="O1412" s="9"/>
      <c r="P1412" s="9">
        <v>137</v>
      </c>
      <c r="Q1412" s="9"/>
      <c r="R1412" s="9" t="s">
        <v>12795</v>
      </c>
      <c r="S1412" s="9" t="s">
        <v>12795</v>
      </c>
      <c r="T1412" s="9"/>
      <c r="U1412" s="9"/>
      <c r="V1412" s="9"/>
      <c r="W1412" s="9"/>
      <c r="X1412" s="9"/>
      <c r="Y1412" s="9"/>
      <c r="Z1412" s="9"/>
      <c r="AA1412" s="9"/>
      <c r="AB1412" s="9"/>
      <c r="AC1412" s="9"/>
      <c r="AD1412" s="9" t="s">
        <v>19</v>
      </c>
    </row>
    <row r="1413" spans="1:30" ht="29">
      <c r="A1413" s="3" t="s">
        <v>3579</v>
      </c>
      <c r="B1413" s="3" t="s">
        <v>9415</v>
      </c>
      <c r="C1413" s="3" t="s">
        <v>9416</v>
      </c>
      <c r="G1413" s="9" t="s">
        <v>25</v>
      </c>
      <c r="H1413" s="9"/>
      <c r="I1413" s="9">
        <v>1</v>
      </c>
      <c r="J1413" s="9">
        <v>8</v>
      </c>
      <c r="K1413" s="9" t="s">
        <v>12084</v>
      </c>
      <c r="L1413" s="9" t="s">
        <v>12079</v>
      </c>
      <c r="M1413" s="9"/>
      <c r="N1413" s="10"/>
      <c r="O1413" s="9"/>
      <c r="P1413" s="9">
        <v>8</v>
      </c>
      <c r="Q1413" s="9"/>
      <c r="R1413" s="9" t="s">
        <v>12795</v>
      </c>
      <c r="S1413" s="9" t="s">
        <v>12795</v>
      </c>
      <c r="T1413" s="9"/>
      <c r="U1413" s="9"/>
      <c r="V1413" s="9"/>
      <c r="W1413" s="9"/>
      <c r="X1413" s="9"/>
      <c r="Y1413" s="9"/>
      <c r="Z1413" s="9"/>
      <c r="AA1413" s="9"/>
      <c r="AB1413" s="9"/>
      <c r="AC1413" s="9"/>
      <c r="AD1413" s="9" t="s">
        <v>20</v>
      </c>
    </row>
    <row r="1414" spans="1:30" ht="29">
      <c r="A1414" s="3" t="s">
        <v>3586</v>
      </c>
      <c r="B1414" s="3" t="s">
        <v>3587</v>
      </c>
      <c r="C1414" s="3" t="s">
        <v>3588</v>
      </c>
      <c r="G1414" s="9" t="s">
        <v>12120</v>
      </c>
      <c r="H1414" s="9"/>
      <c r="I1414" s="9"/>
      <c r="J1414" s="9"/>
      <c r="K1414" s="9"/>
      <c r="L1414" s="9"/>
      <c r="M1414" s="9"/>
      <c r="N1414" s="10"/>
      <c r="O1414" s="9"/>
      <c r="P1414" s="9"/>
      <c r="Q1414" s="9"/>
      <c r="R1414" s="9" t="s">
        <v>12795</v>
      </c>
      <c r="S1414" s="9" t="s">
        <v>12795</v>
      </c>
      <c r="T1414" s="9"/>
      <c r="U1414" s="9"/>
      <c r="V1414" s="9"/>
      <c r="W1414" s="9"/>
      <c r="X1414" s="9"/>
      <c r="Y1414" s="9"/>
      <c r="Z1414" s="9"/>
      <c r="AA1414" s="9"/>
      <c r="AB1414" s="9"/>
      <c r="AC1414" s="9"/>
      <c r="AD1414" s="9" t="s">
        <v>19</v>
      </c>
    </row>
    <row r="1415" spans="1:30" ht="29">
      <c r="A1415" s="3" t="s">
        <v>3591</v>
      </c>
      <c r="B1415" s="3" t="s">
        <v>9441</v>
      </c>
      <c r="C1415" s="3" t="s">
        <v>9440</v>
      </c>
      <c r="G1415" s="9" t="s">
        <v>12118</v>
      </c>
      <c r="H1415" s="9"/>
      <c r="I1415" s="9"/>
      <c r="J1415" s="9"/>
      <c r="K1415" s="9"/>
      <c r="L1415" s="9"/>
      <c r="M1415" s="9"/>
      <c r="N1415" s="10"/>
      <c r="O1415" s="9"/>
      <c r="P1415" s="9"/>
      <c r="Q1415" s="9">
        <v>-1500</v>
      </c>
      <c r="R1415" s="9">
        <v>1565</v>
      </c>
      <c r="S1415" s="9">
        <v>65</v>
      </c>
      <c r="T1415" s="9"/>
      <c r="U1415" s="9"/>
      <c r="V1415" s="9"/>
      <c r="W1415" s="9"/>
      <c r="X1415" s="9"/>
      <c r="Y1415" s="9"/>
      <c r="Z1415" s="9"/>
      <c r="AA1415" s="9"/>
      <c r="AB1415" s="9"/>
      <c r="AC1415" s="9"/>
      <c r="AD1415" s="9" t="s">
        <v>19</v>
      </c>
    </row>
    <row r="1416" spans="1:30" ht="29">
      <c r="A1416" s="3" t="s">
        <v>3605</v>
      </c>
      <c r="B1416" s="3" t="s">
        <v>9459</v>
      </c>
      <c r="C1416" s="3" t="s">
        <v>9460</v>
      </c>
      <c r="G1416" s="9" t="s">
        <v>26</v>
      </c>
      <c r="H1416" s="9"/>
      <c r="I1416" s="9"/>
      <c r="J1416" s="9"/>
      <c r="K1416" s="9"/>
      <c r="L1416" s="9"/>
      <c r="M1416" s="9"/>
      <c r="N1416" s="10"/>
      <c r="O1416" s="9"/>
      <c r="P1416" s="9"/>
      <c r="Q1416" s="9"/>
      <c r="R1416" s="9" t="s">
        <v>12795</v>
      </c>
      <c r="S1416" s="9" t="s">
        <v>12795</v>
      </c>
      <c r="T1416" s="9"/>
      <c r="U1416" s="9"/>
      <c r="V1416" s="9"/>
      <c r="W1416" s="9"/>
      <c r="X1416" s="9"/>
      <c r="Y1416" s="9"/>
      <c r="Z1416" s="9"/>
      <c r="AA1416" s="9"/>
      <c r="AB1416" s="9"/>
      <c r="AC1416" s="9"/>
      <c r="AD1416" s="9" t="s">
        <v>19</v>
      </c>
    </row>
    <row r="1417" spans="1:30" ht="29">
      <c r="A1417" s="3" t="s">
        <v>3610</v>
      </c>
      <c r="B1417" s="3" t="s">
        <v>9470</v>
      </c>
      <c r="C1417" s="3" t="s">
        <v>9469</v>
      </c>
      <c r="G1417" s="9" t="s">
        <v>24</v>
      </c>
      <c r="H1417" s="9"/>
      <c r="I1417" s="9">
        <v>1</v>
      </c>
      <c r="J1417" s="9">
        <v>3</v>
      </c>
      <c r="K1417" s="9" t="s">
        <v>12094</v>
      </c>
      <c r="L1417" s="9" t="s">
        <v>12079</v>
      </c>
      <c r="M1417" s="9"/>
      <c r="N1417" s="10"/>
      <c r="O1417" s="9"/>
      <c r="P1417" s="9">
        <v>1496</v>
      </c>
      <c r="Q1417" s="9"/>
      <c r="R1417" s="9" t="s">
        <v>12795</v>
      </c>
      <c r="S1417" s="9" t="s">
        <v>12795</v>
      </c>
      <c r="T1417" s="9"/>
      <c r="U1417" s="9"/>
      <c r="V1417" s="9"/>
      <c r="W1417" s="9"/>
      <c r="X1417" s="9"/>
      <c r="Y1417" s="9"/>
      <c r="Z1417" s="9"/>
      <c r="AA1417" s="9"/>
      <c r="AB1417" s="9"/>
      <c r="AC1417" s="9"/>
      <c r="AD1417" s="9" t="s">
        <v>19</v>
      </c>
    </row>
    <row r="1418" spans="1:30" ht="29">
      <c r="A1418" s="3" t="s">
        <v>3611</v>
      </c>
      <c r="B1418" s="3" t="s">
        <v>9471</v>
      </c>
      <c r="C1418" s="3" t="s">
        <v>9474</v>
      </c>
      <c r="G1418" s="9" t="s">
        <v>24</v>
      </c>
      <c r="H1418" s="9"/>
      <c r="I1418" s="9">
        <v>1</v>
      </c>
      <c r="J1418" s="9">
        <v>2</v>
      </c>
      <c r="K1418" s="9" t="s">
        <v>12123</v>
      </c>
      <c r="L1418" s="9" t="s">
        <v>12119</v>
      </c>
      <c r="M1418" s="9"/>
      <c r="N1418" s="10"/>
      <c r="O1418" s="9"/>
      <c r="P1418" s="9">
        <v>134</v>
      </c>
      <c r="Q1418" s="9"/>
      <c r="R1418" s="9" t="s">
        <v>12795</v>
      </c>
      <c r="S1418" s="9" t="s">
        <v>12795</v>
      </c>
      <c r="T1418" s="9"/>
      <c r="U1418" s="9"/>
      <c r="V1418" s="9"/>
      <c r="W1418" s="9"/>
      <c r="X1418" s="9"/>
      <c r="Y1418" s="9"/>
      <c r="Z1418" s="9"/>
      <c r="AA1418" s="9"/>
      <c r="AB1418" s="9"/>
      <c r="AC1418" s="9"/>
      <c r="AD1418" s="9" t="s">
        <v>19</v>
      </c>
    </row>
    <row r="1419" spans="1:30" ht="29">
      <c r="A1419" s="3" t="s">
        <v>3612</v>
      </c>
      <c r="B1419" s="3" t="s">
        <v>9476</v>
      </c>
      <c r="C1419" s="3" t="s">
        <v>9475</v>
      </c>
      <c r="G1419" s="9" t="s">
        <v>25</v>
      </c>
      <c r="H1419" s="9"/>
      <c r="I1419" s="9">
        <v>1</v>
      </c>
      <c r="J1419" s="9">
        <v>1</v>
      </c>
      <c r="K1419" s="9" t="s">
        <v>12078</v>
      </c>
      <c r="L1419" s="9" t="s">
        <v>12119</v>
      </c>
      <c r="M1419" s="9"/>
      <c r="N1419" s="10"/>
      <c r="O1419" s="9"/>
      <c r="P1419" s="9">
        <v>11843</v>
      </c>
      <c r="Q1419" s="9"/>
      <c r="R1419" s="9" t="s">
        <v>12795</v>
      </c>
      <c r="S1419" s="9" t="s">
        <v>12795</v>
      </c>
      <c r="T1419" s="9"/>
      <c r="U1419" s="9"/>
      <c r="V1419" s="9"/>
      <c r="W1419" s="9"/>
      <c r="X1419" s="9"/>
      <c r="Y1419" s="9"/>
      <c r="Z1419" s="9"/>
      <c r="AA1419" s="9"/>
      <c r="AB1419" s="9"/>
      <c r="AC1419" s="9"/>
      <c r="AD1419" s="9" t="s">
        <v>20</v>
      </c>
    </row>
    <row r="1420" spans="1:30" ht="29">
      <c r="A1420" s="3" t="s">
        <v>3612</v>
      </c>
      <c r="B1420" s="3" t="s">
        <v>9477</v>
      </c>
      <c r="C1420" s="3" t="s">
        <v>9478</v>
      </c>
      <c r="G1420" s="9" t="s">
        <v>12118</v>
      </c>
      <c r="H1420" s="9"/>
      <c r="I1420" s="9"/>
      <c r="J1420" s="9"/>
      <c r="K1420" s="9"/>
      <c r="L1420" s="9"/>
      <c r="M1420" s="9"/>
      <c r="N1420" s="10"/>
      <c r="O1420" s="9"/>
      <c r="P1420" s="9"/>
      <c r="Q1420" s="9">
        <v>860</v>
      </c>
      <c r="R1420" s="9">
        <v>27</v>
      </c>
      <c r="S1420" s="9">
        <v>887</v>
      </c>
      <c r="T1420" s="9"/>
      <c r="U1420" s="9"/>
      <c r="V1420" s="9"/>
      <c r="W1420" s="9"/>
      <c r="X1420" s="9"/>
      <c r="Y1420" s="9"/>
      <c r="Z1420" s="9"/>
      <c r="AA1420" s="9"/>
      <c r="AB1420" s="9"/>
      <c r="AC1420" s="9"/>
      <c r="AD1420" s="9" t="s">
        <v>20</v>
      </c>
    </row>
    <row r="1421" spans="1:30" ht="43.5">
      <c r="A1421" s="3" t="s">
        <v>3613</v>
      </c>
      <c r="B1421" s="3" t="s">
        <v>12490</v>
      </c>
      <c r="C1421" s="3" t="s">
        <v>12492</v>
      </c>
      <c r="G1421" s="9" t="s">
        <v>26</v>
      </c>
      <c r="H1421" s="9"/>
      <c r="I1421" s="9"/>
      <c r="J1421" s="9"/>
      <c r="K1421" s="9"/>
      <c r="L1421" s="9"/>
      <c r="M1421" s="9"/>
      <c r="N1421" s="10"/>
      <c r="O1421" s="9"/>
      <c r="P1421" s="9"/>
      <c r="Q1421" s="9"/>
      <c r="R1421" s="9" t="s">
        <v>12795</v>
      </c>
      <c r="S1421" s="9" t="s">
        <v>12795</v>
      </c>
      <c r="T1421" s="9"/>
      <c r="U1421" s="9"/>
      <c r="V1421" s="9"/>
      <c r="W1421" s="9"/>
      <c r="X1421" s="9"/>
      <c r="Y1421" s="9"/>
      <c r="Z1421" s="9"/>
      <c r="AA1421" s="9"/>
      <c r="AB1421" s="9"/>
      <c r="AC1421" s="9"/>
      <c r="AD1421" s="9" t="s">
        <v>19</v>
      </c>
    </row>
    <row r="1422" spans="1:30" ht="43.5">
      <c r="A1422" s="3" t="s">
        <v>3613</v>
      </c>
      <c r="B1422" s="3" t="s">
        <v>9479</v>
      </c>
      <c r="C1422" s="3" t="s">
        <v>12491</v>
      </c>
      <c r="G1422" s="9" t="s">
        <v>24</v>
      </c>
      <c r="H1422" s="9"/>
      <c r="I1422" s="9">
        <v>2</v>
      </c>
      <c r="J1422" s="9">
        <v>6</v>
      </c>
      <c r="K1422" s="9"/>
      <c r="L1422" s="9" t="s">
        <v>12079</v>
      </c>
      <c r="M1422" s="9"/>
      <c r="N1422" s="10"/>
      <c r="O1422" s="9"/>
      <c r="P1422" s="9">
        <v>2042</v>
      </c>
      <c r="Q1422" s="9"/>
      <c r="R1422" s="9" t="s">
        <v>12795</v>
      </c>
      <c r="S1422" s="9" t="s">
        <v>12795</v>
      </c>
      <c r="T1422" s="9"/>
      <c r="U1422" s="9"/>
      <c r="V1422" s="9"/>
      <c r="W1422" s="9"/>
      <c r="X1422" s="9"/>
      <c r="Y1422" s="9"/>
      <c r="Z1422" s="9"/>
      <c r="AA1422" s="9"/>
      <c r="AB1422" s="9"/>
      <c r="AC1422" s="9"/>
      <c r="AD1422" s="9" t="s">
        <v>19</v>
      </c>
    </row>
    <row r="1423" spans="1:30" ht="29">
      <c r="A1423" s="3" t="s">
        <v>3614</v>
      </c>
      <c r="B1423" s="3" t="s">
        <v>9481</v>
      </c>
      <c r="C1423" s="3" t="s">
        <v>9482</v>
      </c>
      <c r="G1423" s="9" t="s">
        <v>24</v>
      </c>
      <c r="H1423" s="9"/>
      <c r="I1423" s="9">
        <v>1</v>
      </c>
      <c r="J1423" s="9">
        <v>3</v>
      </c>
      <c r="K1423" s="9" t="s">
        <v>12087</v>
      </c>
      <c r="L1423" s="9" t="s">
        <v>12079</v>
      </c>
      <c r="M1423" s="9"/>
      <c r="N1423" s="10"/>
      <c r="O1423" s="9"/>
      <c r="P1423" s="9">
        <v>356</v>
      </c>
      <c r="Q1423" s="9"/>
      <c r="R1423" s="9" t="s">
        <v>12795</v>
      </c>
      <c r="S1423" s="9" t="s">
        <v>12795</v>
      </c>
      <c r="T1423" s="9"/>
      <c r="U1423" s="9"/>
      <c r="V1423" s="9"/>
      <c r="W1423" s="9"/>
      <c r="X1423" s="9"/>
      <c r="Y1423" s="9"/>
      <c r="Z1423" s="9"/>
      <c r="AA1423" s="9"/>
      <c r="AB1423" s="9"/>
      <c r="AC1423" s="9"/>
      <c r="AD1423" s="9" t="s">
        <v>19</v>
      </c>
    </row>
    <row r="1424" spans="1:30" ht="29">
      <c r="A1424" s="3" t="s">
        <v>3621</v>
      </c>
      <c r="B1424" s="3" t="s">
        <v>9493</v>
      </c>
      <c r="C1424" s="3" t="s">
        <v>9492</v>
      </c>
      <c r="G1424" s="9" t="s">
        <v>12118</v>
      </c>
      <c r="H1424" s="9"/>
      <c r="I1424" s="9"/>
      <c r="J1424" s="9"/>
      <c r="K1424" s="9"/>
      <c r="L1424" s="9"/>
      <c r="M1424" s="9"/>
      <c r="N1424" s="10"/>
      <c r="O1424" s="9"/>
      <c r="P1424" s="9"/>
      <c r="Q1424" s="9">
        <v>164</v>
      </c>
      <c r="R1424" s="9">
        <v>308</v>
      </c>
      <c r="S1424" s="9">
        <v>472</v>
      </c>
      <c r="T1424" s="9"/>
      <c r="U1424" s="9"/>
      <c r="V1424" s="9"/>
      <c r="W1424" s="9"/>
      <c r="X1424" s="9"/>
      <c r="Y1424" s="9"/>
      <c r="Z1424" s="9"/>
      <c r="AA1424" s="9"/>
      <c r="AB1424" s="9"/>
      <c r="AC1424" s="9"/>
      <c r="AD1424" s="9" t="s">
        <v>19</v>
      </c>
    </row>
    <row r="1425" spans="1:30" ht="29">
      <c r="A1425" s="3" t="s">
        <v>3624</v>
      </c>
      <c r="B1425" s="3" t="s">
        <v>9499</v>
      </c>
      <c r="C1425" s="3" t="s">
        <v>9498</v>
      </c>
      <c r="G1425" s="9" t="s">
        <v>25</v>
      </c>
      <c r="H1425" s="9"/>
      <c r="I1425" s="9">
        <v>1</v>
      </c>
      <c r="J1425" s="9">
        <v>3</v>
      </c>
      <c r="K1425" s="9" t="s">
        <v>12092</v>
      </c>
      <c r="L1425" s="9" t="s">
        <v>12079</v>
      </c>
      <c r="M1425" s="9"/>
      <c r="N1425" s="10"/>
      <c r="O1425" s="9"/>
      <c r="P1425" s="9">
        <v>60</v>
      </c>
      <c r="Q1425" s="9"/>
      <c r="R1425" s="9" t="s">
        <v>12795</v>
      </c>
      <c r="S1425" s="9" t="s">
        <v>12795</v>
      </c>
      <c r="T1425" s="9"/>
      <c r="U1425" s="9"/>
      <c r="V1425" s="9"/>
      <c r="W1425" s="9"/>
      <c r="X1425" s="9"/>
      <c r="Y1425" s="9"/>
      <c r="Z1425" s="9"/>
      <c r="AA1425" s="9"/>
      <c r="AB1425" s="9"/>
      <c r="AC1425" s="9"/>
      <c r="AD1425" s="9" t="s">
        <v>20</v>
      </c>
    </row>
    <row r="1426" spans="1:30" ht="29">
      <c r="A1426" s="3" t="s">
        <v>3625</v>
      </c>
      <c r="B1426" s="3" t="s">
        <v>9504</v>
      </c>
      <c r="C1426" s="3" t="s">
        <v>9503</v>
      </c>
      <c r="G1426" s="9" t="s">
        <v>26</v>
      </c>
      <c r="H1426" s="9"/>
      <c r="I1426" s="9"/>
      <c r="J1426" s="9"/>
      <c r="K1426" s="9"/>
      <c r="L1426" s="9"/>
      <c r="M1426" s="9"/>
      <c r="N1426" s="10"/>
      <c r="O1426" s="9"/>
      <c r="P1426" s="9"/>
      <c r="Q1426" s="9"/>
      <c r="R1426" s="9" t="s">
        <v>12795</v>
      </c>
      <c r="S1426" s="9" t="s">
        <v>12795</v>
      </c>
      <c r="T1426" s="9"/>
      <c r="U1426" s="9"/>
      <c r="V1426" s="9"/>
      <c r="W1426" s="9"/>
      <c r="X1426" s="9"/>
      <c r="Y1426" s="9"/>
      <c r="Z1426" s="9"/>
      <c r="AA1426" s="9"/>
      <c r="AB1426" s="9"/>
      <c r="AC1426" s="9"/>
      <c r="AD1426" s="9" t="s">
        <v>20</v>
      </c>
    </row>
    <row r="1427" spans="1:30" ht="29">
      <c r="A1427" s="3" t="s">
        <v>3625</v>
      </c>
      <c r="B1427" s="3" t="s">
        <v>9506</v>
      </c>
      <c r="C1427" s="3" t="s">
        <v>9505</v>
      </c>
      <c r="G1427" s="9" t="s">
        <v>25</v>
      </c>
      <c r="H1427" s="9"/>
      <c r="I1427" s="9">
        <v>1</v>
      </c>
      <c r="J1427" s="9">
        <v>3</v>
      </c>
      <c r="K1427" s="9" t="s">
        <v>12087</v>
      </c>
      <c r="L1427" s="9" t="s">
        <v>12079</v>
      </c>
      <c r="M1427" s="9"/>
      <c r="N1427" s="10"/>
      <c r="O1427" s="9"/>
      <c r="P1427" s="9">
        <v>5676</v>
      </c>
      <c r="Q1427" s="9"/>
      <c r="R1427" s="9" t="s">
        <v>12795</v>
      </c>
      <c r="S1427" s="9" t="s">
        <v>12795</v>
      </c>
      <c r="T1427" s="9"/>
      <c r="U1427" s="9"/>
      <c r="V1427" s="9"/>
      <c r="W1427" s="9"/>
      <c r="X1427" s="9"/>
      <c r="Y1427" s="9"/>
      <c r="Z1427" s="9"/>
      <c r="AA1427" s="9"/>
      <c r="AB1427" s="9"/>
      <c r="AC1427" s="9"/>
      <c r="AD1427" s="9" t="s">
        <v>19</v>
      </c>
    </row>
    <row r="1428" spans="1:30" ht="29">
      <c r="A1428" s="3" t="s">
        <v>3625</v>
      </c>
      <c r="B1428" s="3" t="s">
        <v>9507</v>
      </c>
      <c r="C1428" s="3" t="s">
        <v>9508</v>
      </c>
      <c r="G1428" s="9" t="s">
        <v>12120</v>
      </c>
      <c r="H1428" s="9"/>
      <c r="I1428" s="9"/>
      <c r="J1428" s="9"/>
      <c r="K1428" s="9"/>
      <c r="L1428" s="9"/>
      <c r="M1428" s="9"/>
      <c r="N1428" s="10"/>
      <c r="O1428" s="9"/>
      <c r="P1428" s="9"/>
      <c r="Q1428" s="9"/>
      <c r="R1428" s="9" t="s">
        <v>12795</v>
      </c>
      <c r="S1428" s="9" t="s">
        <v>12795</v>
      </c>
      <c r="T1428" s="9"/>
      <c r="U1428" s="9"/>
      <c r="V1428" s="9"/>
      <c r="W1428" s="9"/>
      <c r="X1428" s="9"/>
      <c r="Y1428" s="9"/>
      <c r="Z1428" s="9"/>
      <c r="AA1428" s="9"/>
      <c r="AB1428" s="9"/>
      <c r="AC1428" s="9"/>
      <c r="AD1428" s="9" t="s">
        <v>19</v>
      </c>
    </row>
    <row r="1429" spans="1:30" ht="58">
      <c r="A1429" s="3" t="s">
        <v>3626</v>
      </c>
      <c r="B1429" s="3" t="s">
        <v>9511</v>
      </c>
      <c r="C1429" s="3" t="s">
        <v>9512</v>
      </c>
      <c r="G1429" s="9" t="s">
        <v>26</v>
      </c>
      <c r="H1429" s="9"/>
      <c r="I1429" s="9"/>
      <c r="J1429" s="9"/>
      <c r="K1429" s="9"/>
      <c r="L1429" s="9"/>
      <c r="M1429" s="9"/>
      <c r="N1429" s="10"/>
      <c r="O1429" s="9"/>
      <c r="P1429" s="9"/>
      <c r="Q1429" s="9"/>
      <c r="R1429" s="9" t="s">
        <v>12795</v>
      </c>
      <c r="S1429" s="9" t="s">
        <v>12795</v>
      </c>
      <c r="T1429" s="9"/>
      <c r="U1429" s="9"/>
      <c r="V1429" s="9"/>
      <c r="W1429" s="9"/>
      <c r="X1429" s="9"/>
      <c r="Y1429" s="9"/>
      <c r="Z1429" s="9"/>
      <c r="AA1429" s="9"/>
      <c r="AB1429" s="9"/>
      <c r="AC1429" s="9"/>
      <c r="AD1429" s="9" t="s">
        <v>19</v>
      </c>
    </row>
    <row r="1430" spans="1:30" ht="29">
      <c r="A1430" s="3" t="s">
        <v>3627</v>
      </c>
      <c r="B1430" s="3" t="s">
        <v>9516</v>
      </c>
      <c r="C1430" s="3" t="s">
        <v>9517</v>
      </c>
      <c r="G1430" s="9" t="s">
        <v>25</v>
      </c>
      <c r="H1430" s="9"/>
      <c r="I1430" s="9">
        <v>1</v>
      </c>
      <c r="J1430" s="9">
        <v>3</v>
      </c>
      <c r="K1430" s="9" t="s">
        <v>12094</v>
      </c>
      <c r="L1430" s="9" t="s">
        <v>12079</v>
      </c>
      <c r="M1430" s="9"/>
      <c r="N1430" s="10"/>
      <c r="O1430" s="9"/>
      <c r="P1430" s="9">
        <v>1741</v>
      </c>
      <c r="Q1430" s="9"/>
      <c r="R1430" s="9" t="s">
        <v>12795</v>
      </c>
      <c r="S1430" s="9" t="s">
        <v>12795</v>
      </c>
      <c r="T1430" s="9"/>
      <c r="U1430" s="9"/>
      <c r="V1430" s="9"/>
      <c r="W1430" s="9"/>
      <c r="X1430" s="9"/>
      <c r="Y1430" s="9"/>
      <c r="Z1430" s="9"/>
      <c r="AA1430" s="9"/>
      <c r="AB1430" s="9"/>
      <c r="AC1430" s="9"/>
      <c r="AD1430" s="9" t="s">
        <v>19</v>
      </c>
    </row>
    <row r="1431" spans="1:30" ht="29">
      <c r="A1431" s="3" t="s">
        <v>3628</v>
      </c>
      <c r="B1431" s="3" t="s">
        <v>9518</v>
      </c>
      <c r="C1431" s="3" t="s">
        <v>9519</v>
      </c>
      <c r="G1431" s="9" t="s">
        <v>12120</v>
      </c>
      <c r="H1431" s="9"/>
      <c r="I1431" s="9"/>
      <c r="J1431" s="9"/>
      <c r="K1431" s="9"/>
      <c r="L1431" s="9"/>
      <c r="M1431" s="9"/>
      <c r="N1431" s="10"/>
      <c r="O1431" s="9"/>
      <c r="P1431" s="9"/>
      <c r="Q1431" s="9"/>
      <c r="R1431" s="9" t="s">
        <v>12795</v>
      </c>
      <c r="S1431" s="9" t="s">
        <v>12795</v>
      </c>
      <c r="T1431" s="9"/>
      <c r="U1431" s="9"/>
      <c r="V1431" s="9"/>
      <c r="W1431" s="9"/>
      <c r="X1431" s="9"/>
      <c r="Y1431" s="9"/>
      <c r="Z1431" s="9"/>
      <c r="AA1431" s="9"/>
      <c r="AB1431" s="9"/>
      <c r="AC1431" s="9"/>
      <c r="AD1431" s="9" t="s">
        <v>19</v>
      </c>
    </row>
    <row r="1432" spans="1:30" ht="29">
      <c r="A1432" s="3" t="s">
        <v>3631</v>
      </c>
      <c r="B1432" s="3" t="s">
        <v>9521</v>
      </c>
      <c r="C1432" s="3" t="s">
        <v>9522</v>
      </c>
      <c r="G1432" s="9" t="s">
        <v>26</v>
      </c>
      <c r="H1432" s="9"/>
      <c r="I1432" s="9"/>
      <c r="J1432" s="9"/>
      <c r="K1432" s="9"/>
      <c r="L1432" s="9"/>
      <c r="M1432" s="9"/>
      <c r="N1432" s="10"/>
      <c r="O1432" s="9"/>
      <c r="P1432" s="9"/>
      <c r="Q1432" s="9"/>
      <c r="R1432" s="9" t="s">
        <v>12795</v>
      </c>
      <c r="S1432" s="9" t="s">
        <v>12795</v>
      </c>
      <c r="T1432" s="9"/>
      <c r="U1432" s="9"/>
      <c r="V1432" s="9"/>
      <c r="W1432" s="9"/>
      <c r="X1432" s="9"/>
      <c r="Y1432" s="9"/>
      <c r="Z1432" s="9"/>
      <c r="AA1432" s="9"/>
      <c r="AB1432" s="9"/>
      <c r="AC1432" s="9"/>
      <c r="AD1432" s="9" t="s">
        <v>20</v>
      </c>
    </row>
    <row r="1433" spans="1:30" ht="29">
      <c r="A1433" s="3" t="s">
        <v>3631</v>
      </c>
      <c r="B1433" s="3" t="s">
        <v>9523</v>
      </c>
      <c r="C1433" s="3" t="s">
        <v>9524</v>
      </c>
      <c r="F1433" t="s">
        <v>19</v>
      </c>
      <c r="G1433" s="9" t="s">
        <v>12118</v>
      </c>
      <c r="H1433" s="9"/>
      <c r="I1433" s="9"/>
      <c r="J1433" s="9"/>
      <c r="K1433" s="9"/>
      <c r="L1433" s="9"/>
      <c r="M1433" s="9"/>
      <c r="N1433" s="10"/>
      <c r="O1433" s="9"/>
      <c r="P1433" s="9"/>
      <c r="Q1433" s="9">
        <v>-11063</v>
      </c>
      <c r="R1433" s="9">
        <v>11843</v>
      </c>
      <c r="S1433" s="9">
        <v>780</v>
      </c>
      <c r="T1433" s="9"/>
      <c r="U1433" s="9"/>
      <c r="V1433" s="9"/>
      <c r="W1433" s="9"/>
      <c r="X1433" s="9"/>
      <c r="Y1433" s="9"/>
      <c r="Z1433" s="9"/>
      <c r="AA1433" s="9"/>
      <c r="AB1433" s="9"/>
      <c r="AC1433" s="9"/>
      <c r="AD1433" s="9" t="s">
        <v>20</v>
      </c>
    </row>
    <row r="1434" spans="1:30" ht="87">
      <c r="A1434" s="3" t="s">
        <v>3631</v>
      </c>
      <c r="B1434" s="3" t="s">
        <v>12495</v>
      </c>
      <c r="C1434" s="3" t="s">
        <v>12496</v>
      </c>
      <c r="G1434" s="9" t="s">
        <v>25</v>
      </c>
      <c r="H1434" s="9"/>
      <c r="I1434" s="9">
        <v>12</v>
      </c>
      <c r="J1434" s="9">
        <v>48</v>
      </c>
      <c r="K1434" s="9"/>
      <c r="L1434" s="9" t="s">
        <v>12073</v>
      </c>
      <c r="M1434" s="9" t="s">
        <v>12140</v>
      </c>
      <c r="N1434" s="10" t="s">
        <v>12497</v>
      </c>
      <c r="O1434" s="9"/>
      <c r="P1434" s="9">
        <v>32</v>
      </c>
      <c r="Q1434" s="9"/>
      <c r="R1434" s="9" t="s">
        <v>12795</v>
      </c>
      <c r="S1434" s="9" t="s">
        <v>12795</v>
      </c>
      <c r="T1434" s="9"/>
      <c r="U1434" s="9"/>
      <c r="V1434" s="9"/>
      <c r="W1434" s="9"/>
      <c r="X1434" s="9"/>
      <c r="Y1434" s="9"/>
      <c r="Z1434" s="9"/>
      <c r="AA1434" s="9"/>
      <c r="AB1434" s="9"/>
      <c r="AC1434" s="9"/>
      <c r="AD1434" s="9" t="s">
        <v>19</v>
      </c>
    </row>
    <row r="1435" spans="1:30" ht="29">
      <c r="A1435" s="3" t="s">
        <v>3632</v>
      </c>
      <c r="B1435" s="3" t="s">
        <v>12927</v>
      </c>
      <c r="C1435" s="3" t="s">
        <v>12928</v>
      </c>
      <c r="G1435" s="9" t="s">
        <v>24</v>
      </c>
      <c r="H1435" s="9"/>
      <c r="I1435" s="9">
        <v>3</v>
      </c>
      <c r="J1435" s="9">
        <v>9</v>
      </c>
      <c r="K1435" s="9"/>
      <c r="L1435" s="9" t="s">
        <v>12079</v>
      </c>
      <c r="M1435" s="9"/>
      <c r="N1435" s="10"/>
      <c r="O1435" s="9"/>
      <c r="P1435" s="9">
        <v>94</v>
      </c>
      <c r="Q1435" s="9"/>
      <c r="R1435" s="9" t="s">
        <v>12795</v>
      </c>
      <c r="S1435" s="9" t="s">
        <v>12795</v>
      </c>
      <c r="T1435" s="9" t="s">
        <v>12117</v>
      </c>
      <c r="U1435" s="9"/>
      <c r="V1435" s="9"/>
      <c r="W1435" s="9"/>
      <c r="X1435" s="9"/>
      <c r="Y1435" s="9"/>
      <c r="Z1435" s="9"/>
      <c r="AA1435" s="9"/>
      <c r="AB1435" s="9"/>
      <c r="AC1435" s="9"/>
      <c r="AD1435" s="9" t="s">
        <v>19</v>
      </c>
    </row>
    <row r="1436" spans="1:30" ht="29">
      <c r="A1436" s="3" t="s">
        <v>3633</v>
      </c>
      <c r="B1436" s="3" t="s">
        <v>9528</v>
      </c>
      <c r="C1436" s="3" t="s">
        <v>9527</v>
      </c>
      <c r="G1436" s="9" t="s">
        <v>26</v>
      </c>
      <c r="H1436" s="9"/>
      <c r="I1436" s="9"/>
      <c r="J1436" s="9"/>
      <c r="K1436" s="9"/>
      <c r="L1436" s="9"/>
      <c r="M1436" s="9"/>
      <c r="N1436" s="10"/>
      <c r="O1436" s="9"/>
      <c r="P1436" s="9"/>
      <c r="Q1436" s="9"/>
      <c r="R1436" s="9" t="s">
        <v>12795</v>
      </c>
      <c r="S1436" s="9" t="s">
        <v>12795</v>
      </c>
      <c r="T1436" s="9"/>
      <c r="U1436" s="9"/>
      <c r="V1436" s="9"/>
      <c r="W1436" s="9"/>
      <c r="X1436" s="9"/>
      <c r="Y1436" s="9"/>
      <c r="Z1436" s="9"/>
      <c r="AA1436" s="9"/>
      <c r="AB1436" s="9"/>
      <c r="AC1436" s="9"/>
      <c r="AD1436" s="9" t="s">
        <v>20</v>
      </c>
    </row>
    <row r="1437" spans="1:30" ht="29">
      <c r="A1437" s="3" t="s">
        <v>3638</v>
      </c>
      <c r="B1437" s="3" t="s">
        <v>9532</v>
      </c>
      <c r="C1437" s="3" t="s">
        <v>9533</v>
      </c>
      <c r="G1437" s="9" t="s">
        <v>12120</v>
      </c>
      <c r="H1437" s="9"/>
      <c r="I1437" s="9"/>
      <c r="J1437" s="9"/>
      <c r="K1437" s="9"/>
      <c r="L1437" s="9"/>
      <c r="M1437" s="9"/>
      <c r="N1437" s="10"/>
      <c r="O1437" s="9"/>
      <c r="P1437" s="9"/>
      <c r="Q1437" s="9"/>
      <c r="R1437" s="9" t="s">
        <v>12795</v>
      </c>
      <c r="S1437" s="9" t="s">
        <v>12795</v>
      </c>
      <c r="T1437" s="9"/>
      <c r="U1437" s="9"/>
      <c r="V1437" s="9"/>
      <c r="W1437" s="9"/>
      <c r="X1437" s="9"/>
      <c r="Y1437" s="9"/>
      <c r="Z1437" s="9"/>
      <c r="AA1437" s="9"/>
      <c r="AB1437" s="9"/>
      <c r="AC1437" s="9"/>
      <c r="AD1437" s="9" t="s">
        <v>19</v>
      </c>
    </row>
    <row r="1438" spans="1:30" ht="29">
      <c r="A1438" s="3" t="s">
        <v>3639</v>
      </c>
      <c r="B1438" s="3" t="s">
        <v>9535</v>
      </c>
      <c r="C1438" s="3" t="s">
        <v>9534</v>
      </c>
      <c r="G1438" s="9" t="s">
        <v>12120</v>
      </c>
      <c r="H1438" s="9"/>
      <c r="I1438" s="9"/>
      <c r="J1438" s="9"/>
      <c r="K1438" s="9"/>
      <c r="L1438" s="9"/>
      <c r="M1438" s="9"/>
      <c r="N1438" s="10"/>
      <c r="O1438" s="9"/>
      <c r="P1438" s="9"/>
      <c r="Q1438" s="9"/>
      <c r="R1438" s="9" t="s">
        <v>12795</v>
      </c>
      <c r="S1438" s="9" t="s">
        <v>12795</v>
      </c>
      <c r="T1438" s="9"/>
      <c r="U1438" s="9"/>
      <c r="V1438" s="9"/>
      <c r="W1438" s="9"/>
      <c r="X1438" s="9"/>
      <c r="Y1438" s="9"/>
      <c r="Z1438" s="9"/>
      <c r="AA1438" s="9"/>
      <c r="AB1438" s="9"/>
      <c r="AC1438" s="9"/>
      <c r="AD1438" s="9" t="s">
        <v>19</v>
      </c>
    </row>
    <row r="1439" spans="1:30" ht="29">
      <c r="A1439" s="3" t="s">
        <v>3640</v>
      </c>
      <c r="B1439" s="3" t="s">
        <v>9541</v>
      </c>
      <c r="C1439" s="3" t="s">
        <v>9540</v>
      </c>
      <c r="G1439" s="9" t="s">
        <v>25</v>
      </c>
      <c r="H1439" s="9"/>
      <c r="I1439" s="9">
        <v>1</v>
      </c>
      <c r="J1439" s="9">
        <v>2</v>
      </c>
      <c r="K1439" s="9" t="s">
        <v>12094</v>
      </c>
      <c r="L1439" s="9" t="s">
        <v>12119</v>
      </c>
      <c r="M1439" s="9"/>
      <c r="N1439" s="10"/>
      <c r="O1439" s="9"/>
      <c r="P1439" s="9">
        <v>1741</v>
      </c>
      <c r="Q1439" s="9"/>
      <c r="R1439" s="9" t="s">
        <v>12795</v>
      </c>
      <c r="S1439" s="9" t="s">
        <v>12795</v>
      </c>
      <c r="T1439" s="9"/>
      <c r="U1439" s="9"/>
      <c r="V1439" s="9"/>
      <c r="W1439" s="9"/>
      <c r="X1439" s="9"/>
      <c r="Y1439" s="9"/>
      <c r="Z1439" s="9"/>
      <c r="AA1439" s="9"/>
      <c r="AB1439" s="9"/>
      <c r="AC1439" s="9"/>
      <c r="AD1439" s="9" t="s">
        <v>20</v>
      </c>
    </row>
    <row r="1440" spans="1:30" ht="29">
      <c r="A1440" s="3" t="s">
        <v>3641</v>
      </c>
      <c r="B1440" s="3" t="s">
        <v>9542</v>
      </c>
      <c r="C1440" s="3" t="s">
        <v>9543</v>
      </c>
      <c r="G1440" s="9" t="s">
        <v>25</v>
      </c>
      <c r="H1440" s="9"/>
      <c r="I1440" s="9">
        <v>3</v>
      </c>
      <c r="J1440" s="9">
        <v>12</v>
      </c>
      <c r="K1440" s="9"/>
      <c r="L1440" s="9" t="s">
        <v>12079</v>
      </c>
      <c r="M1440" s="9"/>
      <c r="N1440" s="10"/>
      <c r="O1440" s="9"/>
      <c r="P1440" s="9">
        <v>49</v>
      </c>
      <c r="Q1440" s="9"/>
      <c r="R1440" s="9" t="s">
        <v>12795</v>
      </c>
      <c r="S1440" s="9" t="s">
        <v>12795</v>
      </c>
      <c r="T1440" s="9"/>
      <c r="U1440" s="9"/>
      <c r="V1440" s="9"/>
      <c r="W1440" s="9"/>
      <c r="X1440" s="9"/>
      <c r="Y1440" s="9"/>
      <c r="Z1440" s="9"/>
      <c r="AA1440" s="9"/>
      <c r="AB1440" s="9"/>
      <c r="AC1440" s="9"/>
      <c r="AD1440" s="9" t="s">
        <v>20</v>
      </c>
    </row>
    <row r="1441" spans="1:30" ht="29">
      <c r="A1441" s="3" t="s">
        <v>3642</v>
      </c>
      <c r="B1441" s="3" t="s">
        <v>9544</v>
      </c>
      <c r="C1441" s="3" t="s">
        <v>9546</v>
      </c>
      <c r="F1441" t="s">
        <v>19</v>
      </c>
      <c r="G1441" s="9" t="s">
        <v>25</v>
      </c>
      <c r="H1441" s="9"/>
      <c r="I1441" s="9">
        <v>1</v>
      </c>
      <c r="J1441" s="9">
        <v>3</v>
      </c>
      <c r="K1441" s="9" t="s">
        <v>12087</v>
      </c>
      <c r="L1441" s="9" t="s">
        <v>12079</v>
      </c>
      <c r="M1441" s="9"/>
      <c r="N1441" s="10"/>
      <c r="O1441" s="9"/>
      <c r="P1441" s="9">
        <v>5676</v>
      </c>
      <c r="Q1441" s="9"/>
      <c r="R1441" s="9" t="s">
        <v>12795</v>
      </c>
      <c r="S1441" s="9" t="s">
        <v>12795</v>
      </c>
      <c r="T1441" s="9"/>
      <c r="U1441" s="9"/>
      <c r="V1441" s="9"/>
      <c r="W1441" s="9"/>
      <c r="X1441" s="9"/>
      <c r="Y1441" s="9"/>
      <c r="Z1441" s="9"/>
      <c r="AA1441" s="9"/>
      <c r="AB1441" s="9"/>
      <c r="AC1441" s="9"/>
      <c r="AD1441" s="9" t="s">
        <v>20</v>
      </c>
    </row>
    <row r="1442" spans="1:30" ht="29">
      <c r="A1442" s="3" t="s">
        <v>3645</v>
      </c>
      <c r="B1442" s="3" t="s">
        <v>9549</v>
      </c>
      <c r="C1442" s="3" t="s">
        <v>9550</v>
      </c>
      <c r="G1442" s="9" t="s">
        <v>25</v>
      </c>
      <c r="H1442" s="9"/>
      <c r="I1442" s="9">
        <v>1</v>
      </c>
      <c r="J1442" s="9">
        <v>5</v>
      </c>
      <c r="K1442" s="9" t="s">
        <v>12098</v>
      </c>
      <c r="L1442" s="9" t="s">
        <v>12073</v>
      </c>
      <c r="M1442" s="9" t="s">
        <v>12142</v>
      </c>
      <c r="N1442" s="10" t="s">
        <v>12143</v>
      </c>
      <c r="O1442" s="9"/>
      <c r="P1442" s="9">
        <v>2042</v>
      </c>
      <c r="Q1442" s="9"/>
      <c r="R1442" s="9" t="s">
        <v>12795</v>
      </c>
      <c r="S1442" s="9" t="s">
        <v>12795</v>
      </c>
      <c r="T1442" s="9"/>
      <c r="U1442" s="9"/>
      <c r="V1442" s="9"/>
      <c r="W1442" s="9"/>
      <c r="X1442" s="9"/>
      <c r="Y1442" s="9"/>
      <c r="Z1442" s="9"/>
      <c r="AA1442" s="9"/>
      <c r="AB1442" s="9"/>
      <c r="AC1442" s="9"/>
      <c r="AD1442" s="9" t="s">
        <v>19</v>
      </c>
    </row>
    <row r="1443" spans="1:30" ht="43.5">
      <c r="A1443" s="3" t="s">
        <v>3646</v>
      </c>
      <c r="B1443" s="3" t="s">
        <v>9551</v>
      </c>
      <c r="C1443" s="3" t="s">
        <v>9552</v>
      </c>
      <c r="G1443" s="9" t="s">
        <v>26</v>
      </c>
      <c r="H1443" s="9"/>
      <c r="I1443" s="9"/>
      <c r="J1443" s="9"/>
      <c r="K1443" s="9"/>
      <c r="L1443" s="9"/>
      <c r="M1443" s="9"/>
      <c r="N1443" s="10"/>
      <c r="O1443" s="9"/>
      <c r="P1443" s="9"/>
      <c r="Q1443" s="9"/>
      <c r="R1443" s="9" t="s">
        <v>12795</v>
      </c>
      <c r="S1443" s="9" t="s">
        <v>12795</v>
      </c>
      <c r="T1443" s="9"/>
      <c r="U1443" s="9"/>
      <c r="V1443" s="9"/>
      <c r="W1443" s="9"/>
      <c r="X1443" s="9"/>
      <c r="Y1443" s="9"/>
      <c r="Z1443" s="9"/>
      <c r="AA1443" s="9"/>
      <c r="AB1443" s="9"/>
      <c r="AC1443" s="9"/>
      <c r="AD1443" s="9" t="s">
        <v>20</v>
      </c>
    </row>
    <row r="1444" spans="1:30" ht="29">
      <c r="A1444" s="3" t="s">
        <v>3649</v>
      </c>
      <c r="B1444" s="3" t="s">
        <v>9556</v>
      </c>
      <c r="C1444" s="3" t="s">
        <v>9557</v>
      </c>
      <c r="G1444" s="9" t="s">
        <v>24</v>
      </c>
      <c r="H1444" s="9"/>
      <c r="I1444" s="9">
        <v>1</v>
      </c>
      <c r="J1444" s="9">
        <v>5</v>
      </c>
      <c r="K1444" s="9" t="s">
        <v>12094</v>
      </c>
      <c r="L1444" s="9" t="s">
        <v>12073</v>
      </c>
      <c r="M1444" s="9" t="s">
        <v>12142</v>
      </c>
      <c r="N1444" s="10" t="s">
        <v>12143</v>
      </c>
      <c r="O1444" s="9"/>
      <c r="P1444" s="9">
        <v>4240</v>
      </c>
      <c r="Q1444" s="9"/>
      <c r="R1444" s="9" t="s">
        <v>12795</v>
      </c>
      <c r="S1444" s="9" t="s">
        <v>12795</v>
      </c>
      <c r="T1444" s="9"/>
      <c r="U1444" s="9"/>
      <c r="V1444" s="9"/>
      <c r="W1444" s="9"/>
      <c r="X1444" s="9"/>
      <c r="Y1444" s="9"/>
      <c r="Z1444" s="9"/>
      <c r="AA1444" s="9"/>
      <c r="AB1444" s="9"/>
      <c r="AC1444" s="9"/>
      <c r="AD1444" s="9" t="s">
        <v>19</v>
      </c>
    </row>
    <row r="1445" spans="1:30" ht="29">
      <c r="A1445" s="3" t="s">
        <v>3659</v>
      </c>
      <c r="B1445" s="3" t="s">
        <v>9566</v>
      </c>
      <c r="C1445" s="3" t="s">
        <v>9567</v>
      </c>
      <c r="G1445" s="9" t="s">
        <v>24</v>
      </c>
      <c r="H1445" s="9"/>
      <c r="I1445" s="9">
        <v>1</v>
      </c>
      <c r="J1445" s="9">
        <v>1</v>
      </c>
      <c r="K1445" s="9" t="s">
        <v>12078</v>
      </c>
      <c r="L1445" s="9" t="s">
        <v>12119</v>
      </c>
      <c r="M1445" s="9"/>
      <c r="N1445" s="10"/>
      <c r="O1445" s="9"/>
      <c r="P1445" s="9">
        <v>11843</v>
      </c>
      <c r="Q1445" s="9"/>
      <c r="R1445" s="9" t="s">
        <v>12795</v>
      </c>
      <c r="S1445" s="9" t="s">
        <v>12795</v>
      </c>
      <c r="T1445" s="9"/>
      <c r="U1445" s="9"/>
      <c r="V1445" s="9"/>
      <c r="W1445" s="9"/>
      <c r="X1445" s="9"/>
      <c r="Y1445" s="9"/>
      <c r="Z1445" s="9"/>
      <c r="AA1445" s="9"/>
      <c r="AB1445" s="9"/>
      <c r="AC1445" s="9"/>
      <c r="AD1445" s="9" t="s">
        <v>19</v>
      </c>
    </row>
    <row r="1446" spans="1:30" ht="29">
      <c r="A1446" s="3" t="s">
        <v>3665</v>
      </c>
      <c r="B1446" s="3" t="s">
        <v>3666</v>
      </c>
      <c r="C1446" s="3" t="s">
        <v>3667</v>
      </c>
      <c r="G1446" s="9" t="s">
        <v>12118</v>
      </c>
      <c r="H1446" s="9"/>
      <c r="I1446" s="9"/>
      <c r="J1446" s="9"/>
      <c r="K1446" s="9"/>
      <c r="L1446" s="9"/>
      <c r="M1446" s="9"/>
      <c r="N1446" s="10"/>
      <c r="O1446" s="9"/>
      <c r="P1446" s="9"/>
      <c r="Q1446" s="9">
        <v>70</v>
      </c>
      <c r="R1446" s="9">
        <v>5</v>
      </c>
      <c r="S1446" s="9">
        <v>75</v>
      </c>
      <c r="T1446" s="9"/>
      <c r="U1446" s="9"/>
      <c r="V1446" s="9"/>
      <c r="W1446" s="9"/>
      <c r="X1446" s="9"/>
      <c r="Y1446" s="9"/>
      <c r="Z1446" s="9"/>
      <c r="AA1446" s="9"/>
      <c r="AB1446" s="9"/>
      <c r="AC1446" s="9"/>
      <c r="AD1446" s="9" t="s">
        <v>19</v>
      </c>
    </row>
    <row r="1447" spans="1:30" ht="29">
      <c r="A1447" s="3" t="s">
        <v>3665</v>
      </c>
      <c r="B1447" s="3" t="s">
        <v>9576</v>
      </c>
      <c r="C1447" s="3" t="s">
        <v>9577</v>
      </c>
      <c r="G1447" s="9" t="s">
        <v>12118</v>
      </c>
      <c r="H1447" s="9"/>
      <c r="I1447" s="9"/>
      <c r="J1447" s="9"/>
      <c r="K1447" s="9"/>
      <c r="L1447" s="9"/>
      <c r="M1447" s="9"/>
      <c r="N1447" s="10"/>
      <c r="O1447" s="9"/>
      <c r="P1447" s="9"/>
      <c r="Q1447" s="9">
        <v>1706</v>
      </c>
      <c r="R1447" s="9">
        <v>336</v>
      </c>
      <c r="S1447" s="9">
        <v>2042</v>
      </c>
      <c r="T1447" s="9"/>
      <c r="U1447" s="9"/>
      <c r="V1447" s="9"/>
      <c r="W1447" s="9"/>
      <c r="X1447" s="9"/>
      <c r="Y1447" s="9"/>
      <c r="Z1447" s="9"/>
      <c r="AA1447" s="9"/>
      <c r="AB1447" s="9"/>
      <c r="AC1447" s="9"/>
      <c r="AD1447" s="9" t="s">
        <v>20</v>
      </c>
    </row>
    <row r="1448" spans="1:30" ht="29">
      <c r="A1448" s="3" t="s">
        <v>3670</v>
      </c>
      <c r="B1448" s="3" t="s">
        <v>9578</v>
      </c>
      <c r="C1448" s="3" t="s">
        <v>9579</v>
      </c>
      <c r="G1448" s="9" t="s">
        <v>24</v>
      </c>
      <c r="H1448" s="9"/>
      <c r="I1448" s="9">
        <v>1</v>
      </c>
      <c r="J1448" s="9">
        <v>3</v>
      </c>
      <c r="K1448" s="9" t="s">
        <v>12087</v>
      </c>
      <c r="L1448" s="9" t="s">
        <v>12079</v>
      </c>
      <c r="M1448" s="9"/>
      <c r="N1448" s="10"/>
      <c r="O1448" s="9"/>
      <c r="P1448" s="9">
        <v>309</v>
      </c>
      <c r="Q1448" s="9"/>
      <c r="R1448" s="9" t="s">
        <v>12795</v>
      </c>
      <c r="S1448" s="9" t="s">
        <v>12795</v>
      </c>
      <c r="T1448" s="9"/>
      <c r="U1448" s="9"/>
      <c r="V1448" s="9"/>
      <c r="W1448" s="9"/>
      <c r="X1448" s="9"/>
      <c r="Y1448" s="9"/>
      <c r="Z1448" s="9"/>
      <c r="AA1448" s="9"/>
      <c r="AB1448" s="9"/>
      <c r="AC1448" s="9"/>
      <c r="AD1448" s="9" t="s">
        <v>19</v>
      </c>
    </row>
    <row r="1449" spans="1:30" ht="29">
      <c r="A1449" s="3" t="s">
        <v>3674</v>
      </c>
      <c r="B1449" s="3" t="s">
        <v>9581</v>
      </c>
      <c r="C1449" s="3" t="s">
        <v>9580</v>
      </c>
      <c r="G1449" s="9" t="s">
        <v>24</v>
      </c>
      <c r="H1449" s="9"/>
      <c r="I1449" s="9">
        <v>1</v>
      </c>
      <c r="J1449" s="9">
        <v>2</v>
      </c>
      <c r="K1449" s="9" t="s">
        <v>12078</v>
      </c>
      <c r="L1449" s="9" t="s">
        <v>12119</v>
      </c>
      <c r="M1449" s="9"/>
      <c r="N1449" s="10"/>
      <c r="O1449" s="9"/>
      <c r="P1449" s="9">
        <v>11843</v>
      </c>
      <c r="Q1449" s="9"/>
      <c r="R1449" s="9" t="s">
        <v>12795</v>
      </c>
      <c r="S1449" s="9" t="s">
        <v>12795</v>
      </c>
      <c r="T1449" s="9"/>
      <c r="U1449" s="9"/>
      <c r="V1449" s="9"/>
      <c r="W1449" s="9"/>
      <c r="X1449" s="9"/>
      <c r="Y1449" s="9"/>
      <c r="Z1449" s="9"/>
      <c r="AA1449" s="9"/>
      <c r="AB1449" s="9"/>
      <c r="AC1449" s="9"/>
      <c r="AD1449" s="9" t="s">
        <v>19</v>
      </c>
    </row>
    <row r="1450" spans="1:30" ht="29">
      <c r="A1450" s="3" t="s">
        <v>3677</v>
      </c>
      <c r="B1450" s="3" t="s">
        <v>9583</v>
      </c>
      <c r="C1450" s="3" t="s">
        <v>9582</v>
      </c>
      <c r="G1450" s="9" t="s">
        <v>24</v>
      </c>
      <c r="H1450" s="9"/>
      <c r="I1450" s="9">
        <v>1</v>
      </c>
      <c r="J1450" s="9">
        <v>1</v>
      </c>
      <c r="K1450" s="9" t="s">
        <v>12078</v>
      </c>
      <c r="L1450" s="9" t="s">
        <v>12119</v>
      </c>
      <c r="M1450" s="9"/>
      <c r="N1450" s="10"/>
      <c r="O1450" s="9"/>
      <c r="P1450" s="9">
        <v>11843</v>
      </c>
      <c r="Q1450" s="9"/>
      <c r="R1450" s="9" t="s">
        <v>12795</v>
      </c>
      <c r="S1450" s="9" t="s">
        <v>12795</v>
      </c>
      <c r="T1450" s="9"/>
      <c r="U1450" s="9"/>
      <c r="V1450" s="9"/>
      <c r="W1450" s="9"/>
      <c r="X1450" s="9"/>
      <c r="Y1450" s="9"/>
      <c r="Z1450" s="9"/>
      <c r="AA1450" s="9"/>
      <c r="AB1450" s="9"/>
      <c r="AC1450" s="9"/>
      <c r="AD1450" s="9" t="s">
        <v>19</v>
      </c>
    </row>
    <row r="1451" spans="1:30" ht="29">
      <c r="A1451" s="3" t="s">
        <v>3681</v>
      </c>
      <c r="B1451" s="3" t="s">
        <v>9587</v>
      </c>
      <c r="C1451" s="3" t="s">
        <v>9586</v>
      </c>
      <c r="G1451" s="9" t="s">
        <v>26</v>
      </c>
      <c r="H1451" s="9"/>
      <c r="I1451" s="9"/>
      <c r="J1451" s="9"/>
      <c r="K1451" s="9"/>
      <c r="L1451" s="9"/>
      <c r="M1451" s="9"/>
      <c r="N1451" s="10"/>
      <c r="O1451" s="9"/>
      <c r="P1451" s="9"/>
      <c r="Q1451" s="9"/>
      <c r="R1451" s="9" t="s">
        <v>12795</v>
      </c>
      <c r="S1451" s="9" t="s">
        <v>12795</v>
      </c>
      <c r="T1451" s="9"/>
      <c r="U1451" s="9"/>
      <c r="V1451" s="9"/>
      <c r="W1451" s="9"/>
      <c r="X1451" s="9"/>
      <c r="Y1451" s="9"/>
      <c r="Z1451" s="9"/>
      <c r="AA1451" s="9"/>
      <c r="AB1451" s="9"/>
      <c r="AC1451" s="9"/>
      <c r="AD1451" s="9" t="s">
        <v>20</v>
      </c>
    </row>
    <row r="1452" spans="1:30" ht="29">
      <c r="A1452" s="3" t="s">
        <v>3690</v>
      </c>
      <c r="B1452" s="3" t="s">
        <v>9599</v>
      </c>
      <c r="C1452" s="3" t="s">
        <v>9598</v>
      </c>
      <c r="F1452" t="s">
        <v>19</v>
      </c>
      <c r="G1452" s="9" t="s">
        <v>25</v>
      </c>
      <c r="H1452" s="9"/>
      <c r="I1452" s="9">
        <v>1</v>
      </c>
      <c r="J1452" s="9">
        <v>2</v>
      </c>
      <c r="K1452" s="9" t="s">
        <v>12078</v>
      </c>
      <c r="L1452" s="9" t="s">
        <v>12119</v>
      </c>
      <c r="M1452" s="9"/>
      <c r="N1452" s="10"/>
      <c r="O1452" s="9"/>
      <c r="P1452" s="9">
        <v>11843</v>
      </c>
      <c r="Q1452" s="9"/>
      <c r="R1452" s="9" t="s">
        <v>12795</v>
      </c>
      <c r="S1452" s="9" t="s">
        <v>12795</v>
      </c>
      <c r="T1452" s="9"/>
      <c r="U1452" s="9"/>
      <c r="V1452" s="9"/>
      <c r="W1452" s="9"/>
      <c r="X1452" s="9"/>
      <c r="Y1452" s="9"/>
      <c r="Z1452" s="9"/>
      <c r="AA1452" s="9"/>
      <c r="AB1452" s="9"/>
      <c r="AC1452" s="9"/>
      <c r="AD1452" s="9" t="s">
        <v>20</v>
      </c>
    </row>
    <row r="1453" spans="1:30" ht="58">
      <c r="A1453" s="3" t="s">
        <v>3692</v>
      </c>
      <c r="B1453" s="3" t="s">
        <v>9603</v>
      </c>
      <c r="C1453" s="3" t="s">
        <v>9602</v>
      </c>
      <c r="G1453" s="9" t="s">
        <v>25</v>
      </c>
      <c r="H1453" s="9"/>
      <c r="I1453" s="9">
        <v>7</v>
      </c>
      <c r="J1453" s="9">
        <v>36</v>
      </c>
      <c r="K1453" s="9"/>
      <c r="L1453" s="9" t="s">
        <v>12079</v>
      </c>
      <c r="M1453" s="9"/>
      <c r="N1453" s="10"/>
      <c r="O1453" s="9"/>
      <c r="P1453" s="9">
        <v>3</v>
      </c>
      <c r="Q1453" s="9"/>
      <c r="R1453" s="9" t="s">
        <v>12795</v>
      </c>
      <c r="S1453" s="9" t="s">
        <v>12795</v>
      </c>
      <c r="T1453" s="9"/>
      <c r="U1453" s="9"/>
      <c r="V1453" s="9"/>
      <c r="W1453" s="9"/>
      <c r="X1453" s="9"/>
      <c r="Y1453" s="9"/>
      <c r="Z1453" s="9"/>
      <c r="AA1453" s="9"/>
      <c r="AB1453" s="9"/>
      <c r="AC1453" s="9"/>
      <c r="AD1453" s="9" t="s">
        <v>20</v>
      </c>
    </row>
    <row r="1454" spans="1:30" ht="29">
      <c r="A1454" s="3" t="s">
        <v>3694</v>
      </c>
      <c r="B1454" s="3" t="s">
        <v>9606</v>
      </c>
      <c r="C1454" s="3" t="s">
        <v>3695</v>
      </c>
      <c r="G1454" s="9" t="s">
        <v>12120</v>
      </c>
      <c r="H1454" s="9"/>
      <c r="I1454" s="9"/>
      <c r="J1454" s="9"/>
      <c r="K1454" s="9"/>
      <c r="L1454" s="9"/>
      <c r="M1454" s="9"/>
      <c r="N1454" s="10"/>
      <c r="O1454" s="9"/>
      <c r="P1454" s="9"/>
      <c r="Q1454" s="9"/>
      <c r="R1454" s="9" t="s">
        <v>12795</v>
      </c>
      <c r="S1454" s="9" t="s">
        <v>12795</v>
      </c>
      <c r="T1454" s="9"/>
      <c r="U1454" s="9"/>
      <c r="V1454" s="9"/>
      <c r="W1454" s="9"/>
      <c r="X1454" s="9"/>
      <c r="Y1454" s="9"/>
      <c r="Z1454" s="9"/>
      <c r="AA1454" s="9"/>
      <c r="AB1454" s="9"/>
      <c r="AC1454" s="9"/>
      <c r="AD1454" s="9" t="s">
        <v>19</v>
      </c>
    </row>
    <row r="1455" spans="1:30" ht="29">
      <c r="A1455" s="3" t="s">
        <v>3696</v>
      </c>
      <c r="B1455" s="3" t="s">
        <v>3698</v>
      </c>
      <c r="C1455" s="3" t="s">
        <v>3697</v>
      </c>
      <c r="G1455" s="9" t="s">
        <v>12118</v>
      </c>
      <c r="H1455" s="9"/>
      <c r="I1455" s="9"/>
      <c r="J1455" s="9"/>
      <c r="K1455" s="9"/>
      <c r="L1455" s="9"/>
      <c r="M1455" s="9"/>
      <c r="N1455" s="10"/>
      <c r="O1455" s="9"/>
      <c r="P1455" s="9"/>
      <c r="Q1455" s="9">
        <v>36</v>
      </c>
      <c r="R1455" s="9">
        <v>1</v>
      </c>
      <c r="S1455" s="9">
        <v>37</v>
      </c>
      <c r="T1455" s="9"/>
      <c r="U1455" s="9"/>
      <c r="V1455" s="9"/>
      <c r="W1455" s="9"/>
      <c r="X1455" s="9"/>
      <c r="Y1455" s="9"/>
      <c r="Z1455" s="9"/>
      <c r="AA1455" s="9"/>
      <c r="AB1455" s="9"/>
      <c r="AC1455" s="9"/>
      <c r="AD1455" s="9" t="s">
        <v>20</v>
      </c>
    </row>
    <row r="1456" spans="1:30" ht="29">
      <c r="A1456" s="3" t="s">
        <v>3703</v>
      </c>
      <c r="B1456" s="3" t="s">
        <v>9613</v>
      </c>
      <c r="C1456" s="3" t="s">
        <v>9614</v>
      </c>
      <c r="G1456" s="9" t="s">
        <v>12118</v>
      </c>
      <c r="H1456" s="9"/>
      <c r="I1456" s="9"/>
      <c r="J1456" s="9"/>
      <c r="K1456" s="9"/>
      <c r="L1456" s="9"/>
      <c r="M1456" s="9"/>
      <c r="N1456" s="10"/>
      <c r="O1456" s="9"/>
      <c r="P1456" s="9"/>
      <c r="Q1456" s="9">
        <v>-531</v>
      </c>
      <c r="R1456" s="9">
        <v>887</v>
      </c>
      <c r="S1456" s="9">
        <v>356</v>
      </c>
      <c r="T1456" s="9"/>
      <c r="U1456" s="9"/>
      <c r="V1456" s="9"/>
      <c r="W1456" s="9"/>
      <c r="X1456" s="9"/>
      <c r="Y1456" s="9"/>
      <c r="Z1456" s="9"/>
      <c r="AA1456" s="9"/>
      <c r="AB1456" s="9"/>
      <c r="AC1456" s="9"/>
      <c r="AD1456" s="9" t="s">
        <v>19</v>
      </c>
    </row>
    <row r="1457" spans="1:30" ht="29">
      <c r="A1457" s="3" t="s">
        <v>3709</v>
      </c>
      <c r="B1457" s="3" t="s">
        <v>3711</v>
      </c>
      <c r="C1457" s="3" t="s">
        <v>3710</v>
      </c>
      <c r="F1457" t="s">
        <v>19</v>
      </c>
      <c r="G1457" s="9" t="s">
        <v>12118</v>
      </c>
      <c r="H1457" s="9"/>
      <c r="I1457" s="9"/>
      <c r="J1457" s="9"/>
      <c r="K1457" s="9"/>
      <c r="L1457" s="9"/>
      <c r="M1457" s="9"/>
      <c r="N1457" s="10"/>
      <c r="O1457" s="9"/>
      <c r="P1457" s="9"/>
      <c r="Q1457" s="9">
        <v>-25</v>
      </c>
      <c r="R1457" s="9">
        <v>27</v>
      </c>
      <c r="S1457" s="9">
        <v>2</v>
      </c>
      <c r="T1457" s="9"/>
      <c r="U1457" s="9"/>
      <c r="V1457" s="9"/>
      <c r="W1457" s="9"/>
      <c r="X1457" s="9"/>
      <c r="Y1457" s="9"/>
      <c r="Z1457" s="9"/>
      <c r="AA1457" s="9"/>
      <c r="AB1457" s="9"/>
      <c r="AC1457" s="9"/>
      <c r="AD1457" s="9" t="s">
        <v>20</v>
      </c>
    </row>
    <row r="1458" spans="1:30" ht="29">
      <c r="A1458" s="3" t="s">
        <v>3716</v>
      </c>
      <c r="B1458" s="3" t="s">
        <v>9639</v>
      </c>
      <c r="C1458" s="3" t="s">
        <v>9638</v>
      </c>
      <c r="G1458" s="9" t="s">
        <v>25</v>
      </c>
      <c r="H1458" s="9"/>
      <c r="I1458" s="9">
        <v>1</v>
      </c>
      <c r="J1458" s="9">
        <v>1</v>
      </c>
      <c r="K1458" s="9" t="s">
        <v>12094</v>
      </c>
      <c r="L1458" s="9" t="s">
        <v>12119</v>
      </c>
      <c r="M1458" s="9"/>
      <c r="N1458" s="10"/>
      <c r="O1458" s="9"/>
      <c r="P1458" s="9">
        <v>780</v>
      </c>
      <c r="Q1458" s="9"/>
      <c r="R1458" s="9" t="s">
        <v>12795</v>
      </c>
      <c r="S1458" s="9" t="s">
        <v>12795</v>
      </c>
      <c r="T1458" s="9"/>
      <c r="U1458" s="9"/>
      <c r="V1458" s="9"/>
      <c r="W1458" s="9"/>
      <c r="X1458" s="9"/>
      <c r="Y1458" s="9"/>
      <c r="Z1458" s="9"/>
      <c r="AA1458" s="9"/>
      <c r="AB1458" s="9"/>
      <c r="AC1458" s="9"/>
      <c r="AD1458" s="9" t="s">
        <v>20</v>
      </c>
    </row>
    <row r="1459" spans="1:30" ht="29">
      <c r="A1459" s="3" t="s">
        <v>3717</v>
      </c>
      <c r="B1459" s="3" t="s">
        <v>9642</v>
      </c>
      <c r="C1459" s="3" t="s">
        <v>9643</v>
      </c>
      <c r="G1459" s="9" t="s">
        <v>24</v>
      </c>
      <c r="H1459" s="9"/>
      <c r="I1459" s="9">
        <v>1</v>
      </c>
      <c r="J1459" s="9">
        <v>7</v>
      </c>
      <c r="K1459" s="9" t="s">
        <v>12125</v>
      </c>
      <c r="L1459" s="9" t="s">
        <v>12073</v>
      </c>
      <c r="M1459" s="9" t="s">
        <v>12142</v>
      </c>
      <c r="N1459" s="10" t="s">
        <v>12156</v>
      </c>
      <c r="O1459" s="9" t="s">
        <v>12074</v>
      </c>
      <c r="P1459" s="9">
        <v>336</v>
      </c>
      <c r="Q1459" s="9"/>
      <c r="R1459" s="9" t="s">
        <v>12795</v>
      </c>
      <c r="S1459" s="9" t="s">
        <v>12795</v>
      </c>
      <c r="T1459" s="9"/>
      <c r="U1459" s="9"/>
      <c r="V1459" s="9"/>
      <c r="W1459" s="9"/>
      <c r="X1459" s="9"/>
      <c r="Y1459" s="9"/>
      <c r="Z1459" s="9"/>
      <c r="AA1459" s="9"/>
      <c r="AB1459" s="9"/>
      <c r="AC1459" s="9"/>
      <c r="AD1459" s="9" t="s">
        <v>20</v>
      </c>
    </row>
    <row r="1460" spans="1:30" ht="29">
      <c r="A1460" s="3" t="s">
        <v>3718</v>
      </c>
      <c r="B1460" s="3" t="s">
        <v>9647</v>
      </c>
      <c r="C1460" s="3" t="s">
        <v>9646</v>
      </c>
      <c r="G1460" s="9" t="s">
        <v>24</v>
      </c>
      <c r="H1460" s="9"/>
      <c r="I1460" s="9">
        <v>1</v>
      </c>
      <c r="J1460" s="9">
        <v>1</v>
      </c>
      <c r="K1460" s="9" t="s">
        <v>12078</v>
      </c>
      <c r="L1460" s="9" t="s">
        <v>12119</v>
      </c>
      <c r="M1460" s="9"/>
      <c r="N1460" s="10"/>
      <c r="O1460" s="9"/>
      <c r="P1460" s="9">
        <v>11843</v>
      </c>
      <c r="Q1460" s="9"/>
      <c r="R1460" s="9" t="s">
        <v>12795</v>
      </c>
      <c r="S1460" s="9" t="s">
        <v>12795</v>
      </c>
      <c r="T1460" s="9"/>
      <c r="U1460" s="9"/>
      <c r="V1460" s="9"/>
      <c r="W1460" s="9"/>
      <c r="X1460" s="9"/>
      <c r="Y1460" s="9"/>
      <c r="Z1460" s="9"/>
      <c r="AA1460" s="9"/>
      <c r="AB1460" s="9"/>
      <c r="AC1460" s="9"/>
      <c r="AD1460" s="9" t="s">
        <v>19</v>
      </c>
    </row>
    <row r="1461" spans="1:30" ht="29">
      <c r="A1461" s="3" t="s">
        <v>3721</v>
      </c>
      <c r="B1461" s="3" t="s">
        <v>9650</v>
      </c>
      <c r="C1461" s="3" t="s">
        <v>9651</v>
      </c>
      <c r="G1461" s="9" t="s">
        <v>12118</v>
      </c>
      <c r="H1461" s="9"/>
      <c r="I1461" s="9"/>
      <c r="J1461" s="9"/>
      <c r="K1461" s="9"/>
      <c r="L1461" s="9"/>
      <c r="M1461" s="9"/>
      <c r="N1461" s="10"/>
      <c r="O1461" s="9"/>
      <c r="P1461" s="9"/>
      <c r="Q1461" s="9">
        <v>-188</v>
      </c>
      <c r="R1461" s="9">
        <v>207</v>
      </c>
      <c r="S1461" s="9">
        <v>19</v>
      </c>
      <c r="T1461" s="9"/>
      <c r="U1461" s="9"/>
      <c r="V1461" s="9"/>
      <c r="W1461" s="9"/>
      <c r="X1461" s="9"/>
      <c r="Y1461" s="9"/>
      <c r="Z1461" s="9"/>
      <c r="AA1461" s="9"/>
      <c r="AB1461" s="9"/>
      <c r="AC1461" s="9"/>
      <c r="AD1461" s="9" t="s">
        <v>19</v>
      </c>
    </row>
    <row r="1462" spans="1:30" ht="29">
      <c r="A1462" s="3" t="s">
        <v>3722</v>
      </c>
      <c r="B1462" s="3" t="s">
        <v>9653</v>
      </c>
      <c r="C1462" s="3" t="s">
        <v>9652</v>
      </c>
      <c r="G1462" s="9" t="s">
        <v>24</v>
      </c>
      <c r="H1462" s="9"/>
      <c r="I1462" s="9">
        <v>1</v>
      </c>
      <c r="J1462" s="9">
        <v>2</v>
      </c>
      <c r="K1462" s="9" t="s">
        <v>12078</v>
      </c>
      <c r="L1462" s="9" t="s">
        <v>12119</v>
      </c>
      <c r="M1462" s="9"/>
      <c r="N1462" s="10"/>
      <c r="O1462" s="9"/>
      <c r="P1462" s="9">
        <v>11843</v>
      </c>
      <c r="Q1462" s="9"/>
      <c r="R1462" s="9" t="s">
        <v>12795</v>
      </c>
      <c r="S1462" s="9" t="s">
        <v>12795</v>
      </c>
      <c r="T1462" s="9"/>
      <c r="U1462" s="9"/>
      <c r="V1462" s="9"/>
      <c r="W1462" s="9"/>
      <c r="X1462" s="9"/>
      <c r="Y1462" s="9"/>
      <c r="Z1462" s="9"/>
      <c r="AA1462" s="9"/>
      <c r="AB1462" s="9"/>
      <c r="AC1462" s="9"/>
      <c r="AD1462" s="9" t="s">
        <v>19</v>
      </c>
    </row>
    <row r="1463" spans="1:30" ht="29">
      <c r="A1463" s="3" t="s">
        <v>3738</v>
      </c>
      <c r="B1463" s="3" t="s">
        <v>9668</v>
      </c>
      <c r="C1463" s="3" t="s">
        <v>9669</v>
      </c>
      <c r="G1463" s="9" t="s">
        <v>12120</v>
      </c>
      <c r="H1463" s="9"/>
      <c r="I1463" s="9"/>
      <c r="J1463" s="9"/>
      <c r="K1463" s="9"/>
      <c r="L1463" s="9"/>
      <c r="M1463" s="9"/>
      <c r="N1463" s="10"/>
      <c r="O1463" s="9"/>
      <c r="P1463" s="9"/>
      <c r="Q1463" s="9"/>
      <c r="R1463" s="9" t="s">
        <v>12795</v>
      </c>
      <c r="S1463" s="9" t="s">
        <v>12795</v>
      </c>
      <c r="T1463" s="9"/>
      <c r="U1463" s="9"/>
      <c r="V1463" s="9"/>
      <c r="W1463" s="9"/>
      <c r="X1463" s="9"/>
      <c r="Y1463" s="9"/>
      <c r="Z1463" s="9"/>
      <c r="AA1463" s="9"/>
      <c r="AB1463" s="9"/>
      <c r="AC1463" s="9"/>
      <c r="AD1463" s="9" t="s">
        <v>20</v>
      </c>
    </row>
    <row r="1464" spans="1:30" ht="29">
      <c r="A1464" s="3" t="s">
        <v>3739</v>
      </c>
      <c r="B1464" s="3" t="s">
        <v>12929</v>
      </c>
      <c r="C1464" s="3" t="s">
        <v>9670</v>
      </c>
      <c r="G1464" s="9" t="s">
        <v>24</v>
      </c>
      <c r="H1464" s="9"/>
      <c r="I1464" s="9">
        <v>1</v>
      </c>
      <c r="J1464" s="9">
        <v>1</v>
      </c>
      <c r="K1464" s="9" t="s">
        <v>12078</v>
      </c>
      <c r="L1464" s="9" t="s">
        <v>12119</v>
      </c>
      <c r="M1464" s="9"/>
      <c r="N1464" s="10"/>
      <c r="O1464" s="9"/>
      <c r="P1464" s="9">
        <v>11843</v>
      </c>
      <c r="Q1464" s="9"/>
      <c r="R1464" s="9" t="s">
        <v>12795</v>
      </c>
      <c r="S1464" s="9" t="s">
        <v>12795</v>
      </c>
      <c r="T1464" s="9"/>
      <c r="U1464" s="9"/>
      <c r="V1464" s="9"/>
      <c r="W1464" s="9"/>
      <c r="X1464" s="9"/>
      <c r="Y1464" s="9"/>
      <c r="Z1464" s="9"/>
      <c r="AA1464" s="9"/>
      <c r="AB1464" s="9"/>
      <c r="AC1464" s="9"/>
      <c r="AD1464" s="9" t="s">
        <v>19</v>
      </c>
    </row>
    <row r="1465" spans="1:30" ht="29">
      <c r="A1465" s="3" t="s">
        <v>3740</v>
      </c>
      <c r="B1465" s="3" t="s">
        <v>9672</v>
      </c>
      <c r="C1465" s="3" t="s">
        <v>9671</v>
      </c>
      <c r="G1465" s="9" t="s">
        <v>24</v>
      </c>
      <c r="H1465" s="9"/>
      <c r="I1465" s="9">
        <v>1</v>
      </c>
      <c r="J1465" s="9">
        <v>10</v>
      </c>
      <c r="K1465" s="9" t="s">
        <v>12098</v>
      </c>
      <c r="L1465" s="9" t="s">
        <v>12079</v>
      </c>
      <c r="M1465" s="9"/>
      <c r="N1465" s="10"/>
      <c r="O1465" s="9"/>
      <c r="P1465" s="9">
        <v>53</v>
      </c>
      <c r="Q1465" s="9"/>
      <c r="R1465" s="9" t="s">
        <v>12795</v>
      </c>
      <c r="S1465" s="9" t="s">
        <v>12795</v>
      </c>
      <c r="T1465" s="9"/>
      <c r="U1465" s="9"/>
      <c r="V1465" s="9"/>
      <c r="W1465" s="9"/>
      <c r="X1465" s="9"/>
      <c r="Y1465" s="9"/>
      <c r="Z1465" s="9"/>
      <c r="AA1465" s="9"/>
      <c r="AB1465" s="9"/>
      <c r="AC1465" s="9"/>
      <c r="AD1465" s="9" t="s">
        <v>19</v>
      </c>
    </row>
    <row r="1466" spans="1:30" ht="29">
      <c r="A1466" s="3" t="s">
        <v>3742</v>
      </c>
      <c r="B1466" s="3" t="s">
        <v>9676</v>
      </c>
      <c r="C1466" s="3" t="s">
        <v>9675</v>
      </c>
      <c r="G1466" s="9" t="s">
        <v>12118</v>
      </c>
      <c r="H1466" s="9"/>
      <c r="I1466" s="9"/>
      <c r="J1466" s="9"/>
      <c r="K1466" s="9"/>
      <c r="L1466" s="9"/>
      <c r="M1466" s="9"/>
      <c r="N1466" s="10"/>
      <c r="O1466" s="9"/>
      <c r="P1466" s="9"/>
      <c r="Q1466" s="9">
        <v>-14</v>
      </c>
      <c r="R1466" s="9">
        <v>148</v>
      </c>
      <c r="S1466" s="9">
        <v>134</v>
      </c>
      <c r="T1466" s="9"/>
      <c r="U1466" s="9"/>
      <c r="V1466" s="9"/>
      <c r="W1466" s="9"/>
      <c r="X1466" s="9"/>
      <c r="Y1466" s="9"/>
      <c r="Z1466" s="9"/>
      <c r="AA1466" s="9"/>
      <c r="AB1466" s="9"/>
      <c r="AC1466" s="9"/>
      <c r="AD1466" s="9" t="s">
        <v>19</v>
      </c>
    </row>
    <row r="1467" spans="1:30" ht="29">
      <c r="A1467" s="3" t="s">
        <v>3742</v>
      </c>
      <c r="B1467" s="3" t="s">
        <v>9678</v>
      </c>
      <c r="C1467" s="3" t="s">
        <v>9677</v>
      </c>
      <c r="E1467" t="s">
        <v>20</v>
      </c>
      <c r="G1467" s="9" t="s">
        <v>12120</v>
      </c>
      <c r="H1467" s="9"/>
      <c r="I1467" s="9"/>
      <c r="J1467" s="9"/>
      <c r="K1467" s="9"/>
      <c r="L1467" s="9"/>
      <c r="M1467" s="9"/>
      <c r="N1467" s="10"/>
      <c r="O1467" s="9"/>
      <c r="P1467" s="9"/>
      <c r="Q1467" s="9"/>
      <c r="R1467" s="9" t="s">
        <v>12795</v>
      </c>
      <c r="S1467" s="9" t="s">
        <v>12795</v>
      </c>
      <c r="T1467" s="9"/>
      <c r="U1467" s="9"/>
      <c r="V1467" s="9"/>
      <c r="W1467" s="9"/>
      <c r="X1467" s="9"/>
      <c r="Y1467" s="9"/>
      <c r="Z1467" s="9"/>
      <c r="AA1467" s="9"/>
      <c r="AB1467" s="9"/>
      <c r="AC1467" s="9"/>
      <c r="AD1467" s="9" t="s">
        <v>19</v>
      </c>
    </row>
    <row r="1468" spans="1:30" ht="29">
      <c r="A1468" s="3" t="s">
        <v>3744</v>
      </c>
      <c r="B1468" s="3" t="s">
        <v>9683</v>
      </c>
      <c r="C1468" s="3" t="s">
        <v>9682</v>
      </c>
      <c r="G1468" s="9" t="s">
        <v>25</v>
      </c>
      <c r="H1468" s="9"/>
      <c r="I1468" s="9">
        <v>1</v>
      </c>
      <c r="J1468" s="9">
        <v>1</v>
      </c>
      <c r="K1468" s="9" t="s">
        <v>12078</v>
      </c>
      <c r="L1468" s="9" t="s">
        <v>12119</v>
      </c>
      <c r="M1468" s="9"/>
      <c r="N1468" s="10"/>
      <c r="O1468" s="9"/>
      <c r="P1468" s="9">
        <v>11843</v>
      </c>
      <c r="Q1468" s="9"/>
      <c r="R1468" s="9" t="s">
        <v>12795</v>
      </c>
      <c r="S1468" s="9" t="s">
        <v>12795</v>
      </c>
      <c r="T1468" s="9"/>
      <c r="U1468" s="9"/>
      <c r="V1468" s="9"/>
      <c r="W1468" s="9"/>
      <c r="X1468" s="9"/>
      <c r="Y1468" s="9"/>
      <c r="Z1468" s="9"/>
      <c r="AA1468" s="9"/>
      <c r="AB1468" s="9"/>
      <c r="AC1468" s="9"/>
      <c r="AD1468" s="9" t="s">
        <v>19</v>
      </c>
    </row>
    <row r="1469" spans="1:30" ht="29">
      <c r="A1469" s="3" t="s">
        <v>3745</v>
      </c>
      <c r="B1469" s="3" t="s">
        <v>9687</v>
      </c>
      <c r="C1469" s="3" t="s">
        <v>9684</v>
      </c>
      <c r="G1469" s="9" t="s">
        <v>25</v>
      </c>
      <c r="H1469" s="9"/>
      <c r="I1469" s="9">
        <v>1</v>
      </c>
      <c r="J1469" s="9">
        <v>1</v>
      </c>
      <c r="K1469" s="9" t="s">
        <v>12078</v>
      </c>
      <c r="L1469" s="9" t="s">
        <v>12119</v>
      </c>
      <c r="M1469" s="9"/>
      <c r="N1469" s="10"/>
      <c r="O1469" s="9"/>
      <c r="P1469" s="9">
        <v>11843</v>
      </c>
      <c r="Q1469" s="9"/>
      <c r="R1469" s="9" t="s">
        <v>12795</v>
      </c>
      <c r="S1469" s="9" t="s">
        <v>12795</v>
      </c>
      <c r="T1469" s="9"/>
      <c r="U1469" s="9"/>
      <c r="V1469" s="9"/>
      <c r="W1469" s="9"/>
      <c r="X1469" s="9"/>
      <c r="Y1469" s="9"/>
      <c r="Z1469" s="9"/>
      <c r="AA1469" s="9"/>
      <c r="AB1469" s="9"/>
      <c r="AC1469" s="9"/>
      <c r="AD1469" s="9" t="s">
        <v>19</v>
      </c>
    </row>
    <row r="1470" spans="1:30" ht="29">
      <c r="A1470" s="3" t="s">
        <v>3746</v>
      </c>
      <c r="B1470" s="3" t="s">
        <v>2919</v>
      </c>
      <c r="C1470" s="3" t="s">
        <v>3747</v>
      </c>
      <c r="G1470" s="9" t="s">
        <v>12118</v>
      </c>
      <c r="H1470" s="9"/>
      <c r="I1470" s="9"/>
      <c r="J1470" s="9"/>
      <c r="K1470" s="9"/>
      <c r="L1470" s="9"/>
      <c r="M1470" s="9"/>
      <c r="N1470" s="10"/>
      <c r="O1470" s="9"/>
      <c r="P1470" s="9"/>
      <c r="Q1470" s="9">
        <v>0</v>
      </c>
      <c r="R1470" s="9">
        <v>7</v>
      </c>
      <c r="S1470" s="9">
        <v>7</v>
      </c>
      <c r="T1470" s="9"/>
      <c r="U1470" s="9"/>
      <c r="V1470" s="9"/>
      <c r="W1470" s="9"/>
      <c r="X1470" s="9"/>
      <c r="Y1470" s="9"/>
      <c r="Z1470" s="9"/>
      <c r="AA1470" s="9"/>
      <c r="AB1470" s="9"/>
      <c r="AC1470" s="9"/>
      <c r="AD1470" s="9" t="s">
        <v>19</v>
      </c>
    </row>
    <row r="1471" spans="1:30" ht="29">
      <c r="A1471" s="3" t="s">
        <v>3748</v>
      </c>
      <c r="B1471" s="3" t="s">
        <v>9693</v>
      </c>
      <c r="C1471" s="3" t="s">
        <v>9692</v>
      </c>
      <c r="G1471" s="9" t="s">
        <v>24</v>
      </c>
      <c r="H1471" s="9"/>
      <c r="I1471" s="9">
        <v>1</v>
      </c>
      <c r="J1471" s="9">
        <v>1</v>
      </c>
      <c r="K1471" s="9" t="s">
        <v>12078</v>
      </c>
      <c r="L1471" s="9" t="s">
        <v>12119</v>
      </c>
      <c r="M1471" s="9"/>
      <c r="N1471" s="10"/>
      <c r="O1471" s="9"/>
      <c r="P1471" s="9">
        <v>11843</v>
      </c>
      <c r="Q1471" s="9"/>
      <c r="R1471" s="9" t="s">
        <v>12795</v>
      </c>
      <c r="S1471" s="9" t="s">
        <v>12795</v>
      </c>
      <c r="T1471" s="9"/>
      <c r="U1471" s="9"/>
      <c r="V1471" s="9"/>
      <c r="W1471" s="9"/>
      <c r="X1471" s="9"/>
      <c r="Y1471" s="9"/>
      <c r="Z1471" s="9"/>
      <c r="AA1471" s="9"/>
      <c r="AB1471" s="9"/>
      <c r="AC1471" s="9"/>
      <c r="AD1471" s="9" t="s">
        <v>19</v>
      </c>
    </row>
    <row r="1472" spans="1:30" ht="29">
      <c r="A1472" s="3" t="s">
        <v>3750</v>
      </c>
      <c r="B1472" s="3" t="s">
        <v>9697</v>
      </c>
      <c r="C1472" s="3" t="s">
        <v>9696</v>
      </c>
      <c r="G1472" s="9" t="s">
        <v>24</v>
      </c>
      <c r="H1472" s="9"/>
      <c r="I1472" s="9">
        <v>1</v>
      </c>
      <c r="J1472" s="9">
        <v>1</v>
      </c>
      <c r="K1472" s="9" t="s">
        <v>12078</v>
      </c>
      <c r="L1472" s="9" t="s">
        <v>12119</v>
      </c>
      <c r="M1472" s="9"/>
      <c r="N1472" s="10"/>
      <c r="O1472" s="9"/>
      <c r="P1472" s="9">
        <v>11843</v>
      </c>
      <c r="Q1472" s="9"/>
      <c r="R1472" s="9" t="s">
        <v>12795</v>
      </c>
      <c r="S1472" s="9" t="s">
        <v>12795</v>
      </c>
      <c r="T1472" s="9"/>
      <c r="U1472" s="9"/>
      <c r="V1472" s="9"/>
      <c r="W1472" s="9"/>
      <c r="X1472" s="9"/>
      <c r="Y1472" s="9"/>
      <c r="Z1472" s="9"/>
      <c r="AA1472" s="9"/>
      <c r="AB1472" s="9"/>
      <c r="AC1472" s="9"/>
      <c r="AD1472" s="9" t="s">
        <v>19</v>
      </c>
    </row>
    <row r="1473" spans="1:30" ht="29">
      <c r="A1473" s="3" t="s">
        <v>3750</v>
      </c>
      <c r="B1473" s="3" t="s">
        <v>9698</v>
      </c>
      <c r="C1473" s="3" t="s">
        <v>9699</v>
      </c>
      <c r="G1473" s="9" t="s">
        <v>25</v>
      </c>
      <c r="H1473" s="9"/>
      <c r="I1473" s="9">
        <v>1</v>
      </c>
      <c r="J1473" s="9">
        <v>2</v>
      </c>
      <c r="K1473" s="9" t="s">
        <v>12078</v>
      </c>
      <c r="L1473" s="9" t="s">
        <v>12119</v>
      </c>
      <c r="M1473" s="9"/>
      <c r="N1473" s="10"/>
      <c r="O1473" s="9"/>
      <c r="P1473" s="9">
        <v>11843</v>
      </c>
      <c r="Q1473" s="9"/>
      <c r="R1473" s="9" t="s">
        <v>12795</v>
      </c>
      <c r="S1473" s="9" t="s">
        <v>12795</v>
      </c>
      <c r="T1473" s="9"/>
      <c r="U1473" s="9"/>
      <c r="V1473" s="9"/>
      <c r="W1473" s="9"/>
      <c r="X1473" s="9"/>
      <c r="Y1473" s="9"/>
      <c r="Z1473" s="9"/>
      <c r="AA1473" s="9"/>
      <c r="AB1473" s="9"/>
      <c r="AC1473" s="9"/>
      <c r="AD1473" s="9" t="s">
        <v>20</v>
      </c>
    </row>
    <row r="1474" spans="1:30" ht="58">
      <c r="A1474" s="3" t="s">
        <v>3754</v>
      </c>
      <c r="B1474" s="3" t="s">
        <v>12503</v>
      </c>
      <c r="C1474" s="3" t="s">
        <v>12504</v>
      </c>
      <c r="G1474" s="9" t="s">
        <v>25</v>
      </c>
      <c r="H1474" s="9"/>
      <c r="I1474" s="9">
        <v>9</v>
      </c>
      <c r="J1474" s="9">
        <v>36</v>
      </c>
      <c r="K1474" s="9"/>
      <c r="L1474" s="9" t="s">
        <v>12073</v>
      </c>
      <c r="M1474" s="9" t="s">
        <v>12140</v>
      </c>
      <c r="N1474" s="10" t="s">
        <v>12417</v>
      </c>
      <c r="O1474" s="9"/>
      <c r="P1474" s="9">
        <v>75</v>
      </c>
      <c r="Q1474" s="9"/>
      <c r="R1474" s="9" t="s">
        <v>12795</v>
      </c>
      <c r="S1474" s="9" t="s">
        <v>12795</v>
      </c>
      <c r="T1474" s="9"/>
      <c r="U1474" s="9"/>
      <c r="V1474" s="9"/>
      <c r="W1474" s="9"/>
      <c r="X1474" s="9"/>
      <c r="Y1474" s="9"/>
      <c r="Z1474" s="9"/>
      <c r="AA1474" s="9"/>
      <c r="AB1474" s="9"/>
      <c r="AC1474" s="9"/>
      <c r="AD1474" s="9" t="s">
        <v>20</v>
      </c>
    </row>
    <row r="1475" spans="1:30" ht="43.5">
      <c r="A1475" s="3" t="s">
        <v>3755</v>
      </c>
      <c r="B1475" s="3" t="s">
        <v>9704</v>
      </c>
      <c r="C1475" s="3" t="s">
        <v>9705</v>
      </c>
      <c r="G1475" s="9" t="s">
        <v>26</v>
      </c>
      <c r="H1475" s="9"/>
      <c r="I1475" s="9"/>
      <c r="J1475" s="9"/>
      <c r="K1475" s="9"/>
      <c r="L1475" s="9"/>
      <c r="M1475" s="9"/>
      <c r="N1475" s="10"/>
      <c r="O1475" s="9"/>
      <c r="P1475" s="9"/>
      <c r="Q1475" s="9"/>
      <c r="R1475" s="9" t="s">
        <v>12795</v>
      </c>
      <c r="S1475" s="9" t="s">
        <v>12795</v>
      </c>
      <c r="T1475" s="9"/>
      <c r="U1475" s="9"/>
      <c r="V1475" s="9"/>
      <c r="W1475" s="9"/>
      <c r="X1475" s="9"/>
      <c r="Y1475" s="9"/>
      <c r="Z1475" s="9"/>
      <c r="AA1475" s="9"/>
      <c r="AB1475" s="9"/>
      <c r="AC1475" s="9"/>
      <c r="AD1475" s="9" t="s">
        <v>20</v>
      </c>
    </row>
    <row r="1476" spans="1:30" ht="29">
      <c r="A1476" s="3" t="s">
        <v>3761</v>
      </c>
      <c r="B1476" s="3" t="s">
        <v>5421</v>
      </c>
      <c r="C1476" s="3" t="s">
        <v>5422</v>
      </c>
      <c r="G1476" s="9" t="s">
        <v>25</v>
      </c>
      <c r="H1476" s="9"/>
      <c r="I1476" s="9">
        <v>1</v>
      </c>
      <c r="J1476" s="9">
        <v>5</v>
      </c>
      <c r="K1476" s="9" t="s">
        <v>12094</v>
      </c>
      <c r="L1476" s="9" t="s">
        <v>12079</v>
      </c>
      <c r="M1476" s="9"/>
      <c r="N1476" s="10"/>
      <c r="O1476" s="9"/>
      <c r="P1476" s="9">
        <v>4240</v>
      </c>
      <c r="Q1476" s="9"/>
      <c r="R1476" s="9" t="s">
        <v>12795</v>
      </c>
      <c r="S1476" s="9" t="s">
        <v>12795</v>
      </c>
      <c r="T1476" s="9"/>
      <c r="U1476" s="9"/>
      <c r="V1476" s="9"/>
      <c r="W1476" s="9"/>
      <c r="X1476" s="9"/>
      <c r="Y1476" s="9"/>
      <c r="Z1476" s="9"/>
      <c r="AA1476" s="9"/>
      <c r="AB1476" s="9"/>
      <c r="AC1476" s="9"/>
      <c r="AD1476" s="9" t="s">
        <v>19</v>
      </c>
    </row>
    <row r="1477" spans="1:30" ht="29">
      <c r="A1477" s="3" t="s">
        <v>3762</v>
      </c>
      <c r="B1477" s="3" t="s">
        <v>9719</v>
      </c>
      <c r="C1477" s="3" t="s">
        <v>9720</v>
      </c>
      <c r="G1477" s="9" t="s">
        <v>12120</v>
      </c>
      <c r="H1477" s="9"/>
      <c r="I1477" s="9"/>
      <c r="J1477" s="9"/>
      <c r="K1477" s="9"/>
      <c r="L1477" s="9"/>
      <c r="M1477" s="9"/>
      <c r="N1477" s="10"/>
      <c r="O1477" s="9"/>
      <c r="P1477" s="9"/>
      <c r="Q1477" s="9"/>
      <c r="R1477" s="9" t="s">
        <v>12795</v>
      </c>
      <c r="S1477" s="9" t="s">
        <v>12795</v>
      </c>
      <c r="T1477" s="9"/>
      <c r="U1477" s="9"/>
      <c r="V1477" s="9"/>
      <c r="W1477" s="9"/>
      <c r="X1477" s="9"/>
      <c r="Y1477" s="9"/>
      <c r="Z1477" s="9"/>
      <c r="AA1477" s="9"/>
      <c r="AB1477" s="9"/>
      <c r="AC1477" s="9"/>
      <c r="AD1477" s="9" t="s">
        <v>20</v>
      </c>
    </row>
    <row r="1478" spans="1:30" ht="29">
      <c r="A1478" s="3" t="s">
        <v>3763</v>
      </c>
      <c r="B1478" s="3" t="s">
        <v>9724</v>
      </c>
      <c r="C1478" s="3" t="s">
        <v>9725</v>
      </c>
      <c r="G1478" s="9" t="s">
        <v>12120</v>
      </c>
      <c r="H1478" s="9"/>
      <c r="I1478" s="9"/>
      <c r="J1478" s="9"/>
      <c r="K1478" s="9"/>
      <c r="L1478" s="9"/>
      <c r="M1478" s="9"/>
      <c r="N1478" s="10"/>
      <c r="O1478" s="9"/>
      <c r="P1478" s="9"/>
      <c r="Q1478" s="9"/>
      <c r="R1478" s="9" t="s">
        <v>12795</v>
      </c>
      <c r="S1478" s="9" t="s">
        <v>12795</v>
      </c>
      <c r="T1478" s="9"/>
      <c r="U1478" s="9"/>
      <c r="V1478" s="9"/>
      <c r="W1478" s="9"/>
      <c r="X1478" s="9"/>
      <c r="Y1478" s="9"/>
      <c r="Z1478" s="9"/>
      <c r="AA1478" s="9"/>
      <c r="AB1478" s="9"/>
      <c r="AC1478" s="9"/>
      <c r="AD1478" s="9" t="s">
        <v>19</v>
      </c>
    </row>
    <row r="1479" spans="1:30" ht="29">
      <c r="A1479" s="3" t="s">
        <v>3763</v>
      </c>
      <c r="B1479" s="3" t="s">
        <v>9729</v>
      </c>
      <c r="C1479" s="3" t="s">
        <v>9728</v>
      </c>
      <c r="G1479" s="9" t="s">
        <v>24</v>
      </c>
      <c r="H1479" s="9"/>
      <c r="I1479" s="9">
        <v>1</v>
      </c>
      <c r="J1479" s="9">
        <v>2</v>
      </c>
      <c r="K1479" s="9" t="s">
        <v>12094</v>
      </c>
      <c r="L1479" s="9" t="s">
        <v>12119</v>
      </c>
      <c r="M1479" s="9"/>
      <c r="N1479" s="10"/>
      <c r="O1479" s="9"/>
      <c r="P1479" s="9">
        <v>412</v>
      </c>
      <c r="Q1479" s="9"/>
      <c r="R1479" s="9" t="s">
        <v>12795</v>
      </c>
      <c r="S1479" s="9" t="s">
        <v>12795</v>
      </c>
      <c r="T1479" s="9" t="s">
        <v>4</v>
      </c>
      <c r="U1479" s="9"/>
      <c r="V1479" s="9"/>
      <c r="W1479" s="9"/>
      <c r="X1479" s="9"/>
      <c r="Y1479" s="9"/>
      <c r="Z1479" s="9"/>
      <c r="AA1479" s="9"/>
      <c r="AB1479" s="9"/>
      <c r="AC1479" s="9"/>
      <c r="AD1479" s="9" t="s">
        <v>19</v>
      </c>
    </row>
    <row r="1480" spans="1:30" ht="29">
      <c r="A1480" s="3" t="s">
        <v>3765</v>
      </c>
      <c r="B1480" s="11" t="s">
        <v>9733</v>
      </c>
      <c r="C1480" s="11" t="s">
        <v>9732</v>
      </c>
      <c r="G1480" s="9" t="s">
        <v>24</v>
      </c>
      <c r="H1480" s="9"/>
      <c r="I1480" s="9">
        <v>1</v>
      </c>
      <c r="J1480" s="9">
        <v>4</v>
      </c>
      <c r="K1480" s="9" t="s">
        <v>12099</v>
      </c>
      <c r="L1480" s="9" t="s">
        <v>12079</v>
      </c>
      <c r="M1480" s="9"/>
      <c r="N1480" s="10"/>
      <c r="O1480" s="9"/>
      <c r="P1480" s="9">
        <v>101</v>
      </c>
      <c r="Q1480" s="9"/>
      <c r="R1480" s="9" t="s">
        <v>12795</v>
      </c>
      <c r="S1480" s="9" t="s">
        <v>12795</v>
      </c>
      <c r="T1480" s="9"/>
      <c r="U1480" s="9"/>
      <c r="V1480" s="9"/>
      <c r="W1480" s="9"/>
      <c r="X1480" s="9"/>
      <c r="Y1480" s="9"/>
      <c r="Z1480" s="9"/>
      <c r="AA1480" s="9"/>
      <c r="AB1480" s="9"/>
      <c r="AC1480" s="9"/>
      <c r="AD1480" s="9" t="s">
        <v>19</v>
      </c>
    </row>
    <row r="1481" spans="1:30">
      <c r="A1481" s="3" t="s">
        <v>3775</v>
      </c>
      <c r="B1481" s="3" t="s">
        <v>9748</v>
      </c>
      <c r="C1481" s="3" t="s">
        <v>9747</v>
      </c>
      <c r="G1481" s="9" t="s">
        <v>24</v>
      </c>
      <c r="H1481" s="9"/>
      <c r="I1481" s="9">
        <v>1</v>
      </c>
      <c r="J1481" s="9">
        <v>2</v>
      </c>
      <c r="K1481" s="9" t="s">
        <v>12096</v>
      </c>
      <c r="L1481" s="9" t="s">
        <v>12119</v>
      </c>
      <c r="M1481" s="9"/>
      <c r="N1481" s="10"/>
      <c r="O1481" s="9" t="s">
        <v>12074</v>
      </c>
      <c r="P1481" s="9">
        <v>1294</v>
      </c>
      <c r="Q1481" s="9"/>
      <c r="R1481" s="9" t="s">
        <v>12795</v>
      </c>
      <c r="S1481" s="9" t="s">
        <v>12795</v>
      </c>
      <c r="T1481" s="9"/>
      <c r="U1481" s="9"/>
      <c r="V1481" s="9"/>
      <c r="W1481" s="9"/>
      <c r="X1481" s="9"/>
      <c r="Y1481" s="9"/>
      <c r="Z1481" s="9"/>
      <c r="AA1481" s="9"/>
      <c r="AB1481" s="9"/>
      <c r="AC1481" s="9"/>
      <c r="AD1481" s="9" t="s">
        <v>20</v>
      </c>
    </row>
    <row r="1482" spans="1:30" ht="43.5">
      <c r="A1482" s="3" t="s">
        <v>3775</v>
      </c>
      <c r="B1482" s="3" t="s">
        <v>9751</v>
      </c>
      <c r="C1482" s="3" t="s">
        <v>9752</v>
      </c>
      <c r="G1482" s="9" t="s">
        <v>12118</v>
      </c>
      <c r="H1482" s="9"/>
      <c r="I1482" s="9"/>
      <c r="J1482" s="9"/>
      <c r="K1482" s="9"/>
      <c r="L1482" s="9"/>
      <c r="M1482" s="9"/>
      <c r="N1482" s="10"/>
      <c r="O1482" s="9"/>
      <c r="P1482" s="9"/>
      <c r="Q1482" s="9">
        <v>10913</v>
      </c>
      <c r="R1482" s="9">
        <v>930</v>
      </c>
      <c r="S1482" s="9">
        <v>11843</v>
      </c>
      <c r="T1482" s="9"/>
      <c r="U1482" s="9"/>
      <c r="V1482" s="9"/>
      <c r="W1482" s="9"/>
      <c r="X1482" s="9"/>
      <c r="Y1482" s="9"/>
      <c r="Z1482" s="9"/>
      <c r="AA1482" s="9"/>
      <c r="AB1482" s="9"/>
      <c r="AC1482" s="9"/>
      <c r="AD1482" s="9" t="s">
        <v>20</v>
      </c>
    </row>
    <row r="1483" spans="1:30">
      <c r="A1483" s="3" t="s">
        <v>3777</v>
      </c>
      <c r="B1483" s="3" t="s">
        <v>9760</v>
      </c>
      <c r="C1483" s="3" t="s">
        <v>9761</v>
      </c>
      <c r="G1483" s="9" t="s">
        <v>12120</v>
      </c>
      <c r="H1483" s="9"/>
      <c r="I1483" s="9"/>
      <c r="J1483" s="9"/>
      <c r="K1483" s="9"/>
      <c r="L1483" s="9"/>
      <c r="M1483" s="9"/>
      <c r="N1483" s="10"/>
      <c r="O1483" s="9"/>
      <c r="P1483" s="9"/>
      <c r="Q1483" s="9"/>
      <c r="R1483" s="9" t="s">
        <v>12795</v>
      </c>
      <c r="S1483" s="9" t="s">
        <v>12795</v>
      </c>
      <c r="T1483" s="9"/>
      <c r="U1483" s="9"/>
      <c r="V1483" s="9"/>
      <c r="W1483" s="9"/>
      <c r="X1483" s="9"/>
      <c r="Y1483" s="9"/>
      <c r="Z1483" s="9"/>
      <c r="AA1483" s="9"/>
      <c r="AB1483" s="9"/>
      <c r="AC1483" s="9"/>
      <c r="AD1483" s="9" t="s">
        <v>20</v>
      </c>
    </row>
    <row r="1484" spans="1:30" ht="29">
      <c r="A1484" s="3" t="s">
        <v>3778</v>
      </c>
      <c r="B1484" s="3" t="s">
        <v>9762</v>
      </c>
      <c r="C1484" s="3" t="s">
        <v>12506</v>
      </c>
      <c r="G1484" s="9" t="s">
        <v>12118</v>
      </c>
      <c r="H1484" s="9"/>
      <c r="I1484" s="9"/>
      <c r="J1484" s="9"/>
      <c r="K1484" s="9"/>
      <c r="L1484" s="9"/>
      <c r="M1484" s="9"/>
      <c r="N1484" s="10"/>
      <c r="O1484" s="9"/>
      <c r="P1484" s="9"/>
      <c r="Q1484" s="9">
        <v>930</v>
      </c>
      <c r="R1484" s="9">
        <v>0</v>
      </c>
      <c r="S1484" s="9">
        <v>930</v>
      </c>
      <c r="T1484" s="9"/>
      <c r="U1484" s="9"/>
      <c r="V1484" s="9"/>
      <c r="W1484" s="9"/>
      <c r="X1484" s="9"/>
      <c r="Y1484" s="9"/>
      <c r="Z1484" s="9"/>
      <c r="AA1484" s="9"/>
      <c r="AB1484" s="9"/>
      <c r="AC1484" s="9"/>
      <c r="AD1484" s="9" t="s">
        <v>20</v>
      </c>
    </row>
    <row r="1485" spans="1:30">
      <c r="A1485" s="3" t="s">
        <v>3778</v>
      </c>
      <c r="B1485" s="3" t="s">
        <v>3779</v>
      </c>
      <c r="C1485" s="3" t="s">
        <v>3780</v>
      </c>
      <c r="G1485" s="9" t="s">
        <v>12118</v>
      </c>
      <c r="H1485" s="9"/>
      <c r="I1485" s="9"/>
      <c r="J1485" s="9"/>
      <c r="K1485" s="9"/>
      <c r="L1485" s="9"/>
      <c r="M1485" s="9"/>
      <c r="N1485" s="10"/>
      <c r="O1485" s="9"/>
      <c r="P1485" s="9"/>
      <c r="Q1485" s="9">
        <v>3</v>
      </c>
      <c r="R1485" s="9">
        <v>1</v>
      </c>
      <c r="S1485" s="9">
        <v>4</v>
      </c>
      <c r="T1485" s="9"/>
      <c r="U1485" s="9"/>
      <c r="V1485" s="9"/>
      <c r="W1485" s="9"/>
      <c r="X1485" s="9"/>
      <c r="Y1485" s="9"/>
      <c r="Z1485" s="9"/>
      <c r="AA1485" s="9"/>
      <c r="AB1485" s="9"/>
      <c r="AC1485" s="9"/>
      <c r="AD1485" s="9" t="s">
        <v>19</v>
      </c>
    </row>
    <row r="1486" spans="1:30" ht="29">
      <c r="A1486" s="3" t="s">
        <v>3782</v>
      </c>
      <c r="B1486" s="3" t="s">
        <v>9765</v>
      </c>
      <c r="C1486" s="3" t="s">
        <v>9764</v>
      </c>
      <c r="G1486" s="9" t="s">
        <v>25</v>
      </c>
      <c r="H1486" s="9"/>
      <c r="I1486" s="9">
        <v>1</v>
      </c>
      <c r="J1486" s="9">
        <v>5</v>
      </c>
      <c r="K1486" s="9" t="s">
        <v>12094</v>
      </c>
      <c r="L1486" s="9" t="s">
        <v>12073</v>
      </c>
      <c r="M1486" s="9" t="s">
        <v>12142</v>
      </c>
      <c r="N1486" s="10" t="s">
        <v>12143</v>
      </c>
      <c r="O1486" s="9"/>
      <c r="P1486" s="9">
        <v>4240</v>
      </c>
      <c r="Q1486" s="9"/>
      <c r="R1486" s="9" t="s">
        <v>12795</v>
      </c>
      <c r="S1486" s="9" t="s">
        <v>12795</v>
      </c>
      <c r="T1486" s="9"/>
      <c r="U1486" s="9"/>
      <c r="V1486" s="9"/>
      <c r="W1486" s="9"/>
      <c r="X1486" s="9"/>
      <c r="Y1486" s="9"/>
      <c r="Z1486" s="9"/>
      <c r="AA1486" s="9"/>
      <c r="AB1486" s="9"/>
      <c r="AC1486" s="9"/>
      <c r="AD1486" s="9" t="s">
        <v>20</v>
      </c>
    </row>
    <row r="1487" spans="1:30" ht="29">
      <c r="A1487" s="3" t="s">
        <v>3788</v>
      </c>
      <c r="B1487" s="3" t="s">
        <v>9772</v>
      </c>
      <c r="C1487" s="3" t="s">
        <v>9773</v>
      </c>
      <c r="G1487" s="9" t="s">
        <v>24</v>
      </c>
      <c r="H1487" s="9"/>
      <c r="I1487" s="9">
        <v>1</v>
      </c>
      <c r="J1487" s="9">
        <v>3</v>
      </c>
      <c r="K1487" s="9" t="s">
        <v>12087</v>
      </c>
      <c r="L1487" s="9" t="s">
        <v>12079</v>
      </c>
      <c r="M1487" s="9"/>
      <c r="N1487" s="10"/>
      <c r="O1487" s="9"/>
      <c r="P1487" s="9">
        <v>5676</v>
      </c>
      <c r="Q1487" s="9"/>
      <c r="R1487" s="9" t="s">
        <v>12795</v>
      </c>
      <c r="S1487" s="9" t="s">
        <v>12795</v>
      </c>
      <c r="T1487" s="9"/>
      <c r="U1487" s="9"/>
      <c r="V1487" s="9"/>
      <c r="W1487" s="9"/>
      <c r="X1487" s="9"/>
      <c r="Y1487" s="9"/>
      <c r="Z1487" s="9"/>
      <c r="AA1487" s="9"/>
      <c r="AB1487" s="9"/>
      <c r="AC1487" s="9"/>
      <c r="AD1487" s="9" t="s">
        <v>19</v>
      </c>
    </row>
    <row r="1488" spans="1:30">
      <c r="A1488" s="3" t="s">
        <v>3797</v>
      </c>
      <c r="B1488" s="3" t="s">
        <v>9792</v>
      </c>
      <c r="C1488" s="3" t="s">
        <v>9791</v>
      </c>
      <c r="G1488" s="9" t="s">
        <v>12118</v>
      </c>
      <c r="H1488" s="9"/>
      <c r="I1488" s="9"/>
      <c r="J1488" s="9"/>
      <c r="K1488" s="9"/>
      <c r="L1488" s="9"/>
      <c r="M1488" s="9"/>
      <c r="N1488" s="10"/>
      <c r="O1488" s="9"/>
      <c r="P1488" s="9"/>
      <c r="Q1488" s="9">
        <v>-3710</v>
      </c>
      <c r="R1488" s="9">
        <v>5676</v>
      </c>
      <c r="S1488" s="9">
        <v>1966</v>
      </c>
      <c r="T1488" s="9"/>
      <c r="U1488" s="9"/>
      <c r="V1488" s="9"/>
      <c r="W1488" s="9"/>
      <c r="X1488" s="9"/>
      <c r="Y1488" s="9"/>
      <c r="Z1488" s="9"/>
      <c r="AA1488" s="9"/>
      <c r="AB1488" s="9"/>
      <c r="AC1488" s="9"/>
      <c r="AD1488" s="9" t="s">
        <v>20</v>
      </c>
    </row>
    <row r="1489" spans="1:30">
      <c r="A1489" s="3" t="s">
        <v>3799</v>
      </c>
      <c r="B1489" s="3" t="s">
        <v>9802</v>
      </c>
      <c r="C1489" s="3" t="s">
        <v>9801</v>
      </c>
      <c r="G1489" s="9" t="s">
        <v>25</v>
      </c>
      <c r="H1489" s="9"/>
      <c r="I1489" s="9">
        <v>1</v>
      </c>
      <c r="J1489" s="9">
        <v>3</v>
      </c>
      <c r="K1489" s="9" t="s">
        <v>12092</v>
      </c>
      <c r="L1489" s="9" t="s">
        <v>12079</v>
      </c>
      <c r="M1489" s="9"/>
      <c r="N1489" s="10"/>
      <c r="O1489" s="9"/>
      <c r="P1489" s="9">
        <v>79</v>
      </c>
      <c r="Q1489" s="9"/>
      <c r="R1489" s="9" t="s">
        <v>12795</v>
      </c>
      <c r="S1489" s="9" t="s">
        <v>12795</v>
      </c>
      <c r="T1489" s="9"/>
      <c r="U1489" s="9"/>
      <c r="V1489" s="9"/>
      <c r="W1489" s="9"/>
      <c r="X1489" s="9"/>
      <c r="Y1489" s="9"/>
      <c r="Z1489" s="9"/>
      <c r="AA1489" s="9"/>
      <c r="AB1489" s="9"/>
      <c r="AC1489" s="9"/>
      <c r="AD1489" s="9" t="s">
        <v>19</v>
      </c>
    </row>
    <row r="1490" spans="1:30" ht="29">
      <c r="A1490" s="3" t="s">
        <v>3805</v>
      </c>
      <c r="B1490" s="3" t="s">
        <v>9808</v>
      </c>
      <c r="C1490" s="3" t="s">
        <v>9807</v>
      </c>
      <c r="D1490" t="s">
        <v>12</v>
      </c>
      <c r="G1490" s="9" t="s">
        <v>25</v>
      </c>
      <c r="H1490" s="9"/>
      <c r="I1490" s="9">
        <v>2</v>
      </c>
      <c r="J1490" s="9">
        <v>9</v>
      </c>
      <c r="K1490" s="9"/>
      <c r="L1490" s="9" t="s">
        <v>12079</v>
      </c>
      <c r="M1490" s="9"/>
      <c r="N1490" s="10"/>
      <c r="O1490" s="9"/>
      <c r="P1490" s="9">
        <v>17</v>
      </c>
      <c r="Q1490" s="9"/>
      <c r="R1490" s="9" t="s">
        <v>12795</v>
      </c>
      <c r="S1490" s="9" t="s">
        <v>12795</v>
      </c>
      <c r="T1490" s="9"/>
      <c r="U1490" s="9"/>
      <c r="V1490" s="9"/>
      <c r="W1490" s="9"/>
      <c r="X1490" s="9"/>
      <c r="Y1490" s="9"/>
      <c r="Z1490" s="9"/>
      <c r="AA1490" s="9"/>
      <c r="AB1490" s="9"/>
      <c r="AC1490" s="9"/>
      <c r="AD1490" s="9" t="s">
        <v>19</v>
      </c>
    </row>
    <row r="1491" spans="1:30">
      <c r="A1491" s="3" t="s">
        <v>3817</v>
      </c>
      <c r="B1491" s="3" t="s">
        <v>9829</v>
      </c>
      <c r="C1491" s="3" t="s">
        <v>9830</v>
      </c>
      <c r="G1491" s="9" t="s">
        <v>12118</v>
      </c>
      <c r="H1491" s="9"/>
      <c r="I1491" s="9"/>
      <c r="J1491" s="9"/>
      <c r="K1491" s="9"/>
      <c r="L1491" s="9"/>
      <c r="M1491" s="9"/>
      <c r="N1491" s="10"/>
      <c r="O1491" s="9"/>
      <c r="P1491" s="9"/>
      <c r="Q1491" s="9">
        <v>560</v>
      </c>
      <c r="R1491" s="9">
        <v>31</v>
      </c>
      <c r="S1491" s="9">
        <v>591</v>
      </c>
      <c r="T1491" s="9"/>
      <c r="U1491" s="9"/>
      <c r="V1491" s="9"/>
      <c r="W1491" s="9"/>
      <c r="X1491" s="9"/>
      <c r="Y1491" s="9"/>
      <c r="Z1491" s="9"/>
      <c r="AA1491" s="9"/>
      <c r="AB1491" s="9"/>
      <c r="AC1491" s="9"/>
      <c r="AD1491" s="9" t="s">
        <v>19</v>
      </c>
    </row>
    <row r="1492" spans="1:30" ht="43.5">
      <c r="A1492" s="3" t="s">
        <v>3820</v>
      </c>
      <c r="B1492" s="3" t="s">
        <v>9842</v>
      </c>
      <c r="C1492" s="3" t="s">
        <v>9843</v>
      </c>
      <c r="G1492" s="9" t="s">
        <v>24</v>
      </c>
      <c r="H1492" s="9"/>
      <c r="I1492" s="9">
        <v>1</v>
      </c>
      <c r="J1492" s="9">
        <v>2</v>
      </c>
      <c r="K1492" s="9" t="s">
        <v>12087</v>
      </c>
      <c r="L1492" s="9" t="s">
        <v>12119</v>
      </c>
      <c r="M1492" s="9"/>
      <c r="N1492" s="10"/>
      <c r="O1492" s="9"/>
      <c r="P1492" s="9">
        <v>166</v>
      </c>
      <c r="Q1492" s="9"/>
      <c r="R1492" s="9" t="s">
        <v>12795</v>
      </c>
      <c r="S1492" s="9" t="s">
        <v>12795</v>
      </c>
      <c r="T1492" s="9"/>
      <c r="U1492" s="9"/>
      <c r="V1492" s="9"/>
      <c r="W1492" s="9"/>
      <c r="X1492" s="9"/>
      <c r="Y1492" s="9"/>
      <c r="Z1492" s="9"/>
      <c r="AA1492" s="9"/>
      <c r="AB1492" s="9"/>
      <c r="AC1492" s="9"/>
      <c r="AD1492" s="9" t="s">
        <v>19</v>
      </c>
    </row>
    <row r="1493" spans="1:30">
      <c r="A1493" s="3" t="s">
        <v>3824</v>
      </c>
      <c r="B1493" s="3" t="s">
        <v>9853</v>
      </c>
      <c r="C1493" s="3" t="s">
        <v>9852</v>
      </c>
      <c r="G1493" s="9" t="s">
        <v>25</v>
      </c>
      <c r="H1493" s="9"/>
      <c r="I1493" s="9">
        <v>1</v>
      </c>
      <c r="J1493" s="9">
        <v>3</v>
      </c>
      <c r="K1493" s="9" t="s">
        <v>12087</v>
      </c>
      <c r="L1493" s="9" t="s">
        <v>12079</v>
      </c>
      <c r="M1493" s="9"/>
      <c r="N1493" s="10"/>
      <c r="O1493" s="9"/>
      <c r="P1493" s="9">
        <v>5676</v>
      </c>
      <c r="Q1493" s="9"/>
      <c r="R1493" s="9" t="s">
        <v>12795</v>
      </c>
      <c r="S1493" s="9" t="s">
        <v>12795</v>
      </c>
      <c r="T1493" s="9"/>
      <c r="U1493" s="9"/>
      <c r="V1493" s="9"/>
      <c r="W1493" s="9"/>
      <c r="X1493" s="9"/>
      <c r="Y1493" s="9"/>
      <c r="Z1493" s="9"/>
      <c r="AA1493" s="9"/>
      <c r="AB1493" s="9"/>
      <c r="AC1493" s="9"/>
      <c r="AD1493" s="9" t="s">
        <v>19</v>
      </c>
    </row>
    <row r="1494" spans="1:30" ht="43.5">
      <c r="A1494" s="3" t="s">
        <v>3826</v>
      </c>
      <c r="B1494" s="3" t="s">
        <v>9861</v>
      </c>
      <c r="C1494" s="3" t="s">
        <v>9862</v>
      </c>
      <c r="G1494" s="9" t="s">
        <v>26</v>
      </c>
      <c r="H1494" s="9"/>
      <c r="I1494" s="9"/>
      <c r="J1494" s="9"/>
      <c r="K1494" s="9"/>
      <c r="L1494" s="9"/>
      <c r="M1494" s="9"/>
      <c r="N1494" s="10"/>
      <c r="O1494" s="9"/>
      <c r="P1494" s="9"/>
      <c r="Q1494" s="9"/>
      <c r="R1494" s="9" t="s">
        <v>12795</v>
      </c>
      <c r="S1494" s="9" t="s">
        <v>12795</v>
      </c>
      <c r="T1494" s="9"/>
      <c r="U1494" s="9"/>
      <c r="V1494" s="9"/>
      <c r="W1494" s="9"/>
      <c r="X1494" s="9"/>
      <c r="Y1494" s="9"/>
      <c r="Z1494" s="9"/>
      <c r="AA1494" s="9"/>
      <c r="AB1494" s="9"/>
      <c r="AC1494" s="9"/>
      <c r="AD1494" s="9" t="s">
        <v>20</v>
      </c>
    </row>
    <row r="1495" spans="1:30" ht="43.5">
      <c r="A1495" s="3" t="s">
        <v>3830</v>
      </c>
      <c r="B1495" s="3" t="s">
        <v>9867</v>
      </c>
      <c r="C1495" s="3" t="s">
        <v>12508</v>
      </c>
      <c r="G1495" s="9" t="s">
        <v>12120</v>
      </c>
      <c r="H1495" s="9"/>
      <c r="I1495" s="9"/>
      <c r="J1495" s="9"/>
      <c r="K1495" s="9"/>
      <c r="L1495" s="9"/>
      <c r="M1495" s="9"/>
      <c r="N1495" s="10"/>
      <c r="O1495" s="9"/>
      <c r="P1495" s="9"/>
      <c r="Q1495" s="9"/>
      <c r="R1495" s="9" t="s">
        <v>12795</v>
      </c>
      <c r="S1495" s="9" t="s">
        <v>12795</v>
      </c>
      <c r="T1495" s="9"/>
      <c r="U1495" s="9"/>
      <c r="V1495" s="9"/>
      <c r="W1495" s="9"/>
      <c r="X1495" s="9"/>
      <c r="Y1495" s="9"/>
      <c r="Z1495" s="9"/>
      <c r="AA1495" s="9"/>
      <c r="AB1495" s="9"/>
      <c r="AC1495" s="9"/>
      <c r="AD1495" s="9" t="s">
        <v>19</v>
      </c>
    </row>
    <row r="1496" spans="1:30" ht="43.5">
      <c r="A1496" s="3" t="s">
        <v>3830</v>
      </c>
      <c r="B1496" s="3" t="s">
        <v>12507</v>
      </c>
      <c r="C1496" s="3" t="s">
        <v>12509</v>
      </c>
      <c r="G1496" s="9" t="s">
        <v>24</v>
      </c>
      <c r="H1496" s="9"/>
      <c r="I1496" s="9">
        <v>1</v>
      </c>
      <c r="J1496" s="9">
        <v>3</v>
      </c>
      <c r="K1496" s="9" t="s">
        <v>12087</v>
      </c>
      <c r="L1496" s="9" t="s">
        <v>12079</v>
      </c>
      <c r="M1496" s="9"/>
      <c r="N1496" s="10"/>
      <c r="O1496" s="9"/>
      <c r="P1496" s="9">
        <v>431</v>
      </c>
      <c r="Q1496" s="9"/>
      <c r="R1496" s="9" t="s">
        <v>12795</v>
      </c>
      <c r="S1496" s="9" t="s">
        <v>12795</v>
      </c>
      <c r="T1496" s="9"/>
      <c r="U1496" s="9"/>
      <c r="V1496" s="9"/>
      <c r="W1496" s="9"/>
      <c r="X1496" s="9"/>
      <c r="Y1496" s="9"/>
      <c r="Z1496" s="9"/>
      <c r="AA1496" s="9"/>
      <c r="AB1496" s="9"/>
      <c r="AC1496" s="9"/>
      <c r="AD1496" s="9" t="s">
        <v>19</v>
      </c>
    </row>
    <row r="1497" spans="1:30" ht="43.5">
      <c r="A1497" s="3" t="s">
        <v>3830</v>
      </c>
      <c r="B1497" s="3" t="s">
        <v>9868</v>
      </c>
      <c r="C1497" s="3" t="s">
        <v>9869</v>
      </c>
      <c r="G1497" s="9" t="s">
        <v>26</v>
      </c>
      <c r="H1497" s="9"/>
      <c r="I1497" s="9"/>
      <c r="J1497" s="9"/>
      <c r="K1497" s="9"/>
      <c r="L1497" s="9"/>
      <c r="M1497" s="9"/>
      <c r="N1497" s="10"/>
      <c r="O1497" s="9"/>
      <c r="P1497" s="9"/>
      <c r="Q1497" s="9"/>
      <c r="R1497" s="9" t="s">
        <v>12795</v>
      </c>
      <c r="S1497" s="9" t="s">
        <v>12795</v>
      </c>
      <c r="T1497" s="9"/>
      <c r="U1497" s="9"/>
      <c r="V1497" s="9"/>
      <c r="W1497" s="9"/>
      <c r="X1497" s="9"/>
      <c r="Y1497" s="9"/>
      <c r="Z1497" s="9"/>
      <c r="AA1497" s="9"/>
      <c r="AB1497" s="9"/>
      <c r="AC1497" s="9"/>
      <c r="AD1497" s="9" t="s">
        <v>19</v>
      </c>
    </row>
    <row r="1498" spans="1:30" ht="29">
      <c r="A1498" s="3" t="s">
        <v>3831</v>
      </c>
      <c r="B1498" s="3" t="s">
        <v>9871</v>
      </c>
      <c r="C1498" s="3" t="s">
        <v>9870</v>
      </c>
      <c r="G1498" s="9" t="s">
        <v>24</v>
      </c>
      <c r="H1498" s="9"/>
      <c r="I1498" s="9">
        <v>1</v>
      </c>
      <c r="J1498" s="9">
        <v>4</v>
      </c>
      <c r="K1498" s="9" t="s">
        <v>12092</v>
      </c>
      <c r="L1498" s="9" t="s">
        <v>12079</v>
      </c>
      <c r="M1498" s="9"/>
      <c r="N1498" s="10"/>
      <c r="O1498" s="9"/>
      <c r="P1498" s="9">
        <v>1</v>
      </c>
      <c r="Q1498" s="9"/>
      <c r="R1498" s="9" t="s">
        <v>12795</v>
      </c>
      <c r="S1498" s="9" t="s">
        <v>12795</v>
      </c>
      <c r="T1498" s="9"/>
      <c r="U1498" s="9"/>
      <c r="V1498" s="9"/>
      <c r="W1498" s="9"/>
      <c r="X1498" s="9"/>
      <c r="Y1498" s="9"/>
      <c r="Z1498" s="9"/>
      <c r="AA1498" s="9"/>
      <c r="AB1498" s="9"/>
      <c r="AC1498" s="9"/>
      <c r="AD1498" s="9" t="s">
        <v>19</v>
      </c>
    </row>
    <row r="1499" spans="1:30">
      <c r="A1499" s="3" t="s">
        <v>3832</v>
      </c>
      <c r="B1499" s="3" t="s">
        <v>12510</v>
      </c>
      <c r="C1499" s="3" t="s">
        <v>12511</v>
      </c>
      <c r="G1499" s="9" t="s">
        <v>12118</v>
      </c>
      <c r="H1499" s="9"/>
      <c r="I1499" s="9"/>
      <c r="J1499" s="9"/>
      <c r="K1499" s="9"/>
      <c r="L1499" s="9"/>
      <c r="M1499" s="9"/>
      <c r="N1499" s="10"/>
      <c r="O1499" s="9"/>
      <c r="P1499" s="9"/>
      <c r="Q1499" s="9">
        <v>111</v>
      </c>
      <c r="R1499" s="9">
        <v>361</v>
      </c>
      <c r="S1499" s="9">
        <v>472</v>
      </c>
      <c r="T1499" s="9"/>
      <c r="U1499" s="9"/>
      <c r="V1499" s="9"/>
      <c r="W1499" s="9"/>
      <c r="X1499" s="9"/>
      <c r="Y1499" s="9"/>
      <c r="Z1499" s="9"/>
      <c r="AA1499" s="9"/>
      <c r="AB1499" s="9"/>
      <c r="AC1499" s="9"/>
      <c r="AD1499" s="9" t="s">
        <v>19</v>
      </c>
    </row>
    <row r="1500" spans="1:30">
      <c r="A1500" s="3" t="s">
        <v>3832</v>
      </c>
      <c r="B1500" s="3" t="s">
        <v>9872</v>
      </c>
      <c r="C1500" s="3" t="s">
        <v>12512</v>
      </c>
      <c r="G1500" s="9" t="s">
        <v>24</v>
      </c>
      <c r="H1500" s="9"/>
      <c r="I1500" s="9">
        <v>1</v>
      </c>
      <c r="J1500" s="9">
        <v>1</v>
      </c>
      <c r="K1500" s="9" t="s">
        <v>12078</v>
      </c>
      <c r="L1500" s="9" t="s">
        <v>12119</v>
      </c>
      <c r="M1500" s="9"/>
      <c r="N1500" s="10"/>
      <c r="O1500" s="9"/>
      <c r="P1500" s="9">
        <v>11843</v>
      </c>
      <c r="Q1500" s="9"/>
      <c r="R1500" s="9" t="s">
        <v>12795</v>
      </c>
      <c r="S1500" s="9" t="s">
        <v>12795</v>
      </c>
      <c r="T1500" s="9"/>
      <c r="U1500" s="9"/>
      <c r="V1500" s="9"/>
      <c r="W1500" s="9"/>
      <c r="X1500" s="9"/>
      <c r="Y1500" s="9"/>
      <c r="Z1500" s="9"/>
      <c r="AA1500" s="9"/>
      <c r="AB1500" s="9"/>
      <c r="AC1500" s="9"/>
      <c r="AD1500" s="9" t="s">
        <v>19</v>
      </c>
    </row>
    <row r="1501" spans="1:30">
      <c r="A1501" s="3" t="s">
        <v>3832</v>
      </c>
      <c r="B1501" s="3" t="s">
        <v>3833</v>
      </c>
      <c r="C1501" s="3" t="s">
        <v>3834</v>
      </c>
      <c r="G1501" s="9" t="s">
        <v>12120</v>
      </c>
      <c r="H1501" s="9"/>
      <c r="I1501" s="9"/>
      <c r="J1501" s="9"/>
      <c r="K1501" s="9"/>
      <c r="L1501" s="9"/>
      <c r="M1501" s="9"/>
      <c r="N1501" s="10"/>
      <c r="O1501" s="9"/>
      <c r="P1501" s="9"/>
      <c r="Q1501" s="9"/>
      <c r="R1501" s="9" t="s">
        <v>12795</v>
      </c>
      <c r="S1501" s="9" t="s">
        <v>12795</v>
      </c>
      <c r="T1501" s="9"/>
      <c r="U1501" s="9"/>
      <c r="V1501" s="9"/>
      <c r="W1501" s="9"/>
      <c r="X1501" s="9"/>
      <c r="Y1501" s="9"/>
      <c r="Z1501" s="9"/>
      <c r="AA1501" s="9"/>
      <c r="AB1501" s="9"/>
      <c r="AC1501" s="9"/>
      <c r="AD1501" s="9" t="s">
        <v>20</v>
      </c>
    </row>
    <row r="1502" spans="1:30">
      <c r="A1502" s="3" t="s">
        <v>3832</v>
      </c>
      <c r="B1502" s="3" t="s">
        <v>9876</v>
      </c>
      <c r="C1502" s="3" t="s">
        <v>9875</v>
      </c>
      <c r="G1502" s="9" t="s">
        <v>24</v>
      </c>
      <c r="H1502" s="9"/>
      <c r="I1502" s="9">
        <v>1</v>
      </c>
      <c r="J1502" s="9">
        <v>2</v>
      </c>
      <c r="K1502" s="9" t="s">
        <v>12078</v>
      </c>
      <c r="L1502" s="9" t="s">
        <v>12119</v>
      </c>
      <c r="M1502" s="9"/>
      <c r="N1502" s="10"/>
      <c r="O1502" s="9" t="s">
        <v>12074</v>
      </c>
      <c r="P1502" s="9">
        <v>11843</v>
      </c>
      <c r="Q1502" s="9"/>
      <c r="R1502" s="9" t="s">
        <v>12795</v>
      </c>
      <c r="S1502" s="9" t="s">
        <v>12795</v>
      </c>
      <c r="T1502" s="9"/>
      <c r="U1502" s="9"/>
      <c r="V1502" s="9"/>
      <c r="W1502" s="9"/>
      <c r="X1502" s="9"/>
      <c r="Y1502" s="9"/>
      <c r="Z1502" s="9"/>
      <c r="AA1502" s="9"/>
      <c r="AB1502" s="9"/>
      <c r="AC1502" s="9"/>
      <c r="AD1502" s="9" t="s">
        <v>19</v>
      </c>
    </row>
    <row r="1503" spans="1:30">
      <c r="A1503" s="3" t="s">
        <v>3836</v>
      </c>
      <c r="B1503" s="3" t="s">
        <v>9889</v>
      </c>
      <c r="C1503" s="3" t="s">
        <v>9888</v>
      </c>
      <c r="G1503" s="9" t="s">
        <v>24</v>
      </c>
      <c r="H1503" s="9"/>
      <c r="I1503" s="9">
        <v>1</v>
      </c>
      <c r="J1503" s="9">
        <v>1</v>
      </c>
      <c r="K1503" s="9" t="s">
        <v>12123</v>
      </c>
      <c r="L1503" s="9" t="s">
        <v>12119</v>
      </c>
      <c r="M1503" s="9"/>
      <c r="N1503" s="10"/>
      <c r="O1503" s="9"/>
      <c r="P1503" s="9">
        <v>193</v>
      </c>
      <c r="Q1503" s="9"/>
      <c r="R1503" s="9" t="s">
        <v>12795</v>
      </c>
      <c r="S1503" s="9" t="s">
        <v>12795</v>
      </c>
      <c r="T1503" s="9"/>
      <c r="U1503" s="9"/>
      <c r="V1503" s="9"/>
      <c r="W1503" s="9"/>
      <c r="X1503" s="9"/>
      <c r="Y1503" s="9"/>
      <c r="Z1503" s="9"/>
      <c r="AA1503" s="9"/>
      <c r="AB1503" s="9"/>
      <c r="AC1503" s="9"/>
      <c r="AD1503" s="9" t="s">
        <v>19</v>
      </c>
    </row>
    <row r="1504" spans="1:30">
      <c r="A1504" s="3" t="s">
        <v>3842</v>
      </c>
      <c r="B1504" s="3" t="s">
        <v>12931</v>
      </c>
      <c r="C1504" s="3" t="s">
        <v>9900</v>
      </c>
      <c r="F1504" t="s">
        <v>19</v>
      </c>
      <c r="G1504" s="9" t="s">
        <v>24</v>
      </c>
      <c r="H1504" s="9"/>
      <c r="I1504" s="9">
        <v>1</v>
      </c>
      <c r="J1504" s="9">
        <v>2</v>
      </c>
      <c r="K1504" s="9" t="s">
        <v>12078</v>
      </c>
      <c r="L1504" s="9" t="s">
        <v>12119</v>
      </c>
      <c r="M1504" s="9"/>
      <c r="N1504" s="10"/>
      <c r="O1504" s="9"/>
      <c r="P1504" s="9">
        <v>11843</v>
      </c>
      <c r="Q1504" s="9"/>
      <c r="R1504" s="9" t="s">
        <v>12795</v>
      </c>
      <c r="S1504" s="9" t="s">
        <v>12795</v>
      </c>
      <c r="T1504" s="9"/>
      <c r="U1504" s="9"/>
      <c r="V1504" s="9"/>
      <c r="W1504" s="9"/>
      <c r="X1504" s="9"/>
      <c r="Y1504" s="9"/>
      <c r="Z1504" s="9"/>
      <c r="AA1504" s="9"/>
      <c r="AB1504" s="9"/>
      <c r="AC1504" s="9"/>
      <c r="AD1504" s="9" t="s">
        <v>20</v>
      </c>
    </row>
    <row r="1505" spans="1:30" ht="43.5">
      <c r="A1505" s="3" t="s">
        <v>3846</v>
      </c>
      <c r="B1505" s="3" t="s">
        <v>9908</v>
      </c>
      <c r="C1505" s="3" t="s">
        <v>9907</v>
      </c>
      <c r="G1505" s="9" t="s">
        <v>25</v>
      </c>
      <c r="H1505" s="9"/>
      <c r="I1505" s="9">
        <v>1</v>
      </c>
      <c r="J1505" s="9">
        <v>2</v>
      </c>
      <c r="K1505" s="9" t="s">
        <v>12125</v>
      </c>
      <c r="L1505" s="9" t="s">
        <v>12079</v>
      </c>
      <c r="M1505" s="9"/>
      <c r="N1505" s="10"/>
      <c r="O1505" s="9"/>
      <c r="P1505" s="9">
        <v>4</v>
      </c>
      <c r="Q1505" s="9"/>
      <c r="R1505" s="9" t="s">
        <v>12795</v>
      </c>
      <c r="S1505" s="9" t="s">
        <v>12795</v>
      </c>
      <c r="T1505" s="9"/>
      <c r="U1505" s="9"/>
      <c r="V1505" s="9"/>
      <c r="W1505" s="9"/>
      <c r="X1505" s="9"/>
      <c r="Y1505" s="9"/>
      <c r="Z1505" s="9"/>
      <c r="AA1505" s="9"/>
      <c r="AB1505" s="9"/>
      <c r="AC1505" s="9"/>
      <c r="AD1505" s="9" t="s">
        <v>20</v>
      </c>
    </row>
    <row r="1506" spans="1:30" ht="29">
      <c r="A1506" s="3" t="s">
        <v>3850</v>
      </c>
      <c r="B1506" s="3" t="s">
        <v>9912</v>
      </c>
      <c r="C1506" s="3" t="s">
        <v>9911</v>
      </c>
      <c r="G1506" s="9" t="s">
        <v>12120</v>
      </c>
      <c r="H1506" s="9"/>
      <c r="I1506" s="9"/>
      <c r="J1506" s="9"/>
      <c r="K1506" s="9"/>
      <c r="L1506" s="9"/>
      <c r="M1506" s="9"/>
      <c r="N1506" s="10"/>
      <c r="O1506" s="9"/>
      <c r="P1506" s="9"/>
      <c r="Q1506" s="9"/>
      <c r="R1506" s="9" t="s">
        <v>12795</v>
      </c>
      <c r="S1506" s="9" t="s">
        <v>12795</v>
      </c>
      <c r="T1506" s="9"/>
      <c r="U1506" s="9"/>
      <c r="V1506" s="9"/>
      <c r="W1506" s="9"/>
      <c r="X1506" s="9"/>
      <c r="Y1506" s="9"/>
      <c r="Z1506" s="9"/>
      <c r="AA1506" s="9"/>
      <c r="AB1506" s="9"/>
      <c r="AC1506" s="9"/>
      <c r="AD1506" s="9" t="s">
        <v>19</v>
      </c>
    </row>
    <row r="1507" spans="1:30">
      <c r="A1507" s="3" t="s">
        <v>3851</v>
      </c>
      <c r="B1507" s="3" t="s">
        <v>9913</v>
      </c>
      <c r="C1507" s="3" t="s">
        <v>9914</v>
      </c>
      <c r="G1507" s="9" t="s">
        <v>12118</v>
      </c>
      <c r="H1507" s="9"/>
      <c r="I1507" s="9"/>
      <c r="J1507" s="9"/>
      <c r="K1507" s="9"/>
      <c r="L1507" s="9"/>
      <c r="M1507" s="9"/>
      <c r="N1507" s="10"/>
      <c r="O1507" s="9"/>
      <c r="P1507" s="9"/>
      <c r="Q1507" s="9">
        <v>-33</v>
      </c>
      <c r="R1507" s="9">
        <v>40</v>
      </c>
      <c r="S1507" s="9">
        <v>7</v>
      </c>
      <c r="T1507" s="9"/>
      <c r="U1507" s="9"/>
      <c r="V1507" s="9"/>
      <c r="W1507" s="9"/>
      <c r="X1507" s="9"/>
      <c r="Y1507" s="9"/>
      <c r="Z1507" s="9"/>
      <c r="AA1507" s="9"/>
      <c r="AB1507" s="9"/>
      <c r="AC1507" s="9"/>
      <c r="AD1507" s="9" t="s">
        <v>19</v>
      </c>
    </row>
    <row r="1508" spans="1:30">
      <c r="A1508" s="3" t="s">
        <v>3851</v>
      </c>
      <c r="B1508" s="3" t="s">
        <v>9917</v>
      </c>
      <c r="C1508" s="3" t="s">
        <v>9918</v>
      </c>
      <c r="G1508" s="9" t="s">
        <v>12118</v>
      </c>
      <c r="H1508" s="9"/>
      <c r="I1508" s="9"/>
      <c r="J1508" s="9"/>
      <c r="K1508" s="9"/>
      <c r="L1508" s="9"/>
      <c r="M1508" s="9"/>
      <c r="N1508" s="10"/>
      <c r="O1508" s="9"/>
      <c r="P1508" s="9"/>
      <c r="Q1508" s="9">
        <v>-15</v>
      </c>
      <c r="R1508" s="9">
        <v>21</v>
      </c>
      <c r="S1508" s="9">
        <v>6</v>
      </c>
      <c r="T1508" s="9"/>
      <c r="U1508" s="9"/>
      <c r="V1508" s="9"/>
      <c r="W1508" s="9"/>
      <c r="X1508" s="9"/>
      <c r="Y1508" s="9"/>
      <c r="Z1508" s="9"/>
      <c r="AA1508" s="9"/>
      <c r="AB1508" s="9"/>
      <c r="AC1508" s="9"/>
      <c r="AD1508" s="9" t="s">
        <v>20</v>
      </c>
    </row>
    <row r="1509" spans="1:30" ht="43.5">
      <c r="A1509" s="3" t="s">
        <v>3852</v>
      </c>
      <c r="B1509" s="3" t="s">
        <v>9927</v>
      </c>
      <c r="C1509" s="3" t="s">
        <v>9928</v>
      </c>
      <c r="G1509" s="9" t="s">
        <v>12120</v>
      </c>
      <c r="H1509" s="9"/>
      <c r="I1509" s="9"/>
      <c r="J1509" s="9"/>
      <c r="K1509" s="9"/>
      <c r="L1509" s="9"/>
      <c r="M1509" s="9"/>
      <c r="N1509" s="10"/>
      <c r="O1509" s="9"/>
      <c r="P1509" s="9"/>
      <c r="Q1509" s="9"/>
      <c r="R1509" s="9" t="s">
        <v>12795</v>
      </c>
      <c r="S1509" s="9" t="s">
        <v>12795</v>
      </c>
      <c r="T1509" s="9"/>
      <c r="U1509" s="9"/>
      <c r="V1509" s="9"/>
      <c r="W1509" s="9"/>
      <c r="X1509" s="9"/>
      <c r="Y1509" s="9"/>
      <c r="Z1509" s="9"/>
      <c r="AA1509" s="9"/>
      <c r="AB1509" s="9"/>
      <c r="AC1509" s="9"/>
      <c r="AD1509" s="9" t="s">
        <v>19</v>
      </c>
    </row>
    <row r="1510" spans="1:30">
      <c r="A1510" s="3" t="s">
        <v>3853</v>
      </c>
      <c r="B1510" s="3" t="s">
        <v>9931</v>
      </c>
      <c r="C1510" s="3" t="s">
        <v>9932</v>
      </c>
      <c r="G1510" s="9" t="s">
        <v>12118</v>
      </c>
      <c r="H1510" s="9"/>
      <c r="I1510" s="9"/>
      <c r="J1510" s="9"/>
      <c r="K1510" s="9"/>
      <c r="L1510" s="9"/>
      <c r="M1510" s="9"/>
      <c r="N1510" s="10"/>
      <c r="O1510" s="9"/>
      <c r="P1510" s="9"/>
      <c r="Q1510" s="9">
        <v>50</v>
      </c>
      <c r="R1510" s="9">
        <v>37</v>
      </c>
      <c r="S1510" s="9">
        <v>87</v>
      </c>
      <c r="T1510" s="9"/>
      <c r="U1510" s="9"/>
      <c r="V1510" s="9"/>
      <c r="W1510" s="9"/>
      <c r="X1510" s="9"/>
      <c r="Y1510" s="9"/>
      <c r="Z1510" s="9"/>
      <c r="AA1510" s="9"/>
      <c r="AB1510" s="9"/>
      <c r="AC1510" s="9"/>
      <c r="AD1510" s="9" t="s">
        <v>19</v>
      </c>
    </row>
    <row r="1511" spans="1:30" ht="29">
      <c r="A1511" s="3" t="s">
        <v>3858</v>
      </c>
      <c r="B1511" s="3" t="s">
        <v>9943</v>
      </c>
      <c r="C1511" s="3" t="s">
        <v>9944</v>
      </c>
      <c r="G1511" s="9" t="s">
        <v>12118</v>
      </c>
      <c r="H1511" s="9"/>
      <c r="I1511" s="9"/>
      <c r="J1511" s="9"/>
      <c r="K1511" s="9"/>
      <c r="L1511" s="9"/>
      <c r="M1511" s="9"/>
      <c r="N1511" s="10"/>
      <c r="O1511" s="9"/>
      <c r="P1511" s="9"/>
      <c r="Q1511" s="9">
        <v>-245</v>
      </c>
      <c r="R1511" s="9">
        <v>1741</v>
      </c>
      <c r="S1511" s="9">
        <v>1496</v>
      </c>
      <c r="T1511" s="9"/>
      <c r="U1511" s="9"/>
      <c r="V1511" s="9"/>
      <c r="W1511" s="9"/>
      <c r="X1511" s="9"/>
      <c r="Y1511" s="9"/>
      <c r="Z1511" s="9"/>
      <c r="AA1511" s="9"/>
      <c r="AB1511" s="9"/>
      <c r="AC1511" s="9"/>
      <c r="AD1511" s="9" t="s">
        <v>20</v>
      </c>
    </row>
    <row r="1512" spans="1:30" ht="29">
      <c r="A1512" s="3" t="s">
        <v>3859</v>
      </c>
      <c r="B1512" s="3" t="s">
        <v>9946</v>
      </c>
      <c r="C1512" s="3" t="s">
        <v>9945</v>
      </c>
      <c r="G1512" s="9" t="s">
        <v>25</v>
      </c>
      <c r="H1512" s="9"/>
      <c r="I1512" s="9">
        <v>1</v>
      </c>
      <c r="J1512" s="9">
        <v>3</v>
      </c>
      <c r="K1512" s="9" t="s">
        <v>12087</v>
      </c>
      <c r="L1512" s="9" t="s">
        <v>12079</v>
      </c>
      <c r="M1512" s="9"/>
      <c r="N1512" s="10"/>
      <c r="O1512" s="9"/>
      <c r="P1512" s="9">
        <v>356</v>
      </c>
      <c r="Q1512" s="9"/>
      <c r="R1512" s="9" t="s">
        <v>12795</v>
      </c>
      <c r="S1512" s="9" t="s">
        <v>12795</v>
      </c>
      <c r="T1512" s="9"/>
      <c r="U1512" s="9"/>
      <c r="V1512" s="9"/>
      <c r="W1512" s="9"/>
      <c r="X1512" s="9"/>
      <c r="Y1512" s="9"/>
      <c r="Z1512" s="9"/>
      <c r="AA1512" s="9"/>
      <c r="AB1512" s="9"/>
      <c r="AC1512" s="9"/>
      <c r="AD1512" s="9" t="s">
        <v>20</v>
      </c>
    </row>
    <row r="1513" spans="1:30" ht="58">
      <c r="A1513" s="3" t="s">
        <v>3860</v>
      </c>
      <c r="B1513" s="3" t="s">
        <v>9954</v>
      </c>
      <c r="C1513" s="3" t="s">
        <v>9953</v>
      </c>
      <c r="G1513" s="9" t="s">
        <v>25</v>
      </c>
      <c r="H1513" s="9"/>
      <c r="I1513" s="9">
        <v>5</v>
      </c>
      <c r="J1513" s="9">
        <v>26</v>
      </c>
      <c r="K1513" s="9"/>
      <c r="L1513" s="9" t="s">
        <v>12079</v>
      </c>
      <c r="M1513" s="9"/>
      <c r="N1513" s="10"/>
      <c r="O1513" s="9"/>
      <c r="P1513" s="9">
        <v>23</v>
      </c>
      <c r="Q1513" s="9"/>
      <c r="R1513" s="9" t="s">
        <v>12795</v>
      </c>
      <c r="S1513" s="9" t="s">
        <v>12795</v>
      </c>
      <c r="T1513" s="9"/>
      <c r="U1513" s="9"/>
      <c r="V1513" s="9"/>
      <c r="W1513" s="9"/>
      <c r="X1513" s="9"/>
      <c r="Y1513" s="9"/>
      <c r="Z1513" s="9"/>
      <c r="AA1513" s="9"/>
      <c r="AB1513" s="9"/>
      <c r="AC1513" s="9"/>
      <c r="AD1513" s="9" t="s">
        <v>19</v>
      </c>
    </row>
    <row r="1514" spans="1:30" ht="43.5">
      <c r="A1514" s="3" t="s">
        <v>3860</v>
      </c>
      <c r="B1514" s="3" t="s">
        <v>9958</v>
      </c>
      <c r="C1514" s="3" t="s">
        <v>9957</v>
      </c>
      <c r="G1514" s="9" t="s">
        <v>25</v>
      </c>
      <c r="H1514" s="9"/>
      <c r="I1514" s="9">
        <v>4</v>
      </c>
      <c r="J1514" s="9">
        <v>15</v>
      </c>
      <c r="K1514" s="9"/>
      <c r="L1514" s="9" t="s">
        <v>12079</v>
      </c>
      <c r="M1514" s="9"/>
      <c r="N1514" s="10"/>
      <c r="O1514" s="9"/>
      <c r="P1514" s="9">
        <v>301</v>
      </c>
      <c r="Q1514" s="9"/>
      <c r="R1514" s="9" t="s">
        <v>12795</v>
      </c>
      <c r="S1514" s="9" t="s">
        <v>12795</v>
      </c>
      <c r="T1514" s="9"/>
      <c r="U1514" s="9"/>
      <c r="V1514" s="9"/>
      <c r="W1514" s="9"/>
      <c r="X1514" s="9"/>
      <c r="Y1514" s="9"/>
      <c r="Z1514" s="9"/>
      <c r="AA1514" s="9"/>
      <c r="AB1514" s="9"/>
      <c r="AC1514" s="9"/>
      <c r="AD1514" s="9" t="s">
        <v>19</v>
      </c>
    </row>
    <row r="1515" spans="1:30" ht="29">
      <c r="A1515" s="3" t="s">
        <v>3860</v>
      </c>
      <c r="B1515" s="3" t="s">
        <v>9964</v>
      </c>
      <c r="C1515" s="3" t="s">
        <v>9963</v>
      </c>
      <c r="G1515" s="9" t="s">
        <v>25</v>
      </c>
      <c r="H1515" s="9"/>
      <c r="I1515" s="9">
        <v>2</v>
      </c>
      <c r="J1515" s="9">
        <v>15</v>
      </c>
      <c r="K1515" s="9"/>
      <c r="L1515" s="9" t="s">
        <v>12079</v>
      </c>
      <c r="M1515" s="9"/>
      <c r="N1515" s="10"/>
      <c r="O1515" s="9"/>
      <c r="P1515" s="9">
        <v>6</v>
      </c>
      <c r="Q1515" s="9"/>
      <c r="R1515" s="9" t="s">
        <v>12795</v>
      </c>
      <c r="S1515" s="9" t="s">
        <v>12795</v>
      </c>
      <c r="T1515" s="9"/>
      <c r="U1515" s="9"/>
      <c r="V1515" s="9"/>
      <c r="W1515" s="9"/>
      <c r="X1515" s="9"/>
      <c r="Y1515" s="9"/>
      <c r="Z1515" s="9"/>
      <c r="AA1515" s="9"/>
      <c r="AB1515" s="9"/>
      <c r="AC1515" s="9"/>
      <c r="AD1515" s="9" t="s">
        <v>19</v>
      </c>
    </row>
    <row r="1516" spans="1:30">
      <c r="A1516" s="3" t="s">
        <v>3862</v>
      </c>
      <c r="B1516" s="3" t="s">
        <v>9966</v>
      </c>
      <c r="C1516" s="3" t="s">
        <v>9965</v>
      </c>
      <c r="G1516" s="9" t="s">
        <v>12118</v>
      </c>
      <c r="H1516" s="9"/>
      <c r="I1516" s="9"/>
      <c r="J1516" s="9"/>
      <c r="K1516" s="9"/>
      <c r="L1516" s="9"/>
      <c r="M1516" s="9"/>
      <c r="N1516" s="10"/>
      <c r="O1516" s="9"/>
      <c r="P1516" s="9"/>
      <c r="Q1516" s="9">
        <v>-734</v>
      </c>
      <c r="R1516" s="9">
        <v>1294</v>
      </c>
      <c r="S1516" s="9">
        <v>560</v>
      </c>
      <c r="T1516" s="9"/>
      <c r="U1516" s="9"/>
      <c r="V1516" s="9"/>
      <c r="W1516" s="9"/>
      <c r="X1516" s="9"/>
      <c r="Y1516" s="9"/>
      <c r="Z1516" s="9"/>
      <c r="AA1516" s="9"/>
      <c r="AB1516" s="9"/>
      <c r="AC1516" s="9"/>
      <c r="AD1516" s="9" t="s">
        <v>19</v>
      </c>
    </row>
    <row r="1517" spans="1:30">
      <c r="A1517" s="3" t="s">
        <v>3864</v>
      </c>
      <c r="B1517" s="3" t="s">
        <v>3865</v>
      </c>
      <c r="C1517" s="3" t="s">
        <v>3866</v>
      </c>
      <c r="G1517" s="9" t="s">
        <v>12120</v>
      </c>
      <c r="H1517" s="9"/>
      <c r="I1517" s="9"/>
      <c r="J1517" s="9"/>
      <c r="K1517" s="9"/>
      <c r="L1517" s="9"/>
      <c r="M1517" s="9"/>
      <c r="N1517" s="10"/>
      <c r="O1517" s="9"/>
      <c r="P1517" s="9"/>
      <c r="Q1517" s="9"/>
      <c r="R1517" s="9" t="s">
        <v>12795</v>
      </c>
      <c r="S1517" s="9" t="s">
        <v>12795</v>
      </c>
      <c r="T1517" s="9"/>
      <c r="U1517" s="9"/>
      <c r="V1517" s="9"/>
      <c r="W1517" s="9"/>
      <c r="X1517" s="9"/>
      <c r="Y1517" s="9"/>
      <c r="Z1517" s="9"/>
      <c r="AA1517" s="9"/>
      <c r="AB1517" s="9"/>
      <c r="AC1517" s="9"/>
      <c r="AD1517" s="9" t="s">
        <v>19</v>
      </c>
    </row>
    <row r="1518" spans="1:30" ht="29">
      <c r="A1518" s="3" t="s">
        <v>3870</v>
      </c>
      <c r="B1518" s="3" t="s">
        <v>9970</v>
      </c>
      <c r="C1518" s="3" t="s">
        <v>9969</v>
      </c>
      <c r="G1518" s="9" t="s">
        <v>25</v>
      </c>
      <c r="H1518" s="9"/>
      <c r="I1518" s="9">
        <v>1</v>
      </c>
      <c r="J1518" s="9">
        <v>3</v>
      </c>
      <c r="K1518" s="9" t="s">
        <v>12087</v>
      </c>
      <c r="L1518" s="9" t="s">
        <v>12079</v>
      </c>
      <c r="M1518" s="9"/>
      <c r="N1518" s="10"/>
      <c r="O1518" s="9"/>
      <c r="P1518" s="9">
        <v>5676</v>
      </c>
      <c r="Q1518" s="9"/>
      <c r="R1518" s="9" t="s">
        <v>12795</v>
      </c>
      <c r="S1518" s="9" t="s">
        <v>12795</v>
      </c>
      <c r="T1518" s="9"/>
      <c r="U1518" s="9"/>
      <c r="V1518" s="9"/>
      <c r="W1518" s="9"/>
      <c r="X1518" s="9"/>
      <c r="Y1518" s="9"/>
      <c r="Z1518" s="9"/>
      <c r="AA1518" s="9"/>
      <c r="AB1518" s="9"/>
      <c r="AC1518" s="9"/>
      <c r="AD1518" s="9" t="s">
        <v>20</v>
      </c>
    </row>
    <row r="1519" spans="1:30" ht="29">
      <c r="A1519" s="3" t="s">
        <v>3874</v>
      </c>
      <c r="B1519" s="3" t="s">
        <v>9975</v>
      </c>
      <c r="C1519" s="3" t="s">
        <v>9976</v>
      </c>
      <c r="G1519" s="9" t="s">
        <v>25</v>
      </c>
      <c r="H1519" s="9"/>
      <c r="I1519" s="9">
        <v>1</v>
      </c>
      <c r="J1519" s="9">
        <v>4</v>
      </c>
      <c r="K1519" s="9" t="s">
        <v>12094</v>
      </c>
      <c r="L1519" s="9" t="s">
        <v>12079</v>
      </c>
      <c r="M1519" s="9"/>
      <c r="N1519" s="10"/>
      <c r="O1519" s="9"/>
      <c r="P1519" s="9">
        <v>4240</v>
      </c>
      <c r="Q1519" s="9"/>
      <c r="R1519" s="9" t="s">
        <v>12795</v>
      </c>
      <c r="S1519" s="9" t="s">
        <v>12795</v>
      </c>
      <c r="T1519" s="9"/>
      <c r="U1519" s="9"/>
      <c r="V1519" s="9"/>
      <c r="W1519" s="9"/>
      <c r="X1519" s="9"/>
      <c r="Y1519" s="9"/>
      <c r="Z1519" s="9"/>
      <c r="AA1519" s="9"/>
      <c r="AB1519" s="9"/>
      <c r="AC1519" s="9"/>
      <c r="AD1519" s="9" t="s">
        <v>20</v>
      </c>
    </row>
    <row r="1520" spans="1:30">
      <c r="A1520" s="3" t="s">
        <v>3875</v>
      </c>
      <c r="B1520" s="3" t="s">
        <v>3876</v>
      </c>
      <c r="C1520" s="3" t="s">
        <v>3877</v>
      </c>
      <c r="E1520" t="s">
        <v>20</v>
      </c>
      <c r="G1520" s="9" t="s">
        <v>12120</v>
      </c>
      <c r="H1520" s="9"/>
      <c r="I1520" s="9"/>
      <c r="J1520" s="9"/>
      <c r="K1520" s="9"/>
      <c r="L1520" s="9"/>
      <c r="M1520" s="9"/>
      <c r="N1520" s="10"/>
      <c r="O1520" s="9"/>
      <c r="P1520" s="9"/>
      <c r="Q1520" s="9"/>
      <c r="R1520" s="9" t="s">
        <v>12795</v>
      </c>
      <c r="S1520" s="9" t="s">
        <v>12795</v>
      </c>
      <c r="T1520" s="9"/>
      <c r="U1520" s="9"/>
      <c r="V1520" s="9"/>
      <c r="W1520" s="9"/>
      <c r="X1520" s="9"/>
      <c r="Y1520" s="9"/>
      <c r="Z1520" s="9"/>
      <c r="AA1520" s="9"/>
      <c r="AB1520" s="9"/>
      <c r="AC1520" s="9"/>
      <c r="AD1520" s="9" t="s">
        <v>20</v>
      </c>
    </row>
    <row r="1521" spans="1:30" ht="58">
      <c r="A1521" s="3" t="s">
        <v>3882</v>
      </c>
      <c r="B1521" s="3" t="s">
        <v>9993</v>
      </c>
      <c r="C1521" s="3" t="s">
        <v>9994</v>
      </c>
      <c r="G1521" s="9" t="s">
        <v>12118</v>
      </c>
      <c r="H1521" s="9"/>
      <c r="I1521" s="9"/>
      <c r="J1521" s="9"/>
      <c r="K1521" s="9"/>
      <c r="L1521" s="9"/>
      <c r="M1521" s="9"/>
      <c r="N1521" s="10"/>
      <c r="O1521" s="9"/>
      <c r="P1521" s="9"/>
      <c r="Q1521" s="9">
        <v>7603</v>
      </c>
      <c r="R1521" s="9">
        <v>4240</v>
      </c>
      <c r="S1521" s="9">
        <v>11843</v>
      </c>
      <c r="T1521" s="9"/>
      <c r="U1521" s="9"/>
      <c r="V1521" s="9"/>
      <c r="W1521" s="9"/>
      <c r="X1521" s="9"/>
      <c r="Y1521" s="9"/>
      <c r="Z1521" s="9"/>
      <c r="AA1521" s="9"/>
      <c r="AB1521" s="9"/>
      <c r="AC1521" s="9"/>
      <c r="AD1521" s="9" t="s">
        <v>19</v>
      </c>
    </row>
    <row r="1522" spans="1:30" ht="58">
      <c r="A1522" s="3" t="s">
        <v>3883</v>
      </c>
      <c r="B1522" s="3" t="s">
        <v>9998</v>
      </c>
      <c r="C1522" s="3" t="s">
        <v>9997</v>
      </c>
      <c r="G1522" s="9" t="s">
        <v>25</v>
      </c>
      <c r="H1522" s="9"/>
      <c r="I1522" s="9">
        <v>5</v>
      </c>
      <c r="J1522" s="9">
        <v>31</v>
      </c>
      <c r="K1522" s="9"/>
      <c r="L1522" s="9" t="s">
        <v>12079</v>
      </c>
      <c r="M1522" s="9"/>
      <c r="N1522" s="10"/>
      <c r="O1522" s="9"/>
      <c r="P1522" s="9"/>
      <c r="Q1522" s="9"/>
      <c r="R1522" s="9" t="s">
        <v>12795</v>
      </c>
      <c r="S1522" s="9" t="s">
        <v>12795</v>
      </c>
      <c r="T1522" s="9"/>
      <c r="U1522" s="9"/>
      <c r="V1522" s="9"/>
      <c r="W1522" s="9"/>
      <c r="X1522" s="9"/>
      <c r="Y1522" s="9"/>
      <c r="Z1522" s="9"/>
      <c r="AA1522" s="9"/>
      <c r="AB1522" s="9"/>
      <c r="AC1522" s="9"/>
      <c r="AD1522" s="9" t="s">
        <v>19</v>
      </c>
    </row>
    <row r="1523" spans="1:30" ht="29">
      <c r="A1523" s="3" t="s">
        <v>3885</v>
      </c>
      <c r="B1523" s="3" t="s">
        <v>10006</v>
      </c>
      <c r="C1523" s="3" t="s">
        <v>10005</v>
      </c>
      <c r="G1523" s="9" t="s">
        <v>25</v>
      </c>
      <c r="H1523" s="9"/>
      <c r="I1523" s="9">
        <v>2</v>
      </c>
      <c r="J1523" s="9">
        <v>10</v>
      </c>
      <c r="K1523" s="9"/>
      <c r="L1523" s="9" t="s">
        <v>12079</v>
      </c>
      <c r="M1523" s="9"/>
      <c r="N1523" s="10"/>
      <c r="O1523" s="9"/>
      <c r="P1523" s="9">
        <v>12</v>
      </c>
      <c r="Q1523" s="9"/>
      <c r="R1523" s="9" t="s">
        <v>12795</v>
      </c>
      <c r="S1523" s="9" t="s">
        <v>12795</v>
      </c>
      <c r="T1523" s="9"/>
      <c r="U1523" s="9"/>
      <c r="V1523" s="9"/>
      <c r="W1523" s="9"/>
      <c r="X1523" s="9"/>
      <c r="Y1523" s="9"/>
      <c r="Z1523" s="9"/>
      <c r="AA1523" s="9"/>
      <c r="AB1523" s="9"/>
      <c r="AC1523" s="9"/>
      <c r="AD1523" s="9" t="s">
        <v>20</v>
      </c>
    </row>
    <row r="1524" spans="1:30" ht="29">
      <c r="A1524" s="3" t="s">
        <v>3885</v>
      </c>
      <c r="B1524" s="3" t="s">
        <v>10011</v>
      </c>
      <c r="C1524" s="3" t="s">
        <v>10012</v>
      </c>
      <c r="G1524" s="9" t="s">
        <v>12118</v>
      </c>
      <c r="H1524" s="9"/>
      <c r="I1524" s="9"/>
      <c r="J1524" s="9"/>
      <c r="K1524" s="9"/>
      <c r="L1524" s="9"/>
      <c r="M1524" s="9"/>
      <c r="N1524" s="10"/>
      <c r="O1524" s="9"/>
      <c r="P1524" s="9"/>
      <c r="Q1524" s="9">
        <v>0</v>
      </c>
      <c r="R1524" s="9">
        <v>12</v>
      </c>
      <c r="S1524" s="9">
        <v>12</v>
      </c>
      <c r="T1524" s="9"/>
      <c r="U1524" s="9"/>
      <c r="V1524" s="9"/>
      <c r="W1524" s="9"/>
      <c r="X1524" s="9"/>
      <c r="Y1524" s="9"/>
      <c r="Z1524" s="9"/>
      <c r="AA1524" s="9"/>
      <c r="AB1524" s="9"/>
      <c r="AC1524" s="9"/>
      <c r="AD1524" s="9" t="s">
        <v>20</v>
      </c>
    </row>
    <row r="1525" spans="1:30">
      <c r="A1525" s="3" t="s">
        <v>3888</v>
      </c>
      <c r="B1525" s="3" t="s">
        <v>10017</v>
      </c>
      <c r="C1525" s="3" t="s">
        <v>10016</v>
      </c>
      <c r="G1525" s="9" t="s">
        <v>24</v>
      </c>
      <c r="H1525" s="9"/>
      <c r="I1525" s="9">
        <v>1</v>
      </c>
      <c r="J1525" s="9">
        <v>3</v>
      </c>
      <c r="K1525" s="9" t="s">
        <v>12094</v>
      </c>
      <c r="L1525" s="9" t="s">
        <v>12079</v>
      </c>
      <c r="M1525" s="9"/>
      <c r="N1525" s="10"/>
      <c r="O1525" s="9"/>
      <c r="P1525" s="9">
        <v>1741</v>
      </c>
      <c r="Q1525" s="9"/>
      <c r="R1525" s="9" t="s">
        <v>12795</v>
      </c>
      <c r="S1525" s="9" t="s">
        <v>12795</v>
      </c>
      <c r="T1525" s="9"/>
      <c r="U1525" s="9"/>
      <c r="V1525" s="9"/>
      <c r="W1525" s="9"/>
      <c r="X1525" s="9"/>
      <c r="Y1525" s="9"/>
      <c r="Z1525" s="9"/>
      <c r="AA1525" s="9"/>
      <c r="AB1525" s="9"/>
      <c r="AC1525" s="9"/>
      <c r="AD1525" s="9" t="s">
        <v>20</v>
      </c>
    </row>
    <row r="1526" spans="1:30" ht="29">
      <c r="A1526" s="3" t="s">
        <v>3888</v>
      </c>
      <c r="B1526" s="3" t="s">
        <v>10018</v>
      </c>
      <c r="C1526" s="3" t="s">
        <v>10019</v>
      </c>
      <c r="F1526" t="s">
        <v>19</v>
      </c>
      <c r="G1526" s="9" t="s">
        <v>24</v>
      </c>
      <c r="H1526" s="9"/>
      <c r="I1526" s="9">
        <v>2</v>
      </c>
      <c r="J1526" s="9">
        <v>9</v>
      </c>
      <c r="K1526" s="9"/>
      <c r="L1526" s="9" t="s">
        <v>12073</v>
      </c>
      <c r="M1526" s="9" t="s">
        <v>12135</v>
      </c>
      <c r="N1526" s="10" t="s">
        <v>12136</v>
      </c>
      <c r="O1526" s="9"/>
      <c r="P1526" s="9">
        <v>111</v>
      </c>
      <c r="Q1526" s="9"/>
      <c r="R1526" s="9" t="s">
        <v>12795</v>
      </c>
      <c r="S1526" s="9" t="s">
        <v>12795</v>
      </c>
      <c r="T1526" s="9"/>
      <c r="U1526" s="9"/>
      <c r="V1526" s="9"/>
      <c r="W1526" s="9"/>
      <c r="X1526" s="9"/>
      <c r="Y1526" s="9"/>
      <c r="Z1526" s="9"/>
      <c r="AA1526" s="9"/>
      <c r="AB1526" s="9"/>
      <c r="AC1526" s="9"/>
      <c r="AD1526" s="9" t="s">
        <v>13141</v>
      </c>
    </row>
    <row r="1527" spans="1:30" ht="29">
      <c r="A1527" s="3" t="s">
        <v>3889</v>
      </c>
      <c r="B1527" s="3" t="s">
        <v>10021</v>
      </c>
      <c r="C1527" s="3" t="s">
        <v>10020</v>
      </c>
      <c r="G1527" s="9" t="s">
        <v>25</v>
      </c>
      <c r="H1527" s="9"/>
      <c r="I1527" s="9">
        <v>1</v>
      </c>
      <c r="J1527" s="9">
        <v>10</v>
      </c>
      <c r="K1527" s="9" t="s">
        <v>12098</v>
      </c>
      <c r="L1527" s="9" t="s">
        <v>12079</v>
      </c>
      <c r="M1527" s="9"/>
      <c r="N1527" s="10"/>
      <c r="O1527" s="9"/>
      <c r="P1527" s="9">
        <v>36</v>
      </c>
      <c r="Q1527" s="9"/>
      <c r="R1527" s="9" t="s">
        <v>12795</v>
      </c>
      <c r="S1527" s="9" t="s">
        <v>12795</v>
      </c>
      <c r="T1527" s="9"/>
      <c r="U1527" s="9"/>
      <c r="V1527" s="9"/>
      <c r="W1527" s="9"/>
      <c r="X1527" s="9"/>
      <c r="Y1527" s="9"/>
      <c r="Z1527" s="9"/>
      <c r="AA1527" s="9"/>
      <c r="AB1527" s="9"/>
      <c r="AC1527" s="9"/>
      <c r="AD1527" s="9" t="s">
        <v>19</v>
      </c>
    </row>
    <row r="1528" spans="1:30">
      <c r="A1528" s="3" t="s">
        <v>3890</v>
      </c>
      <c r="B1528" s="3" t="s">
        <v>3892</v>
      </c>
      <c r="C1528" s="3" t="s">
        <v>3893</v>
      </c>
      <c r="G1528" s="9" t="s">
        <v>12118</v>
      </c>
      <c r="H1528" s="9"/>
      <c r="I1528" s="9"/>
      <c r="J1528" s="9"/>
      <c r="K1528" s="9"/>
      <c r="L1528" s="9"/>
      <c r="M1528" s="9"/>
      <c r="N1528" s="10"/>
      <c r="O1528" s="9"/>
      <c r="P1528" s="9"/>
      <c r="Q1528" s="9">
        <v>7</v>
      </c>
      <c r="R1528" s="9">
        <v>0</v>
      </c>
      <c r="S1528" s="9">
        <v>7</v>
      </c>
      <c r="T1528" s="9"/>
      <c r="U1528" s="9"/>
      <c r="V1528" s="9"/>
      <c r="W1528" s="9"/>
      <c r="X1528" s="9"/>
      <c r="Y1528" s="9"/>
      <c r="Z1528" s="9"/>
      <c r="AA1528" s="9"/>
      <c r="AB1528" s="9"/>
      <c r="AC1528" s="9"/>
      <c r="AD1528" s="9" t="s">
        <v>19</v>
      </c>
    </row>
    <row r="1529" spans="1:30" ht="43.5">
      <c r="A1529" s="3" t="s">
        <v>3894</v>
      </c>
      <c r="B1529" s="3" t="s">
        <v>10029</v>
      </c>
      <c r="C1529" s="3" t="s">
        <v>10024</v>
      </c>
      <c r="G1529" s="9" t="s">
        <v>25</v>
      </c>
      <c r="H1529" s="9"/>
      <c r="I1529" s="9">
        <v>1</v>
      </c>
      <c r="J1529" s="9">
        <v>8</v>
      </c>
      <c r="K1529" s="9" t="s">
        <v>12072</v>
      </c>
      <c r="L1529" s="9" t="s">
        <v>12073</v>
      </c>
      <c r="M1529" s="9" t="s">
        <v>12149</v>
      </c>
      <c r="N1529" s="10" t="s">
        <v>12143</v>
      </c>
      <c r="O1529" s="9"/>
      <c r="P1529" s="9">
        <v>1</v>
      </c>
      <c r="Q1529" s="9"/>
      <c r="R1529" s="9" t="s">
        <v>12795</v>
      </c>
      <c r="S1529" s="9" t="s">
        <v>12795</v>
      </c>
      <c r="T1529" s="9"/>
      <c r="U1529" s="9"/>
      <c r="V1529" s="9"/>
      <c r="W1529" s="9"/>
      <c r="X1529" s="9"/>
      <c r="Y1529" s="9"/>
      <c r="Z1529" s="9"/>
      <c r="AA1529" s="9"/>
      <c r="AB1529" s="9"/>
      <c r="AC1529" s="9"/>
      <c r="AD1529" s="9" t="s">
        <v>20</v>
      </c>
    </row>
    <row r="1530" spans="1:30">
      <c r="A1530" s="3" t="s">
        <v>3897</v>
      </c>
      <c r="B1530" s="3" t="s">
        <v>10033</v>
      </c>
      <c r="C1530" s="3" t="s">
        <v>10034</v>
      </c>
      <c r="G1530" s="9" t="s">
        <v>24</v>
      </c>
      <c r="H1530" s="9"/>
      <c r="I1530" s="9">
        <v>2</v>
      </c>
      <c r="J1530" s="9">
        <v>5</v>
      </c>
      <c r="K1530" s="9"/>
      <c r="L1530" s="9" t="s">
        <v>12073</v>
      </c>
      <c r="M1530" s="9" t="s">
        <v>12142</v>
      </c>
      <c r="N1530" s="10" t="s">
        <v>12170</v>
      </c>
      <c r="O1530" s="9" t="s">
        <v>12074</v>
      </c>
      <c r="P1530" s="9">
        <v>472</v>
      </c>
      <c r="Q1530" s="9"/>
      <c r="R1530" s="9" t="s">
        <v>12795</v>
      </c>
      <c r="S1530" s="9" t="s">
        <v>12795</v>
      </c>
      <c r="T1530" s="9"/>
      <c r="U1530" s="9"/>
      <c r="V1530" s="9"/>
      <c r="W1530" s="9"/>
      <c r="X1530" s="9"/>
      <c r="Y1530" s="9"/>
      <c r="Z1530" s="9"/>
      <c r="AA1530" s="9"/>
      <c r="AB1530" s="9"/>
      <c r="AC1530" s="9"/>
      <c r="AD1530" s="9" t="s">
        <v>20</v>
      </c>
    </row>
    <row r="1531" spans="1:30">
      <c r="A1531" s="3" t="s">
        <v>3897</v>
      </c>
      <c r="B1531" s="3" t="s">
        <v>12934</v>
      </c>
      <c r="C1531" s="3" t="s">
        <v>10035</v>
      </c>
      <c r="G1531" s="9" t="s">
        <v>25</v>
      </c>
      <c r="H1531" s="9"/>
      <c r="I1531" s="9">
        <v>1</v>
      </c>
      <c r="J1531" s="9">
        <v>2</v>
      </c>
      <c r="K1531" s="9" t="s">
        <v>12092</v>
      </c>
      <c r="L1531" s="9" t="s">
        <v>12119</v>
      </c>
      <c r="M1531" s="9"/>
      <c r="N1531" s="10"/>
      <c r="O1531" s="9"/>
      <c r="P1531" s="9">
        <v>472</v>
      </c>
      <c r="Q1531" s="9"/>
      <c r="R1531" s="9" t="s">
        <v>12795</v>
      </c>
      <c r="S1531" s="9" t="s">
        <v>12795</v>
      </c>
      <c r="T1531" s="9"/>
      <c r="U1531" s="9"/>
      <c r="V1531" s="9"/>
      <c r="W1531" s="9"/>
      <c r="X1531" s="9"/>
      <c r="Y1531" s="9"/>
      <c r="Z1531" s="9"/>
      <c r="AA1531" s="9"/>
      <c r="AB1531" s="9"/>
      <c r="AC1531" s="9"/>
      <c r="AD1531" s="9" t="s">
        <v>19</v>
      </c>
    </row>
    <row r="1532" spans="1:30">
      <c r="A1532" s="3" t="s">
        <v>3897</v>
      </c>
      <c r="B1532" s="3" t="s">
        <v>10037</v>
      </c>
      <c r="C1532" s="3" t="s">
        <v>10036</v>
      </c>
      <c r="G1532" s="9" t="s">
        <v>12118</v>
      </c>
      <c r="H1532" s="9"/>
      <c r="I1532" s="9"/>
      <c r="J1532" s="9"/>
      <c r="K1532" s="9"/>
      <c r="L1532" s="9"/>
      <c r="M1532" s="9"/>
      <c r="N1532" s="10"/>
      <c r="O1532" s="9"/>
      <c r="P1532" s="9"/>
      <c r="Q1532" s="9">
        <v>245</v>
      </c>
      <c r="R1532" s="9">
        <v>1496</v>
      </c>
      <c r="S1532" s="9">
        <v>1741</v>
      </c>
      <c r="T1532" s="9"/>
      <c r="U1532" s="9"/>
      <c r="V1532" s="9"/>
      <c r="W1532" s="9"/>
      <c r="X1532" s="9"/>
      <c r="Y1532" s="9"/>
      <c r="Z1532" s="9"/>
      <c r="AA1532" s="9"/>
      <c r="AB1532" s="9"/>
      <c r="AC1532" s="9"/>
      <c r="AD1532" s="9" t="s">
        <v>19</v>
      </c>
    </row>
    <row r="1533" spans="1:30">
      <c r="A1533" s="3" t="s">
        <v>3903</v>
      </c>
      <c r="B1533" s="3" t="s">
        <v>10048</v>
      </c>
      <c r="C1533" s="3" t="s">
        <v>10049</v>
      </c>
      <c r="G1533" s="9" t="s">
        <v>25</v>
      </c>
      <c r="H1533" s="9"/>
      <c r="I1533" s="9">
        <v>1</v>
      </c>
      <c r="J1533" s="9">
        <v>6</v>
      </c>
      <c r="K1533" s="9" t="s">
        <v>12092</v>
      </c>
      <c r="L1533" s="9" t="s">
        <v>12073</v>
      </c>
      <c r="M1533" s="9" t="s">
        <v>12149</v>
      </c>
      <c r="N1533" s="10" t="s">
        <v>12143</v>
      </c>
      <c r="O1533" s="9"/>
      <c r="P1533" s="9">
        <v>147</v>
      </c>
      <c r="Q1533" s="9"/>
      <c r="R1533" s="9" t="s">
        <v>12795</v>
      </c>
      <c r="S1533" s="9" t="s">
        <v>12795</v>
      </c>
      <c r="T1533" s="9"/>
      <c r="U1533" s="9"/>
      <c r="V1533" s="9"/>
      <c r="W1533" s="9"/>
      <c r="X1533" s="9"/>
      <c r="Y1533" s="9"/>
      <c r="Z1533" s="9"/>
      <c r="AA1533" s="9"/>
      <c r="AB1533" s="9"/>
      <c r="AC1533" s="9"/>
      <c r="AD1533" s="9" t="s">
        <v>19</v>
      </c>
    </row>
    <row r="1534" spans="1:30" ht="29">
      <c r="A1534" s="3" t="s">
        <v>3903</v>
      </c>
      <c r="B1534" s="3" t="s">
        <v>10053</v>
      </c>
      <c r="C1534" s="3" t="s">
        <v>10051</v>
      </c>
      <c r="G1534" s="9" t="s">
        <v>25</v>
      </c>
      <c r="H1534" s="9"/>
      <c r="I1534" s="9">
        <v>1</v>
      </c>
      <c r="J1534" s="9">
        <v>5</v>
      </c>
      <c r="K1534" s="9" t="s">
        <v>12084</v>
      </c>
      <c r="L1534" s="9" t="s">
        <v>12079</v>
      </c>
      <c r="M1534" s="9"/>
      <c r="N1534" s="10"/>
      <c r="O1534" s="9"/>
      <c r="P1534" s="9">
        <v>17</v>
      </c>
      <c r="Q1534" s="9"/>
      <c r="R1534" s="9" t="s">
        <v>12795</v>
      </c>
      <c r="S1534" s="9" t="s">
        <v>12795</v>
      </c>
      <c r="T1534" s="9"/>
      <c r="U1534" s="9"/>
      <c r="V1534" s="9"/>
      <c r="W1534" s="9"/>
      <c r="X1534" s="9"/>
      <c r="Y1534" s="9"/>
      <c r="Z1534" s="9"/>
      <c r="AA1534" s="9"/>
      <c r="AB1534" s="9"/>
      <c r="AC1534" s="9"/>
      <c r="AD1534" s="9" t="s">
        <v>20</v>
      </c>
    </row>
    <row r="1535" spans="1:30">
      <c r="A1535" s="3" t="s">
        <v>3906</v>
      </c>
      <c r="B1535" s="3" t="s">
        <v>12936</v>
      </c>
      <c r="C1535" s="3" t="s">
        <v>10060</v>
      </c>
      <c r="G1535" s="9" t="s">
        <v>12118</v>
      </c>
      <c r="H1535" s="9"/>
      <c r="I1535" s="9"/>
      <c r="J1535" s="9"/>
      <c r="K1535" s="9"/>
      <c r="L1535" s="9"/>
      <c r="M1535" s="9"/>
      <c r="N1535" s="10"/>
      <c r="O1535" s="9"/>
      <c r="P1535" s="9"/>
      <c r="Q1535" s="9">
        <v>-245</v>
      </c>
      <c r="R1535" s="9">
        <v>1741</v>
      </c>
      <c r="S1535" s="9">
        <v>1496</v>
      </c>
      <c r="T1535" s="9"/>
      <c r="U1535" s="9"/>
      <c r="V1535" s="9"/>
      <c r="W1535" s="9"/>
      <c r="X1535" s="9"/>
      <c r="Y1535" s="9"/>
      <c r="Z1535" s="9"/>
      <c r="AA1535" s="9"/>
      <c r="AB1535" s="9"/>
      <c r="AC1535" s="9"/>
      <c r="AD1535" s="9" t="s">
        <v>20</v>
      </c>
    </row>
    <row r="1536" spans="1:30" ht="43.5">
      <c r="A1536" s="3" t="s">
        <v>3911</v>
      </c>
      <c r="B1536" s="3" t="s">
        <v>10074</v>
      </c>
      <c r="C1536" s="3" t="s">
        <v>10075</v>
      </c>
      <c r="G1536" s="9" t="s">
        <v>12118</v>
      </c>
      <c r="H1536" s="9"/>
      <c r="I1536" s="9"/>
      <c r="J1536" s="9"/>
      <c r="K1536" s="9"/>
      <c r="L1536" s="9"/>
      <c r="M1536" s="9"/>
      <c r="N1536" s="10"/>
      <c r="O1536" s="9"/>
      <c r="P1536" s="9"/>
      <c r="Q1536" s="9">
        <v>11677</v>
      </c>
      <c r="R1536" s="9">
        <v>166</v>
      </c>
      <c r="S1536" s="9">
        <v>11843</v>
      </c>
      <c r="T1536" s="9"/>
      <c r="U1536" s="9"/>
      <c r="V1536" s="9"/>
      <c r="W1536" s="9"/>
      <c r="X1536" s="9"/>
      <c r="Y1536" s="9"/>
      <c r="Z1536" s="9"/>
      <c r="AA1536" s="9"/>
      <c r="AB1536" s="9"/>
      <c r="AC1536" s="9"/>
      <c r="AD1536" s="9" t="s">
        <v>19</v>
      </c>
    </row>
    <row r="1537" spans="1:30">
      <c r="A1537" s="3" t="s">
        <v>3914</v>
      </c>
      <c r="B1537" s="3" t="s">
        <v>10091</v>
      </c>
      <c r="C1537" s="3" t="s">
        <v>10092</v>
      </c>
      <c r="G1537" s="9" t="s">
        <v>12118</v>
      </c>
      <c r="H1537" s="9"/>
      <c r="I1537" s="9"/>
      <c r="J1537" s="9"/>
      <c r="K1537" s="9"/>
      <c r="L1537" s="9"/>
      <c r="M1537" s="9"/>
      <c r="N1537" s="10"/>
      <c r="O1537" s="9"/>
      <c r="P1537" s="9"/>
      <c r="Q1537" s="9">
        <v>-188</v>
      </c>
      <c r="R1537" s="9">
        <v>207</v>
      </c>
      <c r="S1537" s="9">
        <v>19</v>
      </c>
      <c r="T1537" s="9"/>
      <c r="U1537" s="9"/>
      <c r="V1537" s="9"/>
      <c r="W1537" s="9"/>
      <c r="X1537" s="9"/>
      <c r="Y1537" s="9"/>
      <c r="Z1537" s="9"/>
      <c r="AA1537" s="9"/>
      <c r="AB1537" s="9"/>
      <c r="AC1537" s="9"/>
      <c r="AD1537" s="9" t="s">
        <v>19</v>
      </c>
    </row>
    <row r="1538" spans="1:30">
      <c r="A1538" s="3" t="s">
        <v>3921</v>
      </c>
      <c r="B1538" s="3" t="s">
        <v>10099</v>
      </c>
      <c r="C1538" s="3" t="s">
        <v>10100</v>
      </c>
      <c r="G1538" s="9" t="s">
        <v>12118</v>
      </c>
      <c r="H1538" s="9"/>
      <c r="I1538" s="9"/>
      <c r="J1538" s="9"/>
      <c r="K1538" s="9"/>
      <c r="L1538" s="9"/>
      <c r="M1538" s="9"/>
      <c r="N1538" s="10"/>
      <c r="O1538" s="9"/>
      <c r="P1538" s="9"/>
      <c r="Q1538" s="9">
        <v>245</v>
      </c>
      <c r="R1538" s="9">
        <v>1496</v>
      </c>
      <c r="S1538" s="9">
        <v>1741</v>
      </c>
      <c r="T1538" s="9"/>
      <c r="U1538" s="9"/>
      <c r="V1538" s="9"/>
      <c r="W1538" s="9"/>
      <c r="X1538" s="9"/>
      <c r="Y1538" s="9"/>
      <c r="Z1538" s="9"/>
      <c r="AA1538" s="9"/>
      <c r="AB1538" s="9"/>
      <c r="AC1538" s="9"/>
      <c r="AD1538" s="9" t="s">
        <v>19</v>
      </c>
    </row>
    <row r="1539" spans="1:30">
      <c r="A1539" s="3" t="s">
        <v>3922</v>
      </c>
      <c r="B1539" s="3" t="s">
        <v>10102</v>
      </c>
      <c r="C1539" s="3" t="s">
        <v>10103</v>
      </c>
      <c r="G1539" s="9" t="s">
        <v>12120</v>
      </c>
      <c r="H1539" s="9"/>
      <c r="I1539" s="9"/>
      <c r="J1539" s="9"/>
      <c r="K1539" s="9"/>
      <c r="L1539" s="9"/>
      <c r="M1539" s="9"/>
      <c r="N1539" s="10"/>
      <c r="O1539" s="9"/>
      <c r="P1539" s="9"/>
      <c r="Q1539" s="9"/>
      <c r="R1539" s="9" t="s">
        <v>12795</v>
      </c>
      <c r="S1539" s="9" t="s">
        <v>12795</v>
      </c>
      <c r="T1539" s="9"/>
      <c r="U1539" s="9"/>
      <c r="V1539" s="9"/>
      <c r="W1539" s="9"/>
      <c r="X1539" s="9"/>
      <c r="Y1539" s="9"/>
      <c r="Z1539" s="9"/>
      <c r="AA1539" s="9"/>
      <c r="AB1539" s="9"/>
      <c r="AC1539" s="9"/>
      <c r="AD1539" s="9" t="s">
        <v>20</v>
      </c>
    </row>
    <row r="1540" spans="1:30">
      <c r="A1540" s="3" t="s">
        <v>3928</v>
      </c>
      <c r="B1540" s="3" t="s">
        <v>12720</v>
      </c>
      <c r="C1540" s="3" t="s">
        <v>12723</v>
      </c>
      <c r="G1540" s="9" t="s">
        <v>24</v>
      </c>
      <c r="H1540" s="9"/>
      <c r="I1540" s="9">
        <v>1</v>
      </c>
      <c r="J1540" s="9">
        <v>2</v>
      </c>
      <c r="K1540" s="9" t="s">
        <v>12087</v>
      </c>
      <c r="L1540" s="9" t="s">
        <v>12119</v>
      </c>
      <c r="M1540" s="9"/>
      <c r="N1540" s="10"/>
      <c r="O1540" s="9"/>
      <c r="P1540" s="9">
        <v>1966</v>
      </c>
      <c r="Q1540" s="9"/>
      <c r="R1540" s="9" t="s">
        <v>12795</v>
      </c>
      <c r="S1540" s="9" t="s">
        <v>12795</v>
      </c>
      <c r="T1540" s="9"/>
      <c r="U1540" s="9"/>
      <c r="V1540" s="9"/>
      <c r="W1540" s="9"/>
      <c r="X1540" s="9"/>
      <c r="Y1540" s="9"/>
      <c r="Z1540" s="9"/>
      <c r="AA1540" s="9"/>
      <c r="AB1540" s="9"/>
      <c r="AC1540" s="9"/>
      <c r="AD1540" s="9" t="s">
        <v>19</v>
      </c>
    </row>
    <row r="1541" spans="1:30" ht="43.5">
      <c r="A1541" s="3" t="s">
        <v>3933</v>
      </c>
      <c r="B1541" s="3" t="s">
        <v>10113</v>
      </c>
      <c r="C1541" s="3" t="s">
        <v>10115</v>
      </c>
      <c r="G1541" s="9" t="s">
        <v>24</v>
      </c>
      <c r="H1541" s="9"/>
      <c r="I1541" s="9">
        <v>1</v>
      </c>
      <c r="J1541" s="9">
        <v>6</v>
      </c>
      <c r="K1541" s="9" t="s">
        <v>12125</v>
      </c>
      <c r="L1541" s="9" t="s">
        <v>12073</v>
      </c>
      <c r="M1541" s="9" t="s">
        <v>12149</v>
      </c>
      <c r="N1541" s="10" t="s">
        <v>12158</v>
      </c>
      <c r="O1541" s="9" t="s">
        <v>12074</v>
      </c>
      <c r="P1541" s="9">
        <v>1</v>
      </c>
      <c r="Q1541" s="9"/>
      <c r="R1541" s="9" t="s">
        <v>12795</v>
      </c>
      <c r="S1541" s="9" t="s">
        <v>12795</v>
      </c>
      <c r="T1541" s="9"/>
      <c r="U1541" s="9"/>
      <c r="V1541" s="9"/>
      <c r="W1541" s="9"/>
      <c r="X1541" s="9"/>
      <c r="Y1541" s="9"/>
      <c r="Z1541" s="9"/>
      <c r="AA1541" s="9"/>
      <c r="AB1541" s="9"/>
      <c r="AC1541" s="9"/>
      <c r="AD1541" s="9" t="s">
        <v>19</v>
      </c>
    </row>
    <row r="1542" spans="1:30" ht="43.5">
      <c r="A1542" s="3" t="s">
        <v>3933</v>
      </c>
      <c r="B1542" s="3" t="s">
        <v>10118</v>
      </c>
      <c r="C1542" s="3" t="s">
        <v>10114</v>
      </c>
      <c r="G1542" s="9" t="s">
        <v>25</v>
      </c>
      <c r="H1542" s="9"/>
      <c r="I1542" s="9">
        <v>1</v>
      </c>
      <c r="J1542" s="9">
        <v>3</v>
      </c>
      <c r="K1542" s="9" t="s">
        <v>12087</v>
      </c>
      <c r="L1542" s="9" t="s">
        <v>12079</v>
      </c>
      <c r="M1542" s="9"/>
      <c r="N1542" s="10"/>
      <c r="O1542" s="9"/>
      <c r="P1542" s="9">
        <v>356</v>
      </c>
      <c r="Q1542" s="9"/>
      <c r="R1542" s="9" t="s">
        <v>12795</v>
      </c>
      <c r="S1542" s="9" t="s">
        <v>12795</v>
      </c>
      <c r="T1542" s="9"/>
      <c r="U1542" s="9"/>
      <c r="V1542" s="9"/>
      <c r="W1542" s="9"/>
      <c r="X1542" s="9"/>
      <c r="Y1542" s="9"/>
      <c r="Z1542" s="9"/>
      <c r="AA1542" s="9"/>
      <c r="AB1542" s="9"/>
      <c r="AC1542" s="9"/>
      <c r="AD1542" s="9" t="s">
        <v>19</v>
      </c>
    </row>
    <row r="1543" spans="1:30" ht="58">
      <c r="A1543" s="3" t="s">
        <v>3936</v>
      </c>
      <c r="B1543" s="3" t="s">
        <v>10123</v>
      </c>
      <c r="C1543" s="3" t="s">
        <v>10124</v>
      </c>
      <c r="G1543" s="9" t="s">
        <v>26</v>
      </c>
      <c r="H1543" s="9"/>
      <c r="I1543" s="9"/>
      <c r="J1543" s="9"/>
      <c r="K1543" s="9"/>
      <c r="L1543" s="9"/>
      <c r="M1543" s="9"/>
      <c r="N1543" s="10"/>
      <c r="O1543" s="9"/>
      <c r="P1543" s="9"/>
      <c r="Q1543" s="9"/>
      <c r="R1543" s="9" t="s">
        <v>12795</v>
      </c>
      <c r="S1543" s="9" t="s">
        <v>12795</v>
      </c>
      <c r="T1543" s="9"/>
      <c r="U1543" s="9"/>
      <c r="V1543" s="9"/>
      <c r="W1543" s="9"/>
      <c r="X1543" s="9"/>
      <c r="Y1543" s="9"/>
      <c r="Z1543" s="9"/>
      <c r="AA1543" s="9"/>
      <c r="AB1543" s="9"/>
      <c r="AC1543" s="9"/>
      <c r="AD1543" s="9" t="s">
        <v>20</v>
      </c>
    </row>
    <row r="1544" spans="1:30" ht="58">
      <c r="A1544" s="3" t="s">
        <v>3936</v>
      </c>
      <c r="B1544" s="3" t="s">
        <v>10122</v>
      </c>
      <c r="C1544" s="3" t="s">
        <v>10125</v>
      </c>
      <c r="G1544" s="9" t="s">
        <v>24</v>
      </c>
      <c r="H1544" s="9"/>
      <c r="I1544" s="9">
        <v>1</v>
      </c>
      <c r="J1544" s="9">
        <v>6</v>
      </c>
      <c r="K1544" s="9" t="s">
        <v>12094</v>
      </c>
      <c r="L1544" s="9" t="s">
        <v>12073</v>
      </c>
      <c r="M1544" s="9" t="s">
        <v>12203</v>
      </c>
      <c r="N1544" s="10" t="s">
        <v>12204</v>
      </c>
      <c r="O1544" s="9"/>
      <c r="P1544" s="9">
        <v>4240</v>
      </c>
      <c r="Q1544" s="9"/>
      <c r="R1544" s="9" t="s">
        <v>12795</v>
      </c>
      <c r="S1544" s="9" t="s">
        <v>12795</v>
      </c>
      <c r="T1544" s="9"/>
      <c r="U1544" s="9"/>
      <c r="V1544" s="9"/>
      <c r="W1544" s="9"/>
      <c r="X1544" s="9"/>
      <c r="Y1544" s="9"/>
      <c r="Z1544" s="9"/>
      <c r="AA1544" s="9"/>
      <c r="AB1544" s="9"/>
      <c r="AC1544" s="9"/>
      <c r="AD1544" s="9" t="s">
        <v>19</v>
      </c>
    </row>
    <row r="1545" spans="1:30" ht="58">
      <c r="A1545" s="3" t="s">
        <v>3936</v>
      </c>
      <c r="B1545" s="3" t="s">
        <v>10126</v>
      </c>
      <c r="C1545" s="3" t="s">
        <v>10121</v>
      </c>
      <c r="G1545" s="9" t="s">
        <v>25</v>
      </c>
      <c r="H1545" s="9"/>
      <c r="I1545" s="9">
        <v>1</v>
      </c>
      <c r="J1545" s="9">
        <v>4</v>
      </c>
      <c r="K1545" s="9" t="s">
        <v>12096</v>
      </c>
      <c r="L1545" s="9" t="s">
        <v>12079</v>
      </c>
      <c r="M1545" s="9"/>
      <c r="N1545" s="10"/>
      <c r="O1545" s="9"/>
      <c r="P1545" s="9">
        <v>207</v>
      </c>
      <c r="Q1545" s="9"/>
      <c r="R1545" s="9" t="s">
        <v>12795</v>
      </c>
      <c r="S1545" s="9" t="s">
        <v>12795</v>
      </c>
      <c r="T1545" s="9"/>
      <c r="U1545" s="9"/>
      <c r="V1545" s="9"/>
      <c r="W1545" s="9"/>
      <c r="X1545" s="9"/>
      <c r="Y1545" s="9"/>
      <c r="Z1545" s="9"/>
      <c r="AA1545" s="9"/>
      <c r="AB1545" s="9"/>
      <c r="AC1545" s="9"/>
      <c r="AD1545" s="9" t="s">
        <v>20</v>
      </c>
    </row>
    <row r="1546" spans="1:30">
      <c r="A1546" s="3" t="s">
        <v>3940</v>
      </c>
      <c r="B1546" s="3" t="s">
        <v>3941</v>
      </c>
      <c r="C1546" s="3" t="s">
        <v>3942</v>
      </c>
      <c r="G1546" s="9" t="s">
        <v>12120</v>
      </c>
      <c r="H1546" s="9"/>
      <c r="I1546" s="9"/>
      <c r="J1546" s="9"/>
      <c r="K1546" s="9"/>
      <c r="L1546" s="9"/>
      <c r="M1546" s="9"/>
      <c r="N1546" s="10"/>
      <c r="O1546" s="9"/>
      <c r="P1546" s="9"/>
      <c r="Q1546" s="9"/>
      <c r="R1546" s="9" t="s">
        <v>12795</v>
      </c>
      <c r="S1546" s="9" t="s">
        <v>12795</v>
      </c>
      <c r="T1546" s="9"/>
      <c r="U1546" s="9"/>
      <c r="V1546" s="9"/>
      <c r="W1546" s="9"/>
      <c r="X1546" s="9"/>
      <c r="Y1546" s="9"/>
      <c r="Z1546" s="9"/>
      <c r="AA1546" s="9"/>
      <c r="AB1546" s="9"/>
      <c r="AC1546" s="9"/>
      <c r="AD1546" s="9" t="s">
        <v>19</v>
      </c>
    </row>
    <row r="1547" spans="1:30" ht="29">
      <c r="A1547" s="3" t="s">
        <v>3943</v>
      </c>
      <c r="B1547" s="3" t="s">
        <v>10131</v>
      </c>
      <c r="C1547" s="3" t="s">
        <v>10132</v>
      </c>
      <c r="G1547" s="9" t="s">
        <v>12118</v>
      </c>
      <c r="H1547" s="9"/>
      <c r="I1547" s="9"/>
      <c r="J1547" s="9"/>
      <c r="K1547" s="9"/>
      <c r="L1547" s="9"/>
      <c r="M1547" s="9"/>
      <c r="N1547" s="10"/>
      <c r="O1547" s="9"/>
      <c r="P1547" s="9"/>
      <c r="Q1547" s="9">
        <v>-34</v>
      </c>
      <c r="R1547" s="9">
        <v>74</v>
      </c>
      <c r="S1547" s="9">
        <v>40</v>
      </c>
      <c r="T1547" s="9"/>
      <c r="U1547" s="9"/>
      <c r="V1547" s="9"/>
      <c r="W1547" s="9"/>
      <c r="X1547" s="9"/>
      <c r="Y1547" s="9"/>
      <c r="Z1547" s="9"/>
      <c r="AA1547" s="9"/>
      <c r="AB1547" s="9"/>
      <c r="AC1547" s="9"/>
      <c r="AD1547" s="9" t="s">
        <v>20</v>
      </c>
    </row>
    <row r="1548" spans="1:30" ht="29">
      <c r="A1548" s="3" t="s">
        <v>3945</v>
      </c>
      <c r="B1548" s="3" t="s">
        <v>12519</v>
      </c>
      <c r="C1548" s="3" t="s">
        <v>10135</v>
      </c>
      <c r="G1548" s="9" t="s">
        <v>25</v>
      </c>
      <c r="H1548" s="9"/>
      <c r="I1548" s="9">
        <v>1</v>
      </c>
      <c r="J1548" s="9">
        <v>3</v>
      </c>
      <c r="K1548" s="9" t="s">
        <v>12096</v>
      </c>
      <c r="L1548" s="9" t="s">
        <v>12079</v>
      </c>
      <c r="M1548" s="9"/>
      <c r="N1548" s="10"/>
      <c r="O1548" s="9"/>
      <c r="P1548" s="9">
        <v>264</v>
      </c>
      <c r="Q1548" s="9"/>
      <c r="R1548" s="9" t="s">
        <v>12795</v>
      </c>
      <c r="S1548" s="9" t="s">
        <v>12795</v>
      </c>
      <c r="T1548" s="9"/>
      <c r="U1548" s="9"/>
      <c r="V1548" s="9"/>
      <c r="W1548" s="9"/>
      <c r="X1548" s="9"/>
      <c r="Y1548" s="9"/>
      <c r="Z1548" s="9"/>
      <c r="AA1548" s="9"/>
      <c r="AB1548" s="9"/>
      <c r="AC1548" s="9"/>
      <c r="AD1548" s="9" t="s">
        <v>20</v>
      </c>
    </row>
    <row r="1549" spans="1:30" ht="29">
      <c r="A1549" s="3" t="s">
        <v>3945</v>
      </c>
      <c r="B1549" s="3" t="s">
        <v>12520</v>
      </c>
      <c r="C1549" s="3" t="s">
        <v>12521</v>
      </c>
      <c r="G1549" s="9" t="s">
        <v>26</v>
      </c>
      <c r="H1549" s="9"/>
      <c r="I1549" s="9"/>
      <c r="J1549" s="9"/>
      <c r="K1549" s="9"/>
      <c r="L1549" s="9"/>
      <c r="M1549" s="9"/>
      <c r="N1549" s="10"/>
      <c r="O1549" s="9"/>
      <c r="P1549" s="9"/>
      <c r="Q1549" s="9"/>
      <c r="R1549" s="9" t="s">
        <v>12795</v>
      </c>
      <c r="S1549" s="9" t="s">
        <v>12795</v>
      </c>
      <c r="T1549" s="9"/>
      <c r="U1549" s="9"/>
      <c r="V1549" s="9"/>
      <c r="W1549" s="9"/>
      <c r="X1549" s="9"/>
      <c r="Y1549" s="9"/>
      <c r="Z1549" s="9"/>
      <c r="AA1549" s="9"/>
      <c r="AB1549" s="9"/>
      <c r="AC1549" s="9"/>
      <c r="AD1549" s="9" t="s">
        <v>20</v>
      </c>
    </row>
    <row r="1550" spans="1:30" ht="43.5">
      <c r="A1550" s="3" t="s">
        <v>3945</v>
      </c>
      <c r="B1550" s="3" t="s">
        <v>10136</v>
      </c>
      <c r="C1550" s="3" t="s">
        <v>12522</v>
      </c>
      <c r="G1550" s="9" t="s">
        <v>26</v>
      </c>
      <c r="H1550" s="9"/>
      <c r="I1550" s="9"/>
      <c r="J1550" s="9"/>
      <c r="K1550" s="9"/>
      <c r="L1550" s="9"/>
      <c r="M1550" s="9"/>
      <c r="N1550" s="10"/>
      <c r="O1550" s="9"/>
      <c r="P1550" s="9"/>
      <c r="Q1550" s="9"/>
      <c r="R1550" s="9" t="s">
        <v>12795</v>
      </c>
      <c r="S1550" s="9" t="s">
        <v>12795</v>
      </c>
      <c r="T1550" s="9"/>
      <c r="U1550" s="9"/>
      <c r="V1550" s="9"/>
      <c r="W1550" s="9"/>
      <c r="X1550" s="9"/>
      <c r="Y1550" s="9"/>
      <c r="Z1550" s="9"/>
      <c r="AA1550" s="9"/>
      <c r="AB1550" s="9"/>
      <c r="AC1550" s="9"/>
      <c r="AD1550" s="9" t="s">
        <v>20</v>
      </c>
    </row>
    <row r="1551" spans="1:30" ht="29">
      <c r="A1551" s="3" t="s">
        <v>3955</v>
      </c>
      <c r="B1551" s="3" t="s">
        <v>10146</v>
      </c>
      <c r="C1551" s="3" t="s">
        <v>10147</v>
      </c>
      <c r="G1551" s="9" t="s">
        <v>26</v>
      </c>
      <c r="H1551" s="9"/>
      <c r="I1551" s="9"/>
      <c r="J1551" s="9"/>
      <c r="K1551" s="9"/>
      <c r="L1551" s="9"/>
      <c r="M1551" s="9"/>
      <c r="N1551" s="10"/>
      <c r="O1551" s="9"/>
      <c r="P1551" s="9"/>
      <c r="Q1551" s="9"/>
      <c r="R1551" s="9" t="s">
        <v>12795</v>
      </c>
      <c r="S1551" s="9" t="s">
        <v>12795</v>
      </c>
      <c r="T1551" s="9"/>
      <c r="U1551" s="9"/>
      <c r="V1551" s="9"/>
      <c r="W1551" s="9"/>
      <c r="X1551" s="9"/>
      <c r="Y1551" s="9"/>
      <c r="Z1551" s="9"/>
      <c r="AA1551" s="9"/>
      <c r="AB1551" s="9"/>
      <c r="AC1551" s="9"/>
      <c r="AD1551" s="9" t="s">
        <v>20</v>
      </c>
    </row>
    <row r="1552" spans="1:30">
      <c r="A1552" s="3" t="s">
        <v>3956</v>
      </c>
      <c r="B1552" s="3" t="s">
        <v>10151</v>
      </c>
      <c r="C1552" s="3" t="s">
        <v>10150</v>
      </c>
      <c r="G1552" s="9" t="s">
        <v>25</v>
      </c>
      <c r="H1552" s="9"/>
      <c r="I1552" s="9">
        <v>1</v>
      </c>
      <c r="J1552" s="9">
        <v>3</v>
      </c>
      <c r="K1552" s="9" t="s">
        <v>12123</v>
      </c>
      <c r="L1552" s="9" t="s">
        <v>12079</v>
      </c>
      <c r="M1552" s="9"/>
      <c r="N1552" s="10"/>
      <c r="O1552" s="9"/>
      <c r="P1552" s="9">
        <v>887</v>
      </c>
      <c r="Q1552" s="9"/>
      <c r="R1552" s="9" t="s">
        <v>12795</v>
      </c>
      <c r="S1552" s="9" t="s">
        <v>12795</v>
      </c>
      <c r="T1552" s="9"/>
      <c r="U1552" s="9"/>
      <c r="V1552" s="9"/>
      <c r="W1552" s="9"/>
      <c r="X1552" s="9"/>
      <c r="Y1552" s="9"/>
      <c r="Z1552" s="9"/>
      <c r="AA1552" s="9"/>
      <c r="AB1552" s="9"/>
      <c r="AC1552" s="9"/>
      <c r="AD1552" s="9" t="s">
        <v>19</v>
      </c>
    </row>
    <row r="1553" spans="1:30" ht="43.5">
      <c r="A1553" s="3" t="s">
        <v>3956</v>
      </c>
      <c r="B1553" s="3" t="s">
        <v>10152</v>
      </c>
      <c r="C1553" s="3" t="s">
        <v>10153</v>
      </c>
      <c r="G1553" s="9" t="s">
        <v>12120</v>
      </c>
      <c r="H1553" s="9"/>
      <c r="I1553" s="9"/>
      <c r="J1553" s="9"/>
      <c r="K1553" s="9"/>
      <c r="L1553" s="9"/>
      <c r="M1553" s="9"/>
      <c r="N1553" s="10"/>
      <c r="O1553" s="9"/>
      <c r="P1553" s="9"/>
      <c r="Q1553" s="9"/>
      <c r="R1553" s="9" t="s">
        <v>12795</v>
      </c>
      <c r="S1553" s="9" t="s">
        <v>12795</v>
      </c>
      <c r="T1553" s="9"/>
      <c r="U1553" s="9"/>
      <c r="V1553" s="9"/>
      <c r="W1553" s="9"/>
      <c r="X1553" s="9"/>
      <c r="Y1553" s="9"/>
      <c r="Z1553" s="9"/>
      <c r="AA1553" s="9"/>
      <c r="AB1553" s="9"/>
      <c r="AC1553" s="9"/>
      <c r="AD1553" s="9" t="s">
        <v>19</v>
      </c>
    </row>
    <row r="1554" spans="1:30" ht="43.5">
      <c r="A1554" s="3" t="s">
        <v>3956</v>
      </c>
      <c r="B1554" s="3" t="s">
        <v>10154</v>
      </c>
      <c r="C1554" s="3" t="s">
        <v>10155</v>
      </c>
      <c r="G1554" s="9" t="s">
        <v>12120</v>
      </c>
      <c r="H1554" s="9"/>
      <c r="I1554" s="9"/>
      <c r="J1554" s="9"/>
      <c r="K1554" s="9"/>
      <c r="L1554" s="9"/>
      <c r="M1554" s="9"/>
      <c r="N1554" s="10"/>
      <c r="O1554" s="9"/>
      <c r="P1554" s="9"/>
      <c r="Q1554" s="9"/>
      <c r="R1554" s="9" t="s">
        <v>12795</v>
      </c>
      <c r="S1554" s="9" t="s">
        <v>12795</v>
      </c>
      <c r="T1554" s="9"/>
      <c r="U1554" s="9"/>
      <c r="V1554" s="9"/>
      <c r="W1554" s="9"/>
      <c r="X1554" s="9"/>
      <c r="Y1554" s="9"/>
      <c r="Z1554" s="9"/>
      <c r="AA1554" s="9"/>
      <c r="AB1554" s="9"/>
      <c r="AC1554" s="9"/>
      <c r="AD1554" s="9" t="s">
        <v>19</v>
      </c>
    </row>
    <row r="1555" spans="1:30" ht="29">
      <c r="A1555" s="3" t="s">
        <v>3957</v>
      </c>
      <c r="B1555" s="3" t="s">
        <v>10158</v>
      </c>
      <c r="C1555" s="3" t="s">
        <v>10159</v>
      </c>
      <c r="G1555" s="9" t="s">
        <v>26</v>
      </c>
      <c r="H1555" s="9"/>
      <c r="I1555" s="9"/>
      <c r="J1555" s="9"/>
      <c r="K1555" s="9"/>
      <c r="L1555" s="9"/>
      <c r="M1555" s="9"/>
      <c r="N1555" s="10"/>
      <c r="O1555" s="9"/>
      <c r="P1555" s="9"/>
      <c r="Q1555" s="9"/>
      <c r="R1555" s="9" t="s">
        <v>12795</v>
      </c>
      <c r="S1555" s="9" t="s">
        <v>12795</v>
      </c>
      <c r="T1555" s="9"/>
      <c r="U1555" s="9"/>
      <c r="V1555" s="9"/>
      <c r="W1555" s="9"/>
      <c r="X1555" s="9"/>
      <c r="Y1555" s="9"/>
      <c r="Z1555" s="9"/>
      <c r="AA1555" s="9"/>
      <c r="AB1555" s="9"/>
      <c r="AC1555" s="9"/>
      <c r="AD1555" s="9" t="s">
        <v>20</v>
      </c>
    </row>
    <row r="1556" spans="1:30">
      <c r="A1556" s="3" t="s">
        <v>3958</v>
      </c>
      <c r="B1556" s="3" t="s">
        <v>3959</v>
      </c>
      <c r="C1556" s="3" t="s">
        <v>3960</v>
      </c>
      <c r="G1556" s="9" t="s">
        <v>12120</v>
      </c>
      <c r="H1556" s="9"/>
      <c r="I1556" s="9"/>
      <c r="J1556" s="9"/>
      <c r="K1556" s="9"/>
      <c r="L1556" s="9"/>
      <c r="M1556" s="9"/>
      <c r="N1556" s="10"/>
      <c r="O1556" s="9"/>
      <c r="P1556" s="9"/>
      <c r="Q1556" s="9"/>
      <c r="R1556" s="9" t="s">
        <v>12795</v>
      </c>
      <c r="S1556" s="9" t="s">
        <v>12795</v>
      </c>
      <c r="T1556" s="9"/>
      <c r="U1556" s="9"/>
      <c r="V1556" s="9"/>
      <c r="W1556" s="9"/>
      <c r="X1556" s="9"/>
      <c r="Y1556" s="9"/>
      <c r="Z1556" s="9"/>
      <c r="AA1556" s="9"/>
      <c r="AB1556" s="9"/>
      <c r="AC1556" s="9"/>
      <c r="AD1556" s="9" t="s">
        <v>19</v>
      </c>
    </row>
    <row r="1557" spans="1:30">
      <c r="A1557" s="3" t="s">
        <v>3970</v>
      </c>
      <c r="B1557" s="3" t="s">
        <v>3971</v>
      </c>
      <c r="C1557" s="3" t="s">
        <v>3972</v>
      </c>
      <c r="G1557" s="9" t="s">
        <v>12120</v>
      </c>
      <c r="H1557" s="9"/>
      <c r="I1557" s="9"/>
      <c r="J1557" s="9"/>
      <c r="K1557" s="9"/>
      <c r="L1557" s="9"/>
      <c r="M1557" s="9"/>
      <c r="N1557" s="10"/>
      <c r="O1557" s="9"/>
      <c r="P1557" s="9"/>
      <c r="Q1557" s="9"/>
      <c r="R1557" s="9" t="s">
        <v>12795</v>
      </c>
      <c r="S1557" s="9" t="s">
        <v>12795</v>
      </c>
      <c r="T1557" s="9"/>
      <c r="U1557" s="9"/>
      <c r="V1557" s="9"/>
      <c r="W1557" s="9"/>
      <c r="X1557" s="9"/>
      <c r="Y1557" s="9"/>
      <c r="Z1557" s="9"/>
      <c r="AA1557" s="9"/>
      <c r="AB1557" s="9"/>
      <c r="AC1557" s="9"/>
      <c r="AD1557" s="9" t="s">
        <v>20</v>
      </c>
    </row>
    <row r="1558" spans="1:30">
      <c r="A1558" s="3" t="s">
        <v>3975</v>
      </c>
      <c r="B1558" s="3" t="s">
        <v>10181</v>
      </c>
      <c r="C1558" s="3" t="s">
        <v>10180</v>
      </c>
      <c r="G1558" s="9" t="s">
        <v>24</v>
      </c>
      <c r="H1558" s="9"/>
      <c r="I1558" s="9">
        <v>1</v>
      </c>
      <c r="J1558" s="9">
        <v>2</v>
      </c>
      <c r="K1558" s="9" t="s">
        <v>12094</v>
      </c>
      <c r="L1558" s="9" t="s">
        <v>12119</v>
      </c>
      <c r="M1558" s="9"/>
      <c r="N1558" s="10"/>
      <c r="O1558" s="9"/>
      <c r="P1558" s="9">
        <v>1741</v>
      </c>
      <c r="Q1558" s="9"/>
      <c r="R1558" s="9" t="s">
        <v>12795</v>
      </c>
      <c r="S1558" s="9" t="s">
        <v>12795</v>
      </c>
      <c r="T1558" s="9"/>
      <c r="U1558" s="9"/>
      <c r="V1558" s="9"/>
      <c r="W1558" s="9"/>
      <c r="X1558" s="9"/>
      <c r="Y1558" s="9"/>
      <c r="Z1558" s="9"/>
      <c r="AA1558" s="9"/>
      <c r="AB1558" s="9"/>
      <c r="AC1558" s="9"/>
      <c r="AD1558" s="9" t="s">
        <v>19</v>
      </c>
    </row>
    <row r="1559" spans="1:30" ht="29">
      <c r="A1559" s="3" t="s">
        <v>3987</v>
      </c>
      <c r="B1559" s="3" t="s">
        <v>10197</v>
      </c>
      <c r="C1559" s="3" t="s">
        <v>10196</v>
      </c>
      <c r="G1559" s="9" t="s">
        <v>25</v>
      </c>
      <c r="H1559" s="9"/>
      <c r="I1559" s="9">
        <v>1</v>
      </c>
      <c r="J1559" s="9">
        <v>2</v>
      </c>
      <c r="K1559" s="9" t="s">
        <v>12078</v>
      </c>
      <c r="L1559" s="9" t="s">
        <v>12119</v>
      </c>
      <c r="M1559" s="9"/>
      <c r="N1559" s="10"/>
      <c r="O1559" s="9"/>
      <c r="P1559" s="9">
        <v>11843</v>
      </c>
      <c r="Q1559" s="9"/>
      <c r="R1559" s="9" t="s">
        <v>12795</v>
      </c>
      <c r="S1559" s="9" t="s">
        <v>12795</v>
      </c>
      <c r="T1559" s="9"/>
      <c r="U1559" s="9"/>
      <c r="V1559" s="9"/>
      <c r="W1559" s="9"/>
      <c r="X1559" s="9"/>
      <c r="Y1559" s="9"/>
      <c r="Z1559" s="9"/>
      <c r="AA1559" s="9"/>
      <c r="AB1559" s="9"/>
      <c r="AC1559" s="9"/>
      <c r="AD1559" s="9" t="s">
        <v>19</v>
      </c>
    </row>
    <row r="1560" spans="1:30" ht="29">
      <c r="A1560" s="3" t="s">
        <v>3995</v>
      </c>
      <c r="B1560" s="3" t="s">
        <v>10208</v>
      </c>
      <c r="C1560" s="3" t="s">
        <v>10209</v>
      </c>
      <c r="G1560" s="9" t="s">
        <v>12118</v>
      </c>
      <c r="H1560" s="9"/>
      <c r="I1560" s="9"/>
      <c r="J1560" s="9"/>
      <c r="K1560" s="9"/>
      <c r="L1560" s="9"/>
      <c r="M1560" s="9"/>
      <c r="N1560" s="10"/>
      <c r="O1560" s="9"/>
      <c r="P1560" s="9"/>
      <c r="Q1560" s="9">
        <v>-330</v>
      </c>
      <c r="R1560" s="9">
        <v>444</v>
      </c>
      <c r="S1560" s="9">
        <v>114</v>
      </c>
      <c r="T1560" s="9"/>
      <c r="U1560" s="9"/>
      <c r="V1560" s="9"/>
      <c r="W1560" s="9"/>
      <c r="X1560" s="9"/>
      <c r="Y1560" s="9"/>
      <c r="Z1560" s="9"/>
      <c r="AA1560" s="9"/>
      <c r="AB1560" s="9"/>
      <c r="AC1560" s="9"/>
      <c r="AD1560" s="9" t="s">
        <v>19</v>
      </c>
    </row>
    <row r="1561" spans="1:30" ht="29">
      <c r="A1561" s="3" t="s">
        <v>3996</v>
      </c>
      <c r="B1561" s="3" t="s">
        <v>12523</v>
      </c>
      <c r="C1561" s="3" t="s">
        <v>10212</v>
      </c>
      <c r="G1561" s="9" t="s">
        <v>12118</v>
      </c>
      <c r="H1561" s="9"/>
      <c r="I1561" s="9"/>
      <c r="J1561" s="9"/>
      <c r="K1561" s="9"/>
      <c r="L1561" s="9"/>
      <c r="M1561" s="9"/>
      <c r="N1561" s="10"/>
      <c r="O1561" s="9"/>
      <c r="P1561" s="9"/>
      <c r="Q1561" s="9">
        <v>-24</v>
      </c>
      <c r="R1561" s="9">
        <v>24</v>
      </c>
      <c r="S1561" s="9">
        <v>0</v>
      </c>
      <c r="T1561" s="9"/>
      <c r="U1561" s="9"/>
      <c r="V1561" s="9"/>
      <c r="W1561" s="9"/>
      <c r="X1561" s="9"/>
      <c r="Y1561" s="9"/>
      <c r="Z1561" s="9"/>
      <c r="AA1561" s="9"/>
      <c r="AB1561" s="9"/>
      <c r="AC1561" s="9"/>
      <c r="AD1561" s="9" t="s">
        <v>20</v>
      </c>
    </row>
    <row r="1562" spans="1:30" ht="29">
      <c r="A1562" s="3" t="s">
        <v>4001</v>
      </c>
      <c r="B1562" s="3" t="s">
        <v>10225</v>
      </c>
      <c r="C1562" s="3" t="s">
        <v>10224</v>
      </c>
      <c r="F1562" t="s">
        <v>19</v>
      </c>
      <c r="G1562" s="9" t="s">
        <v>12118</v>
      </c>
      <c r="H1562" s="9"/>
      <c r="I1562" s="9"/>
      <c r="J1562" s="9"/>
      <c r="K1562" s="9"/>
      <c r="L1562" s="9"/>
      <c r="M1562" s="9"/>
      <c r="N1562" s="10"/>
      <c r="O1562" s="9"/>
      <c r="P1562" s="9"/>
      <c r="Q1562" s="9">
        <v>-3710</v>
      </c>
      <c r="R1562" s="9">
        <v>5676</v>
      </c>
      <c r="S1562" s="9">
        <v>1966</v>
      </c>
      <c r="T1562" s="9"/>
      <c r="U1562" s="9"/>
      <c r="V1562" s="9"/>
      <c r="W1562" s="9"/>
      <c r="X1562" s="9"/>
      <c r="Y1562" s="9"/>
      <c r="Z1562" s="9"/>
      <c r="AA1562" s="9"/>
      <c r="AB1562" s="9"/>
      <c r="AC1562" s="9"/>
      <c r="AD1562" s="9" t="s">
        <v>19</v>
      </c>
    </row>
    <row r="1563" spans="1:30">
      <c r="A1563" s="3" t="s">
        <v>4002</v>
      </c>
      <c r="B1563" s="3" t="s">
        <v>10227</v>
      </c>
      <c r="C1563" s="3" t="s">
        <v>10226</v>
      </c>
      <c r="G1563" s="9" t="s">
        <v>24</v>
      </c>
      <c r="H1563" s="9"/>
      <c r="I1563" s="9">
        <v>1</v>
      </c>
      <c r="J1563" s="9">
        <v>3</v>
      </c>
      <c r="K1563" s="9" t="s">
        <v>12123</v>
      </c>
      <c r="L1563" s="9" t="s">
        <v>12079</v>
      </c>
      <c r="M1563" s="9"/>
      <c r="N1563" s="10"/>
      <c r="O1563" s="9"/>
      <c r="P1563" s="9">
        <v>92</v>
      </c>
      <c r="Q1563" s="9"/>
      <c r="R1563" s="9" t="s">
        <v>12795</v>
      </c>
      <c r="S1563" s="9" t="s">
        <v>12795</v>
      </c>
      <c r="T1563" s="9"/>
      <c r="U1563" s="9"/>
      <c r="V1563" s="9"/>
      <c r="W1563" s="9"/>
      <c r="X1563" s="9"/>
      <c r="Y1563" s="9"/>
      <c r="Z1563" s="9"/>
      <c r="AA1563" s="9"/>
      <c r="AB1563" s="9"/>
      <c r="AC1563" s="9"/>
      <c r="AD1563" s="9" t="s">
        <v>19</v>
      </c>
    </row>
    <row r="1564" spans="1:30" ht="29">
      <c r="A1564" s="3" t="s">
        <v>4006</v>
      </c>
      <c r="B1564" s="3" t="s">
        <v>10233</v>
      </c>
      <c r="C1564" s="3" t="s">
        <v>10232</v>
      </c>
      <c r="G1564" s="9" t="s">
        <v>24</v>
      </c>
      <c r="H1564" s="9"/>
      <c r="I1564" s="9">
        <v>1</v>
      </c>
      <c r="J1564" s="9">
        <v>5</v>
      </c>
      <c r="K1564" s="9" t="s">
        <v>12098</v>
      </c>
      <c r="L1564" s="9" t="s">
        <v>12079</v>
      </c>
      <c r="M1564" s="9"/>
      <c r="N1564" s="10"/>
      <c r="O1564" s="9"/>
      <c r="P1564" s="9">
        <v>2042</v>
      </c>
      <c r="Q1564" s="9"/>
      <c r="R1564" s="9" t="s">
        <v>12795</v>
      </c>
      <c r="S1564" s="9" t="s">
        <v>12795</v>
      </c>
      <c r="T1564" s="9"/>
      <c r="U1564" s="9"/>
      <c r="V1564" s="9"/>
      <c r="W1564" s="9"/>
      <c r="X1564" s="9"/>
      <c r="Y1564" s="9"/>
      <c r="Z1564" s="9"/>
      <c r="AA1564" s="9"/>
      <c r="AB1564" s="9"/>
      <c r="AC1564" s="9"/>
      <c r="AD1564" s="9" t="s">
        <v>19</v>
      </c>
    </row>
    <row r="1565" spans="1:30" ht="29">
      <c r="A1565" s="3" t="s">
        <v>4007</v>
      </c>
      <c r="B1565" s="3" t="s">
        <v>10237</v>
      </c>
      <c r="C1565" s="3" t="s">
        <v>10238</v>
      </c>
      <c r="E1565" t="s">
        <v>20</v>
      </c>
      <c r="G1565" s="9" t="s">
        <v>12120</v>
      </c>
      <c r="H1565" s="9"/>
      <c r="I1565" s="9"/>
      <c r="J1565" s="9"/>
      <c r="K1565" s="9"/>
      <c r="L1565" s="9"/>
      <c r="M1565" s="9"/>
      <c r="N1565" s="10"/>
      <c r="O1565" s="9"/>
      <c r="P1565" s="9"/>
      <c r="Q1565" s="9"/>
      <c r="R1565" s="9" t="s">
        <v>12795</v>
      </c>
      <c r="S1565" s="9" t="s">
        <v>12795</v>
      </c>
      <c r="T1565" s="9"/>
      <c r="U1565" s="9"/>
      <c r="V1565" s="9"/>
      <c r="W1565" s="9"/>
      <c r="X1565" s="9"/>
      <c r="Y1565" s="9"/>
      <c r="Z1565" s="9"/>
      <c r="AA1565" s="9"/>
      <c r="AB1565" s="9"/>
      <c r="AC1565" s="9" t="s">
        <v>19</v>
      </c>
      <c r="AD1565" s="9" t="s">
        <v>19</v>
      </c>
    </row>
    <row r="1566" spans="1:30" ht="29">
      <c r="A1566" s="3" t="s">
        <v>4007</v>
      </c>
      <c r="B1566" s="3" t="s">
        <v>10242</v>
      </c>
      <c r="C1566" s="3" t="s">
        <v>10241</v>
      </c>
      <c r="G1566" s="9" t="s">
        <v>25</v>
      </c>
      <c r="H1566" s="9"/>
      <c r="I1566" s="9">
        <v>1</v>
      </c>
      <c r="J1566" s="9">
        <v>3</v>
      </c>
      <c r="K1566" s="9" t="s">
        <v>12087</v>
      </c>
      <c r="L1566" s="9" t="s">
        <v>12079</v>
      </c>
      <c r="M1566" s="9"/>
      <c r="N1566" s="10"/>
      <c r="O1566" s="9"/>
      <c r="P1566" s="9">
        <v>431</v>
      </c>
      <c r="Q1566" s="9"/>
      <c r="R1566" s="9" t="s">
        <v>12795</v>
      </c>
      <c r="S1566" s="9" t="s">
        <v>12795</v>
      </c>
      <c r="T1566" s="9"/>
      <c r="U1566" s="9"/>
      <c r="V1566" s="9"/>
      <c r="W1566" s="9"/>
      <c r="X1566" s="9"/>
      <c r="Y1566" s="9"/>
      <c r="Z1566" s="9"/>
      <c r="AA1566" s="9"/>
      <c r="AB1566" s="9"/>
      <c r="AC1566" s="9"/>
      <c r="AD1566" s="9" t="s">
        <v>20</v>
      </c>
    </row>
    <row r="1567" spans="1:30" ht="29">
      <c r="A1567" s="3" t="s">
        <v>4007</v>
      </c>
      <c r="B1567" s="3" t="s">
        <v>10240</v>
      </c>
      <c r="C1567" s="3" t="s">
        <v>10243</v>
      </c>
      <c r="G1567" s="9" t="s">
        <v>24</v>
      </c>
      <c r="H1567" s="9"/>
      <c r="I1567" s="9">
        <v>1</v>
      </c>
      <c r="J1567" s="9">
        <v>3</v>
      </c>
      <c r="K1567" s="9" t="s">
        <v>12087</v>
      </c>
      <c r="L1567" s="9" t="s">
        <v>12079</v>
      </c>
      <c r="M1567" s="9"/>
      <c r="N1567" s="10"/>
      <c r="O1567" s="9"/>
      <c r="P1567" s="9">
        <v>309</v>
      </c>
      <c r="Q1567" s="9"/>
      <c r="R1567" s="9" t="s">
        <v>12795</v>
      </c>
      <c r="S1567" s="9" t="s">
        <v>12795</v>
      </c>
      <c r="T1567" s="9"/>
      <c r="U1567" s="9"/>
      <c r="V1567" s="9"/>
      <c r="W1567" s="9"/>
      <c r="X1567" s="9"/>
      <c r="Y1567" s="9"/>
      <c r="Z1567" s="9"/>
      <c r="AA1567" s="9"/>
      <c r="AB1567" s="9"/>
      <c r="AC1567" s="9"/>
      <c r="AD1567" s="9" t="s">
        <v>19</v>
      </c>
    </row>
    <row r="1568" spans="1:30">
      <c r="A1568" s="3" t="s">
        <v>4008</v>
      </c>
      <c r="B1568" s="3" t="s">
        <v>10245</v>
      </c>
      <c r="C1568" s="3" t="s">
        <v>10244</v>
      </c>
      <c r="G1568" s="9" t="s">
        <v>12118</v>
      </c>
      <c r="H1568" s="9"/>
      <c r="I1568" s="9"/>
      <c r="J1568" s="9"/>
      <c r="K1568" s="9"/>
      <c r="L1568" s="9"/>
      <c r="M1568" s="9"/>
      <c r="N1568" s="10"/>
      <c r="O1568" s="9"/>
      <c r="P1568" s="9"/>
      <c r="Q1568" s="9">
        <v>91</v>
      </c>
      <c r="R1568" s="9">
        <v>14</v>
      </c>
      <c r="S1568" s="9">
        <v>105</v>
      </c>
      <c r="T1568" s="9"/>
      <c r="U1568" s="9"/>
      <c r="V1568" s="9"/>
      <c r="W1568" s="9"/>
      <c r="X1568" s="9"/>
      <c r="Y1568" s="9"/>
      <c r="Z1568" s="9"/>
      <c r="AA1568" s="9"/>
      <c r="AB1568" s="9"/>
      <c r="AC1568" s="9"/>
      <c r="AD1568" s="9" t="s">
        <v>19</v>
      </c>
    </row>
    <row r="1569" spans="1:30" ht="43.5">
      <c r="A1569" s="3" t="s">
        <v>4016</v>
      </c>
      <c r="B1569" s="3" t="s">
        <v>10278</v>
      </c>
      <c r="C1569" s="3" t="s">
        <v>10279</v>
      </c>
      <c r="G1569" s="9" t="s">
        <v>12118</v>
      </c>
      <c r="H1569" s="9"/>
      <c r="I1569" s="9"/>
      <c r="J1569" s="9"/>
      <c r="K1569" s="9"/>
      <c r="L1569" s="9"/>
      <c r="M1569" s="9"/>
      <c r="N1569" s="10"/>
      <c r="O1569" s="9"/>
      <c r="P1569" s="9"/>
      <c r="Q1569" s="9">
        <v>-188</v>
      </c>
      <c r="R1569" s="9">
        <v>207</v>
      </c>
      <c r="S1569" s="9">
        <v>19</v>
      </c>
      <c r="T1569" s="9"/>
      <c r="U1569" s="9"/>
      <c r="V1569" s="9"/>
      <c r="W1569" s="9"/>
      <c r="X1569" s="9"/>
      <c r="Y1569" s="9"/>
      <c r="Z1569" s="9"/>
      <c r="AA1569" s="9"/>
      <c r="AB1569" s="9"/>
      <c r="AC1569" s="9"/>
      <c r="AD1569" s="9" t="s">
        <v>19</v>
      </c>
    </row>
    <row r="1570" spans="1:30" ht="29">
      <c r="A1570" s="3" t="s">
        <v>4016</v>
      </c>
      <c r="B1570" s="3" t="s">
        <v>10286</v>
      </c>
      <c r="C1570" s="3" t="s">
        <v>10287</v>
      </c>
      <c r="G1570" s="9" t="s">
        <v>12118</v>
      </c>
      <c r="H1570" s="9"/>
      <c r="I1570" s="9"/>
      <c r="J1570" s="9"/>
      <c r="K1570" s="9"/>
      <c r="L1570" s="9"/>
      <c r="M1570" s="9"/>
      <c r="N1570" s="10"/>
      <c r="O1570" s="9"/>
      <c r="P1570" s="9"/>
      <c r="Q1570" s="9">
        <v>151</v>
      </c>
      <c r="R1570" s="9">
        <v>5</v>
      </c>
      <c r="S1570" s="9">
        <v>156</v>
      </c>
      <c r="T1570" s="9"/>
      <c r="U1570" s="9"/>
      <c r="V1570" s="9"/>
      <c r="W1570" s="9"/>
      <c r="X1570" s="9"/>
      <c r="Y1570" s="9"/>
      <c r="Z1570" s="9"/>
      <c r="AA1570" s="9"/>
      <c r="AB1570" s="9"/>
      <c r="AC1570" s="9"/>
      <c r="AD1570" s="9" t="s">
        <v>19</v>
      </c>
    </row>
    <row r="1571" spans="1:30" ht="29">
      <c r="A1571" s="3" t="s">
        <v>4023</v>
      </c>
      <c r="B1571" s="3" t="s">
        <v>10290</v>
      </c>
      <c r="C1571" s="3" t="s">
        <v>10291</v>
      </c>
      <c r="G1571" s="9" t="s">
        <v>25</v>
      </c>
      <c r="H1571" s="9"/>
      <c r="I1571" s="9">
        <v>1</v>
      </c>
      <c r="J1571" s="9">
        <v>2</v>
      </c>
      <c r="K1571" s="9" t="s">
        <v>12087</v>
      </c>
      <c r="L1571" s="9" t="s">
        <v>12119</v>
      </c>
      <c r="M1571" s="9"/>
      <c r="N1571" s="10"/>
      <c r="O1571" s="9"/>
      <c r="P1571" s="9">
        <v>1966</v>
      </c>
      <c r="Q1571" s="9"/>
      <c r="R1571" s="9" t="s">
        <v>12795</v>
      </c>
      <c r="S1571" s="9" t="s">
        <v>12795</v>
      </c>
      <c r="T1571" s="9"/>
      <c r="U1571" s="9"/>
      <c r="V1571" s="9"/>
      <c r="W1571" s="9"/>
      <c r="X1571" s="9"/>
      <c r="Y1571" s="9"/>
      <c r="Z1571" s="9"/>
      <c r="AA1571" s="9"/>
      <c r="AB1571" s="9"/>
      <c r="AC1571" s="9"/>
      <c r="AD1571" s="9" t="s">
        <v>20</v>
      </c>
    </row>
    <row r="1572" spans="1:30" ht="29">
      <c r="A1572" s="3" t="s">
        <v>4023</v>
      </c>
      <c r="B1572" s="3" t="s">
        <v>10292</v>
      </c>
      <c r="C1572" s="3" t="s">
        <v>10291</v>
      </c>
      <c r="G1572" s="9" t="s">
        <v>25</v>
      </c>
      <c r="H1572" s="9"/>
      <c r="I1572" s="9">
        <v>1</v>
      </c>
      <c r="J1572" s="9">
        <v>5</v>
      </c>
      <c r="K1572" s="9" t="s">
        <v>12125</v>
      </c>
      <c r="L1572" s="9" t="s">
        <v>12079</v>
      </c>
      <c r="M1572" s="9"/>
      <c r="N1572" s="10"/>
      <c r="O1572" s="9"/>
      <c r="P1572" s="9">
        <v>1565</v>
      </c>
      <c r="Q1572" s="9"/>
      <c r="R1572" s="9" t="s">
        <v>12795</v>
      </c>
      <c r="S1572" s="9" t="s">
        <v>12795</v>
      </c>
      <c r="T1572" s="9"/>
      <c r="U1572" s="9"/>
      <c r="V1572" s="9"/>
      <c r="W1572" s="9"/>
      <c r="X1572" s="9"/>
      <c r="Y1572" s="9"/>
      <c r="Z1572" s="9"/>
      <c r="AA1572" s="9"/>
      <c r="AB1572" s="9"/>
      <c r="AC1572" s="9"/>
      <c r="AD1572" s="9" t="s">
        <v>20</v>
      </c>
    </row>
    <row r="1573" spans="1:30">
      <c r="A1573" s="3" t="s">
        <v>4025</v>
      </c>
      <c r="B1573" s="3" t="s">
        <v>10303</v>
      </c>
      <c r="C1573" s="3" t="s">
        <v>10304</v>
      </c>
      <c r="G1573" s="9" t="s">
        <v>12118</v>
      </c>
      <c r="H1573" s="9"/>
      <c r="I1573" s="9"/>
      <c r="J1573" s="9"/>
      <c r="K1573" s="9"/>
      <c r="L1573" s="9"/>
      <c r="M1573" s="9"/>
      <c r="N1573" s="10"/>
      <c r="O1573" s="9"/>
      <c r="P1573" s="9"/>
      <c r="Q1573" s="9">
        <v>-1800</v>
      </c>
      <c r="R1573" s="9">
        <v>1966</v>
      </c>
      <c r="S1573" s="9">
        <v>166</v>
      </c>
      <c r="T1573" s="9"/>
      <c r="U1573" s="9"/>
      <c r="V1573" s="9"/>
      <c r="W1573" s="9"/>
      <c r="X1573" s="9"/>
      <c r="Y1573" s="9"/>
      <c r="Z1573" s="9"/>
      <c r="AA1573" s="9"/>
      <c r="AB1573" s="9"/>
      <c r="AC1573" s="9"/>
      <c r="AD1573" s="9" t="s">
        <v>19</v>
      </c>
    </row>
    <row r="1574" spans="1:30" ht="43.5">
      <c r="A1574" s="3" t="s">
        <v>4025</v>
      </c>
      <c r="B1574" s="3" t="s">
        <v>10307</v>
      </c>
      <c r="C1574" s="3" t="s">
        <v>10305</v>
      </c>
      <c r="G1574" s="9" t="s">
        <v>25</v>
      </c>
      <c r="H1574" s="9"/>
      <c r="I1574" s="9">
        <v>2</v>
      </c>
      <c r="J1574" s="9">
        <v>5</v>
      </c>
      <c r="K1574" s="9"/>
      <c r="L1574" s="9" t="s">
        <v>12079</v>
      </c>
      <c r="M1574" s="9"/>
      <c r="N1574" s="10"/>
      <c r="O1574" s="9"/>
      <c r="P1574" s="9">
        <v>361</v>
      </c>
      <c r="Q1574" s="9"/>
      <c r="R1574" s="9" t="s">
        <v>12795</v>
      </c>
      <c r="S1574" s="9" t="s">
        <v>12795</v>
      </c>
      <c r="T1574" s="9"/>
      <c r="U1574" s="9"/>
      <c r="V1574" s="9"/>
      <c r="W1574" s="9"/>
      <c r="X1574" s="9"/>
      <c r="Y1574" s="9"/>
      <c r="Z1574" s="9"/>
      <c r="AA1574" s="9"/>
      <c r="AB1574" s="9"/>
      <c r="AC1574" s="9"/>
      <c r="AD1574" s="9" t="s">
        <v>19</v>
      </c>
    </row>
    <row r="1575" spans="1:30" ht="43.5">
      <c r="A1575" s="3" t="s">
        <v>4025</v>
      </c>
      <c r="B1575" s="3" t="s">
        <v>10306</v>
      </c>
      <c r="C1575" s="3" t="s">
        <v>10308</v>
      </c>
      <c r="G1575" s="9" t="s">
        <v>24</v>
      </c>
      <c r="H1575" s="9"/>
      <c r="I1575" s="9">
        <v>1</v>
      </c>
      <c r="J1575" s="9">
        <v>3</v>
      </c>
      <c r="K1575" s="9" t="s">
        <v>12078</v>
      </c>
      <c r="L1575" s="9" t="s">
        <v>12079</v>
      </c>
      <c r="M1575" s="9"/>
      <c r="N1575" s="10"/>
      <c r="O1575" s="9"/>
      <c r="P1575" s="9">
        <v>11843</v>
      </c>
      <c r="Q1575" s="9"/>
      <c r="R1575" s="9" t="s">
        <v>12795</v>
      </c>
      <c r="S1575" s="9" t="s">
        <v>12795</v>
      </c>
      <c r="T1575" s="9"/>
      <c r="U1575" s="9"/>
      <c r="V1575" s="9"/>
      <c r="W1575" s="9"/>
      <c r="X1575" s="9"/>
      <c r="Y1575" s="9"/>
      <c r="Z1575" s="9"/>
      <c r="AA1575" s="9"/>
      <c r="AB1575" s="9"/>
      <c r="AC1575" s="9"/>
      <c r="AD1575" s="9" t="s">
        <v>19</v>
      </c>
    </row>
    <row r="1576" spans="1:30">
      <c r="A1576" s="3" t="s">
        <v>4026</v>
      </c>
      <c r="B1576" s="3" t="s">
        <v>10310</v>
      </c>
      <c r="C1576" s="3" t="s">
        <v>10309</v>
      </c>
      <c r="G1576" s="9" t="s">
        <v>25</v>
      </c>
      <c r="H1576" s="9"/>
      <c r="I1576" s="9">
        <v>1</v>
      </c>
      <c r="J1576" s="9">
        <v>4</v>
      </c>
      <c r="K1576" s="9" t="s">
        <v>12078</v>
      </c>
      <c r="L1576" s="9" t="s">
        <v>12073</v>
      </c>
      <c r="M1576" s="9" t="s">
        <v>12142</v>
      </c>
      <c r="N1576" s="10" t="s">
        <v>12160</v>
      </c>
      <c r="O1576" s="9" t="s">
        <v>12074</v>
      </c>
      <c r="P1576" s="9">
        <v>11843</v>
      </c>
      <c r="Q1576" s="9"/>
      <c r="R1576" s="9" t="s">
        <v>12795</v>
      </c>
      <c r="S1576" s="9" t="s">
        <v>12795</v>
      </c>
      <c r="T1576" s="9"/>
      <c r="U1576" s="9"/>
      <c r="V1576" s="9"/>
      <c r="W1576" s="9"/>
      <c r="X1576" s="9"/>
      <c r="Y1576" s="9"/>
      <c r="Z1576" s="9"/>
      <c r="AA1576" s="9"/>
      <c r="AB1576" s="9"/>
      <c r="AC1576" s="9"/>
      <c r="AD1576" s="9" t="s">
        <v>20</v>
      </c>
    </row>
    <row r="1577" spans="1:30">
      <c r="A1577" s="3" t="s">
        <v>4029</v>
      </c>
      <c r="B1577" s="3" t="s">
        <v>4030</v>
      </c>
      <c r="C1577" s="3" t="s">
        <v>4031</v>
      </c>
      <c r="G1577" s="9" t="s">
        <v>12120</v>
      </c>
      <c r="H1577" s="9"/>
      <c r="I1577" s="9"/>
      <c r="J1577" s="9"/>
      <c r="K1577" s="9"/>
      <c r="L1577" s="9"/>
      <c r="M1577" s="9"/>
      <c r="N1577" s="10"/>
      <c r="O1577" s="9"/>
      <c r="P1577" s="9"/>
      <c r="Q1577" s="9"/>
      <c r="R1577" s="9" t="s">
        <v>12795</v>
      </c>
      <c r="S1577" s="9" t="s">
        <v>12795</v>
      </c>
      <c r="T1577" s="9"/>
      <c r="U1577" s="9"/>
      <c r="V1577" s="9"/>
      <c r="W1577" s="9"/>
      <c r="X1577" s="9"/>
      <c r="Y1577" s="9"/>
      <c r="Z1577" s="9"/>
      <c r="AA1577" s="9"/>
      <c r="AB1577" s="9"/>
      <c r="AC1577" s="9"/>
      <c r="AD1577" s="9" t="s">
        <v>20</v>
      </c>
    </row>
    <row r="1578" spans="1:30">
      <c r="A1578" s="3" t="s">
        <v>4029</v>
      </c>
      <c r="B1578" s="3" t="s">
        <v>10318</v>
      </c>
      <c r="C1578" s="3" t="s">
        <v>10319</v>
      </c>
      <c r="G1578" s="9" t="s">
        <v>12120</v>
      </c>
      <c r="H1578" s="9"/>
      <c r="I1578" s="9"/>
      <c r="J1578" s="9"/>
      <c r="K1578" s="9"/>
      <c r="L1578" s="9"/>
      <c r="M1578" s="9"/>
      <c r="N1578" s="10"/>
      <c r="O1578" s="9"/>
      <c r="P1578" s="9"/>
      <c r="Q1578" s="9"/>
      <c r="R1578" s="9" t="s">
        <v>12795</v>
      </c>
      <c r="S1578" s="9" t="s">
        <v>12795</v>
      </c>
      <c r="T1578" s="9"/>
      <c r="U1578" s="9"/>
      <c r="V1578" s="9"/>
      <c r="W1578" s="9"/>
      <c r="X1578" s="9"/>
      <c r="Y1578" s="9"/>
      <c r="Z1578" s="9"/>
      <c r="AA1578" s="9"/>
      <c r="AB1578" s="9"/>
      <c r="AC1578" s="9"/>
      <c r="AD1578" s="9" t="s">
        <v>19</v>
      </c>
    </row>
    <row r="1579" spans="1:30">
      <c r="A1579" s="3" t="s">
        <v>4036</v>
      </c>
      <c r="B1579" s="3" t="s">
        <v>10323</v>
      </c>
      <c r="C1579" s="3" t="s">
        <v>10322</v>
      </c>
      <c r="G1579" s="9" t="s">
        <v>12118</v>
      </c>
      <c r="H1579" s="9"/>
      <c r="I1579" s="9"/>
      <c r="J1579" s="9"/>
      <c r="K1579" s="9"/>
      <c r="L1579" s="9"/>
      <c r="M1579" s="9"/>
      <c r="N1579" s="10"/>
      <c r="O1579" s="9"/>
      <c r="P1579" s="9"/>
      <c r="Q1579" s="9">
        <v>108</v>
      </c>
      <c r="R1579" s="9">
        <v>364</v>
      </c>
      <c r="S1579" s="9">
        <v>472</v>
      </c>
      <c r="T1579" s="9"/>
      <c r="U1579" s="9"/>
      <c r="V1579" s="9"/>
      <c r="W1579" s="9"/>
      <c r="X1579" s="9"/>
      <c r="Y1579" s="9"/>
      <c r="Z1579" s="9"/>
      <c r="AA1579" s="9"/>
      <c r="AB1579" s="9"/>
      <c r="AC1579" s="9"/>
      <c r="AD1579" s="9" t="s">
        <v>19</v>
      </c>
    </row>
    <row r="1580" spans="1:30" ht="29">
      <c r="A1580" s="3" t="s">
        <v>4037</v>
      </c>
      <c r="B1580" s="3" t="s">
        <v>10329</v>
      </c>
      <c r="C1580" s="3" t="s">
        <v>10330</v>
      </c>
      <c r="G1580" s="9" t="s">
        <v>24</v>
      </c>
      <c r="H1580" s="9"/>
      <c r="I1580" s="9">
        <v>1</v>
      </c>
      <c r="J1580" s="9">
        <v>3</v>
      </c>
      <c r="K1580" s="9" t="s">
        <v>12078</v>
      </c>
      <c r="L1580" s="9" t="s">
        <v>12079</v>
      </c>
      <c r="M1580" s="9"/>
      <c r="N1580" s="10"/>
      <c r="O1580" s="9"/>
      <c r="P1580" s="9">
        <v>11843</v>
      </c>
      <c r="Q1580" s="9"/>
      <c r="R1580" s="9" t="s">
        <v>12795</v>
      </c>
      <c r="S1580" s="9" t="s">
        <v>12795</v>
      </c>
      <c r="T1580" s="9"/>
      <c r="U1580" s="9"/>
      <c r="V1580" s="9"/>
      <c r="W1580" s="9"/>
      <c r="X1580" s="9"/>
      <c r="Y1580" s="9"/>
      <c r="Z1580" s="9"/>
      <c r="AA1580" s="9"/>
      <c r="AB1580" s="9"/>
      <c r="AC1580" s="9"/>
      <c r="AD1580" s="9" t="s">
        <v>20</v>
      </c>
    </row>
    <row r="1581" spans="1:30">
      <c r="A1581" s="3" t="s">
        <v>4043</v>
      </c>
      <c r="B1581" s="3" t="s">
        <v>10332</v>
      </c>
      <c r="C1581" s="3" t="s">
        <v>10333</v>
      </c>
      <c r="G1581" s="9" t="s">
        <v>12118</v>
      </c>
      <c r="H1581" s="9"/>
      <c r="I1581" s="9"/>
      <c r="J1581" s="9"/>
      <c r="K1581" s="9"/>
      <c r="L1581" s="9"/>
      <c r="M1581" s="9"/>
      <c r="N1581" s="10"/>
      <c r="O1581" s="9"/>
      <c r="P1581" s="9"/>
      <c r="Q1581" s="9">
        <v>11063</v>
      </c>
      <c r="R1581" s="9">
        <v>780</v>
      </c>
      <c r="S1581" s="9">
        <v>11843</v>
      </c>
      <c r="T1581" s="9"/>
      <c r="U1581" s="9"/>
      <c r="V1581" s="9"/>
      <c r="W1581" s="9"/>
      <c r="X1581" s="9"/>
      <c r="Y1581" s="9"/>
      <c r="Z1581" s="9"/>
      <c r="AA1581" s="9"/>
      <c r="AB1581" s="9"/>
      <c r="AC1581" s="9"/>
      <c r="AD1581" s="9" t="s">
        <v>20</v>
      </c>
    </row>
    <row r="1582" spans="1:30" ht="101.5">
      <c r="A1582" s="3" t="s">
        <v>4043</v>
      </c>
      <c r="B1582" s="3" t="s">
        <v>10337</v>
      </c>
      <c r="C1582" s="3" t="s">
        <v>10334</v>
      </c>
      <c r="G1582" s="9" t="s">
        <v>25</v>
      </c>
      <c r="H1582" s="9"/>
      <c r="I1582" s="9">
        <v>9</v>
      </c>
      <c r="J1582" s="9">
        <v>52</v>
      </c>
      <c r="K1582" s="9"/>
      <c r="L1582" s="9" t="s">
        <v>12079</v>
      </c>
      <c r="M1582" s="9"/>
      <c r="N1582" s="10"/>
      <c r="O1582" s="9"/>
      <c r="P1582" s="9">
        <v>0</v>
      </c>
      <c r="Q1582" s="9"/>
      <c r="R1582" s="9" t="s">
        <v>12795</v>
      </c>
      <c r="S1582" s="9" t="s">
        <v>12795</v>
      </c>
      <c r="T1582" s="9"/>
      <c r="U1582" s="9"/>
      <c r="V1582" s="9"/>
      <c r="W1582" s="9"/>
      <c r="X1582" s="9"/>
      <c r="Y1582" s="9"/>
      <c r="Z1582" s="9"/>
      <c r="AA1582" s="9"/>
      <c r="AB1582" s="9"/>
      <c r="AC1582" s="9"/>
      <c r="AD1582" s="9" t="s">
        <v>13141</v>
      </c>
    </row>
    <row r="1583" spans="1:30" ht="101.5">
      <c r="A1583" s="3" t="s">
        <v>4044</v>
      </c>
      <c r="B1583" s="3" t="s">
        <v>10338</v>
      </c>
      <c r="C1583" s="3" t="s">
        <v>10339</v>
      </c>
      <c r="G1583" s="9" t="s">
        <v>12120</v>
      </c>
      <c r="H1583" s="9"/>
      <c r="I1583" s="9"/>
      <c r="J1583" s="9"/>
      <c r="K1583" s="9"/>
      <c r="L1583" s="9"/>
      <c r="M1583" s="9"/>
      <c r="N1583" s="10"/>
      <c r="O1583" s="9"/>
      <c r="P1583" s="9"/>
      <c r="Q1583" s="9"/>
      <c r="R1583" s="9" t="s">
        <v>12795</v>
      </c>
      <c r="S1583" s="9" t="s">
        <v>12795</v>
      </c>
      <c r="T1583" s="9"/>
      <c r="U1583" s="9"/>
      <c r="V1583" s="9"/>
      <c r="W1583" s="9"/>
      <c r="X1583" s="9"/>
      <c r="Y1583" s="9"/>
      <c r="Z1583" s="9"/>
      <c r="AA1583" s="9"/>
      <c r="AB1583" s="9"/>
      <c r="AC1583" s="9"/>
      <c r="AD1583" s="9" t="s">
        <v>20</v>
      </c>
    </row>
    <row r="1584" spans="1:30">
      <c r="A1584" s="3" t="s">
        <v>4045</v>
      </c>
      <c r="B1584" s="3" t="s">
        <v>10343</v>
      </c>
      <c r="C1584" s="3" t="s">
        <v>10344</v>
      </c>
      <c r="G1584" s="9" t="s">
        <v>24</v>
      </c>
      <c r="H1584" s="9"/>
      <c r="I1584" s="9">
        <v>1</v>
      </c>
      <c r="J1584" s="9">
        <v>6</v>
      </c>
      <c r="K1584" s="9" t="s">
        <v>12072</v>
      </c>
      <c r="L1584" s="9" t="s">
        <v>12079</v>
      </c>
      <c r="M1584" s="9"/>
      <c r="N1584" s="10"/>
      <c r="O1584" s="9"/>
      <c r="P1584" s="9">
        <v>930</v>
      </c>
      <c r="Q1584" s="9"/>
      <c r="R1584" s="9" t="s">
        <v>12795</v>
      </c>
      <c r="S1584" s="9" t="s">
        <v>12795</v>
      </c>
      <c r="T1584" s="9"/>
      <c r="U1584" s="9"/>
      <c r="V1584" s="9"/>
      <c r="W1584" s="9"/>
      <c r="X1584" s="9"/>
      <c r="Y1584" s="9"/>
      <c r="Z1584" s="9"/>
      <c r="AA1584" s="9"/>
      <c r="AB1584" s="9"/>
      <c r="AC1584" s="9"/>
      <c r="AD1584" s="9" t="s">
        <v>19</v>
      </c>
    </row>
    <row r="1585" spans="1:30">
      <c r="A1585" s="3" t="s">
        <v>4046</v>
      </c>
      <c r="B1585" s="3" t="s">
        <v>10347</v>
      </c>
      <c r="C1585" s="3" t="s">
        <v>10348</v>
      </c>
      <c r="G1585" s="9" t="s">
        <v>12118</v>
      </c>
      <c r="H1585" s="9"/>
      <c r="I1585" s="9"/>
      <c r="J1585" s="9"/>
      <c r="K1585" s="9"/>
      <c r="L1585" s="9"/>
      <c r="M1585" s="9"/>
      <c r="N1585" s="10"/>
      <c r="O1585" s="9"/>
      <c r="P1585" s="9"/>
      <c r="Q1585" s="9">
        <v>245</v>
      </c>
      <c r="R1585" s="9">
        <v>1496</v>
      </c>
      <c r="S1585" s="9">
        <v>1741</v>
      </c>
      <c r="T1585" s="9"/>
      <c r="U1585" s="9"/>
      <c r="V1585" s="9"/>
      <c r="W1585" s="9"/>
      <c r="X1585" s="9"/>
      <c r="Y1585" s="9"/>
      <c r="Z1585" s="9"/>
      <c r="AA1585" s="9"/>
      <c r="AB1585" s="9"/>
      <c r="AC1585" s="9"/>
      <c r="AD1585" s="9" t="s">
        <v>20</v>
      </c>
    </row>
    <row r="1586" spans="1:30">
      <c r="A1586" s="3" t="s">
        <v>4047</v>
      </c>
      <c r="B1586" s="3" t="s">
        <v>10354</v>
      </c>
      <c r="C1586" s="3" t="s">
        <v>10353</v>
      </c>
      <c r="G1586" s="9" t="s">
        <v>25</v>
      </c>
      <c r="H1586" s="9"/>
      <c r="I1586" s="9">
        <v>1</v>
      </c>
      <c r="J1586" s="9">
        <v>3</v>
      </c>
      <c r="K1586" s="9" t="s">
        <v>12087</v>
      </c>
      <c r="L1586" s="9" t="s">
        <v>12079</v>
      </c>
      <c r="M1586" s="9"/>
      <c r="N1586" s="10"/>
      <c r="O1586" s="9"/>
      <c r="P1586" s="9">
        <v>5676</v>
      </c>
      <c r="Q1586" s="9"/>
      <c r="R1586" s="9" t="s">
        <v>12795</v>
      </c>
      <c r="S1586" s="9" t="s">
        <v>12795</v>
      </c>
      <c r="T1586" s="9"/>
      <c r="U1586" s="9"/>
      <c r="V1586" s="9"/>
      <c r="W1586" s="9"/>
      <c r="X1586" s="9"/>
      <c r="Y1586" s="9"/>
      <c r="Z1586" s="9"/>
      <c r="AA1586" s="9"/>
      <c r="AB1586" s="9"/>
      <c r="AC1586" s="9"/>
      <c r="AD1586" s="9" t="s">
        <v>19</v>
      </c>
    </row>
    <row r="1587" spans="1:30">
      <c r="A1587" s="3" t="s">
        <v>4052</v>
      </c>
      <c r="B1587" s="3" t="s">
        <v>10365</v>
      </c>
      <c r="C1587" s="3" t="s">
        <v>10366</v>
      </c>
      <c r="G1587" s="9" t="s">
        <v>24</v>
      </c>
      <c r="H1587" s="9"/>
      <c r="I1587" s="9">
        <v>1</v>
      </c>
      <c r="J1587" s="9">
        <v>2</v>
      </c>
      <c r="K1587" s="9" t="s">
        <v>12096</v>
      </c>
      <c r="L1587" s="9" t="s">
        <v>12079</v>
      </c>
      <c r="M1587" s="9"/>
      <c r="N1587" s="10"/>
      <c r="O1587" s="9"/>
      <c r="P1587" s="9">
        <v>485</v>
      </c>
      <c r="Q1587" s="9"/>
      <c r="R1587" s="9" t="s">
        <v>12795</v>
      </c>
      <c r="S1587" s="9" t="s">
        <v>12795</v>
      </c>
      <c r="T1587" s="9"/>
      <c r="U1587" s="9"/>
      <c r="V1587" s="9"/>
      <c r="W1587" s="9"/>
      <c r="X1587" s="9"/>
      <c r="Y1587" s="9"/>
      <c r="Z1587" s="9"/>
      <c r="AA1587" s="9"/>
      <c r="AB1587" s="9"/>
      <c r="AC1587" s="9"/>
      <c r="AD1587" s="9" t="s">
        <v>19</v>
      </c>
    </row>
    <row r="1588" spans="1:30">
      <c r="A1588" s="3" t="s">
        <v>4052</v>
      </c>
      <c r="B1588" s="3" t="s">
        <v>12940</v>
      </c>
      <c r="C1588" s="3" t="s">
        <v>10369</v>
      </c>
      <c r="G1588" s="9" t="s">
        <v>25</v>
      </c>
      <c r="H1588" s="9"/>
      <c r="I1588" s="9">
        <v>1</v>
      </c>
      <c r="J1588" s="9">
        <v>3</v>
      </c>
      <c r="K1588" s="9" t="s">
        <v>12078</v>
      </c>
      <c r="L1588" s="9" t="s">
        <v>12079</v>
      </c>
      <c r="M1588" s="9"/>
      <c r="N1588" s="10"/>
      <c r="O1588" s="9"/>
      <c r="P1588" s="9">
        <v>11843</v>
      </c>
      <c r="Q1588" s="9"/>
      <c r="R1588" s="9" t="s">
        <v>12795</v>
      </c>
      <c r="S1588" s="9" t="s">
        <v>12795</v>
      </c>
      <c r="T1588" s="9"/>
      <c r="U1588" s="9"/>
      <c r="V1588" s="9"/>
      <c r="W1588" s="9"/>
      <c r="X1588" s="9"/>
      <c r="Y1588" s="9"/>
      <c r="Z1588" s="9"/>
      <c r="AA1588" s="9"/>
      <c r="AB1588" s="9"/>
      <c r="AC1588" s="9"/>
      <c r="AD1588" s="9" t="s">
        <v>19</v>
      </c>
    </row>
    <row r="1589" spans="1:30" ht="43.5">
      <c r="A1589" s="3" t="s">
        <v>4065</v>
      </c>
      <c r="B1589" s="3" t="s">
        <v>10398</v>
      </c>
      <c r="C1589" s="3" t="s">
        <v>10397</v>
      </c>
      <c r="G1589" s="9" t="s">
        <v>26</v>
      </c>
      <c r="H1589" s="9"/>
      <c r="I1589" s="9"/>
      <c r="J1589" s="9"/>
      <c r="K1589" s="9"/>
      <c r="L1589" s="9"/>
      <c r="M1589" s="9"/>
      <c r="N1589" s="10"/>
      <c r="O1589" s="9"/>
      <c r="P1589" s="9"/>
      <c r="Q1589" s="9"/>
      <c r="R1589" s="9" t="s">
        <v>12795</v>
      </c>
      <c r="S1589" s="9" t="s">
        <v>12795</v>
      </c>
      <c r="T1589" s="9"/>
      <c r="U1589" s="9"/>
      <c r="V1589" s="9"/>
      <c r="W1589" s="9"/>
      <c r="X1589" s="9"/>
      <c r="Y1589" s="9"/>
      <c r="Z1589" s="9"/>
      <c r="AA1589" s="9"/>
      <c r="AB1589" s="9"/>
      <c r="AC1589" s="9"/>
      <c r="AD1589" s="9" t="s">
        <v>20</v>
      </c>
    </row>
    <row r="1590" spans="1:30">
      <c r="A1590" s="3" t="s">
        <v>4066</v>
      </c>
      <c r="B1590" s="3" t="s">
        <v>10400</v>
      </c>
      <c r="C1590" s="3" t="s">
        <v>10399</v>
      </c>
      <c r="G1590" s="9" t="s">
        <v>12120</v>
      </c>
      <c r="H1590" s="9"/>
      <c r="I1590" s="9"/>
      <c r="J1590" s="9"/>
      <c r="K1590" s="9"/>
      <c r="L1590" s="9"/>
      <c r="M1590" s="9"/>
      <c r="N1590" s="10"/>
      <c r="O1590" s="9"/>
      <c r="P1590" s="9"/>
      <c r="Q1590" s="9"/>
      <c r="R1590" s="9" t="s">
        <v>12795</v>
      </c>
      <c r="S1590" s="9" t="s">
        <v>12795</v>
      </c>
      <c r="T1590" s="9"/>
      <c r="U1590" s="9"/>
      <c r="V1590" s="9"/>
      <c r="W1590" s="9"/>
      <c r="X1590" s="9"/>
      <c r="Y1590" s="9"/>
      <c r="Z1590" s="9"/>
      <c r="AA1590" s="9"/>
      <c r="AB1590" s="9"/>
      <c r="AC1590" s="9"/>
      <c r="AD1590" s="9" t="s">
        <v>19</v>
      </c>
    </row>
    <row r="1591" spans="1:30" ht="58">
      <c r="A1591" s="3" t="s">
        <v>4067</v>
      </c>
      <c r="B1591" s="3" t="s">
        <v>12941</v>
      </c>
      <c r="C1591" s="3" t="s">
        <v>10401</v>
      </c>
      <c r="G1591" s="9" t="s">
        <v>26</v>
      </c>
      <c r="H1591" s="9"/>
      <c r="I1591" s="9"/>
      <c r="J1591" s="9"/>
      <c r="K1591" s="9"/>
      <c r="L1591" s="9"/>
      <c r="M1591" s="9"/>
      <c r="N1591" s="10"/>
      <c r="O1591" s="9"/>
      <c r="P1591" s="9"/>
      <c r="Q1591" s="9"/>
      <c r="R1591" s="9" t="s">
        <v>12795</v>
      </c>
      <c r="S1591" s="9" t="s">
        <v>12795</v>
      </c>
      <c r="T1591" s="9"/>
      <c r="U1591" s="9"/>
      <c r="V1591" s="9"/>
      <c r="W1591" s="9"/>
      <c r="X1591" s="9"/>
      <c r="Y1591" s="9"/>
      <c r="Z1591" s="9"/>
      <c r="AA1591" s="9"/>
      <c r="AB1591" s="9"/>
      <c r="AC1591" s="9"/>
      <c r="AD1591" s="9" t="s">
        <v>19</v>
      </c>
    </row>
    <row r="1592" spans="1:30" ht="58">
      <c r="A1592" s="3" t="s">
        <v>4070</v>
      </c>
      <c r="B1592" s="3" t="s">
        <v>10403</v>
      </c>
      <c r="C1592" s="3" t="s">
        <v>10404</v>
      </c>
      <c r="G1592" s="9" t="s">
        <v>12120</v>
      </c>
      <c r="H1592" s="9"/>
      <c r="I1592" s="9"/>
      <c r="J1592" s="9"/>
      <c r="K1592" s="9"/>
      <c r="L1592" s="9"/>
      <c r="M1592" s="9"/>
      <c r="N1592" s="10"/>
      <c r="O1592" s="9"/>
      <c r="P1592" s="9"/>
      <c r="Q1592" s="9"/>
      <c r="R1592" s="9" t="s">
        <v>12795</v>
      </c>
      <c r="S1592" s="9" t="s">
        <v>12795</v>
      </c>
      <c r="T1592" s="9"/>
      <c r="U1592" s="9"/>
      <c r="V1592" s="9"/>
      <c r="W1592" s="9"/>
      <c r="X1592" s="9"/>
      <c r="Y1592" s="9"/>
      <c r="Z1592" s="9"/>
      <c r="AA1592" s="9"/>
      <c r="AB1592" s="9"/>
      <c r="AC1592" s="9"/>
      <c r="AD1592" s="9" t="s">
        <v>20</v>
      </c>
    </row>
    <row r="1593" spans="1:30">
      <c r="A1593" s="3" t="s">
        <v>4071</v>
      </c>
      <c r="B1593" s="3" t="s">
        <v>10405</v>
      </c>
      <c r="C1593" s="3" t="s">
        <v>10406</v>
      </c>
      <c r="G1593" s="9" t="s">
        <v>12118</v>
      </c>
      <c r="H1593" s="9"/>
      <c r="I1593" s="9"/>
      <c r="J1593" s="9"/>
      <c r="K1593" s="9"/>
      <c r="L1593" s="9"/>
      <c r="M1593" s="9"/>
      <c r="N1593" s="10"/>
      <c r="O1593" s="9"/>
      <c r="P1593" s="9"/>
      <c r="Q1593" s="9">
        <v>149</v>
      </c>
      <c r="R1593" s="9">
        <v>7</v>
      </c>
      <c r="S1593" s="9">
        <v>156</v>
      </c>
      <c r="T1593" s="9"/>
      <c r="U1593" s="9"/>
      <c r="V1593" s="9"/>
      <c r="W1593" s="9"/>
      <c r="X1593" s="9"/>
      <c r="Y1593" s="9"/>
      <c r="Z1593" s="9"/>
      <c r="AA1593" s="9"/>
      <c r="AB1593" s="9"/>
      <c r="AC1593" s="9"/>
      <c r="AD1593" s="9" t="s">
        <v>20</v>
      </c>
    </row>
    <row r="1594" spans="1:30">
      <c r="A1594" s="3" t="s">
        <v>4073</v>
      </c>
      <c r="B1594" s="3" t="s">
        <v>10413</v>
      </c>
      <c r="C1594" s="3" t="s">
        <v>10414</v>
      </c>
      <c r="G1594" s="9" t="s">
        <v>12120</v>
      </c>
      <c r="H1594" s="9"/>
      <c r="I1594" s="9"/>
      <c r="J1594" s="9"/>
      <c r="K1594" s="9"/>
      <c r="L1594" s="9"/>
      <c r="M1594" s="9"/>
      <c r="N1594" s="10"/>
      <c r="O1594" s="9"/>
      <c r="P1594" s="9"/>
      <c r="Q1594" s="9"/>
      <c r="R1594" s="9" t="s">
        <v>12795</v>
      </c>
      <c r="S1594" s="9" t="s">
        <v>12795</v>
      </c>
      <c r="T1594" s="9"/>
      <c r="U1594" s="9"/>
      <c r="V1594" s="9"/>
      <c r="W1594" s="9"/>
      <c r="X1594" s="9"/>
      <c r="Y1594" s="9"/>
      <c r="Z1594" s="9"/>
      <c r="AA1594" s="9"/>
      <c r="AB1594" s="9"/>
      <c r="AC1594" s="9"/>
      <c r="AD1594" s="9" t="s">
        <v>19</v>
      </c>
    </row>
    <row r="1595" spans="1:30" ht="43.5">
      <c r="A1595" s="3" t="s">
        <v>4074</v>
      </c>
      <c r="B1595" s="3" t="s">
        <v>10416</v>
      </c>
      <c r="C1595" s="3" t="s">
        <v>10415</v>
      </c>
      <c r="G1595" s="9" t="s">
        <v>25</v>
      </c>
      <c r="H1595" s="9"/>
      <c r="I1595" s="9">
        <v>3</v>
      </c>
      <c r="J1595" s="9">
        <v>19</v>
      </c>
      <c r="K1595" s="9"/>
      <c r="L1595" s="9" t="s">
        <v>12079</v>
      </c>
      <c r="M1595" s="9"/>
      <c r="N1595" s="10"/>
      <c r="O1595" s="9"/>
      <c r="P1595" s="9">
        <v>5</v>
      </c>
      <c r="Q1595" s="9"/>
      <c r="R1595" s="9" t="s">
        <v>12795</v>
      </c>
      <c r="S1595" s="9" t="s">
        <v>12795</v>
      </c>
      <c r="T1595" s="9"/>
      <c r="U1595" s="9"/>
      <c r="V1595" s="9"/>
      <c r="W1595" s="9"/>
      <c r="X1595" s="9"/>
      <c r="Y1595" s="9"/>
      <c r="Z1595" s="9"/>
      <c r="AA1595" s="9"/>
      <c r="AB1595" s="9"/>
      <c r="AC1595" s="9"/>
      <c r="AD1595" s="9" t="s">
        <v>20</v>
      </c>
    </row>
    <row r="1596" spans="1:30">
      <c r="A1596" s="3" t="s">
        <v>4076</v>
      </c>
      <c r="B1596" s="3" t="s">
        <v>4077</v>
      </c>
      <c r="C1596" s="3" t="s">
        <v>4078</v>
      </c>
      <c r="G1596" s="9" t="s">
        <v>12120</v>
      </c>
      <c r="H1596" s="9"/>
      <c r="I1596" s="9"/>
      <c r="J1596" s="9"/>
      <c r="K1596" s="9"/>
      <c r="L1596" s="9"/>
      <c r="M1596" s="9"/>
      <c r="N1596" s="10"/>
      <c r="O1596" s="9"/>
      <c r="P1596" s="9"/>
      <c r="Q1596" s="9"/>
      <c r="R1596" s="9" t="s">
        <v>12795</v>
      </c>
      <c r="S1596" s="9" t="s">
        <v>12795</v>
      </c>
      <c r="T1596" s="9"/>
      <c r="U1596" s="9"/>
      <c r="V1596" s="9"/>
      <c r="W1596" s="9"/>
      <c r="X1596" s="9"/>
      <c r="Y1596" s="9"/>
      <c r="Z1596" s="9"/>
      <c r="AA1596" s="9"/>
      <c r="AB1596" s="9"/>
      <c r="AC1596" s="9"/>
      <c r="AD1596" s="9" t="s">
        <v>19</v>
      </c>
    </row>
    <row r="1597" spans="1:30" ht="29">
      <c r="A1597" s="3" t="s">
        <v>4076</v>
      </c>
      <c r="B1597" s="3" t="s">
        <v>12527</v>
      </c>
      <c r="C1597" s="3" t="s">
        <v>12528</v>
      </c>
      <c r="G1597" s="9" t="s">
        <v>12118</v>
      </c>
      <c r="H1597" s="9"/>
      <c r="I1597" s="9"/>
      <c r="J1597" s="9"/>
      <c r="K1597" s="9"/>
      <c r="L1597" s="9"/>
      <c r="M1597" s="9"/>
      <c r="N1597" s="10"/>
      <c r="O1597" s="9"/>
      <c r="P1597" s="9"/>
      <c r="Q1597" s="9">
        <v>-4080</v>
      </c>
      <c r="R1597" s="9">
        <v>4240</v>
      </c>
      <c r="S1597" s="9">
        <v>160</v>
      </c>
      <c r="T1597" s="9"/>
      <c r="U1597" s="9"/>
      <c r="V1597" s="9"/>
      <c r="W1597" s="9"/>
      <c r="X1597" s="9"/>
      <c r="Y1597" s="9"/>
      <c r="Z1597" s="9"/>
      <c r="AA1597" s="9"/>
      <c r="AB1597" s="9"/>
      <c r="AC1597" s="9"/>
      <c r="AD1597" s="9" t="s">
        <v>19</v>
      </c>
    </row>
    <row r="1598" spans="1:30" ht="29">
      <c r="A1598" s="3" t="s">
        <v>4079</v>
      </c>
      <c r="B1598" s="3" t="s">
        <v>12531</v>
      </c>
      <c r="C1598" s="3" t="s">
        <v>10419</v>
      </c>
      <c r="G1598" s="9" t="s">
        <v>25</v>
      </c>
      <c r="H1598" s="9"/>
      <c r="I1598" s="9">
        <v>1</v>
      </c>
      <c r="J1598" s="9">
        <v>3</v>
      </c>
      <c r="K1598" s="9" t="s">
        <v>12078</v>
      </c>
      <c r="L1598" s="9" t="s">
        <v>12079</v>
      </c>
      <c r="M1598" s="9"/>
      <c r="N1598" s="10"/>
      <c r="O1598" s="9"/>
      <c r="P1598" s="9">
        <v>11843</v>
      </c>
      <c r="Q1598" s="9"/>
      <c r="R1598" s="9" t="s">
        <v>12795</v>
      </c>
      <c r="S1598" s="9" t="s">
        <v>12795</v>
      </c>
      <c r="T1598" s="9"/>
      <c r="U1598" s="9"/>
      <c r="V1598" s="9"/>
      <c r="W1598" s="9"/>
      <c r="X1598" s="9"/>
      <c r="Y1598" s="9"/>
      <c r="Z1598" s="9"/>
      <c r="AA1598" s="9"/>
      <c r="AB1598" s="9"/>
      <c r="AC1598" s="9"/>
      <c r="AD1598" s="9" t="s">
        <v>19</v>
      </c>
    </row>
    <row r="1599" spans="1:30">
      <c r="A1599" s="3" t="s">
        <v>4079</v>
      </c>
      <c r="B1599" s="3" t="s">
        <v>10420</v>
      </c>
      <c r="C1599" s="3" t="s">
        <v>10421</v>
      </c>
      <c r="G1599" s="9" t="s">
        <v>12118</v>
      </c>
      <c r="H1599" s="9"/>
      <c r="I1599" s="9"/>
      <c r="J1599" s="9"/>
      <c r="K1599" s="9"/>
      <c r="L1599" s="9"/>
      <c r="M1599" s="9"/>
      <c r="N1599" s="10"/>
      <c r="O1599" s="9"/>
      <c r="P1599" s="9"/>
      <c r="Q1599" s="9">
        <v>1800</v>
      </c>
      <c r="R1599" s="9">
        <v>166</v>
      </c>
      <c r="S1599" s="9">
        <v>1966</v>
      </c>
      <c r="T1599" s="9"/>
      <c r="U1599" s="9"/>
      <c r="V1599" s="9"/>
      <c r="W1599" s="9"/>
      <c r="X1599" s="9"/>
      <c r="Y1599" s="9"/>
      <c r="Z1599" s="9"/>
      <c r="AA1599" s="9"/>
      <c r="AB1599" s="9"/>
      <c r="AC1599" s="9"/>
      <c r="AD1599" s="9" t="s">
        <v>19</v>
      </c>
    </row>
    <row r="1600" spans="1:30">
      <c r="A1600" s="3" t="s">
        <v>4080</v>
      </c>
      <c r="B1600" s="3" t="s">
        <v>10423</v>
      </c>
      <c r="C1600" s="3" t="s">
        <v>10422</v>
      </c>
      <c r="G1600" s="9" t="s">
        <v>25</v>
      </c>
      <c r="H1600" s="9"/>
      <c r="I1600" s="9">
        <v>1</v>
      </c>
      <c r="J1600" s="9">
        <v>1</v>
      </c>
      <c r="K1600" s="9" t="s">
        <v>12072</v>
      </c>
      <c r="L1600" s="9" t="s">
        <v>12119</v>
      </c>
      <c r="M1600" s="9"/>
      <c r="N1600" s="10"/>
      <c r="O1600" s="9"/>
      <c r="P1600" s="9">
        <v>13</v>
      </c>
      <c r="Q1600" s="9"/>
      <c r="R1600" s="9" t="s">
        <v>12795</v>
      </c>
      <c r="S1600" s="9" t="s">
        <v>12795</v>
      </c>
      <c r="T1600" s="9"/>
      <c r="U1600" s="9"/>
      <c r="V1600" s="9"/>
      <c r="W1600" s="9"/>
      <c r="X1600" s="9"/>
      <c r="Y1600" s="9"/>
      <c r="Z1600" s="9"/>
      <c r="AA1600" s="9"/>
      <c r="AB1600" s="9"/>
      <c r="AC1600" s="9"/>
      <c r="AD1600" s="9" t="s">
        <v>13141</v>
      </c>
    </row>
    <row r="1601" spans="1:30" ht="29">
      <c r="A1601" s="3" t="s">
        <v>4082</v>
      </c>
      <c r="B1601" s="3" t="s">
        <v>10429</v>
      </c>
      <c r="C1601" s="3" t="s">
        <v>10428</v>
      </c>
      <c r="F1601" t="s">
        <v>19</v>
      </c>
      <c r="G1601" s="9" t="s">
        <v>25</v>
      </c>
      <c r="H1601" s="9"/>
      <c r="I1601" s="9">
        <v>2</v>
      </c>
      <c r="J1601" s="9">
        <v>10</v>
      </c>
      <c r="K1601" s="9"/>
      <c r="L1601" s="9" t="s">
        <v>12073</v>
      </c>
      <c r="M1601" s="9" t="s">
        <v>12135</v>
      </c>
      <c r="N1601" s="10" t="s">
        <v>12136</v>
      </c>
      <c r="O1601" s="9"/>
      <c r="P1601" s="9">
        <v>12</v>
      </c>
      <c r="Q1601" s="9"/>
      <c r="R1601" s="9" t="s">
        <v>12795</v>
      </c>
      <c r="S1601" s="9" t="s">
        <v>12795</v>
      </c>
      <c r="T1601" s="9"/>
      <c r="U1601" s="9"/>
      <c r="V1601" s="9"/>
      <c r="W1601" s="9"/>
      <c r="X1601" s="9"/>
      <c r="Y1601" s="9"/>
      <c r="Z1601" s="9"/>
      <c r="AA1601" s="9"/>
      <c r="AB1601" s="9"/>
      <c r="AC1601" s="9"/>
      <c r="AD1601" s="9" t="s">
        <v>20</v>
      </c>
    </row>
    <row r="1602" spans="1:30">
      <c r="A1602" s="3" t="s">
        <v>4082</v>
      </c>
      <c r="B1602" s="3" t="s">
        <v>4083</v>
      </c>
      <c r="C1602" s="3" t="s">
        <v>4084</v>
      </c>
      <c r="G1602" s="9" t="s">
        <v>12120</v>
      </c>
      <c r="H1602" s="9"/>
      <c r="I1602" s="9"/>
      <c r="J1602" s="9"/>
      <c r="K1602" s="9"/>
      <c r="L1602" s="9"/>
      <c r="M1602" s="9"/>
      <c r="N1602" s="10"/>
      <c r="O1602" s="9"/>
      <c r="P1602" s="9"/>
      <c r="Q1602" s="9"/>
      <c r="R1602" s="9" t="s">
        <v>12795</v>
      </c>
      <c r="S1602" s="9" t="s">
        <v>12795</v>
      </c>
      <c r="T1602" s="9"/>
      <c r="U1602" s="9"/>
      <c r="V1602" s="9"/>
      <c r="W1602" s="9"/>
      <c r="X1602" s="9"/>
      <c r="Y1602" s="9"/>
      <c r="Z1602" s="9"/>
      <c r="AA1602" s="9"/>
      <c r="AB1602" s="9"/>
      <c r="AC1602" s="9"/>
      <c r="AD1602" s="9" t="s">
        <v>20</v>
      </c>
    </row>
    <row r="1603" spans="1:30">
      <c r="A1603" s="3" t="s">
        <v>4089</v>
      </c>
      <c r="B1603" s="3" t="s">
        <v>4090</v>
      </c>
      <c r="C1603" s="3" t="s">
        <v>4091</v>
      </c>
      <c r="G1603" s="9" t="s">
        <v>12120</v>
      </c>
      <c r="H1603" s="9"/>
      <c r="I1603" s="9"/>
      <c r="J1603" s="9"/>
      <c r="K1603" s="9"/>
      <c r="L1603" s="9"/>
      <c r="M1603" s="9"/>
      <c r="N1603" s="10"/>
      <c r="O1603" s="9"/>
      <c r="P1603" s="9"/>
      <c r="Q1603" s="9"/>
      <c r="R1603" s="9" t="s">
        <v>12795</v>
      </c>
      <c r="S1603" s="9" t="s">
        <v>12795</v>
      </c>
      <c r="T1603" s="9"/>
      <c r="U1603" s="9"/>
      <c r="V1603" s="9"/>
      <c r="W1603" s="9"/>
      <c r="X1603" s="9"/>
      <c r="Y1603" s="9"/>
      <c r="Z1603" s="9"/>
      <c r="AA1603" s="9"/>
      <c r="AB1603" s="9"/>
      <c r="AC1603" s="9"/>
      <c r="AD1603" s="9" t="s">
        <v>19</v>
      </c>
    </row>
    <row r="1604" spans="1:30">
      <c r="A1604" s="3" t="s">
        <v>4092</v>
      </c>
      <c r="B1604" s="3" t="s">
        <v>10463</v>
      </c>
      <c r="C1604" s="3" t="s">
        <v>10464</v>
      </c>
      <c r="G1604" s="9" t="s">
        <v>24</v>
      </c>
      <c r="H1604" s="9"/>
      <c r="I1604" s="9">
        <v>1</v>
      </c>
      <c r="J1604" s="9">
        <v>1</v>
      </c>
      <c r="K1604" s="9" t="s">
        <v>12078</v>
      </c>
      <c r="L1604" s="9" t="s">
        <v>12119</v>
      </c>
      <c r="M1604" s="9"/>
      <c r="N1604" s="10"/>
      <c r="O1604" s="9"/>
      <c r="P1604" s="9">
        <v>11843</v>
      </c>
      <c r="Q1604" s="9"/>
      <c r="R1604" s="9" t="s">
        <v>12795</v>
      </c>
      <c r="S1604" s="9" t="s">
        <v>12795</v>
      </c>
      <c r="T1604" s="9"/>
      <c r="U1604" s="9"/>
      <c r="V1604" s="9"/>
      <c r="W1604" s="9"/>
      <c r="X1604" s="9"/>
      <c r="Y1604" s="9"/>
      <c r="Z1604" s="9"/>
      <c r="AA1604" s="9"/>
      <c r="AB1604" s="9"/>
      <c r="AC1604" s="9"/>
      <c r="AD1604" s="9" t="s">
        <v>19</v>
      </c>
    </row>
    <row r="1605" spans="1:30" ht="29">
      <c r="A1605" s="3" t="s">
        <v>4096</v>
      </c>
      <c r="B1605" s="3" t="s">
        <v>10482</v>
      </c>
      <c r="C1605" s="3" t="s">
        <v>10481</v>
      </c>
      <c r="G1605" s="9" t="s">
        <v>25</v>
      </c>
      <c r="H1605" s="9"/>
      <c r="I1605" s="9">
        <v>2</v>
      </c>
      <c r="J1605" s="9">
        <v>6</v>
      </c>
      <c r="K1605" s="9"/>
      <c r="L1605" s="9" t="s">
        <v>12079</v>
      </c>
      <c r="M1605" s="9"/>
      <c r="N1605" s="10"/>
      <c r="O1605" s="9"/>
      <c r="P1605" s="9">
        <v>560</v>
      </c>
      <c r="Q1605" s="9"/>
      <c r="R1605" s="9" t="s">
        <v>12795</v>
      </c>
      <c r="S1605" s="9" t="s">
        <v>12795</v>
      </c>
      <c r="T1605" s="9" t="s">
        <v>12117</v>
      </c>
      <c r="U1605" s="9"/>
      <c r="V1605" s="9"/>
      <c r="W1605" s="9"/>
      <c r="X1605" s="9"/>
      <c r="Y1605" s="9"/>
      <c r="Z1605" s="9"/>
      <c r="AA1605" s="9"/>
      <c r="AB1605" s="9"/>
      <c r="AC1605" s="9"/>
      <c r="AD1605" s="9" t="s">
        <v>19</v>
      </c>
    </row>
    <row r="1606" spans="1:30">
      <c r="A1606" s="3" t="s">
        <v>4097</v>
      </c>
      <c r="B1606" s="3" t="s">
        <v>10487</v>
      </c>
      <c r="C1606" s="3" t="s">
        <v>10488</v>
      </c>
      <c r="F1606" t="s">
        <v>19</v>
      </c>
      <c r="G1606" s="9" t="s">
        <v>25</v>
      </c>
      <c r="H1606" s="9"/>
      <c r="I1606" s="9">
        <v>1</v>
      </c>
      <c r="J1606" s="9">
        <v>2</v>
      </c>
      <c r="K1606" s="9" t="s">
        <v>12092</v>
      </c>
      <c r="L1606" s="9" t="s">
        <v>12119</v>
      </c>
      <c r="M1606" s="9"/>
      <c r="N1606" s="10"/>
      <c r="O1606" s="9"/>
      <c r="P1606" s="9">
        <v>133</v>
      </c>
      <c r="Q1606" s="9"/>
      <c r="R1606" s="9" t="s">
        <v>12795</v>
      </c>
      <c r="S1606" s="9" t="s">
        <v>12795</v>
      </c>
      <c r="T1606" s="9"/>
      <c r="U1606" s="9"/>
      <c r="V1606" s="9"/>
      <c r="W1606" s="9"/>
      <c r="X1606" s="9"/>
      <c r="Y1606" s="9"/>
      <c r="Z1606" s="9"/>
      <c r="AA1606" s="9"/>
      <c r="AB1606" s="9"/>
      <c r="AC1606" s="9"/>
      <c r="AD1606" s="9" t="s">
        <v>20</v>
      </c>
    </row>
    <row r="1607" spans="1:30">
      <c r="A1607" s="3" t="s">
        <v>4100</v>
      </c>
      <c r="B1607" s="3" t="s">
        <v>10490</v>
      </c>
      <c r="C1607" s="3" t="s">
        <v>10489</v>
      </c>
      <c r="G1607" s="9" t="s">
        <v>24</v>
      </c>
      <c r="H1607" s="9"/>
      <c r="I1607" s="9">
        <v>1</v>
      </c>
      <c r="J1607" s="9">
        <v>1</v>
      </c>
      <c r="K1607" s="9" t="s">
        <v>12078</v>
      </c>
      <c r="L1607" s="9" t="s">
        <v>12119</v>
      </c>
      <c r="M1607" s="9"/>
      <c r="N1607" s="10"/>
      <c r="O1607" s="9"/>
      <c r="P1607" s="9">
        <v>11843</v>
      </c>
      <c r="Q1607" s="9"/>
      <c r="R1607" s="9" t="s">
        <v>12795</v>
      </c>
      <c r="S1607" s="9" t="s">
        <v>12795</v>
      </c>
      <c r="T1607" s="9"/>
      <c r="U1607" s="9"/>
      <c r="V1607" s="9"/>
      <c r="W1607" s="9"/>
      <c r="X1607" s="9"/>
      <c r="Y1607" s="9"/>
      <c r="Z1607" s="9"/>
      <c r="AA1607" s="9"/>
      <c r="AB1607" s="9"/>
      <c r="AC1607" s="9"/>
      <c r="AD1607" s="9" t="s">
        <v>19</v>
      </c>
    </row>
    <row r="1608" spans="1:30" ht="29">
      <c r="A1608" s="3" t="s">
        <v>4100</v>
      </c>
      <c r="B1608" s="3" t="s">
        <v>10491</v>
      </c>
      <c r="C1608" s="3" t="s">
        <v>10492</v>
      </c>
      <c r="G1608" s="9" t="s">
        <v>24</v>
      </c>
      <c r="H1608" s="9"/>
      <c r="I1608" s="9">
        <v>1</v>
      </c>
      <c r="J1608" s="9">
        <v>6</v>
      </c>
      <c r="K1608" s="9" t="s">
        <v>12092</v>
      </c>
      <c r="L1608" s="9" t="s">
        <v>12079</v>
      </c>
      <c r="M1608" s="9"/>
      <c r="N1608" s="10"/>
      <c r="O1608" s="9"/>
      <c r="P1608" s="9">
        <v>361</v>
      </c>
      <c r="Q1608" s="9"/>
      <c r="R1608" s="9" t="s">
        <v>12795</v>
      </c>
      <c r="S1608" s="9" t="s">
        <v>12795</v>
      </c>
      <c r="T1608" s="9"/>
      <c r="U1608" s="9"/>
      <c r="V1608" s="9"/>
      <c r="W1608" s="9"/>
      <c r="X1608" s="9"/>
      <c r="Y1608" s="9"/>
      <c r="Z1608" s="9"/>
      <c r="AA1608" s="9"/>
      <c r="AB1608" s="9"/>
      <c r="AC1608" s="9"/>
      <c r="AD1608" s="9" t="s">
        <v>19</v>
      </c>
    </row>
    <row r="1609" spans="1:30" ht="29">
      <c r="A1609" s="3" t="s">
        <v>4100</v>
      </c>
      <c r="B1609" s="3" t="s">
        <v>10491</v>
      </c>
      <c r="C1609" s="3" t="s">
        <v>10493</v>
      </c>
      <c r="G1609" s="9" t="s">
        <v>24</v>
      </c>
      <c r="H1609" s="9"/>
      <c r="I1609" s="9">
        <v>1</v>
      </c>
      <c r="J1609" s="9">
        <v>4</v>
      </c>
      <c r="K1609" s="9" t="s">
        <v>12094</v>
      </c>
      <c r="L1609" s="9" t="s">
        <v>12079</v>
      </c>
      <c r="M1609" s="9"/>
      <c r="N1609" s="10"/>
      <c r="O1609" s="9"/>
      <c r="P1609" s="9">
        <v>1741</v>
      </c>
      <c r="Q1609" s="9"/>
      <c r="R1609" s="9" t="s">
        <v>12795</v>
      </c>
      <c r="S1609" s="9" t="s">
        <v>12795</v>
      </c>
      <c r="T1609" s="9"/>
      <c r="U1609" s="9"/>
      <c r="V1609" s="9"/>
      <c r="W1609" s="9"/>
      <c r="X1609" s="9"/>
      <c r="Y1609" s="9"/>
      <c r="Z1609" s="9"/>
      <c r="AA1609" s="9"/>
      <c r="AB1609" s="9"/>
      <c r="AC1609" s="9"/>
      <c r="AD1609" s="9" t="s">
        <v>19</v>
      </c>
    </row>
    <row r="1610" spans="1:30">
      <c r="A1610" s="3" t="s">
        <v>4106</v>
      </c>
      <c r="B1610" s="3" t="s">
        <v>10508</v>
      </c>
      <c r="C1610" s="3" t="s">
        <v>10509</v>
      </c>
      <c r="G1610" s="9" t="s">
        <v>24</v>
      </c>
      <c r="H1610" s="9"/>
      <c r="I1610" s="9">
        <v>1</v>
      </c>
      <c r="J1610" s="9">
        <v>3</v>
      </c>
      <c r="K1610" s="9" t="s">
        <v>12078</v>
      </c>
      <c r="L1610" s="9" t="s">
        <v>12073</v>
      </c>
      <c r="M1610" s="9" t="s">
        <v>12149</v>
      </c>
      <c r="N1610" s="10" t="s">
        <v>12143</v>
      </c>
      <c r="O1610" s="9"/>
      <c r="P1610" s="9">
        <v>11843</v>
      </c>
      <c r="Q1610" s="9"/>
      <c r="R1610" s="9" t="s">
        <v>12795</v>
      </c>
      <c r="S1610" s="9" t="s">
        <v>12795</v>
      </c>
      <c r="T1610" s="9"/>
      <c r="U1610" s="9"/>
      <c r="V1610" s="9"/>
      <c r="W1610" s="9"/>
      <c r="X1610" s="9"/>
      <c r="Y1610" s="9"/>
      <c r="Z1610" s="9"/>
      <c r="AA1610" s="9"/>
      <c r="AB1610" s="9"/>
      <c r="AC1610" s="9"/>
      <c r="AD1610" s="9" t="s">
        <v>19</v>
      </c>
    </row>
    <row r="1611" spans="1:30" ht="29">
      <c r="A1611" s="3" t="s">
        <v>4110</v>
      </c>
      <c r="B1611" s="3" t="s">
        <v>10523</v>
      </c>
      <c r="C1611" s="3" t="s">
        <v>10522</v>
      </c>
      <c r="G1611" s="9" t="s">
        <v>12120</v>
      </c>
      <c r="H1611" s="9"/>
      <c r="I1611" s="9"/>
      <c r="J1611" s="9"/>
      <c r="K1611" s="9"/>
      <c r="L1611" s="9"/>
      <c r="M1611" s="9"/>
      <c r="N1611" s="10"/>
      <c r="O1611" s="9"/>
      <c r="P1611" s="9"/>
      <c r="Q1611" s="9"/>
      <c r="R1611" s="9" t="s">
        <v>12795</v>
      </c>
      <c r="S1611" s="9" t="s">
        <v>12795</v>
      </c>
      <c r="T1611" s="9"/>
      <c r="U1611" s="9"/>
      <c r="V1611" s="9"/>
      <c r="W1611" s="9"/>
      <c r="X1611" s="9"/>
      <c r="Y1611" s="9"/>
      <c r="Z1611" s="9"/>
      <c r="AA1611" s="9"/>
      <c r="AB1611" s="9"/>
      <c r="AC1611" s="9"/>
      <c r="AD1611" s="9" t="s">
        <v>19</v>
      </c>
    </row>
    <row r="1612" spans="1:30">
      <c r="A1612" s="3" t="s">
        <v>4112</v>
      </c>
      <c r="B1612" s="3" t="s">
        <v>10528</v>
      </c>
      <c r="C1612" s="3" t="s">
        <v>12533</v>
      </c>
      <c r="G1612" s="9" t="s">
        <v>25</v>
      </c>
      <c r="H1612" s="9"/>
      <c r="I1612" s="9">
        <v>1</v>
      </c>
      <c r="J1612" s="9">
        <v>2</v>
      </c>
      <c r="K1612" s="9" t="s">
        <v>12078</v>
      </c>
      <c r="L1612" s="9" t="s">
        <v>12119</v>
      </c>
      <c r="M1612" s="9"/>
      <c r="N1612" s="10"/>
      <c r="O1612" s="9"/>
      <c r="P1612" s="9">
        <v>11843</v>
      </c>
      <c r="Q1612" s="9"/>
      <c r="R1612" s="9" t="s">
        <v>12795</v>
      </c>
      <c r="S1612" s="9" t="s">
        <v>12795</v>
      </c>
      <c r="T1612" s="9"/>
      <c r="U1612" s="9"/>
      <c r="V1612" s="9"/>
      <c r="W1612" s="9"/>
      <c r="X1612" s="9"/>
      <c r="Y1612" s="9"/>
      <c r="Z1612" s="9"/>
      <c r="AA1612" s="9"/>
      <c r="AB1612" s="9"/>
      <c r="AC1612" s="9"/>
      <c r="AD1612" s="9" t="s">
        <v>20</v>
      </c>
    </row>
    <row r="1613" spans="1:30" ht="29">
      <c r="A1613" s="3" t="s">
        <v>4113</v>
      </c>
      <c r="B1613" s="3" t="s">
        <v>10529</v>
      </c>
      <c r="C1613" s="3" t="s">
        <v>10530</v>
      </c>
      <c r="G1613" s="9" t="s">
        <v>12118</v>
      </c>
      <c r="H1613" s="9"/>
      <c r="I1613" s="9"/>
      <c r="J1613" s="9"/>
      <c r="K1613" s="9"/>
      <c r="L1613" s="9"/>
      <c r="M1613" s="9"/>
      <c r="N1613" s="10"/>
      <c r="O1613" s="9"/>
      <c r="P1613" s="9"/>
      <c r="Q1613" s="9">
        <v>-186</v>
      </c>
      <c r="R1613" s="9">
        <v>207</v>
      </c>
      <c r="S1613" s="9">
        <v>21</v>
      </c>
      <c r="T1613" s="9"/>
      <c r="U1613" s="9"/>
      <c r="V1613" s="9"/>
      <c r="W1613" s="9"/>
      <c r="X1613" s="9"/>
      <c r="Y1613" s="9"/>
      <c r="Z1613" s="9"/>
      <c r="AA1613" s="9"/>
      <c r="AB1613" s="9"/>
      <c r="AC1613" s="9"/>
      <c r="AD1613" s="9" t="s">
        <v>20</v>
      </c>
    </row>
    <row r="1614" spans="1:30" ht="29">
      <c r="A1614" s="3" t="s">
        <v>4114</v>
      </c>
      <c r="B1614" s="3" t="s">
        <v>10533</v>
      </c>
      <c r="C1614" s="3" t="s">
        <v>10534</v>
      </c>
      <c r="F1614" t="s">
        <v>19</v>
      </c>
      <c r="G1614" s="9" t="s">
        <v>25</v>
      </c>
      <c r="H1614" s="9"/>
      <c r="I1614" s="9">
        <v>1</v>
      </c>
      <c r="J1614" s="9">
        <v>5</v>
      </c>
      <c r="K1614" s="9" t="s">
        <v>12125</v>
      </c>
      <c r="L1614" s="9" t="s">
        <v>12079</v>
      </c>
      <c r="M1614" s="9"/>
      <c r="N1614" s="10"/>
      <c r="O1614" s="9"/>
      <c r="P1614" s="9">
        <v>1565</v>
      </c>
      <c r="Q1614" s="9"/>
      <c r="R1614" s="9" t="s">
        <v>12795</v>
      </c>
      <c r="S1614" s="9" t="s">
        <v>12795</v>
      </c>
      <c r="T1614" s="9"/>
      <c r="U1614" s="9"/>
      <c r="V1614" s="9"/>
      <c r="W1614" s="9"/>
      <c r="X1614" s="9"/>
      <c r="Y1614" s="9"/>
      <c r="Z1614" s="9"/>
      <c r="AA1614" s="9"/>
      <c r="AB1614" s="9"/>
      <c r="AC1614" s="9"/>
      <c r="AD1614" s="9" t="s">
        <v>19</v>
      </c>
    </row>
    <row r="1615" spans="1:30">
      <c r="A1615" s="3" t="s">
        <v>4118</v>
      </c>
      <c r="B1615" s="3" t="s">
        <v>4119</v>
      </c>
      <c r="C1615" s="3" t="s">
        <v>4120</v>
      </c>
      <c r="G1615" s="9" t="s">
        <v>12120</v>
      </c>
      <c r="H1615" s="9"/>
      <c r="I1615" s="9"/>
      <c r="J1615" s="9"/>
      <c r="K1615" s="9"/>
      <c r="L1615" s="9"/>
      <c r="M1615" s="9"/>
      <c r="N1615" s="10"/>
      <c r="O1615" s="9"/>
      <c r="P1615" s="9"/>
      <c r="Q1615" s="9"/>
      <c r="R1615" s="9" t="s">
        <v>12795</v>
      </c>
      <c r="S1615" s="9" t="s">
        <v>12795</v>
      </c>
      <c r="T1615" s="9"/>
      <c r="U1615" s="9"/>
      <c r="V1615" s="9"/>
      <c r="W1615" s="9"/>
      <c r="X1615" s="9"/>
      <c r="Y1615" s="9"/>
      <c r="Z1615" s="9"/>
      <c r="AA1615" s="9"/>
      <c r="AB1615" s="9"/>
      <c r="AC1615" s="9"/>
      <c r="AD1615" s="9" t="s">
        <v>19</v>
      </c>
    </row>
    <row r="1616" spans="1:30" ht="29">
      <c r="A1616" s="3" t="s">
        <v>4122</v>
      </c>
      <c r="B1616" s="3" t="s">
        <v>10543</v>
      </c>
      <c r="C1616" s="3" t="s">
        <v>10542</v>
      </c>
      <c r="E1616" t="s">
        <v>20</v>
      </c>
      <c r="G1616" s="9" t="s">
        <v>12120</v>
      </c>
      <c r="H1616" s="9"/>
      <c r="I1616" s="9"/>
      <c r="J1616" s="9"/>
      <c r="K1616" s="9"/>
      <c r="L1616" s="9"/>
      <c r="M1616" s="9"/>
      <c r="N1616" s="10"/>
      <c r="O1616" s="9"/>
      <c r="P1616" s="9"/>
      <c r="Q1616" s="9"/>
      <c r="R1616" s="9" t="s">
        <v>12795</v>
      </c>
      <c r="S1616" s="9" t="s">
        <v>12795</v>
      </c>
      <c r="T1616" s="9"/>
      <c r="U1616" s="9"/>
      <c r="V1616" s="9"/>
      <c r="W1616" s="9"/>
      <c r="X1616" s="9"/>
      <c r="Y1616" s="9"/>
      <c r="Z1616" s="9"/>
      <c r="AA1616" s="9"/>
      <c r="AB1616" s="9"/>
      <c r="AC1616" s="9"/>
      <c r="AD1616" s="9" t="s">
        <v>19</v>
      </c>
    </row>
    <row r="1617" spans="1:30">
      <c r="A1617" s="3" t="s">
        <v>4129</v>
      </c>
      <c r="B1617" s="3" t="s">
        <v>10557</v>
      </c>
      <c r="C1617" s="3" t="s">
        <v>10556</v>
      </c>
      <c r="G1617" s="9" t="s">
        <v>12118</v>
      </c>
      <c r="H1617" s="9"/>
      <c r="I1617" s="9"/>
      <c r="J1617" s="9"/>
      <c r="K1617" s="9"/>
      <c r="L1617" s="9"/>
      <c r="M1617" s="9"/>
      <c r="N1617" s="10"/>
      <c r="O1617" s="9"/>
      <c r="P1617" s="9"/>
      <c r="Q1617" s="9">
        <v>-1800</v>
      </c>
      <c r="R1617" s="9">
        <v>1966</v>
      </c>
      <c r="S1617" s="9">
        <v>166</v>
      </c>
      <c r="T1617" s="9"/>
      <c r="U1617" s="9"/>
      <c r="V1617" s="9"/>
      <c r="W1617" s="9"/>
      <c r="X1617" s="9"/>
      <c r="Y1617" s="9"/>
      <c r="Z1617" s="9"/>
      <c r="AA1617" s="9"/>
      <c r="AB1617" s="9"/>
      <c r="AC1617" s="9"/>
      <c r="AD1617" s="9" t="s">
        <v>19</v>
      </c>
    </row>
    <row r="1618" spans="1:30" ht="72.5">
      <c r="A1618" s="3" t="s">
        <v>4129</v>
      </c>
      <c r="B1618" s="3" t="s">
        <v>10560</v>
      </c>
      <c r="C1618" s="3" t="s">
        <v>10561</v>
      </c>
      <c r="G1618" s="9" t="s">
        <v>12118</v>
      </c>
      <c r="H1618" s="9"/>
      <c r="I1618" s="9"/>
      <c r="J1618" s="9"/>
      <c r="K1618" s="9"/>
      <c r="L1618" s="9"/>
      <c r="M1618" s="9"/>
      <c r="N1618" s="10"/>
      <c r="O1618" s="9"/>
      <c r="P1618" s="9"/>
      <c r="Q1618" s="9">
        <v>-63</v>
      </c>
      <c r="R1618" s="9">
        <v>65</v>
      </c>
      <c r="S1618" s="9">
        <v>2</v>
      </c>
      <c r="T1618" s="9"/>
      <c r="U1618" s="9"/>
      <c r="V1618" s="9"/>
      <c r="W1618" s="9"/>
      <c r="X1618" s="9"/>
      <c r="Y1618" s="9"/>
      <c r="Z1618" s="9"/>
      <c r="AA1618" s="9"/>
      <c r="AB1618" s="9"/>
      <c r="AC1618" s="9"/>
      <c r="AD1618" s="9" t="s">
        <v>20</v>
      </c>
    </row>
    <row r="1619" spans="1:30" ht="72.5">
      <c r="A1619" s="3" t="s">
        <v>4132</v>
      </c>
      <c r="B1619" s="3" t="s">
        <v>12536</v>
      </c>
      <c r="C1619" s="3" t="s">
        <v>12538</v>
      </c>
      <c r="G1619" s="9" t="s">
        <v>24</v>
      </c>
      <c r="H1619" s="9"/>
      <c r="I1619" s="9">
        <v>1</v>
      </c>
      <c r="J1619" s="9">
        <v>2</v>
      </c>
      <c r="K1619" s="9" t="s">
        <v>12087</v>
      </c>
      <c r="L1619" s="9" t="s">
        <v>12119</v>
      </c>
      <c r="M1619" s="9"/>
      <c r="N1619" s="10"/>
      <c r="O1619" s="9"/>
      <c r="P1619" s="9">
        <v>1966</v>
      </c>
      <c r="Q1619" s="9"/>
      <c r="R1619" s="9" t="s">
        <v>12795</v>
      </c>
      <c r="S1619" s="9" t="s">
        <v>12795</v>
      </c>
      <c r="T1619" s="9"/>
      <c r="U1619" s="9"/>
      <c r="V1619" s="9"/>
      <c r="W1619" s="9"/>
      <c r="X1619" s="9"/>
      <c r="Y1619" s="9"/>
      <c r="Z1619" s="9"/>
      <c r="AA1619" s="9"/>
      <c r="AB1619" s="9"/>
      <c r="AC1619" s="9"/>
      <c r="AD1619" s="9" t="s">
        <v>19</v>
      </c>
    </row>
    <row r="1620" spans="1:30" ht="58">
      <c r="A1620" s="3" t="s">
        <v>4133</v>
      </c>
      <c r="B1620" s="3" t="s">
        <v>10565</v>
      </c>
      <c r="C1620" s="3" t="s">
        <v>10567</v>
      </c>
      <c r="G1620" s="9" t="s">
        <v>24</v>
      </c>
      <c r="H1620" s="9"/>
      <c r="I1620" s="9">
        <v>1</v>
      </c>
      <c r="J1620" s="9">
        <v>3</v>
      </c>
      <c r="K1620" s="9" t="s">
        <v>12078</v>
      </c>
      <c r="L1620" s="9" t="s">
        <v>12079</v>
      </c>
      <c r="M1620" s="9"/>
      <c r="N1620" s="10"/>
      <c r="O1620" s="9"/>
      <c r="P1620" s="9">
        <v>11843</v>
      </c>
      <c r="Q1620" s="9"/>
      <c r="R1620" s="9" t="s">
        <v>12795</v>
      </c>
      <c r="S1620" s="9" t="s">
        <v>12795</v>
      </c>
      <c r="T1620" s="9"/>
      <c r="U1620" s="9"/>
      <c r="V1620" s="9"/>
      <c r="W1620" s="9"/>
      <c r="X1620" s="9"/>
      <c r="Y1620" s="9"/>
      <c r="Z1620" s="9"/>
      <c r="AA1620" s="9"/>
      <c r="AB1620" s="9"/>
      <c r="AC1620" s="9"/>
      <c r="AD1620" s="9" t="s">
        <v>20</v>
      </c>
    </row>
    <row r="1621" spans="1:30" ht="58">
      <c r="A1621" s="3" t="s">
        <v>4134</v>
      </c>
      <c r="B1621" s="3" t="s">
        <v>10565</v>
      </c>
      <c r="C1621" s="3" t="s">
        <v>10569</v>
      </c>
      <c r="G1621" s="9" t="s">
        <v>24</v>
      </c>
      <c r="H1621" s="9"/>
      <c r="I1621" s="9">
        <v>6</v>
      </c>
      <c r="J1621" s="9">
        <v>20</v>
      </c>
      <c r="K1621" s="9"/>
      <c r="L1621" s="9" t="s">
        <v>12079</v>
      </c>
      <c r="M1621" s="9"/>
      <c r="N1621" s="10"/>
      <c r="O1621" s="9"/>
      <c r="P1621" s="9">
        <v>171</v>
      </c>
      <c r="Q1621" s="9"/>
      <c r="R1621" s="9" t="s">
        <v>12795</v>
      </c>
      <c r="S1621" s="9" t="s">
        <v>12795</v>
      </c>
      <c r="T1621" s="9"/>
      <c r="U1621" s="9"/>
      <c r="V1621" s="9"/>
      <c r="W1621" s="9"/>
      <c r="X1621" s="9"/>
      <c r="Y1621" s="9"/>
      <c r="Z1621" s="9"/>
      <c r="AA1621" s="9"/>
      <c r="AB1621" s="9"/>
      <c r="AC1621" s="9"/>
      <c r="AD1621" s="9" t="s">
        <v>20</v>
      </c>
    </row>
    <row r="1622" spans="1:30" ht="29">
      <c r="A1622" s="3" t="s">
        <v>4140</v>
      </c>
      <c r="B1622" s="3" t="s">
        <v>10581</v>
      </c>
      <c r="C1622" s="3" t="s">
        <v>10582</v>
      </c>
      <c r="G1622" s="9" t="s">
        <v>26</v>
      </c>
      <c r="H1622" s="9"/>
      <c r="I1622" s="9"/>
      <c r="J1622" s="9"/>
      <c r="K1622" s="9"/>
      <c r="L1622" s="9"/>
      <c r="M1622" s="9"/>
      <c r="N1622" s="10"/>
      <c r="O1622" s="9"/>
      <c r="P1622" s="9"/>
      <c r="Q1622" s="9"/>
      <c r="R1622" s="9" t="s">
        <v>12795</v>
      </c>
      <c r="S1622" s="9" t="s">
        <v>12795</v>
      </c>
      <c r="T1622" s="9"/>
      <c r="U1622" s="9"/>
      <c r="V1622" s="9"/>
      <c r="W1622" s="9"/>
      <c r="X1622" s="9"/>
      <c r="Y1622" s="9"/>
      <c r="Z1622" s="9"/>
      <c r="AA1622" s="9"/>
      <c r="AB1622" s="9"/>
      <c r="AC1622" s="9"/>
      <c r="AD1622" s="9" t="s">
        <v>20</v>
      </c>
    </row>
    <row r="1623" spans="1:30" ht="29">
      <c r="A1623" s="3" t="s">
        <v>4153</v>
      </c>
      <c r="B1623" s="3" t="s">
        <v>10598</v>
      </c>
      <c r="C1623" s="3" t="s">
        <v>10597</v>
      </c>
      <c r="G1623" s="9" t="s">
        <v>25</v>
      </c>
      <c r="H1623" s="9"/>
      <c r="I1623" s="9">
        <v>2</v>
      </c>
      <c r="J1623" s="9">
        <v>12</v>
      </c>
      <c r="K1623" s="9"/>
      <c r="L1623" s="9" t="s">
        <v>12073</v>
      </c>
      <c r="M1623" s="9" t="s">
        <v>12135</v>
      </c>
      <c r="N1623" s="10" t="s">
        <v>12136</v>
      </c>
      <c r="O1623" s="9"/>
      <c r="P1623" s="9">
        <v>47</v>
      </c>
      <c r="Q1623" s="9"/>
      <c r="R1623" s="9" t="s">
        <v>12795</v>
      </c>
      <c r="S1623" s="9" t="s">
        <v>12795</v>
      </c>
      <c r="T1623" s="9"/>
      <c r="U1623" s="9"/>
      <c r="V1623" s="9"/>
      <c r="W1623" s="9"/>
      <c r="X1623" s="9"/>
      <c r="Y1623" s="9"/>
      <c r="Z1623" s="9"/>
      <c r="AA1623" s="9"/>
      <c r="AB1623" s="9"/>
      <c r="AC1623" s="9"/>
      <c r="AD1623" s="9" t="s">
        <v>19</v>
      </c>
    </row>
    <row r="1624" spans="1:30" ht="29">
      <c r="A1624" s="3" t="s">
        <v>4154</v>
      </c>
      <c r="B1624" s="3" t="s">
        <v>10599</v>
      </c>
      <c r="C1624" s="3" t="s">
        <v>10600</v>
      </c>
      <c r="G1624" s="9" t="s">
        <v>24</v>
      </c>
      <c r="H1624" s="9"/>
      <c r="I1624" s="9">
        <v>1</v>
      </c>
      <c r="J1624" s="9">
        <v>2</v>
      </c>
      <c r="K1624" s="9" t="s">
        <v>12078</v>
      </c>
      <c r="L1624" s="9" t="s">
        <v>12119</v>
      </c>
      <c r="M1624" s="9"/>
      <c r="N1624" s="10"/>
      <c r="O1624" s="9"/>
      <c r="P1624" s="9">
        <v>11843</v>
      </c>
      <c r="Q1624" s="9"/>
      <c r="R1624" s="9" t="s">
        <v>12795</v>
      </c>
      <c r="S1624" s="9" t="s">
        <v>12795</v>
      </c>
      <c r="T1624" s="9"/>
      <c r="U1624" s="9"/>
      <c r="V1624" s="9"/>
      <c r="W1624" s="9"/>
      <c r="X1624" s="9"/>
      <c r="Y1624" s="9"/>
      <c r="Z1624" s="9"/>
      <c r="AA1624" s="9"/>
      <c r="AB1624" s="9"/>
      <c r="AC1624" s="9"/>
      <c r="AD1624" s="9" t="s">
        <v>19</v>
      </c>
    </row>
    <row r="1625" spans="1:30" ht="29">
      <c r="A1625" s="3" t="s">
        <v>4154</v>
      </c>
      <c r="B1625" s="3" t="s">
        <v>10599</v>
      </c>
      <c r="C1625" s="3" t="s">
        <v>10601</v>
      </c>
      <c r="G1625" s="9" t="s">
        <v>24</v>
      </c>
      <c r="H1625" s="9"/>
      <c r="I1625" s="9">
        <v>1</v>
      </c>
      <c r="J1625" s="9">
        <v>3</v>
      </c>
      <c r="K1625" s="9" t="s">
        <v>12094</v>
      </c>
      <c r="L1625" s="9" t="s">
        <v>12079</v>
      </c>
      <c r="M1625" s="9"/>
      <c r="N1625" s="10"/>
      <c r="O1625" s="9"/>
      <c r="P1625" s="9">
        <v>1741</v>
      </c>
      <c r="Q1625" s="9"/>
      <c r="R1625" s="9" t="s">
        <v>12795</v>
      </c>
      <c r="S1625" s="9" t="s">
        <v>12795</v>
      </c>
      <c r="T1625" s="9"/>
      <c r="U1625" s="9"/>
      <c r="V1625" s="9"/>
      <c r="W1625" s="9"/>
      <c r="X1625" s="9"/>
      <c r="Y1625" s="9"/>
      <c r="Z1625" s="9"/>
      <c r="AA1625" s="9"/>
      <c r="AB1625" s="9"/>
      <c r="AC1625" s="9"/>
      <c r="AD1625" s="9" t="s">
        <v>19</v>
      </c>
    </row>
    <row r="1626" spans="1:30" ht="29">
      <c r="A1626" s="3" t="s">
        <v>4156</v>
      </c>
      <c r="B1626" s="3" t="s">
        <v>10611</v>
      </c>
      <c r="C1626" s="3" t="s">
        <v>10610</v>
      </c>
      <c r="G1626" s="9" t="s">
        <v>12120</v>
      </c>
      <c r="H1626" s="9"/>
      <c r="I1626" s="9"/>
      <c r="J1626" s="9"/>
      <c r="K1626" s="9"/>
      <c r="L1626" s="9"/>
      <c r="M1626" s="9"/>
      <c r="N1626" s="10"/>
      <c r="O1626" s="9"/>
      <c r="P1626" s="9"/>
      <c r="Q1626" s="9"/>
      <c r="R1626" s="9" t="s">
        <v>12795</v>
      </c>
      <c r="S1626" s="9" t="s">
        <v>12795</v>
      </c>
      <c r="T1626" s="9"/>
      <c r="U1626" s="9"/>
      <c r="V1626" s="9"/>
      <c r="W1626" s="9"/>
      <c r="X1626" s="9"/>
      <c r="Y1626" s="9"/>
      <c r="Z1626" s="9"/>
      <c r="AA1626" s="9"/>
      <c r="AB1626" s="9"/>
      <c r="AC1626" s="9"/>
      <c r="AD1626" s="9" t="s">
        <v>19</v>
      </c>
    </row>
    <row r="1627" spans="1:30">
      <c r="A1627" s="3" t="s">
        <v>4158</v>
      </c>
      <c r="B1627" s="3" t="s">
        <v>10627</v>
      </c>
      <c r="C1627" s="3" t="s">
        <v>10628</v>
      </c>
      <c r="G1627" s="9" t="s">
        <v>12118</v>
      </c>
      <c r="H1627" s="9"/>
      <c r="I1627" s="9"/>
      <c r="J1627" s="9"/>
      <c r="K1627" s="9"/>
      <c r="L1627" s="9"/>
      <c r="M1627" s="9"/>
      <c r="N1627" s="10"/>
      <c r="O1627" s="9"/>
      <c r="P1627" s="9"/>
      <c r="Q1627" s="9">
        <v>-111</v>
      </c>
      <c r="R1627" s="9">
        <v>472</v>
      </c>
      <c r="S1627" s="9">
        <v>361</v>
      </c>
      <c r="T1627" s="9"/>
      <c r="U1627" s="9"/>
      <c r="V1627" s="9"/>
      <c r="W1627" s="9"/>
      <c r="X1627" s="9"/>
      <c r="Y1627" s="9"/>
      <c r="Z1627" s="9"/>
      <c r="AA1627" s="9"/>
      <c r="AB1627" s="9"/>
      <c r="AC1627" s="9"/>
      <c r="AD1627" s="9" t="s">
        <v>19</v>
      </c>
    </row>
    <row r="1628" spans="1:30">
      <c r="A1628" s="3" t="s">
        <v>4159</v>
      </c>
      <c r="B1628" s="3" t="s">
        <v>4160</v>
      </c>
      <c r="C1628" s="3" t="s">
        <v>4161</v>
      </c>
      <c r="G1628" s="9" t="s">
        <v>12120</v>
      </c>
      <c r="H1628" s="9"/>
      <c r="I1628" s="9"/>
      <c r="J1628" s="9"/>
      <c r="K1628" s="9"/>
      <c r="L1628" s="9"/>
      <c r="M1628" s="9"/>
      <c r="N1628" s="10"/>
      <c r="O1628" s="9"/>
      <c r="P1628" s="9"/>
      <c r="Q1628" s="9"/>
      <c r="R1628" s="9" t="s">
        <v>12795</v>
      </c>
      <c r="S1628" s="9" t="s">
        <v>12795</v>
      </c>
      <c r="T1628" s="9"/>
      <c r="U1628" s="9"/>
      <c r="V1628" s="9"/>
      <c r="W1628" s="9"/>
      <c r="X1628" s="9"/>
      <c r="Y1628" s="9"/>
      <c r="Z1628" s="9"/>
      <c r="AA1628" s="9"/>
      <c r="AB1628" s="9"/>
      <c r="AC1628" s="9"/>
      <c r="AD1628" s="9" t="s">
        <v>19</v>
      </c>
    </row>
    <row r="1629" spans="1:30" ht="29">
      <c r="A1629" s="3" t="s">
        <v>4162</v>
      </c>
      <c r="B1629" s="3" t="s">
        <v>10632</v>
      </c>
      <c r="C1629" s="3" t="s">
        <v>10633</v>
      </c>
      <c r="G1629" s="9" t="s">
        <v>12118</v>
      </c>
      <c r="H1629" s="9"/>
      <c r="I1629" s="9"/>
      <c r="J1629" s="9"/>
      <c r="K1629" s="9"/>
      <c r="L1629" s="9"/>
      <c r="M1629" s="9"/>
      <c r="N1629" s="10"/>
      <c r="O1629" s="9"/>
      <c r="P1629" s="9"/>
      <c r="Q1629" s="9">
        <v>103</v>
      </c>
      <c r="R1629" s="9">
        <v>207</v>
      </c>
      <c r="S1629" s="9">
        <v>310</v>
      </c>
      <c r="T1629" s="9"/>
      <c r="U1629" s="9"/>
      <c r="V1629" s="9"/>
      <c r="W1629" s="9"/>
      <c r="X1629" s="9"/>
      <c r="Y1629" s="9"/>
      <c r="Z1629" s="9"/>
      <c r="AA1629" s="9"/>
      <c r="AB1629" s="9"/>
      <c r="AC1629" s="9"/>
      <c r="AD1629" s="9" t="s">
        <v>20</v>
      </c>
    </row>
    <row r="1630" spans="1:30" ht="43.5">
      <c r="A1630" s="3" t="s">
        <v>4163</v>
      </c>
      <c r="B1630" s="3" t="s">
        <v>10634</v>
      </c>
      <c r="C1630" s="3" t="s">
        <v>10635</v>
      </c>
      <c r="G1630" s="9" t="s">
        <v>24</v>
      </c>
      <c r="H1630" s="9"/>
      <c r="I1630" s="9">
        <v>1</v>
      </c>
      <c r="J1630" s="9">
        <v>3</v>
      </c>
      <c r="K1630" s="9" t="s">
        <v>12078</v>
      </c>
      <c r="L1630" s="9" t="s">
        <v>12079</v>
      </c>
      <c r="M1630" s="9"/>
      <c r="N1630" s="10"/>
      <c r="O1630" s="9"/>
      <c r="P1630" s="9">
        <v>11843</v>
      </c>
      <c r="Q1630" s="9"/>
      <c r="R1630" s="9" t="s">
        <v>12795</v>
      </c>
      <c r="S1630" s="9" t="s">
        <v>12795</v>
      </c>
      <c r="T1630" s="9"/>
      <c r="U1630" s="9"/>
      <c r="V1630" s="9"/>
      <c r="W1630" s="9"/>
      <c r="X1630" s="9"/>
      <c r="Y1630" s="9"/>
      <c r="Z1630" s="9"/>
      <c r="AA1630" s="9"/>
      <c r="AB1630" s="9"/>
      <c r="AC1630" s="9"/>
      <c r="AD1630" s="9" t="s">
        <v>19</v>
      </c>
    </row>
    <row r="1631" spans="1:30" ht="29">
      <c r="A1631" s="3" t="s">
        <v>4163</v>
      </c>
      <c r="B1631" s="3" t="s">
        <v>12732</v>
      </c>
      <c r="C1631" s="3" t="s">
        <v>12733</v>
      </c>
      <c r="E1631" t="s">
        <v>20</v>
      </c>
      <c r="G1631" s="9" t="s">
        <v>24</v>
      </c>
      <c r="H1631" s="9"/>
      <c r="I1631" s="9">
        <v>1</v>
      </c>
      <c r="J1631" s="9">
        <v>3</v>
      </c>
      <c r="K1631" s="9" t="s">
        <v>12096</v>
      </c>
      <c r="L1631" s="9" t="s">
        <v>12079</v>
      </c>
      <c r="M1631" s="9"/>
      <c r="N1631" s="10"/>
      <c r="O1631" s="9"/>
      <c r="P1631" s="9">
        <v>1101</v>
      </c>
      <c r="Q1631" s="9"/>
      <c r="R1631" s="9" t="s">
        <v>12795</v>
      </c>
      <c r="S1631" s="9" t="s">
        <v>12795</v>
      </c>
      <c r="T1631" s="9"/>
      <c r="U1631" s="9"/>
      <c r="V1631" s="9"/>
      <c r="W1631" s="9"/>
      <c r="X1631" s="9"/>
      <c r="Y1631" s="9"/>
      <c r="Z1631" s="9"/>
      <c r="AA1631" s="9"/>
      <c r="AB1631" s="9"/>
      <c r="AC1631" s="9"/>
      <c r="AD1631" s="9" t="s">
        <v>19</v>
      </c>
    </row>
    <row r="1632" spans="1:30" ht="29">
      <c r="A1632" s="3" t="s">
        <v>4165</v>
      </c>
      <c r="B1632" s="11" t="s">
        <v>10648</v>
      </c>
      <c r="C1632" s="3" t="s">
        <v>10645</v>
      </c>
      <c r="F1632" t="s">
        <v>19</v>
      </c>
      <c r="G1632" s="9" t="s">
        <v>25</v>
      </c>
      <c r="H1632" s="9"/>
      <c r="I1632" s="9">
        <v>1</v>
      </c>
      <c r="J1632" s="9">
        <v>2</v>
      </c>
      <c r="K1632" s="9" t="s">
        <v>12078</v>
      </c>
      <c r="L1632" s="9" t="s">
        <v>12119</v>
      </c>
      <c r="M1632" s="9"/>
      <c r="N1632" s="10"/>
      <c r="O1632" s="9"/>
      <c r="P1632" s="9">
        <v>11843</v>
      </c>
      <c r="Q1632" s="9"/>
      <c r="R1632" s="9" t="s">
        <v>12795</v>
      </c>
      <c r="S1632" s="9" t="s">
        <v>12795</v>
      </c>
      <c r="T1632" s="9"/>
      <c r="U1632" s="9"/>
      <c r="V1632" s="9"/>
      <c r="W1632" s="9"/>
      <c r="X1632" s="9"/>
      <c r="Y1632" s="9"/>
      <c r="Z1632" s="9"/>
      <c r="AA1632" s="9"/>
      <c r="AB1632" s="9"/>
      <c r="AC1632" s="9"/>
      <c r="AD1632" s="9" t="s">
        <v>20</v>
      </c>
    </row>
    <row r="1633" spans="1:30" ht="29">
      <c r="A1633" s="3" t="s">
        <v>4165</v>
      </c>
      <c r="B1633" s="3" t="s">
        <v>10649</v>
      </c>
      <c r="C1633" s="3" t="s">
        <v>10650</v>
      </c>
      <c r="G1633" s="9" t="s">
        <v>25</v>
      </c>
      <c r="H1633" s="9"/>
      <c r="I1633" s="9">
        <v>1</v>
      </c>
      <c r="J1633" s="9">
        <v>3</v>
      </c>
      <c r="K1633" s="9" t="s">
        <v>12078</v>
      </c>
      <c r="L1633" s="9" t="s">
        <v>12079</v>
      </c>
      <c r="M1633" s="9"/>
      <c r="N1633" s="10"/>
      <c r="O1633" s="9"/>
      <c r="P1633" s="9">
        <v>11843</v>
      </c>
      <c r="Q1633" s="9"/>
      <c r="R1633" s="9" t="s">
        <v>12795</v>
      </c>
      <c r="S1633" s="9" t="s">
        <v>12795</v>
      </c>
      <c r="T1633" s="9"/>
      <c r="U1633" s="9"/>
      <c r="V1633" s="9"/>
      <c r="W1633" s="9"/>
      <c r="X1633" s="9"/>
      <c r="Y1633" s="9"/>
      <c r="Z1633" s="9"/>
      <c r="AA1633" s="9"/>
      <c r="AB1633" s="9"/>
      <c r="AC1633" s="9"/>
      <c r="AD1633" s="9" t="s">
        <v>19</v>
      </c>
    </row>
    <row r="1634" spans="1:30" ht="29">
      <c r="A1634" s="3" t="s">
        <v>4167</v>
      </c>
      <c r="B1634" s="3" t="s">
        <v>10654</v>
      </c>
      <c r="C1634" s="3" t="s">
        <v>10653</v>
      </c>
      <c r="G1634" s="9" t="s">
        <v>25</v>
      </c>
      <c r="H1634" s="9"/>
      <c r="I1634" s="9">
        <v>2</v>
      </c>
      <c r="J1634" s="9">
        <v>7</v>
      </c>
      <c r="K1634" s="9"/>
      <c r="L1634" s="9" t="s">
        <v>12079</v>
      </c>
      <c r="M1634" s="9"/>
      <c r="N1634" s="10"/>
      <c r="O1634" s="9"/>
      <c r="P1634" s="9">
        <v>152</v>
      </c>
      <c r="Q1634" s="9"/>
      <c r="R1634" s="9" t="s">
        <v>12795</v>
      </c>
      <c r="S1634" s="9" t="s">
        <v>12795</v>
      </c>
      <c r="T1634" s="9"/>
      <c r="U1634" s="9"/>
      <c r="V1634" s="9"/>
      <c r="W1634" s="9"/>
      <c r="X1634" s="9"/>
      <c r="Y1634" s="9"/>
      <c r="Z1634" s="9"/>
      <c r="AA1634" s="9"/>
      <c r="AB1634" s="9"/>
      <c r="AC1634" s="9"/>
      <c r="AD1634" s="9" t="s">
        <v>20</v>
      </c>
    </row>
    <row r="1635" spans="1:30" ht="29">
      <c r="A1635" s="3" t="s">
        <v>4168</v>
      </c>
      <c r="B1635" s="3" t="s">
        <v>10657</v>
      </c>
      <c r="C1635" s="3" t="s">
        <v>10658</v>
      </c>
      <c r="G1635" s="9" t="s">
        <v>24</v>
      </c>
      <c r="H1635" s="9"/>
      <c r="I1635" s="9">
        <v>1</v>
      </c>
      <c r="J1635" s="9">
        <v>3</v>
      </c>
      <c r="K1635" s="9" t="s">
        <v>12078</v>
      </c>
      <c r="L1635" s="9" t="s">
        <v>12079</v>
      </c>
      <c r="M1635" s="9"/>
      <c r="N1635" s="10"/>
      <c r="O1635" s="9"/>
      <c r="P1635" s="9">
        <v>11843</v>
      </c>
      <c r="Q1635" s="9"/>
      <c r="R1635" s="9" t="s">
        <v>12795</v>
      </c>
      <c r="S1635" s="9" t="s">
        <v>12795</v>
      </c>
      <c r="T1635" s="9"/>
      <c r="U1635" s="9"/>
      <c r="V1635" s="9"/>
      <c r="W1635" s="9"/>
      <c r="X1635" s="9"/>
      <c r="Y1635" s="9"/>
      <c r="Z1635" s="9"/>
      <c r="AA1635" s="9"/>
      <c r="AB1635" s="9"/>
      <c r="AC1635" s="9"/>
      <c r="AD1635" s="9" t="s">
        <v>19</v>
      </c>
    </row>
    <row r="1636" spans="1:30" ht="29">
      <c r="A1636" s="3" t="s">
        <v>4168</v>
      </c>
      <c r="B1636" s="3" t="s">
        <v>10662</v>
      </c>
      <c r="C1636" s="3" t="s">
        <v>10661</v>
      </c>
      <c r="G1636" s="9" t="s">
        <v>25</v>
      </c>
      <c r="H1636" s="9"/>
      <c r="I1636" s="9">
        <v>1</v>
      </c>
      <c r="J1636" s="9">
        <v>3</v>
      </c>
      <c r="K1636" s="9" t="s">
        <v>12087</v>
      </c>
      <c r="L1636" s="9" t="s">
        <v>12079</v>
      </c>
      <c r="M1636" s="9"/>
      <c r="N1636" s="10"/>
      <c r="O1636" s="9"/>
      <c r="P1636" s="9">
        <v>5676</v>
      </c>
      <c r="Q1636" s="9"/>
      <c r="R1636" s="9" t="s">
        <v>12795</v>
      </c>
      <c r="S1636" s="9" t="s">
        <v>12795</v>
      </c>
      <c r="T1636" s="9"/>
      <c r="U1636" s="9"/>
      <c r="V1636" s="9"/>
      <c r="W1636" s="9"/>
      <c r="X1636" s="9"/>
      <c r="Y1636" s="9"/>
      <c r="Z1636" s="9"/>
      <c r="AA1636" s="9"/>
      <c r="AB1636" s="9"/>
      <c r="AC1636" s="9"/>
      <c r="AD1636" s="9" t="s">
        <v>19</v>
      </c>
    </row>
    <row r="1637" spans="1:30" ht="29">
      <c r="A1637" s="3" t="s">
        <v>4168</v>
      </c>
      <c r="B1637" s="3" t="s">
        <v>10666</v>
      </c>
      <c r="C1637" s="3" t="s">
        <v>10665</v>
      </c>
      <c r="G1637" s="9" t="s">
        <v>25</v>
      </c>
      <c r="H1637" s="9"/>
      <c r="I1637" s="9">
        <v>1</v>
      </c>
      <c r="J1637" s="9">
        <v>11</v>
      </c>
      <c r="K1637" s="9" t="s">
        <v>12125</v>
      </c>
      <c r="L1637" s="9" t="s">
        <v>12073</v>
      </c>
      <c r="M1637" s="9" t="s">
        <v>12149</v>
      </c>
      <c r="N1637" s="10" t="s">
        <v>12170</v>
      </c>
      <c r="O1637" s="9"/>
      <c r="P1637" s="9">
        <v>1</v>
      </c>
      <c r="Q1637" s="9"/>
      <c r="R1637" s="9" t="s">
        <v>12795</v>
      </c>
      <c r="S1637" s="9" t="s">
        <v>12795</v>
      </c>
      <c r="T1637" s="9"/>
      <c r="U1637" s="9"/>
      <c r="V1637" s="9"/>
      <c r="W1637" s="9"/>
      <c r="X1637" s="9"/>
      <c r="Y1637" s="9"/>
      <c r="Z1637" s="9"/>
      <c r="AA1637" s="9"/>
      <c r="AB1637" s="9"/>
      <c r="AC1637" s="9"/>
      <c r="AD1637" s="9" t="s">
        <v>19</v>
      </c>
    </row>
    <row r="1638" spans="1:30" ht="43.5">
      <c r="A1638" s="3" t="s">
        <v>4171</v>
      </c>
      <c r="B1638" s="3" t="s">
        <v>10668</v>
      </c>
      <c r="C1638" s="3" t="s">
        <v>10667</v>
      </c>
      <c r="G1638" s="9" t="s">
        <v>25</v>
      </c>
      <c r="H1638" s="9"/>
      <c r="I1638" s="9">
        <v>4</v>
      </c>
      <c r="J1638" s="9">
        <v>21</v>
      </c>
      <c r="K1638" s="9"/>
      <c r="L1638" s="9" t="s">
        <v>12079</v>
      </c>
      <c r="M1638" s="9"/>
      <c r="N1638" s="10"/>
      <c r="O1638" s="9"/>
      <c r="P1638" s="9">
        <v>1</v>
      </c>
      <c r="Q1638" s="9"/>
      <c r="R1638" s="9" t="s">
        <v>12795</v>
      </c>
      <c r="S1638" s="9" t="s">
        <v>12795</v>
      </c>
      <c r="T1638" s="9"/>
      <c r="U1638" s="9"/>
      <c r="V1638" s="9"/>
      <c r="W1638" s="9"/>
      <c r="X1638" s="9"/>
      <c r="Y1638" s="9"/>
      <c r="Z1638" s="9"/>
      <c r="AA1638" s="9"/>
      <c r="AB1638" s="9"/>
      <c r="AC1638" s="9"/>
      <c r="AD1638" s="9" t="s">
        <v>20</v>
      </c>
    </row>
    <row r="1639" spans="1:30" ht="29">
      <c r="A1639" s="3" t="s">
        <v>4171</v>
      </c>
      <c r="B1639" s="3" t="s">
        <v>10669</v>
      </c>
      <c r="C1639" s="3" t="s">
        <v>10670</v>
      </c>
      <c r="G1639" s="9" t="s">
        <v>12118</v>
      </c>
      <c r="H1639" s="9"/>
      <c r="I1639" s="9"/>
      <c r="J1639" s="9"/>
      <c r="K1639" s="9"/>
      <c r="L1639" s="9"/>
      <c r="M1639" s="9"/>
      <c r="N1639" s="10"/>
      <c r="O1639" s="9"/>
      <c r="P1639" s="9"/>
      <c r="Q1639" s="9">
        <v>52</v>
      </c>
      <c r="R1639" s="9">
        <v>508</v>
      </c>
      <c r="S1639" s="9">
        <v>560</v>
      </c>
      <c r="T1639" s="9"/>
      <c r="U1639" s="9"/>
      <c r="V1639" s="9"/>
      <c r="W1639" s="9"/>
      <c r="X1639" s="9"/>
      <c r="Y1639" s="9"/>
      <c r="Z1639" s="9"/>
      <c r="AA1639" s="9"/>
      <c r="AB1639" s="9"/>
      <c r="AC1639" s="9"/>
      <c r="AD1639" s="9" t="s">
        <v>19</v>
      </c>
    </row>
    <row r="1640" spans="1:30" ht="29">
      <c r="A1640" s="3" t="s">
        <v>4171</v>
      </c>
      <c r="B1640" s="3" t="s">
        <v>10671</v>
      </c>
      <c r="C1640" s="3" t="s">
        <v>10672</v>
      </c>
      <c r="E1640" t="s">
        <v>20</v>
      </c>
      <c r="G1640" s="9" t="s">
        <v>25</v>
      </c>
      <c r="H1640" s="9"/>
      <c r="I1640" s="9">
        <v>1</v>
      </c>
      <c r="J1640" s="9">
        <v>5</v>
      </c>
      <c r="K1640" s="9" t="s">
        <v>12094</v>
      </c>
      <c r="L1640" s="9" t="s">
        <v>12079</v>
      </c>
      <c r="M1640" s="9"/>
      <c r="N1640" s="10"/>
      <c r="O1640" s="9"/>
      <c r="P1640" s="9">
        <v>4240</v>
      </c>
      <c r="Q1640" s="9"/>
      <c r="R1640" s="9" t="s">
        <v>12795</v>
      </c>
      <c r="S1640" s="9" t="s">
        <v>12795</v>
      </c>
      <c r="T1640" s="9"/>
      <c r="U1640" s="9"/>
      <c r="V1640" s="9"/>
      <c r="W1640" s="9"/>
      <c r="X1640" s="9"/>
      <c r="Y1640" s="9"/>
      <c r="Z1640" s="9"/>
      <c r="AA1640" s="9"/>
      <c r="AB1640" s="9"/>
      <c r="AC1640" s="9"/>
      <c r="AD1640" s="9" t="s">
        <v>19</v>
      </c>
    </row>
    <row r="1641" spans="1:30" ht="29">
      <c r="A1641" s="3" t="s">
        <v>4174</v>
      </c>
      <c r="B1641" s="3" t="s">
        <v>10687</v>
      </c>
      <c r="C1641" s="3" t="s">
        <v>10686</v>
      </c>
      <c r="G1641" s="9" t="s">
        <v>25</v>
      </c>
      <c r="H1641" s="9"/>
      <c r="I1641" s="9">
        <v>1</v>
      </c>
      <c r="J1641" s="9">
        <v>5</v>
      </c>
      <c r="K1641" s="9" t="s">
        <v>12092</v>
      </c>
      <c r="L1641" s="9" t="s">
        <v>12079</v>
      </c>
      <c r="M1641" s="9"/>
      <c r="N1641" s="10"/>
      <c r="O1641" s="9"/>
      <c r="P1641" s="9">
        <v>147</v>
      </c>
      <c r="Q1641" s="9"/>
      <c r="R1641" s="9" t="s">
        <v>12795</v>
      </c>
      <c r="S1641" s="9" t="s">
        <v>12795</v>
      </c>
      <c r="T1641" s="9"/>
      <c r="U1641" s="9"/>
      <c r="V1641" s="9"/>
      <c r="W1641" s="9"/>
      <c r="X1641" s="9"/>
      <c r="Y1641" s="9"/>
      <c r="Z1641" s="9"/>
      <c r="AA1641" s="9"/>
      <c r="AB1641" s="9"/>
      <c r="AC1641" s="9"/>
      <c r="AD1641" s="9" t="s">
        <v>19</v>
      </c>
    </row>
    <row r="1642" spans="1:30" ht="29">
      <c r="A1642" s="3" t="s">
        <v>4175</v>
      </c>
      <c r="B1642" s="3" t="s">
        <v>10697</v>
      </c>
      <c r="C1642" s="3" t="s">
        <v>10694</v>
      </c>
      <c r="G1642" s="9" t="s">
        <v>25</v>
      </c>
      <c r="H1642" s="9"/>
      <c r="I1642" s="9">
        <v>1</v>
      </c>
      <c r="J1642" s="9">
        <v>2</v>
      </c>
      <c r="K1642" s="9" t="s">
        <v>12087</v>
      </c>
      <c r="L1642" s="9" t="s">
        <v>12119</v>
      </c>
      <c r="M1642" s="9"/>
      <c r="N1642" s="10"/>
      <c r="O1642" s="9"/>
      <c r="P1642" s="9">
        <v>166</v>
      </c>
      <c r="Q1642" s="9"/>
      <c r="R1642" s="9" t="s">
        <v>12795</v>
      </c>
      <c r="S1642" s="9" t="s">
        <v>12795</v>
      </c>
      <c r="T1642" s="9"/>
      <c r="U1642" s="9"/>
      <c r="V1642" s="9"/>
      <c r="W1642" s="9"/>
      <c r="X1642" s="9"/>
      <c r="Y1642" s="9"/>
      <c r="Z1642" s="9"/>
      <c r="AA1642" s="9"/>
      <c r="AB1642" s="9"/>
      <c r="AC1642" s="9"/>
      <c r="AD1642" s="9" t="s">
        <v>20</v>
      </c>
    </row>
    <row r="1643" spans="1:30" ht="29">
      <c r="A1643" s="3" t="s">
        <v>4177</v>
      </c>
      <c r="B1643" s="3" t="s">
        <v>10719</v>
      </c>
      <c r="C1643" s="3" t="s">
        <v>10718</v>
      </c>
      <c r="G1643" s="9" t="s">
        <v>12118</v>
      </c>
      <c r="H1643" s="9"/>
      <c r="I1643" s="9"/>
      <c r="J1643" s="9"/>
      <c r="K1643" s="9"/>
      <c r="L1643" s="9"/>
      <c r="M1643" s="9"/>
      <c r="N1643" s="10"/>
      <c r="O1643" s="9"/>
      <c r="P1643" s="9"/>
      <c r="Q1643" s="9">
        <v>-330</v>
      </c>
      <c r="R1643" s="9">
        <v>444</v>
      </c>
      <c r="S1643" s="9">
        <v>114</v>
      </c>
      <c r="T1643" s="9"/>
      <c r="U1643" s="9"/>
      <c r="V1643" s="9"/>
      <c r="W1643" s="9"/>
      <c r="X1643" s="9"/>
      <c r="Y1643" s="9"/>
      <c r="Z1643" s="9"/>
      <c r="AA1643" s="9"/>
      <c r="AB1643" s="9"/>
      <c r="AC1643" s="9"/>
      <c r="AD1643" s="9" t="s">
        <v>19</v>
      </c>
    </row>
    <row r="1644" spans="1:30" ht="29">
      <c r="A1644" s="3" t="s">
        <v>4179</v>
      </c>
      <c r="B1644" s="3" t="s">
        <v>10723</v>
      </c>
      <c r="C1644" s="3" t="s">
        <v>10722</v>
      </c>
      <c r="G1644" s="9" t="s">
        <v>24</v>
      </c>
      <c r="H1644" s="9"/>
      <c r="I1644" s="9">
        <v>1</v>
      </c>
      <c r="J1644" s="9">
        <v>3</v>
      </c>
      <c r="K1644" s="9" t="s">
        <v>12078</v>
      </c>
      <c r="L1644" s="9" t="s">
        <v>12079</v>
      </c>
      <c r="M1644" s="9"/>
      <c r="N1644" s="10"/>
      <c r="O1644" s="9"/>
      <c r="P1644" s="9">
        <v>11843</v>
      </c>
      <c r="Q1644" s="9"/>
      <c r="R1644" s="9" t="s">
        <v>12795</v>
      </c>
      <c r="S1644" s="9" t="s">
        <v>12795</v>
      </c>
      <c r="T1644" s="9"/>
      <c r="U1644" s="9"/>
      <c r="V1644" s="9"/>
      <c r="W1644" s="9"/>
      <c r="X1644" s="9"/>
      <c r="Y1644" s="9"/>
      <c r="Z1644" s="9"/>
      <c r="AA1644" s="9"/>
      <c r="AB1644" s="9"/>
      <c r="AC1644" s="9"/>
      <c r="AD1644" s="9" t="s">
        <v>19</v>
      </c>
    </row>
    <row r="1645" spans="1:30" ht="29">
      <c r="A1645" s="3" t="s">
        <v>4183</v>
      </c>
      <c r="B1645" s="3" t="s">
        <v>10726</v>
      </c>
      <c r="C1645" s="3" t="s">
        <v>10725</v>
      </c>
      <c r="G1645" s="9" t="s">
        <v>12120</v>
      </c>
      <c r="H1645" s="9"/>
      <c r="I1645" s="9"/>
      <c r="J1645" s="9"/>
      <c r="K1645" s="9"/>
      <c r="L1645" s="9"/>
      <c r="M1645" s="9"/>
      <c r="N1645" s="10"/>
      <c r="O1645" s="9"/>
      <c r="P1645" s="9"/>
      <c r="Q1645" s="9"/>
      <c r="R1645" s="9" t="s">
        <v>12795</v>
      </c>
      <c r="S1645" s="9" t="s">
        <v>12795</v>
      </c>
      <c r="T1645" s="9"/>
      <c r="U1645" s="9"/>
      <c r="V1645" s="9"/>
      <c r="W1645" s="9"/>
      <c r="X1645" s="9"/>
      <c r="Y1645" s="9"/>
      <c r="Z1645" s="9"/>
      <c r="AA1645" s="9"/>
      <c r="AB1645" s="9"/>
      <c r="AC1645" s="9"/>
      <c r="AD1645" s="9" t="s">
        <v>13141</v>
      </c>
    </row>
    <row r="1646" spans="1:30" ht="29">
      <c r="A1646" s="3" t="s">
        <v>4183</v>
      </c>
      <c r="B1646" s="3" t="s">
        <v>10728</v>
      </c>
      <c r="C1646" s="3" t="s">
        <v>10727</v>
      </c>
      <c r="G1646" s="9" t="s">
        <v>24</v>
      </c>
      <c r="H1646" s="9"/>
      <c r="I1646" s="9">
        <v>1</v>
      </c>
      <c r="J1646" s="9">
        <v>2</v>
      </c>
      <c r="K1646" s="9" t="s">
        <v>12096</v>
      </c>
      <c r="L1646" s="9" t="s">
        <v>12119</v>
      </c>
      <c r="M1646" s="9"/>
      <c r="N1646" s="10"/>
      <c r="O1646" s="9"/>
      <c r="P1646" s="9">
        <v>1294</v>
      </c>
      <c r="Q1646" s="9"/>
      <c r="R1646" s="9" t="s">
        <v>12795</v>
      </c>
      <c r="S1646" s="9" t="s">
        <v>12795</v>
      </c>
      <c r="T1646" s="9"/>
      <c r="U1646" s="9"/>
      <c r="V1646" s="9"/>
      <c r="W1646" s="9"/>
      <c r="X1646" s="9"/>
      <c r="Y1646" s="9"/>
      <c r="Z1646" s="9"/>
      <c r="AA1646" s="9"/>
      <c r="AB1646" s="9"/>
      <c r="AC1646" s="9"/>
      <c r="AD1646" s="9" t="s">
        <v>19</v>
      </c>
    </row>
    <row r="1647" spans="1:30" ht="43.5">
      <c r="A1647" s="3" t="s">
        <v>4184</v>
      </c>
      <c r="B1647" s="3" t="s">
        <v>12552</v>
      </c>
      <c r="C1647" s="3" t="s">
        <v>12551</v>
      </c>
      <c r="G1647" s="9" t="s">
        <v>25</v>
      </c>
      <c r="H1647" s="9"/>
      <c r="I1647" s="9">
        <v>1</v>
      </c>
      <c r="J1647" s="9">
        <v>4</v>
      </c>
      <c r="K1647" s="9" t="s">
        <v>12096</v>
      </c>
      <c r="L1647" s="9" t="s">
        <v>12079</v>
      </c>
      <c r="M1647" s="9"/>
      <c r="N1647" s="10"/>
      <c r="O1647" s="9"/>
      <c r="P1647" s="9">
        <v>310</v>
      </c>
      <c r="Q1647" s="9"/>
      <c r="R1647" s="9" t="s">
        <v>12795</v>
      </c>
      <c r="S1647" s="9" t="s">
        <v>12795</v>
      </c>
      <c r="T1647" s="9"/>
      <c r="U1647" s="9"/>
      <c r="V1647" s="9"/>
      <c r="W1647" s="9"/>
      <c r="X1647" s="9"/>
      <c r="Y1647" s="9"/>
      <c r="Z1647" s="9"/>
      <c r="AA1647" s="9"/>
      <c r="AB1647" s="9"/>
      <c r="AC1647" s="9"/>
      <c r="AD1647" s="9" t="s">
        <v>19</v>
      </c>
    </row>
    <row r="1648" spans="1:30" ht="43.5">
      <c r="A1648" s="3" t="s">
        <v>4184</v>
      </c>
      <c r="B1648" s="3" t="s">
        <v>12553</v>
      </c>
      <c r="C1648" s="3" t="s">
        <v>10729</v>
      </c>
      <c r="G1648" s="9" t="s">
        <v>12120</v>
      </c>
      <c r="H1648" s="9"/>
      <c r="I1648" s="9"/>
      <c r="J1648" s="9"/>
      <c r="K1648" s="9"/>
      <c r="L1648" s="9"/>
      <c r="M1648" s="9"/>
      <c r="N1648" s="10"/>
      <c r="O1648" s="9"/>
      <c r="P1648" s="9"/>
      <c r="Q1648" s="9"/>
      <c r="R1648" s="9" t="s">
        <v>12795</v>
      </c>
      <c r="S1648" s="9" t="s">
        <v>12795</v>
      </c>
      <c r="T1648" s="9"/>
      <c r="U1648" s="9"/>
      <c r="V1648" s="9"/>
      <c r="W1648" s="9"/>
      <c r="X1648" s="9"/>
      <c r="Y1648" s="9"/>
      <c r="Z1648" s="9"/>
      <c r="AA1648" s="9"/>
      <c r="AB1648" s="9"/>
      <c r="AC1648" s="9"/>
      <c r="AD1648" s="9" t="s">
        <v>19</v>
      </c>
    </row>
    <row r="1649" spans="1:30" ht="43.5">
      <c r="A1649" s="3" t="s">
        <v>4184</v>
      </c>
      <c r="B1649" s="3" t="s">
        <v>10730</v>
      </c>
      <c r="C1649" s="3" t="s">
        <v>10731</v>
      </c>
      <c r="G1649" s="9" t="s">
        <v>12120</v>
      </c>
      <c r="H1649" s="9"/>
      <c r="I1649" s="9"/>
      <c r="J1649" s="9"/>
      <c r="K1649" s="9"/>
      <c r="L1649" s="9"/>
      <c r="M1649" s="9"/>
      <c r="N1649" s="10"/>
      <c r="O1649" s="9"/>
      <c r="P1649" s="9"/>
      <c r="Q1649" s="9"/>
      <c r="R1649" s="9" t="s">
        <v>12795</v>
      </c>
      <c r="S1649" s="9" t="s">
        <v>12795</v>
      </c>
      <c r="T1649" s="9"/>
      <c r="U1649" s="9"/>
      <c r="V1649" s="9"/>
      <c r="W1649" s="9"/>
      <c r="X1649" s="9"/>
      <c r="Y1649" s="9"/>
      <c r="Z1649" s="9"/>
      <c r="AA1649" s="9"/>
      <c r="AB1649" s="9"/>
      <c r="AC1649" s="9"/>
      <c r="AD1649" s="9" t="s">
        <v>19</v>
      </c>
    </row>
    <row r="1650" spans="1:30" ht="29">
      <c r="A1650" s="3" t="s">
        <v>4185</v>
      </c>
      <c r="B1650" s="3" t="s">
        <v>10734</v>
      </c>
      <c r="C1650" s="3" t="s">
        <v>10733</v>
      </c>
      <c r="G1650" s="9" t="s">
        <v>24</v>
      </c>
      <c r="H1650" s="9"/>
      <c r="I1650" s="9">
        <v>1</v>
      </c>
      <c r="J1650" s="9">
        <v>5</v>
      </c>
      <c r="K1650" s="9" t="s">
        <v>12094</v>
      </c>
      <c r="L1650" s="9" t="s">
        <v>12073</v>
      </c>
      <c r="M1650" s="9" t="s">
        <v>12142</v>
      </c>
      <c r="N1650" s="10" t="s">
        <v>12143</v>
      </c>
      <c r="O1650" s="9"/>
      <c r="P1650" s="9">
        <v>4240</v>
      </c>
      <c r="Q1650" s="9"/>
      <c r="R1650" s="9" t="s">
        <v>12795</v>
      </c>
      <c r="S1650" s="9" t="s">
        <v>12795</v>
      </c>
      <c r="T1650" s="9"/>
      <c r="U1650" s="9"/>
      <c r="V1650" s="9"/>
      <c r="W1650" s="9"/>
      <c r="X1650" s="9"/>
      <c r="Y1650" s="9"/>
      <c r="Z1650" s="9"/>
      <c r="AA1650" s="9"/>
      <c r="AB1650" s="9"/>
      <c r="AC1650" s="9"/>
      <c r="AD1650" s="9" t="s">
        <v>19</v>
      </c>
    </row>
    <row r="1651" spans="1:30" ht="29">
      <c r="A1651" s="3" t="s">
        <v>4188</v>
      </c>
      <c r="B1651" s="3" t="s">
        <v>10739</v>
      </c>
      <c r="C1651" s="3" t="s">
        <v>10740</v>
      </c>
      <c r="G1651" s="9" t="s">
        <v>24</v>
      </c>
      <c r="H1651" s="9"/>
      <c r="I1651" s="9">
        <v>1</v>
      </c>
      <c r="J1651" s="9">
        <v>5</v>
      </c>
      <c r="K1651" s="9" t="s">
        <v>12125</v>
      </c>
      <c r="L1651" s="9" t="s">
        <v>12073</v>
      </c>
      <c r="M1651" s="9" t="s">
        <v>12142</v>
      </c>
      <c r="N1651" s="10" t="s">
        <v>12170</v>
      </c>
      <c r="O1651" s="9" t="s">
        <v>12074</v>
      </c>
      <c r="P1651" s="9">
        <v>2042</v>
      </c>
      <c r="Q1651" s="9"/>
      <c r="R1651" s="9" t="s">
        <v>12795</v>
      </c>
      <c r="S1651" s="9" t="s">
        <v>12795</v>
      </c>
      <c r="T1651" s="9"/>
      <c r="U1651" s="9"/>
      <c r="V1651" s="9"/>
      <c r="W1651" s="9"/>
      <c r="X1651" s="9"/>
      <c r="Y1651" s="9"/>
      <c r="Z1651" s="9"/>
      <c r="AA1651" s="9"/>
      <c r="AB1651" s="9"/>
      <c r="AC1651" s="9"/>
      <c r="AD1651" s="9" t="s">
        <v>20</v>
      </c>
    </row>
    <row r="1652" spans="1:30" ht="29">
      <c r="A1652" s="3" t="s">
        <v>4189</v>
      </c>
      <c r="B1652" s="3" t="s">
        <v>10747</v>
      </c>
      <c r="C1652" s="3" t="s">
        <v>10746</v>
      </c>
      <c r="G1652" s="9" t="s">
        <v>12118</v>
      </c>
      <c r="H1652" s="9"/>
      <c r="I1652" s="9"/>
      <c r="J1652" s="9"/>
      <c r="K1652" s="9"/>
      <c r="L1652" s="9"/>
      <c r="M1652" s="9"/>
      <c r="N1652" s="10"/>
      <c r="O1652" s="9"/>
      <c r="P1652" s="9"/>
      <c r="Q1652" s="9">
        <v>245</v>
      </c>
      <c r="R1652" s="9">
        <v>1496</v>
      </c>
      <c r="S1652" s="9">
        <v>1741</v>
      </c>
      <c r="T1652" s="9"/>
      <c r="U1652" s="9"/>
      <c r="V1652" s="9"/>
      <c r="W1652" s="9"/>
      <c r="X1652" s="9"/>
      <c r="Y1652" s="9"/>
      <c r="Z1652" s="9"/>
      <c r="AA1652" s="9"/>
      <c r="AB1652" s="9"/>
      <c r="AC1652" s="9"/>
      <c r="AD1652" s="9" t="s">
        <v>20</v>
      </c>
    </row>
    <row r="1653" spans="1:30">
      <c r="A1653" s="3" t="s">
        <v>4196</v>
      </c>
      <c r="B1653" s="3" t="s">
        <v>10758</v>
      </c>
      <c r="C1653" s="3" t="s">
        <v>10759</v>
      </c>
      <c r="G1653" s="9" t="s">
        <v>26</v>
      </c>
      <c r="H1653" s="9"/>
      <c r="I1653" s="9"/>
      <c r="J1653" s="9"/>
      <c r="K1653" s="9"/>
      <c r="L1653" s="9"/>
      <c r="M1653" s="9"/>
      <c r="N1653" s="10"/>
      <c r="O1653" s="9"/>
      <c r="P1653" s="9"/>
      <c r="Q1653" s="9"/>
      <c r="R1653" s="9" t="s">
        <v>12795</v>
      </c>
      <c r="S1653" s="9" t="s">
        <v>12795</v>
      </c>
      <c r="T1653" s="9"/>
      <c r="U1653" s="9"/>
      <c r="V1653" s="9"/>
      <c r="W1653" s="9"/>
      <c r="X1653" s="9"/>
      <c r="Y1653" s="9"/>
      <c r="Z1653" s="9"/>
      <c r="AA1653" s="9"/>
      <c r="AB1653" s="9"/>
      <c r="AC1653" s="9"/>
      <c r="AD1653" s="9" t="s">
        <v>20</v>
      </c>
    </row>
    <row r="1654" spans="1:30">
      <c r="A1654" s="3" t="s">
        <v>4200</v>
      </c>
      <c r="B1654" s="3" t="s">
        <v>10770</v>
      </c>
      <c r="C1654" s="3" t="s">
        <v>10771</v>
      </c>
      <c r="G1654" s="9" t="s">
        <v>12120</v>
      </c>
      <c r="H1654" s="9"/>
      <c r="I1654" s="9"/>
      <c r="J1654" s="9"/>
      <c r="K1654" s="9"/>
      <c r="L1654" s="9"/>
      <c r="M1654" s="9"/>
      <c r="N1654" s="10"/>
      <c r="O1654" s="9"/>
      <c r="P1654" s="9"/>
      <c r="Q1654" s="9"/>
      <c r="R1654" s="9" t="s">
        <v>12795</v>
      </c>
      <c r="S1654" s="9" t="s">
        <v>12795</v>
      </c>
      <c r="T1654" s="9"/>
      <c r="U1654" s="9"/>
      <c r="V1654" s="9"/>
      <c r="W1654" s="9"/>
      <c r="X1654" s="9"/>
      <c r="Y1654" s="9"/>
      <c r="Z1654" s="9"/>
      <c r="AA1654" s="9"/>
      <c r="AB1654" s="9"/>
      <c r="AC1654" s="9"/>
      <c r="AD1654" s="9" t="s">
        <v>20</v>
      </c>
    </row>
    <row r="1655" spans="1:30" ht="29">
      <c r="A1655" s="3" t="s">
        <v>4206</v>
      </c>
      <c r="B1655" s="3" t="s">
        <v>10775</v>
      </c>
      <c r="C1655" s="3" t="s">
        <v>10774</v>
      </c>
      <c r="G1655" s="9" t="s">
        <v>25</v>
      </c>
      <c r="H1655" s="9"/>
      <c r="I1655" s="9">
        <v>1</v>
      </c>
      <c r="J1655" s="9">
        <v>2</v>
      </c>
      <c r="K1655" s="9" t="s">
        <v>12087</v>
      </c>
      <c r="L1655" s="9" t="s">
        <v>12119</v>
      </c>
      <c r="M1655" s="9"/>
      <c r="N1655" s="10"/>
      <c r="O1655" s="9"/>
      <c r="P1655" s="9">
        <v>1966</v>
      </c>
      <c r="Q1655" s="9"/>
      <c r="R1655" s="9" t="s">
        <v>12795</v>
      </c>
      <c r="S1655" s="9" t="s">
        <v>12795</v>
      </c>
      <c r="T1655" s="9"/>
      <c r="U1655" s="9"/>
      <c r="V1655" s="9"/>
      <c r="W1655" s="9"/>
      <c r="X1655" s="9"/>
      <c r="Y1655" s="9"/>
      <c r="Z1655" s="9"/>
      <c r="AA1655" s="9"/>
      <c r="AB1655" s="9"/>
      <c r="AC1655" s="9"/>
      <c r="AD1655" s="9" t="s">
        <v>20</v>
      </c>
    </row>
    <row r="1656" spans="1:30" ht="29">
      <c r="A1656" s="3" t="s">
        <v>4206</v>
      </c>
      <c r="B1656" s="3" t="s">
        <v>10777</v>
      </c>
      <c r="C1656" s="3" t="s">
        <v>10776</v>
      </c>
      <c r="G1656" s="9" t="s">
        <v>24</v>
      </c>
      <c r="H1656" s="9"/>
      <c r="I1656" s="9">
        <v>1</v>
      </c>
      <c r="J1656" s="9">
        <v>6</v>
      </c>
      <c r="K1656" s="9" t="s">
        <v>12092</v>
      </c>
      <c r="L1656" s="9" t="s">
        <v>12079</v>
      </c>
      <c r="M1656" s="9"/>
      <c r="N1656" s="10"/>
      <c r="O1656" s="9"/>
      <c r="P1656" s="9">
        <v>147</v>
      </c>
      <c r="Q1656" s="9"/>
      <c r="R1656" s="9" t="s">
        <v>12795</v>
      </c>
      <c r="S1656" s="9" t="s">
        <v>12795</v>
      </c>
      <c r="T1656" s="9"/>
      <c r="U1656" s="9"/>
      <c r="V1656" s="9"/>
      <c r="W1656" s="9"/>
      <c r="X1656" s="9"/>
      <c r="Y1656" s="9"/>
      <c r="Z1656" s="9"/>
      <c r="AA1656" s="9"/>
      <c r="AB1656" s="9"/>
      <c r="AC1656" s="9"/>
      <c r="AD1656" s="9" t="s">
        <v>19</v>
      </c>
    </row>
    <row r="1657" spans="1:30" ht="29">
      <c r="A1657" s="3" t="s">
        <v>4207</v>
      </c>
      <c r="B1657" s="3" t="s">
        <v>10779</v>
      </c>
      <c r="C1657" s="3" t="s">
        <v>10778</v>
      </c>
      <c r="G1657" s="9" t="s">
        <v>12118</v>
      </c>
      <c r="H1657" s="9"/>
      <c r="I1657" s="9"/>
      <c r="J1657" s="9"/>
      <c r="K1657" s="9"/>
      <c r="L1657" s="9"/>
      <c r="M1657" s="9"/>
      <c r="N1657" s="10"/>
      <c r="O1657" s="9"/>
      <c r="P1657" s="9"/>
      <c r="Q1657" s="9">
        <v>-190</v>
      </c>
      <c r="R1657" s="9">
        <v>207</v>
      </c>
      <c r="S1657" s="9">
        <v>17</v>
      </c>
      <c r="T1657" s="9"/>
      <c r="U1657" s="9"/>
      <c r="V1657" s="9"/>
      <c r="W1657" s="9"/>
      <c r="X1657" s="9"/>
      <c r="Y1657" s="9"/>
      <c r="Z1657" s="9"/>
      <c r="AA1657" s="9"/>
      <c r="AB1657" s="9"/>
      <c r="AC1657" s="9"/>
      <c r="AD1657" s="9" t="s">
        <v>19</v>
      </c>
    </row>
    <row r="1658" spans="1:30" ht="29">
      <c r="A1658" s="3" t="s">
        <v>4209</v>
      </c>
      <c r="B1658" s="3" t="s">
        <v>10785</v>
      </c>
      <c r="C1658" s="3" t="s">
        <v>10784</v>
      </c>
      <c r="G1658" s="9" t="s">
        <v>24</v>
      </c>
      <c r="H1658" s="9"/>
      <c r="I1658" s="9">
        <v>2</v>
      </c>
      <c r="J1658" s="9">
        <v>5</v>
      </c>
      <c r="K1658" s="9"/>
      <c r="L1658" s="9" t="s">
        <v>12079</v>
      </c>
      <c r="M1658" s="9"/>
      <c r="N1658" s="10"/>
      <c r="O1658" s="9"/>
      <c r="P1658" s="9">
        <v>472</v>
      </c>
      <c r="Q1658" s="9"/>
      <c r="R1658" s="9" t="s">
        <v>12795</v>
      </c>
      <c r="S1658" s="9" t="s">
        <v>12795</v>
      </c>
      <c r="T1658" s="9"/>
      <c r="U1658" s="9"/>
      <c r="V1658" s="9"/>
      <c r="W1658" s="9"/>
      <c r="X1658" s="9"/>
      <c r="Y1658" s="9"/>
      <c r="Z1658" s="9"/>
      <c r="AA1658" s="9"/>
      <c r="AB1658" s="9"/>
      <c r="AC1658" s="9"/>
      <c r="AD1658" s="9" t="s">
        <v>19</v>
      </c>
    </row>
    <row r="1659" spans="1:30" ht="29">
      <c r="A1659" s="3" t="s">
        <v>4210</v>
      </c>
      <c r="B1659" s="3" t="s">
        <v>10789</v>
      </c>
      <c r="C1659" s="3" t="s">
        <v>10788</v>
      </c>
      <c r="G1659" s="9" t="s">
        <v>26</v>
      </c>
      <c r="H1659" s="9"/>
      <c r="I1659" s="9"/>
      <c r="J1659" s="9"/>
      <c r="K1659" s="9"/>
      <c r="L1659" s="9"/>
      <c r="M1659" s="9"/>
      <c r="N1659" s="10"/>
      <c r="O1659" s="9"/>
      <c r="P1659" s="9"/>
      <c r="Q1659" s="9"/>
      <c r="R1659" s="9" t="s">
        <v>12795</v>
      </c>
      <c r="S1659" s="9" t="s">
        <v>12795</v>
      </c>
      <c r="T1659" s="9"/>
      <c r="U1659" s="9"/>
      <c r="V1659" s="9"/>
      <c r="W1659" s="9"/>
      <c r="X1659" s="9"/>
      <c r="Y1659" s="9"/>
      <c r="Z1659" s="9"/>
      <c r="AA1659" s="9"/>
      <c r="AB1659" s="9"/>
      <c r="AC1659" s="9"/>
      <c r="AD1659" s="9" t="s">
        <v>20</v>
      </c>
    </row>
    <row r="1660" spans="1:30" ht="29">
      <c r="A1660" s="3" t="s">
        <v>4213</v>
      </c>
      <c r="B1660" s="3" t="s">
        <v>4214</v>
      </c>
      <c r="C1660" s="3" t="s">
        <v>4215</v>
      </c>
      <c r="G1660" s="9" t="s">
        <v>12120</v>
      </c>
      <c r="H1660" s="9"/>
      <c r="I1660" s="9"/>
      <c r="J1660" s="9"/>
      <c r="K1660" s="9"/>
      <c r="L1660" s="9"/>
      <c r="M1660" s="9"/>
      <c r="N1660" s="10"/>
      <c r="O1660" s="9"/>
      <c r="P1660" s="9"/>
      <c r="Q1660" s="9"/>
      <c r="R1660" s="9" t="s">
        <v>12795</v>
      </c>
      <c r="S1660" s="9" t="s">
        <v>12795</v>
      </c>
      <c r="T1660" s="9"/>
      <c r="U1660" s="9"/>
      <c r="V1660" s="9"/>
      <c r="W1660" s="9"/>
      <c r="X1660" s="9"/>
      <c r="Y1660" s="9"/>
      <c r="Z1660" s="9"/>
      <c r="AA1660" s="9"/>
      <c r="AB1660" s="9"/>
      <c r="AC1660" s="9"/>
      <c r="AD1660" s="9" t="s">
        <v>20</v>
      </c>
    </row>
    <row r="1661" spans="1:30" ht="29">
      <c r="A1661" s="3" t="s">
        <v>4216</v>
      </c>
      <c r="B1661" s="3" t="s">
        <v>10796</v>
      </c>
      <c r="C1661" s="3" t="s">
        <v>10797</v>
      </c>
      <c r="G1661" s="9" t="s">
        <v>12120</v>
      </c>
      <c r="H1661" s="9"/>
      <c r="I1661" s="9"/>
      <c r="J1661" s="9"/>
      <c r="K1661" s="9"/>
      <c r="L1661" s="9"/>
      <c r="M1661" s="9"/>
      <c r="N1661" s="10"/>
      <c r="O1661" s="9"/>
      <c r="P1661" s="9"/>
      <c r="Q1661" s="9"/>
      <c r="R1661" s="9" t="s">
        <v>12795</v>
      </c>
      <c r="S1661" s="9" t="s">
        <v>12795</v>
      </c>
      <c r="T1661" s="9"/>
      <c r="U1661" s="9"/>
      <c r="V1661" s="9"/>
      <c r="W1661" s="9"/>
      <c r="X1661" s="9"/>
      <c r="Y1661" s="9"/>
      <c r="Z1661" s="9"/>
      <c r="AA1661" s="9"/>
      <c r="AB1661" s="9"/>
      <c r="AC1661" s="9"/>
      <c r="AD1661" s="9" t="s">
        <v>19</v>
      </c>
    </row>
    <row r="1662" spans="1:30" ht="29">
      <c r="A1662" s="3" t="s">
        <v>4216</v>
      </c>
      <c r="B1662" s="3" t="s">
        <v>2901</v>
      </c>
      <c r="C1662" s="3" t="s">
        <v>2089</v>
      </c>
      <c r="G1662" s="9" t="s">
        <v>12120</v>
      </c>
      <c r="H1662" s="9"/>
      <c r="I1662" s="9"/>
      <c r="J1662" s="9"/>
      <c r="K1662" s="9"/>
      <c r="L1662" s="9"/>
      <c r="M1662" s="9"/>
      <c r="N1662" s="10"/>
      <c r="O1662" s="9"/>
      <c r="P1662" s="9"/>
      <c r="Q1662" s="9"/>
      <c r="R1662" s="9" t="s">
        <v>12795</v>
      </c>
      <c r="S1662" s="9" t="s">
        <v>12795</v>
      </c>
      <c r="T1662" s="9"/>
      <c r="U1662" s="9"/>
      <c r="V1662" s="9"/>
      <c r="W1662" s="9"/>
      <c r="X1662" s="9"/>
      <c r="Y1662" s="9"/>
      <c r="Z1662" s="9"/>
      <c r="AA1662" s="9"/>
      <c r="AB1662" s="9"/>
      <c r="AC1662" s="9"/>
      <c r="AD1662" s="9" t="s">
        <v>20</v>
      </c>
    </row>
    <row r="1663" spans="1:30" ht="29">
      <c r="A1663" s="3" t="s">
        <v>4217</v>
      </c>
      <c r="B1663" s="3" t="s">
        <v>4218</v>
      </c>
      <c r="C1663" s="3" t="s">
        <v>4219</v>
      </c>
      <c r="G1663" s="9" t="s">
        <v>12118</v>
      </c>
      <c r="H1663" s="9"/>
      <c r="I1663" s="9"/>
      <c r="J1663" s="9"/>
      <c r="K1663" s="9"/>
      <c r="L1663" s="9"/>
      <c r="M1663" s="9"/>
      <c r="N1663" s="10"/>
      <c r="O1663" s="9"/>
      <c r="P1663" s="9"/>
      <c r="Q1663" s="9">
        <v>16</v>
      </c>
      <c r="R1663" s="9">
        <v>0</v>
      </c>
      <c r="S1663" s="9">
        <v>16</v>
      </c>
      <c r="T1663" s="9"/>
      <c r="U1663" s="9"/>
      <c r="V1663" s="9"/>
      <c r="W1663" s="9"/>
      <c r="X1663" s="9"/>
      <c r="Y1663" s="9"/>
      <c r="Z1663" s="9"/>
      <c r="AA1663" s="9"/>
      <c r="AB1663" s="9"/>
      <c r="AC1663" s="9"/>
      <c r="AD1663" s="9" t="s">
        <v>20</v>
      </c>
    </row>
    <row r="1664" spans="1:30" ht="29">
      <c r="A1664" s="3" t="s">
        <v>4220</v>
      </c>
      <c r="B1664" s="3" t="s">
        <v>4221</v>
      </c>
      <c r="C1664" s="3" t="s">
        <v>4222</v>
      </c>
      <c r="G1664" s="9" t="s">
        <v>12120</v>
      </c>
      <c r="H1664" s="9"/>
      <c r="I1664" s="9"/>
      <c r="J1664" s="9"/>
      <c r="K1664" s="9"/>
      <c r="L1664" s="9"/>
      <c r="M1664" s="9"/>
      <c r="N1664" s="10"/>
      <c r="O1664" s="9"/>
      <c r="P1664" s="9"/>
      <c r="Q1664" s="9"/>
      <c r="R1664" s="9" t="s">
        <v>12795</v>
      </c>
      <c r="S1664" s="9" t="s">
        <v>12795</v>
      </c>
      <c r="T1664" s="9"/>
      <c r="U1664" s="9"/>
      <c r="V1664" s="9"/>
      <c r="W1664" s="9"/>
      <c r="X1664" s="9"/>
      <c r="Y1664" s="9"/>
      <c r="Z1664" s="9"/>
      <c r="AA1664" s="9"/>
      <c r="AB1664" s="9"/>
      <c r="AC1664" s="9"/>
      <c r="AD1664" s="9" t="s">
        <v>20</v>
      </c>
    </row>
    <row r="1665" spans="1:30" ht="29">
      <c r="A1665" s="3" t="s">
        <v>4223</v>
      </c>
      <c r="B1665" s="3" t="s">
        <v>10802</v>
      </c>
      <c r="C1665" s="3" t="s">
        <v>10803</v>
      </c>
      <c r="G1665" s="9" t="s">
        <v>12118</v>
      </c>
      <c r="H1665" s="9"/>
      <c r="I1665" s="9"/>
      <c r="J1665" s="9"/>
      <c r="K1665" s="9"/>
      <c r="L1665" s="9"/>
      <c r="M1665" s="9"/>
      <c r="N1665" s="10"/>
      <c r="O1665" s="9"/>
      <c r="P1665" s="9"/>
      <c r="Q1665" s="9">
        <v>-21</v>
      </c>
      <c r="R1665" s="9">
        <v>186</v>
      </c>
      <c r="S1665" s="9">
        <v>165</v>
      </c>
      <c r="T1665" s="9"/>
      <c r="U1665" s="9"/>
      <c r="V1665" s="9"/>
      <c r="W1665" s="9"/>
      <c r="X1665" s="9"/>
      <c r="Y1665" s="9"/>
      <c r="Z1665" s="9"/>
      <c r="AA1665" s="9"/>
      <c r="AB1665" s="9"/>
      <c r="AC1665" s="9"/>
      <c r="AD1665" s="9" t="s">
        <v>20</v>
      </c>
    </row>
    <row r="1666" spans="1:30" ht="29">
      <c r="A1666" s="3" t="s">
        <v>4223</v>
      </c>
      <c r="B1666" s="3" t="s">
        <v>4224</v>
      </c>
      <c r="C1666" s="3" t="s">
        <v>4225</v>
      </c>
      <c r="G1666" s="9" t="s">
        <v>12120</v>
      </c>
      <c r="H1666" s="9"/>
      <c r="I1666" s="9"/>
      <c r="J1666" s="9"/>
      <c r="K1666" s="9"/>
      <c r="L1666" s="9"/>
      <c r="M1666" s="9"/>
      <c r="N1666" s="10"/>
      <c r="O1666" s="9"/>
      <c r="P1666" s="9"/>
      <c r="Q1666" s="9"/>
      <c r="R1666" s="9" t="s">
        <v>12795</v>
      </c>
      <c r="S1666" s="9" t="s">
        <v>12795</v>
      </c>
      <c r="T1666" s="9"/>
      <c r="U1666" s="9"/>
      <c r="V1666" s="9"/>
      <c r="W1666" s="9"/>
      <c r="X1666" s="9"/>
      <c r="Y1666" s="9"/>
      <c r="Z1666" s="9"/>
      <c r="AA1666" s="9"/>
      <c r="AB1666" s="9"/>
      <c r="AC1666" s="9"/>
      <c r="AD1666" s="9" t="s">
        <v>20</v>
      </c>
    </row>
    <row r="1667" spans="1:30">
      <c r="A1667" s="3" t="s">
        <v>4233</v>
      </c>
      <c r="B1667" s="3" t="s">
        <v>10815</v>
      </c>
      <c r="C1667" s="3" t="s">
        <v>10816</v>
      </c>
      <c r="G1667" s="9" t="s">
        <v>12118</v>
      </c>
      <c r="H1667" s="9"/>
      <c r="I1667" s="9"/>
      <c r="J1667" s="9"/>
      <c r="K1667" s="9"/>
      <c r="L1667" s="9"/>
      <c r="M1667" s="9"/>
      <c r="N1667" s="10"/>
      <c r="O1667" s="9"/>
      <c r="P1667" s="9"/>
      <c r="Q1667" s="9">
        <v>541</v>
      </c>
      <c r="R1667" s="9">
        <v>560</v>
      </c>
      <c r="S1667" s="9">
        <v>1101</v>
      </c>
      <c r="T1667" s="9"/>
      <c r="U1667" s="9"/>
      <c r="V1667" s="9"/>
      <c r="W1667" s="9"/>
      <c r="X1667" s="9"/>
      <c r="Y1667" s="9"/>
      <c r="Z1667" s="9"/>
      <c r="AA1667" s="9"/>
      <c r="AB1667" s="9"/>
      <c r="AC1667" s="9"/>
      <c r="AD1667" s="9" t="s">
        <v>20</v>
      </c>
    </row>
    <row r="1668" spans="1:30" ht="29">
      <c r="A1668" s="3" t="s">
        <v>4235</v>
      </c>
      <c r="B1668" s="3" t="s">
        <v>10823</v>
      </c>
      <c r="C1668" s="3" t="s">
        <v>10824</v>
      </c>
      <c r="G1668" s="9" t="s">
        <v>12118</v>
      </c>
      <c r="H1668" s="9"/>
      <c r="I1668" s="9"/>
      <c r="J1668" s="9"/>
      <c r="K1668" s="9"/>
      <c r="L1668" s="9"/>
      <c r="M1668" s="9"/>
      <c r="N1668" s="10"/>
      <c r="O1668" s="9"/>
      <c r="P1668" s="9"/>
      <c r="Q1668" s="9">
        <v>-330</v>
      </c>
      <c r="R1668" s="9">
        <v>444</v>
      </c>
      <c r="S1668" s="9">
        <v>114</v>
      </c>
      <c r="T1668" s="9"/>
      <c r="U1668" s="9"/>
      <c r="V1668" s="9"/>
      <c r="W1668" s="9"/>
      <c r="X1668" s="9"/>
      <c r="Y1668" s="9"/>
      <c r="Z1668" s="9"/>
      <c r="AA1668" s="9"/>
      <c r="AB1668" s="9"/>
      <c r="AC1668" s="9"/>
      <c r="AD1668" s="9" t="s">
        <v>19</v>
      </c>
    </row>
    <row r="1669" spans="1:30" ht="29">
      <c r="A1669" s="3" t="s">
        <v>4238</v>
      </c>
      <c r="B1669" s="3" t="s">
        <v>10833</v>
      </c>
      <c r="C1669" s="3" t="s">
        <v>10832</v>
      </c>
      <c r="G1669" s="9" t="s">
        <v>25</v>
      </c>
      <c r="H1669" s="9"/>
      <c r="I1669" s="9">
        <v>1</v>
      </c>
      <c r="J1669" s="9">
        <v>5</v>
      </c>
      <c r="K1669" s="9" t="s">
        <v>12094</v>
      </c>
      <c r="L1669" s="9" t="s">
        <v>12079</v>
      </c>
      <c r="M1669" s="9"/>
      <c r="N1669" s="10"/>
      <c r="O1669" s="9"/>
      <c r="P1669" s="9">
        <v>4240</v>
      </c>
      <c r="Q1669" s="9"/>
      <c r="R1669" s="9" t="s">
        <v>12795</v>
      </c>
      <c r="S1669" s="9" t="s">
        <v>12795</v>
      </c>
      <c r="T1669" s="9"/>
      <c r="U1669" s="9"/>
      <c r="V1669" s="9"/>
      <c r="W1669" s="9"/>
      <c r="X1669" s="9"/>
      <c r="Y1669" s="9"/>
      <c r="Z1669" s="9"/>
      <c r="AA1669" s="9"/>
      <c r="AB1669" s="9"/>
      <c r="AC1669" s="9"/>
      <c r="AD1669" s="9" t="s">
        <v>19</v>
      </c>
    </row>
    <row r="1670" spans="1:30" ht="29">
      <c r="A1670" s="3" t="s">
        <v>4242</v>
      </c>
      <c r="B1670" s="3" t="s">
        <v>10836</v>
      </c>
      <c r="C1670" s="3" t="s">
        <v>10835</v>
      </c>
      <c r="G1670" s="9" t="s">
        <v>25</v>
      </c>
      <c r="H1670" s="9"/>
      <c r="I1670" s="9">
        <v>1</v>
      </c>
      <c r="J1670" s="9">
        <v>3</v>
      </c>
      <c r="K1670" s="9" t="s">
        <v>12087</v>
      </c>
      <c r="L1670" s="9" t="s">
        <v>12079</v>
      </c>
      <c r="M1670" s="9"/>
      <c r="N1670" s="10"/>
      <c r="O1670" s="9"/>
      <c r="P1670" s="9">
        <v>5676</v>
      </c>
      <c r="Q1670" s="9"/>
      <c r="R1670" s="9" t="s">
        <v>12795</v>
      </c>
      <c r="S1670" s="9" t="s">
        <v>12795</v>
      </c>
      <c r="T1670" s="9"/>
      <c r="U1670" s="9"/>
      <c r="V1670" s="9"/>
      <c r="W1670" s="9"/>
      <c r="X1670" s="9"/>
      <c r="Y1670" s="9"/>
      <c r="Z1670" s="9"/>
      <c r="AA1670" s="9"/>
      <c r="AB1670" s="9"/>
      <c r="AC1670" s="9"/>
      <c r="AD1670" s="9" t="s">
        <v>13141</v>
      </c>
    </row>
    <row r="1671" spans="1:30" ht="29">
      <c r="A1671" s="3" t="s">
        <v>4248</v>
      </c>
      <c r="B1671" s="3" t="s">
        <v>10841</v>
      </c>
      <c r="C1671" s="3" t="s">
        <v>10842</v>
      </c>
      <c r="G1671" s="9" t="s">
        <v>12118</v>
      </c>
      <c r="H1671" s="9"/>
      <c r="I1671" s="9"/>
      <c r="J1671" s="9"/>
      <c r="K1671" s="9"/>
      <c r="L1671" s="9"/>
      <c r="M1671" s="9"/>
      <c r="N1671" s="10"/>
      <c r="O1671" s="9"/>
      <c r="P1671" s="9"/>
      <c r="Q1671" s="9">
        <v>-5510</v>
      </c>
      <c r="R1671" s="9">
        <v>5676</v>
      </c>
      <c r="S1671" s="9">
        <v>166</v>
      </c>
      <c r="T1671" s="9"/>
      <c r="U1671" s="9"/>
      <c r="V1671" s="9"/>
      <c r="W1671" s="9"/>
      <c r="X1671" s="9"/>
      <c r="Y1671" s="9"/>
      <c r="Z1671" s="9"/>
      <c r="AA1671" s="9"/>
      <c r="AB1671" s="9"/>
      <c r="AC1671" s="9"/>
      <c r="AD1671" s="9" t="s">
        <v>19</v>
      </c>
    </row>
    <row r="1672" spans="1:30" ht="29">
      <c r="A1672" s="3" t="s">
        <v>4249</v>
      </c>
      <c r="B1672" s="3" t="s">
        <v>12563</v>
      </c>
      <c r="C1672" s="3" t="s">
        <v>12564</v>
      </c>
      <c r="G1672" s="9" t="s">
        <v>12120</v>
      </c>
      <c r="H1672" s="9"/>
      <c r="I1672" s="9"/>
      <c r="J1672" s="9"/>
      <c r="K1672" s="9"/>
      <c r="L1672" s="9"/>
      <c r="M1672" s="9"/>
      <c r="N1672" s="10"/>
      <c r="O1672" s="9"/>
      <c r="P1672" s="9"/>
      <c r="Q1672" s="9"/>
      <c r="R1672" s="9" t="s">
        <v>12795</v>
      </c>
      <c r="S1672" s="9" t="s">
        <v>12795</v>
      </c>
      <c r="T1672" s="9"/>
      <c r="U1672" s="9"/>
      <c r="V1672" s="9"/>
      <c r="W1672" s="9"/>
      <c r="X1672" s="9"/>
      <c r="Y1672" s="9"/>
      <c r="Z1672" s="9"/>
      <c r="AA1672" s="9"/>
      <c r="AB1672" s="9"/>
      <c r="AC1672" s="9"/>
      <c r="AD1672" s="9" t="s">
        <v>19</v>
      </c>
    </row>
    <row r="1673" spans="1:30" ht="29">
      <c r="A1673" s="3" t="s">
        <v>4262</v>
      </c>
      <c r="B1673" s="3" t="s">
        <v>10861</v>
      </c>
      <c r="C1673" s="3" t="s">
        <v>10860</v>
      </c>
      <c r="G1673" s="9" t="s">
        <v>12118</v>
      </c>
      <c r="H1673" s="9"/>
      <c r="I1673" s="9"/>
      <c r="J1673" s="9"/>
      <c r="K1673" s="9"/>
      <c r="L1673" s="9"/>
      <c r="M1673" s="9"/>
      <c r="N1673" s="10"/>
      <c r="O1673" s="9"/>
      <c r="P1673" s="9"/>
      <c r="Q1673" s="9">
        <v>-7603</v>
      </c>
      <c r="R1673" s="9">
        <v>11843</v>
      </c>
      <c r="S1673" s="9">
        <v>4240</v>
      </c>
      <c r="T1673" s="9"/>
      <c r="U1673" s="9"/>
      <c r="V1673" s="9"/>
      <c r="W1673" s="9"/>
      <c r="X1673" s="9"/>
      <c r="Y1673" s="9"/>
      <c r="Z1673" s="9"/>
      <c r="AA1673" s="9"/>
      <c r="AB1673" s="9"/>
      <c r="AC1673" s="9"/>
      <c r="AD1673" s="9" t="s">
        <v>20</v>
      </c>
    </row>
    <row r="1674" spans="1:30" ht="29">
      <c r="A1674" s="3" t="s">
        <v>4263</v>
      </c>
      <c r="B1674" s="3" t="s">
        <v>10866</v>
      </c>
      <c r="C1674" s="3" t="s">
        <v>10867</v>
      </c>
      <c r="G1674" s="9" t="s">
        <v>12120</v>
      </c>
      <c r="H1674" s="9"/>
      <c r="I1674" s="9"/>
      <c r="J1674" s="9"/>
      <c r="K1674" s="9"/>
      <c r="L1674" s="9"/>
      <c r="M1674" s="9"/>
      <c r="N1674" s="10"/>
      <c r="O1674" s="9"/>
      <c r="P1674" s="9"/>
      <c r="Q1674" s="9"/>
      <c r="R1674" s="9" t="s">
        <v>12795</v>
      </c>
      <c r="S1674" s="9" t="s">
        <v>12795</v>
      </c>
      <c r="T1674" s="9"/>
      <c r="U1674" s="9"/>
      <c r="V1674" s="9"/>
      <c r="W1674" s="9"/>
      <c r="X1674" s="9"/>
      <c r="Y1674" s="9"/>
      <c r="Z1674" s="9"/>
      <c r="AA1674" s="9"/>
      <c r="AB1674" s="9"/>
      <c r="AC1674" s="9"/>
      <c r="AD1674" s="9" t="s">
        <v>20</v>
      </c>
    </row>
    <row r="1675" spans="1:30" ht="58">
      <c r="A1675" s="3" t="s">
        <v>4264</v>
      </c>
      <c r="B1675" s="3" t="s">
        <v>10868</v>
      </c>
      <c r="C1675" s="3" t="s">
        <v>10869</v>
      </c>
      <c r="G1675" s="9" t="s">
        <v>25</v>
      </c>
      <c r="H1675" s="9"/>
      <c r="I1675" s="9">
        <v>5</v>
      </c>
      <c r="J1675" s="9">
        <v>31</v>
      </c>
      <c r="K1675" s="9"/>
      <c r="L1675" s="9" t="s">
        <v>12073</v>
      </c>
      <c r="M1675" s="9" t="s">
        <v>12140</v>
      </c>
      <c r="N1675" s="10" t="s">
        <v>12136</v>
      </c>
      <c r="O1675" s="9"/>
      <c r="P1675" s="9">
        <v>0</v>
      </c>
      <c r="Q1675" s="9"/>
      <c r="R1675" s="9" t="s">
        <v>12795</v>
      </c>
      <c r="S1675" s="9" t="s">
        <v>12795</v>
      </c>
      <c r="T1675" s="9"/>
      <c r="U1675" s="9"/>
      <c r="V1675" s="9"/>
      <c r="W1675" s="9"/>
      <c r="X1675" s="9"/>
      <c r="Y1675" s="9"/>
      <c r="Z1675" s="9"/>
      <c r="AA1675" s="9"/>
      <c r="AB1675" s="9"/>
      <c r="AC1675" s="9"/>
      <c r="AD1675" s="9" t="s">
        <v>19</v>
      </c>
    </row>
    <row r="1676" spans="1:30" ht="29">
      <c r="A1676" s="3" t="s">
        <v>4265</v>
      </c>
      <c r="B1676" s="3" t="s">
        <v>10872</v>
      </c>
      <c r="C1676" s="3" t="s">
        <v>10875</v>
      </c>
      <c r="G1676" s="9" t="s">
        <v>24</v>
      </c>
      <c r="H1676" s="9"/>
      <c r="I1676" s="9">
        <v>1</v>
      </c>
      <c r="J1676" s="9">
        <v>3</v>
      </c>
      <c r="K1676" s="9" t="s">
        <v>12078</v>
      </c>
      <c r="L1676" s="9" t="s">
        <v>12079</v>
      </c>
      <c r="M1676" s="9"/>
      <c r="N1676" s="10"/>
      <c r="O1676" s="9"/>
      <c r="P1676" s="9">
        <v>11843</v>
      </c>
      <c r="Q1676" s="9"/>
      <c r="R1676" s="9" t="s">
        <v>12795</v>
      </c>
      <c r="S1676" s="9" t="s">
        <v>12795</v>
      </c>
      <c r="T1676" s="9"/>
      <c r="U1676" s="9"/>
      <c r="V1676" s="9"/>
      <c r="W1676" s="9"/>
      <c r="X1676" s="9"/>
      <c r="Y1676" s="9"/>
      <c r="Z1676" s="9"/>
      <c r="AA1676" s="9"/>
      <c r="AB1676" s="9"/>
      <c r="AC1676" s="9"/>
      <c r="AD1676" s="9" t="s">
        <v>19</v>
      </c>
    </row>
    <row r="1677" spans="1:30" ht="29">
      <c r="A1677" s="3" t="s">
        <v>4267</v>
      </c>
      <c r="B1677" s="3" t="s">
        <v>10880</v>
      </c>
      <c r="C1677" s="3" t="s">
        <v>10881</v>
      </c>
      <c r="G1677" s="9" t="s">
        <v>12118</v>
      </c>
      <c r="H1677" s="9"/>
      <c r="I1677" s="9"/>
      <c r="J1677" s="9"/>
      <c r="K1677" s="9"/>
      <c r="L1677" s="9"/>
      <c r="M1677" s="9"/>
      <c r="N1677" s="10"/>
      <c r="O1677" s="9"/>
      <c r="P1677" s="9"/>
      <c r="Q1677" s="9">
        <v>113</v>
      </c>
      <c r="R1677" s="9">
        <v>15</v>
      </c>
      <c r="S1677" s="9">
        <v>128</v>
      </c>
      <c r="T1677" s="9"/>
      <c r="U1677" s="9"/>
      <c r="V1677" s="9"/>
      <c r="W1677" s="9"/>
      <c r="X1677" s="9"/>
      <c r="Y1677" s="9"/>
      <c r="Z1677" s="9"/>
      <c r="AA1677" s="9"/>
      <c r="AB1677" s="9"/>
      <c r="AC1677" s="9"/>
      <c r="AD1677" s="9" t="s">
        <v>20</v>
      </c>
    </row>
    <row r="1678" spans="1:30" ht="29">
      <c r="A1678" s="3" t="s">
        <v>4267</v>
      </c>
      <c r="B1678" s="3" t="s">
        <v>10883</v>
      </c>
      <c r="C1678" s="3" t="s">
        <v>10882</v>
      </c>
      <c r="G1678" s="9" t="s">
        <v>12118</v>
      </c>
      <c r="H1678" s="9"/>
      <c r="I1678" s="9"/>
      <c r="J1678" s="9"/>
      <c r="K1678" s="9"/>
      <c r="L1678" s="9"/>
      <c r="M1678" s="9"/>
      <c r="N1678" s="10"/>
      <c r="O1678" s="9"/>
      <c r="P1678" s="9"/>
      <c r="Q1678" s="9">
        <v>28</v>
      </c>
      <c r="R1678" s="9">
        <v>4</v>
      </c>
      <c r="S1678" s="9">
        <v>32</v>
      </c>
      <c r="T1678" s="9"/>
      <c r="U1678" s="9"/>
      <c r="V1678" s="9"/>
      <c r="W1678" s="9"/>
      <c r="X1678" s="9"/>
      <c r="Y1678" s="9"/>
      <c r="Z1678" s="9"/>
      <c r="AA1678" s="9"/>
      <c r="AB1678" s="9"/>
      <c r="AC1678" s="9"/>
      <c r="AD1678" s="9" t="s">
        <v>19</v>
      </c>
    </row>
    <row r="1679" spans="1:30">
      <c r="A1679" s="3" t="s">
        <v>4268</v>
      </c>
      <c r="B1679" s="3" t="s">
        <v>10893</v>
      </c>
      <c r="C1679" s="3" t="s">
        <v>10894</v>
      </c>
      <c r="G1679" s="9" t="s">
        <v>24</v>
      </c>
      <c r="H1679" s="9"/>
      <c r="I1679" s="9">
        <v>1</v>
      </c>
      <c r="J1679" s="9">
        <v>1</v>
      </c>
      <c r="K1679" s="9" t="s">
        <v>12078</v>
      </c>
      <c r="L1679" s="9" t="s">
        <v>12119</v>
      </c>
      <c r="M1679" s="9"/>
      <c r="N1679" s="10"/>
      <c r="O1679" s="9"/>
      <c r="P1679" s="9">
        <v>11843</v>
      </c>
      <c r="Q1679" s="9"/>
      <c r="R1679" s="9" t="s">
        <v>12795</v>
      </c>
      <c r="S1679" s="9" t="s">
        <v>12795</v>
      </c>
      <c r="T1679" s="9"/>
      <c r="U1679" s="9"/>
      <c r="V1679" s="9"/>
      <c r="W1679" s="9"/>
      <c r="X1679" s="9"/>
      <c r="Y1679" s="9"/>
      <c r="Z1679" s="9"/>
      <c r="AA1679" s="9"/>
      <c r="AB1679" s="9"/>
      <c r="AC1679" s="9"/>
      <c r="AD1679" s="9" t="s">
        <v>19</v>
      </c>
    </row>
    <row r="1680" spans="1:30">
      <c r="A1680" s="3" t="s">
        <v>4270</v>
      </c>
      <c r="B1680" s="3" t="s">
        <v>10902</v>
      </c>
      <c r="C1680" s="3" t="s">
        <v>10903</v>
      </c>
      <c r="G1680" s="9" t="s">
        <v>24</v>
      </c>
      <c r="H1680" s="9"/>
      <c r="I1680" s="9">
        <v>1</v>
      </c>
      <c r="J1680" s="9">
        <v>2</v>
      </c>
      <c r="K1680" s="9" t="s">
        <v>12087</v>
      </c>
      <c r="L1680" s="9" t="s">
        <v>12119</v>
      </c>
      <c r="M1680" s="9"/>
      <c r="N1680" s="10"/>
      <c r="O1680" s="9"/>
      <c r="P1680" s="9">
        <v>166</v>
      </c>
      <c r="Q1680" s="9"/>
      <c r="R1680" s="9" t="s">
        <v>12795</v>
      </c>
      <c r="S1680" s="9" t="s">
        <v>12795</v>
      </c>
      <c r="T1680" s="9"/>
      <c r="U1680" s="9"/>
      <c r="V1680" s="9"/>
      <c r="W1680" s="9"/>
      <c r="X1680" s="9"/>
      <c r="Y1680" s="9"/>
      <c r="Z1680" s="9"/>
      <c r="AA1680" s="9"/>
      <c r="AB1680" s="9"/>
      <c r="AC1680" s="9"/>
      <c r="AD1680" s="9" t="s">
        <v>19</v>
      </c>
    </row>
    <row r="1681" spans="1:30">
      <c r="A1681" s="3" t="s">
        <v>4270</v>
      </c>
      <c r="B1681" s="3" t="s">
        <v>10905</v>
      </c>
      <c r="C1681" s="3" t="s">
        <v>10904</v>
      </c>
      <c r="G1681" s="9" t="s">
        <v>24</v>
      </c>
      <c r="H1681" s="9"/>
      <c r="I1681" s="9">
        <v>1</v>
      </c>
      <c r="J1681" s="9">
        <v>3</v>
      </c>
      <c r="K1681" s="9" t="s">
        <v>12078</v>
      </c>
      <c r="L1681" s="9" t="s">
        <v>12079</v>
      </c>
      <c r="M1681" s="9"/>
      <c r="N1681" s="10"/>
      <c r="O1681" s="9"/>
      <c r="P1681" s="9">
        <v>11843</v>
      </c>
      <c r="Q1681" s="9"/>
      <c r="R1681" s="9" t="s">
        <v>12795</v>
      </c>
      <c r="S1681" s="9" t="s">
        <v>12795</v>
      </c>
      <c r="T1681" s="9"/>
      <c r="U1681" s="9"/>
      <c r="V1681" s="9"/>
      <c r="W1681" s="9"/>
      <c r="X1681" s="9"/>
      <c r="Y1681" s="9"/>
      <c r="Z1681" s="9"/>
      <c r="AA1681" s="9"/>
      <c r="AB1681" s="9"/>
      <c r="AC1681" s="9"/>
      <c r="AD1681" s="9" t="s">
        <v>19</v>
      </c>
    </row>
    <row r="1682" spans="1:30">
      <c r="A1682" s="3" t="s">
        <v>4273</v>
      </c>
      <c r="B1682" s="3" t="s">
        <v>10908</v>
      </c>
      <c r="C1682" s="3" t="s">
        <v>10909</v>
      </c>
      <c r="G1682" s="9" t="s">
        <v>12118</v>
      </c>
      <c r="H1682" s="9"/>
      <c r="I1682" s="9"/>
      <c r="J1682" s="9"/>
      <c r="K1682" s="9"/>
      <c r="L1682" s="9"/>
      <c r="M1682" s="9"/>
      <c r="N1682" s="10"/>
      <c r="O1682" s="9"/>
      <c r="P1682" s="9"/>
      <c r="Q1682" s="9">
        <v>111</v>
      </c>
      <c r="R1682" s="9">
        <v>361</v>
      </c>
      <c r="S1682" s="9">
        <v>472</v>
      </c>
      <c r="T1682" s="9"/>
      <c r="U1682" s="9"/>
      <c r="V1682" s="9"/>
      <c r="W1682" s="9"/>
      <c r="X1682" s="9"/>
      <c r="Y1682" s="9"/>
      <c r="Z1682" s="9"/>
      <c r="AA1682" s="9"/>
      <c r="AB1682" s="9"/>
      <c r="AC1682" s="9"/>
      <c r="AD1682" s="9" t="s">
        <v>19</v>
      </c>
    </row>
    <row r="1683" spans="1:30">
      <c r="A1683" s="3" t="s">
        <v>4278</v>
      </c>
      <c r="B1683" s="3" t="s">
        <v>10912</v>
      </c>
      <c r="C1683" s="3" t="s">
        <v>10913</v>
      </c>
      <c r="G1683" s="9" t="s">
        <v>12118</v>
      </c>
      <c r="H1683" s="9"/>
      <c r="I1683" s="9"/>
      <c r="J1683" s="9"/>
      <c r="K1683" s="9"/>
      <c r="L1683" s="9"/>
      <c r="M1683" s="9"/>
      <c r="N1683" s="10"/>
      <c r="O1683" s="9"/>
      <c r="P1683" s="9"/>
      <c r="Q1683" s="9">
        <v>-4</v>
      </c>
      <c r="R1683" s="9">
        <v>6</v>
      </c>
      <c r="S1683" s="9">
        <v>2</v>
      </c>
      <c r="T1683" s="9"/>
      <c r="U1683" s="9"/>
      <c r="V1683" s="9"/>
      <c r="W1683" s="9"/>
      <c r="X1683" s="9"/>
      <c r="Y1683" s="9"/>
      <c r="Z1683" s="9"/>
      <c r="AA1683" s="9"/>
      <c r="AB1683" s="9"/>
      <c r="AC1683" s="9"/>
      <c r="AD1683" s="9" t="s">
        <v>20</v>
      </c>
    </row>
    <row r="1684" spans="1:30" ht="43.5">
      <c r="A1684" s="3" t="s">
        <v>4283</v>
      </c>
      <c r="B1684" s="3" t="s">
        <v>10920</v>
      </c>
      <c r="C1684" s="3" t="s">
        <v>10921</v>
      </c>
      <c r="G1684" s="9" t="s">
        <v>12120</v>
      </c>
      <c r="H1684" s="9"/>
      <c r="I1684" s="9"/>
      <c r="J1684" s="9"/>
      <c r="K1684" s="9"/>
      <c r="L1684" s="9"/>
      <c r="M1684" s="9"/>
      <c r="N1684" s="10"/>
      <c r="O1684" s="9"/>
      <c r="P1684" s="9"/>
      <c r="Q1684" s="9"/>
      <c r="R1684" s="9" t="s">
        <v>12795</v>
      </c>
      <c r="S1684" s="9" t="s">
        <v>12795</v>
      </c>
      <c r="T1684" s="9"/>
      <c r="U1684" s="9"/>
      <c r="V1684" s="9"/>
      <c r="W1684" s="9"/>
      <c r="X1684" s="9"/>
      <c r="Y1684" s="9"/>
      <c r="Z1684" s="9"/>
      <c r="AA1684" s="9"/>
      <c r="AB1684" s="9"/>
      <c r="AC1684" s="9"/>
      <c r="AD1684" s="9" t="s">
        <v>20</v>
      </c>
    </row>
    <row r="1685" spans="1:30" ht="29">
      <c r="A1685" s="3" t="s">
        <v>4291</v>
      </c>
      <c r="B1685" s="3" t="s">
        <v>563</v>
      </c>
      <c r="C1685" s="3" t="s">
        <v>143</v>
      </c>
      <c r="G1685" s="9" t="s">
        <v>12120</v>
      </c>
      <c r="H1685" s="9"/>
      <c r="I1685" s="9"/>
      <c r="J1685" s="9"/>
      <c r="K1685" s="9"/>
      <c r="L1685" s="9"/>
      <c r="M1685" s="9"/>
      <c r="N1685" s="10"/>
      <c r="O1685" s="9"/>
      <c r="P1685" s="9"/>
      <c r="Q1685" s="9"/>
      <c r="R1685" s="9" t="s">
        <v>12795</v>
      </c>
      <c r="S1685" s="9" t="s">
        <v>12795</v>
      </c>
      <c r="T1685" s="9"/>
      <c r="U1685" s="9"/>
      <c r="V1685" s="9"/>
      <c r="W1685" s="9"/>
      <c r="X1685" s="9"/>
      <c r="Y1685" s="9"/>
      <c r="Z1685" s="9"/>
      <c r="AA1685" s="9"/>
      <c r="AB1685" s="9"/>
      <c r="AC1685" s="9"/>
      <c r="AD1685" s="9" t="s">
        <v>20</v>
      </c>
    </row>
    <row r="1686" spans="1:30" ht="58">
      <c r="A1686" s="3" t="s">
        <v>4292</v>
      </c>
      <c r="B1686" s="3" t="s">
        <v>10932</v>
      </c>
      <c r="C1686" s="3" t="s">
        <v>13070</v>
      </c>
      <c r="G1686" s="9" t="s">
        <v>12120</v>
      </c>
      <c r="H1686" s="9"/>
      <c r="I1686" s="9"/>
      <c r="J1686" s="9"/>
      <c r="K1686" s="9"/>
      <c r="L1686" s="9"/>
      <c r="M1686" s="9"/>
      <c r="N1686" s="10"/>
      <c r="O1686" s="9"/>
      <c r="P1686" s="9"/>
      <c r="Q1686" s="9"/>
      <c r="R1686" s="9" t="s">
        <v>12795</v>
      </c>
      <c r="S1686" s="9" t="s">
        <v>12795</v>
      </c>
      <c r="T1686" s="9"/>
      <c r="U1686" s="9"/>
      <c r="V1686" s="9"/>
      <c r="W1686" s="9"/>
      <c r="X1686" s="9"/>
      <c r="Y1686" s="9"/>
      <c r="Z1686" s="9"/>
      <c r="AA1686" s="9"/>
      <c r="AB1686" s="9"/>
      <c r="AC1686" s="9"/>
      <c r="AD1686" s="9" t="s">
        <v>20</v>
      </c>
    </row>
    <row r="1687" spans="1:30" ht="58">
      <c r="A1687" s="3" t="s">
        <v>4292</v>
      </c>
      <c r="B1687" s="3" t="s">
        <v>10933</v>
      </c>
      <c r="C1687" s="3" t="s">
        <v>13068</v>
      </c>
      <c r="G1687" s="9" t="s">
        <v>26</v>
      </c>
      <c r="H1687" s="9"/>
      <c r="I1687" s="9"/>
      <c r="J1687" s="9"/>
      <c r="K1687" s="9"/>
      <c r="L1687" s="9"/>
      <c r="M1687" s="9"/>
      <c r="N1687" s="10"/>
      <c r="O1687" s="9"/>
      <c r="P1687" s="9"/>
      <c r="Q1687" s="9"/>
      <c r="R1687" s="9" t="s">
        <v>12795</v>
      </c>
      <c r="S1687" s="9" t="s">
        <v>12795</v>
      </c>
      <c r="T1687" s="9"/>
      <c r="U1687" s="9"/>
      <c r="V1687" s="9"/>
      <c r="W1687" s="9"/>
      <c r="X1687" s="9"/>
      <c r="Y1687" s="9"/>
      <c r="Z1687" s="9"/>
      <c r="AA1687" s="9"/>
      <c r="AB1687" s="9"/>
      <c r="AC1687" s="9"/>
      <c r="AD1687" s="9" t="s">
        <v>20</v>
      </c>
    </row>
    <row r="1688" spans="1:30" ht="58">
      <c r="A1688" s="3" t="s">
        <v>4292</v>
      </c>
      <c r="B1688" s="3" t="s">
        <v>10934</v>
      </c>
      <c r="C1688" s="3" t="s">
        <v>13069</v>
      </c>
      <c r="G1688" s="9" t="s">
        <v>12121</v>
      </c>
      <c r="H1688" s="9"/>
      <c r="I1688" s="9"/>
      <c r="J1688" s="9"/>
      <c r="K1688" s="9"/>
      <c r="L1688" s="9"/>
      <c r="M1688" s="9"/>
      <c r="N1688" s="10"/>
      <c r="O1688" s="9"/>
      <c r="P1688" s="9"/>
      <c r="Q1688" s="9">
        <v>5204</v>
      </c>
      <c r="R1688" s="9">
        <v>472</v>
      </c>
      <c r="S1688" s="9">
        <v>5676</v>
      </c>
      <c r="T1688" s="9"/>
      <c r="U1688" s="9"/>
      <c r="V1688" s="9"/>
      <c r="W1688" s="9"/>
      <c r="X1688" s="9"/>
      <c r="Y1688" s="9"/>
      <c r="Z1688" s="9"/>
      <c r="AA1688" s="9"/>
      <c r="AB1688" s="9"/>
      <c r="AC1688" s="9"/>
      <c r="AD1688" s="9" t="s">
        <v>20</v>
      </c>
    </row>
    <row r="1689" spans="1:30" ht="29">
      <c r="A1689" s="3" t="s">
        <v>4293</v>
      </c>
      <c r="B1689" s="3" t="s">
        <v>10936</v>
      </c>
      <c r="C1689" s="3" t="s">
        <v>10935</v>
      </c>
      <c r="G1689" s="9" t="s">
        <v>24</v>
      </c>
      <c r="H1689" s="9"/>
      <c r="I1689" s="9">
        <v>1</v>
      </c>
      <c r="J1689" s="9">
        <v>3</v>
      </c>
      <c r="K1689" s="9" t="s">
        <v>12078</v>
      </c>
      <c r="L1689" s="9" t="s">
        <v>12079</v>
      </c>
      <c r="M1689" s="9"/>
      <c r="N1689" s="10"/>
      <c r="O1689" s="9"/>
      <c r="P1689" s="9">
        <v>11843</v>
      </c>
      <c r="Q1689" s="9"/>
      <c r="R1689" s="9" t="s">
        <v>12795</v>
      </c>
      <c r="S1689" s="9" t="s">
        <v>12795</v>
      </c>
      <c r="T1689" s="9"/>
      <c r="U1689" s="9"/>
      <c r="V1689" s="9"/>
      <c r="W1689" s="9"/>
      <c r="X1689" s="9"/>
      <c r="Y1689" s="9"/>
      <c r="Z1689" s="9"/>
      <c r="AA1689" s="9"/>
      <c r="AB1689" s="9"/>
      <c r="AC1689" s="9"/>
      <c r="AD1689" s="9" t="s">
        <v>19</v>
      </c>
    </row>
    <row r="1690" spans="1:30" ht="29">
      <c r="A1690" s="3" t="s">
        <v>4294</v>
      </c>
      <c r="B1690" s="3" t="s">
        <v>10939</v>
      </c>
      <c r="C1690" s="3" t="s">
        <v>10940</v>
      </c>
      <c r="G1690" s="9" t="s">
        <v>12120</v>
      </c>
      <c r="H1690" s="9"/>
      <c r="I1690" s="9"/>
      <c r="J1690" s="9"/>
      <c r="K1690" s="9"/>
      <c r="L1690" s="9"/>
      <c r="M1690" s="9"/>
      <c r="N1690" s="10"/>
      <c r="O1690" s="9"/>
      <c r="P1690" s="9"/>
      <c r="Q1690" s="9"/>
      <c r="R1690" s="9" t="s">
        <v>12795</v>
      </c>
      <c r="S1690" s="9" t="s">
        <v>12795</v>
      </c>
      <c r="T1690" s="9"/>
      <c r="U1690" s="9"/>
      <c r="V1690" s="9"/>
      <c r="W1690" s="9"/>
      <c r="X1690" s="9"/>
      <c r="Y1690" s="9"/>
      <c r="Z1690" s="9"/>
      <c r="AA1690" s="9"/>
      <c r="AB1690" s="9"/>
      <c r="AC1690" s="9"/>
      <c r="AD1690" s="9" t="s">
        <v>19</v>
      </c>
    </row>
    <row r="1691" spans="1:30" ht="29">
      <c r="A1691" s="3" t="s">
        <v>4294</v>
      </c>
      <c r="B1691" s="3" t="s">
        <v>10941</v>
      </c>
      <c r="C1691" s="3" t="s">
        <v>10942</v>
      </c>
      <c r="G1691" s="9" t="s">
        <v>12120</v>
      </c>
      <c r="H1691" s="9"/>
      <c r="I1691" s="9"/>
      <c r="J1691" s="9"/>
      <c r="K1691" s="9"/>
      <c r="L1691" s="9"/>
      <c r="M1691" s="9"/>
      <c r="N1691" s="10"/>
      <c r="O1691" s="9"/>
      <c r="P1691" s="9"/>
      <c r="Q1691" s="9"/>
      <c r="R1691" s="9" t="s">
        <v>12795</v>
      </c>
      <c r="S1691" s="9" t="s">
        <v>12795</v>
      </c>
      <c r="T1691" s="9"/>
      <c r="U1691" s="9"/>
      <c r="V1691" s="9"/>
      <c r="W1691" s="9"/>
      <c r="X1691" s="9"/>
      <c r="Y1691" s="9"/>
      <c r="Z1691" s="9"/>
      <c r="AA1691" s="9"/>
      <c r="AB1691" s="9"/>
      <c r="AC1691" s="9"/>
      <c r="AD1691" s="9" t="s">
        <v>19</v>
      </c>
    </row>
    <row r="1692" spans="1:30" ht="29">
      <c r="A1692" s="3" t="s">
        <v>4298</v>
      </c>
      <c r="B1692" s="3" t="s">
        <v>4300</v>
      </c>
      <c r="C1692" s="3" t="s">
        <v>3841</v>
      </c>
      <c r="G1692" s="9" t="s">
        <v>12120</v>
      </c>
      <c r="H1692" s="9"/>
      <c r="I1692" s="9"/>
      <c r="J1692" s="9"/>
      <c r="K1692" s="9"/>
      <c r="L1692" s="9"/>
      <c r="M1692" s="9"/>
      <c r="N1692" s="10"/>
      <c r="O1692" s="9"/>
      <c r="P1692" s="9"/>
      <c r="Q1692" s="9"/>
      <c r="R1692" s="9" t="s">
        <v>12795</v>
      </c>
      <c r="S1692" s="9" t="s">
        <v>12795</v>
      </c>
      <c r="T1692" s="9"/>
      <c r="U1692" s="9"/>
      <c r="V1692" s="9"/>
      <c r="W1692" s="9"/>
      <c r="X1692" s="9"/>
      <c r="Y1692" s="9"/>
      <c r="Z1692" s="9"/>
      <c r="AA1692" s="9"/>
      <c r="AB1692" s="9"/>
      <c r="AC1692" s="9"/>
      <c r="AD1692" s="9" t="s">
        <v>19</v>
      </c>
    </row>
    <row r="1693" spans="1:30" ht="29">
      <c r="A1693" s="3" t="s">
        <v>4302</v>
      </c>
      <c r="B1693" s="3" t="s">
        <v>10952</v>
      </c>
      <c r="C1693" s="3" t="s">
        <v>10951</v>
      </c>
      <c r="G1693" s="9" t="s">
        <v>24</v>
      </c>
      <c r="H1693" s="9"/>
      <c r="I1693" s="9">
        <v>1</v>
      </c>
      <c r="J1693" s="9">
        <v>2</v>
      </c>
      <c r="K1693" s="9" t="s">
        <v>12084</v>
      </c>
      <c r="L1693" s="9" t="s">
        <v>12119</v>
      </c>
      <c r="M1693" s="9"/>
      <c r="N1693" s="10"/>
      <c r="O1693" s="9"/>
      <c r="P1693" s="9">
        <v>207</v>
      </c>
      <c r="Q1693" s="9"/>
      <c r="R1693" s="9" t="s">
        <v>12795</v>
      </c>
      <c r="S1693" s="9" t="s">
        <v>12795</v>
      </c>
      <c r="T1693" s="9"/>
      <c r="U1693" s="9"/>
      <c r="V1693" s="9"/>
      <c r="W1693" s="9"/>
      <c r="X1693" s="9"/>
      <c r="Y1693" s="9"/>
      <c r="Z1693" s="9"/>
      <c r="AA1693" s="9"/>
      <c r="AB1693" s="9"/>
      <c r="AC1693" s="9"/>
      <c r="AD1693" s="9" t="s">
        <v>19</v>
      </c>
    </row>
    <row r="1694" spans="1:30" ht="29">
      <c r="A1694" s="3" t="s">
        <v>4309</v>
      </c>
      <c r="B1694" s="3" t="s">
        <v>10962</v>
      </c>
      <c r="C1694" s="3" t="s">
        <v>10961</v>
      </c>
      <c r="G1694" s="9" t="s">
        <v>25</v>
      </c>
      <c r="H1694" s="9"/>
      <c r="I1694" s="9">
        <v>1</v>
      </c>
      <c r="J1694" s="9">
        <v>5</v>
      </c>
      <c r="K1694" s="9" t="s">
        <v>12094</v>
      </c>
      <c r="L1694" s="9" t="s">
        <v>12073</v>
      </c>
      <c r="M1694" s="9" t="s">
        <v>12142</v>
      </c>
      <c r="N1694" s="10" t="s">
        <v>12143</v>
      </c>
      <c r="O1694" s="9"/>
      <c r="P1694" s="9">
        <v>4240</v>
      </c>
      <c r="Q1694" s="9"/>
      <c r="R1694" s="9" t="s">
        <v>12795</v>
      </c>
      <c r="S1694" s="9" t="s">
        <v>12795</v>
      </c>
      <c r="T1694" s="9"/>
      <c r="U1694" s="9"/>
      <c r="V1694" s="9"/>
      <c r="W1694" s="9"/>
      <c r="X1694" s="9"/>
      <c r="Y1694" s="9"/>
      <c r="Z1694" s="9"/>
      <c r="AA1694" s="9"/>
      <c r="AB1694" s="9"/>
      <c r="AC1694" s="9"/>
      <c r="AD1694" s="9" t="s">
        <v>20</v>
      </c>
    </row>
    <row r="1695" spans="1:30" ht="43.5">
      <c r="A1695" s="3" t="s">
        <v>4312</v>
      </c>
      <c r="B1695" s="3" t="s">
        <v>10976</v>
      </c>
      <c r="C1695" s="3" t="s">
        <v>10975</v>
      </c>
      <c r="G1695" s="9" t="s">
        <v>26</v>
      </c>
      <c r="H1695" s="9"/>
      <c r="I1695" s="9"/>
      <c r="J1695" s="9"/>
      <c r="K1695" s="9"/>
      <c r="L1695" s="9"/>
      <c r="M1695" s="9"/>
      <c r="N1695" s="10"/>
      <c r="O1695" s="9"/>
      <c r="P1695" s="9"/>
      <c r="Q1695" s="9"/>
      <c r="R1695" s="9" t="s">
        <v>12795</v>
      </c>
      <c r="S1695" s="9" t="s">
        <v>12795</v>
      </c>
      <c r="T1695" s="9"/>
      <c r="U1695" s="9"/>
      <c r="V1695" s="9"/>
      <c r="W1695" s="9"/>
      <c r="X1695" s="9"/>
      <c r="Y1695" s="9"/>
      <c r="Z1695" s="9"/>
      <c r="AA1695" s="9"/>
      <c r="AB1695" s="9"/>
      <c r="AC1695" s="9"/>
      <c r="AD1695" s="9" t="s">
        <v>20</v>
      </c>
    </row>
    <row r="1696" spans="1:30" ht="29">
      <c r="A1696" s="3" t="s">
        <v>4317</v>
      </c>
      <c r="B1696" s="3" t="s">
        <v>10983</v>
      </c>
      <c r="C1696" s="3" t="s">
        <v>10982</v>
      </c>
      <c r="E1696" t="s">
        <v>20</v>
      </c>
      <c r="G1696" s="9" t="s">
        <v>25</v>
      </c>
      <c r="H1696" s="9"/>
      <c r="I1696" s="9">
        <v>1</v>
      </c>
      <c r="J1696" s="9">
        <v>3</v>
      </c>
      <c r="K1696" s="9" t="s">
        <v>12087</v>
      </c>
      <c r="L1696" s="9" t="s">
        <v>12079</v>
      </c>
      <c r="M1696" s="9"/>
      <c r="N1696" s="10"/>
      <c r="O1696" s="9"/>
      <c r="P1696" s="9">
        <v>309</v>
      </c>
      <c r="Q1696" s="9"/>
      <c r="R1696" s="9" t="s">
        <v>12795</v>
      </c>
      <c r="S1696" s="9" t="s">
        <v>12795</v>
      </c>
      <c r="T1696" s="9"/>
      <c r="U1696" s="9"/>
      <c r="V1696" s="9"/>
      <c r="W1696" s="9"/>
      <c r="X1696" s="9"/>
      <c r="Y1696" s="9"/>
      <c r="Z1696" s="9"/>
      <c r="AA1696" s="9"/>
      <c r="AB1696" s="9"/>
      <c r="AC1696" s="9"/>
      <c r="AD1696" s="9" t="s">
        <v>13141</v>
      </c>
    </row>
    <row r="1697" spans="1:30" ht="29">
      <c r="A1697" s="3" t="s">
        <v>4319</v>
      </c>
      <c r="B1697" s="3" t="s">
        <v>10995</v>
      </c>
      <c r="C1697" s="3" t="s">
        <v>10996</v>
      </c>
      <c r="G1697" s="9" t="s">
        <v>12118</v>
      </c>
      <c r="H1697" s="9"/>
      <c r="I1697" s="9"/>
      <c r="J1697" s="9"/>
      <c r="K1697" s="9"/>
      <c r="L1697" s="9"/>
      <c r="M1697" s="9"/>
      <c r="N1697" s="10"/>
      <c r="O1697" s="9"/>
      <c r="P1697" s="9"/>
      <c r="Q1697" s="9">
        <v>-15</v>
      </c>
      <c r="R1697" s="9">
        <v>21</v>
      </c>
      <c r="S1697" s="9">
        <v>6</v>
      </c>
      <c r="T1697" s="9"/>
      <c r="U1697" s="9"/>
      <c r="V1697" s="9"/>
      <c r="W1697" s="9"/>
      <c r="X1697" s="9"/>
      <c r="Y1697" s="9"/>
      <c r="Z1697" s="9"/>
      <c r="AA1697" s="9"/>
      <c r="AB1697" s="9"/>
      <c r="AC1697" s="9"/>
      <c r="AD1697" s="9" t="s">
        <v>20</v>
      </c>
    </row>
    <row r="1698" spans="1:30" ht="29">
      <c r="A1698" s="3" t="s">
        <v>4321</v>
      </c>
      <c r="B1698" s="3" t="s">
        <v>11000</v>
      </c>
      <c r="C1698" s="3" t="s">
        <v>10999</v>
      </c>
      <c r="G1698" s="9" t="s">
        <v>12120</v>
      </c>
      <c r="H1698" s="9"/>
      <c r="I1698" s="9"/>
      <c r="J1698" s="9"/>
      <c r="K1698" s="9"/>
      <c r="L1698" s="9"/>
      <c r="M1698" s="9"/>
      <c r="N1698" s="10"/>
      <c r="O1698" s="9"/>
      <c r="P1698" s="9"/>
      <c r="Q1698" s="9"/>
      <c r="R1698" s="9" t="s">
        <v>12795</v>
      </c>
      <c r="S1698" s="9" t="s">
        <v>12795</v>
      </c>
      <c r="T1698" s="9"/>
      <c r="U1698" s="9"/>
      <c r="V1698" s="9"/>
      <c r="W1698" s="9"/>
      <c r="X1698" s="9"/>
      <c r="Y1698" s="9"/>
      <c r="Z1698" s="9"/>
      <c r="AA1698" s="9"/>
      <c r="AB1698" s="9"/>
      <c r="AC1698" s="9"/>
      <c r="AD1698" s="9" t="s">
        <v>20</v>
      </c>
    </row>
    <row r="1699" spans="1:30" ht="29">
      <c r="A1699" s="3" t="s">
        <v>4321</v>
      </c>
      <c r="B1699" s="3" t="s">
        <v>11002</v>
      </c>
      <c r="C1699" s="3" t="s">
        <v>11001</v>
      </c>
      <c r="G1699" s="9" t="s">
        <v>25</v>
      </c>
      <c r="H1699" s="9"/>
      <c r="I1699" s="9">
        <v>1</v>
      </c>
      <c r="J1699" s="9">
        <v>3</v>
      </c>
      <c r="K1699" s="9" t="s">
        <v>12094</v>
      </c>
      <c r="L1699" s="9" t="s">
        <v>12079</v>
      </c>
      <c r="M1699" s="9"/>
      <c r="N1699" s="10"/>
      <c r="O1699" s="9"/>
      <c r="P1699" s="9">
        <v>1741</v>
      </c>
      <c r="Q1699" s="9"/>
      <c r="R1699" s="9" t="s">
        <v>12795</v>
      </c>
      <c r="S1699" s="9" t="s">
        <v>12795</v>
      </c>
      <c r="T1699" s="9"/>
      <c r="U1699" s="9"/>
      <c r="V1699" s="9"/>
      <c r="W1699" s="9"/>
      <c r="X1699" s="9"/>
      <c r="Y1699" s="9"/>
      <c r="Z1699" s="9"/>
      <c r="AA1699" s="9"/>
      <c r="AB1699" s="9"/>
      <c r="AC1699" s="9"/>
      <c r="AD1699" s="9" t="s">
        <v>20</v>
      </c>
    </row>
    <row r="1700" spans="1:30" ht="29">
      <c r="A1700" s="3" t="s">
        <v>4323</v>
      </c>
      <c r="B1700" s="3" t="s">
        <v>11004</v>
      </c>
      <c r="C1700" s="3" t="s">
        <v>11003</v>
      </c>
      <c r="G1700" s="9" t="s">
        <v>12118</v>
      </c>
      <c r="H1700" s="9"/>
      <c r="I1700" s="9"/>
      <c r="J1700" s="9"/>
      <c r="K1700" s="9"/>
      <c r="L1700" s="9"/>
      <c r="M1700" s="9"/>
      <c r="N1700" s="10"/>
      <c r="O1700" s="9"/>
      <c r="P1700" s="9"/>
      <c r="Q1700" s="9">
        <v>743</v>
      </c>
      <c r="R1700" s="9">
        <v>67</v>
      </c>
      <c r="S1700" s="9">
        <v>810</v>
      </c>
      <c r="T1700" s="9"/>
      <c r="U1700" s="9"/>
      <c r="V1700" s="9"/>
      <c r="W1700" s="9"/>
      <c r="X1700" s="9"/>
      <c r="Y1700" s="9"/>
      <c r="Z1700" s="9"/>
      <c r="AA1700" s="9"/>
      <c r="AB1700" s="9"/>
      <c r="AC1700" s="9"/>
      <c r="AD1700" s="9" t="s">
        <v>19</v>
      </c>
    </row>
    <row r="1701" spans="1:30" ht="29">
      <c r="A1701" s="3" t="s">
        <v>4323</v>
      </c>
      <c r="B1701" s="3" t="s">
        <v>11006</v>
      </c>
      <c r="C1701" s="3" t="s">
        <v>11005</v>
      </c>
      <c r="G1701" s="9" t="s">
        <v>24</v>
      </c>
      <c r="H1701" s="9"/>
      <c r="I1701" s="9">
        <v>1</v>
      </c>
      <c r="J1701" s="9">
        <v>3</v>
      </c>
      <c r="K1701" s="9" t="s">
        <v>12078</v>
      </c>
      <c r="L1701" s="9" t="s">
        <v>12079</v>
      </c>
      <c r="M1701" s="9"/>
      <c r="N1701" s="10"/>
      <c r="O1701" s="9"/>
      <c r="P1701" s="9">
        <v>11843</v>
      </c>
      <c r="Q1701" s="9"/>
      <c r="R1701" s="9" t="s">
        <v>12795</v>
      </c>
      <c r="S1701" s="9" t="s">
        <v>12795</v>
      </c>
      <c r="T1701" s="9"/>
      <c r="U1701" s="9"/>
      <c r="V1701" s="9"/>
      <c r="W1701" s="9"/>
      <c r="X1701" s="9"/>
      <c r="Y1701" s="9"/>
      <c r="Z1701" s="9"/>
      <c r="AA1701" s="9"/>
      <c r="AB1701" s="9"/>
      <c r="AC1701" s="9"/>
      <c r="AD1701" s="9" t="s">
        <v>20</v>
      </c>
    </row>
    <row r="1702" spans="1:30" ht="29">
      <c r="A1702" s="3" t="s">
        <v>4324</v>
      </c>
      <c r="B1702" s="3" t="s">
        <v>11007</v>
      </c>
      <c r="C1702" s="3" t="s">
        <v>11008</v>
      </c>
      <c r="G1702" s="9" t="s">
        <v>12120</v>
      </c>
      <c r="H1702" s="9"/>
      <c r="I1702" s="9"/>
      <c r="J1702" s="9"/>
      <c r="K1702" s="9"/>
      <c r="L1702" s="9"/>
      <c r="M1702" s="9"/>
      <c r="N1702" s="10"/>
      <c r="O1702" s="9"/>
      <c r="P1702" s="9"/>
      <c r="Q1702" s="9"/>
      <c r="R1702" s="9" t="s">
        <v>12795</v>
      </c>
      <c r="S1702" s="9" t="s">
        <v>12795</v>
      </c>
      <c r="T1702" s="9"/>
      <c r="U1702" s="9"/>
      <c r="V1702" s="9"/>
      <c r="W1702" s="9"/>
      <c r="X1702" s="9"/>
      <c r="Y1702" s="9"/>
      <c r="Z1702" s="9"/>
      <c r="AA1702" s="9"/>
      <c r="AB1702" s="9"/>
      <c r="AC1702" s="9"/>
      <c r="AD1702" s="9" t="s">
        <v>19</v>
      </c>
    </row>
    <row r="1703" spans="1:30" ht="58">
      <c r="A1703" s="3" t="s">
        <v>4325</v>
      </c>
      <c r="B1703" s="3" t="s">
        <v>12572</v>
      </c>
      <c r="C1703" s="3" t="s">
        <v>12573</v>
      </c>
      <c r="G1703" s="9" t="s">
        <v>25</v>
      </c>
      <c r="H1703" s="9"/>
      <c r="I1703" s="9">
        <v>8</v>
      </c>
      <c r="J1703" s="9">
        <v>31</v>
      </c>
      <c r="K1703" s="9"/>
      <c r="L1703" s="9" t="s">
        <v>12073</v>
      </c>
      <c r="M1703" s="9" t="s">
        <v>12140</v>
      </c>
      <c r="N1703" s="10" t="s">
        <v>12278</v>
      </c>
      <c r="O1703" s="9"/>
      <c r="P1703" s="9">
        <v>6</v>
      </c>
      <c r="Q1703" s="9"/>
      <c r="R1703" s="9" t="s">
        <v>12795</v>
      </c>
      <c r="S1703" s="9" t="s">
        <v>12795</v>
      </c>
      <c r="T1703" s="9"/>
      <c r="U1703" s="9"/>
      <c r="V1703" s="9"/>
      <c r="W1703" s="9"/>
      <c r="X1703" s="9"/>
      <c r="Y1703" s="9"/>
      <c r="Z1703" s="9"/>
      <c r="AA1703" s="9"/>
      <c r="AB1703" s="9"/>
      <c r="AC1703" s="9"/>
      <c r="AD1703" s="9" t="s">
        <v>20</v>
      </c>
    </row>
    <row r="1704" spans="1:30" ht="29">
      <c r="A1704" s="3" t="s">
        <v>4326</v>
      </c>
      <c r="B1704" s="3" t="s">
        <v>11009</v>
      </c>
      <c r="C1704" s="3" t="s">
        <v>9864</v>
      </c>
      <c r="G1704" s="9" t="s">
        <v>12120</v>
      </c>
      <c r="H1704" s="9"/>
      <c r="I1704" s="9"/>
      <c r="J1704" s="9"/>
      <c r="K1704" s="9"/>
      <c r="L1704" s="9"/>
      <c r="M1704" s="9"/>
      <c r="N1704" s="10"/>
      <c r="O1704" s="9"/>
      <c r="P1704" s="9"/>
      <c r="Q1704" s="9"/>
      <c r="R1704" s="9" t="s">
        <v>12795</v>
      </c>
      <c r="S1704" s="9" t="s">
        <v>12795</v>
      </c>
      <c r="T1704" s="9"/>
      <c r="U1704" s="9"/>
      <c r="V1704" s="9"/>
      <c r="W1704" s="9"/>
      <c r="X1704" s="9"/>
      <c r="Y1704" s="9"/>
      <c r="Z1704" s="9"/>
      <c r="AA1704" s="9"/>
      <c r="AB1704" s="9"/>
      <c r="AC1704" s="9"/>
      <c r="AD1704" s="9" t="s">
        <v>20</v>
      </c>
    </row>
    <row r="1705" spans="1:30" ht="29">
      <c r="A1705" s="3" t="s">
        <v>4327</v>
      </c>
      <c r="B1705" s="3" t="s">
        <v>11010</v>
      </c>
      <c r="C1705" s="3" t="s">
        <v>11011</v>
      </c>
      <c r="G1705" s="9" t="s">
        <v>25</v>
      </c>
      <c r="H1705" s="9"/>
      <c r="I1705" s="9">
        <v>1</v>
      </c>
      <c r="J1705" s="9">
        <v>3</v>
      </c>
      <c r="K1705" s="9" t="s">
        <v>12087</v>
      </c>
      <c r="L1705" s="9" t="s">
        <v>12079</v>
      </c>
      <c r="M1705" s="9"/>
      <c r="N1705" s="10"/>
      <c r="O1705" s="9"/>
      <c r="P1705" s="9">
        <v>356</v>
      </c>
      <c r="Q1705" s="9"/>
      <c r="R1705" s="9" t="s">
        <v>12795</v>
      </c>
      <c r="S1705" s="9" t="s">
        <v>12795</v>
      </c>
      <c r="T1705" s="9"/>
      <c r="U1705" s="9"/>
      <c r="V1705" s="9"/>
      <c r="W1705" s="9"/>
      <c r="X1705" s="9"/>
      <c r="Y1705" s="9"/>
      <c r="Z1705" s="9"/>
      <c r="AA1705" s="9"/>
      <c r="AB1705" s="9"/>
      <c r="AC1705" s="9"/>
      <c r="AD1705" s="9" t="s">
        <v>19</v>
      </c>
    </row>
    <row r="1706" spans="1:30" ht="29">
      <c r="A1706" s="3" t="s">
        <v>4327</v>
      </c>
      <c r="B1706" s="3" t="s">
        <v>11013</v>
      </c>
      <c r="C1706" s="3" t="s">
        <v>11012</v>
      </c>
      <c r="G1706" s="9" t="s">
        <v>25</v>
      </c>
      <c r="H1706" s="9"/>
      <c r="I1706" s="9">
        <v>2</v>
      </c>
      <c r="J1706" s="9">
        <v>6</v>
      </c>
      <c r="K1706" s="9"/>
      <c r="L1706" s="9" t="s">
        <v>12079</v>
      </c>
      <c r="M1706" s="9"/>
      <c r="N1706" s="10"/>
      <c r="O1706" s="9"/>
      <c r="P1706" s="9">
        <v>128</v>
      </c>
      <c r="Q1706" s="9"/>
      <c r="R1706" s="9" t="s">
        <v>12795</v>
      </c>
      <c r="S1706" s="9" t="s">
        <v>12795</v>
      </c>
      <c r="T1706" s="9"/>
      <c r="U1706" s="9"/>
      <c r="V1706" s="9"/>
      <c r="W1706" s="9"/>
      <c r="X1706" s="9"/>
      <c r="Y1706" s="9"/>
      <c r="Z1706" s="9"/>
      <c r="AA1706" s="9"/>
      <c r="AB1706" s="9"/>
      <c r="AC1706" s="9"/>
      <c r="AD1706" s="9" t="s">
        <v>19</v>
      </c>
    </row>
    <row r="1707" spans="1:30" ht="29">
      <c r="A1707" s="3" t="s">
        <v>4328</v>
      </c>
      <c r="B1707" s="3" t="s">
        <v>11018</v>
      </c>
      <c r="C1707" s="3" t="s">
        <v>11017</v>
      </c>
      <c r="G1707" s="9" t="s">
        <v>25</v>
      </c>
      <c r="H1707" s="9"/>
      <c r="I1707" s="9">
        <v>1</v>
      </c>
      <c r="J1707" s="9">
        <v>3</v>
      </c>
      <c r="K1707" s="9" t="s">
        <v>12094</v>
      </c>
      <c r="L1707" s="9" t="s">
        <v>12079</v>
      </c>
      <c r="M1707" s="9"/>
      <c r="N1707" s="10"/>
      <c r="O1707" s="9"/>
      <c r="P1707" s="9">
        <v>1496</v>
      </c>
      <c r="Q1707" s="9"/>
      <c r="R1707" s="9" t="s">
        <v>12795</v>
      </c>
      <c r="S1707" s="9" t="s">
        <v>12795</v>
      </c>
      <c r="T1707" s="9"/>
      <c r="U1707" s="9"/>
      <c r="V1707" s="9"/>
      <c r="W1707" s="9"/>
      <c r="X1707" s="9"/>
      <c r="Y1707" s="9"/>
      <c r="Z1707" s="9"/>
      <c r="AA1707" s="9"/>
      <c r="AB1707" s="9"/>
      <c r="AC1707" s="9"/>
      <c r="AD1707" s="9" t="s">
        <v>19</v>
      </c>
    </row>
    <row r="1708" spans="1:30" ht="29">
      <c r="A1708" s="3" t="s">
        <v>4328</v>
      </c>
      <c r="B1708" s="3" t="s">
        <v>11020</v>
      </c>
      <c r="C1708" s="3" t="s">
        <v>11019</v>
      </c>
      <c r="G1708" s="9" t="s">
        <v>24</v>
      </c>
      <c r="H1708" s="9"/>
      <c r="I1708" s="9">
        <v>1</v>
      </c>
      <c r="J1708" s="9">
        <v>5</v>
      </c>
      <c r="K1708" s="9" t="s">
        <v>12092</v>
      </c>
      <c r="L1708" s="9" t="s">
        <v>12079</v>
      </c>
      <c r="M1708" s="9"/>
      <c r="N1708" s="10"/>
      <c r="O1708" s="9"/>
      <c r="P1708" s="9">
        <v>47</v>
      </c>
      <c r="Q1708" s="9"/>
      <c r="R1708" s="9" t="s">
        <v>12795</v>
      </c>
      <c r="S1708" s="9" t="s">
        <v>12795</v>
      </c>
      <c r="T1708" s="9"/>
      <c r="U1708" s="9"/>
      <c r="V1708" s="9"/>
      <c r="W1708" s="9"/>
      <c r="X1708" s="9"/>
      <c r="Y1708" s="9"/>
      <c r="Z1708" s="9"/>
      <c r="AA1708" s="9"/>
      <c r="AB1708" s="9"/>
      <c r="AC1708" s="9"/>
      <c r="AD1708" s="9" t="s">
        <v>19</v>
      </c>
    </row>
    <row r="1709" spans="1:30" ht="29">
      <c r="A1709" s="3" t="s">
        <v>4328</v>
      </c>
      <c r="B1709" s="3" t="s">
        <v>4330</v>
      </c>
      <c r="C1709" s="3" t="s">
        <v>11021</v>
      </c>
      <c r="G1709" s="9" t="s">
        <v>12120</v>
      </c>
      <c r="H1709" s="9"/>
      <c r="I1709" s="9"/>
      <c r="J1709" s="9"/>
      <c r="K1709" s="9"/>
      <c r="L1709" s="9"/>
      <c r="M1709" s="9"/>
      <c r="N1709" s="10"/>
      <c r="O1709" s="9"/>
      <c r="P1709" s="9"/>
      <c r="Q1709" s="9"/>
      <c r="R1709" s="9" t="s">
        <v>12795</v>
      </c>
      <c r="S1709" s="9" t="s">
        <v>12795</v>
      </c>
      <c r="T1709" s="9"/>
      <c r="U1709" s="9"/>
      <c r="V1709" s="9"/>
      <c r="W1709" s="9"/>
      <c r="X1709" s="9"/>
      <c r="Y1709" s="9"/>
      <c r="Z1709" s="9"/>
      <c r="AA1709" s="9"/>
      <c r="AB1709" s="9"/>
      <c r="AC1709" s="9"/>
      <c r="AD1709" s="9" t="s">
        <v>19</v>
      </c>
    </row>
    <row r="1710" spans="1:30" ht="29">
      <c r="A1710" s="3" t="s">
        <v>4331</v>
      </c>
      <c r="B1710" s="3" t="s">
        <v>11025</v>
      </c>
      <c r="C1710" s="3" t="s">
        <v>11024</v>
      </c>
      <c r="G1710" s="9" t="s">
        <v>24</v>
      </c>
      <c r="H1710" s="9"/>
      <c r="I1710" s="9">
        <v>1</v>
      </c>
      <c r="J1710" s="9">
        <v>2</v>
      </c>
      <c r="K1710" s="9" t="s">
        <v>12078</v>
      </c>
      <c r="L1710" s="9" t="s">
        <v>12119</v>
      </c>
      <c r="M1710" s="9"/>
      <c r="N1710" s="10"/>
      <c r="O1710" s="9"/>
      <c r="P1710" s="9">
        <v>11843</v>
      </c>
      <c r="Q1710" s="9"/>
      <c r="R1710" s="9" t="s">
        <v>12795</v>
      </c>
      <c r="S1710" s="9" t="s">
        <v>12795</v>
      </c>
      <c r="T1710" s="9"/>
      <c r="U1710" s="9"/>
      <c r="V1710" s="9"/>
      <c r="W1710" s="9"/>
      <c r="X1710" s="9"/>
      <c r="Y1710" s="9"/>
      <c r="Z1710" s="9"/>
      <c r="AA1710" s="9"/>
      <c r="AB1710" s="9"/>
      <c r="AC1710" s="9"/>
      <c r="AD1710" s="9" t="s">
        <v>19</v>
      </c>
    </row>
    <row r="1711" spans="1:30" ht="29">
      <c r="A1711" s="3" t="s">
        <v>4333</v>
      </c>
      <c r="B1711" s="3" t="s">
        <v>11028</v>
      </c>
      <c r="C1711" s="3" t="s">
        <v>11029</v>
      </c>
      <c r="G1711" s="9" t="s">
        <v>25</v>
      </c>
      <c r="H1711" s="9"/>
      <c r="I1711" s="9">
        <v>1</v>
      </c>
      <c r="J1711" s="9">
        <v>6</v>
      </c>
      <c r="K1711" s="9" t="s">
        <v>12092</v>
      </c>
      <c r="L1711" s="9" t="s">
        <v>12073</v>
      </c>
      <c r="M1711" s="9" t="s">
        <v>12149</v>
      </c>
      <c r="N1711" s="10" t="s">
        <v>12143</v>
      </c>
      <c r="O1711" s="9"/>
      <c r="P1711" s="9">
        <v>128</v>
      </c>
      <c r="Q1711" s="9"/>
      <c r="R1711" s="9" t="s">
        <v>12795</v>
      </c>
      <c r="S1711" s="9" t="s">
        <v>12795</v>
      </c>
      <c r="T1711" s="9"/>
      <c r="U1711" s="9"/>
      <c r="V1711" s="9"/>
      <c r="W1711" s="9"/>
      <c r="X1711" s="9"/>
      <c r="Y1711" s="9"/>
      <c r="Z1711" s="9"/>
      <c r="AA1711" s="9"/>
      <c r="AB1711" s="9"/>
      <c r="AC1711" s="9"/>
      <c r="AD1711" s="9" t="s">
        <v>20</v>
      </c>
    </row>
    <row r="1712" spans="1:30" ht="29">
      <c r="A1712" s="3" t="s">
        <v>4335</v>
      </c>
      <c r="B1712" s="3" t="s">
        <v>11032</v>
      </c>
      <c r="C1712" s="3" t="s">
        <v>11031</v>
      </c>
      <c r="G1712" s="9" t="s">
        <v>25</v>
      </c>
      <c r="H1712" s="9"/>
      <c r="I1712" s="9">
        <v>2</v>
      </c>
      <c r="J1712" s="9">
        <v>10</v>
      </c>
      <c r="K1712" s="9"/>
      <c r="L1712" s="9" t="s">
        <v>12079</v>
      </c>
      <c r="M1712" s="9"/>
      <c r="N1712" s="10"/>
      <c r="O1712" s="9"/>
      <c r="P1712" s="9">
        <v>508</v>
      </c>
      <c r="Q1712" s="9"/>
      <c r="R1712" s="9" t="s">
        <v>12795</v>
      </c>
      <c r="S1712" s="9" t="s">
        <v>12795</v>
      </c>
      <c r="T1712" s="9"/>
      <c r="U1712" s="9"/>
      <c r="V1712" s="9"/>
      <c r="W1712" s="9"/>
      <c r="X1712" s="9"/>
      <c r="Y1712" s="9"/>
      <c r="Z1712" s="9"/>
      <c r="AA1712" s="9"/>
      <c r="AB1712" s="9"/>
      <c r="AC1712" s="9"/>
      <c r="AD1712" s="9" t="s">
        <v>19</v>
      </c>
    </row>
    <row r="1713" spans="1:30" ht="29">
      <c r="A1713" s="3" t="s">
        <v>4335</v>
      </c>
      <c r="B1713" s="3" t="s">
        <v>12946</v>
      </c>
      <c r="C1713" s="3" t="s">
        <v>11033</v>
      </c>
      <c r="G1713" s="9" t="s">
        <v>24</v>
      </c>
      <c r="H1713" s="9"/>
      <c r="I1713" s="9">
        <v>1</v>
      </c>
      <c r="J1713" s="9">
        <v>6</v>
      </c>
      <c r="K1713" s="9" t="s">
        <v>12072</v>
      </c>
      <c r="L1713" s="9" t="s">
        <v>12073</v>
      </c>
      <c r="M1713" s="9" t="s">
        <v>12142</v>
      </c>
      <c r="N1713" s="10" t="s">
        <v>12143</v>
      </c>
      <c r="O1713" s="9"/>
      <c r="P1713" s="9">
        <v>92</v>
      </c>
      <c r="Q1713" s="9"/>
      <c r="R1713" s="9" t="s">
        <v>12795</v>
      </c>
      <c r="S1713" s="9" t="s">
        <v>12795</v>
      </c>
      <c r="T1713" s="9"/>
      <c r="U1713" s="9"/>
      <c r="V1713" s="9"/>
      <c r="W1713" s="9"/>
      <c r="X1713" s="9"/>
      <c r="Y1713" s="9"/>
      <c r="Z1713" s="9"/>
      <c r="AA1713" s="9"/>
      <c r="AB1713" s="9"/>
      <c r="AC1713" s="9"/>
      <c r="AD1713" s="9" t="s">
        <v>13141</v>
      </c>
    </row>
    <row r="1714" spans="1:30" ht="29">
      <c r="A1714" s="3" t="s">
        <v>4337</v>
      </c>
      <c r="B1714" s="3" t="s">
        <v>11044</v>
      </c>
      <c r="C1714" s="3" t="s">
        <v>11043</v>
      </c>
      <c r="E1714" t="s">
        <v>20</v>
      </c>
      <c r="G1714" s="9" t="s">
        <v>26</v>
      </c>
      <c r="H1714" s="9"/>
      <c r="I1714" s="9"/>
      <c r="J1714" s="9"/>
      <c r="K1714" s="9"/>
      <c r="L1714" s="9"/>
      <c r="M1714" s="9"/>
      <c r="N1714" s="10"/>
      <c r="O1714" s="9"/>
      <c r="P1714" s="9"/>
      <c r="Q1714" s="9"/>
      <c r="R1714" s="9" t="s">
        <v>12795</v>
      </c>
      <c r="S1714" s="9" t="s">
        <v>12795</v>
      </c>
      <c r="T1714" s="9"/>
      <c r="U1714" s="9"/>
      <c r="V1714" s="9"/>
      <c r="W1714" s="9"/>
      <c r="X1714" s="9"/>
      <c r="Y1714" s="9"/>
      <c r="Z1714" s="9"/>
      <c r="AA1714" s="9"/>
      <c r="AB1714" s="9"/>
      <c r="AC1714" s="9"/>
      <c r="AD1714" s="9" t="s">
        <v>20</v>
      </c>
    </row>
    <row r="1715" spans="1:30" ht="29">
      <c r="A1715" s="3" t="s">
        <v>4338</v>
      </c>
      <c r="B1715" s="3" t="s">
        <v>11046</v>
      </c>
      <c r="C1715" s="3" t="s">
        <v>11045</v>
      </c>
      <c r="G1715" s="9" t="s">
        <v>12118</v>
      </c>
      <c r="H1715" s="9"/>
      <c r="I1715" s="9"/>
      <c r="J1715" s="9"/>
      <c r="K1715" s="9"/>
      <c r="L1715" s="9"/>
      <c r="M1715" s="9"/>
      <c r="N1715" s="10"/>
      <c r="O1715" s="9"/>
      <c r="P1715" s="9"/>
      <c r="Q1715" s="9">
        <v>-111</v>
      </c>
      <c r="R1715" s="9">
        <v>472</v>
      </c>
      <c r="S1715" s="9">
        <v>361</v>
      </c>
      <c r="T1715" s="9"/>
      <c r="U1715" s="9"/>
      <c r="V1715" s="9"/>
      <c r="W1715" s="9"/>
      <c r="X1715" s="9"/>
      <c r="Y1715" s="9"/>
      <c r="Z1715" s="9"/>
      <c r="AA1715" s="9"/>
      <c r="AB1715" s="9"/>
      <c r="AC1715" s="9"/>
      <c r="AD1715" s="9" t="s">
        <v>19</v>
      </c>
    </row>
    <row r="1716" spans="1:30">
      <c r="A1716" s="3" t="s">
        <v>4341</v>
      </c>
      <c r="B1716" s="3" t="s">
        <v>11048</v>
      </c>
      <c r="C1716" s="3" t="s">
        <v>11049</v>
      </c>
      <c r="G1716" s="9" t="s">
        <v>12120</v>
      </c>
      <c r="H1716" s="9"/>
      <c r="I1716" s="9"/>
      <c r="J1716" s="9"/>
      <c r="K1716" s="9"/>
      <c r="L1716" s="9"/>
      <c r="M1716" s="9"/>
      <c r="N1716" s="10"/>
      <c r="O1716" s="9"/>
      <c r="P1716" s="9"/>
      <c r="Q1716" s="9"/>
      <c r="R1716" s="9" t="s">
        <v>12795</v>
      </c>
      <c r="S1716" s="9" t="s">
        <v>12795</v>
      </c>
      <c r="T1716" s="9"/>
      <c r="U1716" s="9"/>
      <c r="V1716" s="9"/>
      <c r="W1716" s="9"/>
      <c r="X1716" s="9"/>
      <c r="Y1716" s="9"/>
      <c r="Z1716" s="9"/>
      <c r="AA1716" s="9"/>
      <c r="AB1716" s="9"/>
      <c r="AC1716" s="9"/>
      <c r="AD1716" s="9" t="s">
        <v>19</v>
      </c>
    </row>
    <row r="1717" spans="1:30" ht="43.5">
      <c r="A1717" s="3" t="s">
        <v>4342</v>
      </c>
      <c r="B1717" s="3" t="s">
        <v>11051</v>
      </c>
      <c r="C1717" s="3" t="s">
        <v>11050</v>
      </c>
      <c r="G1717" s="9" t="s">
        <v>25</v>
      </c>
      <c r="H1717" s="9"/>
      <c r="I1717" s="9">
        <v>6</v>
      </c>
      <c r="J1717" s="9">
        <v>22</v>
      </c>
      <c r="K1717" s="9"/>
      <c r="L1717" s="9" t="s">
        <v>12079</v>
      </c>
      <c r="M1717" s="9"/>
      <c r="N1717" s="10"/>
      <c r="O1717" s="9"/>
      <c r="P1717" s="9">
        <v>6</v>
      </c>
      <c r="Q1717" s="9"/>
      <c r="R1717" s="9" t="s">
        <v>12795</v>
      </c>
      <c r="S1717" s="9" t="s">
        <v>12795</v>
      </c>
      <c r="T1717" s="9"/>
      <c r="U1717" s="9"/>
      <c r="V1717" s="9"/>
      <c r="W1717" s="9"/>
      <c r="X1717" s="9"/>
      <c r="Y1717" s="9"/>
      <c r="Z1717" s="9"/>
      <c r="AA1717" s="9"/>
      <c r="AB1717" s="9"/>
      <c r="AC1717" s="9"/>
      <c r="AD1717" s="9" t="s">
        <v>19</v>
      </c>
    </row>
    <row r="1718" spans="1:30" ht="43.5">
      <c r="A1718" s="3" t="s">
        <v>4345</v>
      </c>
      <c r="B1718" s="3" t="s">
        <v>11058</v>
      </c>
      <c r="C1718" s="3" t="s">
        <v>11057</v>
      </c>
      <c r="G1718" s="9" t="s">
        <v>25</v>
      </c>
      <c r="H1718" s="9"/>
      <c r="I1718" s="9">
        <v>6</v>
      </c>
      <c r="J1718" s="9">
        <v>26</v>
      </c>
      <c r="K1718" s="9"/>
      <c r="L1718" s="9" t="s">
        <v>12079</v>
      </c>
      <c r="M1718" s="9"/>
      <c r="N1718" s="10"/>
      <c r="O1718" s="9"/>
      <c r="P1718" s="9">
        <v>8</v>
      </c>
      <c r="Q1718" s="9"/>
      <c r="R1718" s="9" t="s">
        <v>12795</v>
      </c>
      <c r="S1718" s="9" t="s">
        <v>12795</v>
      </c>
      <c r="T1718" s="9"/>
      <c r="U1718" s="9"/>
      <c r="V1718" s="9"/>
      <c r="W1718" s="9"/>
      <c r="X1718" s="9"/>
      <c r="Y1718" s="9"/>
      <c r="Z1718" s="9"/>
      <c r="AA1718" s="9"/>
      <c r="AB1718" s="9"/>
      <c r="AC1718" s="9"/>
      <c r="AD1718" s="9" t="s">
        <v>19</v>
      </c>
    </row>
    <row r="1719" spans="1:30" ht="29">
      <c r="A1719" s="3" t="s">
        <v>4346</v>
      </c>
      <c r="B1719" s="3" t="s">
        <v>11066</v>
      </c>
      <c r="C1719" s="3" t="s">
        <v>11065</v>
      </c>
      <c r="G1719" s="9" t="s">
        <v>25</v>
      </c>
      <c r="H1719" s="9"/>
      <c r="I1719" s="9">
        <v>1</v>
      </c>
      <c r="J1719" s="9">
        <v>4</v>
      </c>
      <c r="K1719" s="9" t="s">
        <v>12072</v>
      </c>
      <c r="L1719" s="9" t="s">
        <v>12079</v>
      </c>
      <c r="M1719" s="9"/>
      <c r="N1719" s="10"/>
      <c r="O1719" s="9"/>
      <c r="P1719" s="9">
        <v>82</v>
      </c>
      <c r="Q1719" s="9"/>
      <c r="R1719" s="9" t="s">
        <v>12795</v>
      </c>
      <c r="S1719" s="9" t="s">
        <v>12795</v>
      </c>
      <c r="T1719" s="9"/>
      <c r="U1719" s="9"/>
      <c r="V1719" s="9"/>
      <c r="W1719" s="9"/>
      <c r="X1719" s="9"/>
      <c r="Y1719" s="9"/>
      <c r="Z1719" s="9"/>
      <c r="AA1719" s="9"/>
      <c r="AB1719" s="9"/>
      <c r="AC1719" s="9"/>
      <c r="AD1719" s="9" t="s">
        <v>19</v>
      </c>
    </row>
    <row r="1720" spans="1:30" ht="29">
      <c r="A1720" s="3" t="s">
        <v>4347</v>
      </c>
      <c r="B1720" s="3" t="s">
        <v>11068</v>
      </c>
      <c r="C1720" s="3" t="s">
        <v>11067</v>
      </c>
      <c r="G1720" s="9" t="s">
        <v>12120</v>
      </c>
      <c r="H1720" s="9"/>
      <c r="I1720" s="9"/>
      <c r="J1720" s="9"/>
      <c r="K1720" s="9"/>
      <c r="L1720" s="9"/>
      <c r="M1720" s="9"/>
      <c r="N1720" s="10"/>
      <c r="O1720" s="9"/>
      <c r="P1720" s="9"/>
      <c r="Q1720" s="9"/>
      <c r="R1720" s="9" t="s">
        <v>12795</v>
      </c>
      <c r="S1720" s="9" t="s">
        <v>12795</v>
      </c>
      <c r="T1720" s="9"/>
      <c r="U1720" s="9"/>
      <c r="V1720" s="9"/>
      <c r="W1720" s="9"/>
      <c r="X1720" s="9"/>
      <c r="Y1720" s="9"/>
      <c r="Z1720" s="9"/>
      <c r="AA1720" s="9"/>
      <c r="AB1720" s="9"/>
      <c r="AC1720" s="9"/>
      <c r="AD1720" s="9" t="s">
        <v>20</v>
      </c>
    </row>
    <row r="1721" spans="1:30">
      <c r="A1721" s="3" t="s">
        <v>4347</v>
      </c>
      <c r="B1721" s="3" t="s">
        <v>11069</v>
      </c>
      <c r="C1721" s="3" t="s">
        <v>11070</v>
      </c>
      <c r="G1721" s="9" t="s">
        <v>25</v>
      </c>
      <c r="H1721" s="9"/>
      <c r="I1721" s="9">
        <v>1</v>
      </c>
      <c r="J1721" s="9">
        <v>3</v>
      </c>
      <c r="K1721" s="9" t="s">
        <v>12096</v>
      </c>
      <c r="L1721" s="9" t="s">
        <v>12079</v>
      </c>
      <c r="M1721" s="9"/>
      <c r="N1721" s="10"/>
      <c r="O1721" s="9"/>
      <c r="P1721" s="9">
        <v>560</v>
      </c>
      <c r="Q1721" s="9"/>
      <c r="R1721" s="9" t="s">
        <v>12795</v>
      </c>
      <c r="S1721" s="9" t="s">
        <v>12795</v>
      </c>
      <c r="T1721" s="9"/>
      <c r="U1721" s="9"/>
      <c r="V1721" s="9"/>
      <c r="W1721" s="9"/>
      <c r="X1721" s="9"/>
      <c r="Y1721" s="9"/>
      <c r="Z1721" s="9"/>
      <c r="AA1721" s="9"/>
      <c r="AB1721" s="9"/>
      <c r="AC1721" s="9"/>
      <c r="AD1721" s="9" t="s">
        <v>20</v>
      </c>
    </row>
    <row r="1722" spans="1:30" ht="29">
      <c r="A1722" s="3" t="s">
        <v>4357</v>
      </c>
      <c r="B1722" s="3" t="s">
        <v>11084</v>
      </c>
      <c r="C1722" s="3" t="s">
        <v>11085</v>
      </c>
      <c r="G1722" s="9" t="s">
        <v>12118</v>
      </c>
      <c r="H1722" s="9"/>
      <c r="I1722" s="9"/>
      <c r="J1722" s="9"/>
      <c r="K1722" s="9"/>
      <c r="L1722" s="9"/>
      <c r="M1722" s="9"/>
      <c r="N1722" s="10"/>
      <c r="O1722" s="9"/>
      <c r="P1722" s="9"/>
      <c r="Q1722" s="9">
        <v>11</v>
      </c>
      <c r="R1722" s="9">
        <v>0</v>
      </c>
      <c r="S1722" s="9">
        <v>11</v>
      </c>
      <c r="T1722" s="9"/>
      <c r="U1722" s="9"/>
      <c r="V1722" s="9"/>
      <c r="W1722" s="9"/>
      <c r="X1722" s="9"/>
      <c r="Y1722" s="9"/>
      <c r="Z1722" s="9"/>
      <c r="AA1722" s="9"/>
      <c r="AB1722" s="9"/>
      <c r="AC1722" s="9"/>
      <c r="AD1722" s="9" t="s">
        <v>19</v>
      </c>
    </row>
    <row r="1723" spans="1:30" ht="29">
      <c r="A1723" s="3" t="s">
        <v>4359</v>
      </c>
      <c r="B1723" s="3" t="s">
        <v>11091</v>
      </c>
      <c r="C1723" s="3" t="s">
        <v>11094</v>
      </c>
      <c r="G1723" s="9" t="s">
        <v>24</v>
      </c>
      <c r="H1723" s="9"/>
      <c r="I1723" s="9">
        <v>1</v>
      </c>
      <c r="J1723" s="9">
        <v>3</v>
      </c>
      <c r="K1723" s="9" t="s">
        <v>12078</v>
      </c>
      <c r="L1723" s="9" t="s">
        <v>12079</v>
      </c>
      <c r="M1723" s="9"/>
      <c r="N1723" s="10"/>
      <c r="O1723" s="9"/>
      <c r="P1723" s="9">
        <v>11843</v>
      </c>
      <c r="Q1723" s="9"/>
      <c r="R1723" s="9" t="s">
        <v>12795</v>
      </c>
      <c r="S1723" s="9" t="s">
        <v>12795</v>
      </c>
      <c r="T1723" s="9"/>
      <c r="U1723" s="9"/>
      <c r="V1723" s="9"/>
      <c r="W1723" s="9"/>
      <c r="X1723" s="9"/>
      <c r="Y1723" s="9"/>
      <c r="Z1723" s="9"/>
      <c r="AA1723" s="9"/>
      <c r="AB1723" s="9"/>
      <c r="AC1723" s="9"/>
      <c r="AD1723" s="9" t="s">
        <v>19</v>
      </c>
    </row>
    <row r="1724" spans="1:30" ht="29">
      <c r="A1724" s="3" t="s">
        <v>4362</v>
      </c>
      <c r="B1724" s="3" t="s">
        <v>11097</v>
      </c>
      <c r="C1724" s="3" t="s">
        <v>11096</v>
      </c>
      <c r="G1724" s="9" t="s">
        <v>12118</v>
      </c>
      <c r="H1724" s="9"/>
      <c r="I1724" s="9"/>
      <c r="J1724" s="9"/>
      <c r="K1724" s="9"/>
      <c r="L1724" s="9"/>
      <c r="M1724" s="9"/>
      <c r="N1724" s="10"/>
      <c r="O1724" s="9"/>
      <c r="P1724" s="9"/>
      <c r="Q1724" s="9">
        <v>-3460</v>
      </c>
      <c r="R1724" s="9">
        <v>4240</v>
      </c>
      <c r="S1724" s="9">
        <v>780</v>
      </c>
      <c r="T1724" s="9"/>
      <c r="U1724" s="9"/>
      <c r="V1724" s="9"/>
      <c r="W1724" s="9"/>
      <c r="X1724" s="9"/>
      <c r="Y1724" s="9"/>
      <c r="Z1724" s="9"/>
      <c r="AA1724" s="9"/>
      <c r="AB1724" s="9"/>
      <c r="AC1724" s="9"/>
      <c r="AD1724" s="9" t="s">
        <v>19</v>
      </c>
    </row>
    <row r="1725" spans="1:30" ht="29">
      <c r="A1725" s="3" t="s">
        <v>4365</v>
      </c>
      <c r="B1725" s="3" t="s">
        <v>11117</v>
      </c>
      <c r="C1725" s="3" t="s">
        <v>11116</v>
      </c>
      <c r="G1725" s="9" t="s">
        <v>12120</v>
      </c>
      <c r="H1725" s="9"/>
      <c r="I1725" s="9"/>
      <c r="J1725" s="9"/>
      <c r="K1725" s="9"/>
      <c r="L1725" s="9"/>
      <c r="M1725" s="9"/>
      <c r="N1725" s="10"/>
      <c r="O1725" s="9"/>
      <c r="P1725" s="9"/>
      <c r="Q1725" s="9"/>
      <c r="R1725" s="9" t="s">
        <v>12795</v>
      </c>
      <c r="S1725" s="9" t="s">
        <v>12795</v>
      </c>
      <c r="T1725" s="9"/>
      <c r="U1725" s="9"/>
      <c r="V1725" s="9"/>
      <c r="W1725" s="9"/>
      <c r="X1725" s="9"/>
      <c r="Y1725" s="9"/>
      <c r="Z1725" s="9"/>
      <c r="AA1725" s="9"/>
      <c r="AB1725" s="9"/>
      <c r="AC1725" s="9"/>
      <c r="AD1725" s="9" t="s">
        <v>20</v>
      </c>
    </row>
    <row r="1726" spans="1:30" ht="29">
      <c r="A1726" s="3" t="s">
        <v>4366</v>
      </c>
      <c r="B1726" s="3" t="s">
        <v>11120</v>
      </c>
      <c r="C1726" s="3" t="s">
        <v>11121</v>
      </c>
      <c r="G1726" s="9" t="s">
        <v>12118</v>
      </c>
      <c r="H1726" s="9"/>
      <c r="I1726" s="9"/>
      <c r="J1726" s="9"/>
      <c r="K1726" s="9"/>
      <c r="L1726" s="9"/>
      <c r="M1726" s="9"/>
      <c r="N1726" s="10"/>
      <c r="O1726" s="9"/>
      <c r="P1726" s="9"/>
      <c r="Q1726" s="9">
        <v>-1800</v>
      </c>
      <c r="R1726" s="9">
        <v>1966</v>
      </c>
      <c r="S1726" s="9">
        <v>166</v>
      </c>
      <c r="T1726" s="9"/>
      <c r="U1726" s="9"/>
      <c r="V1726" s="9"/>
      <c r="W1726" s="9"/>
      <c r="X1726" s="9"/>
      <c r="Y1726" s="9"/>
      <c r="Z1726" s="9"/>
      <c r="AA1726" s="9"/>
      <c r="AB1726" s="9"/>
      <c r="AC1726" s="9"/>
      <c r="AD1726" s="9" t="s">
        <v>19</v>
      </c>
    </row>
    <row r="1727" spans="1:30" ht="29">
      <c r="A1727" s="3" t="s">
        <v>4367</v>
      </c>
      <c r="B1727" s="3" t="s">
        <v>11122</v>
      </c>
      <c r="C1727" s="3" t="s">
        <v>11123</v>
      </c>
      <c r="G1727" s="9" t="s">
        <v>25</v>
      </c>
      <c r="H1727" s="9"/>
      <c r="I1727" s="9">
        <v>1</v>
      </c>
      <c r="J1727" s="9">
        <v>2</v>
      </c>
      <c r="K1727" s="9" t="s">
        <v>12087</v>
      </c>
      <c r="L1727" s="9" t="s">
        <v>12119</v>
      </c>
      <c r="M1727" s="9"/>
      <c r="N1727" s="10"/>
      <c r="O1727" s="9"/>
      <c r="P1727" s="9">
        <v>166</v>
      </c>
      <c r="Q1727" s="9"/>
      <c r="R1727" s="9" t="s">
        <v>12795</v>
      </c>
      <c r="S1727" s="9" t="s">
        <v>12795</v>
      </c>
      <c r="T1727" s="9"/>
      <c r="U1727" s="9"/>
      <c r="V1727" s="9"/>
      <c r="W1727" s="9"/>
      <c r="X1727" s="9"/>
      <c r="Y1727" s="9"/>
      <c r="Z1727" s="9"/>
      <c r="AA1727" s="9"/>
      <c r="AB1727" s="9"/>
      <c r="AC1727" s="9"/>
      <c r="AD1727" s="9" t="s">
        <v>19</v>
      </c>
    </row>
    <row r="1728" spans="1:30" ht="29">
      <c r="A1728" s="3" t="s">
        <v>4369</v>
      </c>
      <c r="B1728" s="3" t="s">
        <v>11128</v>
      </c>
      <c r="C1728" s="3" t="s">
        <v>11129</v>
      </c>
      <c r="G1728" s="9" t="s">
        <v>12120</v>
      </c>
      <c r="H1728" s="9"/>
      <c r="I1728" s="9"/>
      <c r="J1728" s="9"/>
      <c r="K1728" s="9"/>
      <c r="L1728" s="9"/>
      <c r="M1728" s="9"/>
      <c r="N1728" s="10"/>
      <c r="O1728" s="9"/>
      <c r="P1728" s="9"/>
      <c r="Q1728" s="9"/>
      <c r="R1728" s="9" t="s">
        <v>12795</v>
      </c>
      <c r="S1728" s="9" t="s">
        <v>12795</v>
      </c>
      <c r="T1728" s="9"/>
      <c r="U1728" s="9"/>
      <c r="V1728" s="9"/>
      <c r="W1728" s="9"/>
      <c r="X1728" s="9"/>
      <c r="Y1728" s="9"/>
      <c r="Z1728" s="9"/>
      <c r="AA1728" s="9"/>
      <c r="AB1728" s="9"/>
      <c r="AC1728" s="9"/>
      <c r="AD1728" s="9" t="s">
        <v>20</v>
      </c>
    </row>
    <row r="1729" spans="1:30" ht="29">
      <c r="A1729" s="3" t="s">
        <v>4369</v>
      </c>
      <c r="B1729" s="3" t="s">
        <v>11130</v>
      </c>
      <c r="C1729" s="3" t="s">
        <v>11131</v>
      </c>
      <c r="G1729" s="9" t="s">
        <v>12120</v>
      </c>
      <c r="H1729" s="9"/>
      <c r="I1729" s="9"/>
      <c r="J1729" s="9"/>
      <c r="K1729" s="9"/>
      <c r="L1729" s="9"/>
      <c r="M1729" s="9"/>
      <c r="N1729" s="10"/>
      <c r="O1729" s="9"/>
      <c r="P1729" s="9"/>
      <c r="Q1729" s="9"/>
      <c r="R1729" s="9" t="s">
        <v>12795</v>
      </c>
      <c r="S1729" s="9" t="s">
        <v>12795</v>
      </c>
      <c r="T1729" s="9"/>
      <c r="U1729" s="9"/>
      <c r="V1729" s="9"/>
      <c r="W1729" s="9"/>
      <c r="X1729" s="9"/>
      <c r="Y1729" s="9"/>
      <c r="Z1729" s="9"/>
      <c r="AA1729" s="9"/>
      <c r="AB1729" s="9"/>
      <c r="AC1729" s="9"/>
      <c r="AD1729" s="9" t="s">
        <v>20</v>
      </c>
    </row>
    <row r="1730" spans="1:30" ht="43.5">
      <c r="A1730" s="3" t="s">
        <v>4370</v>
      </c>
      <c r="B1730" s="3" t="s">
        <v>11133</v>
      </c>
      <c r="C1730" s="3" t="s">
        <v>11134</v>
      </c>
      <c r="G1730" s="9" t="s">
        <v>24</v>
      </c>
      <c r="H1730" s="9"/>
      <c r="I1730" s="9">
        <v>1</v>
      </c>
      <c r="J1730" s="9">
        <v>2</v>
      </c>
      <c r="K1730" s="9" t="s">
        <v>12096</v>
      </c>
      <c r="L1730" s="9" t="s">
        <v>12119</v>
      </c>
      <c r="M1730" s="9"/>
      <c r="N1730" s="10"/>
      <c r="O1730" s="9" t="s">
        <v>12074</v>
      </c>
      <c r="P1730" s="9">
        <v>1294</v>
      </c>
      <c r="Q1730" s="9"/>
      <c r="R1730" s="9" t="s">
        <v>12795</v>
      </c>
      <c r="S1730" s="9" t="s">
        <v>12795</v>
      </c>
      <c r="T1730" s="9"/>
      <c r="U1730" s="9"/>
      <c r="V1730" s="9"/>
      <c r="W1730" s="9"/>
      <c r="X1730" s="9"/>
      <c r="Y1730" s="9"/>
      <c r="Z1730" s="9"/>
      <c r="AA1730" s="9"/>
      <c r="AB1730" s="9"/>
      <c r="AC1730" s="9"/>
      <c r="AD1730" s="9" t="s">
        <v>20</v>
      </c>
    </row>
    <row r="1731" spans="1:30" ht="43.5">
      <c r="A1731" s="3" t="s">
        <v>4370</v>
      </c>
      <c r="B1731" s="3" t="s">
        <v>11137</v>
      </c>
      <c r="C1731" s="3" t="s">
        <v>11132</v>
      </c>
      <c r="G1731" s="9" t="s">
        <v>25</v>
      </c>
      <c r="H1731" s="9"/>
      <c r="I1731" s="9">
        <v>4</v>
      </c>
      <c r="J1731" s="9">
        <v>17</v>
      </c>
      <c r="K1731" s="9"/>
      <c r="L1731" s="9" t="s">
        <v>12073</v>
      </c>
      <c r="M1731" s="9" t="s">
        <v>12140</v>
      </c>
      <c r="N1731" s="10" t="s">
        <v>12136</v>
      </c>
      <c r="O1731" s="9"/>
      <c r="P1731" s="9">
        <v>63</v>
      </c>
      <c r="Q1731" s="9"/>
      <c r="R1731" s="9" t="s">
        <v>12795</v>
      </c>
      <c r="S1731" s="9" t="s">
        <v>12795</v>
      </c>
      <c r="T1731" s="9"/>
      <c r="U1731" s="9"/>
      <c r="V1731" s="9"/>
      <c r="W1731" s="9"/>
      <c r="X1731" s="9"/>
      <c r="Y1731" s="9"/>
      <c r="Z1731" s="9"/>
      <c r="AA1731" s="9"/>
      <c r="AB1731" s="9"/>
      <c r="AC1731" s="9"/>
      <c r="AD1731" s="9" t="s">
        <v>20</v>
      </c>
    </row>
    <row r="1732" spans="1:30">
      <c r="A1732" s="3" t="s">
        <v>4372</v>
      </c>
      <c r="B1732" s="3" t="s">
        <v>3892</v>
      </c>
      <c r="C1732" s="3" t="s">
        <v>3893</v>
      </c>
      <c r="G1732" s="9" t="s">
        <v>12118</v>
      </c>
      <c r="H1732" s="9"/>
      <c r="I1732" s="9"/>
      <c r="J1732" s="9"/>
      <c r="K1732" s="9"/>
      <c r="L1732" s="9"/>
      <c r="M1732" s="9"/>
      <c r="N1732" s="10"/>
      <c r="O1732" s="9"/>
      <c r="P1732" s="9"/>
      <c r="Q1732" s="9">
        <v>7</v>
      </c>
      <c r="R1732" s="9">
        <v>0</v>
      </c>
      <c r="S1732" s="9">
        <v>7</v>
      </c>
      <c r="T1732" s="9"/>
      <c r="U1732" s="9"/>
      <c r="V1732" s="9"/>
      <c r="W1732" s="9"/>
      <c r="X1732" s="9"/>
      <c r="Y1732" s="9"/>
      <c r="Z1732" s="9"/>
      <c r="AA1732" s="9"/>
      <c r="AB1732" s="9"/>
      <c r="AC1732" s="9"/>
      <c r="AD1732" s="9" t="s">
        <v>20</v>
      </c>
    </row>
    <row r="1733" spans="1:30" ht="29">
      <c r="A1733" s="3" t="s">
        <v>4372</v>
      </c>
      <c r="B1733" s="3" t="s">
        <v>11143</v>
      </c>
      <c r="C1733" s="3" t="s">
        <v>11142</v>
      </c>
      <c r="G1733" s="9" t="s">
        <v>25</v>
      </c>
      <c r="H1733" s="9"/>
      <c r="I1733" s="9">
        <v>4</v>
      </c>
      <c r="J1733" s="9">
        <v>20</v>
      </c>
      <c r="K1733" s="9"/>
      <c r="L1733" s="9" t="s">
        <v>12079</v>
      </c>
      <c r="M1733" s="9"/>
      <c r="N1733" s="10"/>
      <c r="O1733" s="9"/>
      <c r="P1733" s="9">
        <v>40</v>
      </c>
      <c r="Q1733" s="9"/>
      <c r="R1733" s="9" t="s">
        <v>12795</v>
      </c>
      <c r="S1733" s="9" t="s">
        <v>12795</v>
      </c>
      <c r="T1733" s="9"/>
      <c r="U1733" s="9"/>
      <c r="V1733" s="9"/>
      <c r="W1733" s="9"/>
      <c r="X1733" s="9"/>
      <c r="Y1733" s="9"/>
      <c r="Z1733" s="9"/>
      <c r="AA1733" s="9"/>
      <c r="AB1733" s="9"/>
      <c r="AC1733" s="9"/>
      <c r="AD1733" s="9" t="s">
        <v>19</v>
      </c>
    </row>
    <row r="1734" spans="1:30" ht="72.5">
      <c r="A1734" s="3" t="s">
        <v>4374</v>
      </c>
      <c r="B1734" s="3" t="s">
        <v>11148</v>
      </c>
      <c r="C1734" s="3" t="s">
        <v>11149</v>
      </c>
      <c r="G1734" s="9" t="s">
        <v>25</v>
      </c>
      <c r="H1734" s="9"/>
      <c r="I1734" s="9">
        <v>8</v>
      </c>
      <c r="J1734" s="9">
        <v>54</v>
      </c>
      <c r="K1734" s="9"/>
      <c r="L1734" s="9" t="s">
        <v>12079</v>
      </c>
      <c r="M1734" s="9"/>
      <c r="N1734" s="10"/>
      <c r="O1734" s="9"/>
      <c r="P1734" s="9">
        <v>3</v>
      </c>
      <c r="Q1734" s="9"/>
      <c r="R1734" s="9" t="s">
        <v>12795</v>
      </c>
      <c r="S1734" s="9" t="s">
        <v>12795</v>
      </c>
      <c r="T1734" s="9"/>
      <c r="U1734" s="9"/>
      <c r="V1734" s="9"/>
      <c r="W1734" s="9"/>
      <c r="X1734" s="9"/>
      <c r="Y1734" s="9"/>
      <c r="Z1734" s="9"/>
      <c r="AA1734" s="9"/>
      <c r="AB1734" s="9"/>
      <c r="AC1734" s="9"/>
      <c r="AD1734" s="9" t="s">
        <v>19</v>
      </c>
    </row>
    <row r="1735" spans="1:30">
      <c r="A1735" s="3" t="s">
        <v>4376</v>
      </c>
      <c r="B1735" s="3" t="s">
        <v>11155</v>
      </c>
      <c r="C1735" s="3" t="s">
        <v>11154</v>
      </c>
      <c r="G1735" s="9" t="s">
        <v>25</v>
      </c>
      <c r="H1735" s="9"/>
      <c r="I1735" s="9">
        <v>1</v>
      </c>
      <c r="J1735" s="9">
        <v>2</v>
      </c>
      <c r="K1735" s="9" t="s">
        <v>12087</v>
      </c>
      <c r="L1735" s="9" t="s">
        <v>12119</v>
      </c>
      <c r="M1735" s="9"/>
      <c r="N1735" s="10"/>
      <c r="O1735" s="9"/>
      <c r="P1735" s="9">
        <v>1966</v>
      </c>
      <c r="Q1735" s="9"/>
      <c r="R1735" s="9" t="s">
        <v>12795</v>
      </c>
      <c r="S1735" s="9" t="s">
        <v>12795</v>
      </c>
      <c r="T1735" s="9"/>
      <c r="U1735" s="9"/>
      <c r="V1735" s="9"/>
      <c r="W1735" s="9"/>
      <c r="X1735" s="9"/>
      <c r="Y1735" s="9"/>
      <c r="Z1735" s="9"/>
      <c r="AA1735" s="9"/>
      <c r="AB1735" s="9"/>
      <c r="AC1735" s="9"/>
      <c r="AD1735" s="9" t="s">
        <v>20</v>
      </c>
    </row>
    <row r="1736" spans="1:30">
      <c r="A1736" s="3" t="s">
        <v>4377</v>
      </c>
      <c r="B1736" s="3" t="s">
        <v>11166</v>
      </c>
      <c r="C1736" s="3" t="s">
        <v>11165</v>
      </c>
      <c r="G1736" s="9" t="s">
        <v>25</v>
      </c>
      <c r="H1736" s="9"/>
      <c r="I1736" s="9">
        <v>1</v>
      </c>
      <c r="J1736" s="9">
        <v>1</v>
      </c>
      <c r="K1736" s="9" t="s">
        <v>12078</v>
      </c>
      <c r="L1736" s="9" t="s">
        <v>12119</v>
      </c>
      <c r="M1736" s="9"/>
      <c r="N1736" s="10"/>
      <c r="O1736" s="9"/>
      <c r="P1736" s="9">
        <v>11843</v>
      </c>
      <c r="Q1736" s="9"/>
      <c r="R1736" s="9" t="s">
        <v>12795</v>
      </c>
      <c r="S1736" s="9" t="s">
        <v>12795</v>
      </c>
      <c r="T1736" s="9"/>
      <c r="U1736" s="9"/>
      <c r="V1736" s="9"/>
      <c r="W1736" s="9"/>
      <c r="X1736" s="9"/>
      <c r="Y1736" s="9"/>
      <c r="Z1736" s="9"/>
      <c r="AA1736" s="9"/>
      <c r="AB1736" s="9"/>
      <c r="AC1736" s="9"/>
      <c r="AD1736" s="9" t="s">
        <v>19</v>
      </c>
    </row>
    <row r="1737" spans="1:30" ht="29">
      <c r="A1737" s="3" t="s">
        <v>4381</v>
      </c>
      <c r="B1737" s="3" t="s">
        <v>11169</v>
      </c>
      <c r="C1737" s="3" t="s">
        <v>11170</v>
      </c>
      <c r="F1737" t="s">
        <v>19</v>
      </c>
      <c r="G1737" s="9" t="s">
        <v>24</v>
      </c>
      <c r="H1737" s="9"/>
      <c r="I1737" s="9">
        <v>1</v>
      </c>
      <c r="J1737" s="9">
        <v>5</v>
      </c>
      <c r="K1737" s="9" t="s">
        <v>12094</v>
      </c>
      <c r="L1737" s="9" t="s">
        <v>12073</v>
      </c>
      <c r="M1737" s="9" t="s">
        <v>12149</v>
      </c>
      <c r="N1737" s="10" t="s">
        <v>12143</v>
      </c>
      <c r="O1737" s="9"/>
      <c r="P1737" s="9">
        <v>4240</v>
      </c>
      <c r="Q1737" s="9"/>
      <c r="R1737" s="9" t="s">
        <v>12795</v>
      </c>
      <c r="S1737" s="9" t="s">
        <v>12795</v>
      </c>
      <c r="T1737" s="9"/>
      <c r="U1737" s="9"/>
      <c r="V1737" s="9"/>
      <c r="W1737" s="9"/>
      <c r="X1737" s="9"/>
      <c r="Y1737" s="9"/>
      <c r="Z1737" s="9"/>
      <c r="AA1737" s="9"/>
      <c r="AB1737" s="9"/>
      <c r="AC1737" s="9"/>
      <c r="AD1737" s="9" t="s">
        <v>20</v>
      </c>
    </row>
    <row r="1738" spans="1:30" ht="29">
      <c r="A1738" s="3" t="s">
        <v>4386</v>
      </c>
      <c r="B1738" s="3" t="s">
        <v>12586</v>
      </c>
      <c r="C1738" s="3" t="s">
        <v>12585</v>
      </c>
      <c r="G1738" s="9" t="s">
        <v>12120</v>
      </c>
      <c r="H1738" s="9"/>
      <c r="I1738" s="9"/>
      <c r="J1738" s="9"/>
      <c r="K1738" s="9"/>
      <c r="L1738" s="9"/>
      <c r="M1738" s="9"/>
      <c r="N1738" s="10"/>
      <c r="O1738" s="9"/>
      <c r="P1738" s="9"/>
      <c r="Q1738" s="9"/>
      <c r="R1738" s="9" t="s">
        <v>12795</v>
      </c>
      <c r="S1738" s="9" t="s">
        <v>12795</v>
      </c>
      <c r="T1738" s="9"/>
      <c r="U1738" s="9"/>
      <c r="V1738" s="9"/>
      <c r="W1738" s="9"/>
      <c r="X1738" s="9"/>
      <c r="Y1738" s="9"/>
      <c r="Z1738" s="9"/>
      <c r="AA1738" s="9"/>
      <c r="AB1738" s="9"/>
      <c r="AC1738" s="9"/>
      <c r="AD1738" s="9" t="s">
        <v>19</v>
      </c>
    </row>
    <row r="1739" spans="1:30" ht="29">
      <c r="A1739" s="3" t="s">
        <v>4387</v>
      </c>
      <c r="B1739" s="3" t="s">
        <v>11181</v>
      </c>
      <c r="C1739" s="3" t="s">
        <v>11182</v>
      </c>
      <c r="G1739" s="9" t="s">
        <v>12118</v>
      </c>
      <c r="H1739" s="9"/>
      <c r="I1739" s="9"/>
      <c r="J1739" s="9"/>
      <c r="K1739" s="9"/>
      <c r="L1739" s="9"/>
      <c r="M1739" s="9"/>
      <c r="N1739" s="10"/>
      <c r="O1739" s="9"/>
      <c r="P1739" s="9"/>
      <c r="Q1739" s="9">
        <v>-111</v>
      </c>
      <c r="R1739" s="9">
        <v>472</v>
      </c>
      <c r="S1739" s="9">
        <v>361</v>
      </c>
      <c r="T1739" s="9"/>
      <c r="U1739" s="9"/>
      <c r="V1739" s="9"/>
      <c r="W1739" s="9"/>
      <c r="X1739" s="9"/>
      <c r="Y1739" s="9"/>
      <c r="Z1739" s="9"/>
      <c r="AA1739" s="9"/>
      <c r="AB1739" s="9"/>
      <c r="AC1739" s="9"/>
      <c r="AD1739" s="9" t="s">
        <v>20</v>
      </c>
    </row>
    <row r="1740" spans="1:30" ht="43.5">
      <c r="A1740" s="3" t="s">
        <v>4389</v>
      </c>
      <c r="B1740" s="3" t="s">
        <v>11186</v>
      </c>
      <c r="C1740" s="3" t="s">
        <v>11185</v>
      </c>
      <c r="G1740" s="9" t="s">
        <v>26</v>
      </c>
      <c r="H1740" s="9"/>
      <c r="I1740" s="9"/>
      <c r="J1740" s="9"/>
      <c r="K1740" s="9"/>
      <c r="L1740" s="9"/>
      <c r="M1740" s="9"/>
      <c r="N1740" s="10"/>
      <c r="O1740" s="9"/>
      <c r="P1740" s="9"/>
      <c r="Q1740" s="9"/>
      <c r="R1740" s="9" t="s">
        <v>12795</v>
      </c>
      <c r="S1740" s="9" t="s">
        <v>12795</v>
      </c>
      <c r="T1740" s="9"/>
      <c r="U1740" s="9"/>
      <c r="V1740" s="9"/>
      <c r="W1740" s="9"/>
      <c r="X1740" s="9"/>
      <c r="Y1740" s="9"/>
      <c r="Z1740" s="9"/>
      <c r="AA1740" s="9"/>
      <c r="AB1740" s="9"/>
      <c r="AC1740" s="9"/>
      <c r="AD1740" s="9" t="s">
        <v>20</v>
      </c>
    </row>
    <row r="1741" spans="1:30" ht="29">
      <c r="A1741" s="3" t="s">
        <v>4392</v>
      </c>
      <c r="B1741" s="3" t="s">
        <v>4393</v>
      </c>
      <c r="C1741" s="3" t="s">
        <v>4394</v>
      </c>
      <c r="G1741" s="9" t="s">
        <v>12120</v>
      </c>
      <c r="H1741" s="9"/>
      <c r="I1741" s="9"/>
      <c r="J1741" s="9"/>
      <c r="K1741" s="9"/>
      <c r="L1741" s="9"/>
      <c r="M1741" s="9"/>
      <c r="N1741" s="10"/>
      <c r="O1741" s="9"/>
      <c r="P1741" s="9"/>
      <c r="Q1741" s="9"/>
      <c r="R1741" s="9" t="s">
        <v>12795</v>
      </c>
      <c r="S1741" s="9" t="s">
        <v>12795</v>
      </c>
      <c r="T1741" s="9"/>
      <c r="U1741" s="9"/>
      <c r="V1741" s="9"/>
      <c r="W1741" s="9"/>
      <c r="X1741" s="9"/>
      <c r="Y1741" s="9"/>
      <c r="Z1741" s="9"/>
      <c r="AA1741" s="9"/>
      <c r="AB1741" s="9"/>
      <c r="AC1741" s="9"/>
      <c r="AD1741" s="9" t="s">
        <v>20</v>
      </c>
    </row>
    <row r="1742" spans="1:30" ht="29">
      <c r="A1742" s="3" t="s">
        <v>4392</v>
      </c>
      <c r="B1742" s="3" t="s">
        <v>11197</v>
      </c>
      <c r="C1742" s="3" t="s">
        <v>11196</v>
      </c>
      <c r="G1742" s="9" t="s">
        <v>12118</v>
      </c>
      <c r="H1742" s="9"/>
      <c r="I1742" s="9"/>
      <c r="J1742" s="9"/>
      <c r="K1742" s="9"/>
      <c r="L1742" s="9"/>
      <c r="M1742" s="9"/>
      <c r="N1742" s="10"/>
      <c r="O1742" s="9"/>
      <c r="P1742" s="9"/>
      <c r="Q1742" s="9">
        <v>-245</v>
      </c>
      <c r="R1742" s="9">
        <v>1741</v>
      </c>
      <c r="S1742" s="9">
        <v>1496</v>
      </c>
      <c r="T1742" s="9"/>
      <c r="U1742" s="9"/>
      <c r="V1742" s="9"/>
      <c r="W1742" s="9"/>
      <c r="X1742" s="9"/>
      <c r="Y1742" s="9"/>
      <c r="Z1742" s="9"/>
      <c r="AA1742" s="9"/>
      <c r="AB1742" s="9"/>
      <c r="AC1742" s="9"/>
      <c r="AD1742" s="9" t="s">
        <v>19</v>
      </c>
    </row>
    <row r="1743" spans="1:30" ht="29">
      <c r="A1743" s="3" t="s">
        <v>4395</v>
      </c>
      <c r="B1743" s="3" t="s">
        <v>11200</v>
      </c>
      <c r="C1743" s="3" t="s">
        <v>11201</v>
      </c>
      <c r="G1743" s="9" t="s">
        <v>12118</v>
      </c>
      <c r="H1743" s="9"/>
      <c r="I1743" s="9"/>
      <c r="J1743" s="9"/>
      <c r="K1743" s="9"/>
      <c r="L1743" s="9"/>
      <c r="M1743" s="9"/>
      <c r="N1743" s="10"/>
      <c r="O1743" s="9"/>
      <c r="P1743" s="9"/>
      <c r="Q1743" s="9">
        <v>3310</v>
      </c>
      <c r="R1743" s="9">
        <v>930</v>
      </c>
      <c r="S1743" s="9">
        <v>4240</v>
      </c>
      <c r="T1743" s="9"/>
      <c r="U1743" s="9"/>
      <c r="V1743" s="9"/>
      <c r="W1743" s="9"/>
      <c r="X1743" s="9"/>
      <c r="Y1743" s="9"/>
      <c r="Z1743" s="9"/>
      <c r="AA1743" s="9"/>
      <c r="AB1743" s="9"/>
      <c r="AC1743" s="9"/>
      <c r="AD1743" s="9" t="s">
        <v>19</v>
      </c>
    </row>
    <row r="1744" spans="1:30" ht="29">
      <c r="A1744" s="3" t="s">
        <v>4399</v>
      </c>
      <c r="B1744" s="3" t="s">
        <v>11208</v>
      </c>
      <c r="C1744" s="3" t="s">
        <v>11209</v>
      </c>
      <c r="G1744" s="9" t="s">
        <v>12120</v>
      </c>
      <c r="H1744" s="9"/>
      <c r="I1744" s="9"/>
      <c r="J1744" s="9"/>
      <c r="K1744" s="9"/>
      <c r="L1744" s="9"/>
      <c r="M1744" s="9"/>
      <c r="N1744" s="10"/>
      <c r="O1744" s="9"/>
      <c r="P1744" s="9"/>
      <c r="Q1744" s="9"/>
      <c r="R1744" s="9" t="s">
        <v>12795</v>
      </c>
      <c r="S1744" s="9" t="s">
        <v>12795</v>
      </c>
      <c r="T1744" s="9"/>
      <c r="U1744" s="9"/>
      <c r="V1744" s="9"/>
      <c r="W1744" s="9"/>
      <c r="X1744" s="9"/>
      <c r="Y1744" s="9"/>
      <c r="Z1744" s="9"/>
      <c r="AA1744" s="9"/>
      <c r="AB1744" s="9"/>
      <c r="AC1744" s="9"/>
      <c r="AD1744" s="9" t="s">
        <v>20</v>
      </c>
    </row>
    <row r="1745" spans="1:30" ht="29">
      <c r="A1745" s="3" t="s">
        <v>4411</v>
      </c>
      <c r="B1745" s="3" t="s">
        <v>11226</v>
      </c>
      <c r="C1745" s="3" t="s">
        <v>11227</v>
      </c>
      <c r="G1745" s="9" t="s">
        <v>12120</v>
      </c>
      <c r="H1745" s="9"/>
      <c r="I1745" s="9"/>
      <c r="J1745" s="9"/>
      <c r="K1745" s="9"/>
      <c r="L1745" s="9"/>
      <c r="M1745" s="9"/>
      <c r="N1745" s="10"/>
      <c r="O1745" s="9"/>
      <c r="P1745" s="9"/>
      <c r="Q1745" s="9"/>
      <c r="R1745" s="9" t="s">
        <v>12795</v>
      </c>
      <c r="S1745" s="9" t="s">
        <v>12795</v>
      </c>
      <c r="T1745" s="9"/>
      <c r="U1745" s="9"/>
      <c r="V1745" s="9"/>
      <c r="W1745" s="9"/>
      <c r="X1745" s="9"/>
      <c r="Y1745" s="9"/>
      <c r="Z1745" s="9"/>
      <c r="AA1745" s="9"/>
      <c r="AB1745" s="9"/>
      <c r="AC1745" s="9"/>
      <c r="AD1745" s="9" t="s">
        <v>19</v>
      </c>
    </row>
    <row r="1746" spans="1:30" ht="29">
      <c r="A1746" s="3" t="s">
        <v>4412</v>
      </c>
      <c r="B1746" s="3" t="s">
        <v>11231</v>
      </c>
      <c r="C1746" s="3" t="s">
        <v>11232</v>
      </c>
      <c r="G1746" s="9" t="s">
        <v>24</v>
      </c>
      <c r="H1746" s="9"/>
      <c r="I1746" s="9">
        <v>1</v>
      </c>
      <c r="J1746" s="9">
        <v>3</v>
      </c>
      <c r="K1746" s="9" t="s">
        <v>12078</v>
      </c>
      <c r="L1746" s="9" t="s">
        <v>12079</v>
      </c>
      <c r="M1746" s="9"/>
      <c r="N1746" s="10"/>
      <c r="O1746" s="9"/>
      <c r="P1746" s="9">
        <v>11843</v>
      </c>
      <c r="Q1746" s="9"/>
      <c r="R1746" s="9" t="s">
        <v>12795</v>
      </c>
      <c r="S1746" s="9" t="s">
        <v>12795</v>
      </c>
      <c r="T1746" s="9"/>
      <c r="U1746" s="9"/>
      <c r="V1746" s="9"/>
      <c r="W1746" s="9"/>
      <c r="X1746" s="9"/>
      <c r="Y1746" s="9"/>
      <c r="Z1746" s="9"/>
      <c r="AA1746" s="9"/>
      <c r="AB1746" s="9"/>
      <c r="AC1746" s="9"/>
      <c r="AD1746" s="9" t="s">
        <v>19</v>
      </c>
    </row>
    <row r="1747" spans="1:30" ht="29">
      <c r="A1747" s="3" t="s">
        <v>4416</v>
      </c>
      <c r="B1747" s="3" t="s">
        <v>4417</v>
      </c>
      <c r="C1747" s="3" t="s">
        <v>4418</v>
      </c>
      <c r="G1747" s="9" t="s">
        <v>12118</v>
      </c>
      <c r="H1747" s="9"/>
      <c r="I1747" s="9"/>
      <c r="J1747" s="9"/>
      <c r="K1747" s="9"/>
      <c r="L1747" s="9"/>
      <c r="M1747" s="9"/>
      <c r="N1747" s="10"/>
      <c r="O1747" s="9"/>
      <c r="P1747" s="9"/>
      <c r="Q1747" s="9">
        <v>2</v>
      </c>
      <c r="R1747" s="9">
        <v>0</v>
      </c>
      <c r="S1747" s="9">
        <v>2</v>
      </c>
      <c r="T1747" s="9"/>
      <c r="U1747" s="9"/>
      <c r="V1747" s="9"/>
      <c r="W1747" s="9"/>
      <c r="X1747" s="9"/>
      <c r="Y1747" s="9"/>
      <c r="Z1747" s="9"/>
      <c r="AA1747" s="9"/>
      <c r="AB1747" s="9"/>
      <c r="AC1747" s="9"/>
      <c r="AD1747" s="9" t="s">
        <v>19</v>
      </c>
    </row>
    <row r="1748" spans="1:30" ht="29">
      <c r="A1748" s="3" t="s">
        <v>4419</v>
      </c>
      <c r="B1748" s="3" t="s">
        <v>11241</v>
      </c>
      <c r="C1748" s="3" t="s">
        <v>11242</v>
      </c>
      <c r="G1748" s="9" t="s">
        <v>25</v>
      </c>
      <c r="H1748" s="9"/>
      <c r="I1748" s="9">
        <v>1</v>
      </c>
      <c r="J1748" s="9">
        <v>3</v>
      </c>
      <c r="K1748" s="9" t="s">
        <v>12078</v>
      </c>
      <c r="L1748" s="9" t="s">
        <v>12079</v>
      </c>
      <c r="M1748" s="9"/>
      <c r="N1748" s="10"/>
      <c r="O1748" s="9"/>
      <c r="P1748" s="9">
        <v>11843</v>
      </c>
      <c r="Q1748" s="9"/>
      <c r="R1748" s="9" t="s">
        <v>12795</v>
      </c>
      <c r="S1748" s="9" t="s">
        <v>12795</v>
      </c>
      <c r="T1748" s="9"/>
      <c r="U1748" s="9"/>
      <c r="V1748" s="9"/>
      <c r="W1748" s="9"/>
      <c r="X1748" s="9"/>
      <c r="Y1748" s="9"/>
      <c r="Z1748" s="9"/>
      <c r="AA1748" s="9"/>
      <c r="AB1748" s="9"/>
      <c r="AC1748" s="9"/>
      <c r="AD1748" s="9" t="s">
        <v>19</v>
      </c>
    </row>
    <row r="1749" spans="1:30">
      <c r="A1749" s="3" t="s">
        <v>4420</v>
      </c>
      <c r="B1749" s="3" t="s">
        <v>11243</v>
      </c>
      <c r="C1749" s="3" t="s">
        <v>11244</v>
      </c>
      <c r="G1749" s="9" t="s">
        <v>12118</v>
      </c>
      <c r="H1749" s="9"/>
      <c r="I1749" s="9"/>
      <c r="J1749" s="9"/>
      <c r="K1749" s="9"/>
      <c r="L1749" s="9"/>
      <c r="M1749" s="9"/>
      <c r="N1749" s="10"/>
      <c r="O1749" s="9"/>
      <c r="P1749" s="9"/>
      <c r="Q1749" s="9">
        <v>-560</v>
      </c>
      <c r="R1749" s="9">
        <v>591</v>
      </c>
      <c r="S1749" s="9">
        <v>31</v>
      </c>
      <c r="T1749" s="9"/>
      <c r="U1749" s="9"/>
      <c r="V1749" s="9"/>
      <c r="W1749" s="9"/>
      <c r="X1749" s="9"/>
      <c r="Y1749" s="9"/>
      <c r="Z1749" s="9"/>
      <c r="AA1749" s="9"/>
      <c r="AB1749" s="9"/>
      <c r="AC1749" s="9"/>
      <c r="AD1749" s="9" t="s">
        <v>19</v>
      </c>
    </row>
    <row r="1750" spans="1:30">
      <c r="A1750" s="3" t="s">
        <v>4422</v>
      </c>
      <c r="B1750" s="3" t="s">
        <v>11247</v>
      </c>
      <c r="C1750" s="3" t="s">
        <v>11248</v>
      </c>
      <c r="G1750" s="9" t="s">
        <v>12120</v>
      </c>
      <c r="H1750" s="9"/>
      <c r="I1750" s="9"/>
      <c r="J1750" s="9"/>
      <c r="K1750" s="9"/>
      <c r="L1750" s="9"/>
      <c r="M1750" s="9"/>
      <c r="N1750" s="10"/>
      <c r="O1750" s="9"/>
      <c r="P1750" s="9"/>
      <c r="Q1750" s="9"/>
      <c r="R1750" s="9" t="s">
        <v>12795</v>
      </c>
      <c r="S1750" s="9" t="s">
        <v>12795</v>
      </c>
      <c r="T1750" s="9"/>
      <c r="U1750" s="9"/>
      <c r="V1750" s="9"/>
      <c r="W1750" s="9"/>
      <c r="X1750" s="9"/>
      <c r="Y1750" s="9"/>
      <c r="Z1750" s="9"/>
      <c r="AA1750" s="9"/>
      <c r="AB1750" s="9"/>
      <c r="AC1750" s="9"/>
      <c r="AD1750" s="9" t="s">
        <v>19</v>
      </c>
    </row>
    <row r="1751" spans="1:30">
      <c r="A1751" s="3" t="s">
        <v>4423</v>
      </c>
      <c r="B1751" s="3" t="s">
        <v>11251</v>
      </c>
      <c r="C1751" s="3" t="s">
        <v>11252</v>
      </c>
      <c r="G1751" s="9" t="s">
        <v>25</v>
      </c>
      <c r="H1751" s="9"/>
      <c r="I1751" s="9">
        <v>1</v>
      </c>
      <c r="J1751" s="9">
        <v>3</v>
      </c>
      <c r="K1751" s="9" t="s">
        <v>12078</v>
      </c>
      <c r="L1751" s="9" t="s">
        <v>12079</v>
      </c>
      <c r="M1751" s="9"/>
      <c r="N1751" s="10"/>
      <c r="O1751" s="9"/>
      <c r="P1751" s="9">
        <v>11843</v>
      </c>
      <c r="Q1751" s="9"/>
      <c r="R1751" s="9" t="s">
        <v>12795</v>
      </c>
      <c r="S1751" s="9" t="s">
        <v>12795</v>
      </c>
      <c r="T1751" s="9"/>
      <c r="U1751" s="9"/>
      <c r="V1751" s="9"/>
      <c r="W1751" s="9"/>
      <c r="X1751" s="9"/>
      <c r="Y1751" s="9"/>
      <c r="Z1751" s="9"/>
      <c r="AA1751" s="9"/>
      <c r="AB1751" s="9"/>
      <c r="AC1751" s="9"/>
      <c r="AD1751" s="9" t="s">
        <v>20</v>
      </c>
    </row>
    <row r="1752" spans="1:30" ht="29">
      <c r="A1752" s="3" t="s">
        <v>4424</v>
      </c>
      <c r="B1752" s="3" t="s">
        <v>11255</v>
      </c>
      <c r="C1752" s="3" t="s">
        <v>11256</v>
      </c>
      <c r="F1752" t="s">
        <v>19</v>
      </c>
      <c r="G1752" s="9" t="s">
        <v>24</v>
      </c>
      <c r="H1752" s="9"/>
      <c r="I1752" s="9">
        <v>1</v>
      </c>
      <c r="J1752" s="9">
        <v>3</v>
      </c>
      <c r="K1752" s="9" t="s">
        <v>12094</v>
      </c>
      <c r="L1752" s="9" t="s">
        <v>12079</v>
      </c>
      <c r="M1752" s="9"/>
      <c r="N1752" s="10"/>
      <c r="O1752" s="9"/>
      <c r="P1752" s="9">
        <v>301</v>
      </c>
      <c r="Q1752" s="9"/>
      <c r="R1752" s="9" t="s">
        <v>12795</v>
      </c>
      <c r="S1752" s="9" t="s">
        <v>12795</v>
      </c>
      <c r="T1752" s="9"/>
      <c r="U1752" s="9"/>
      <c r="V1752" s="9"/>
      <c r="W1752" s="9"/>
      <c r="X1752" s="9"/>
      <c r="Y1752" s="9"/>
      <c r="Z1752" s="9"/>
      <c r="AA1752" s="9"/>
      <c r="AB1752" s="9"/>
      <c r="AC1752" s="9"/>
      <c r="AD1752" s="9" t="s">
        <v>19</v>
      </c>
    </row>
    <row r="1753" spans="1:30" ht="29">
      <c r="A1753" s="3" t="s">
        <v>4438</v>
      </c>
      <c r="B1753" s="3" t="s">
        <v>11277</v>
      </c>
      <c r="C1753" s="3" t="s">
        <v>11282</v>
      </c>
      <c r="G1753" s="9" t="s">
        <v>24</v>
      </c>
      <c r="H1753" s="9"/>
      <c r="I1753" s="9">
        <v>1</v>
      </c>
      <c r="J1753" s="9">
        <v>5</v>
      </c>
      <c r="K1753" s="9" t="s">
        <v>12094</v>
      </c>
      <c r="L1753" s="9" t="s">
        <v>12073</v>
      </c>
      <c r="M1753" s="9" t="s">
        <v>12149</v>
      </c>
      <c r="N1753" s="10" t="s">
        <v>12143</v>
      </c>
      <c r="O1753" s="9"/>
      <c r="P1753" s="9">
        <v>4240</v>
      </c>
      <c r="Q1753" s="9"/>
      <c r="R1753" s="9" t="s">
        <v>12795</v>
      </c>
      <c r="S1753" s="9" t="s">
        <v>12795</v>
      </c>
      <c r="T1753" s="9"/>
      <c r="U1753" s="9"/>
      <c r="V1753" s="9"/>
      <c r="W1753" s="9"/>
      <c r="X1753" s="9"/>
      <c r="Y1753" s="9"/>
      <c r="Z1753" s="9"/>
      <c r="AA1753" s="9"/>
      <c r="AB1753" s="9"/>
      <c r="AC1753" s="9"/>
      <c r="AD1753" s="9" t="s">
        <v>19</v>
      </c>
    </row>
    <row r="1754" spans="1:30" ht="29">
      <c r="A1754" s="3" t="s">
        <v>4440</v>
      </c>
      <c r="B1754" s="3" t="s">
        <v>11293</v>
      </c>
      <c r="C1754" s="3" t="s">
        <v>11292</v>
      </c>
      <c r="G1754" s="9" t="s">
        <v>26</v>
      </c>
      <c r="H1754" s="9"/>
      <c r="I1754" s="9"/>
      <c r="J1754" s="9"/>
      <c r="K1754" s="9"/>
      <c r="L1754" s="9"/>
      <c r="M1754" s="9"/>
      <c r="N1754" s="10"/>
      <c r="O1754" s="9"/>
      <c r="P1754" s="9"/>
      <c r="Q1754" s="9"/>
      <c r="R1754" s="9" t="s">
        <v>12795</v>
      </c>
      <c r="S1754" s="9" t="s">
        <v>12795</v>
      </c>
      <c r="T1754" s="9"/>
      <c r="U1754" s="9"/>
      <c r="V1754" s="9"/>
      <c r="W1754" s="9"/>
      <c r="X1754" s="9"/>
      <c r="Y1754" s="9"/>
      <c r="Z1754" s="9"/>
      <c r="AA1754" s="9"/>
      <c r="AB1754" s="9"/>
      <c r="AC1754" s="9"/>
      <c r="AD1754" s="9" t="s">
        <v>20</v>
      </c>
    </row>
    <row r="1755" spans="1:30" ht="29">
      <c r="A1755" s="3" t="s">
        <v>4440</v>
      </c>
      <c r="B1755" s="3" t="s">
        <v>11294</v>
      </c>
      <c r="C1755" s="3" t="s">
        <v>11295</v>
      </c>
      <c r="G1755" s="9" t="s">
        <v>25</v>
      </c>
      <c r="H1755" s="9"/>
      <c r="I1755" s="9">
        <v>2</v>
      </c>
      <c r="J1755" s="9">
        <v>7</v>
      </c>
      <c r="K1755" s="9"/>
      <c r="L1755" s="9" t="s">
        <v>12079</v>
      </c>
      <c r="M1755" s="9"/>
      <c r="N1755" s="10"/>
      <c r="O1755" s="9"/>
      <c r="P1755" s="9">
        <v>444</v>
      </c>
      <c r="Q1755" s="9"/>
      <c r="R1755" s="9" t="s">
        <v>12795</v>
      </c>
      <c r="S1755" s="9" t="s">
        <v>12795</v>
      </c>
      <c r="T1755" s="9"/>
      <c r="U1755" s="9"/>
      <c r="V1755" s="9"/>
      <c r="W1755" s="9"/>
      <c r="X1755" s="9"/>
      <c r="Y1755" s="9"/>
      <c r="Z1755" s="9"/>
      <c r="AA1755" s="9"/>
      <c r="AB1755" s="9"/>
      <c r="AC1755" s="9"/>
      <c r="AD1755" s="9" t="s">
        <v>19</v>
      </c>
    </row>
    <row r="1756" spans="1:30" ht="29">
      <c r="A1756" s="3" t="s">
        <v>4441</v>
      </c>
      <c r="B1756" s="3" t="s">
        <v>3603</v>
      </c>
      <c r="C1756" s="3" t="s">
        <v>4443</v>
      </c>
      <c r="G1756" s="9" t="s">
        <v>12120</v>
      </c>
      <c r="H1756" s="9"/>
      <c r="I1756" s="9"/>
      <c r="J1756" s="9"/>
      <c r="K1756" s="9"/>
      <c r="L1756" s="9"/>
      <c r="M1756" s="9"/>
      <c r="N1756" s="10"/>
      <c r="O1756" s="9"/>
      <c r="P1756" s="9"/>
      <c r="Q1756" s="9"/>
      <c r="R1756" s="9" t="s">
        <v>12795</v>
      </c>
      <c r="S1756" s="9" t="s">
        <v>12795</v>
      </c>
      <c r="T1756" s="9"/>
      <c r="U1756" s="9"/>
      <c r="V1756" s="9"/>
      <c r="W1756" s="9"/>
      <c r="X1756" s="9"/>
      <c r="Y1756" s="9"/>
      <c r="Z1756" s="9"/>
      <c r="AA1756" s="9"/>
      <c r="AB1756" s="9"/>
      <c r="AC1756" s="9"/>
      <c r="AD1756" s="9" t="s">
        <v>20</v>
      </c>
    </row>
    <row r="1757" spans="1:30" ht="29">
      <c r="A1757" s="3" t="s">
        <v>4446</v>
      </c>
      <c r="B1757" s="3" t="s">
        <v>728</v>
      </c>
      <c r="C1757" s="3" t="s">
        <v>727</v>
      </c>
      <c r="G1757" s="9" t="s">
        <v>12118</v>
      </c>
      <c r="H1757" s="9"/>
      <c r="I1757" s="9"/>
      <c r="J1757" s="9"/>
      <c r="K1757" s="9"/>
      <c r="L1757" s="9"/>
      <c r="M1757" s="9"/>
      <c r="N1757" s="10"/>
      <c r="O1757" s="9"/>
      <c r="P1757" s="9"/>
      <c r="Q1757" s="9">
        <v>50</v>
      </c>
      <c r="R1757" s="9">
        <v>37</v>
      </c>
      <c r="S1757" s="9">
        <v>87</v>
      </c>
      <c r="T1757" s="9"/>
      <c r="U1757" s="9"/>
      <c r="V1757" s="9"/>
      <c r="W1757" s="9"/>
      <c r="X1757" s="9"/>
      <c r="Y1757" s="9"/>
      <c r="Z1757" s="9"/>
      <c r="AA1757" s="9"/>
      <c r="AB1757" s="9"/>
      <c r="AC1757" s="9"/>
      <c r="AD1757" s="9" t="s">
        <v>19</v>
      </c>
    </row>
    <row r="1758" spans="1:30" ht="29">
      <c r="A1758" s="3" t="s">
        <v>4447</v>
      </c>
      <c r="B1758" s="3" t="s">
        <v>11305</v>
      </c>
      <c r="C1758" s="3" t="s">
        <v>11304</v>
      </c>
      <c r="G1758" s="9" t="s">
        <v>24</v>
      </c>
      <c r="H1758" s="9"/>
      <c r="I1758" s="9">
        <v>1</v>
      </c>
      <c r="J1758" s="9">
        <v>1</v>
      </c>
      <c r="K1758" s="9" t="s">
        <v>12078</v>
      </c>
      <c r="L1758" s="9" t="s">
        <v>12119</v>
      </c>
      <c r="M1758" s="9"/>
      <c r="N1758" s="10"/>
      <c r="O1758" s="9"/>
      <c r="P1758" s="9">
        <v>11843</v>
      </c>
      <c r="Q1758" s="9"/>
      <c r="R1758" s="9" t="s">
        <v>12795</v>
      </c>
      <c r="S1758" s="9" t="s">
        <v>12795</v>
      </c>
      <c r="T1758" s="9"/>
      <c r="U1758" s="9"/>
      <c r="V1758" s="9"/>
      <c r="W1758" s="9"/>
      <c r="X1758" s="9"/>
      <c r="Y1758" s="9"/>
      <c r="Z1758" s="9"/>
      <c r="AA1758" s="9"/>
      <c r="AB1758" s="9"/>
      <c r="AC1758" s="9"/>
      <c r="AD1758" s="9" t="s">
        <v>20</v>
      </c>
    </row>
    <row r="1759" spans="1:30" ht="29">
      <c r="A1759" s="3" t="s">
        <v>4455</v>
      </c>
      <c r="B1759" s="3" t="s">
        <v>11313</v>
      </c>
      <c r="C1759" s="3" t="s">
        <v>11312</v>
      </c>
      <c r="G1759" s="9" t="s">
        <v>12118</v>
      </c>
      <c r="H1759" s="9"/>
      <c r="I1759" s="9"/>
      <c r="J1759" s="9"/>
      <c r="K1759" s="9"/>
      <c r="L1759" s="9"/>
      <c r="M1759" s="9"/>
      <c r="N1759" s="10"/>
      <c r="O1759" s="9"/>
      <c r="P1759" s="9"/>
      <c r="Q1759" s="9">
        <v>-1800</v>
      </c>
      <c r="R1759" s="9">
        <v>1966</v>
      </c>
      <c r="S1759" s="9">
        <v>166</v>
      </c>
      <c r="T1759" s="9"/>
      <c r="U1759" s="9"/>
      <c r="V1759" s="9"/>
      <c r="W1759" s="9"/>
      <c r="X1759" s="9"/>
      <c r="Y1759" s="9"/>
      <c r="Z1759" s="9"/>
      <c r="AA1759" s="9"/>
      <c r="AB1759" s="9"/>
      <c r="AC1759" s="9"/>
      <c r="AD1759" s="9" t="s">
        <v>19</v>
      </c>
    </row>
    <row r="1760" spans="1:30" ht="29">
      <c r="A1760" s="3" t="s">
        <v>4458</v>
      </c>
      <c r="B1760" s="3" t="s">
        <v>11325</v>
      </c>
      <c r="C1760" s="3" t="s">
        <v>11324</v>
      </c>
      <c r="G1760" s="9" t="s">
        <v>26</v>
      </c>
      <c r="H1760" s="9"/>
      <c r="I1760" s="9"/>
      <c r="J1760" s="9"/>
      <c r="K1760" s="9"/>
      <c r="L1760" s="9"/>
      <c r="M1760" s="9"/>
      <c r="N1760" s="10"/>
      <c r="O1760" s="9"/>
      <c r="P1760" s="9"/>
      <c r="Q1760" s="9"/>
      <c r="R1760" s="9" t="s">
        <v>12795</v>
      </c>
      <c r="S1760" s="9" t="s">
        <v>12795</v>
      </c>
      <c r="T1760" s="9"/>
      <c r="U1760" s="9"/>
      <c r="V1760" s="9"/>
      <c r="W1760" s="9"/>
      <c r="X1760" s="9"/>
      <c r="Y1760" s="9"/>
      <c r="Z1760" s="9"/>
      <c r="AA1760" s="9"/>
      <c r="AB1760" s="9"/>
      <c r="AC1760" s="9"/>
      <c r="AD1760" s="9" t="s">
        <v>20</v>
      </c>
    </row>
    <row r="1761" spans="1:30" ht="29">
      <c r="A1761" s="3" t="s">
        <v>4460</v>
      </c>
      <c r="B1761" s="3" t="s">
        <v>11329</v>
      </c>
      <c r="C1761" s="3" t="s">
        <v>11328</v>
      </c>
      <c r="G1761" s="9" t="s">
        <v>25</v>
      </c>
      <c r="H1761" s="9"/>
      <c r="I1761" s="9">
        <v>1</v>
      </c>
      <c r="J1761" s="9">
        <v>3</v>
      </c>
      <c r="K1761" s="9" t="s">
        <v>12087</v>
      </c>
      <c r="L1761" s="9" t="s">
        <v>12079</v>
      </c>
      <c r="M1761" s="9"/>
      <c r="N1761" s="10"/>
      <c r="O1761" s="9"/>
      <c r="P1761" s="9">
        <v>5676</v>
      </c>
      <c r="Q1761" s="9"/>
      <c r="R1761" s="9" t="s">
        <v>12795</v>
      </c>
      <c r="S1761" s="9" t="s">
        <v>12795</v>
      </c>
      <c r="T1761" s="9"/>
      <c r="U1761" s="9"/>
      <c r="V1761" s="9"/>
      <c r="W1761" s="9"/>
      <c r="X1761" s="9"/>
      <c r="Y1761" s="9"/>
      <c r="Z1761" s="9"/>
      <c r="AA1761" s="9"/>
      <c r="AB1761" s="9"/>
      <c r="AC1761" s="9"/>
      <c r="AD1761" s="9" t="s">
        <v>19</v>
      </c>
    </row>
    <row r="1762" spans="1:30" ht="29">
      <c r="A1762" s="3" t="s">
        <v>4461</v>
      </c>
      <c r="B1762" s="3" t="s">
        <v>4462</v>
      </c>
      <c r="C1762" s="3" t="s">
        <v>296</v>
      </c>
      <c r="G1762" s="9" t="s">
        <v>12120</v>
      </c>
      <c r="H1762" s="9"/>
      <c r="I1762" s="9"/>
      <c r="J1762" s="9"/>
      <c r="K1762" s="9"/>
      <c r="L1762" s="9"/>
      <c r="M1762" s="9"/>
      <c r="N1762" s="10"/>
      <c r="O1762" s="9"/>
      <c r="P1762" s="9"/>
      <c r="Q1762" s="9"/>
      <c r="R1762" s="9" t="s">
        <v>12795</v>
      </c>
      <c r="S1762" s="9" t="s">
        <v>12795</v>
      </c>
      <c r="T1762" s="9"/>
      <c r="U1762" s="9"/>
      <c r="V1762" s="9"/>
      <c r="W1762" s="9"/>
      <c r="X1762" s="9"/>
      <c r="Y1762" s="9"/>
      <c r="Z1762" s="9"/>
      <c r="AA1762" s="9"/>
      <c r="AB1762" s="9"/>
      <c r="AC1762" s="9"/>
      <c r="AD1762" s="9" t="s">
        <v>19</v>
      </c>
    </row>
    <row r="1763" spans="1:30" ht="29">
      <c r="A1763" s="3" t="s">
        <v>4461</v>
      </c>
      <c r="B1763" s="3" t="s">
        <v>4463</v>
      </c>
      <c r="C1763" s="3" t="s">
        <v>4464</v>
      </c>
      <c r="G1763" s="9" t="s">
        <v>12118</v>
      </c>
      <c r="H1763" s="9"/>
      <c r="I1763" s="9"/>
      <c r="J1763" s="9"/>
      <c r="K1763" s="9"/>
      <c r="L1763" s="9"/>
      <c r="M1763" s="9"/>
      <c r="N1763" s="10"/>
      <c r="O1763" s="9"/>
      <c r="P1763" s="9"/>
      <c r="Q1763" s="9">
        <v>-36</v>
      </c>
      <c r="R1763" s="9">
        <v>37</v>
      </c>
      <c r="S1763" s="9">
        <v>1</v>
      </c>
      <c r="T1763" s="9"/>
      <c r="U1763" s="9"/>
      <c r="V1763" s="9"/>
      <c r="W1763" s="9"/>
      <c r="X1763" s="9"/>
      <c r="Y1763" s="9"/>
      <c r="Z1763" s="9"/>
      <c r="AA1763" s="9"/>
      <c r="AB1763" s="9"/>
      <c r="AC1763" s="9"/>
      <c r="AD1763" s="9" t="s">
        <v>20</v>
      </c>
    </row>
    <row r="1764" spans="1:30" ht="29">
      <c r="A1764" s="3" t="s">
        <v>4465</v>
      </c>
      <c r="B1764" s="3" t="s">
        <v>4466</v>
      </c>
      <c r="C1764" s="3" t="s">
        <v>4467</v>
      </c>
      <c r="G1764" s="9" t="s">
        <v>12120</v>
      </c>
      <c r="H1764" s="9"/>
      <c r="I1764" s="9"/>
      <c r="J1764" s="9"/>
      <c r="K1764" s="9"/>
      <c r="L1764" s="9"/>
      <c r="M1764" s="9"/>
      <c r="N1764" s="10"/>
      <c r="O1764" s="9"/>
      <c r="P1764" s="9"/>
      <c r="Q1764" s="9"/>
      <c r="R1764" s="9" t="s">
        <v>12795</v>
      </c>
      <c r="S1764" s="9" t="s">
        <v>12795</v>
      </c>
      <c r="T1764" s="9"/>
      <c r="U1764" s="9"/>
      <c r="V1764" s="9"/>
      <c r="W1764" s="9"/>
      <c r="X1764" s="9"/>
      <c r="Y1764" s="9"/>
      <c r="Z1764" s="9"/>
      <c r="AA1764" s="9"/>
      <c r="AB1764" s="9"/>
      <c r="AC1764" s="9"/>
      <c r="AD1764" s="9" t="s">
        <v>20</v>
      </c>
    </row>
    <row r="1765" spans="1:30" ht="29">
      <c r="A1765" s="3" t="s">
        <v>4468</v>
      </c>
      <c r="B1765" s="3" t="s">
        <v>4469</v>
      </c>
      <c r="C1765" s="3" t="s">
        <v>4470</v>
      </c>
      <c r="G1765" s="9" t="s">
        <v>12118</v>
      </c>
      <c r="H1765" s="9"/>
      <c r="I1765" s="9"/>
      <c r="J1765" s="9"/>
      <c r="K1765" s="9"/>
      <c r="L1765" s="9"/>
      <c r="M1765" s="9"/>
      <c r="N1765" s="10"/>
      <c r="O1765" s="9"/>
      <c r="P1765" s="9"/>
      <c r="Q1765" s="9">
        <v>-30</v>
      </c>
      <c r="R1765" s="9">
        <v>40</v>
      </c>
      <c r="S1765" s="9">
        <v>10</v>
      </c>
      <c r="T1765" s="9"/>
      <c r="U1765" s="9"/>
      <c r="V1765" s="9"/>
      <c r="W1765" s="9"/>
      <c r="X1765" s="9"/>
      <c r="Y1765" s="9"/>
      <c r="Z1765" s="9"/>
      <c r="AA1765" s="9"/>
      <c r="AB1765" s="9"/>
      <c r="AC1765" s="9"/>
      <c r="AD1765" s="9" t="s">
        <v>19</v>
      </c>
    </row>
    <row r="1766" spans="1:30" ht="29">
      <c r="A1766" s="3" t="s">
        <v>4471</v>
      </c>
      <c r="B1766" s="3" t="s">
        <v>11336</v>
      </c>
      <c r="C1766" s="3" t="s">
        <v>11335</v>
      </c>
      <c r="G1766" s="9" t="s">
        <v>26</v>
      </c>
      <c r="H1766" s="9"/>
      <c r="I1766" s="9"/>
      <c r="J1766" s="9"/>
      <c r="K1766" s="9"/>
      <c r="L1766" s="9"/>
      <c r="M1766" s="9"/>
      <c r="N1766" s="10"/>
      <c r="O1766" s="9"/>
      <c r="P1766" s="9"/>
      <c r="Q1766" s="9"/>
      <c r="R1766" s="9" t="s">
        <v>12795</v>
      </c>
      <c r="S1766" s="9" t="s">
        <v>12795</v>
      </c>
      <c r="T1766" s="9"/>
      <c r="U1766" s="9"/>
      <c r="V1766" s="9"/>
      <c r="W1766" s="9"/>
      <c r="X1766" s="9"/>
      <c r="Y1766" s="9"/>
      <c r="Z1766" s="9"/>
      <c r="AA1766" s="9"/>
      <c r="AB1766" s="9"/>
      <c r="AC1766" s="9"/>
      <c r="AD1766" s="9" t="s">
        <v>20</v>
      </c>
    </row>
    <row r="1767" spans="1:30">
      <c r="A1767" s="3" t="s">
        <v>4475</v>
      </c>
      <c r="B1767" s="3" t="s">
        <v>11341</v>
      </c>
      <c r="C1767" s="3" t="s">
        <v>11340</v>
      </c>
      <c r="G1767" s="9" t="s">
        <v>24</v>
      </c>
      <c r="H1767" s="9"/>
      <c r="I1767" s="9">
        <v>1</v>
      </c>
      <c r="J1767" s="9">
        <v>1</v>
      </c>
      <c r="K1767" s="9" t="s">
        <v>12078</v>
      </c>
      <c r="L1767" s="9" t="s">
        <v>12119</v>
      </c>
      <c r="M1767" s="9"/>
      <c r="N1767" s="10"/>
      <c r="O1767" s="9"/>
      <c r="P1767" s="9">
        <v>11843</v>
      </c>
      <c r="Q1767" s="9"/>
      <c r="R1767" s="9" t="s">
        <v>12795</v>
      </c>
      <c r="S1767" s="9" t="s">
        <v>12795</v>
      </c>
      <c r="T1767" s="9"/>
      <c r="U1767" s="9"/>
      <c r="V1767" s="9"/>
      <c r="W1767" s="9"/>
      <c r="X1767" s="9"/>
      <c r="Y1767" s="9"/>
      <c r="Z1767" s="9"/>
      <c r="AA1767" s="9"/>
      <c r="AB1767" s="9"/>
      <c r="AC1767" s="9"/>
      <c r="AD1767" s="9" t="s">
        <v>19</v>
      </c>
    </row>
    <row r="1768" spans="1:30" ht="29">
      <c r="A1768" s="3" t="s">
        <v>4481</v>
      </c>
      <c r="B1768" s="3" t="s">
        <v>11349</v>
      </c>
      <c r="C1768" s="3" t="s">
        <v>11346</v>
      </c>
      <c r="G1768" s="9" t="s">
        <v>25</v>
      </c>
      <c r="H1768" s="9"/>
      <c r="I1768" s="9">
        <v>2</v>
      </c>
      <c r="J1768" s="9">
        <v>8</v>
      </c>
      <c r="K1768" s="9"/>
      <c r="L1768" s="9" t="s">
        <v>12079</v>
      </c>
      <c r="M1768" s="9"/>
      <c r="N1768" s="10"/>
      <c r="O1768" s="9"/>
      <c r="P1768" s="9">
        <v>16</v>
      </c>
      <c r="Q1768" s="9"/>
      <c r="R1768" s="9" t="s">
        <v>12795</v>
      </c>
      <c r="S1768" s="9" t="s">
        <v>12795</v>
      </c>
      <c r="T1768" s="9"/>
      <c r="U1768" s="9"/>
      <c r="V1768" s="9"/>
      <c r="W1768" s="9"/>
      <c r="X1768" s="9"/>
      <c r="Y1768" s="9"/>
      <c r="Z1768" s="9"/>
      <c r="AA1768" s="9"/>
      <c r="AB1768" s="9"/>
      <c r="AC1768" s="9"/>
      <c r="AD1768" s="9" t="s">
        <v>13141</v>
      </c>
    </row>
    <row r="1769" spans="1:30" ht="29">
      <c r="A1769" s="3" t="s">
        <v>4483</v>
      </c>
      <c r="B1769" s="3" t="s">
        <v>11356</v>
      </c>
      <c r="C1769" s="3" t="s">
        <v>11357</v>
      </c>
      <c r="G1769" s="9" t="s">
        <v>24</v>
      </c>
      <c r="H1769" s="9"/>
      <c r="I1769" s="9">
        <v>1</v>
      </c>
      <c r="J1769" s="9">
        <v>3</v>
      </c>
      <c r="K1769" s="9" t="s">
        <v>12078</v>
      </c>
      <c r="L1769" s="9" t="s">
        <v>12079</v>
      </c>
      <c r="M1769" s="9"/>
      <c r="N1769" s="10"/>
      <c r="O1769" s="9"/>
      <c r="P1769" s="9">
        <v>11843</v>
      </c>
      <c r="Q1769" s="9"/>
      <c r="R1769" s="9" t="s">
        <v>12795</v>
      </c>
      <c r="S1769" s="9" t="s">
        <v>12795</v>
      </c>
      <c r="T1769" s="9"/>
      <c r="U1769" s="9"/>
      <c r="V1769" s="9"/>
      <c r="W1769" s="9"/>
      <c r="X1769" s="9"/>
      <c r="Y1769" s="9"/>
      <c r="Z1769" s="9"/>
      <c r="AA1769" s="9"/>
      <c r="AB1769" s="9"/>
      <c r="AC1769" s="9"/>
      <c r="AD1769" s="9" t="s">
        <v>19</v>
      </c>
    </row>
    <row r="1770" spans="1:30">
      <c r="A1770" s="3" t="s">
        <v>4485</v>
      </c>
      <c r="B1770" s="3" t="s">
        <v>11367</v>
      </c>
      <c r="C1770" s="3" t="s">
        <v>11368</v>
      </c>
      <c r="F1770" t="s">
        <v>19</v>
      </c>
      <c r="G1770" s="9" t="s">
        <v>25</v>
      </c>
      <c r="H1770" s="9"/>
      <c r="I1770" s="9">
        <v>1</v>
      </c>
      <c r="J1770" s="9">
        <v>3</v>
      </c>
      <c r="K1770" s="9" t="s">
        <v>12078</v>
      </c>
      <c r="L1770" s="9" t="s">
        <v>12079</v>
      </c>
      <c r="M1770" s="9"/>
      <c r="N1770" s="10"/>
      <c r="O1770" s="9"/>
      <c r="P1770" s="9">
        <v>11843</v>
      </c>
      <c r="Q1770" s="9"/>
      <c r="R1770" s="9" t="s">
        <v>12795</v>
      </c>
      <c r="S1770" s="9" t="s">
        <v>12795</v>
      </c>
      <c r="T1770" s="9"/>
      <c r="U1770" s="9"/>
      <c r="V1770" s="9"/>
      <c r="W1770" s="9"/>
      <c r="X1770" s="9"/>
      <c r="Y1770" s="9"/>
      <c r="Z1770" s="9"/>
      <c r="AA1770" s="9"/>
      <c r="AB1770" s="9"/>
      <c r="AC1770" s="9"/>
      <c r="AD1770" s="9" t="s">
        <v>20</v>
      </c>
    </row>
    <row r="1771" spans="1:30" ht="29">
      <c r="A1771" s="3" t="s">
        <v>4487</v>
      </c>
      <c r="B1771" s="3" t="s">
        <v>11372</v>
      </c>
      <c r="C1771" s="3" t="s">
        <v>11371</v>
      </c>
      <c r="G1771" s="9" t="s">
        <v>25</v>
      </c>
      <c r="H1771" s="9"/>
      <c r="I1771" s="9">
        <v>1</v>
      </c>
      <c r="J1771" s="9">
        <v>2</v>
      </c>
      <c r="K1771" s="9" t="s">
        <v>12078</v>
      </c>
      <c r="L1771" s="9" t="s">
        <v>12119</v>
      </c>
      <c r="M1771" s="9"/>
      <c r="N1771" s="10"/>
      <c r="O1771" s="9"/>
      <c r="P1771" s="9">
        <v>11843</v>
      </c>
      <c r="Q1771" s="9"/>
      <c r="R1771" s="9" t="s">
        <v>12795</v>
      </c>
      <c r="S1771" s="9" t="s">
        <v>12795</v>
      </c>
      <c r="T1771" s="9"/>
      <c r="U1771" s="9"/>
      <c r="V1771" s="9"/>
      <c r="W1771" s="9"/>
      <c r="X1771" s="9"/>
      <c r="Y1771" s="9"/>
      <c r="Z1771" s="9"/>
      <c r="AA1771" s="9"/>
      <c r="AB1771" s="9"/>
      <c r="AC1771" s="9"/>
      <c r="AD1771" s="9" t="s">
        <v>19</v>
      </c>
    </row>
    <row r="1772" spans="1:30" ht="29">
      <c r="A1772" s="3" t="s">
        <v>4492</v>
      </c>
      <c r="B1772" s="3" t="s">
        <v>4493</v>
      </c>
      <c r="C1772" s="3" t="s">
        <v>4494</v>
      </c>
      <c r="G1772" s="9" t="s">
        <v>12120</v>
      </c>
      <c r="H1772" s="9"/>
      <c r="I1772" s="9"/>
      <c r="J1772" s="9"/>
      <c r="K1772" s="9"/>
      <c r="L1772" s="9"/>
      <c r="M1772" s="9"/>
      <c r="N1772" s="10"/>
      <c r="O1772" s="9"/>
      <c r="P1772" s="9"/>
      <c r="Q1772" s="9"/>
      <c r="R1772" s="9" t="s">
        <v>12795</v>
      </c>
      <c r="S1772" s="9" t="s">
        <v>12795</v>
      </c>
      <c r="T1772" s="9"/>
      <c r="U1772" s="9"/>
      <c r="V1772" s="9"/>
      <c r="W1772" s="9"/>
      <c r="X1772" s="9"/>
      <c r="Y1772" s="9"/>
      <c r="Z1772" s="9"/>
      <c r="AA1772" s="9"/>
      <c r="AB1772" s="9"/>
      <c r="AC1772" s="9"/>
      <c r="AD1772" s="9" t="s">
        <v>20</v>
      </c>
    </row>
    <row r="1773" spans="1:30" ht="29">
      <c r="A1773" s="3" t="s">
        <v>4497</v>
      </c>
      <c r="B1773" s="3" t="s">
        <v>11398</v>
      </c>
      <c r="C1773" s="3" t="s">
        <v>11399</v>
      </c>
      <c r="G1773" s="9" t="s">
        <v>12118</v>
      </c>
      <c r="H1773" s="9"/>
      <c r="I1773" s="9"/>
      <c r="J1773" s="9"/>
      <c r="K1773" s="9"/>
      <c r="L1773" s="9"/>
      <c r="M1773" s="9"/>
      <c r="N1773" s="10"/>
      <c r="O1773" s="9"/>
      <c r="P1773" s="9"/>
      <c r="Q1773" s="9">
        <v>-10742</v>
      </c>
      <c r="R1773" s="9">
        <v>11843</v>
      </c>
      <c r="S1773" s="9">
        <v>1101</v>
      </c>
      <c r="T1773" s="9"/>
      <c r="U1773" s="9"/>
      <c r="V1773" s="9"/>
      <c r="W1773" s="9"/>
      <c r="X1773" s="9"/>
      <c r="Y1773" s="9"/>
      <c r="Z1773" s="9"/>
      <c r="AA1773" s="9"/>
      <c r="AB1773" s="9"/>
      <c r="AC1773" s="9"/>
      <c r="AD1773" s="9" t="s">
        <v>20</v>
      </c>
    </row>
    <row r="1774" spans="1:30" ht="29">
      <c r="A1774" s="3" t="s">
        <v>4497</v>
      </c>
      <c r="B1774" s="3" t="s">
        <v>11401</v>
      </c>
      <c r="C1774" s="3" t="s">
        <v>11400</v>
      </c>
      <c r="G1774" s="9" t="s">
        <v>25</v>
      </c>
      <c r="H1774" s="9"/>
      <c r="I1774" s="9">
        <v>2</v>
      </c>
      <c r="J1774" s="9">
        <v>10</v>
      </c>
      <c r="K1774" s="9"/>
      <c r="L1774" s="9" t="s">
        <v>12079</v>
      </c>
      <c r="M1774" s="9"/>
      <c r="N1774" s="10"/>
      <c r="O1774" s="9"/>
      <c r="P1774" s="9">
        <v>0</v>
      </c>
      <c r="Q1774" s="9"/>
      <c r="R1774" s="9" t="s">
        <v>12795</v>
      </c>
      <c r="S1774" s="9" t="s">
        <v>12795</v>
      </c>
      <c r="T1774" s="9"/>
      <c r="U1774" s="9"/>
      <c r="V1774" s="9"/>
      <c r="W1774" s="9"/>
      <c r="X1774" s="9"/>
      <c r="Y1774" s="9"/>
      <c r="Z1774" s="9"/>
      <c r="AA1774" s="9"/>
      <c r="AB1774" s="9"/>
      <c r="AC1774" s="9"/>
      <c r="AD1774" s="9" t="s">
        <v>19</v>
      </c>
    </row>
    <row r="1775" spans="1:30" ht="29">
      <c r="A1775" s="3" t="s">
        <v>4500</v>
      </c>
      <c r="B1775" s="3" t="s">
        <v>4501</v>
      </c>
      <c r="C1775" s="3" t="s">
        <v>11410</v>
      </c>
      <c r="G1775" s="9" t="s">
        <v>12120</v>
      </c>
      <c r="H1775" s="9"/>
      <c r="I1775" s="9"/>
      <c r="J1775" s="9"/>
      <c r="K1775" s="9"/>
      <c r="L1775" s="9"/>
      <c r="M1775" s="9"/>
      <c r="N1775" s="10"/>
      <c r="O1775" s="9"/>
      <c r="P1775" s="9"/>
      <c r="Q1775" s="9"/>
      <c r="R1775" s="9" t="s">
        <v>12795</v>
      </c>
      <c r="S1775" s="9" t="s">
        <v>12795</v>
      </c>
      <c r="T1775" s="9"/>
      <c r="U1775" s="9"/>
      <c r="V1775" s="9"/>
      <c r="W1775" s="9"/>
      <c r="X1775" s="9"/>
      <c r="Y1775" s="9"/>
      <c r="Z1775" s="9"/>
      <c r="AA1775" s="9"/>
      <c r="AB1775" s="9"/>
      <c r="AC1775" s="9"/>
      <c r="AD1775" s="9" t="s">
        <v>19</v>
      </c>
    </row>
    <row r="1776" spans="1:30" ht="29">
      <c r="A1776" s="3" t="s">
        <v>4502</v>
      </c>
      <c r="B1776" s="3" t="s">
        <v>2269</v>
      </c>
      <c r="C1776" s="3" t="s">
        <v>11411</v>
      </c>
      <c r="G1776" s="9" t="s">
        <v>12121</v>
      </c>
      <c r="H1776" s="9"/>
      <c r="I1776" s="9"/>
      <c r="J1776" s="9"/>
      <c r="K1776" s="9"/>
      <c r="L1776" s="9"/>
      <c r="M1776" s="9"/>
      <c r="N1776" s="10"/>
      <c r="O1776" s="9"/>
      <c r="P1776" s="9"/>
      <c r="Q1776" s="9">
        <v>-8</v>
      </c>
      <c r="R1776" s="9">
        <v>14</v>
      </c>
      <c r="S1776" s="9">
        <v>6</v>
      </c>
      <c r="T1776" s="9"/>
      <c r="U1776" s="9"/>
      <c r="V1776" s="9"/>
      <c r="W1776" s="9"/>
      <c r="X1776" s="9"/>
      <c r="Y1776" s="9"/>
      <c r="Z1776" s="9"/>
      <c r="AA1776" s="9"/>
      <c r="AB1776" s="9"/>
      <c r="AC1776" s="9"/>
      <c r="AD1776" s="9" t="s">
        <v>19</v>
      </c>
    </row>
    <row r="1777" spans="1:30" ht="29">
      <c r="A1777" s="3" t="s">
        <v>4502</v>
      </c>
      <c r="B1777" s="3" t="s">
        <v>11414</v>
      </c>
      <c r="C1777" s="3" t="s">
        <v>11415</v>
      </c>
      <c r="G1777" s="9" t="s">
        <v>12118</v>
      </c>
      <c r="H1777" s="9"/>
      <c r="I1777" s="9"/>
      <c r="J1777" s="9"/>
      <c r="K1777" s="9"/>
      <c r="L1777" s="9"/>
      <c r="M1777" s="9"/>
      <c r="N1777" s="10"/>
      <c r="O1777" s="9"/>
      <c r="P1777" s="9"/>
      <c r="Q1777" s="9">
        <v>-1846</v>
      </c>
      <c r="R1777" s="9">
        <v>2042</v>
      </c>
      <c r="S1777" s="9">
        <v>196</v>
      </c>
      <c r="T1777" s="9"/>
      <c r="U1777" s="9"/>
      <c r="V1777" s="9"/>
      <c r="W1777" s="9"/>
      <c r="X1777" s="9"/>
      <c r="Y1777" s="9"/>
      <c r="Z1777" s="9"/>
      <c r="AA1777" s="9"/>
      <c r="AB1777" s="9"/>
      <c r="AC1777" s="9"/>
      <c r="AD1777" s="9" t="s">
        <v>20</v>
      </c>
    </row>
    <row r="1778" spans="1:30" ht="29">
      <c r="A1778" s="3" t="s">
        <v>4509</v>
      </c>
      <c r="B1778" s="3" t="s">
        <v>11440</v>
      </c>
      <c r="C1778" s="3" t="s">
        <v>11441</v>
      </c>
      <c r="G1778" s="9" t="s">
        <v>25</v>
      </c>
      <c r="H1778" s="9"/>
      <c r="I1778" s="9">
        <v>1</v>
      </c>
      <c r="J1778" s="9">
        <v>2</v>
      </c>
      <c r="K1778" s="9" t="s">
        <v>12078</v>
      </c>
      <c r="L1778" s="9" t="s">
        <v>12119</v>
      </c>
      <c r="M1778" s="9"/>
      <c r="N1778" s="10"/>
      <c r="O1778" s="9"/>
      <c r="P1778" s="9">
        <v>11843</v>
      </c>
      <c r="Q1778" s="9"/>
      <c r="R1778" s="9" t="s">
        <v>12795</v>
      </c>
      <c r="S1778" s="9" t="s">
        <v>12795</v>
      </c>
      <c r="T1778" s="9"/>
      <c r="U1778" s="9"/>
      <c r="V1778" s="9"/>
      <c r="W1778" s="9"/>
      <c r="X1778" s="9"/>
      <c r="Y1778" s="9"/>
      <c r="Z1778" s="9"/>
      <c r="AA1778" s="9"/>
      <c r="AB1778" s="9"/>
      <c r="AC1778" s="9"/>
      <c r="AD1778" s="9" t="s">
        <v>20</v>
      </c>
    </row>
    <row r="1779" spans="1:30" ht="29">
      <c r="A1779" s="3" t="s">
        <v>4510</v>
      </c>
      <c r="B1779" s="3" t="s">
        <v>12595</v>
      </c>
      <c r="C1779" s="3" t="s">
        <v>12596</v>
      </c>
      <c r="G1779" s="9" t="s">
        <v>12120</v>
      </c>
      <c r="H1779" s="9"/>
      <c r="I1779" s="9"/>
      <c r="J1779" s="9"/>
      <c r="K1779" s="9"/>
      <c r="L1779" s="9"/>
      <c r="M1779" s="9"/>
      <c r="N1779" s="10"/>
      <c r="O1779" s="9"/>
      <c r="P1779" s="9"/>
      <c r="Q1779" s="9"/>
      <c r="R1779" s="9" t="s">
        <v>12795</v>
      </c>
      <c r="S1779" s="9" t="s">
        <v>12795</v>
      </c>
      <c r="T1779" s="9"/>
      <c r="U1779" s="9"/>
      <c r="V1779" s="9"/>
      <c r="W1779" s="9"/>
      <c r="X1779" s="9"/>
      <c r="Y1779" s="9"/>
      <c r="Z1779" s="9"/>
      <c r="AA1779" s="9"/>
      <c r="AB1779" s="9"/>
      <c r="AC1779" s="9"/>
      <c r="AD1779" s="9" t="s">
        <v>19</v>
      </c>
    </row>
    <row r="1780" spans="1:30" ht="43.5">
      <c r="A1780" s="3" t="s">
        <v>4510</v>
      </c>
      <c r="B1780" s="3" t="s">
        <v>11444</v>
      </c>
      <c r="C1780" s="3" t="s">
        <v>11445</v>
      </c>
      <c r="G1780" s="9" t="s">
        <v>12118</v>
      </c>
      <c r="H1780" s="9"/>
      <c r="I1780" s="9"/>
      <c r="J1780" s="9"/>
      <c r="K1780" s="9"/>
      <c r="L1780" s="9"/>
      <c r="M1780" s="9"/>
      <c r="N1780" s="10"/>
      <c r="O1780" s="9"/>
      <c r="P1780" s="9"/>
      <c r="Q1780" s="9">
        <v>5469</v>
      </c>
      <c r="R1780" s="9">
        <v>207</v>
      </c>
      <c r="S1780" s="9">
        <v>5676</v>
      </c>
      <c r="T1780" s="9"/>
      <c r="U1780" s="9"/>
      <c r="V1780" s="9"/>
      <c r="W1780" s="9"/>
      <c r="X1780" s="9"/>
      <c r="Y1780" s="9"/>
      <c r="Z1780" s="9"/>
      <c r="AA1780" s="9"/>
      <c r="AB1780" s="9"/>
      <c r="AC1780" s="9"/>
      <c r="AD1780" s="9" t="s">
        <v>19</v>
      </c>
    </row>
    <row r="1781" spans="1:30" ht="43.5">
      <c r="A1781" s="3" t="s">
        <v>4510</v>
      </c>
      <c r="B1781" s="3" t="s">
        <v>11446</v>
      </c>
      <c r="C1781" s="3" t="s">
        <v>11447</v>
      </c>
      <c r="G1781" s="9" t="s">
        <v>12120</v>
      </c>
      <c r="H1781" s="9"/>
      <c r="I1781" s="9"/>
      <c r="J1781" s="9"/>
      <c r="K1781" s="9"/>
      <c r="L1781" s="9"/>
      <c r="M1781" s="9"/>
      <c r="N1781" s="10"/>
      <c r="O1781" s="9"/>
      <c r="P1781" s="9"/>
      <c r="Q1781" s="9"/>
      <c r="R1781" s="9" t="s">
        <v>12795</v>
      </c>
      <c r="S1781" s="9" t="s">
        <v>12795</v>
      </c>
      <c r="T1781" s="9"/>
      <c r="U1781" s="9"/>
      <c r="V1781" s="9"/>
      <c r="W1781" s="9"/>
      <c r="X1781" s="9"/>
      <c r="Y1781" s="9"/>
      <c r="Z1781" s="9"/>
      <c r="AA1781" s="9"/>
      <c r="AB1781" s="9"/>
      <c r="AC1781" s="9"/>
      <c r="AD1781" s="9" t="s">
        <v>19</v>
      </c>
    </row>
    <row r="1782" spans="1:30" ht="29">
      <c r="A1782" s="3" t="s">
        <v>4511</v>
      </c>
      <c r="B1782" s="3" t="s">
        <v>11455</v>
      </c>
      <c r="C1782" s="3" t="s">
        <v>11454</v>
      </c>
      <c r="E1782" t="s">
        <v>20</v>
      </c>
      <c r="G1782" s="9" t="s">
        <v>25</v>
      </c>
      <c r="H1782" s="9"/>
      <c r="I1782" s="9">
        <v>1</v>
      </c>
      <c r="J1782" s="9">
        <v>2</v>
      </c>
      <c r="K1782" s="9" t="s">
        <v>12094</v>
      </c>
      <c r="L1782" s="9" t="s">
        <v>12119</v>
      </c>
      <c r="M1782" s="9"/>
      <c r="N1782" s="10"/>
      <c r="O1782" s="9"/>
      <c r="P1782" s="9">
        <v>780</v>
      </c>
      <c r="Q1782" s="9"/>
      <c r="R1782" s="9" t="s">
        <v>12795</v>
      </c>
      <c r="S1782" s="9" t="s">
        <v>12795</v>
      </c>
      <c r="T1782" s="9"/>
      <c r="U1782" s="9"/>
      <c r="V1782" s="9"/>
      <c r="W1782" s="9"/>
      <c r="X1782" s="9"/>
      <c r="Y1782" s="9"/>
      <c r="Z1782" s="9"/>
      <c r="AA1782" s="9"/>
      <c r="AB1782" s="9"/>
      <c r="AC1782" s="9"/>
      <c r="AD1782" s="9" t="s">
        <v>19</v>
      </c>
    </row>
    <row r="1783" spans="1:30" ht="29">
      <c r="A1783" s="3" t="s">
        <v>4512</v>
      </c>
      <c r="B1783" s="3" t="s">
        <v>11462</v>
      </c>
      <c r="C1783" s="3" t="s">
        <v>11461</v>
      </c>
      <c r="G1783" s="9" t="s">
        <v>12118</v>
      </c>
      <c r="H1783" s="9"/>
      <c r="I1783" s="9"/>
      <c r="J1783" s="9"/>
      <c r="K1783" s="9"/>
      <c r="L1783" s="9"/>
      <c r="M1783" s="9"/>
      <c r="N1783" s="10"/>
      <c r="O1783" s="9"/>
      <c r="P1783" s="9"/>
      <c r="Q1783" s="9">
        <v>190</v>
      </c>
      <c r="R1783" s="9">
        <v>17</v>
      </c>
      <c r="S1783" s="9">
        <v>207</v>
      </c>
      <c r="T1783" s="9"/>
      <c r="U1783" s="9"/>
      <c r="V1783" s="9"/>
      <c r="W1783" s="9"/>
      <c r="X1783" s="9"/>
      <c r="Y1783" s="9"/>
      <c r="Z1783" s="9"/>
      <c r="AA1783" s="9"/>
      <c r="AB1783" s="9"/>
      <c r="AC1783" s="9"/>
      <c r="AD1783" s="9" t="s">
        <v>19</v>
      </c>
    </row>
    <row r="1784" spans="1:30" ht="29">
      <c r="A1784" s="3" t="s">
        <v>4512</v>
      </c>
      <c r="B1784" s="3" t="s">
        <v>11464</v>
      </c>
      <c r="C1784" s="3" t="s">
        <v>11463</v>
      </c>
      <c r="G1784" s="9" t="s">
        <v>24</v>
      </c>
      <c r="H1784" s="9"/>
      <c r="I1784" s="9">
        <v>1</v>
      </c>
      <c r="J1784" s="9">
        <v>7</v>
      </c>
      <c r="K1784" s="9" t="s">
        <v>12092</v>
      </c>
      <c r="L1784" s="9" t="s">
        <v>12079</v>
      </c>
      <c r="M1784" s="9"/>
      <c r="N1784" s="10"/>
      <c r="O1784" s="9"/>
      <c r="P1784" s="9">
        <v>1</v>
      </c>
      <c r="Q1784" s="9"/>
      <c r="R1784" s="9" t="s">
        <v>12795</v>
      </c>
      <c r="S1784" s="9" t="s">
        <v>12795</v>
      </c>
      <c r="T1784" s="9"/>
      <c r="U1784" s="9"/>
      <c r="V1784" s="9"/>
      <c r="W1784" s="9"/>
      <c r="X1784" s="9"/>
      <c r="Y1784" s="9"/>
      <c r="Z1784" s="9"/>
      <c r="AA1784" s="9"/>
      <c r="AB1784" s="9"/>
      <c r="AC1784" s="9"/>
      <c r="AD1784" s="9" t="s">
        <v>19</v>
      </c>
    </row>
    <row r="1785" spans="1:30" ht="29">
      <c r="A1785" s="3" t="s">
        <v>4513</v>
      </c>
      <c r="B1785" s="3" t="s">
        <v>11470</v>
      </c>
      <c r="C1785" s="3" t="s">
        <v>11469</v>
      </c>
      <c r="G1785" s="9" t="s">
        <v>12118</v>
      </c>
      <c r="H1785" s="9"/>
      <c r="I1785" s="9"/>
      <c r="J1785" s="9"/>
      <c r="K1785" s="9"/>
      <c r="L1785" s="9"/>
      <c r="M1785" s="9"/>
      <c r="N1785" s="10"/>
      <c r="O1785" s="9"/>
      <c r="P1785" s="9"/>
      <c r="Q1785" s="9">
        <v>75</v>
      </c>
      <c r="R1785" s="9">
        <v>356</v>
      </c>
      <c r="S1785" s="9">
        <v>431</v>
      </c>
      <c r="T1785" s="9"/>
      <c r="U1785" s="9"/>
      <c r="V1785" s="9"/>
      <c r="W1785" s="9"/>
      <c r="X1785" s="9"/>
      <c r="Y1785" s="9"/>
      <c r="Z1785" s="9"/>
      <c r="AA1785" s="9"/>
      <c r="AB1785" s="9"/>
      <c r="AC1785" s="9"/>
      <c r="AD1785" s="9" t="s">
        <v>20</v>
      </c>
    </row>
    <row r="1786" spans="1:30" ht="29">
      <c r="A1786" s="3" t="s">
        <v>4515</v>
      </c>
      <c r="B1786" s="3" t="s">
        <v>11480</v>
      </c>
      <c r="C1786" s="3" t="s">
        <v>11479</v>
      </c>
      <c r="G1786" s="9" t="s">
        <v>12118</v>
      </c>
      <c r="H1786" s="9"/>
      <c r="I1786" s="9"/>
      <c r="J1786" s="9"/>
      <c r="K1786" s="9"/>
      <c r="L1786" s="9"/>
      <c r="M1786" s="9"/>
      <c r="N1786" s="10"/>
      <c r="O1786" s="9"/>
      <c r="P1786" s="9"/>
      <c r="Q1786" s="9">
        <v>2</v>
      </c>
      <c r="R1786" s="9">
        <v>6</v>
      </c>
      <c r="S1786" s="9">
        <v>8</v>
      </c>
      <c r="T1786" s="9"/>
      <c r="U1786" s="9"/>
      <c r="V1786" s="9"/>
      <c r="W1786" s="9"/>
      <c r="X1786" s="9"/>
      <c r="Y1786" s="9"/>
      <c r="Z1786" s="9"/>
      <c r="AA1786" s="9"/>
      <c r="AB1786" s="9"/>
      <c r="AC1786" s="9"/>
      <c r="AD1786" s="9" t="s">
        <v>19</v>
      </c>
    </row>
    <row r="1787" spans="1:30" ht="29">
      <c r="A1787" s="3" t="s">
        <v>4515</v>
      </c>
      <c r="B1787" s="3" t="s">
        <v>4516</v>
      </c>
      <c r="C1787" s="3" t="s">
        <v>3802</v>
      </c>
      <c r="G1787" s="9" t="s">
        <v>12120</v>
      </c>
      <c r="H1787" s="9"/>
      <c r="I1787" s="9"/>
      <c r="J1787" s="9"/>
      <c r="K1787" s="9"/>
      <c r="L1787" s="9"/>
      <c r="M1787" s="9"/>
      <c r="N1787" s="10"/>
      <c r="O1787" s="9"/>
      <c r="P1787" s="9"/>
      <c r="Q1787" s="9"/>
      <c r="R1787" s="9" t="s">
        <v>12795</v>
      </c>
      <c r="S1787" s="9" t="s">
        <v>12795</v>
      </c>
      <c r="T1787" s="9"/>
      <c r="U1787" s="9"/>
      <c r="V1787" s="9"/>
      <c r="W1787" s="9"/>
      <c r="X1787" s="9"/>
      <c r="Y1787" s="9"/>
      <c r="Z1787" s="9"/>
      <c r="AA1787" s="9"/>
      <c r="AB1787" s="9"/>
      <c r="AC1787" s="9"/>
      <c r="AD1787" s="9" t="s">
        <v>19</v>
      </c>
    </row>
    <row r="1788" spans="1:30">
      <c r="A1788" s="3" t="s">
        <v>4523</v>
      </c>
      <c r="B1788" s="3" t="s">
        <v>11491</v>
      </c>
      <c r="C1788" s="3" t="s">
        <v>11492</v>
      </c>
      <c r="G1788" s="9" t="s">
        <v>12120</v>
      </c>
      <c r="H1788" s="9"/>
      <c r="I1788" s="9"/>
      <c r="J1788" s="9"/>
      <c r="K1788" s="9"/>
      <c r="L1788" s="9"/>
      <c r="M1788" s="9"/>
      <c r="N1788" s="10"/>
      <c r="O1788" s="9"/>
      <c r="P1788" s="9"/>
      <c r="Q1788" s="9"/>
      <c r="R1788" s="9" t="s">
        <v>12795</v>
      </c>
      <c r="S1788" s="9" t="s">
        <v>12795</v>
      </c>
      <c r="T1788" s="9"/>
      <c r="U1788" s="9"/>
      <c r="V1788" s="9"/>
      <c r="W1788" s="9"/>
      <c r="X1788" s="9"/>
      <c r="Y1788" s="9"/>
      <c r="Z1788" s="9"/>
      <c r="AA1788" s="9"/>
      <c r="AB1788" s="9"/>
      <c r="AC1788" s="9"/>
      <c r="AD1788" s="9" t="s">
        <v>19</v>
      </c>
    </row>
    <row r="1789" spans="1:30">
      <c r="A1789" s="3" t="s">
        <v>4525</v>
      </c>
      <c r="B1789" s="3" t="s">
        <v>11501</v>
      </c>
      <c r="C1789" s="3" t="s">
        <v>11500</v>
      </c>
      <c r="G1789" s="9" t="s">
        <v>25</v>
      </c>
      <c r="H1789" s="9"/>
      <c r="I1789" s="9">
        <v>1</v>
      </c>
      <c r="J1789" s="9">
        <v>5</v>
      </c>
      <c r="K1789" s="9" t="s">
        <v>12125</v>
      </c>
      <c r="L1789" s="9" t="s">
        <v>12073</v>
      </c>
      <c r="M1789" s="9" t="s">
        <v>12142</v>
      </c>
      <c r="N1789" s="10" t="s">
        <v>12143</v>
      </c>
      <c r="O1789" s="9"/>
      <c r="P1789" s="9">
        <v>1565</v>
      </c>
      <c r="Q1789" s="9"/>
      <c r="R1789" s="9" t="s">
        <v>12795</v>
      </c>
      <c r="S1789" s="9" t="s">
        <v>12795</v>
      </c>
      <c r="T1789" s="9"/>
      <c r="U1789" s="9"/>
      <c r="V1789" s="9"/>
      <c r="W1789" s="9"/>
      <c r="X1789" s="9"/>
      <c r="Y1789" s="9"/>
      <c r="Z1789" s="9"/>
      <c r="AA1789" s="9"/>
      <c r="AB1789" s="9"/>
      <c r="AC1789" s="9"/>
      <c r="AD1789" s="9" t="s">
        <v>20</v>
      </c>
    </row>
    <row r="1790" spans="1:30">
      <c r="A1790" s="3" t="s">
        <v>4527</v>
      </c>
      <c r="B1790" s="3" t="s">
        <v>4528</v>
      </c>
      <c r="C1790" s="3" t="s">
        <v>4529</v>
      </c>
      <c r="G1790" s="9" t="s">
        <v>12118</v>
      </c>
      <c r="H1790" s="9"/>
      <c r="I1790" s="9"/>
      <c r="J1790" s="9"/>
      <c r="K1790" s="9"/>
      <c r="L1790" s="9"/>
      <c r="M1790" s="9"/>
      <c r="N1790" s="10"/>
      <c r="O1790" s="9"/>
      <c r="P1790" s="9"/>
      <c r="Q1790" s="9">
        <v>-4</v>
      </c>
      <c r="R1790" s="9">
        <v>4</v>
      </c>
      <c r="S1790" s="9">
        <v>0</v>
      </c>
      <c r="T1790" s="9"/>
      <c r="U1790" s="9"/>
      <c r="V1790" s="9"/>
      <c r="W1790" s="9"/>
      <c r="X1790" s="9"/>
      <c r="Y1790" s="9"/>
      <c r="Z1790" s="9"/>
      <c r="AA1790" s="9"/>
      <c r="AB1790" s="9"/>
      <c r="AC1790" s="9"/>
      <c r="AD1790" s="9" t="s">
        <v>20</v>
      </c>
    </row>
    <row r="1791" spans="1:30">
      <c r="A1791" s="3" t="s">
        <v>4535</v>
      </c>
      <c r="B1791" s="3" t="s">
        <v>11527</v>
      </c>
      <c r="C1791" s="3" t="s">
        <v>11526</v>
      </c>
      <c r="G1791" s="9" t="s">
        <v>24</v>
      </c>
      <c r="H1791" s="9"/>
      <c r="I1791" s="9">
        <v>1</v>
      </c>
      <c r="J1791" s="9">
        <v>1</v>
      </c>
      <c r="K1791" s="9" t="s">
        <v>12078</v>
      </c>
      <c r="L1791" s="9" t="s">
        <v>12119</v>
      </c>
      <c r="M1791" s="9"/>
      <c r="N1791" s="10"/>
      <c r="O1791" s="9"/>
      <c r="P1791" s="9">
        <v>11843</v>
      </c>
      <c r="Q1791" s="9"/>
      <c r="R1791" s="9" t="s">
        <v>12795</v>
      </c>
      <c r="S1791" s="9" t="s">
        <v>12795</v>
      </c>
      <c r="T1791" s="9"/>
      <c r="U1791" s="9"/>
      <c r="V1791" s="9"/>
      <c r="W1791" s="9"/>
      <c r="X1791" s="9"/>
      <c r="Y1791" s="9"/>
      <c r="Z1791" s="9"/>
      <c r="AA1791" s="9"/>
      <c r="AB1791" s="9"/>
      <c r="AC1791" s="9"/>
      <c r="AD1791" s="9" t="s">
        <v>19</v>
      </c>
    </row>
    <row r="1792" spans="1:30" ht="29">
      <c r="A1792" s="3" t="s">
        <v>4538</v>
      </c>
      <c r="B1792" s="3" t="s">
        <v>11531</v>
      </c>
      <c r="C1792" s="3" t="s">
        <v>11532</v>
      </c>
      <c r="G1792" s="9" t="s">
        <v>12118</v>
      </c>
      <c r="H1792" s="9"/>
      <c r="I1792" s="9"/>
      <c r="J1792" s="9"/>
      <c r="K1792" s="9"/>
      <c r="L1792" s="9"/>
      <c r="M1792" s="9"/>
      <c r="N1792" s="10"/>
      <c r="O1792" s="9"/>
      <c r="P1792" s="9"/>
      <c r="Q1792" s="9">
        <v>1800</v>
      </c>
      <c r="R1792" s="9">
        <v>166</v>
      </c>
      <c r="S1792" s="9">
        <v>1966</v>
      </c>
      <c r="T1792" s="9"/>
      <c r="U1792" s="9"/>
      <c r="V1792" s="9"/>
      <c r="W1792" s="9"/>
      <c r="X1792" s="9"/>
      <c r="Y1792" s="9"/>
      <c r="Z1792" s="9"/>
      <c r="AA1792" s="9"/>
      <c r="AB1792" s="9"/>
      <c r="AC1792" s="9"/>
      <c r="AD1792" s="9" t="s">
        <v>19</v>
      </c>
    </row>
    <row r="1793" spans="1:30" ht="29">
      <c r="A1793" s="3" t="s">
        <v>4539</v>
      </c>
      <c r="B1793" s="3" t="s">
        <v>11536</v>
      </c>
      <c r="C1793" s="3" t="s">
        <v>11535</v>
      </c>
      <c r="G1793" s="9" t="s">
        <v>26</v>
      </c>
      <c r="H1793" s="9"/>
      <c r="I1793" s="9"/>
      <c r="J1793" s="9"/>
      <c r="K1793" s="9"/>
      <c r="L1793" s="9"/>
      <c r="M1793" s="9"/>
      <c r="N1793" s="10"/>
      <c r="O1793" s="9"/>
      <c r="P1793" s="9"/>
      <c r="Q1793" s="9"/>
      <c r="R1793" s="9" t="s">
        <v>12795</v>
      </c>
      <c r="S1793" s="9" t="s">
        <v>12795</v>
      </c>
      <c r="T1793" s="9"/>
      <c r="U1793" s="9"/>
      <c r="V1793" s="9"/>
      <c r="W1793" s="9"/>
      <c r="X1793" s="9"/>
      <c r="Y1793" s="9"/>
      <c r="Z1793" s="9"/>
      <c r="AA1793" s="9"/>
      <c r="AB1793" s="9"/>
      <c r="AC1793" s="9"/>
      <c r="AD1793" s="9" t="s">
        <v>20</v>
      </c>
    </row>
    <row r="1794" spans="1:30" ht="29">
      <c r="A1794" s="3" t="s">
        <v>4550</v>
      </c>
      <c r="B1794" s="3" t="s">
        <v>4551</v>
      </c>
      <c r="C1794" s="3" t="s">
        <v>4552</v>
      </c>
      <c r="G1794" s="9" t="s">
        <v>12120</v>
      </c>
      <c r="H1794" s="9"/>
      <c r="I1794" s="9"/>
      <c r="J1794" s="9"/>
      <c r="K1794" s="9"/>
      <c r="L1794" s="9"/>
      <c r="M1794" s="9"/>
      <c r="N1794" s="10"/>
      <c r="O1794" s="9"/>
      <c r="P1794" s="9"/>
      <c r="Q1794" s="9"/>
      <c r="R1794" s="9" t="s">
        <v>12795</v>
      </c>
      <c r="S1794" s="9" t="s">
        <v>12795</v>
      </c>
      <c r="T1794" s="9"/>
      <c r="U1794" s="9"/>
      <c r="V1794" s="9"/>
      <c r="W1794" s="9"/>
      <c r="X1794" s="9"/>
      <c r="Y1794" s="9"/>
      <c r="Z1794" s="9"/>
      <c r="AA1794" s="9"/>
      <c r="AB1794" s="9"/>
      <c r="AC1794" s="9"/>
      <c r="AD1794" s="9" t="s">
        <v>20</v>
      </c>
    </row>
    <row r="1795" spans="1:30" ht="29">
      <c r="A1795" s="3" t="s">
        <v>4554</v>
      </c>
      <c r="B1795" s="3" t="s">
        <v>12954</v>
      </c>
      <c r="C1795" s="3" t="s">
        <v>13079</v>
      </c>
      <c r="G1795" s="9" t="s">
        <v>12118</v>
      </c>
      <c r="H1795" s="9"/>
      <c r="I1795" s="9"/>
      <c r="J1795" s="9"/>
      <c r="K1795" s="9"/>
      <c r="L1795" s="9"/>
      <c r="M1795" s="9"/>
      <c r="N1795" s="10"/>
      <c r="O1795" s="9"/>
      <c r="P1795" s="9">
        <v>11843</v>
      </c>
      <c r="Q1795" s="9">
        <v>11563</v>
      </c>
      <c r="R1795" s="9">
        <v>280</v>
      </c>
      <c r="S1795" s="9">
        <v>11843</v>
      </c>
      <c r="T1795" s="9"/>
      <c r="U1795" s="9"/>
      <c r="V1795" s="9"/>
      <c r="W1795" s="9"/>
      <c r="X1795" s="9"/>
      <c r="Y1795" s="9"/>
      <c r="Z1795" s="9"/>
      <c r="AA1795" s="9"/>
      <c r="AB1795" s="9"/>
      <c r="AC1795" s="9"/>
      <c r="AD1795" s="9" t="s">
        <v>19</v>
      </c>
    </row>
    <row r="1796" spans="1:30" ht="29">
      <c r="A1796" s="3" t="s">
        <v>4557</v>
      </c>
      <c r="B1796" s="3" t="s">
        <v>11563</v>
      </c>
      <c r="C1796" s="3" t="s">
        <v>11562</v>
      </c>
      <c r="G1796" s="9" t="s">
        <v>24</v>
      </c>
      <c r="H1796" s="9"/>
      <c r="I1796" s="9">
        <v>1</v>
      </c>
      <c r="J1796" s="9">
        <v>3</v>
      </c>
      <c r="K1796" s="9" t="s">
        <v>12078</v>
      </c>
      <c r="L1796" s="9" t="s">
        <v>12079</v>
      </c>
      <c r="M1796" s="9"/>
      <c r="N1796" s="10"/>
      <c r="O1796" s="9"/>
      <c r="P1796" s="9">
        <v>11843</v>
      </c>
      <c r="Q1796" s="9"/>
      <c r="R1796" s="9" t="s">
        <v>12795</v>
      </c>
      <c r="S1796" s="9" t="s">
        <v>12795</v>
      </c>
      <c r="T1796" s="9"/>
      <c r="U1796" s="9"/>
      <c r="V1796" s="9"/>
      <c r="W1796" s="9"/>
      <c r="X1796" s="9"/>
      <c r="Y1796" s="9"/>
      <c r="Z1796" s="9"/>
      <c r="AA1796" s="9"/>
      <c r="AB1796" s="9"/>
      <c r="AC1796" s="9"/>
      <c r="AD1796" s="9" t="s">
        <v>19</v>
      </c>
    </row>
    <row r="1797" spans="1:30" ht="29">
      <c r="A1797" s="3" t="s">
        <v>4558</v>
      </c>
      <c r="B1797" s="3" t="s">
        <v>11564</v>
      </c>
      <c r="C1797" s="3" t="s">
        <v>11567</v>
      </c>
      <c r="G1797" s="9" t="s">
        <v>24</v>
      </c>
      <c r="H1797" s="9"/>
      <c r="I1797" s="9">
        <v>1</v>
      </c>
      <c r="J1797" s="9">
        <v>2</v>
      </c>
      <c r="K1797" s="9" t="s">
        <v>12087</v>
      </c>
      <c r="L1797" s="9" t="s">
        <v>12119</v>
      </c>
      <c r="M1797" s="9"/>
      <c r="N1797" s="10"/>
      <c r="O1797" s="9"/>
      <c r="P1797" s="9">
        <v>166</v>
      </c>
      <c r="Q1797" s="9"/>
      <c r="R1797" s="9" t="s">
        <v>12795</v>
      </c>
      <c r="S1797" s="9" t="s">
        <v>12795</v>
      </c>
      <c r="T1797" s="9"/>
      <c r="U1797" s="9"/>
      <c r="V1797" s="9"/>
      <c r="W1797" s="9"/>
      <c r="X1797" s="9"/>
      <c r="Y1797" s="9"/>
      <c r="Z1797" s="9"/>
      <c r="AA1797" s="9"/>
      <c r="AB1797" s="9"/>
      <c r="AC1797" s="9"/>
      <c r="AD1797" s="9" t="s">
        <v>19</v>
      </c>
    </row>
    <row r="1798" spans="1:30" ht="43.5">
      <c r="A1798" s="3" t="s">
        <v>4560</v>
      </c>
      <c r="B1798" s="3" t="s">
        <v>11579</v>
      </c>
      <c r="C1798" s="3" t="s">
        <v>11578</v>
      </c>
      <c r="G1798" s="9" t="s">
        <v>26</v>
      </c>
      <c r="H1798" s="9"/>
      <c r="I1798" s="9"/>
      <c r="J1798" s="9"/>
      <c r="K1798" s="9"/>
      <c r="L1798" s="9"/>
      <c r="M1798" s="9"/>
      <c r="N1798" s="10"/>
      <c r="O1798" s="9"/>
      <c r="P1798" s="9"/>
      <c r="Q1798" s="9"/>
      <c r="R1798" s="9" t="s">
        <v>12795</v>
      </c>
      <c r="S1798" s="9" t="s">
        <v>12795</v>
      </c>
      <c r="T1798" s="9"/>
      <c r="U1798" s="9"/>
      <c r="V1798" s="9"/>
      <c r="W1798" s="9"/>
      <c r="X1798" s="9"/>
      <c r="Y1798" s="9"/>
      <c r="Z1798" s="9"/>
      <c r="AA1798" s="9"/>
      <c r="AB1798" s="9"/>
      <c r="AC1798" s="9"/>
      <c r="AD1798" s="9" t="s">
        <v>20</v>
      </c>
    </row>
    <row r="1799" spans="1:30" ht="43.5">
      <c r="A1799" s="3" t="s">
        <v>4560</v>
      </c>
      <c r="B1799" s="3" t="s">
        <v>12955</v>
      </c>
      <c r="C1799" s="3" t="s">
        <v>12597</v>
      </c>
      <c r="G1799" s="9" t="s">
        <v>26</v>
      </c>
      <c r="H1799" s="9"/>
      <c r="I1799" s="9"/>
      <c r="J1799" s="9"/>
      <c r="K1799" s="9"/>
      <c r="L1799" s="9"/>
      <c r="M1799" s="9"/>
      <c r="N1799" s="10"/>
      <c r="O1799" s="9"/>
      <c r="P1799" s="9"/>
      <c r="Q1799" s="9"/>
      <c r="R1799" s="9" t="s">
        <v>12795</v>
      </c>
      <c r="S1799" s="9" t="s">
        <v>12795</v>
      </c>
      <c r="T1799" s="9"/>
      <c r="U1799" s="9"/>
      <c r="V1799" s="9"/>
      <c r="W1799" s="9"/>
      <c r="X1799" s="9"/>
      <c r="Y1799" s="9"/>
      <c r="Z1799" s="9"/>
      <c r="AA1799" s="9"/>
      <c r="AB1799" s="9"/>
      <c r="AC1799" s="9"/>
      <c r="AD1799" s="9" t="s">
        <v>19</v>
      </c>
    </row>
    <row r="1800" spans="1:30">
      <c r="A1800" s="3" t="s">
        <v>4563</v>
      </c>
      <c r="B1800" s="3" t="s">
        <v>11580</v>
      </c>
      <c r="C1800" s="3" t="s">
        <v>11581</v>
      </c>
      <c r="G1800" s="9" t="s">
        <v>24</v>
      </c>
      <c r="H1800" s="9"/>
      <c r="I1800" s="9">
        <v>1</v>
      </c>
      <c r="J1800" s="9">
        <v>5</v>
      </c>
      <c r="K1800" s="9" t="s">
        <v>12125</v>
      </c>
      <c r="L1800" s="9" t="s">
        <v>12079</v>
      </c>
      <c r="M1800" s="9"/>
      <c r="N1800" s="10"/>
      <c r="O1800" s="9"/>
      <c r="P1800" s="9">
        <v>2042</v>
      </c>
      <c r="Q1800" s="9"/>
      <c r="R1800" s="9" t="s">
        <v>12795</v>
      </c>
      <c r="S1800" s="9" t="s">
        <v>12795</v>
      </c>
      <c r="T1800" s="9"/>
      <c r="U1800" s="9"/>
      <c r="V1800" s="9"/>
      <c r="W1800" s="9"/>
      <c r="X1800" s="9"/>
      <c r="Y1800" s="9"/>
      <c r="Z1800" s="9"/>
      <c r="AA1800" s="9"/>
      <c r="AB1800" s="9"/>
      <c r="AC1800" s="9"/>
      <c r="AD1800" s="9" t="s">
        <v>19</v>
      </c>
    </row>
    <row r="1801" spans="1:30" ht="43.5">
      <c r="A1801" s="3" t="s">
        <v>4563</v>
      </c>
      <c r="B1801" s="3" t="s">
        <v>12599</v>
      </c>
      <c r="C1801" s="3" t="s">
        <v>12600</v>
      </c>
      <c r="G1801" s="9" t="s">
        <v>24</v>
      </c>
      <c r="H1801" s="9"/>
      <c r="I1801" s="9">
        <v>1</v>
      </c>
      <c r="J1801" s="9">
        <v>2</v>
      </c>
      <c r="K1801" s="9" t="s">
        <v>12087</v>
      </c>
      <c r="L1801" s="9" t="s">
        <v>12119</v>
      </c>
      <c r="M1801" s="9"/>
      <c r="N1801" s="10"/>
      <c r="O1801" s="9"/>
      <c r="P1801" s="9">
        <v>227</v>
      </c>
      <c r="Q1801" s="9"/>
      <c r="R1801" s="9" t="s">
        <v>12795</v>
      </c>
      <c r="S1801" s="9" t="s">
        <v>12795</v>
      </c>
      <c r="T1801" s="9"/>
      <c r="U1801" s="9"/>
      <c r="V1801" s="9"/>
      <c r="W1801" s="9"/>
      <c r="X1801" s="9"/>
      <c r="Y1801" s="9"/>
      <c r="Z1801" s="9"/>
      <c r="AA1801" s="9"/>
      <c r="AB1801" s="9"/>
      <c r="AC1801" s="9"/>
      <c r="AD1801" s="9" t="s">
        <v>19</v>
      </c>
    </row>
    <row r="1802" spans="1:30" ht="29">
      <c r="A1802" s="3" t="s">
        <v>4565</v>
      </c>
      <c r="B1802" s="3" t="s">
        <v>11589</v>
      </c>
      <c r="C1802" s="3" t="s">
        <v>11591</v>
      </c>
      <c r="G1802" s="9" t="s">
        <v>24</v>
      </c>
      <c r="H1802" s="9"/>
      <c r="I1802" s="9">
        <v>1</v>
      </c>
      <c r="J1802" s="9">
        <v>6</v>
      </c>
      <c r="K1802" s="9" t="s">
        <v>12092</v>
      </c>
      <c r="L1802" s="9" t="s">
        <v>12079</v>
      </c>
      <c r="M1802" s="9"/>
      <c r="N1802" s="10"/>
      <c r="O1802" s="9"/>
      <c r="P1802" s="9">
        <v>635</v>
      </c>
      <c r="Q1802" s="9"/>
      <c r="R1802" s="9" t="s">
        <v>12795</v>
      </c>
      <c r="S1802" s="9" t="s">
        <v>12795</v>
      </c>
      <c r="T1802" s="9"/>
      <c r="U1802" s="9"/>
      <c r="V1802" s="9"/>
      <c r="W1802" s="9"/>
      <c r="X1802" s="9"/>
      <c r="Y1802" s="9"/>
      <c r="Z1802" s="9"/>
      <c r="AA1802" s="9"/>
      <c r="AB1802" s="9"/>
      <c r="AC1802" s="9"/>
      <c r="AD1802" s="9" t="s">
        <v>19</v>
      </c>
    </row>
    <row r="1803" spans="1:30" ht="29">
      <c r="A1803" s="3" t="s">
        <v>4566</v>
      </c>
      <c r="B1803" s="3" t="s">
        <v>11593</v>
      </c>
      <c r="C1803" s="3" t="s">
        <v>13081</v>
      </c>
      <c r="G1803" s="9" t="s">
        <v>25</v>
      </c>
      <c r="H1803" s="9"/>
      <c r="I1803" s="9">
        <v>1</v>
      </c>
      <c r="J1803" s="9">
        <v>3</v>
      </c>
      <c r="K1803" s="9" t="s">
        <v>12092</v>
      </c>
      <c r="L1803" s="9" t="s">
        <v>12079</v>
      </c>
      <c r="M1803" s="9"/>
      <c r="N1803" s="10"/>
      <c r="O1803" s="9"/>
      <c r="P1803" s="9">
        <v>79</v>
      </c>
      <c r="Q1803" s="9"/>
      <c r="R1803" s="9" t="s">
        <v>12795</v>
      </c>
      <c r="S1803" s="9" t="s">
        <v>12795</v>
      </c>
      <c r="T1803" s="9"/>
      <c r="U1803" s="9"/>
      <c r="V1803" s="9"/>
      <c r="W1803" s="9"/>
      <c r="X1803" s="9"/>
      <c r="Y1803" s="9"/>
      <c r="Z1803" s="9"/>
      <c r="AA1803" s="9"/>
      <c r="AB1803" s="9"/>
      <c r="AC1803" s="9"/>
      <c r="AD1803" s="9" t="s">
        <v>13141</v>
      </c>
    </row>
    <row r="1804" spans="1:30">
      <c r="A1804" s="3" t="s">
        <v>4567</v>
      </c>
      <c r="B1804" s="3" t="s">
        <v>11595</v>
      </c>
      <c r="C1804" s="3" t="s">
        <v>11596</v>
      </c>
      <c r="G1804" s="9" t="s">
        <v>12120</v>
      </c>
      <c r="H1804" s="9"/>
      <c r="I1804" s="9"/>
      <c r="J1804" s="9"/>
      <c r="K1804" s="9"/>
      <c r="L1804" s="9"/>
      <c r="M1804" s="9"/>
      <c r="N1804" s="10"/>
      <c r="O1804" s="9"/>
      <c r="P1804" s="9"/>
      <c r="Q1804" s="9"/>
      <c r="R1804" s="9" t="s">
        <v>12795</v>
      </c>
      <c r="S1804" s="9" t="s">
        <v>12795</v>
      </c>
      <c r="T1804" s="9"/>
      <c r="U1804" s="9"/>
      <c r="V1804" s="9"/>
      <c r="W1804" s="9"/>
      <c r="X1804" s="9"/>
      <c r="Y1804" s="9"/>
      <c r="Z1804" s="9"/>
      <c r="AA1804" s="9"/>
      <c r="AB1804" s="9"/>
      <c r="AC1804" s="9"/>
      <c r="AD1804" s="9" t="s">
        <v>19</v>
      </c>
    </row>
    <row r="1805" spans="1:30" ht="29">
      <c r="A1805" s="3" t="s">
        <v>4567</v>
      </c>
      <c r="B1805" s="3" t="s">
        <v>11601</v>
      </c>
      <c r="C1805" s="3" t="s">
        <v>11602</v>
      </c>
      <c r="G1805" s="9" t="s">
        <v>12118</v>
      </c>
      <c r="H1805" s="9"/>
      <c r="I1805" s="9"/>
      <c r="J1805" s="9"/>
      <c r="K1805" s="9"/>
      <c r="L1805" s="9"/>
      <c r="M1805" s="9"/>
      <c r="N1805" s="10"/>
      <c r="O1805" s="9"/>
      <c r="P1805" s="9"/>
      <c r="Q1805" s="9">
        <v>-1800</v>
      </c>
      <c r="R1805" s="9">
        <v>1966</v>
      </c>
      <c r="S1805" s="9">
        <v>166</v>
      </c>
      <c r="T1805" s="9"/>
      <c r="U1805" s="9"/>
      <c r="V1805" s="9"/>
      <c r="W1805" s="9"/>
      <c r="X1805" s="9"/>
      <c r="Y1805" s="9"/>
      <c r="Z1805" s="9"/>
      <c r="AA1805" s="9"/>
      <c r="AB1805" s="9"/>
      <c r="AC1805" s="9"/>
      <c r="AD1805" s="9" t="s">
        <v>19</v>
      </c>
    </row>
    <row r="1806" spans="1:30" ht="29">
      <c r="A1806" s="3" t="s">
        <v>4570</v>
      </c>
      <c r="B1806" s="3" t="s">
        <v>11604</v>
      </c>
      <c r="C1806" s="3" t="s">
        <v>11603</v>
      </c>
      <c r="G1806" s="9" t="s">
        <v>25</v>
      </c>
      <c r="H1806" s="9"/>
      <c r="I1806" s="9">
        <v>5</v>
      </c>
      <c r="J1806" s="9">
        <v>18</v>
      </c>
      <c r="K1806" s="9"/>
      <c r="L1806" s="9" t="s">
        <v>12079</v>
      </c>
      <c r="M1806" s="9"/>
      <c r="N1806" s="10"/>
      <c r="O1806" s="9"/>
      <c r="P1806" s="9">
        <v>1</v>
      </c>
      <c r="Q1806" s="9"/>
      <c r="R1806" s="9" t="s">
        <v>12795</v>
      </c>
      <c r="S1806" s="9" t="s">
        <v>12795</v>
      </c>
      <c r="T1806" s="9"/>
      <c r="U1806" s="9"/>
      <c r="V1806" s="9"/>
      <c r="W1806" s="9"/>
      <c r="X1806" s="9"/>
      <c r="Y1806" s="9"/>
      <c r="Z1806" s="9"/>
      <c r="AA1806" s="9"/>
      <c r="AB1806" s="9"/>
      <c r="AC1806" s="9"/>
      <c r="AD1806" s="9" t="s">
        <v>19</v>
      </c>
    </row>
    <row r="1807" spans="1:30" ht="29">
      <c r="A1807" s="3" t="s">
        <v>4576</v>
      </c>
      <c r="B1807" s="3" t="s">
        <v>11626</v>
      </c>
      <c r="C1807" s="3" t="s">
        <v>11625</v>
      </c>
      <c r="G1807" s="9" t="s">
        <v>12118</v>
      </c>
      <c r="H1807" s="9"/>
      <c r="I1807" s="9"/>
      <c r="J1807" s="9"/>
      <c r="K1807" s="9"/>
      <c r="L1807" s="9"/>
      <c r="M1807" s="9"/>
      <c r="N1807" s="10"/>
      <c r="O1807" s="9"/>
      <c r="P1807" s="9"/>
      <c r="Q1807" s="9">
        <v>26</v>
      </c>
      <c r="R1807" s="9">
        <v>21</v>
      </c>
      <c r="S1807" s="9">
        <v>47</v>
      </c>
      <c r="T1807" s="9"/>
      <c r="U1807" s="9"/>
      <c r="V1807" s="9"/>
      <c r="W1807" s="9"/>
      <c r="X1807" s="9"/>
      <c r="Y1807" s="9"/>
      <c r="Z1807" s="9"/>
      <c r="AA1807" s="9"/>
      <c r="AB1807" s="9"/>
      <c r="AC1807" s="9"/>
      <c r="AD1807" s="9" t="s">
        <v>20</v>
      </c>
    </row>
    <row r="1808" spans="1:30" ht="29">
      <c r="A1808" s="3" t="s">
        <v>4579</v>
      </c>
      <c r="B1808" s="3" t="s">
        <v>11632</v>
      </c>
      <c r="C1808" s="3" t="s">
        <v>11635</v>
      </c>
      <c r="G1808" s="9" t="s">
        <v>24</v>
      </c>
      <c r="H1808" s="9"/>
      <c r="I1808" s="9">
        <v>1</v>
      </c>
      <c r="J1808" s="9">
        <v>2</v>
      </c>
      <c r="K1808" s="9" t="s">
        <v>12087</v>
      </c>
      <c r="L1808" s="9" t="s">
        <v>12119</v>
      </c>
      <c r="M1808" s="9"/>
      <c r="N1808" s="10"/>
      <c r="O1808" s="9"/>
      <c r="P1808" s="9">
        <v>166</v>
      </c>
      <c r="Q1808" s="9"/>
      <c r="R1808" s="9" t="s">
        <v>12795</v>
      </c>
      <c r="S1808" s="9" t="s">
        <v>12795</v>
      </c>
      <c r="T1808" s="9"/>
      <c r="U1808" s="9"/>
      <c r="V1808" s="9"/>
      <c r="W1808" s="9"/>
      <c r="X1808" s="9"/>
      <c r="Y1808" s="9"/>
      <c r="Z1808" s="9"/>
      <c r="AA1808" s="9"/>
      <c r="AB1808" s="9"/>
      <c r="AC1808" s="9"/>
      <c r="AD1808" s="9" t="s">
        <v>19</v>
      </c>
    </row>
    <row r="1809" spans="1:30" ht="29">
      <c r="A1809" s="3" t="s">
        <v>4579</v>
      </c>
      <c r="B1809" s="3" t="s">
        <v>11639</v>
      </c>
      <c r="C1809" s="3" t="s">
        <v>11638</v>
      </c>
      <c r="G1809" s="9" t="s">
        <v>26</v>
      </c>
      <c r="H1809" s="9"/>
      <c r="I1809" s="9"/>
      <c r="J1809" s="9"/>
      <c r="K1809" s="9"/>
      <c r="L1809" s="9"/>
      <c r="M1809" s="9"/>
      <c r="N1809" s="10"/>
      <c r="O1809" s="9"/>
      <c r="P1809" s="9"/>
      <c r="Q1809" s="9"/>
      <c r="R1809" s="9" t="s">
        <v>12795</v>
      </c>
      <c r="S1809" s="9" t="s">
        <v>12795</v>
      </c>
      <c r="T1809" s="9"/>
      <c r="U1809" s="9"/>
      <c r="V1809" s="9"/>
      <c r="W1809" s="9"/>
      <c r="X1809" s="9"/>
      <c r="Y1809" s="9"/>
      <c r="Z1809" s="9"/>
      <c r="AA1809" s="9"/>
      <c r="AB1809" s="9"/>
      <c r="AC1809" s="9"/>
      <c r="AD1809" s="9" t="s">
        <v>19</v>
      </c>
    </row>
    <row r="1810" spans="1:30" ht="29">
      <c r="A1810" s="3" t="s">
        <v>4580</v>
      </c>
      <c r="B1810" s="3" t="s">
        <v>3635</v>
      </c>
      <c r="C1810" s="3" t="s">
        <v>4581</v>
      </c>
      <c r="G1810" s="9" t="s">
        <v>12120</v>
      </c>
      <c r="H1810" s="9"/>
      <c r="I1810" s="9"/>
      <c r="J1810" s="9"/>
      <c r="K1810" s="9"/>
      <c r="L1810" s="9"/>
      <c r="M1810" s="9"/>
      <c r="N1810" s="10"/>
      <c r="O1810" s="9"/>
      <c r="P1810" s="9"/>
      <c r="Q1810" s="9"/>
      <c r="R1810" s="9" t="s">
        <v>12795</v>
      </c>
      <c r="S1810" s="9" t="s">
        <v>12795</v>
      </c>
      <c r="T1810" s="9"/>
      <c r="U1810" s="9"/>
      <c r="V1810" s="9"/>
      <c r="W1810" s="9"/>
      <c r="X1810" s="9"/>
      <c r="Y1810" s="9"/>
      <c r="Z1810" s="9"/>
      <c r="AA1810" s="9"/>
      <c r="AB1810" s="9"/>
      <c r="AC1810" s="9"/>
      <c r="AD1810" s="9" t="s">
        <v>19</v>
      </c>
    </row>
    <row r="1811" spans="1:30" ht="29">
      <c r="A1811" s="3" t="s">
        <v>4587</v>
      </c>
      <c r="B1811" s="3" t="s">
        <v>11653</v>
      </c>
      <c r="C1811" s="3" t="s">
        <v>11652</v>
      </c>
      <c r="G1811" s="9" t="s">
        <v>24</v>
      </c>
      <c r="H1811" s="9"/>
      <c r="I1811" s="9">
        <v>1</v>
      </c>
      <c r="J1811" s="9">
        <v>1</v>
      </c>
      <c r="K1811" s="9" t="s">
        <v>12078</v>
      </c>
      <c r="L1811" s="9" t="s">
        <v>12119</v>
      </c>
      <c r="M1811" s="9"/>
      <c r="N1811" s="10"/>
      <c r="O1811" s="9"/>
      <c r="P1811" s="9">
        <v>11843</v>
      </c>
      <c r="Q1811" s="9"/>
      <c r="R1811" s="9" t="s">
        <v>12795</v>
      </c>
      <c r="S1811" s="9" t="s">
        <v>12795</v>
      </c>
      <c r="T1811" s="9"/>
      <c r="U1811" s="9"/>
      <c r="V1811" s="9"/>
      <c r="W1811" s="9"/>
      <c r="X1811" s="9"/>
      <c r="Y1811" s="9"/>
      <c r="Z1811" s="9"/>
      <c r="AA1811" s="9"/>
      <c r="AB1811" s="9"/>
      <c r="AC1811" s="9"/>
      <c r="AD1811" s="9" t="s">
        <v>19</v>
      </c>
    </row>
    <row r="1812" spans="1:30" ht="29">
      <c r="A1812" s="3" t="s">
        <v>4587</v>
      </c>
      <c r="B1812" s="3" t="s">
        <v>11654</v>
      </c>
      <c r="C1812" s="3" t="s">
        <v>11655</v>
      </c>
      <c r="G1812" s="9" t="s">
        <v>25</v>
      </c>
      <c r="H1812" s="9"/>
      <c r="I1812" s="9">
        <v>1</v>
      </c>
      <c r="J1812" s="9">
        <v>3</v>
      </c>
      <c r="K1812" s="9" t="s">
        <v>12078</v>
      </c>
      <c r="L1812" s="9" t="s">
        <v>12079</v>
      </c>
      <c r="M1812" s="9"/>
      <c r="N1812" s="10"/>
      <c r="O1812" s="9"/>
      <c r="P1812" s="9">
        <v>11843</v>
      </c>
      <c r="Q1812" s="9"/>
      <c r="R1812" s="9" t="s">
        <v>12795</v>
      </c>
      <c r="S1812" s="9" t="s">
        <v>12795</v>
      </c>
      <c r="T1812" s="9"/>
      <c r="U1812" s="9"/>
      <c r="V1812" s="9"/>
      <c r="W1812" s="9"/>
      <c r="X1812" s="9"/>
      <c r="Y1812" s="9"/>
      <c r="Z1812" s="9"/>
      <c r="AA1812" s="9"/>
      <c r="AB1812" s="9"/>
      <c r="AC1812" s="9"/>
      <c r="AD1812" s="9" t="s">
        <v>19</v>
      </c>
    </row>
    <row r="1813" spans="1:30" ht="29">
      <c r="A1813" s="3" t="s">
        <v>4596</v>
      </c>
      <c r="B1813" s="3" t="s">
        <v>11666</v>
      </c>
      <c r="C1813" s="3" t="s">
        <v>11665</v>
      </c>
      <c r="G1813" s="9" t="s">
        <v>24</v>
      </c>
      <c r="H1813" s="9"/>
      <c r="I1813" s="9">
        <v>1</v>
      </c>
      <c r="J1813" s="9">
        <v>3</v>
      </c>
      <c r="K1813" s="9" t="s">
        <v>12087</v>
      </c>
      <c r="L1813" s="9" t="s">
        <v>12079</v>
      </c>
      <c r="M1813" s="9"/>
      <c r="N1813" s="10"/>
      <c r="O1813" s="9"/>
      <c r="P1813" s="9">
        <v>810</v>
      </c>
      <c r="Q1813" s="9"/>
      <c r="R1813" s="9" t="s">
        <v>12795</v>
      </c>
      <c r="S1813" s="9" t="s">
        <v>12795</v>
      </c>
      <c r="T1813" s="9"/>
      <c r="U1813" s="9"/>
      <c r="V1813" s="9"/>
      <c r="W1813" s="9"/>
      <c r="X1813" s="9"/>
      <c r="Y1813" s="9"/>
      <c r="Z1813" s="9"/>
      <c r="AA1813" s="9"/>
      <c r="AB1813" s="9"/>
      <c r="AC1813" s="9"/>
      <c r="AD1813" s="9" t="s">
        <v>19</v>
      </c>
    </row>
    <row r="1814" spans="1:30" ht="29">
      <c r="A1814" s="3" t="s">
        <v>4600</v>
      </c>
      <c r="B1814" s="3" t="s">
        <v>11673</v>
      </c>
      <c r="C1814" s="3" t="s">
        <v>11674</v>
      </c>
      <c r="G1814" s="9" t="s">
        <v>12120</v>
      </c>
      <c r="H1814" s="9"/>
      <c r="I1814" s="9"/>
      <c r="J1814" s="9"/>
      <c r="K1814" s="9"/>
      <c r="L1814" s="9"/>
      <c r="M1814" s="9"/>
      <c r="N1814" s="10"/>
      <c r="O1814" s="9"/>
      <c r="P1814" s="9"/>
      <c r="Q1814" s="9"/>
      <c r="R1814" s="9" t="s">
        <v>12795</v>
      </c>
      <c r="S1814" s="9" t="s">
        <v>12795</v>
      </c>
      <c r="T1814" s="9"/>
      <c r="U1814" s="9"/>
      <c r="V1814" s="9"/>
      <c r="W1814" s="9"/>
      <c r="X1814" s="9"/>
      <c r="Y1814" s="9"/>
      <c r="Z1814" s="9"/>
      <c r="AA1814" s="9"/>
      <c r="AB1814" s="9"/>
      <c r="AC1814" s="9"/>
      <c r="AD1814" s="9" t="s">
        <v>19</v>
      </c>
    </row>
    <row r="1815" spans="1:30" ht="29">
      <c r="A1815" s="3" t="s">
        <v>4600</v>
      </c>
      <c r="B1815" s="3" t="s">
        <v>11676</v>
      </c>
      <c r="C1815" s="3" t="s">
        <v>11675</v>
      </c>
      <c r="G1815" s="9" t="s">
        <v>24</v>
      </c>
      <c r="H1815" s="9"/>
      <c r="I1815" s="9">
        <v>1</v>
      </c>
      <c r="J1815" s="9">
        <v>3</v>
      </c>
      <c r="K1815" s="9" t="s">
        <v>12087</v>
      </c>
      <c r="L1815" s="9" t="s">
        <v>12073</v>
      </c>
      <c r="M1815" s="9" t="s">
        <v>12149</v>
      </c>
      <c r="N1815" s="10" t="s">
        <v>12143</v>
      </c>
      <c r="O1815" s="9"/>
      <c r="P1815" s="9">
        <v>5676</v>
      </c>
      <c r="Q1815" s="9"/>
      <c r="R1815" s="9" t="s">
        <v>12795</v>
      </c>
      <c r="S1815" s="9" t="s">
        <v>12795</v>
      </c>
      <c r="T1815" s="9"/>
      <c r="U1815" s="9"/>
      <c r="V1815" s="9"/>
      <c r="W1815" s="9"/>
      <c r="X1815" s="9"/>
      <c r="Y1815" s="9"/>
      <c r="Z1815" s="9"/>
      <c r="AA1815" s="9"/>
      <c r="AB1815" s="9"/>
      <c r="AC1815" s="9"/>
      <c r="AD1815" s="9" t="s">
        <v>20</v>
      </c>
    </row>
    <row r="1816" spans="1:30" ht="29">
      <c r="A1816" s="3" t="s">
        <v>4600</v>
      </c>
      <c r="B1816" s="3" t="s">
        <v>11680</v>
      </c>
      <c r="C1816" s="3" t="s">
        <v>11679</v>
      </c>
      <c r="G1816" s="9" t="s">
        <v>24</v>
      </c>
      <c r="H1816" s="9"/>
      <c r="I1816" s="9">
        <v>1</v>
      </c>
      <c r="J1816" s="9">
        <v>1</v>
      </c>
      <c r="K1816" s="9" t="s">
        <v>12078</v>
      </c>
      <c r="L1816" s="9" t="s">
        <v>12119</v>
      </c>
      <c r="M1816" s="9"/>
      <c r="N1816" s="10"/>
      <c r="O1816" s="9" t="s">
        <v>12074</v>
      </c>
      <c r="P1816" s="9">
        <v>11843</v>
      </c>
      <c r="Q1816" s="9"/>
      <c r="R1816" s="9" t="s">
        <v>12795</v>
      </c>
      <c r="S1816" s="9" t="s">
        <v>12795</v>
      </c>
      <c r="T1816" s="9"/>
      <c r="U1816" s="9"/>
      <c r="V1816" s="9"/>
      <c r="W1816" s="9"/>
      <c r="X1816" s="9"/>
      <c r="Y1816" s="9"/>
      <c r="Z1816" s="9"/>
      <c r="AA1816" s="9"/>
      <c r="AB1816" s="9"/>
      <c r="AC1816" s="9"/>
      <c r="AD1816" s="9" t="s">
        <v>19</v>
      </c>
    </row>
    <row r="1817" spans="1:30" ht="29">
      <c r="A1817" s="3" t="s">
        <v>4603</v>
      </c>
      <c r="B1817" s="3" t="s">
        <v>11693</v>
      </c>
      <c r="C1817" s="3" t="s">
        <v>11694</v>
      </c>
      <c r="G1817" s="9" t="s">
        <v>24</v>
      </c>
      <c r="H1817" s="9"/>
      <c r="I1817" s="9">
        <v>1</v>
      </c>
      <c r="J1817" s="9">
        <v>3</v>
      </c>
      <c r="K1817" s="9" t="s">
        <v>12078</v>
      </c>
      <c r="L1817" s="9" t="s">
        <v>12079</v>
      </c>
      <c r="M1817" s="9"/>
      <c r="N1817" s="10"/>
      <c r="O1817" s="9"/>
      <c r="P1817" s="9">
        <v>11843</v>
      </c>
      <c r="Q1817" s="9"/>
      <c r="R1817" s="9" t="s">
        <v>12795</v>
      </c>
      <c r="S1817" s="9" t="s">
        <v>12795</v>
      </c>
      <c r="T1817" s="9"/>
      <c r="U1817" s="9"/>
      <c r="V1817" s="9"/>
      <c r="W1817" s="9"/>
      <c r="X1817" s="9"/>
      <c r="Y1817" s="9"/>
      <c r="Z1817" s="9"/>
      <c r="AA1817" s="9"/>
      <c r="AB1817" s="9"/>
      <c r="AC1817" s="9"/>
      <c r="AD1817" s="9" t="s">
        <v>19</v>
      </c>
    </row>
    <row r="1818" spans="1:30" ht="29">
      <c r="A1818" s="3" t="s">
        <v>4617</v>
      </c>
      <c r="B1818" s="3" t="s">
        <v>11701</v>
      </c>
      <c r="C1818" s="3" t="s">
        <v>11702</v>
      </c>
      <c r="G1818" s="9" t="s">
        <v>12118</v>
      </c>
      <c r="H1818" s="9"/>
      <c r="I1818" s="9"/>
      <c r="J1818" s="9"/>
      <c r="K1818" s="9"/>
      <c r="L1818" s="9"/>
      <c r="M1818" s="9"/>
      <c r="N1818" s="10"/>
      <c r="O1818" s="9"/>
      <c r="P1818" s="9"/>
      <c r="Q1818" s="9">
        <v>245</v>
      </c>
      <c r="R1818" s="9">
        <v>1496</v>
      </c>
      <c r="S1818" s="9">
        <v>1741</v>
      </c>
      <c r="T1818" s="9"/>
      <c r="U1818" s="9"/>
      <c r="V1818" s="9"/>
      <c r="W1818" s="9"/>
      <c r="X1818" s="9"/>
      <c r="Y1818" s="9"/>
      <c r="Z1818" s="9"/>
      <c r="AA1818" s="9"/>
      <c r="AB1818" s="9"/>
      <c r="AC1818" s="9"/>
      <c r="AD1818" s="9" t="s">
        <v>19</v>
      </c>
    </row>
    <row r="1819" spans="1:30" ht="29">
      <c r="A1819" s="3" t="s">
        <v>4618</v>
      </c>
      <c r="B1819" s="3" t="s">
        <v>12956</v>
      </c>
      <c r="C1819" s="3" t="s">
        <v>11706</v>
      </c>
      <c r="G1819" s="9" t="s">
        <v>26</v>
      </c>
      <c r="H1819" s="9"/>
      <c r="I1819" s="9"/>
      <c r="J1819" s="9"/>
      <c r="K1819" s="9"/>
      <c r="L1819" s="9"/>
      <c r="M1819" s="9"/>
      <c r="N1819" s="10"/>
      <c r="O1819" s="9"/>
      <c r="P1819" s="9"/>
      <c r="Q1819" s="9"/>
      <c r="R1819" s="9" t="s">
        <v>12795</v>
      </c>
      <c r="S1819" s="9" t="s">
        <v>12795</v>
      </c>
      <c r="T1819" s="9"/>
      <c r="U1819" s="9"/>
      <c r="V1819" s="9"/>
      <c r="W1819" s="9"/>
      <c r="X1819" s="9"/>
      <c r="Y1819" s="9"/>
      <c r="Z1819" s="9"/>
      <c r="AA1819" s="9"/>
      <c r="AB1819" s="9"/>
      <c r="AC1819" s="9"/>
      <c r="AD1819" s="9" t="s">
        <v>20</v>
      </c>
    </row>
    <row r="1820" spans="1:30" ht="29">
      <c r="A1820" s="3" t="s">
        <v>4621</v>
      </c>
      <c r="B1820" s="3" t="s">
        <v>11707</v>
      </c>
      <c r="C1820" s="3" t="s">
        <v>11708</v>
      </c>
      <c r="G1820" s="9" t="s">
        <v>12118</v>
      </c>
      <c r="H1820" s="9"/>
      <c r="I1820" s="9"/>
      <c r="J1820" s="9"/>
      <c r="K1820" s="9"/>
      <c r="L1820" s="9"/>
      <c r="M1820" s="9"/>
      <c r="N1820" s="10"/>
      <c r="O1820" s="9"/>
      <c r="P1820" s="9"/>
      <c r="Q1820" s="9">
        <v>85</v>
      </c>
      <c r="R1820" s="9">
        <v>8</v>
      </c>
      <c r="S1820" s="9">
        <v>93</v>
      </c>
      <c r="T1820" s="9"/>
      <c r="U1820" s="9"/>
      <c r="V1820" s="9"/>
      <c r="W1820" s="9"/>
      <c r="X1820" s="9"/>
      <c r="Y1820" s="9"/>
      <c r="Z1820" s="9"/>
      <c r="AA1820" s="9"/>
      <c r="AB1820" s="9"/>
      <c r="AC1820" s="9"/>
      <c r="AD1820" s="9" t="s">
        <v>20</v>
      </c>
    </row>
    <row r="1821" spans="1:30" ht="29">
      <c r="A1821" s="3" t="s">
        <v>4621</v>
      </c>
      <c r="B1821" s="3" t="s">
        <v>12615</v>
      </c>
      <c r="C1821" s="3" t="s">
        <v>12616</v>
      </c>
      <c r="G1821" s="9" t="s">
        <v>12118</v>
      </c>
      <c r="H1821" s="9"/>
      <c r="I1821" s="9"/>
      <c r="J1821" s="9"/>
      <c r="K1821" s="9"/>
      <c r="L1821" s="9"/>
      <c r="M1821" s="9"/>
      <c r="N1821" s="10"/>
      <c r="O1821" s="9"/>
      <c r="P1821" s="9"/>
      <c r="Q1821" s="9">
        <v>-48</v>
      </c>
      <c r="R1821" s="9">
        <v>49</v>
      </c>
      <c r="S1821" s="9">
        <v>1</v>
      </c>
      <c r="T1821" s="9"/>
      <c r="U1821" s="9"/>
      <c r="V1821" s="9"/>
      <c r="W1821" s="9"/>
      <c r="X1821" s="9"/>
      <c r="Y1821" s="9"/>
      <c r="Z1821" s="9"/>
      <c r="AA1821" s="9"/>
      <c r="AB1821" s="9"/>
      <c r="AC1821" s="9"/>
      <c r="AD1821" s="9" t="s">
        <v>19</v>
      </c>
    </row>
    <row r="1822" spans="1:30">
      <c r="A1822" s="3" t="s">
        <v>4624</v>
      </c>
      <c r="B1822" s="3" t="s">
        <v>11717</v>
      </c>
      <c r="C1822" s="3" t="s">
        <v>11716</v>
      </c>
      <c r="G1822" s="9" t="s">
        <v>25</v>
      </c>
      <c r="H1822" s="9"/>
      <c r="I1822" s="9">
        <v>1</v>
      </c>
      <c r="J1822" s="9">
        <v>2</v>
      </c>
      <c r="K1822" s="9" t="s">
        <v>12078</v>
      </c>
      <c r="L1822" s="9" t="s">
        <v>12119</v>
      </c>
      <c r="M1822" s="9"/>
      <c r="N1822" s="10"/>
      <c r="O1822" s="9"/>
      <c r="P1822" s="9">
        <v>11843</v>
      </c>
      <c r="Q1822" s="9"/>
      <c r="R1822" s="9" t="s">
        <v>12795</v>
      </c>
      <c r="S1822" s="9" t="s">
        <v>12795</v>
      </c>
      <c r="T1822" s="9"/>
      <c r="U1822" s="9"/>
      <c r="V1822" s="9"/>
      <c r="W1822" s="9"/>
      <c r="X1822" s="9"/>
      <c r="Y1822" s="9"/>
      <c r="Z1822" s="9"/>
      <c r="AA1822" s="9"/>
      <c r="AB1822" s="9"/>
      <c r="AC1822" s="9"/>
      <c r="AD1822" s="9" t="s">
        <v>20</v>
      </c>
    </row>
    <row r="1823" spans="1:30" ht="43.5">
      <c r="A1823" s="3" t="s">
        <v>4624</v>
      </c>
      <c r="B1823" s="3" t="s">
        <v>11718</v>
      </c>
      <c r="C1823" s="3" t="s">
        <v>11721</v>
      </c>
      <c r="E1823" t="s">
        <v>20</v>
      </c>
      <c r="G1823" s="9" t="s">
        <v>24</v>
      </c>
      <c r="H1823" s="9"/>
      <c r="I1823" s="9">
        <v>1</v>
      </c>
      <c r="J1823" s="9">
        <v>3</v>
      </c>
      <c r="K1823" s="9" t="s">
        <v>12087</v>
      </c>
      <c r="L1823" s="9" t="s">
        <v>12079</v>
      </c>
      <c r="M1823" s="9"/>
      <c r="N1823" s="10"/>
      <c r="O1823" s="9"/>
      <c r="P1823" s="9">
        <v>5676</v>
      </c>
      <c r="Q1823" s="9"/>
      <c r="R1823" s="9" t="s">
        <v>12795</v>
      </c>
      <c r="S1823" s="9" t="s">
        <v>12795</v>
      </c>
      <c r="T1823" s="9"/>
      <c r="U1823" s="9"/>
      <c r="V1823" s="9"/>
      <c r="W1823" s="9"/>
      <c r="X1823" s="9"/>
      <c r="Y1823" s="9"/>
      <c r="Z1823" s="9"/>
      <c r="AA1823" s="9"/>
      <c r="AB1823" s="9"/>
      <c r="AC1823" s="9"/>
      <c r="AD1823" s="9" t="s">
        <v>19</v>
      </c>
    </row>
    <row r="1824" spans="1:30">
      <c r="A1824" s="3" t="s">
        <v>4634</v>
      </c>
      <c r="B1824" s="3" t="s">
        <v>11746</v>
      </c>
      <c r="C1824" s="3" t="s">
        <v>11745</v>
      </c>
      <c r="G1824" s="9" t="s">
        <v>12118</v>
      </c>
      <c r="H1824" s="9"/>
      <c r="I1824" s="9"/>
      <c r="J1824" s="9"/>
      <c r="K1824" s="9"/>
      <c r="L1824" s="9"/>
      <c r="M1824" s="9"/>
      <c r="N1824" s="10"/>
      <c r="O1824" s="9"/>
      <c r="P1824" s="9"/>
      <c r="Q1824" s="9">
        <v>1800</v>
      </c>
      <c r="R1824" s="9">
        <v>166</v>
      </c>
      <c r="S1824" s="9">
        <v>1966</v>
      </c>
      <c r="T1824" s="9"/>
      <c r="U1824" s="9"/>
      <c r="V1824" s="9"/>
      <c r="W1824" s="9"/>
      <c r="X1824" s="9"/>
      <c r="Y1824" s="9"/>
      <c r="Z1824" s="9"/>
      <c r="AA1824" s="9"/>
      <c r="AB1824" s="9"/>
      <c r="AC1824" s="9"/>
      <c r="AD1824" s="9" t="s">
        <v>19</v>
      </c>
    </row>
    <row r="1825" spans="1:30">
      <c r="A1825" s="3" t="s">
        <v>4634</v>
      </c>
      <c r="B1825" s="3" t="s">
        <v>11750</v>
      </c>
      <c r="C1825" s="3" t="s">
        <v>11749</v>
      </c>
      <c r="G1825" s="9" t="s">
        <v>24</v>
      </c>
      <c r="H1825" s="9"/>
      <c r="I1825" s="9">
        <v>1</v>
      </c>
      <c r="J1825" s="9">
        <v>2</v>
      </c>
      <c r="K1825" s="9" t="s">
        <v>12087</v>
      </c>
      <c r="L1825" s="9" t="s">
        <v>12119</v>
      </c>
      <c r="M1825" s="9"/>
      <c r="N1825" s="10"/>
      <c r="O1825" s="9"/>
      <c r="P1825" s="9">
        <v>166</v>
      </c>
      <c r="Q1825" s="9"/>
      <c r="R1825" s="9" t="s">
        <v>12795</v>
      </c>
      <c r="S1825" s="9" t="s">
        <v>12795</v>
      </c>
      <c r="T1825" s="9"/>
      <c r="U1825" s="9"/>
      <c r="V1825" s="9"/>
      <c r="W1825" s="9"/>
      <c r="X1825" s="9"/>
      <c r="Y1825" s="9"/>
      <c r="Z1825" s="9"/>
      <c r="AA1825" s="9"/>
      <c r="AB1825" s="9"/>
      <c r="AC1825" s="9"/>
      <c r="AD1825" s="9" t="s">
        <v>19</v>
      </c>
    </row>
    <row r="1826" spans="1:30">
      <c r="A1826" s="3" t="s">
        <v>4635</v>
      </c>
      <c r="B1826" s="3" t="s">
        <v>4636</v>
      </c>
      <c r="C1826" s="3" t="s">
        <v>4637</v>
      </c>
      <c r="G1826" s="9" t="s">
        <v>12121</v>
      </c>
      <c r="H1826" s="9"/>
      <c r="I1826" s="9"/>
      <c r="J1826" s="9"/>
      <c r="K1826" s="9"/>
      <c r="L1826" s="9"/>
      <c r="M1826" s="9"/>
      <c r="N1826" s="10"/>
      <c r="O1826" s="9"/>
      <c r="P1826" s="9"/>
      <c r="Q1826" s="9">
        <v>46</v>
      </c>
      <c r="R1826" s="9">
        <v>7</v>
      </c>
      <c r="S1826" s="9">
        <v>53</v>
      </c>
      <c r="T1826" s="9"/>
      <c r="U1826" s="9"/>
      <c r="V1826" s="9"/>
      <c r="W1826" s="9"/>
      <c r="X1826" s="9"/>
      <c r="Y1826" s="9"/>
      <c r="Z1826" s="9"/>
      <c r="AA1826" s="9"/>
      <c r="AB1826" s="9"/>
      <c r="AC1826" s="9"/>
      <c r="AD1826" s="9" t="s">
        <v>19</v>
      </c>
    </row>
    <row r="1827" spans="1:30">
      <c r="A1827" s="3" t="s">
        <v>4635</v>
      </c>
      <c r="B1827" s="3" t="s">
        <v>11753</v>
      </c>
      <c r="C1827" s="3" t="s">
        <v>11754</v>
      </c>
      <c r="G1827" s="9" t="s">
        <v>12118</v>
      </c>
      <c r="H1827" s="9"/>
      <c r="I1827" s="9"/>
      <c r="J1827" s="9"/>
      <c r="K1827" s="9"/>
      <c r="L1827" s="9"/>
      <c r="M1827" s="9"/>
      <c r="N1827" s="10"/>
      <c r="O1827" s="9"/>
      <c r="P1827" s="9"/>
      <c r="Q1827" s="9">
        <v>348</v>
      </c>
      <c r="R1827" s="9">
        <v>4</v>
      </c>
      <c r="S1827" s="9">
        <v>352</v>
      </c>
      <c r="T1827" s="9"/>
      <c r="U1827" s="9"/>
      <c r="V1827" s="9"/>
      <c r="W1827" s="9"/>
      <c r="X1827" s="9"/>
      <c r="Y1827" s="9"/>
      <c r="Z1827" s="9"/>
      <c r="AA1827" s="9"/>
      <c r="AB1827" s="9"/>
      <c r="AC1827" s="9"/>
      <c r="AD1827" s="9" t="s">
        <v>20</v>
      </c>
    </row>
    <row r="1828" spans="1:30">
      <c r="A1828" s="3" t="s">
        <v>4635</v>
      </c>
      <c r="B1828" s="3" t="s">
        <v>12617</v>
      </c>
      <c r="C1828" s="3" t="s">
        <v>12618</v>
      </c>
      <c r="G1828" s="9" t="s">
        <v>12118</v>
      </c>
      <c r="H1828" s="9"/>
      <c r="I1828" s="9"/>
      <c r="J1828" s="9"/>
      <c r="K1828" s="9"/>
      <c r="L1828" s="9"/>
      <c r="M1828" s="9"/>
      <c r="N1828" s="10"/>
      <c r="O1828" s="9"/>
      <c r="P1828" s="9"/>
      <c r="Q1828" s="9">
        <v>-1</v>
      </c>
      <c r="R1828" s="9">
        <v>4</v>
      </c>
      <c r="S1828" s="9">
        <v>3</v>
      </c>
      <c r="T1828" s="9"/>
      <c r="U1828" s="9"/>
      <c r="V1828" s="9"/>
      <c r="W1828" s="9"/>
      <c r="X1828" s="9"/>
      <c r="Y1828" s="9"/>
      <c r="Z1828" s="9"/>
      <c r="AA1828" s="9"/>
      <c r="AB1828" s="9"/>
      <c r="AC1828" s="9"/>
      <c r="AD1828" s="9" t="s">
        <v>19</v>
      </c>
    </row>
    <row r="1829" spans="1:30" ht="29">
      <c r="A1829" s="3" t="s">
        <v>4640</v>
      </c>
      <c r="B1829" s="3" t="s">
        <v>11761</v>
      </c>
      <c r="C1829" s="3" t="s">
        <v>11762</v>
      </c>
      <c r="G1829" s="9" t="s">
        <v>12118</v>
      </c>
      <c r="H1829" s="9"/>
      <c r="I1829" s="9"/>
      <c r="J1829" s="9"/>
      <c r="K1829" s="9"/>
      <c r="L1829" s="9"/>
      <c r="M1829" s="9"/>
      <c r="N1829" s="10"/>
      <c r="O1829" s="9"/>
      <c r="P1829" s="9"/>
      <c r="Q1829" s="9">
        <v>-541</v>
      </c>
      <c r="R1829" s="9">
        <v>1101</v>
      </c>
      <c r="S1829" s="9">
        <v>560</v>
      </c>
      <c r="T1829" s="9"/>
      <c r="U1829" s="9"/>
      <c r="V1829" s="9"/>
      <c r="W1829" s="9"/>
      <c r="X1829" s="9"/>
      <c r="Y1829" s="9"/>
      <c r="Z1829" s="9"/>
      <c r="AA1829" s="9"/>
      <c r="AB1829" s="9"/>
      <c r="AC1829" s="9"/>
      <c r="AD1829" s="9" t="s">
        <v>19</v>
      </c>
    </row>
    <row r="1830" spans="1:30" ht="29">
      <c r="A1830" s="3" t="s">
        <v>4641</v>
      </c>
      <c r="B1830" s="3" t="s">
        <v>11765</v>
      </c>
      <c r="C1830" s="3" t="s">
        <v>11766</v>
      </c>
      <c r="F1830" t="s">
        <v>19</v>
      </c>
      <c r="G1830" s="9" t="s">
        <v>25</v>
      </c>
      <c r="H1830" s="9"/>
      <c r="I1830" s="9">
        <v>1</v>
      </c>
      <c r="J1830" s="9">
        <v>3</v>
      </c>
      <c r="K1830" s="9" t="s">
        <v>12078</v>
      </c>
      <c r="L1830" s="9" t="s">
        <v>12079</v>
      </c>
      <c r="M1830" s="9"/>
      <c r="N1830" s="10"/>
      <c r="O1830" s="9"/>
      <c r="P1830" s="9">
        <v>11843</v>
      </c>
      <c r="Q1830" s="9"/>
      <c r="R1830" s="9" t="s">
        <v>12795</v>
      </c>
      <c r="S1830" s="9" t="s">
        <v>12795</v>
      </c>
      <c r="T1830" s="9"/>
      <c r="U1830" s="9"/>
      <c r="V1830" s="9"/>
      <c r="W1830" s="9"/>
      <c r="X1830" s="9"/>
      <c r="Y1830" s="9"/>
      <c r="Z1830" s="9"/>
      <c r="AA1830" s="9"/>
      <c r="AB1830" s="9"/>
      <c r="AC1830" s="9"/>
      <c r="AD1830" s="9" t="s">
        <v>20</v>
      </c>
    </row>
    <row r="1831" spans="1:30" ht="29">
      <c r="A1831" s="3" t="s">
        <v>4642</v>
      </c>
      <c r="B1831" s="3" t="s">
        <v>11767</v>
      </c>
      <c r="C1831" s="3" t="s">
        <v>11768</v>
      </c>
      <c r="G1831" s="9" t="s">
        <v>12118</v>
      </c>
      <c r="H1831" s="9"/>
      <c r="I1831" s="9"/>
      <c r="J1831" s="9"/>
      <c r="K1831" s="9"/>
      <c r="L1831" s="9"/>
      <c r="M1831" s="9"/>
      <c r="N1831" s="10"/>
      <c r="O1831" s="9"/>
      <c r="P1831" s="9"/>
      <c r="Q1831" s="9">
        <v>-1</v>
      </c>
      <c r="R1831" s="9">
        <v>1</v>
      </c>
      <c r="S1831" s="9">
        <v>0</v>
      </c>
      <c r="T1831" s="9"/>
      <c r="U1831" s="9"/>
      <c r="V1831" s="9"/>
      <c r="W1831" s="9"/>
      <c r="X1831" s="9"/>
      <c r="Y1831" s="9"/>
      <c r="Z1831" s="9"/>
      <c r="AA1831" s="9"/>
      <c r="AB1831" s="9"/>
      <c r="AC1831" s="9"/>
      <c r="AD1831" s="9" t="s">
        <v>19</v>
      </c>
    </row>
    <row r="1832" spans="1:30" ht="29">
      <c r="A1832" s="3" t="s">
        <v>4644</v>
      </c>
      <c r="B1832" s="3" t="s">
        <v>11777</v>
      </c>
      <c r="C1832" s="3" t="s">
        <v>11776</v>
      </c>
      <c r="G1832" s="9" t="s">
        <v>25</v>
      </c>
      <c r="H1832" s="9"/>
      <c r="I1832" s="9">
        <v>3</v>
      </c>
      <c r="J1832" s="9">
        <v>8</v>
      </c>
      <c r="K1832" s="9"/>
      <c r="L1832" s="9" t="s">
        <v>12079</v>
      </c>
      <c r="M1832" s="9"/>
      <c r="N1832" s="10"/>
      <c r="O1832" s="9"/>
      <c r="P1832" s="9">
        <v>12</v>
      </c>
      <c r="Q1832" s="9"/>
      <c r="R1832" s="9" t="s">
        <v>12795</v>
      </c>
      <c r="S1832" s="9" t="s">
        <v>12795</v>
      </c>
      <c r="T1832" s="9"/>
      <c r="U1832" s="9"/>
      <c r="V1832" s="9"/>
      <c r="W1832" s="9"/>
      <c r="X1832" s="9"/>
      <c r="Y1832" s="9"/>
      <c r="Z1832" s="9"/>
      <c r="AA1832" s="9"/>
      <c r="AB1832" s="9"/>
      <c r="AC1832" s="9"/>
      <c r="AD1832" s="9" t="s">
        <v>20</v>
      </c>
    </row>
    <row r="1833" spans="1:30" ht="29">
      <c r="A1833" s="3" t="s">
        <v>4645</v>
      </c>
      <c r="B1833" s="3" t="s">
        <v>11783</v>
      </c>
      <c r="C1833" s="3" t="s">
        <v>11782</v>
      </c>
      <c r="G1833" s="9" t="s">
        <v>25</v>
      </c>
      <c r="H1833" s="9"/>
      <c r="I1833" s="9">
        <v>1</v>
      </c>
      <c r="J1833" s="9">
        <v>4</v>
      </c>
      <c r="K1833" s="9" t="s">
        <v>12096</v>
      </c>
      <c r="L1833" s="9" t="s">
        <v>12079</v>
      </c>
      <c r="M1833" s="9"/>
      <c r="N1833" s="10"/>
      <c r="O1833" s="9"/>
      <c r="P1833" s="9">
        <v>508</v>
      </c>
      <c r="Q1833" s="9"/>
      <c r="R1833" s="9" t="s">
        <v>12795</v>
      </c>
      <c r="S1833" s="9" t="s">
        <v>12795</v>
      </c>
      <c r="T1833" s="9"/>
      <c r="U1833" s="9"/>
      <c r="V1833" s="9"/>
      <c r="W1833" s="9"/>
      <c r="X1833" s="9"/>
      <c r="Y1833" s="9"/>
      <c r="Z1833" s="9"/>
      <c r="AA1833" s="9"/>
      <c r="AB1833" s="9"/>
      <c r="AC1833" s="9"/>
      <c r="AD1833" s="9" t="s">
        <v>19</v>
      </c>
    </row>
    <row r="1834" spans="1:30" ht="29">
      <c r="A1834" s="3" t="s">
        <v>4646</v>
      </c>
      <c r="B1834" s="3" t="s">
        <v>11794</v>
      </c>
      <c r="C1834" s="3" t="s">
        <v>11795</v>
      </c>
      <c r="G1834" s="9" t="s">
        <v>12118</v>
      </c>
      <c r="H1834" s="9"/>
      <c r="I1834" s="9"/>
      <c r="J1834" s="9"/>
      <c r="K1834" s="9"/>
      <c r="L1834" s="9"/>
      <c r="M1834" s="9"/>
      <c r="N1834" s="10"/>
      <c r="O1834" s="9"/>
      <c r="P1834" s="9"/>
      <c r="Q1834" s="9">
        <v>118</v>
      </c>
      <c r="R1834" s="9">
        <v>2</v>
      </c>
      <c r="S1834" s="9">
        <v>120</v>
      </c>
      <c r="T1834" s="9"/>
      <c r="U1834" s="9"/>
      <c r="V1834" s="9"/>
      <c r="W1834" s="9"/>
      <c r="X1834" s="9"/>
      <c r="Y1834" s="9"/>
      <c r="Z1834" s="9"/>
      <c r="AA1834" s="9"/>
      <c r="AB1834" s="9"/>
      <c r="AC1834" s="9"/>
      <c r="AD1834" s="9" t="s">
        <v>20</v>
      </c>
    </row>
    <row r="1835" spans="1:30" ht="58">
      <c r="A1835" s="3" t="s">
        <v>4646</v>
      </c>
      <c r="B1835" s="3" t="s">
        <v>11796</v>
      </c>
      <c r="C1835" s="3" t="s">
        <v>11797</v>
      </c>
      <c r="G1835" s="9" t="s">
        <v>26</v>
      </c>
      <c r="H1835" s="9"/>
      <c r="I1835" s="9"/>
      <c r="J1835" s="9"/>
      <c r="K1835" s="9"/>
      <c r="L1835" s="9"/>
      <c r="M1835" s="9"/>
      <c r="N1835" s="10"/>
      <c r="O1835" s="9"/>
      <c r="P1835" s="9"/>
      <c r="Q1835" s="9"/>
      <c r="R1835" s="9" t="s">
        <v>12795</v>
      </c>
      <c r="S1835" s="9" t="s">
        <v>12795</v>
      </c>
      <c r="T1835" s="9"/>
      <c r="U1835" s="9"/>
      <c r="V1835" s="9"/>
      <c r="W1835" s="9"/>
      <c r="X1835" s="9"/>
      <c r="Y1835" s="9"/>
      <c r="Z1835" s="9"/>
      <c r="AA1835" s="9"/>
      <c r="AB1835" s="9"/>
      <c r="AC1835" s="9"/>
      <c r="AD1835" s="9" t="s">
        <v>20</v>
      </c>
    </row>
    <row r="1836" spans="1:30" ht="29">
      <c r="A1836" s="3" t="s">
        <v>4648</v>
      </c>
      <c r="B1836" s="3" t="s">
        <v>4649</v>
      </c>
      <c r="C1836" s="3" t="s">
        <v>4650</v>
      </c>
      <c r="G1836" s="9" t="s">
        <v>12120</v>
      </c>
      <c r="H1836" s="9"/>
      <c r="I1836" s="9"/>
      <c r="J1836" s="9"/>
      <c r="K1836" s="9"/>
      <c r="L1836" s="9"/>
      <c r="M1836" s="9"/>
      <c r="N1836" s="10"/>
      <c r="O1836" s="9"/>
      <c r="P1836" s="9"/>
      <c r="Q1836" s="9"/>
      <c r="R1836" s="9" t="s">
        <v>12795</v>
      </c>
      <c r="S1836" s="9" t="s">
        <v>12795</v>
      </c>
      <c r="T1836" s="9"/>
      <c r="U1836" s="9"/>
      <c r="V1836" s="9"/>
      <c r="W1836" s="9"/>
      <c r="X1836" s="9"/>
      <c r="Y1836" s="9"/>
      <c r="Z1836" s="9"/>
      <c r="AA1836" s="9"/>
      <c r="AB1836" s="9"/>
      <c r="AC1836" s="9"/>
      <c r="AD1836" s="9" t="s">
        <v>19</v>
      </c>
    </row>
    <row r="1837" spans="1:30" ht="29">
      <c r="A1837" s="3" t="s">
        <v>4651</v>
      </c>
      <c r="B1837" s="3" t="s">
        <v>11801</v>
      </c>
      <c r="C1837" s="3" t="s">
        <v>11800</v>
      </c>
      <c r="G1837" s="9" t="s">
        <v>12121</v>
      </c>
      <c r="H1837" s="9"/>
      <c r="I1837" s="9"/>
      <c r="J1837" s="9"/>
      <c r="K1837" s="9"/>
      <c r="L1837" s="9"/>
      <c r="M1837" s="9"/>
      <c r="N1837" s="10"/>
      <c r="O1837" s="9"/>
      <c r="P1837" s="9"/>
      <c r="Q1837" s="9">
        <v>7</v>
      </c>
      <c r="R1837" s="9">
        <v>59</v>
      </c>
      <c r="S1837" s="9">
        <v>66</v>
      </c>
      <c r="T1837" s="9"/>
      <c r="U1837" s="9"/>
      <c r="V1837" s="9"/>
      <c r="W1837" s="9"/>
      <c r="X1837" s="9"/>
      <c r="Y1837" s="9"/>
      <c r="Z1837" s="9"/>
      <c r="AA1837" s="9"/>
      <c r="AB1837" s="9"/>
      <c r="AC1837" s="9"/>
      <c r="AD1837" s="9" t="s">
        <v>20</v>
      </c>
    </row>
    <row r="1838" spans="1:30" ht="29">
      <c r="A1838" s="3" t="s">
        <v>4653</v>
      </c>
      <c r="B1838" s="3" t="s">
        <v>11815</v>
      </c>
      <c r="C1838" s="3" t="s">
        <v>11814</v>
      </c>
      <c r="G1838" s="9" t="s">
        <v>24</v>
      </c>
      <c r="H1838" s="9"/>
      <c r="I1838" s="9">
        <v>1</v>
      </c>
      <c r="J1838" s="9">
        <v>2</v>
      </c>
      <c r="K1838" s="9" t="s">
        <v>12087</v>
      </c>
      <c r="L1838" s="9" t="s">
        <v>12119</v>
      </c>
      <c r="M1838" s="9"/>
      <c r="N1838" s="10"/>
      <c r="O1838" s="9"/>
      <c r="P1838" s="9">
        <v>166</v>
      </c>
      <c r="Q1838" s="9"/>
      <c r="R1838" s="9" t="s">
        <v>12795</v>
      </c>
      <c r="S1838" s="9" t="s">
        <v>12795</v>
      </c>
      <c r="T1838" s="9" t="s">
        <v>4</v>
      </c>
      <c r="U1838" s="9"/>
      <c r="V1838" s="9"/>
      <c r="W1838" s="9"/>
      <c r="X1838" s="9"/>
      <c r="Y1838" s="9"/>
      <c r="Z1838" s="9"/>
      <c r="AA1838" s="9"/>
      <c r="AB1838" s="9"/>
      <c r="AC1838" s="9"/>
      <c r="AD1838" s="9" t="s">
        <v>20</v>
      </c>
    </row>
    <row r="1839" spans="1:30" ht="29">
      <c r="A1839" s="3" t="s">
        <v>4654</v>
      </c>
      <c r="B1839" s="3" t="s">
        <v>11821</v>
      </c>
      <c r="C1839" s="3" t="s">
        <v>11820</v>
      </c>
      <c r="G1839" s="9" t="s">
        <v>12118</v>
      </c>
      <c r="H1839" s="9"/>
      <c r="I1839" s="9"/>
      <c r="J1839" s="9"/>
      <c r="K1839" s="9"/>
      <c r="L1839" s="9"/>
      <c r="M1839" s="9"/>
      <c r="N1839" s="10"/>
      <c r="O1839" s="9"/>
      <c r="P1839" s="9"/>
      <c r="Q1839" s="9">
        <v>-163</v>
      </c>
      <c r="R1839" s="9">
        <v>635</v>
      </c>
      <c r="S1839" s="9">
        <v>472</v>
      </c>
      <c r="T1839" s="9"/>
      <c r="U1839" s="9"/>
      <c r="V1839" s="9"/>
      <c r="W1839" s="9"/>
      <c r="X1839" s="9"/>
      <c r="Y1839" s="9"/>
      <c r="Z1839" s="9"/>
      <c r="AA1839" s="9"/>
      <c r="AB1839" s="9"/>
      <c r="AC1839" s="9"/>
      <c r="AD1839" s="9" t="s">
        <v>19</v>
      </c>
    </row>
    <row r="1840" spans="1:30" ht="29">
      <c r="A1840" s="3" t="s">
        <v>4655</v>
      </c>
      <c r="B1840" s="3" t="s">
        <v>11829</v>
      </c>
      <c r="C1840" s="3" t="s">
        <v>11830</v>
      </c>
      <c r="F1840" t="s">
        <v>19</v>
      </c>
      <c r="G1840" s="9" t="s">
        <v>24</v>
      </c>
      <c r="H1840" s="9"/>
      <c r="I1840" s="9">
        <v>1</v>
      </c>
      <c r="J1840" s="9">
        <v>3</v>
      </c>
      <c r="K1840" s="9" t="s">
        <v>12094</v>
      </c>
      <c r="L1840" s="9" t="s">
        <v>12079</v>
      </c>
      <c r="M1840" s="9"/>
      <c r="N1840" s="10"/>
      <c r="O1840" s="9"/>
      <c r="P1840" s="9">
        <v>1496</v>
      </c>
      <c r="Q1840" s="9"/>
      <c r="R1840" s="9" t="s">
        <v>12795</v>
      </c>
      <c r="S1840" s="9" t="s">
        <v>12795</v>
      </c>
      <c r="T1840" s="9"/>
      <c r="U1840" s="9"/>
      <c r="V1840" s="9"/>
      <c r="W1840" s="9"/>
      <c r="X1840" s="9"/>
      <c r="Y1840" s="9"/>
      <c r="Z1840" s="9"/>
      <c r="AA1840" s="9"/>
      <c r="AB1840" s="9"/>
      <c r="AC1840" s="9"/>
      <c r="AD1840" s="9" t="s">
        <v>20</v>
      </c>
    </row>
    <row r="1841" spans="1:30" ht="29">
      <c r="A1841" s="3" t="s">
        <v>4667</v>
      </c>
      <c r="B1841" s="3" t="s">
        <v>11842</v>
      </c>
      <c r="C1841" s="3" t="s">
        <v>11843</v>
      </c>
      <c r="G1841" s="9" t="s">
        <v>24</v>
      </c>
      <c r="H1841" s="9"/>
      <c r="I1841" s="9">
        <v>1</v>
      </c>
      <c r="J1841" s="9">
        <v>2</v>
      </c>
      <c r="K1841" s="9" t="s">
        <v>12087</v>
      </c>
      <c r="L1841" s="9" t="s">
        <v>12119</v>
      </c>
      <c r="M1841" s="9"/>
      <c r="N1841" s="10"/>
      <c r="O1841" s="9"/>
      <c r="P1841" s="9">
        <v>1966</v>
      </c>
      <c r="Q1841" s="9"/>
      <c r="R1841" s="9" t="s">
        <v>12795</v>
      </c>
      <c r="S1841" s="9" t="s">
        <v>12795</v>
      </c>
      <c r="T1841" s="9"/>
      <c r="U1841" s="9"/>
      <c r="V1841" s="9"/>
      <c r="W1841" s="9"/>
      <c r="X1841" s="9"/>
      <c r="Y1841" s="9"/>
      <c r="Z1841" s="9"/>
      <c r="AA1841" s="9"/>
      <c r="AB1841" s="9"/>
      <c r="AC1841" s="9"/>
      <c r="AD1841" s="9" t="s">
        <v>19</v>
      </c>
    </row>
    <row r="1842" spans="1:30" ht="29">
      <c r="A1842" s="3" t="s">
        <v>4672</v>
      </c>
      <c r="B1842" s="3" t="s">
        <v>11872</v>
      </c>
      <c r="C1842" s="3" t="s">
        <v>11873</v>
      </c>
      <c r="G1842" s="9" t="s">
        <v>12118</v>
      </c>
      <c r="H1842" s="9"/>
      <c r="I1842" s="9"/>
      <c r="J1842" s="9"/>
      <c r="K1842" s="9"/>
      <c r="L1842" s="9"/>
      <c r="M1842" s="9"/>
      <c r="N1842" s="10"/>
      <c r="O1842" s="9"/>
      <c r="P1842" s="9"/>
      <c r="Q1842" s="9">
        <v>541</v>
      </c>
      <c r="R1842" s="9">
        <v>560</v>
      </c>
      <c r="S1842" s="9">
        <v>1101</v>
      </c>
      <c r="T1842" s="9"/>
      <c r="U1842" s="9"/>
      <c r="V1842" s="9"/>
      <c r="W1842" s="9"/>
      <c r="X1842" s="9"/>
      <c r="Y1842" s="9"/>
      <c r="Z1842" s="9"/>
      <c r="AA1842" s="9"/>
      <c r="AB1842" s="9"/>
      <c r="AC1842" s="9"/>
      <c r="AD1842" s="9" t="s">
        <v>19</v>
      </c>
    </row>
    <row r="1843" spans="1:30" ht="29">
      <c r="A1843" s="3" t="s">
        <v>4673</v>
      </c>
      <c r="B1843" s="3" t="s">
        <v>11884</v>
      </c>
      <c r="C1843" s="3" t="s">
        <v>11885</v>
      </c>
      <c r="G1843" s="9" t="s">
        <v>12118</v>
      </c>
      <c r="H1843" s="9"/>
      <c r="I1843" s="9"/>
      <c r="J1843" s="9"/>
      <c r="K1843" s="9"/>
      <c r="L1843" s="9"/>
      <c r="M1843" s="9"/>
      <c r="N1843" s="10"/>
      <c r="O1843" s="9"/>
      <c r="P1843" s="9"/>
      <c r="Q1843" s="9">
        <v>493</v>
      </c>
      <c r="R1843" s="9">
        <v>14</v>
      </c>
      <c r="S1843" s="9">
        <v>507</v>
      </c>
      <c r="T1843" s="9"/>
      <c r="U1843" s="9"/>
      <c r="V1843" s="9"/>
      <c r="W1843" s="9"/>
      <c r="X1843" s="9"/>
      <c r="Y1843" s="9"/>
      <c r="Z1843" s="9"/>
      <c r="AA1843" s="9"/>
      <c r="AB1843" s="9"/>
      <c r="AC1843" s="9"/>
      <c r="AD1843" s="9" t="s">
        <v>19</v>
      </c>
    </row>
    <row r="1844" spans="1:30" ht="43.5">
      <c r="A1844" s="3" t="s">
        <v>4686</v>
      </c>
      <c r="B1844" s="3" t="s">
        <v>11897</v>
      </c>
      <c r="C1844" s="3" t="s">
        <v>11894</v>
      </c>
      <c r="G1844" s="9" t="s">
        <v>26</v>
      </c>
      <c r="H1844" s="9"/>
      <c r="I1844" s="9"/>
      <c r="J1844" s="9"/>
      <c r="K1844" s="9"/>
      <c r="L1844" s="9"/>
      <c r="M1844" s="9"/>
      <c r="N1844" s="10"/>
      <c r="O1844" s="9"/>
      <c r="P1844" s="9"/>
      <c r="Q1844" s="9"/>
      <c r="R1844" s="9" t="s">
        <v>12795</v>
      </c>
      <c r="S1844" s="9" t="s">
        <v>12795</v>
      </c>
      <c r="T1844" s="9"/>
      <c r="U1844" s="9"/>
      <c r="V1844" s="9"/>
      <c r="W1844" s="9"/>
      <c r="X1844" s="9"/>
      <c r="Y1844" s="9"/>
      <c r="Z1844" s="9"/>
      <c r="AA1844" s="9"/>
      <c r="AB1844" s="9"/>
      <c r="AC1844" s="9"/>
      <c r="AD1844" s="9" t="s">
        <v>20</v>
      </c>
    </row>
    <row r="1845" spans="1:30" ht="29">
      <c r="A1845" s="3" t="s">
        <v>4690</v>
      </c>
      <c r="B1845" s="3" t="s">
        <v>11905</v>
      </c>
      <c r="C1845" s="3" t="s">
        <v>11906</v>
      </c>
      <c r="G1845" s="9" t="s">
        <v>12118</v>
      </c>
      <c r="H1845" s="9"/>
      <c r="I1845" s="9"/>
      <c r="J1845" s="9"/>
      <c r="K1845" s="9"/>
      <c r="L1845" s="9"/>
      <c r="M1845" s="9"/>
      <c r="N1845" s="10"/>
      <c r="O1845" s="9"/>
      <c r="P1845" s="9"/>
      <c r="Q1845" s="9">
        <v>-111</v>
      </c>
      <c r="R1845" s="9">
        <v>472</v>
      </c>
      <c r="S1845" s="9">
        <v>361</v>
      </c>
      <c r="T1845" s="9"/>
      <c r="U1845" s="9"/>
      <c r="V1845" s="9"/>
      <c r="W1845" s="9"/>
      <c r="X1845" s="9"/>
      <c r="Y1845" s="9"/>
      <c r="Z1845" s="9"/>
      <c r="AA1845" s="9"/>
      <c r="AB1845" s="9"/>
      <c r="AC1845" s="9"/>
      <c r="AD1845" s="9" t="s">
        <v>19</v>
      </c>
    </row>
    <row r="1846" spans="1:30" ht="29">
      <c r="A1846" s="3" t="s">
        <v>4697</v>
      </c>
      <c r="B1846" s="3" t="s">
        <v>11928</v>
      </c>
      <c r="C1846" s="3" t="s">
        <v>11929</v>
      </c>
      <c r="G1846" s="9" t="s">
        <v>26</v>
      </c>
      <c r="H1846" s="9"/>
      <c r="I1846" s="9"/>
      <c r="J1846" s="9"/>
      <c r="K1846" s="9"/>
      <c r="L1846" s="9"/>
      <c r="M1846" s="9"/>
      <c r="N1846" s="10"/>
      <c r="O1846" s="9"/>
      <c r="P1846" s="9"/>
      <c r="Q1846" s="9"/>
      <c r="R1846" s="9" t="s">
        <v>12795</v>
      </c>
      <c r="S1846" s="9" t="s">
        <v>12795</v>
      </c>
      <c r="T1846" s="9"/>
      <c r="U1846" s="9"/>
      <c r="V1846" s="9"/>
      <c r="W1846" s="9"/>
      <c r="X1846" s="9"/>
      <c r="Y1846" s="9"/>
      <c r="Z1846" s="9"/>
      <c r="AA1846" s="9"/>
      <c r="AB1846" s="9"/>
      <c r="AC1846" s="9"/>
      <c r="AD1846" s="9" t="s">
        <v>20</v>
      </c>
    </row>
    <row r="1847" spans="1:30" ht="29">
      <c r="A1847" s="3" t="s">
        <v>4701</v>
      </c>
      <c r="B1847" s="3" t="s">
        <v>11946</v>
      </c>
      <c r="C1847" s="3" t="s">
        <v>11945</v>
      </c>
      <c r="G1847" s="9" t="s">
        <v>12118</v>
      </c>
      <c r="H1847" s="9"/>
      <c r="I1847" s="9"/>
      <c r="J1847" s="9"/>
      <c r="K1847" s="9"/>
      <c r="L1847" s="9"/>
      <c r="M1847" s="9"/>
      <c r="N1847" s="10"/>
      <c r="O1847" s="9"/>
      <c r="P1847" s="9"/>
      <c r="Q1847" s="9">
        <v>-116</v>
      </c>
      <c r="R1847" s="9">
        <v>560</v>
      </c>
      <c r="S1847" s="9">
        <v>444</v>
      </c>
      <c r="T1847" s="9"/>
      <c r="U1847" s="9"/>
      <c r="V1847" s="9"/>
      <c r="W1847" s="9"/>
      <c r="X1847" s="9"/>
      <c r="Y1847" s="9"/>
      <c r="Z1847" s="9"/>
      <c r="AA1847" s="9"/>
      <c r="AB1847" s="9"/>
      <c r="AC1847" s="9"/>
      <c r="AD1847" s="9" t="s">
        <v>20</v>
      </c>
    </row>
    <row r="1848" spans="1:30" ht="29">
      <c r="A1848" s="3" t="s">
        <v>4707</v>
      </c>
      <c r="B1848" s="3" t="s">
        <v>11963</v>
      </c>
      <c r="C1848" s="3" t="s">
        <v>11964</v>
      </c>
      <c r="G1848" s="9" t="s">
        <v>12121</v>
      </c>
      <c r="H1848" s="9"/>
      <c r="I1848" s="9"/>
      <c r="J1848" s="9"/>
      <c r="K1848" s="9"/>
      <c r="L1848" s="9"/>
      <c r="M1848" s="9"/>
      <c r="N1848" s="10"/>
      <c r="O1848" s="9"/>
      <c r="P1848" s="9"/>
      <c r="Q1848" s="9">
        <v>-13</v>
      </c>
      <c r="R1848" s="9">
        <v>16</v>
      </c>
      <c r="S1848" s="9">
        <v>3</v>
      </c>
      <c r="T1848" s="9"/>
      <c r="U1848" s="9"/>
      <c r="V1848" s="9"/>
      <c r="W1848" s="9"/>
      <c r="X1848" s="9"/>
      <c r="Y1848" s="9"/>
      <c r="Z1848" s="9"/>
      <c r="AA1848" s="9"/>
      <c r="AB1848" s="9"/>
      <c r="AC1848" s="9"/>
      <c r="AD1848" s="9" t="s">
        <v>19</v>
      </c>
    </row>
    <row r="1849" spans="1:30" ht="29">
      <c r="A1849" s="3" t="s">
        <v>4708</v>
      </c>
      <c r="B1849" s="3" t="s">
        <v>11966</v>
      </c>
      <c r="C1849" s="3" t="s">
        <v>11965</v>
      </c>
      <c r="G1849" s="9" t="s">
        <v>25</v>
      </c>
      <c r="H1849" s="9"/>
      <c r="I1849" s="9">
        <v>1</v>
      </c>
      <c r="J1849" s="9">
        <v>2</v>
      </c>
      <c r="K1849" s="9" t="s">
        <v>12087</v>
      </c>
      <c r="L1849" s="9" t="s">
        <v>12119</v>
      </c>
      <c r="M1849" s="9"/>
      <c r="N1849" s="10"/>
      <c r="O1849" s="9"/>
      <c r="P1849" s="9">
        <v>1966</v>
      </c>
      <c r="Q1849" s="9"/>
      <c r="R1849" s="9" t="s">
        <v>12795</v>
      </c>
      <c r="S1849" s="9" t="s">
        <v>12795</v>
      </c>
      <c r="T1849" s="9"/>
      <c r="U1849" s="9"/>
      <c r="V1849" s="9"/>
      <c r="W1849" s="9"/>
      <c r="X1849" s="9"/>
      <c r="Y1849" s="9"/>
      <c r="Z1849" s="9"/>
      <c r="AA1849" s="9"/>
      <c r="AB1849" s="9"/>
      <c r="AC1849" s="9"/>
      <c r="AD1849" s="9" t="s">
        <v>19</v>
      </c>
    </row>
    <row r="1850" spans="1:30" ht="29">
      <c r="A1850" s="3" t="s">
        <v>4711</v>
      </c>
      <c r="B1850" s="3" t="s">
        <v>11971</v>
      </c>
      <c r="C1850" s="3" t="s">
        <v>11969</v>
      </c>
      <c r="G1850" s="9" t="s">
        <v>25</v>
      </c>
      <c r="H1850" s="9"/>
      <c r="I1850" s="9">
        <v>1</v>
      </c>
      <c r="J1850" s="9">
        <v>3</v>
      </c>
      <c r="K1850" s="9" t="s">
        <v>12087</v>
      </c>
      <c r="L1850" s="9" t="s">
        <v>12079</v>
      </c>
      <c r="M1850" s="9"/>
      <c r="N1850" s="10"/>
      <c r="O1850" s="9"/>
      <c r="P1850" s="9">
        <v>5676</v>
      </c>
      <c r="Q1850" s="9"/>
      <c r="R1850" s="9" t="s">
        <v>12795</v>
      </c>
      <c r="S1850" s="9" t="s">
        <v>12795</v>
      </c>
      <c r="T1850" s="9"/>
      <c r="U1850" s="9"/>
      <c r="V1850" s="9"/>
      <c r="W1850" s="9"/>
      <c r="X1850" s="9"/>
      <c r="Y1850" s="9"/>
      <c r="Z1850" s="9"/>
      <c r="AA1850" s="9"/>
      <c r="AB1850" s="9"/>
      <c r="AC1850" s="9"/>
      <c r="AD1850" s="9" t="s">
        <v>20</v>
      </c>
    </row>
    <row r="1851" spans="1:30" ht="29">
      <c r="A1851" s="3" t="s">
        <v>4714</v>
      </c>
      <c r="B1851" s="3" t="s">
        <v>4715</v>
      </c>
      <c r="C1851" s="3" t="s">
        <v>4716</v>
      </c>
      <c r="G1851" s="9" t="s">
        <v>12118</v>
      </c>
      <c r="H1851" s="9"/>
      <c r="I1851" s="9"/>
      <c r="J1851" s="9"/>
      <c r="K1851" s="9"/>
      <c r="L1851" s="9"/>
      <c r="M1851" s="9"/>
      <c r="N1851" s="10"/>
      <c r="O1851" s="9"/>
      <c r="P1851" s="9"/>
      <c r="Q1851" s="9">
        <v>-3</v>
      </c>
      <c r="R1851" s="9">
        <v>3</v>
      </c>
      <c r="S1851" s="9">
        <v>0</v>
      </c>
      <c r="T1851" s="9"/>
      <c r="U1851" s="9"/>
      <c r="V1851" s="9"/>
      <c r="W1851" s="9"/>
      <c r="X1851" s="9"/>
      <c r="Y1851" s="9"/>
      <c r="Z1851" s="9"/>
      <c r="AA1851" s="9"/>
      <c r="AB1851" s="9"/>
      <c r="AC1851" s="9"/>
      <c r="AD1851" s="9" t="s">
        <v>20</v>
      </c>
    </row>
    <row r="1852" spans="1:30" ht="29">
      <c r="A1852" s="3" t="s">
        <v>4720</v>
      </c>
      <c r="B1852" s="3" t="s">
        <v>4721</v>
      </c>
      <c r="C1852" s="3" t="s">
        <v>11980</v>
      </c>
      <c r="G1852" s="9" t="s">
        <v>12118</v>
      </c>
      <c r="H1852" s="9"/>
      <c r="I1852" s="9"/>
      <c r="J1852" s="9"/>
      <c r="K1852" s="9"/>
      <c r="L1852" s="9"/>
      <c r="M1852" s="9"/>
      <c r="N1852" s="10"/>
      <c r="O1852" s="9"/>
      <c r="P1852" s="9"/>
      <c r="Q1852" s="9">
        <v>-20</v>
      </c>
      <c r="R1852" s="9">
        <v>20</v>
      </c>
      <c r="S1852" s="9">
        <v>0</v>
      </c>
      <c r="T1852" s="9"/>
      <c r="U1852" s="9"/>
      <c r="V1852" s="9"/>
      <c r="W1852" s="9"/>
      <c r="X1852" s="9"/>
      <c r="Y1852" s="9"/>
      <c r="Z1852" s="9"/>
      <c r="AA1852" s="9"/>
      <c r="AB1852" s="9"/>
      <c r="AC1852" s="9"/>
      <c r="AD1852" s="9" t="s">
        <v>19</v>
      </c>
    </row>
    <row r="1853" spans="1:30" ht="29">
      <c r="A1853" s="3" t="s">
        <v>4724</v>
      </c>
      <c r="B1853" s="3" t="s">
        <v>11988</v>
      </c>
      <c r="C1853" s="3" t="s">
        <v>11987</v>
      </c>
      <c r="G1853" s="9" t="s">
        <v>24</v>
      </c>
      <c r="H1853" s="9"/>
      <c r="I1853" s="9">
        <v>1</v>
      </c>
      <c r="J1853" s="9">
        <v>2</v>
      </c>
      <c r="K1853" s="9" t="s">
        <v>12087</v>
      </c>
      <c r="L1853" s="9" t="s">
        <v>12119</v>
      </c>
      <c r="M1853" s="9"/>
      <c r="N1853" s="10"/>
      <c r="O1853" s="9"/>
      <c r="P1853" s="9">
        <v>1966</v>
      </c>
      <c r="Q1853" s="9"/>
      <c r="R1853" s="9" t="s">
        <v>12795</v>
      </c>
      <c r="S1853" s="9" t="s">
        <v>12795</v>
      </c>
      <c r="T1853" s="9"/>
      <c r="U1853" s="9"/>
      <c r="V1853" s="9"/>
      <c r="W1853" s="9"/>
      <c r="X1853" s="9"/>
      <c r="Y1853" s="9"/>
      <c r="Z1853" s="9"/>
      <c r="AA1853" s="9"/>
      <c r="AB1853" s="9"/>
      <c r="AC1853" s="9"/>
      <c r="AD1853" s="9" t="s">
        <v>19</v>
      </c>
    </row>
    <row r="1854" spans="1:30" ht="29">
      <c r="A1854" s="3" t="s">
        <v>4725</v>
      </c>
      <c r="B1854" s="3" t="s">
        <v>11991</v>
      </c>
      <c r="C1854" s="3" t="s">
        <v>11992</v>
      </c>
      <c r="G1854" s="9" t="s">
        <v>12118</v>
      </c>
      <c r="H1854" s="9"/>
      <c r="I1854" s="9"/>
      <c r="J1854" s="9"/>
      <c r="K1854" s="9"/>
      <c r="L1854" s="9"/>
      <c r="M1854" s="9"/>
      <c r="N1854" s="10"/>
      <c r="O1854" s="9"/>
      <c r="P1854" s="9"/>
      <c r="Q1854" s="9">
        <v>22</v>
      </c>
      <c r="R1854" s="9">
        <v>0</v>
      </c>
      <c r="S1854" s="9">
        <v>22</v>
      </c>
      <c r="T1854" s="9"/>
      <c r="U1854" s="9"/>
      <c r="V1854" s="9"/>
      <c r="W1854" s="9"/>
      <c r="X1854" s="9"/>
      <c r="Y1854" s="9"/>
      <c r="Z1854" s="9"/>
      <c r="AA1854" s="9"/>
      <c r="AB1854" s="9"/>
      <c r="AC1854" s="9"/>
      <c r="AD1854" s="9" t="s">
        <v>20</v>
      </c>
    </row>
    <row r="1855" spans="1:30" ht="43.5">
      <c r="A1855" s="3" t="s">
        <v>4726</v>
      </c>
      <c r="B1855" s="3" t="s">
        <v>11993</v>
      </c>
      <c r="C1855" s="3" t="s">
        <v>11994</v>
      </c>
      <c r="G1855" s="9" t="s">
        <v>26</v>
      </c>
      <c r="H1855" s="9"/>
      <c r="I1855" s="9"/>
      <c r="J1855" s="9"/>
      <c r="K1855" s="9"/>
      <c r="L1855" s="9"/>
      <c r="M1855" s="9"/>
      <c r="N1855" s="10"/>
      <c r="O1855" s="9"/>
      <c r="P1855" s="9"/>
      <c r="Q1855" s="9"/>
      <c r="R1855" s="9" t="s">
        <v>12795</v>
      </c>
      <c r="S1855" s="9" t="s">
        <v>12795</v>
      </c>
      <c r="T1855" s="9"/>
      <c r="U1855" s="9"/>
      <c r="V1855" s="9"/>
      <c r="W1855" s="9"/>
      <c r="X1855" s="9"/>
      <c r="Y1855" s="9"/>
      <c r="Z1855" s="9"/>
      <c r="AA1855" s="9"/>
      <c r="AB1855" s="9"/>
      <c r="AC1855" s="9"/>
      <c r="AD1855" s="9" t="s">
        <v>20</v>
      </c>
    </row>
    <row r="1856" spans="1:30" ht="29">
      <c r="A1856" s="3" t="s">
        <v>4727</v>
      </c>
      <c r="B1856" s="3" t="s">
        <v>11999</v>
      </c>
      <c r="C1856" s="3" t="s">
        <v>12000</v>
      </c>
      <c r="G1856" s="9" t="s">
        <v>25</v>
      </c>
      <c r="H1856" s="9"/>
      <c r="I1856" s="9">
        <v>1</v>
      </c>
      <c r="J1856" s="9">
        <v>2</v>
      </c>
      <c r="K1856" s="9" t="s">
        <v>12123</v>
      </c>
      <c r="L1856" s="9" t="s">
        <v>12119</v>
      </c>
      <c r="M1856" s="9"/>
      <c r="N1856" s="10"/>
      <c r="O1856" s="9"/>
      <c r="P1856" s="9">
        <v>887</v>
      </c>
      <c r="Q1856" s="9"/>
      <c r="R1856" s="9" t="s">
        <v>12795</v>
      </c>
      <c r="S1856" s="9" t="s">
        <v>12795</v>
      </c>
      <c r="T1856" s="9"/>
      <c r="U1856" s="9"/>
      <c r="V1856" s="9"/>
      <c r="W1856" s="9"/>
      <c r="X1856" s="9"/>
      <c r="Y1856" s="9"/>
      <c r="Z1856" s="9"/>
      <c r="AA1856" s="9"/>
      <c r="AB1856" s="9"/>
      <c r="AC1856" s="9"/>
      <c r="AD1856" s="9" t="s">
        <v>20</v>
      </c>
    </row>
    <row r="1857" spans="1:30" ht="29">
      <c r="A1857" s="3" t="s">
        <v>4728</v>
      </c>
      <c r="B1857" s="3" t="s">
        <v>12004</v>
      </c>
      <c r="C1857" s="3" t="s">
        <v>12003</v>
      </c>
      <c r="G1857" s="9" t="s">
        <v>24</v>
      </c>
      <c r="H1857" s="9"/>
      <c r="I1857" s="9">
        <v>1</v>
      </c>
      <c r="J1857" s="9">
        <v>7</v>
      </c>
      <c r="K1857" s="9" t="s">
        <v>12092</v>
      </c>
      <c r="L1857" s="9" t="s">
        <v>12079</v>
      </c>
      <c r="M1857" s="9"/>
      <c r="N1857" s="10"/>
      <c r="O1857" s="9"/>
      <c r="P1857" s="9">
        <v>3</v>
      </c>
      <c r="Q1857" s="9"/>
      <c r="R1857" s="9" t="s">
        <v>12795</v>
      </c>
      <c r="S1857" s="9" t="s">
        <v>12795</v>
      </c>
      <c r="T1857" s="9"/>
      <c r="U1857" s="9"/>
      <c r="V1857" s="9"/>
      <c r="W1857" s="9"/>
      <c r="X1857" s="9"/>
      <c r="Y1857" s="9"/>
      <c r="Z1857" s="9"/>
      <c r="AA1857" s="9"/>
      <c r="AB1857" s="9"/>
      <c r="AC1857" s="9"/>
      <c r="AD1857" s="9" t="s">
        <v>20</v>
      </c>
    </row>
    <row r="1858" spans="1:30" ht="29">
      <c r="A1858" s="3" t="s">
        <v>4734</v>
      </c>
      <c r="B1858" s="3" t="s">
        <v>12007</v>
      </c>
      <c r="C1858" s="3" t="s">
        <v>12008</v>
      </c>
      <c r="G1858" s="9" t="s">
        <v>24</v>
      </c>
      <c r="H1858" s="9"/>
      <c r="I1858" s="9">
        <v>1</v>
      </c>
      <c r="J1858" s="9">
        <v>6</v>
      </c>
      <c r="K1858" s="9" t="s">
        <v>12094</v>
      </c>
      <c r="L1858" s="9" t="s">
        <v>12079</v>
      </c>
      <c r="M1858" s="9"/>
      <c r="N1858" s="10"/>
      <c r="O1858" s="9"/>
      <c r="P1858" s="9">
        <v>4240</v>
      </c>
      <c r="Q1858" s="9"/>
      <c r="R1858" s="9" t="s">
        <v>12795</v>
      </c>
      <c r="S1858" s="9" t="s">
        <v>12795</v>
      </c>
      <c r="T1858" s="9"/>
      <c r="U1858" s="9"/>
      <c r="V1858" s="9"/>
      <c r="W1858" s="9"/>
      <c r="X1858" s="9"/>
      <c r="Y1858" s="9"/>
      <c r="Z1858" s="9"/>
      <c r="AA1858" s="9"/>
      <c r="AB1858" s="9"/>
      <c r="AC1858" s="9"/>
      <c r="AD1858" s="9" t="s">
        <v>19</v>
      </c>
    </row>
    <row r="1859" spans="1:30" ht="29">
      <c r="A1859" s="3" t="s">
        <v>4734</v>
      </c>
      <c r="B1859" s="3" t="s">
        <v>12010</v>
      </c>
      <c r="C1859" s="3" t="s">
        <v>12009</v>
      </c>
      <c r="G1859" s="9" t="s">
        <v>24</v>
      </c>
      <c r="H1859" s="9"/>
      <c r="I1859" s="9">
        <v>1</v>
      </c>
      <c r="J1859" s="9">
        <v>8</v>
      </c>
      <c r="K1859" s="9" t="s">
        <v>12125</v>
      </c>
      <c r="L1859" s="9" t="s">
        <v>12073</v>
      </c>
      <c r="M1859" s="9" t="s">
        <v>12142</v>
      </c>
      <c r="N1859" s="10" t="s">
        <v>12143</v>
      </c>
      <c r="O1859" s="9"/>
      <c r="P1859" s="9">
        <v>11</v>
      </c>
      <c r="Q1859" s="9"/>
      <c r="R1859" s="9" t="s">
        <v>12795</v>
      </c>
      <c r="S1859" s="9" t="s">
        <v>12795</v>
      </c>
      <c r="T1859" s="9"/>
      <c r="U1859" s="9"/>
      <c r="V1859" s="9"/>
      <c r="W1859" s="9"/>
      <c r="X1859" s="9"/>
      <c r="Y1859" s="9"/>
      <c r="Z1859" s="9"/>
      <c r="AA1859" s="9"/>
      <c r="AB1859" s="9"/>
      <c r="AC1859" s="9"/>
      <c r="AD1859" s="9" t="s">
        <v>20</v>
      </c>
    </row>
    <row r="1860" spans="1:30">
      <c r="A1860" s="3" t="s">
        <v>4735</v>
      </c>
      <c r="B1860" s="3" t="s">
        <v>4738</v>
      </c>
      <c r="C1860" s="3" t="s">
        <v>4739</v>
      </c>
      <c r="G1860" s="9" t="s">
        <v>12120</v>
      </c>
      <c r="H1860" s="9"/>
      <c r="I1860" s="9"/>
      <c r="J1860" s="9"/>
      <c r="K1860" s="9"/>
      <c r="L1860" s="9"/>
      <c r="M1860" s="9"/>
      <c r="N1860" s="10"/>
      <c r="O1860" s="9"/>
      <c r="P1860" s="9"/>
      <c r="Q1860" s="9"/>
      <c r="R1860" s="9" t="s">
        <v>12795</v>
      </c>
      <c r="S1860" s="9" t="s">
        <v>12795</v>
      </c>
      <c r="T1860" s="9"/>
      <c r="U1860" s="9"/>
      <c r="V1860" s="9"/>
      <c r="W1860" s="9"/>
      <c r="X1860" s="9"/>
      <c r="Y1860" s="9"/>
      <c r="Z1860" s="9"/>
      <c r="AA1860" s="9"/>
      <c r="AB1860" s="9"/>
      <c r="AC1860" s="9"/>
      <c r="AD1860" s="9" t="s">
        <v>20</v>
      </c>
    </row>
    <row r="1861" spans="1:30">
      <c r="A1861" s="3" t="s">
        <v>4735</v>
      </c>
      <c r="B1861" s="3" t="s">
        <v>4740</v>
      </c>
      <c r="C1861" s="3" t="s">
        <v>4741</v>
      </c>
      <c r="G1861" s="9" t="s">
        <v>12120</v>
      </c>
      <c r="H1861" s="9"/>
      <c r="I1861" s="9"/>
      <c r="J1861" s="9"/>
      <c r="K1861" s="9"/>
      <c r="L1861" s="9"/>
      <c r="M1861" s="9"/>
      <c r="N1861" s="10"/>
      <c r="O1861" s="9"/>
      <c r="P1861" s="9"/>
      <c r="Q1861" s="9"/>
      <c r="R1861" s="9" t="s">
        <v>12795</v>
      </c>
      <c r="S1861" s="9" t="s">
        <v>12795</v>
      </c>
      <c r="T1861" s="9"/>
      <c r="U1861" s="9"/>
      <c r="V1861" s="9"/>
      <c r="W1861" s="9"/>
      <c r="X1861" s="9"/>
      <c r="Y1861" s="9"/>
      <c r="Z1861" s="9"/>
      <c r="AA1861" s="9"/>
      <c r="AB1861" s="9"/>
      <c r="AC1861" s="9"/>
      <c r="AD1861" s="9" t="s">
        <v>19</v>
      </c>
    </row>
    <row r="1862" spans="1:30">
      <c r="A1862" s="3" t="s">
        <v>4742</v>
      </c>
      <c r="B1862" s="3" t="s">
        <v>12014</v>
      </c>
      <c r="C1862" s="3" t="s">
        <v>12013</v>
      </c>
      <c r="G1862" s="9" t="s">
        <v>24</v>
      </c>
      <c r="H1862" s="9"/>
      <c r="I1862" s="9">
        <v>1</v>
      </c>
      <c r="J1862" s="9">
        <v>2</v>
      </c>
      <c r="K1862" s="9" t="s">
        <v>12087</v>
      </c>
      <c r="L1862" s="9" t="s">
        <v>12119</v>
      </c>
      <c r="M1862" s="9"/>
      <c r="N1862" s="10"/>
      <c r="O1862" s="9"/>
      <c r="P1862" s="9">
        <v>166</v>
      </c>
      <c r="Q1862" s="9"/>
      <c r="R1862" s="9" t="s">
        <v>12795</v>
      </c>
      <c r="S1862" s="9" t="s">
        <v>12795</v>
      </c>
      <c r="T1862" s="9"/>
      <c r="U1862" s="9"/>
      <c r="V1862" s="9"/>
      <c r="W1862" s="9"/>
      <c r="X1862" s="9"/>
      <c r="Y1862" s="9"/>
      <c r="Z1862" s="9"/>
      <c r="AA1862" s="9"/>
      <c r="AB1862" s="9"/>
      <c r="AC1862" s="9"/>
      <c r="AD1862" s="9" t="s">
        <v>20</v>
      </c>
    </row>
    <row r="1863" spans="1:30" ht="29">
      <c r="A1863" s="3" t="s">
        <v>4760</v>
      </c>
      <c r="B1863" s="3" t="s">
        <v>12034</v>
      </c>
      <c r="C1863" s="3" t="s">
        <v>12033</v>
      </c>
      <c r="G1863" s="9" t="s">
        <v>25</v>
      </c>
      <c r="H1863" s="9"/>
      <c r="I1863" s="9">
        <v>1</v>
      </c>
      <c r="J1863" s="9">
        <v>3</v>
      </c>
      <c r="K1863" s="9" t="s">
        <v>12087</v>
      </c>
      <c r="L1863" s="9" t="s">
        <v>12079</v>
      </c>
      <c r="M1863" s="9"/>
      <c r="N1863" s="10"/>
      <c r="O1863" s="9"/>
      <c r="P1863" s="9">
        <v>5676</v>
      </c>
      <c r="Q1863" s="9"/>
      <c r="R1863" s="9" t="s">
        <v>12795</v>
      </c>
      <c r="S1863" s="9" t="s">
        <v>12795</v>
      </c>
      <c r="T1863" s="9"/>
      <c r="U1863" s="9"/>
      <c r="V1863" s="9"/>
      <c r="W1863" s="9"/>
      <c r="X1863" s="9"/>
      <c r="Y1863" s="9"/>
      <c r="Z1863" s="9"/>
      <c r="AA1863" s="9"/>
      <c r="AB1863" s="9"/>
      <c r="AC1863" s="9"/>
      <c r="AD1863" s="9" t="s">
        <v>20</v>
      </c>
    </row>
    <row r="1864" spans="1:30" ht="29">
      <c r="A1864" s="3" t="s">
        <v>4764</v>
      </c>
      <c r="B1864" s="3" t="s">
        <v>3495</v>
      </c>
      <c r="C1864" s="3" t="s">
        <v>4135</v>
      </c>
      <c r="G1864" s="9" t="s">
        <v>12120</v>
      </c>
      <c r="H1864" s="9"/>
      <c r="I1864" s="9"/>
      <c r="J1864" s="9"/>
      <c r="K1864" s="9"/>
      <c r="L1864" s="9"/>
      <c r="M1864" s="9"/>
      <c r="N1864" s="10"/>
      <c r="O1864" s="9"/>
      <c r="P1864" s="9"/>
      <c r="Q1864" s="9"/>
      <c r="R1864" s="9" t="s">
        <v>12795</v>
      </c>
      <c r="S1864" s="9" t="s">
        <v>12795</v>
      </c>
      <c r="T1864" s="9"/>
      <c r="U1864" s="9"/>
      <c r="V1864" s="9"/>
      <c r="W1864" s="9"/>
      <c r="X1864" s="9"/>
      <c r="Y1864" s="9"/>
      <c r="Z1864" s="9"/>
      <c r="AA1864" s="9"/>
      <c r="AB1864" s="9"/>
      <c r="AC1864" s="9"/>
      <c r="AD1864" s="9" t="s">
        <v>19</v>
      </c>
    </row>
    <row r="1865" spans="1:30" ht="29">
      <c r="A1865" s="3" t="s">
        <v>4764</v>
      </c>
      <c r="B1865" s="3" t="s">
        <v>12040</v>
      </c>
      <c r="C1865" s="3" t="s">
        <v>12039</v>
      </c>
      <c r="G1865" s="9" t="s">
        <v>26</v>
      </c>
      <c r="H1865" s="9"/>
      <c r="I1865" s="9"/>
      <c r="J1865" s="9"/>
      <c r="K1865" s="9"/>
      <c r="L1865" s="9"/>
      <c r="M1865" s="9"/>
      <c r="N1865" s="10"/>
      <c r="O1865" s="9"/>
      <c r="P1865" s="9"/>
      <c r="Q1865" s="9"/>
      <c r="R1865" s="9" t="s">
        <v>12795</v>
      </c>
      <c r="S1865" s="9" t="s">
        <v>12795</v>
      </c>
      <c r="T1865" s="9"/>
      <c r="U1865" s="9"/>
      <c r="V1865" s="9"/>
      <c r="W1865" s="9"/>
      <c r="X1865" s="9"/>
      <c r="Y1865" s="9"/>
      <c r="Z1865" s="9"/>
      <c r="AA1865" s="9"/>
      <c r="AB1865" s="9"/>
      <c r="AC1865" s="9"/>
      <c r="AD1865" s="9" t="s">
        <v>20</v>
      </c>
    </row>
    <row r="1866" spans="1:30" ht="29">
      <c r="A1866" s="3" t="s">
        <v>4766</v>
      </c>
      <c r="B1866" s="3" t="s">
        <v>12044</v>
      </c>
      <c r="C1866" s="3" t="s">
        <v>12629</v>
      </c>
      <c r="G1866" s="9" t="s">
        <v>26</v>
      </c>
      <c r="H1866" s="9"/>
      <c r="I1866" s="9"/>
      <c r="J1866" s="9"/>
      <c r="K1866" s="9"/>
      <c r="L1866" s="9"/>
      <c r="M1866" s="9"/>
      <c r="N1866" s="10"/>
      <c r="O1866" s="9"/>
      <c r="P1866" s="9"/>
      <c r="Q1866" s="9"/>
      <c r="R1866" s="9" t="s">
        <v>12795</v>
      </c>
      <c r="S1866" s="9" t="s">
        <v>12795</v>
      </c>
      <c r="T1866" s="9"/>
      <c r="U1866" s="9"/>
      <c r="V1866" s="9"/>
      <c r="W1866" s="9"/>
      <c r="X1866" s="9"/>
      <c r="Y1866" s="9"/>
      <c r="Z1866" s="9"/>
      <c r="AA1866" s="9"/>
      <c r="AB1866" s="9"/>
      <c r="AC1866" s="9"/>
      <c r="AD1866" s="9" t="s">
        <v>20</v>
      </c>
    </row>
    <row r="1867" spans="1:30" ht="29">
      <c r="A1867" s="3" t="s">
        <v>4767</v>
      </c>
      <c r="B1867" s="3" t="s">
        <v>12048</v>
      </c>
      <c r="C1867" s="3" t="s">
        <v>12047</v>
      </c>
      <c r="F1867" t="s">
        <v>19</v>
      </c>
      <c r="G1867" s="9" t="s">
        <v>25</v>
      </c>
      <c r="H1867" s="9"/>
      <c r="I1867" s="9">
        <v>1</v>
      </c>
      <c r="J1867" s="9">
        <v>3</v>
      </c>
      <c r="K1867" s="9" t="s">
        <v>12078</v>
      </c>
      <c r="L1867" s="9" t="s">
        <v>12079</v>
      </c>
      <c r="M1867" s="9"/>
      <c r="N1867" s="10"/>
      <c r="O1867" s="9"/>
      <c r="P1867" s="9">
        <v>11843</v>
      </c>
      <c r="Q1867" s="9"/>
      <c r="R1867" s="9" t="s">
        <v>12795</v>
      </c>
      <c r="S1867" s="9" t="s">
        <v>12795</v>
      </c>
      <c r="T1867" s="9"/>
      <c r="U1867" s="9"/>
      <c r="V1867" s="9"/>
      <c r="W1867" s="9"/>
      <c r="X1867" s="9"/>
      <c r="Y1867" s="9"/>
      <c r="Z1867" s="9"/>
      <c r="AA1867" s="9"/>
      <c r="AB1867" s="9"/>
      <c r="AC1867" s="9"/>
      <c r="AD1867" s="9" t="s">
        <v>20</v>
      </c>
    </row>
    <row r="1868" spans="1:30" ht="29">
      <c r="A1868" s="3" t="s">
        <v>4767</v>
      </c>
      <c r="B1868" s="3" t="s">
        <v>12050</v>
      </c>
      <c r="C1868" s="3" t="s">
        <v>12051</v>
      </c>
      <c r="G1868" s="9" t="s">
        <v>12118</v>
      </c>
      <c r="H1868" s="9"/>
      <c r="I1868" s="9"/>
      <c r="J1868" s="9"/>
      <c r="K1868" s="9"/>
      <c r="L1868" s="9"/>
      <c r="M1868" s="9"/>
      <c r="N1868" s="10"/>
      <c r="O1868" s="9"/>
      <c r="P1868" s="9"/>
      <c r="Q1868" s="9">
        <v>-20</v>
      </c>
      <c r="R1868" s="9">
        <v>20</v>
      </c>
      <c r="S1868" s="9">
        <v>0</v>
      </c>
      <c r="T1868" s="9"/>
      <c r="U1868" s="9"/>
      <c r="V1868" s="9"/>
      <c r="W1868" s="9"/>
      <c r="X1868" s="9"/>
      <c r="Y1868" s="9"/>
      <c r="Z1868" s="9"/>
      <c r="AA1868" s="9"/>
      <c r="AB1868" s="9"/>
      <c r="AC1868" s="9"/>
      <c r="AD1868" s="9" t="s">
        <v>19</v>
      </c>
    </row>
    <row r="1869" spans="1:30" ht="29">
      <c r="A1869" s="3" t="s">
        <v>4767</v>
      </c>
      <c r="B1869" s="3" t="s">
        <v>12049</v>
      </c>
      <c r="C1869" s="3" t="s">
        <v>12052</v>
      </c>
      <c r="G1869" s="9" t="s">
        <v>24</v>
      </c>
      <c r="H1869" s="9"/>
      <c r="I1869" s="9">
        <v>2</v>
      </c>
      <c r="J1869" s="9">
        <v>7</v>
      </c>
      <c r="K1869" s="9"/>
      <c r="L1869" s="9" t="s">
        <v>12079</v>
      </c>
      <c r="M1869" s="9"/>
      <c r="N1869" s="10"/>
      <c r="O1869" s="9"/>
      <c r="P1869" s="9">
        <v>128</v>
      </c>
      <c r="Q1869" s="9"/>
      <c r="R1869" s="9" t="s">
        <v>12795</v>
      </c>
      <c r="S1869" s="9" t="s">
        <v>12795</v>
      </c>
      <c r="T1869" s="9"/>
      <c r="U1869" s="9"/>
      <c r="V1869" s="9"/>
      <c r="W1869" s="9"/>
      <c r="X1869" s="9"/>
      <c r="Y1869" s="9"/>
      <c r="Z1869" s="9"/>
      <c r="AA1869" s="9"/>
      <c r="AB1869" s="9"/>
      <c r="AC1869" s="9"/>
      <c r="AD1869" s="9" t="s">
        <v>19</v>
      </c>
    </row>
    <row r="1870" spans="1:30" ht="29">
      <c r="A1870" s="3" t="s">
        <v>4768</v>
      </c>
      <c r="B1870" s="3" t="s">
        <v>12054</v>
      </c>
      <c r="C1870" s="3" t="s">
        <v>12053</v>
      </c>
      <c r="G1870" s="9" t="s">
        <v>24</v>
      </c>
      <c r="H1870" s="9"/>
      <c r="I1870" s="9">
        <v>1</v>
      </c>
      <c r="J1870" s="9">
        <v>2</v>
      </c>
      <c r="K1870" s="9" t="s">
        <v>12087</v>
      </c>
      <c r="L1870" s="9" t="s">
        <v>12119</v>
      </c>
      <c r="M1870" s="9"/>
      <c r="N1870" s="10"/>
      <c r="O1870" s="9"/>
      <c r="P1870" s="9">
        <v>1966</v>
      </c>
      <c r="Q1870" s="9"/>
      <c r="R1870" s="9" t="s">
        <v>12795</v>
      </c>
      <c r="S1870" s="9" t="s">
        <v>12795</v>
      </c>
      <c r="T1870" s="9"/>
      <c r="U1870" s="9"/>
      <c r="V1870" s="9"/>
      <c r="W1870" s="9"/>
      <c r="X1870" s="9"/>
      <c r="Y1870" s="9"/>
      <c r="Z1870" s="9"/>
      <c r="AA1870" s="9"/>
      <c r="AB1870" s="9"/>
      <c r="AC1870" s="9"/>
      <c r="AD1870" s="9" t="s">
        <v>13141</v>
      </c>
    </row>
    <row r="1871" spans="1:30" ht="29">
      <c r="A1871" s="3" t="s">
        <v>4768</v>
      </c>
      <c r="B1871" s="3" t="s">
        <v>4769</v>
      </c>
      <c r="C1871" s="3" t="s">
        <v>4770</v>
      </c>
      <c r="G1871" s="9" t="s">
        <v>12118</v>
      </c>
      <c r="H1871" s="9"/>
      <c r="I1871" s="9"/>
      <c r="J1871" s="9"/>
      <c r="K1871" s="9"/>
      <c r="L1871" s="9"/>
      <c r="M1871" s="9"/>
      <c r="N1871" s="10"/>
      <c r="O1871" s="9"/>
      <c r="P1871" s="9"/>
      <c r="Q1871" s="9">
        <v>-20</v>
      </c>
      <c r="R1871" s="9">
        <v>20</v>
      </c>
      <c r="S1871" s="9">
        <v>0</v>
      </c>
      <c r="T1871" s="9"/>
      <c r="U1871" s="9"/>
      <c r="V1871" s="9"/>
      <c r="W1871" s="9"/>
      <c r="X1871" s="9"/>
      <c r="Y1871" s="9"/>
      <c r="Z1871" s="9"/>
      <c r="AA1871" s="9"/>
      <c r="AB1871" s="9"/>
      <c r="AC1871" s="9"/>
      <c r="AD1871" s="9" t="s">
        <v>19</v>
      </c>
    </row>
    <row r="1872" spans="1:30" ht="29">
      <c r="A1872" s="3" t="s">
        <v>4768</v>
      </c>
      <c r="B1872" s="3" t="s">
        <v>12059</v>
      </c>
      <c r="C1872" s="3" t="s">
        <v>12060</v>
      </c>
      <c r="G1872" s="9" t="s">
        <v>12118</v>
      </c>
      <c r="H1872" s="9"/>
      <c r="I1872" s="9"/>
      <c r="J1872" s="9"/>
      <c r="K1872" s="9"/>
      <c r="L1872" s="9"/>
      <c r="M1872" s="9"/>
      <c r="N1872" s="10"/>
      <c r="O1872" s="9"/>
      <c r="P1872" s="9"/>
      <c r="Q1872" s="9">
        <v>-2198</v>
      </c>
      <c r="R1872" s="9">
        <v>4240</v>
      </c>
      <c r="S1872" s="9">
        <v>2042</v>
      </c>
      <c r="T1872" s="9"/>
      <c r="U1872" s="9"/>
      <c r="V1872" s="9"/>
      <c r="W1872" s="9"/>
      <c r="X1872" s="9"/>
      <c r="Y1872" s="9"/>
      <c r="Z1872" s="9"/>
      <c r="AA1872" s="9"/>
      <c r="AB1872" s="9"/>
      <c r="AC1872" s="9"/>
      <c r="AD1872" s="9" t="s">
        <v>19</v>
      </c>
    </row>
    <row r="1873" spans="6:30">
      <c r="R1873" s="9"/>
      <c r="S1873" s="9"/>
    </row>
    <row r="1874" spans="6:30">
      <c r="R1874" s="9"/>
      <c r="S1874" s="9"/>
    </row>
    <row r="1875" spans="6:30">
      <c r="R1875" s="9"/>
      <c r="S1875" s="9"/>
    </row>
    <row r="1876" spans="6:30">
      <c r="F1876">
        <f>COUNTIF(F2:F1872,"Yes")</f>
        <v>71</v>
      </c>
      <c r="R1876" s="9"/>
      <c r="S1876" s="9"/>
    </row>
    <row r="1877" spans="6:30">
      <c r="R1877" s="9"/>
      <c r="S1877" s="9"/>
    </row>
    <row r="1878" spans="6:30">
      <c r="R1878" s="9"/>
      <c r="S1878" s="9"/>
    </row>
    <row r="1881" spans="6:30">
      <c r="AC1881" t="s">
        <v>13143</v>
      </c>
      <c r="AD1881">
        <f>COUNTIF(AD2:AD1872,"Yes")</f>
        <v>1024</v>
      </c>
    </row>
    <row r="1882" spans="6:30">
      <c r="AC1882" t="s">
        <v>13144</v>
      </c>
      <c r="AD1882">
        <f>COUNTIF(AD2:AD1872,"No") + COUNTIF(AD2:AD1872,"Partial")</f>
        <v>847</v>
      </c>
    </row>
    <row r="1883" spans="6:30">
      <c r="AC1883" t="s">
        <v>13145</v>
      </c>
      <c r="AD1883">
        <f>AD1881/(AD1881+AD1882)</f>
        <v>0.54730090860502401</v>
      </c>
    </row>
  </sheetData>
  <autoFilter ref="A1:AD1" xr:uid="{157CDE4A-A9EB-4322-BBFB-BD679D9ED354}"/>
  <conditionalFormatting sqref="G2:G1872">
    <cfRule type="expression" dxfId="351" priority="15">
      <formula>$J2&lt;&gt;""</formula>
    </cfRule>
    <cfRule type="expression" dxfId="350" priority="16">
      <formula>$J2=""</formula>
    </cfRule>
  </conditionalFormatting>
  <conditionalFormatting sqref="H2:P1063 H1064:O1064 H1065:P1872">
    <cfRule type="expression" dxfId="349" priority="34">
      <formula>AND(OR($J2="Addition",$J2="Omission"), H2&lt;&gt;"")</formula>
    </cfRule>
  </conditionalFormatting>
  <conditionalFormatting sqref="K2:K1872">
    <cfRule type="expression" dxfId="348" priority="21">
      <formula>AND($L2&lt;&gt;"",$L2&gt;1)</formula>
    </cfRule>
  </conditionalFormatting>
  <conditionalFormatting sqref="M2:N1872">
    <cfRule type="expression" dxfId="347" priority="17">
      <formula>$O2="Absent"</formula>
    </cfRule>
    <cfRule type="expression" dxfId="346" priority="18">
      <formula>$O2="NA"</formula>
    </cfRule>
    <cfRule type="expression" dxfId="345" priority="19">
      <formula>AND(OR($J2="Addition",$J2="Omission"), M2="")</formula>
    </cfRule>
    <cfRule type="expression" dxfId="344" priority="20">
      <formula>AND($J2&lt;&gt;"Addition",$J2&lt;&gt;"Omission")</formula>
    </cfRule>
  </conditionalFormatting>
  <conditionalFormatting sqref="O2:O1872">
    <cfRule type="expression" dxfId="343" priority="22">
      <formula>OR($J2="Addition",$J2="Omission",$J2 = "Substitution - Word")</formula>
    </cfRule>
  </conditionalFormatting>
  <conditionalFormatting sqref="O1064">
    <cfRule type="expression" dxfId="342" priority="7">
      <formula>AND(OR($J1064="Addition",$J1064="Omission"), O1064="")</formula>
    </cfRule>
    <cfRule type="expression" dxfId="341" priority="8">
      <formula>AND($J1064&lt;&gt;"Addition",$J1064&lt;&gt;"Omission",$J1064&lt;&gt;"Substitution - Word")</formula>
    </cfRule>
  </conditionalFormatting>
  <conditionalFormatting sqref="O2:P1063 H2:L1872 O1065:P1872">
    <cfRule type="expression" dxfId="340" priority="24">
      <formula>AND($J2&lt;&gt;"Addition",$J2&lt;&gt;"Omission",$J2&lt;&gt;"Substitution - Word")</formula>
    </cfRule>
  </conditionalFormatting>
  <conditionalFormatting sqref="O2:P1063 O1065:P1872 H2:L1872">
    <cfRule type="expression" dxfId="339" priority="23">
      <formula>AND(OR($J2="Addition",$J2="Omission"), H2="")</formula>
    </cfRule>
  </conditionalFormatting>
  <conditionalFormatting sqref="P1064">
    <cfRule type="expression" dxfId="338" priority="2">
      <formula>AND(AND(LEFT($J1064,3)="Sub", RIGHT($J1064,4)&lt;&gt;"Form"),$T1064="")</formula>
    </cfRule>
    <cfRule type="expression" dxfId="337" priority="3">
      <formula>"&lt;&gt;AND(LEFT($J2,3)=""Sub"", RIGHT($J2,4)&lt;&gt;""Form"")"</formula>
    </cfRule>
    <cfRule type="expression" dxfId="336" priority="4">
      <formula>AND(AND(LEFT($J1064,3)="Sub", RIGHT($J1064,4)&lt;&gt;"Form"),$T1064&lt;&gt;"")</formula>
    </cfRule>
    <cfRule type="expression" dxfId="335" priority="5">
      <formula>AND(AND(LEFT($J1064,3)="Sub", RIGHT($J1064,4)&lt;&gt;"Form"),$T1064="")</formula>
    </cfRule>
    <cfRule type="expression" dxfId="334" priority="6">
      <formula>"&lt;&gt;AND(LEFT($J2,3)=""Sub"", RIGHT($J2,4)&lt;&gt;""Form"")"</formula>
    </cfRule>
    <cfRule type="expression" dxfId="333" priority="1">
      <formula>AND(AND(LEFT($J1064,3)="Sub", RIGHT($J1064,4)&lt;&gt;"Form"),$T1064&lt;&gt;"")</formula>
    </cfRule>
  </conditionalFormatting>
  <conditionalFormatting sqref="Q412">
    <cfRule type="expression" dxfId="332" priority="9">
      <formula>AND(AND(LEFT($J412,3)="Sub", RIGHT($J412,4)&lt;&gt;"Form"),$V412&lt;&gt;"")</formula>
    </cfRule>
    <cfRule type="expression" dxfId="331" priority="10">
      <formula>AND(AND(LEFT($J412,3)="Sub", RIGHT($J412,4)&lt;&gt;"Form"),$V412="")</formula>
    </cfRule>
    <cfRule type="expression" dxfId="330" priority="11">
      <formula>"&lt;&gt;AND(LEFT($J2,3)=""Sub"", RIGHT($J2,4)&lt;&gt;""Form"")"</formula>
    </cfRule>
  </conditionalFormatting>
  <conditionalFormatting sqref="Q2:S411 Q413:S1872">
    <cfRule type="expression" dxfId="329" priority="31">
      <formula>AND(AND(LEFT($J2,3)="Sub", RIGHT($J2,4)&lt;&gt;"Form"),$T2&lt;&gt;"")</formula>
    </cfRule>
    <cfRule type="expression" dxfId="328" priority="32">
      <formula>AND(AND(LEFT($J2,3)="Sub", RIGHT($J2,4)&lt;&gt;"Form"),$T2="")</formula>
    </cfRule>
    <cfRule type="expression" dxfId="327" priority="33">
      <formula>"&lt;&gt;AND(LEFT($J2,3)=""Sub"", RIGHT($J2,4)&lt;&gt;""Form"")"</formula>
    </cfRule>
  </conditionalFormatting>
  <conditionalFormatting sqref="R2:S1872">
    <cfRule type="expression" dxfId="326" priority="14">
      <formula>"&lt;&gt;AND(LEFT($J2,3)=""Sub"", RIGHT($J2,4)&lt;&gt;""Form"")"</formula>
    </cfRule>
    <cfRule type="expression" dxfId="325" priority="13">
      <formula>AND(AND(LEFT($J2,3)="Sub", RIGHT($J2,4)&lt;&gt;"Form"),$T2="")</formula>
    </cfRule>
    <cfRule type="expression" dxfId="324" priority="12">
      <formula>AND(AND(LEFT($J2,3)="Sub", RIGHT($J2,4)&lt;&gt;"Form"),$T2&lt;&gt;"")</formula>
    </cfRule>
  </conditionalFormatting>
  <conditionalFormatting sqref="R1873:S1876">
    <cfRule type="expression" dxfId="323" priority="68">
      <formula>AND(AND(LEFT($I1873,3)="Sub", RIGHT($I1873,4)&lt;&gt;"Form"),$S1873&lt;&gt;"")</formula>
    </cfRule>
    <cfRule type="expression" dxfId="322" priority="69">
      <formula>AND(AND(LEFT($I1873,3)="Sub", RIGHT($I1873,4)&lt;&gt;"Form"),$S1873="")</formula>
    </cfRule>
    <cfRule type="expression" dxfId="321" priority="70">
      <formula>"&lt;&gt;AND(LEFT($J2,3)=""Sub"", RIGHT($J2,4)&lt;&gt;""Form"")"</formula>
    </cfRule>
  </conditionalFormatting>
  <conditionalFormatting sqref="T2:T1872">
    <cfRule type="expression" dxfId="320" priority="26">
      <formula>AND($W2&lt;&gt;"",OR($AD2="Yes",$AE2&lt;&gt;""))</formula>
    </cfRule>
    <cfRule type="expression" dxfId="319" priority="27">
      <formula>OR($AD2="Yes",$AE2&lt;&gt;"")</formula>
    </cfRule>
    <cfRule type="expression" dxfId="318" priority="37">
      <formula>AND($AD2&lt;&gt;"Yes",$AE2="")</formula>
    </cfRule>
  </conditionalFormatting>
  <conditionalFormatting sqref="T2:AD1872">
    <cfRule type="expression" dxfId="317" priority="35">
      <formula>AND($J2&lt;&gt;"",$J2&lt;&gt;"Unclear due to correction")</formula>
    </cfRule>
    <cfRule type="expression" dxfId="316" priority="36">
      <formula>OR($J2="",$J2="Unclear due to correction")</formula>
    </cfRule>
  </conditionalFormatting>
  <conditionalFormatting sqref="U2:U1872">
    <cfRule type="expression" dxfId="315" priority="25">
      <formula>AND($J2&lt;&gt;"",$J2&lt;&gt;"Unclear due to correction",$X2="")</formula>
    </cfRule>
  </conditionalFormatting>
  <conditionalFormatting sqref="V2:V1872">
    <cfRule type="expression" dxfId="314" priority="28">
      <formula>AND($X2="Yes",$Y2="")</formula>
    </cfRule>
    <cfRule type="expression" dxfId="313" priority="29">
      <formula>$X2=""</formula>
    </cfRule>
  </conditionalFormatting>
  <conditionalFormatting sqref="AA2:AA1872">
    <cfRule type="expression" dxfId="312" priority="30">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A1CDF4D1-E1A5-4BF0-BF4A-7CBD22B752D4}">
          <x14:formula1>
            <xm:f>'Data Regularization'!$D$2:$D$1048576</xm:f>
          </x14:formula1>
          <xm:sqref>G1:G1872</xm:sqref>
        </x14:dataValidation>
        <x14:dataValidation type="list" allowBlank="1" showInputMessage="1" showErrorMessage="1" xr:uid="{278C04D7-3AFB-493D-87AD-86F620235422}">
          <x14:formula1>
            <xm:f>'Data Regularization'!$B$2:$B$1048576</xm:f>
          </x14:formula1>
          <xm:sqref>E2:E1872</xm:sqref>
        </x14:dataValidation>
        <x14:dataValidation type="list" allowBlank="1" showInputMessage="1" showErrorMessage="1" xr:uid="{86634A12-455C-400A-A07C-7185F354DBBE}">
          <x14:formula1>
            <xm:f>'Data Regularization'!$C$2:$C$29</xm:f>
          </x14:formula1>
          <xm:sqref>F2:F1872</xm:sqref>
        </x14:dataValidation>
        <x14:dataValidation type="list" allowBlank="1" showInputMessage="1" showErrorMessage="1" xr:uid="{9C232E6D-B86B-4FC3-86A1-B293B31A7C87}">
          <x14:formula1>
            <xm:f>'Data Regularization'!$A$2:$A$1048576</xm:f>
          </x14:formula1>
          <xm:sqref>D2:D1872</xm:sqref>
        </x14:dataValidation>
        <x14:dataValidation type="list" allowBlank="1" showInputMessage="1" showErrorMessage="1" xr:uid="{46445F5E-A7D7-4455-BB30-67C702DD8A7A}">
          <x14:formula1>
            <xm:f>'Data Regularization'!$E$2:$E$1048576</xm:f>
          </x14:formula1>
          <xm:sqref>K2:K1872</xm:sqref>
        </x14:dataValidation>
        <x14:dataValidation type="list" allowBlank="1" showInputMessage="1" showErrorMessage="1" xr:uid="{8B8E97A5-9D2A-449F-A334-8535E359095D}">
          <x14:formula1>
            <xm:f>'Data Regularization'!$F$2:$F$1048576</xm:f>
          </x14:formula1>
          <xm:sqref>L2:L1872</xm:sqref>
        </x14:dataValidation>
        <x14:dataValidation type="list" allowBlank="1" showInputMessage="1" showErrorMessage="1" xr:uid="{04B91554-499F-4D9E-B747-1AB59CD90AB7}">
          <x14:formula1>
            <xm:f>'Data Regularization'!$G$2:$G$1048576</xm:f>
          </x14:formula1>
          <xm:sqref>O2:O1872</xm:sqref>
        </x14:dataValidation>
        <x14:dataValidation type="list" allowBlank="1" showInputMessage="1" showErrorMessage="1" xr:uid="{77F0C63B-1CDE-4AFF-A82F-6F7491ACECDB}">
          <x14:formula1>
            <xm:f>'Data Regularization'!$K$2:$K$1048576</xm:f>
          </x14:formula1>
          <xm:sqref>V2:V1872</xm:sqref>
        </x14:dataValidation>
        <x14:dataValidation type="list" allowBlank="1" showInputMessage="1" showErrorMessage="1" xr:uid="{E1373ED0-CA86-42FF-88A2-F83EEAA05509}">
          <x14:formula1>
            <xm:f>'Data Regularization'!$L$2:$L$1048576</xm:f>
          </x14:formula1>
          <xm:sqref>W2:W1872</xm:sqref>
        </x14:dataValidation>
        <x14:dataValidation type="list" allowBlank="1" showInputMessage="1" showErrorMessage="1" xr:uid="{04C66152-51AD-421B-8CFB-62D352F87704}">
          <x14:formula1>
            <xm:f>'Data Regularization'!$N$2:$N$1048576</xm:f>
          </x14:formula1>
          <xm:sqref>X2:X1872</xm:sqref>
        </x14:dataValidation>
        <x14:dataValidation type="list" allowBlank="1" showInputMessage="1" showErrorMessage="1" xr:uid="{38C84837-5F7E-45C8-9DCC-56972D1D56CD}">
          <x14:formula1>
            <xm:f>'Data Regularization'!$O$2:$O$1048576</xm:f>
          </x14:formula1>
          <xm:sqref>Y2:Y1872</xm:sqref>
        </x14:dataValidation>
        <x14:dataValidation type="list" allowBlank="1" showInputMessage="1" showErrorMessage="1" xr:uid="{0E3D2379-4E94-4218-B893-26AF7ED2713C}">
          <x14:formula1>
            <xm:f>'Data Regularization'!$P$2:$P$1048576</xm:f>
          </x14:formula1>
          <xm:sqref>AA2:AA1872</xm:sqref>
        </x14:dataValidation>
        <x14:dataValidation type="list" allowBlank="1" showInputMessage="1" showErrorMessage="1" xr:uid="{53DD023A-32AF-4401-B452-269F4CDA1C3A}">
          <x14:formula1>
            <xm:f>'Data Regularization'!$Q$2:$Q$1048576</xm:f>
          </x14:formula1>
          <xm:sqref>AB2:AB1872</xm:sqref>
        </x14:dataValidation>
        <x14:dataValidation type="list" allowBlank="1" showInputMessage="1" showErrorMessage="1" xr:uid="{C858E5B7-2F1B-4E3A-8FFD-738BD9AF64BE}">
          <x14:formula1>
            <xm:f>'Data Regularization'!$H$2:$H$1048576</xm:f>
          </x14:formula1>
          <xm:sqref>T2:T1872</xm:sqref>
        </x14:dataValidation>
        <x14:dataValidation type="list" allowBlank="1" showInputMessage="1" xr:uid="{092AFBFB-F5D2-4CE5-B2D8-3C1ABECEE7CF}">
          <x14:formula1>
            <xm:f>'Data Regularization'!$J$2:$J$1048576</xm:f>
          </x14:formula1>
          <xm:sqref>U2:U1872</xm:sqref>
        </x14:dataValidation>
        <x14:dataValidation type="list" allowBlank="1" showInputMessage="1" showErrorMessage="1" xr:uid="{73BF6B93-0442-444E-807D-633AB80C264A}">
          <x14:formula1>
            <xm:f>'Data Regularization'!$R$2:$R$1048576</xm:f>
          </x14:formula1>
          <xm:sqref>AC2:AC1872</xm:sqref>
        </x14:dataValidation>
        <x14:dataValidation type="list" allowBlank="1" showInputMessage="1" showErrorMessage="1" xr:uid="{A07CA310-E689-472A-AB1D-2B2176A63468}">
          <x14:formula1>
            <xm:f>'Data Regularization'!$S$2:$S$5</xm:f>
          </x14:formula1>
          <xm:sqref>AD2:AD1872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E6FA7-F1F8-43DC-8989-C64840B55768}">
  <dimension ref="A1:XFB988"/>
  <sheetViews>
    <sheetView workbookViewId="0">
      <pane xSplit="3" ySplit="1" topLeftCell="D936" activePane="bottomRight" state="frozen"/>
      <selection pane="topRight" activeCell="D1" sqref="D1"/>
      <selection pane="bottomLeft" activeCell="A2" sqref="A2"/>
      <selection pane="bottomRight" activeCell="K961" sqref="K961"/>
    </sheetView>
  </sheetViews>
  <sheetFormatPr defaultRowHeight="14.5"/>
  <sheetData>
    <row r="1" spans="1:16382">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12796</v>
      </c>
      <c r="R1" s="1" t="s">
        <v>12110</v>
      </c>
      <c r="S1" s="1" t="s">
        <v>12112</v>
      </c>
      <c r="T1" s="1" t="s">
        <v>12113</v>
      </c>
      <c r="U1" s="1" t="s">
        <v>12114</v>
      </c>
      <c r="V1" s="1" t="s">
        <v>12068</v>
      </c>
      <c r="W1" s="1" t="s">
        <v>12069</v>
      </c>
      <c r="X1" s="1" t="s">
        <v>12070</v>
      </c>
      <c r="Y1" s="1" t="s">
        <v>12111</v>
      </c>
      <c r="Z1" s="1" t="s">
        <v>12115</v>
      </c>
      <c r="AA1" s="1" t="s">
        <v>12071</v>
      </c>
      <c r="AB1" s="1" t="s">
        <v>12116</v>
      </c>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row>
    <row r="2" spans="1:16382" ht="43.5">
      <c r="A2" s="3" t="s">
        <v>108</v>
      </c>
      <c r="B2" s="3" t="s">
        <v>4804</v>
      </c>
      <c r="C2" s="3" t="s">
        <v>4805</v>
      </c>
      <c r="F2" t="s">
        <v>19</v>
      </c>
      <c r="G2" s="9" t="s">
        <v>25</v>
      </c>
      <c r="H2" s="9"/>
      <c r="I2" s="9">
        <v>1</v>
      </c>
      <c r="J2" s="9">
        <v>2</v>
      </c>
      <c r="K2" s="9" t="s">
        <v>12078</v>
      </c>
      <c r="L2" s="9" t="s">
        <v>12119</v>
      </c>
      <c r="M2" s="9"/>
      <c r="N2" s="10"/>
      <c r="O2" s="9"/>
      <c r="P2" s="9">
        <v>11843</v>
      </c>
      <c r="Q2" s="9">
        <f t="shared" ref="Q2:Q65" si="0">IF(ISNUMBER(P2), (P2/$F$988)*10000, "")</f>
        <v>1423.0954097572699</v>
      </c>
      <c r="R2" s="9"/>
      <c r="S2" s="9" t="s">
        <v>12795</v>
      </c>
      <c r="T2" s="9" t="s">
        <v>12795</v>
      </c>
      <c r="U2" s="9"/>
      <c r="V2" s="9"/>
      <c r="W2" s="9"/>
      <c r="X2" s="9"/>
      <c r="Y2" s="9"/>
      <c r="Z2" s="9"/>
      <c r="AA2" s="9"/>
      <c r="AB2" s="9"/>
      <c r="AC2" s="9"/>
      <c r="AD2" s="9"/>
    </row>
    <row r="3" spans="1:16382" ht="43.5">
      <c r="A3" s="3" t="s">
        <v>114</v>
      </c>
      <c r="B3" s="3" t="s">
        <v>4810</v>
      </c>
      <c r="C3" s="3" t="s">
        <v>4811</v>
      </c>
      <c r="G3" s="9" t="s">
        <v>24</v>
      </c>
      <c r="H3" s="9"/>
      <c r="I3" s="9">
        <v>1</v>
      </c>
      <c r="J3" s="9">
        <v>2</v>
      </c>
      <c r="K3" s="9" t="s">
        <v>12087</v>
      </c>
      <c r="L3" s="9" t="s">
        <v>12119</v>
      </c>
      <c r="M3" s="9"/>
      <c r="N3" s="10"/>
      <c r="O3" s="9"/>
      <c r="P3" s="9">
        <v>1966</v>
      </c>
      <c r="Q3" s="9">
        <f t="shared" si="0"/>
        <v>236.24128815188658</v>
      </c>
      <c r="R3" s="9"/>
      <c r="S3" s="9" t="s">
        <v>12795</v>
      </c>
      <c r="T3" s="9" t="s">
        <v>12795</v>
      </c>
      <c r="U3" s="9"/>
      <c r="V3" s="9"/>
      <c r="W3" s="9"/>
      <c r="X3" s="9"/>
      <c r="Y3" s="9"/>
      <c r="Z3" s="9"/>
      <c r="AA3" s="9"/>
      <c r="AB3" s="9"/>
      <c r="AC3" s="9"/>
      <c r="AD3" s="9"/>
    </row>
    <row r="4" spans="1:16382" ht="116">
      <c r="A4" s="3" t="s">
        <v>142</v>
      </c>
      <c r="B4" s="3" t="s">
        <v>4828</v>
      </c>
      <c r="C4" s="3" t="s">
        <v>12959</v>
      </c>
      <c r="G4" s="9" t="s">
        <v>25</v>
      </c>
      <c r="H4" s="9"/>
      <c r="I4" s="9">
        <v>4</v>
      </c>
      <c r="J4" s="9">
        <v>20</v>
      </c>
      <c r="K4" s="9"/>
      <c r="L4" s="9" t="s">
        <v>12073</v>
      </c>
      <c r="M4" s="9" t="s">
        <v>12135</v>
      </c>
      <c r="N4" s="10" t="s">
        <v>12136</v>
      </c>
      <c r="O4" s="9"/>
      <c r="P4" s="9">
        <v>507</v>
      </c>
      <c r="Q4" s="9">
        <f t="shared" si="0"/>
        <v>60.922855082912768</v>
      </c>
      <c r="R4" s="9"/>
      <c r="S4" s="9" t="s">
        <v>12795</v>
      </c>
      <c r="T4" s="9" t="s">
        <v>12795</v>
      </c>
      <c r="U4" s="9"/>
      <c r="V4" s="9"/>
      <c r="W4" s="9"/>
      <c r="X4" s="9"/>
      <c r="Y4" s="9"/>
      <c r="Z4" s="9"/>
      <c r="AA4" s="9"/>
      <c r="AB4" s="9"/>
      <c r="AC4" s="9"/>
      <c r="AD4" s="9"/>
    </row>
    <row r="5" spans="1:16382" ht="29">
      <c r="A5" s="3" t="s">
        <v>147</v>
      </c>
      <c r="B5" s="3" t="s">
        <v>4829</v>
      </c>
      <c r="C5" s="3" t="s">
        <v>4830</v>
      </c>
      <c r="G5" s="9" t="s">
        <v>25</v>
      </c>
      <c r="H5" s="9"/>
      <c r="I5" s="9">
        <v>1</v>
      </c>
      <c r="J5" s="9">
        <v>1</v>
      </c>
      <c r="K5" s="9" t="s">
        <v>12078</v>
      </c>
      <c r="L5" s="9" t="s">
        <v>12119</v>
      </c>
      <c r="M5" s="9"/>
      <c r="N5" s="10"/>
      <c r="O5" s="9"/>
      <c r="P5" s="9">
        <v>11843</v>
      </c>
      <c r="Q5" s="9">
        <f t="shared" si="0"/>
        <v>1423.0954097572699</v>
      </c>
      <c r="R5" s="9"/>
      <c r="S5" s="9" t="s">
        <v>12795</v>
      </c>
      <c r="T5" s="9" t="s">
        <v>12795</v>
      </c>
      <c r="U5" s="9"/>
      <c r="V5" s="9"/>
      <c r="W5" s="9"/>
      <c r="X5" s="9"/>
      <c r="Y5" s="9"/>
      <c r="Z5" s="9"/>
      <c r="AA5" s="9"/>
      <c r="AB5" s="9"/>
      <c r="AC5" s="9"/>
      <c r="AD5" s="9"/>
    </row>
    <row r="6" spans="1:16382" ht="43.5">
      <c r="A6" s="3" t="s">
        <v>148</v>
      </c>
      <c r="B6" s="3" t="s">
        <v>4831</v>
      </c>
      <c r="C6" s="3" t="s">
        <v>4832</v>
      </c>
      <c r="G6" s="9" t="s">
        <v>25</v>
      </c>
      <c r="H6" s="9"/>
      <c r="I6" s="9">
        <v>1</v>
      </c>
      <c r="J6" s="9">
        <v>3</v>
      </c>
      <c r="K6" s="9" t="s">
        <v>12078</v>
      </c>
      <c r="L6" s="9" t="s">
        <v>12079</v>
      </c>
      <c r="M6" s="9"/>
      <c r="N6" s="10"/>
      <c r="O6" s="9"/>
      <c r="P6" s="9">
        <v>11843</v>
      </c>
      <c r="Q6" s="9">
        <f t="shared" si="0"/>
        <v>1423.0954097572699</v>
      </c>
      <c r="R6" s="9"/>
      <c r="S6" s="9" t="s">
        <v>12795</v>
      </c>
      <c r="T6" s="9" t="s">
        <v>12795</v>
      </c>
      <c r="U6" s="9"/>
      <c r="V6" s="9"/>
      <c r="W6" s="9"/>
      <c r="X6" s="9"/>
      <c r="Y6" s="9"/>
      <c r="Z6" s="9"/>
      <c r="AA6" s="9"/>
      <c r="AB6" s="9"/>
      <c r="AC6" s="9"/>
      <c r="AD6" s="9"/>
    </row>
    <row r="7" spans="1:16382" ht="43.5">
      <c r="A7" s="3" t="s">
        <v>152</v>
      </c>
      <c r="B7" s="3" t="s">
        <v>4833</v>
      </c>
      <c r="C7" s="3" t="s">
        <v>4834</v>
      </c>
      <c r="G7" s="9" t="s">
        <v>25</v>
      </c>
      <c r="H7" s="9"/>
      <c r="I7" s="9">
        <v>1</v>
      </c>
      <c r="J7" s="9">
        <v>4</v>
      </c>
      <c r="K7" s="9" t="s">
        <v>12094</v>
      </c>
      <c r="L7" s="9" t="s">
        <v>12079</v>
      </c>
      <c r="M7" s="9"/>
      <c r="N7" s="10"/>
      <c r="O7" s="9"/>
      <c r="P7" s="9">
        <v>4240</v>
      </c>
      <c r="Q7" s="9">
        <f t="shared" si="0"/>
        <v>509.49291035808699</v>
      </c>
      <c r="R7" s="9"/>
      <c r="S7" s="9" t="s">
        <v>12795</v>
      </c>
      <c r="T7" s="9" t="s">
        <v>12795</v>
      </c>
      <c r="U7" s="9" t="s">
        <v>4</v>
      </c>
      <c r="V7" s="9"/>
      <c r="W7" s="9"/>
      <c r="X7" s="9"/>
      <c r="Y7" s="9"/>
      <c r="Z7" s="9"/>
      <c r="AA7" s="9"/>
      <c r="AB7" s="9"/>
      <c r="AC7" s="9"/>
      <c r="AD7" s="9"/>
    </row>
    <row r="8" spans="1:16382" ht="101.5">
      <c r="A8" s="3" t="s">
        <v>173</v>
      </c>
      <c r="B8" s="3" t="s">
        <v>12634</v>
      </c>
      <c r="C8" s="3" t="s">
        <v>12635</v>
      </c>
      <c r="G8" s="9" t="s">
        <v>25</v>
      </c>
      <c r="H8" s="9"/>
      <c r="I8" s="9">
        <v>2</v>
      </c>
      <c r="J8" s="9">
        <v>15</v>
      </c>
      <c r="K8" s="9"/>
      <c r="L8" s="9" t="s">
        <v>12073</v>
      </c>
      <c r="M8" s="9" t="s">
        <v>12140</v>
      </c>
      <c r="N8" s="10" t="s">
        <v>12137</v>
      </c>
      <c r="O8" s="9"/>
      <c r="P8" s="9">
        <v>83</v>
      </c>
      <c r="Q8" s="9">
        <f t="shared" si="0"/>
        <v>9.9735640471040607</v>
      </c>
      <c r="R8" s="9"/>
      <c r="S8" s="9" t="s">
        <v>12795</v>
      </c>
      <c r="T8" s="9" t="s">
        <v>12795</v>
      </c>
      <c r="U8" s="9"/>
      <c r="V8" s="9"/>
      <c r="W8" s="9"/>
      <c r="X8" s="9"/>
      <c r="Y8" s="9"/>
      <c r="Z8" s="9"/>
      <c r="AA8" s="9"/>
      <c r="AB8" s="9"/>
      <c r="AC8" s="9"/>
      <c r="AD8" s="9"/>
    </row>
    <row r="9" spans="1:16382" ht="58">
      <c r="A9" s="3" t="s">
        <v>188</v>
      </c>
      <c r="B9" s="3" t="s">
        <v>4857</v>
      </c>
      <c r="C9" s="3" t="s">
        <v>4858</v>
      </c>
      <c r="F9" t="s">
        <v>19</v>
      </c>
      <c r="G9" s="9" t="s">
        <v>25</v>
      </c>
      <c r="H9" s="9"/>
      <c r="I9" s="9">
        <v>1</v>
      </c>
      <c r="J9" s="9">
        <v>4</v>
      </c>
      <c r="K9" s="9" t="s">
        <v>12078</v>
      </c>
      <c r="L9" s="9" t="s">
        <v>12079</v>
      </c>
      <c r="M9" s="9"/>
      <c r="N9" s="10"/>
      <c r="O9" s="9"/>
      <c r="P9" s="9">
        <v>11843</v>
      </c>
      <c r="Q9" s="9">
        <f t="shared" si="0"/>
        <v>1423.0954097572699</v>
      </c>
      <c r="R9" s="9"/>
      <c r="S9" s="9" t="s">
        <v>12795</v>
      </c>
      <c r="T9" s="9" t="s">
        <v>12795</v>
      </c>
      <c r="U9" s="9"/>
      <c r="V9" s="9"/>
      <c r="W9" s="9"/>
      <c r="X9" s="9"/>
      <c r="Y9" s="9"/>
      <c r="Z9" s="9"/>
      <c r="AA9" s="9"/>
      <c r="AB9" s="9"/>
      <c r="AC9" s="9"/>
      <c r="AD9" s="9"/>
    </row>
    <row r="10" spans="1:16382" ht="29">
      <c r="A10" s="3" t="s">
        <v>201</v>
      </c>
      <c r="B10" s="3" t="s">
        <v>4871</v>
      </c>
      <c r="C10" s="3" t="s">
        <v>4872</v>
      </c>
      <c r="E10" t="s">
        <v>20</v>
      </c>
      <c r="G10" s="9" t="s">
        <v>24</v>
      </c>
      <c r="H10" s="9"/>
      <c r="I10" s="9">
        <v>1</v>
      </c>
      <c r="J10" s="9">
        <v>2</v>
      </c>
      <c r="K10" s="9" t="s">
        <v>12087</v>
      </c>
      <c r="L10" s="9" t="s">
        <v>12119</v>
      </c>
      <c r="M10" s="9"/>
      <c r="N10" s="10"/>
      <c r="O10" s="9"/>
      <c r="P10" s="9">
        <v>1966</v>
      </c>
      <c r="Q10" s="9">
        <f t="shared" si="0"/>
        <v>236.24128815188658</v>
      </c>
      <c r="R10" s="9"/>
      <c r="S10" s="9" t="s">
        <v>12795</v>
      </c>
      <c r="T10" s="9" t="s">
        <v>12795</v>
      </c>
      <c r="U10" s="9"/>
      <c r="V10" s="9"/>
      <c r="W10" s="9"/>
      <c r="X10" s="9"/>
      <c r="Y10" s="9"/>
      <c r="Z10" s="9"/>
      <c r="AA10" s="9"/>
      <c r="AB10" s="9"/>
      <c r="AC10" s="9"/>
      <c r="AD10" s="9"/>
    </row>
    <row r="11" spans="1:16382" ht="43.5">
      <c r="A11" s="3" t="s">
        <v>246</v>
      </c>
      <c r="B11" s="3" t="s">
        <v>4898</v>
      </c>
      <c r="C11" s="3" t="s">
        <v>4899</v>
      </c>
      <c r="G11" s="9" t="s">
        <v>25</v>
      </c>
      <c r="H11" s="9"/>
      <c r="I11" s="9">
        <v>1</v>
      </c>
      <c r="J11" s="9">
        <v>1</v>
      </c>
      <c r="K11" s="9" t="s">
        <v>12078</v>
      </c>
      <c r="L11" s="9" t="s">
        <v>12119</v>
      </c>
      <c r="M11" s="9"/>
      <c r="N11" s="10"/>
      <c r="O11" s="9"/>
      <c r="P11" s="9">
        <v>11843</v>
      </c>
      <c r="Q11" s="9">
        <f t="shared" si="0"/>
        <v>1423.0954097572699</v>
      </c>
      <c r="R11" s="9"/>
      <c r="S11" s="9" t="s">
        <v>12795</v>
      </c>
      <c r="T11" s="9" t="s">
        <v>12795</v>
      </c>
      <c r="U11" s="9"/>
      <c r="V11" s="9"/>
      <c r="W11" s="9"/>
      <c r="X11" s="9"/>
      <c r="Y11" s="9"/>
      <c r="Z11" s="9"/>
      <c r="AA11" s="9"/>
      <c r="AB11" s="9"/>
      <c r="AC11" s="9"/>
      <c r="AD11" s="9"/>
    </row>
    <row r="12" spans="1:16382" ht="43.5">
      <c r="A12" s="3" t="s">
        <v>247</v>
      </c>
      <c r="B12" s="3" t="s">
        <v>4900</v>
      </c>
      <c r="C12" s="3" t="s">
        <v>4901</v>
      </c>
      <c r="G12" s="9" t="s">
        <v>25</v>
      </c>
      <c r="H12" s="9"/>
      <c r="I12" s="9">
        <v>1</v>
      </c>
      <c r="J12" s="9">
        <v>2</v>
      </c>
      <c r="K12" s="9" t="s">
        <v>12078</v>
      </c>
      <c r="L12" s="9" t="s">
        <v>12119</v>
      </c>
      <c r="M12" s="9"/>
      <c r="N12" s="10"/>
      <c r="O12" s="9"/>
      <c r="P12" s="9">
        <v>11843</v>
      </c>
      <c r="Q12" s="9">
        <f t="shared" si="0"/>
        <v>1423.0954097572699</v>
      </c>
      <c r="R12" s="9"/>
      <c r="S12" s="9" t="s">
        <v>12795</v>
      </c>
      <c r="T12" s="9" t="s">
        <v>12795</v>
      </c>
      <c r="U12" s="9" t="s">
        <v>12117</v>
      </c>
      <c r="V12" s="9"/>
      <c r="W12" s="9"/>
      <c r="X12" s="9"/>
      <c r="Y12" s="9"/>
      <c r="Z12" s="9"/>
      <c r="AA12" s="9"/>
      <c r="AB12" s="9"/>
      <c r="AC12" s="9"/>
      <c r="AD12" s="9"/>
    </row>
    <row r="13" spans="1:16382" ht="43.5">
      <c r="A13" s="3" t="s">
        <v>268</v>
      </c>
      <c r="B13" s="3" t="s">
        <v>4917</v>
      </c>
      <c r="C13" s="3" t="s">
        <v>4918</v>
      </c>
      <c r="G13" s="9" t="s">
        <v>25</v>
      </c>
      <c r="H13" s="9"/>
      <c r="I13" s="9">
        <v>1</v>
      </c>
      <c r="J13" s="9">
        <v>2</v>
      </c>
      <c r="K13" s="9" t="s">
        <v>12078</v>
      </c>
      <c r="L13" s="9" t="s">
        <v>12119</v>
      </c>
      <c r="M13" s="9"/>
      <c r="N13" s="10"/>
      <c r="O13" s="9"/>
      <c r="P13" s="9">
        <v>11843</v>
      </c>
      <c r="Q13" s="9">
        <f t="shared" si="0"/>
        <v>1423.0954097572699</v>
      </c>
      <c r="R13" s="9"/>
      <c r="S13" s="9" t="s">
        <v>12795</v>
      </c>
      <c r="T13" s="9" t="s">
        <v>12795</v>
      </c>
      <c r="U13" s="9"/>
      <c r="V13" s="9"/>
      <c r="W13" s="9"/>
      <c r="X13" s="9"/>
      <c r="Y13" s="9"/>
      <c r="Z13" s="9"/>
      <c r="AA13" s="9"/>
      <c r="AB13" s="9"/>
      <c r="AC13" s="9"/>
      <c r="AD13" s="9"/>
    </row>
    <row r="14" spans="1:16382" ht="72.5">
      <c r="A14" s="3" t="s">
        <v>306</v>
      </c>
      <c r="B14" s="3" t="s">
        <v>4950</v>
      </c>
      <c r="C14" s="3" t="s">
        <v>4949</v>
      </c>
      <c r="G14" s="9" t="s">
        <v>25</v>
      </c>
      <c r="H14" s="9"/>
      <c r="I14" s="9">
        <v>4</v>
      </c>
      <c r="J14" s="9">
        <v>8</v>
      </c>
      <c r="K14" s="9"/>
      <c r="L14" s="9" t="s">
        <v>12079</v>
      </c>
      <c r="M14" s="9"/>
      <c r="N14" s="10"/>
      <c r="O14" s="9"/>
      <c r="P14" s="9">
        <v>16</v>
      </c>
      <c r="Q14" s="9">
        <f t="shared" si="0"/>
        <v>1.9226147560682529</v>
      </c>
      <c r="R14" s="9"/>
      <c r="S14" s="9" t="s">
        <v>12795</v>
      </c>
      <c r="T14" s="9" t="s">
        <v>12795</v>
      </c>
      <c r="U14" s="9"/>
      <c r="V14" s="9"/>
      <c r="W14" s="9"/>
      <c r="X14" s="9"/>
      <c r="Y14" s="9"/>
      <c r="Z14" s="9"/>
      <c r="AA14" s="9"/>
      <c r="AB14" s="9"/>
      <c r="AC14" s="9"/>
      <c r="AD14" s="9"/>
    </row>
    <row r="15" spans="1:16382" ht="29">
      <c r="A15" s="3" t="s">
        <v>327</v>
      </c>
      <c r="B15" s="3" t="s">
        <v>4966</v>
      </c>
      <c r="C15" s="3" t="s">
        <v>4967</v>
      </c>
      <c r="G15" s="9" t="s">
        <v>24</v>
      </c>
      <c r="H15" s="9"/>
      <c r="I15" s="9">
        <v>1</v>
      </c>
      <c r="J15" s="9">
        <v>1</v>
      </c>
      <c r="K15" s="9" t="s">
        <v>12078</v>
      </c>
      <c r="L15" s="9" t="s">
        <v>12119</v>
      </c>
      <c r="M15" s="9"/>
      <c r="N15" s="10"/>
      <c r="O15" s="9"/>
      <c r="P15" s="9">
        <v>11843</v>
      </c>
      <c r="Q15" s="9">
        <f t="shared" si="0"/>
        <v>1423.0954097572699</v>
      </c>
      <c r="R15" s="9"/>
      <c r="S15" s="9" t="s">
        <v>12795</v>
      </c>
      <c r="T15" s="9" t="s">
        <v>12795</v>
      </c>
      <c r="U15" s="9"/>
      <c r="V15" s="9"/>
      <c r="W15" s="9"/>
      <c r="X15" s="9"/>
      <c r="Y15" s="9"/>
      <c r="Z15" s="9"/>
      <c r="AA15" s="9"/>
      <c r="AB15" s="9"/>
      <c r="AC15" s="9"/>
      <c r="AD15" s="9"/>
    </row>
    <row r="16" spans="1:16382" ht="43.5">
      <c r="A16" s="3" t="s">
        <v>332</v>
      </c>
      <c r="B16" s="3" t="s">
        <v>4970</v>
      </c>
      <c r="C16" s="3" t="s">
        <v>4971</v>
      </c>
      <c r="F16" t="s">
        <v>19</v>
      </c>
      <c r="G16" s="9" t="s">
        <v>25</v>
      </c>
      <c r="H16" s="9"/>
      <c r="I16" s="9">
        <v>1</v>
      </c>
      <c r="J16" s="9">
        <v>4</v>
      </c>
      <c r="K16" s="9" t="s">
        <v>12078</v>
      </c>
      <c r="L16" s="9" t="s">
        <v>12073</v>
      </c>
      <c r="M16" s="9" t="s">
        <v>12149</v>
      </c>
      <c r="N16" s="10" t="s">
        <v>12143</v>
      </c>
      <c r="O16" s="9"/>
      <c r="P16" s="9">
        <v>11843</v>
      </c>
      <c r="Q16" s="9">
        <f t="shared" si="0"/>
        <v>1423.0954097572699</v>
      </c>
      <c r="R16" s="9"/>
      <c r="S16" s="9" t="s">
        <v>12795</v>
      </c>
      <c r="T16" s="9" t="s">
        <v>12795</v>
      </c>
      <c r="U16" s="9"/>
      <c r="V16" s="9"/>
      <c r="W16" s="9"/>
      <c r="X16" s="9"/>
      <c r="Y16" s="9"/>
      <c r="Z16" s="9"/>
      <c r="AA16" s="9"/>
      <c r="AB16" s="9"/>
      <c r="AC16" s="9"/>
      <c r="AD16" s="9"/>
    </row>
    <row r="17" spans="1:30" ht="29">
      <c r="A17" s="3" t="s">
        <v>335</v>
      </c>
      <c r="B17" s="3" t="s">
        <v>4974</v>
      </c>
      <c r="C17" s="3" t="s">
        <v>4975</v>
      </c>
      <c r="G17" s="9" t="s">
        <v>25</v>
      </c>
      <c r="H17" s="9"/>
      <c r="I17" s="9">
        <v>1</v>
      </c>
      <c r="J17" s="9">
        <v>2</v>
      </c>
      <c r="K17" s="9" t="s">
        <v>12087</v>
      </c>
      <c r="L17" s="9" t="s">
        <v>12119</v>
      </c>
      <c r="M17" s="9"/>
      <c r="N17" s="10"/>
      <c r="O17" s="9"/>
      <c r="P17" s="9">
        <v>1966</v>
      </c>
      <c r="Q17" s="9">
        <f t="shared" si="0"/>
        <v>236.24128815188658</v>
      </c>
      <c r="R17" s="9"/>
      <c r="S17" s="9" t="s">
        <v>12795</v>
      </c>
      <c r="T17" s="9" t="s">
        <v>12795</v>
      </c>
      <c r="U17" s="9"/>
      <c r="V17" s="9"/>
      <c r="W17" s="9"/>
      <c r="X17" s="9"/>
      <c r="Y17" s="9"/>
      <c r="Z17" s="9"/>
      <c r="AA17" s="9"/>
      <c r="AB17" s="9"/>
      <c r="AC17" s="9"/>
      <c r="AD17" s="9"/>
    </row>
    <row r="18" spans="1:30" ht="29">
      <c r="A18" s="3" t="s">
        <v>338</v>
      </c>
      <c r="B18" s="3" t="s">
        <v>4979</v>
      </c>
      <c r="C18" s="3" t="s">
        <v>4980</v>
      </c>
      <c r="G18" s="9" t="s">
        <v>24</v>
      </c>
      <c r="H18" s="9"/>
      <c r="I18" s="9">
        <v>1</v>
      </c>
      <c r="J18" s="9">
        <v>2</v>
      </c>
      <c r="K18" s="9" t="s">
        <v>12087</v>
      </c>
      <c r="L18" s="9" t="s">
        <v>12119</v>
      </c>
      <c r="M18" s="9"/>
      <c r="N18" s="10"/>
      <c r="O18" s="9"/>
      <c r="P18" s="9">
        <v>1966</v>
      </c>
      <c r="Q18" s="9">
        <f t="shared" si="0"/>
        <v>236.24128815188658</v>
      </c>
      <c r="R18" s="9"/>
      <c r="S18" s="9" t="s">
        <v>12795</v>
      </c>
      <c r="T18" s="9" t="s">
        <v>12795</v>
      </c>
      <c r="U18" s="9"/>
      <c r="V18" s="9"/>
      <c r="W18" s="9"/>
      <c r="X18" s="9"/>
      <c r="Y18" s="9"/>
      <c r="Z18" s="9"/>
      <c r="AA18" s="9"/>
      <c r="AB18" s="9"/>
      <c r="AC18" s="9"/>
      <c r="AD18" s="9"/>
    </row>
    <row r="19" spans="1:30" ht="58">
      <c r="A19" s="3" t="s">
        <v>350</v>
      </c>
      <c r="B19" s="3" t="s">
        <v>4993</v>
      </c>
      <c r="C19" s="3" t="s">
        <v>4990</v>
      </c>
      <c r="G19" s="9" t="s">
        <v>25</v>
      </c>
      <c r="H19" s="9"/>
      <c r="I19" s="9">
        <v>1</v>
      </c>
      <c r="J19" s="9">
        <v>3</v>
      </c>
      <c r="K19" s="9" t="s">
        <v>12087</v>
      </c>
      <c r="L19" s="9" t="s">
        <v>12073</v>
      </c>
      <c r="M19" s="9" t="s">
        <v>12142</v>
      </c>
      <c r="N19" s="10" t="s">
        <v>12143</v>
      </c>
      <c r="O19" s="9"/>
      <c r="P19" s="9">
        <v>5676</v>
      </c>
      <c r="Q19" s="9">
        <f t="shared" si="0"/>
        <v>682.04758471521268</v>
      </c>
      <c r="R19" s="9"/>
      <c r="S19" s="9" t="s">
        <v>12795</v>
      </c>
      <c r="T19" s="9" t="s">
        <v>12795</v>
      </c>
      <c r="U19" s="9"/>
      <c r="V19" s="9"/>
      <c r="W19" s="9"/>
      <c r="X19" s="9"/>
      <c r="Y19" s="9"/>
      <c r="Z19" s="9"/>
      <c r="AA19" s="9"/>
      <c r="AB19" s="9"/>
      <c r="AC19" s="9"/>
      <c r="AD19" s="9"/>
    </row>
    <row r="20" spans="1:30" ht="43.5">
      <c r="A20" s="3" t="s">
        <v>365</v>
      </c>
      <c r="B20" s="3" t="s">
        <v>5003</v>
      </c>
      <c r="C20" s="3" t="s">
        <v>5004</v>
      </c>
      <c r="G20" s="9" t="s">
        <v>25</v>
      </c>
      <c r="H20" s="9"/>
      <c r="I20" s="9">
        <v>1</v>
      </c>
      <c r="J20" s="9">
        <v>2</v>
      </c>
      <c r="K20" s="9" t="s">
        <v>12078</v>
      </c>
      <c r="L20" s="9" t="s">
        <v>12119</v>
      </c>
      <c r="M20" s="9"/>
      <c r="N20" s="10"/>
      <c r="O20" s="9"/>
      <c r="P20" s="9">
        <v>11843</v>
      </c>
      <c r="Q20" s="9">
        <f t="shared" si="0"/>
        <v>1423.0954097572699</v>
      </c>
      <c r="R20" s="9"/>
      <c r="S20" s="9" t="s">
        <v>12795</v>
      </c>
      <c r="T20" s="9" t="s">
        <v>12795</v>
      </c>
      <c r="U20" s="9"/>
      <c r="V20" s="9"/>
      <c r="W20" s="9"/>
      <c r="X20" s="9"/>
      <c r="Y20" s="9"/>
      <c r="Z20" s="9"/>
      <c r="AA20" s="9"/>
      <c r="AB20" s="9"/>
      <c r="AC20" s="9"/>
      <c r="AD20" s="9"/>
    </row>
    <row r="21" spans="1:30" ht="29">
      <c r="A21" s="3" t="s">
        <v>366</v>
      </c>
      <c r="B21" s="3" t="s">
        <v>5006</v>
      </c>
      <c r="C21" s="3" t="s">
        <v>5005</v>
      </c>
      <c r="G21" s="9" t="s">
        <v>24</v>
      </c>
      <c r="H21" s="9"/>
      <c r="I21" s="9">
        <v>1</v>
      </c>
      <c r="J21" s="9">
        <v>2</v>
      </c>
      <c r="K21" s="9" t="s">
        <v>12087</v>
      </c>
      <c r="L21" s="9" t="s">
        <v>12119</v>
      </c>
      <c r="M21" s="9"/>
      <c r="N21" s="10"/>
      <c r="O21" s="9"/>
      <c r="P21" s="9">
        <v>1966</v>
      </c>
      <c r="Q21" s="9">
        <f t="shared" si="0"/>
        <v>236.24128815188658</v>
      </c>
      <c r="R21" s="9"/>
      <c r="S21" s="9" t="s">
        <v>12795</v>
      </c>
      <c r="T21" s="9" t="s">
        <v>12795</v>
      </c>
      <c r="U21" s="9"/>
      <c r="V21" s="9"/>
      <c r="W21" s="9"/>
      <c r="X21" s="9"/>
      <c r="Y21" s="9"/>
      <c r="Z21" s="9"/>
      <c r="AA21" s="9"/>
      <c r="AB21" s="9"/>
      <c r="AC21" s="9"/>
      <c r="AD21" s="9"/>
    </row>
    <row r="22" spans="1:30" ht="43.5">
      <c r="A22" s="3" t="s">
        <v>377</v>
      </c>
      <c r="B22" s="3" t="s">
        <v>5007</v>
      </c>
      <c r="C22" s="3" t="s">
        <v>5008</v>
      </c>
      <c r="G22" s="9" t="s">
        <v>24</v>
      </c>
      <c r="H22" s="9"/>
      <c r="I22" s="9">
        <v>1</v>
      </c>
      <c r="J22" s="9">
        <v>2</v>
      </c>
      <c r="K22" s="9" t="s">
        <v>12087</v>
      </c>
      <c r="L22" s="9" t="s">
        <v>12119</v>
      </c>
      <c r="M22" s="9"/>
      <c r="N22" s="10"/>
      <c r="O22" s="9"/>
      <c r="P22" s="9">
        <v>1966</v>
      </c>
      <c r="Q22" s="9">
        <f t="shared" si="0"/>
        <v>236.24128815188658</v>
      </c>
      <c r="R22" s="9"/>
      <c r="S22" s="9" t="s">
        <v>12795</v>
      </c>
      <c r="T22" s="9" t="s">
        <v>12795</v>
      </c>
      <c r="U22" s="9"/>
      <c r="V22" s="9"/>
      <c r="W22" s="9"/>
      <c r="X22" s="9"/>
      <c r="Y22" s="9"/>
      <c r="Z22" s="9"/>
      <c r="AA22" s="9"/>
      <c r="AB22" s="9"/>
      <c r="AC22" s="9"/>
      <c r="AD22" s="9"/>
    </row>
    <row r="23" spans="1:30" ht="58">
      <c r="A23" s="3" t="s">
        <v>381</v>
      </c>
      <c r="B23" s="3" t="s">
        <v>5011</v>
      </c>
      <c r="C23" s="3" t="s">
        <v>5012</v>
      </c>
      <c r="G23" s="9" t="s">
        <v>25</v>
      </c>
      <c r="H23" s="9"/>
      <c r="I23" s="9">
        <v>1</v>
      </c>
      <c r="J23" s="9">
        <v>3</v>
      </c>
      <c r="K23" s="9" t="s">
        <v>12078</v>
      </c>
      <c r="L23" s="9" t="s">
        <v>12073</v>
      </c>
      <c r="M23" s="9" t="s">
        <v>12142</v>
      </c>
      <c r="N23" s="10" t="s">
        <v>12143</v>
      </c>
      <c r="O23" s="9"/>
      <c r="P23" s="9">
        <v>11843</v>
      </c>
      <c r="Q23" s="9">
        <f t="shared" si="0"/>
        <v>1423.0954097572699</v>
      </c>
      <c r="R23" s="9"/>
      <c r="S23" s="9" t="s">
        <v>12795</v>
      </c>
      <c r="T23" s="9" t="s">
        <v>12795</v>
      </c>
      <c r="U23" s="9"/>
      <c r="V23" s="9"/>
      <c r="W23" s="9"/>
      <c r="X23" s="9"/>
      <c r="Y23" s="9"/>
      <c r="Z23" s="9"/>
      <c r="AA23" s="9"/>
      <c r="AB23" s="9"/>
      <c r="AC23" s="9"/>
      <c r="AD23" s="9"/>
    </row>
    <row r="24" spans="1:30" ht="58">
      <c r="A24" s="3" t="s">
        <v>386</v>
      </c>
      <c r="B24" s="3" t="s">
        <v>5017</v>
      </c>
      <c r="C24" s="3" t="s">
        <v>5018</v>
      </c>
      <c r="F24" t="s">
        <v>19</v>
      </c>
      <c r="G24" s="9" t="s">
        <v>25</v>
      </c>
      <c r="H24" s="9"/>
      <c r="I24" s="9">
        <v>1</v>
      </c>
      <c r="J24" s="9">
        <v>2</v>
      </c>
      <c r="K24" s="9" t="s">
        <v>12123</v>
      </c>
      <c r="L24" s="9" t="s">
        <v>12119</v>
      </c>
      <c r="M24" s="9"/>
      <c r="N24" s="10"/>
      <c r="O24" s="9"/>
      <c r="P24" s="9">
        <v>134</v>
      </c>
      <c r="Q24" s="9">
        <f t="shared" si="0"/>
        <v>16.101898582071616</v>
      </c>
      <c r="R24" s="9"/>
      <c r="S24" s="9" t="s">
        <v>12795</v>
      </c>
      <c r="T24" s="9" t="s">
        <v>12795</v>
      </c>
      <c r="U24" s="9"/>
      <c r="V24" s="9"/>
      <c r="W24" s="9"/>
      <c r="X24" s="9"/>
      <c r="Y24" s="9"/>
      <c r="Z24" s="9"/>
      <c r="AA24" s="9"/>
      <c r="AB24" s="9"/>
      <c r="AC24" s="9"/>
      <c r="AD24" s="9"/>
    </row>
    <row r="25" spans="1:30" ht="29">
      <c r="A25" s="3" t="s">
        <v>388</v>
      </c>
      <c r="B25" s="3" t="s">
        <v>5022</v>
      </c>
      <c r="C25" s="3" t="s">
        <v>5023</v>
      </c>
      <c r="G25" s="9" t="s">
        <v>24</v>
      </c>
      <c r="H25" s="9"/>
      <c r="I25" s="9">
        <v>1</v>
      </c>
      <c r="J25" s="9">
        <v>3</v>
      </c>
      <c r="K25" s="9" t="s">
        <v>12078</v>
      </c>
      <c r="L25" s="9" t="s">
        <v>12079</v>
      </c>
      <c r="M25" s="9"/>
      <c r="N25" s="10"/>
      <c r="O25" s="9"/>
      <c r="P25" s="9">
        <v>11843</v>
      </c>
      <c r="Q25" s="9">
        <f t="shared" si="0"/>
        <v>1423.0954097572699</v>
      </c>
      <c r="R25" s="9"/>
      <c r="S25" s="9" t="s">
        <v>12795</v>
      </c>
      <c r="T25" s="9" t="s">
        <v>12795</v>
      </c>
      <c r="U25" s="9" t="s">
        <v>4</v>
      </c>
      <c r="V25" s="9"/>
      <c r="W25" s="9"/>
      <c r="X25" s="9"/>
      <c r="Y25" s="9"/>
      <c r="Z25" s="9"/>
      <c r="AA25" s="9"/>
      <c r="AB25" s="9"/>
      <c r="AC25" s="9"/>
      <c r="AD25" s="9"/>
    </row>
    <row r="26" spans="1:30" ht="116">
      <c r="A26" s="3" t="s">
        <v>388</v>
      </c>
      <c r="B26" s="3" t="s">
        <v>5024</v>
      </c>
      <c r="C26" s="3" t="s">
        <v>5025</v>
      </c>
      <c r="G26" s="9" t="s">
        <v>25</v>
      </c>
      <c r="H26" s="9"/>
      <c r="I26" s="9">
        <v>6</v>
      </c>
      <c r="J26" s="9">
        <v>29</v>
      </c>
      <c r="K26" s="9"/>
      <c r="L26" s="9" t="s">
        <v>12073</v>
      </c>
      <c r="M26" s="9" t="s">
        <v>12154</v>
      </c>
      <c r="N26" s="10" t="s">
        <v>12155</v>
      </c>
      <c r="O26" s="9"/>
      <c r="P26" s="9">
        <v>4</v>
      </c>
      <c r="Q26" s="9">
        <f t="shared" si="0"/>
        <v>0.48065368901706323</v>
      </c>
      <c r="R26" s="9"/>
      <c r="S26" s="9" t="s">
        <v>12795</v>
      </c>
      <c r="T26" s="9" t="s">
        <v>12795</v>
      </c>
      <c r="U26" s="9"/>
      <c r="V26" s="9"/>
      <c r="W26" s="9"/>
      <c r="X26" s="9"/>
      <c r="Y26" s="9"/>
      <c r="Z26" s="9"/>
      <c r="AA26" s="9"/>
      <c r="AB26" s="9"/>
      <c r="AC26" s="9"/>
      <c r="AD26" s="9"/>
    </row>
    <row r="27" spans="1:30" ht="43.5">
      <c r="A27" s="3" t="s">
        <v>398</v>
      </c>
      <c r="B27" s="3" t="s">
        <v>5028</v>
      </c>
      <c r="C27" s="3" t="s">
        <v>5029</v>
      </c>
      <c r="F27" t="s">
        <v>19</v>
      </c>
      <c r="G27" s="9" t="s">
        <v>25</v>
      </c>
      <c r="H27" s="9"/>
      <c r="I27" s="9">
        <v>1</v>
      </c>
      <c r="J27" s="9">
        <v>4</v>
      </c>
      <c r="K27" s="9" t="s">
        <v>12078</v>
      </c>
      <c r="L27" s="9" t="s">
        <v>12079</v>
      </c>
      <c r="M27" s="9"/>
      <c r="N27" s="10"/>
      <c r="O27" s="9"/>
      <c r="P27" s="9">
        <v>11843</v>
      </c>
      <c r="Q27" s="9">
        <f t="shared" si="0"/>
        <v>1423.0954097572699</v>
      </c>
      <c r="R27" s="9"/>
      <c r="S27" s="9" t="s">
        <v>12795</v>
      </c>
      <c r="T27" s="9" t="s">
        <v>12795</v>
      </c>
      <c r="U27" s="9"/>
      <c r="V27" s="9"/>
      <c r="W27" s="9"/>
      <c r="X27" s="9"/>
      <c r="Y27" s="9"/>
      <c r="Z27" s="9"/>
      <c r="AA27" s="9"/>
      <c r="AB27" s="9"/>
      <c r="AC27" s="9"/>
      <c r="AD27" s="9"/>
    </row>
    <row r="28" spans="1:30" ht="43.5">
      <c r="A28" s="3" t="s">
        <v>400</v>
      </c>
      <c r="B28" s="3" t="s">
        <v>5032</v>
      </c>
      <c r="C28" s="3" t="s">
        <v>5033</v>
      </c>
      <c r="G28" s="9" t="s">
        <v>24</v>
      </c>
      <c r="H28" s="9"/>
      <c r="I28" s="9">
        <v>1</v>
      </c>
      <c r="J28" s="9">
        <v>2</v>
      </c>
      <c r="K28" s="9" t="s">
        <v>12078</v>
      </c>
      <c r="L28" s="9" t="s">
        <v>12119</v>
      </c>
      <c r="M28" s="9"/>
      <c r="N28" s="10"/>
      <c r="O28" s="9"/>
      <c r="P28" s="9">
        <v>11843</v>
      </c>
      <c r="Q28" s="9">
        <f t="shared" si="0"/>
        <v>1423.0954097572699</v>
      </c>
      <c r="R28" s="9"/>
      <c r="S28" s="9" t="s">
        <v>12795</v>
      </c>
      <c r="T28" s="9" t="s">
        <v>12795</v>
      </c>
      <c r="U28" s="9"/>
      <c r="V28" s="9"/>
      <c r="W28" s="9"/>
      <c r="X28" s="9"/>
      <c r="Y28" s="9"/>
      <c r="Z28" s="9"/>
      <c r="AA28" s="9"/>
      <c r="AB28" s="9"/>
      <c r="AC28" s="9"/>
      <c r="AD28" s="9"/>
    </row>
    <row r="29" spans="1:30" ht="29">
      <c r="A29" s="3" t="s">
        <v>405</v>
      </c>
      <c r="B29" s="3" t="s">
        <v>5036</v>
      </c>
      <c r="C29" s="3" t="s">
        <v>5037</v>
      </c>
      <c r="G29" s="9" t="s">
        <v>24</v>
      </c>
      <c r="H29" s="9"/>
      <c r="I29" s="9">
        <v>1</v>
      </c>
      <c r="J29" s="9">
        <v>1</v>
      </c>
      <c r="K29" s="9" t="s">
        <v>12078</v>
      </c>
      <c r="L29" s="9" t="s">
        <v>12119</v>
      </c>
      <c r="M29" s="9"/>
      <c r="N29" s="10"/>
      <c r="O29" s="9"/>
      <c r="P29" s="9">
        <v>11843</v>
      </c>
      <c r="Q29" s="9">
        <f t="shared" si="0"/>
        <v>1423.0954097572699</v>
      </c>
      <c r="R29" s="9"/>
      <c r="S29" s="9" t="s">
        <v>12795</v>
      </c>
      <c r="T29" s="9" t="s">
        <v>12795</v>
      </c>
      <c r="U29" s="9"/>
      <c r="V29" s="9"/>
      <c r="W29" s="9"/>
      <c r="X29" s="9"/>
      <c r="Y29" s="9"/>
      <c r="Z29" s="9"/>
      <c r="AA29" s="9"/>
      <c r="AB29" s="9"/>
      <c r="AC29" s="9"/>
      <c r="AD29" s="9"/>
    </row>
    <row r="30" spans="1:30" ht="58">
      <c r="A30" s="3" t="s">
        <v>414</v>
      </c>
      <c r="B30" s="3" t="s">
        <v>5054</v>
      </c>
      <c r="C30" s="3" t="s">
        <v>12159</v>
      </c>
      <c r="G30" s="9" t="s">
        <v>25</v>
      </c>
      <c r="H30" s="9"/>
      <c r="I30" s="9">
        <v>1</v>
      </c>
      <c r="J30" s="9">
        <v>4</v>
      </c>
      <c r="K30" s="9" t="s">
        <v>12078</v>
      </c>
      <c r="L30" s="9" t="s">
        <v>12073</v>
      </c>
      <c r="M30" s="9" t="s">
        <v>12149</v>
      </c>
      <c r="N30" s="10" t="s">
        <v>12160</v>
      </c>
      <c r="O30" s="9"/>
      <c r="P30" s="9">
        <v>11843</v>
      </c>
      <c r="Q30" s="9">
        <f t="shared" si="0"/>
        <v>1423.0954097572699</v>
      </c>
      <c r="R30" s="9"/>
      <c r="S30" s="9" t="s">
        <v>12795</v>
      </c>
      <c r="T30" s="9" t="s">
        <v>12795</v>
      </c>
      <c r="U30" s="9"/>
      <c r="V30" s="9"/>
      <c r="W30" s="9"/>
      <c r="X30" s="9"/>
      <c r="Y30" s="9"/>
      <c r="Z30" s="9"/>
      <c r="AA30" s="9"/>
      <c r="AB30" s="9"/>
      <c r="AC30" s="9"/>
      <c r="AD30" s="9"/>
    </row>
    <row r="31" spans="1:30" ht="72.5">
      <c r="A31" s="3" t="s">
        <v>435</v>
      </c>
      <c r="B31" s="3" t="s">
        <v>5075</v>
      </c>
      <c r="C31" s="3" t="s">
        <v>5074</v>
      </c>
      <c r="G31" s="9" t="s">
        <v>25</v>
      </c>
      <c r="H31" s="9"/>
      <c r="I31" s="9">
        <v>1</v>
      </c>
      <c r="J31" s="9">
        <v>3</v>
      </c>
      <c r="K31" s="9" t="s">
        <v>12094</v>
      </c>
      <c r="L31" s="9" t="s">
        <v>12079</v>
      </c>
      <c r="M31" s="9"/>
      <c r="N31" s="10"/>
      <c r="O31" s="9"/>
      <c r="P31" s="9">
        <v>301</v>
      </c>
      <c r="Q31" s="9">
        <f t="shared" si="0"/>
        <v>36.16919009853401</v>
      </c>
      <c r="R31" s="9"/>
      <c r="S31" s="9" t="s">
        <v>12795</v>
      </c>
      <c r="T31" s="9" t="s">
        <v>12795</v>
      </c>
      <c r="U31" s="9"/>
      <c r="V31" s="9"/>
      <c r="W31" s="9"/>
      <c r="X31" s="9"/>
      <c r="Y31" s="9"/>
      <c r="Z31" s="9"/>
      <c r="AA31" s="9"/>
      <c r="AB31" s="9"/>
      <c r="AC31" s="9"/>
      <c r="AD31" s="9"/>
    </row>
    <row r="32" spans="1:30" ht="58">
      <c r="A32" s="3" t="s">
        <v>441</v>
      </c>
      <c r="B32" s="3" t="s">
        <v>12164</v>
      </c>
      <c r="C32" s="3" t="s">
        <v>12165</v>
      </c>
      <c r="G32" s="9" t="s">
        <v>25</v>
      </c>
      <c r="H32" s="9"/>
      <c r="I32" s="9">
        <v>1</v>
      </c>
      <c r="J32" s="9">
        <v>3</v>
      </c>
      <c r="K32" s="9" t="s">
        <v>12078</v>
      </c>
      <c r="L32" s="9" t="s">
        <v>12079</v>
      </c>
      <c r="M32" s="9"/>
      <c r="N32" s="10"/>
      <c r="O32" s="9"/>
      <c r="P32" s="9">
        <v>11843</v>
      </c>
      <c r="Q32" s="9">
        <f t="shared" si="0"/>
        <v>1423.0954097572699</v>
      </c>
      <c r="R32" s="9"/>
      <c r="S32" s="9" t="s">
        <v>12795</v>
      </c>
      <c r="T32" s="9" t="s">
        <v>12795</v>
      </c>
      <c r="U32" s="9"/>
      <c r="V32" s="9"/>
      <c r="W32" s="9"/>
      <c r="X32" s="9"/>
      <c r="Y32" s="9"/>
      <c r="Z32" s="9"/>
      <c r="AA32" s="9"/>
      <c r="AB32" s="9"/>
      <c r="AC32" s="9"/>
      <c r="AD32" s="9"/>
    </row>
    <row r="33" spans="1:30" ht="43.5">
      <c r="A33" s="3" t="s">
        <v>448</v>
      </c>
      <c r="B33" s="3" t="s">
        <v>5084</v>
      </c>
      <c r="C33" s="3" t="s">
        <v>5085</v>
      </c>
      <c r="G33" s="9" t="s">
        <v>24</v>
      </c>
      <c r="H33" s="9"/>
      <c r="I33" s="9">
        <v>1</v>
      </c>
      <c r="J33" s="9">
        <v>3</v>
      </c>
      <c r="K33" s="9" t="s">
        <v>12123</v>
      </c>
      <c r="L33" s="9" t="s">
        <v>12079</v>
      </c>
      <c r="M33" s="9"/>
      <c r="N33" s="10"/>
      <c r="O33" s="9"/>
      <c r="P33" s="9">
        <v>92</v>
      </c>
      <c r="Q33" s="9">
        <f t="shared" si="0"/>
        <v>11.055034847392454</v>
      </c>
      <c r="R33" s="9"/>
      <c r="S33" s="9" t="s">
        <v>12795</v>
      </c>
      <c r="T33" s="9" t="s">
        <v>12795</v>
      </c>
      <c r="U33" s="9"/>
      <c r="V33" s="9"/>
      <c r="W33" s="9"/>
      <c r="X33" s="9"/>
      <c r="Y33" s="9"/>
      <c r="Z33" s="9"/>
      <c r="AA33" s="9"/>
      <c r="AB33" s="9"/>
      <c r="AC33" s="9"/>
      <c r="AD33" s="9"/>
    </row>
    <row r="34" spans="1:30" ht="43.5">
      <c r="A34" s="3" t="s">
        <v>451</v>
      </c>
      <c r="B34" s="3" t="s">
        <v>5088</v>
      </c>
      <c r="C34" s="3" t="s">
        <v>5089</v>
      </c>
      <c r="G34" s="9" t="s">
        <v>24</v>
      </c>
      <c r="H34" s="9"/>
      <c r="I34" s="9">
        <v>1</v>
      </c>
      <c r="J34" s="9">
        <v>1</v>
      </c>
      <c r="K34" s="9" t="s">
        <v>12078</v>
      </c>
      <c r="L34" s="9" t="s">
        <v>12119</v>
      </c>
      <c r="M34" s="9"/>
      <c r="N34" s="10"/>
      <c r="O34" s="9"/>
      <c r="P34" s="9">
        <v>11843</v>
      </c>
      <c r="Q34" s="9">
        <f t="shared" si="0"/>
        <v>1423.0954097572699</v>
      </c>
      <c r="R34" s="9"/>
      <c r="S34" s="9" t="s">
        <v>12795</v>
      </c>
      <c r="T34" s="9" t="s">
        <v>12795</v>
      </c>
      <c r="U34" s="9"/>
      <c r="V34" s="9"/>
      <c r="W34" s="9"/>
      <c r="X34" s="9"/>
      <c r="Y34" s="9"/>
      <c r="Z34" s="9"/>
      <c r="AA34" s="9"/>
      <c r="AB34" s="9"/>
      <c r="AC34" s="9"/>
      <c r="AD34" s="9"/>
    </row>
    <row r="35" spans="1:30" ht="29">
      <c r="A35" s="3" t="s">
        <v>456</v>
      </c>
      <c r="B35" s="3" t="s">
        <v>5092</v>
      </c>
      <c r="C35" s="3" t="s">
        <v>5093</v>
      </c>
      <c r="G35" s="9" t="s">
        <v>25</v>
      </c>
      <c r="H35" s="9"/>
      <c r="I35" s="9">
        <v>1</v>
      </c>
      <c r="J35" s="9">
        <v>4</v>
      </c>
      <c r="K35" s="9" t="s">
        <v>12084</v>
      </c>
      <c r="L35" s="9" t="s">
        <v>12079</v>
      </c>
      <c r="M35" s="9"/>
      <c r="N35" s="10"/>
      <c r="O35" s="9"/>
      <c r="P35" s="9">
        <v>10</v>
      </c>
      <c r="Q35" s="9">
        <f t="shared" si="0"/>
        <v>1.2016342225426579</v>
      </c>
      <c r="R35" s="9"/>
      <c r="S35" s="9" t="s">
        <v>12795</v>
      </c>
      <c r="T35" s="9" t="s">
        <v>12795</v>
      </c>
      <c r="U35" s="9"/>
      <c r="V35" s="9"/>
      <c r="W35" s="9"/>
      <c r="X35" s="9"/>
      <c r="Y35" s="9"/>
      <c r="Z35" s="9"/>
      <c r="AA35" s="9"/>
      <c r="AB35" s="9"/>
      <c r="AC35" s="9"/>
      <c r="AD35" s="9"/>
    </row>
    <row r="36" spans="1:30" ht="29">
      <c r="A36" s="3" t="s">
        <v>485</v>
      </c>
      <c r="B36" s="3" t="s">
        <v>5110</v>
      </c>
      <c r="C36" s="3" t="s">
        <v>5111</v>
      </c>
      <c r="G36" s="9" t="s">
        <v>25</v>
      </c>
      <c r="H36" s="9"/>
      <c r="I36" s="9">
        <v>1</v>
      </c>
      <c r="J36" s="9">
        <v>3</v>
      </c>
      <c r="K36" s="9" t="s">
        <v>12078</v>
      </c>
      <c r="L36" s="9" t="s">
        <v>12079</v>
      </c>
      <c r="M36" s="9"/>
      <c r="N36" s="10"/>
      <c r="O36" s="9"/>
      <c r="P36" s="9">
        <v>11843</v>
      </c>
      <c r="Q36" s="9">
        <f t="shared" si="0"/>
        <v>1423.0954097572699</v>
      </c>
      <c r="R36" s="9"/>
      <c r="S36" s="9" t="s">
        <v>12795</v>
      </c>
      <c r="T36" s="9" t="s">
        <v>12795</v>
      </c>
      <c r="U36" s="9"/>
      <c r="V36" s="9"/>
      <c r="W36" s="9"/>
      <c r="X36" s="9"/>
      <c r="Y36" s="9"/>
      <c r="Z36" s="9"/>
      <c r="AA36" s="9"/>
      <c r="AB36" s="9"/>
      <c r="AC36" s="9"/>
      <c r="AD36" s="9"/>
    </row>
    <row r="37" spans="1:30" ht="29">
      <c r="A37" s="3" t="s">
        <v>486</v>
      </c>
      <c r="B37" s="3" t="s">
        <v>5112</v>
      </c>
      <c r="C37" s="3" t="s">
        <v>5113</v>
      </c>
      <c r="G37" s="9" t="s">
        <v>25</v>
      </c>
      <c r="H37" s="9"/>
      <c r="I37" s="9">
        <v>1</v>
      </c>
      <c r="J37" s="9">
        <v>3</v>
      </c>
      <c r="K37" s="9" t="s">
        <v>12087</v>
      </c>
      <c r="L37" s="9" t="s">
        <v>12079</v>
      </c>
      <c r="M37" s="9"/>
      <c r="N37" s="10"/>
      <c r="O37" s="9"/>
      <c r="P37" s="9">
        <v>810</v>
      </c>
      <c r="Q37" s="9">
        <f t="shared" si="0"/>
        <v>97.332372025955294</v>
      </c>
      <c r="R37" s="9"/>
      <c r="S37" s="9" t="s">
        <v>12795</v>
      </c>
      <c r="T37" s="9" t="s">
        <v>12795</v>
      </c>
      <c r="U37" s="9"/>
      <c r="V37" s="9"/>
      <c r="W37" s="9"/>
      <c r="X37" s="9"/>
      <c r="Y37" s="9"/>
      <c r="Z37" s="9"/>
      <c r="AA37" s="9"/>
      <c r="AB37" s="9"/>
      <c r="AC37" s="9"/>
      <c r="AD37" s="9"/>
    </row>
    <row r="38" spans="1:30" ht="29">
      <c r="A38" s="3" t="s">
        <v>486</v>
      </c>
      <c r="B38" s="3" t="s">
        <v>5114</v>
      </c>
      <c r="C38" s="3" t="s">
        <v>12167</v>
      </c>
      <c r="G38" s="9" t="s">
        <v>24</v>
      </c>
      <c r="H38" s="9"/>
      <c r="I38" s="9">
        <v>1</v>
      </c>
      <c r="J38" s="9">
        <v>3</v>
      </c>
      <c r="K38" s="9" t="s">
        <v>12078</v>
      </c>
      <c r="L38" s="9" t="s">
        <v>12079</v>
      </c>
      <c r="M38" s="9"/>
      <c r="N38" s="10"/>
      <c r="O38" s="9"/>
      <c r="P38" s="9">
        <v>11843</v>
      </c>
      <c r="Q38" s="9">
        <f t="shared" si="0"/>
        <v>1423.0954097572699</v>
      </c>
      <c r="R38" s="9"/>
      <c r="S38" s="9" t="s">
        <v>12795</v>
      </c>
      <c r="T38" s="9" t="s">
        <v>12795</v>
      </c>
      <c r="U38" s="9"/>
      <c r="V38" s="9"/>
      <c r="W38" s="9"/>
      <c r="X38" s="9"/>
      <c r="Y38" s="9"/>
      <c r="Z38" s="9"/>
      <c r="AA38" s="9"/>
      <c r="AB38" s="9"/>
      <c r="AC38" s="9"/>
      <c r="AD38" s="9"/>
    </row>
    <row r="39" spans="1:30" ht="29">
      <c r="A39" s="3" t="s">
        <v>492</v>
      </c>
      <c r="B39" s="3" t="s">
        <v>5119</v>
      </c>
      <c r="C39" s="3" t="s">
        <v>5120</v>
      </c>
      <c r="G39" s="9" t="s">
        <v>25</v>
      </c>
      <c r="H39" s="9"/>
      <c r="I39" s="9">
        <v>1</v>
      </c>
      <c r="J39" s="9">
        <v>2</v>
      </c>
      <c r="K39" s="9" t="s">
        <v>12092</v>
      </c>
      <c r="L39" s="9" t="s">
        <v>12119</v>
      </c>
      <c r="M39" s="9"/>
      <c r="N39" s="10"/>
      <c r="O39" s="9"/>
      <c r="P39" s="9">
        <v>472</v>
      </c>
      <c r="Q39" s="9">
        <f t="shared" si="0"/>
        <v>56.71713530401346</v>
      </c>
      <c r="R39" s="9"/>
      <c r="S39" s="9" t="s">
        <v>12795</v>
      </c>
      <c r="T39" s="9" t="s">
        <v>12795</v>
      </c>
      <c r="U39" s="9"/>
      <c r="V39" s="9"/>
      <c r="W39" s="9"/>
      <c r="X39" s="9"/>
      <c r="Y39" s="9"/>
      <c r="Z39" s="9"/>
      <c r="AA39" s="9"/>
      <c r="AB39" s="9"/>
      <c r="AC39" s="9"/>
      <c r="AD39" s="9"/>
    </row>
    <row r="40" spans="1:30" ht="29">
      <c r="A40" s="3" t="s">
        <v>510</v>
      </c>
      <c r="B40" s="3" t="s">
        <v>5147</v>
      </c>
      <c r="C40" s="3" t="s">
        <v>5148</v>
      </c>
      <c r="F40" t="s">
        <v>19</v>
      </c>
      <c r="G40" s="9" t="s">
        <v>24</v>
      </c>
      <c r="H40" s="9"/>
      <c r="I40" s="9">
        <v>1</v>
      </c>
      <c r="J40" s="9">
        <v>3</v>
      </c>
      <c r="K40" s="9" t="s">
        <v>12078</v>
      </c>
      <c r="L40" s="9" t="s">
        <v>12079</v>
      </c>
      <c r="M40" s="9"/>
      <c r="N40" s="10"/>
      <c r="O40" s="9"/>
      <c r="P40" s="9">
        <v>11843</v>
      </c>
      <c r="Q40" s="9">
        <f t="shared" si="0"/>
        <v>1423.0954097572699</v>
      </c>
      <c r="R40" s="9"/>
      <c r="S40" s="9" t="s">
        <v>12795</v>
      </c>
      <c r="T40" s="9" t="s">
        <v>12795</v>
      </c>
      <c r="U40" s="9"/>
      <c r="V40" s="9"/>
      <c r="W40" s="9"/>
      <c r="X40" s="9"/>
      <c r="Y40" s="9"/>
      <c r="Z40" s="9"/>
      <c r="AA40" s="9"/>
      <c r="AB40" s="9"/>
      <c r="AC40" s="9"/>
      <c r="AD40" s="9"/>
    </row>
    <row r="41" spans="1:30" ht="29">
      <c r="A41" s="3" t="s">
        <v>530</v>
      </c>
      <c r="B41" s="3" t="s">
        <v>5165</v>
      </c>
      <c r="C41" s="3" t="s">
        <v>5166</v>
      </c>
      <c r="G41" s="9" t="s">
        <v>24</v>
      </c>
      <c r="H41" s="9"/>
      <c r="I41" s="9">
        <v>1</v>
      </c>
      <c r="J41" s="9">
        <v>2</v>
      </c>
      <c r="K41" s="9" t="s">
        <v>12123</v>
      </c>
      <c r="L41" s="9" t="s">
        <v>12119</v>
      </c>
      <c r="M41" s="9"/>
      <c r="N41" s="10"/>
      <c r="O41" s="9"/>
      <c r="P41" s="9">
        <v>134</v>
      </c>
      <c r="Q41" s="9">
        <f t="shared" si="0"/>
        <v>16.101898582071616</v>
      </c>
      <c r="R41" s="9"/>
      <c r="S41" s="9" t="s">
        <v>12795</v>
      </c>
      <c r="T41" s="9" t="s">
        <v>12795</v>
      </c>
      <c r="U41" s="9"/>
      <c r="V41" s="9"/>
      <c r="W41" s="9"/>
      <c r="X41" s="9"/>
      <c r="Y41" s="9"/>
      <c r="Z41" s="9"/>
      <c r="AA41" s="9"/>
      <c r="AB41" s="9"/>
      <c r="AC41" s="9"/>
      <c r="AD41" s="9"/>
    </row>
    <row r="42" spans="1:30" ht="43.5">
      <c r="A42" s="3" t="s">
        <v>537</v>
      </c>
      <c r="B42" s="3" t="s">
        <v>5169</v>
      </c>
      <c r="C42" s="3" t="s">
        <v>5170</v>
      </c>
      <c r="G42" s="9" t="s">
        <v>24</v>
      </c>
      <c r="H42" s="9"/>
      <c r="I42" s="9">
        <v>1</v>
      </c>
      <c r="J42" s="9">
        <v>3</v>
      </c>
      <c r="K42" s="9" t="s">
        <v>12078</v>
      </c>
      <c r="L42" s="9" t="s">
        <v>12079</v>
      </c>
      <c r="M42" s="9"/>
      <c r="N42" s="10"/>
      <c r="O42" s="9"/>
      <c r="P42" s="9">
        <v>11843</v>
      </c>
      <c r="Q42" s="9">
        <f t="shared" si="0"/>
        <v>1423.0954097572699</v>
      </c>
      <c r="R42" s="9"/>
      <c r="S42" s="9" t="s">
        <v>12795</v>
      </c>
      <c r="T42" s="9" t="s">
        <v>12795</v>
      </c>
      <c r="U42" s="9"/>
      <c r="V42" s="9"/>
      <c r="W42" s="9"/>
      <c r="X42" s="9"/>
      <c r="Y42" s="9"/>
      <c r="Z42" s="9"/>
      <c r="AA42" s="9"/>
      <c r="AB42" s="9"/>
      <c r="AC42" s="9"/>
      <c r="AD42" s="9"/>
    </row>
    <row r="43" spans="1:30" ht="29">
      <c r="A43" s="3" t="s">
        <v>547</v>
      </c>
      <c r="B43" s="3" t="s">
        <v>5177</v>
      </c>
      <c r="C43" s="3" t="s">
        <v>5178</v>
      </c>
      <c r="G43" s="9" t="s">
        <v>25</v>
      </c>
      <c r="H43" s="9"/>
      <c r="I43" s="9">
        <v>1</v>
      </c>
      <c r="J43" s="9">
        <v>2</v>
      </c>
      <c r="K43" s="9" t="s">
        <v>12123</v>
      </c>
      <c r="L43" s="9" t="s">
        <v>12119</v>
      </c>
      <c r="M43" s="9"/>
      <c r="N43" s="10"/>
      <c r="O43" s="9"/>
      <c r="P43" s="9">
        <v>887</v>
      </c>
      <c r="Q43" s="9">
        <f t="shared" si="0"/>
        <v>106.58495553953377</v>
      </c>
      <c r="R43" s="9"/>
      <c r="S43" s="9" t="s">
        <v>12795</v>
      </c>
      <c r="T43" s="9" t="s">
        <v>12795</v>
      </c>
      <c r="U43" s="9"/>
      <c r="V43" s="9"/>
      <c r="W43" s="9"/>
      <c r="X43" s="9"/>
      <c r="Y43" s="9"/>
      <c r="Z43" s="9"/>
      <c r="AA43" s="9"/>
      <c r="AB43" s="9"/>
      <c r="AC43" s="9"/>
      <c r="AD43" s="9"/>
    </row>
    <row r="44" spans="1:30" ht="43.5">
      <c r="A44" s="3" t="s">
        <v>554</v>
      </c>
      <c r="B44" s="3" t="s">
        <v>5179</v>
      </c>
      <c r="C44" s="3" t="s">
        <v>5180</v>
      </c>
      <c r="G44" s="9" t="s">
        <v>24</v>
      </c>
      <c r="H44" s="9"/>
      <c r="I44" s="9">
        <v>1</v>
      </c>
      <c r="J44" s="9">
        <v>2</v>
      </c>
      <c r="K44" s="9" t="s">
        <v>12078</v>
      </c>
      <c r="L44" s="9" t="s">
        <v>12119</v>
      </c>
      <c r="M44" s="9"/>
      <c r="N44" s="10"/>
      <c r="O44" s="9"/>
      <c r="P44" s="9">
        <v>11843</v>
      </c>
      <c r="Q44" s="9">
        <f t="shared" si="0"/>
        <v>1423.0954097572699</v>
      </c>
      <c r="R44" s="9"/>
      <c r="S44" s="9" t="s">
        <v>12795</v>
      </c>
      <c r="T44" s="9" t="s">
        <v>12795</v>
      </c>
      <c r="U44" s="9"/>
      <c r="V44" s="9"/>
      <c r="W44" s="9"/>
      <c r="X44" s="9"/>
      <c r="Y44" s="9"/>
      <c r="Z44" s="9"/>
      <c r="AA44" s="9"/>
      <c r="AB44" s="9"/>
      <c r="AC44" s="9"/>
      <c r="AD44" s="9"/>
    </row>
    <row r="45" spans="1:30" ht="58">
      <c r="A45" s="3" t="s">
        <v>564</v>
      </c>
      <c r="B45" s="3" t="s">
        <v>5191</v>
      </c>
      <c r="C45" s="3" t="s">
        <v>5192</v>
      </c>
      <c r="G45" s="9" t="s">
        <v>24</v>
      </c>
      <c r="H45" s="9"/>
      <c r="I45" s="9">
        <v>1</v>
      </c>
      <c r="J45" s="9">
        <v>6</v>
      </c>
      <c r="K45" s="9" t="s">
        <v>12096</v>
      </c>
      <c r="L45" s="9" t="s">
        <v>12079</v>
      </c>
      <c r="M45" s="9"/>
      <c r="N45" s="10"/>
      <c r="O45" s="9"/>
      <c r="P45" s="9">
        <v>930</v>
      </c>
      <c r="Q45" s="9">
        <f t="shared" si="0"/>
        <v>111.75198269646719</v>
      </c>
      <c r="R45" s="9"/>
      <c r="S45" s="9" t="s">
        <v>12795</v>
      </c>
      <c r="T45" s="9" t="s">
        <v>12795</v>
      </c>
      <c r="U45" s="9"/>
      <c r="V45" s="9"/>
      <c r="W45" s="9"/>
      <c r="X45" s="9"/>
      <c r="Y45" s="9"/>
      <c r="Z45" s="9"/>
      <c r="AA45" s="9"/>
      <c r="AB45" s="9"/>
      <c r="AC45" s="9"/>
      <c r="AD45" s="9"/>
    </row>
    <row r="46" spans="1:30" ht="87">
      <c r="A46" s="3" t="s">
        <v>593</v>
      </c>
      <c r="B46" s="3" t="s">
        <v>5209</v>
      </c>
      <c r="C46" s="3" t="s">
        <v>5210</v>
      </c>
      <c r="G46" s="9" t="s">
        <v>24</v>
      </c>
      <c r="H46" s="9"/>
      <c r="I46" s="9">
        <v>1</v>
      </c>
      <c r="J46" s="9">
        <v>6</v>
      </c>
      <c r="K46" s="9" t="s">
        <v>12094</v>
      </c>
      <c r="L46" s="9" t="s">
        <v>12079</v>
      </c>
      <c r="M46" s="9"/>
      <c r="N46" s="10"/>
      <c r="O46" s="9"/>
      <c r="P46" s="9">
        <v>930</v>
      </c>
      <c r="Q46" s="9">
        <f t="shared" si="0"/>
        <v>111.75198269646719</v>
      </c>
      <c r="R46" s="9"/>
      <c r="S46" s="9" t="s">
        <v>12795</v>
      </c>
      <c r="T46" s="9" t="s">
        <v>12795</v>
      </c>
      <c r="U46" s="9"/>
      <c r="V46" s="9"/>
      <c r="W46" s="9"/>
      <c r="X46" s="9"/>
      <c r="Y46" s="9"/>
      <c r="Z46" s="9"/>
      <c r="AA46" s="9"/>
      <c r="AB46" s="9"/>
      <c r="AC46" s="9"/>
      <c r="AD46" s="9"/>
    </row>
    <row r="47" spans="1:30" ht="29">
      <c r="A47" s="3" t="s">
        <v>611</v>
      </c>
      <c r="B47" s="3" t="s">
        <v>5213</v>
      </c>
      <c r="C47" s="3" t="s">
        <v>5212</v>
      </c>
      <c r="G47" s="9" t="s">
        <v>25</v>
      </c>
      <c r="H47" s="9"/>
      <c r="I47" s="9">
        <v>1</v>
      </c>
      <c r="J47" s="9">
        <v>2</v>
      </c>
      <c r="K47" s="9" t="s">
        <v>12078</v>
      </c>
      <c r="L47" s="9" t="s">
        <v>12119</v>
      </c>
      <c r="M47" s="9"/>
      <c r="N47" s="10"/>
      <c r="O47" s="9"/>
      <c r="P47" s="9">
        <v>11843</v>
      </c>
      <c r="Q47" s="9">
        <f t="shared" si="0"/>
        <v>1423.0954097572699</v>
      </c>
      <c r="R47" s="9"/>
      <c r="S47" s="9" t="s">
        <v>12795</v>
      </c>
      <c r="T47" s="9" t="s">
        <v>12795</v>
      </c>
      <c r="U47" s="9"/>
      <c r="V47" s="9"/>
      <c r="W47" s="9"/>
      <c r="X47" s="9"/>
      <c r="Y47" s="9"/>
      <c r="Z47" s="9"/>
      <c r="AA47" s="9"/>
      <c r="AB47" s="9"/>
      <c r="AC47" s="9"/>
      <c r="AD47" s="9"/>
    </row>
    <row r="48" spans="1:30" ht="29">
      <c r="A48" s="3" t="s">
        <v>627</v>
      </c>
      <c r="B48" s="3" t="s">
        <v>5221</v>
      </c>
      <c r="C48" s="3" t="s">
        <v>5222</v>
      </c>
      <c r="G48" s="9" t="s">
        <v>24</v>
      </c>
      <c r="H48" s="9"/>
      <c r="I48" s="9">
        <v>1</v>
      </c>
      <c r="J48" s="9">
        <v>1</v>
      </c>
      <c r="K48" s="9" t="s">
        <v>12078</v>
      </c>
      <c r="L48" s="9" t="s">
        <v>12119</v>
      </c>
      <c r="M48" s="9"/>
      <c r="N48" s="10"/>
      <c r="O48" s="9"/>
      <c r="P48" s="9">
        <v>11843</v>
      </c>
      <c r="Q48" s="9">
        <f t="shared" si="0"/>
        <v>1423.0954097572699</v>
      </c>
      <c r="R48" s="9"/>
      <c r="S48" s="9" t="s">
        <v>12795</v>
      </c>
      <c r="T48" s="9" t="s">
        <v>12795</v>
      </c>
      <c r="U48" s="9"/>
      <c r="V48" s="9"/>
      <c r="W48" s="9"/>
      <c r="X48" s="9"/>
      <c r="Y48" s="9"/>
      <c r="Z48" s="9"/>
      <c r="AA48" s="9"/>
      <c r="AB48" s="9"/>
      <c r="AC48" s="9"/>
      <c r="AD48" s="9"/>
    </row>
    <row r="49" spans="1:30" ht="87">
      <c r="A49" s="3" t="s">
        <v>633</v>
      </c>
      <c r="B49" s="3" t="s">
        <v>5228</v>
      </c>
      <c r="C49" s="3" t="s">
        <v>5226</v>
      </c>
      <c r="G49" s="9" t="s">
        <v>25</v>
      </c>
      <c r="H49" s="9"/>
      <c r="I49" s="9">
        <v>1</v>
      </c>
      <c r="J49" s="9">
        <v>7</v>
      </c>
      <c r="K49" s="9" t="s">
        <v>12092</v>
      </c>
      <c r="L49" s="9" t="s">
        <v>12079</v>
      </c>
      <c r="M49" s="9"/>
      <c r="N49" s="10"/>
      <c r="O49" s="9"/>
      <c r="P49" s="9">
        <v>131</v>
      </c>
      <c r="Q49" s="9">
        <f t="shared" si="0"/>
        <v>15.741408315308821</v>
      </c>
      <c r="R49" s="9"/>
      <c r="S49" s="9" t="s">
        <v>12795</v>
      </c>
      <c r="T49" s="9" t="s">
        <v>12795</v>
      </c>
      <c r="U49" s="9"/>
      <c r="V49" s="9"/>
      <c r="W49" s="9"/>
      <c r="X49" s="9"/>
      <c r="Y49" s="9"/>
      <c r="Z49" s="9"/>
      <c r="AA49" s="9"/>
      <c r="AB49" s="9"/>
      <c r="AC49" s="9"/>
      <c r="AD49" s="9"/>
    </row>
    <row r="50" spans="1:30" ht="58">
      <c r="A50" s="3" t="s">
        <v>635</v>
      </c>
      <c r="B50" s="3" t="s">
        <v>5229</v>
      </c>
      <c r="C50" s="3" t="s">
        <v>5230</v>
      </c>
      <c r="G50" s="9" t="s">
        <v>25</v>
      </c>
      <c r="H50" s="9"/>
      <c r="I50" s="9">
        <v>1</v>
      </c>
      <c r="J50" s="9">
        <v>3</v>
      </c>
      <c r="K50" s="9" t="s">
        <v>12087</v>
      </c>
      <c r="L50" s="9" t="s">
        <v>12079</v>
      </c>
      <c r="M50" s="9"/>
      <c r="N50" s="10"/>
      <c r="O50" s="9"/>
      <c r="P50" s="9">
        <v>5676</v>
      </c>
      <c r="Q50" s="9">
        <f t="shared" si="0"/>
        <v>682.04758471521268</v>
      </c>
      <c r="R50" s="9"/>
      <c r="S50" s="9" t="s">
        <v>12795</v>
      </c>
      <c r="T50" s="9" t="s">
        <v>12795</v>
      </c>
      <c r="U50" s="9"/>
      <c r="V50" s="9"/>
      <c r="W50" s="9"/>
      <c r="X50" s="9"/>
      <c r="Y50" s="9"/>
      <c r="Z50" s="9"/>
      <c r="AA50" s="9"/>
      <c r="AB50" s="9"/>
      <c r="AC50" s="9"/>
      <c r="AD50" s="9"/>
    </row>
    <row r="51" spans="1:30" ht="29">
      <c r="A51" s="3" t="s">
        <v>651</v>
      </c>
      <c r="B51" s="3" t="s">
        <v>5241</v>
      </c>
      <c r="C51" s="3" t="s">
        <v>5242</v>
      </c>
      <c r="G51" s="9" t="s">
        <v>25</v>
      </c>
      <c r="H51" s="9"/>
      <c r="I51" s="9">
        <v>1</v>
      </c>
      <c r="J51" s="9">
        <v>2</v>
      </c>
      <c r="K51" s="9" t="s">
        <v>12078</v>
      </c>
      <c r="L51" s="9" t="s">
        <v>12119</v>
      </c>
      <c r="M51" s="9"/>
      <c r="N51" s="10"/>
      <c r="O51" s="9"/>
      <c r="P51" s="9">
        <v>11843</v>
      </c>
      <c r="Q51" s="9">
        <f t="shared" si="0"/>
        <v>1423.0954097572699</v>
      </c>
      <c r="R51" s="9"/>
      <c r="S51" s="9" t="s">
        <v>12795</v>
      </c>
      <c r="T51" s="9" t="s">
        <v>12795</v>
      </c>
      <c r="U51" s="9"/>
      <c r="V51" s="9"/>
      <c r="W51" s="9"/>
      <c r="X51" s="9"/>
      <c r="Y51" s="9"/>
      <c r="Z51" s="9"/>
      <c r="AA51" s="9"/>
      <c r="AB51" s="9"/>
      <c r="AC51" s="9"/>
      <c r="AD51" s="9"/>
    </row>
    <row r="52" spans="1:30" ht="58">
      <c r="A52" s="3" t="s">
        <v>666</v>
      </c>
      <c r="B52" s="3" t="s">
        <v>5252</v>
      </c>
      <c r="C52" s="3" t="s">
        <v>5253</v>
      </c>
      <c r="G52" s="9" t="s">
        <v>24</v>
      </c>
      <c r="H52" s="9"/>
      <c r="I52" s="9">
        <v>1</v>
      </c>
      <c r="J52" s="9">
        <v>3</v>
      </c>
      <c r="K52" s="9" t="s">
        <v>12087</v>
      </c>
      <c r="L52" s="9" t="s">
        <v>12079</v>
      </c>
      <c r="M52" s="9"/>
      <c r="N52" s="10"/>
      <c r="O52" s="9"/>
      <c r="P52" s="9">
        <v>5676</v>
      </c>
      <c r="Q52" s="9">
        <f t="shared" si="0"/>
        <v>682.04758471521268</v>
      </c>
      <c r="R52" s="9"/>
      <c r="S52" s="9" t="s">
        <v>12795</v>
      </c>
      <c r="T52" s="9" t="s">
        <v>12795</v>
      </c>
      <c r="U52" s="9"/>
      <c r="V52" s="9"/>
      <c r="W52" s="9"/>
      <c r="X52" s="9"/>
      <c r="Y52" s="9"/>
      <c r="Z52" s="9"/>
      <c r="AA52" s="9"/>
      <c r="AB52" s="9"/>
      <c r="AC52" s="9"/>
      <c r="AD52" s="9"/>
    </row>
    <row r="53" spans="1:30" ht="58">
      <c r="A53" s="3" t="s">
        <v>673</v>
      </c>
      <c r="B53" s="3" t="s">
        <v>5261</v>
      </c>
      <c r="C53" s="3" t="s">
        <v>5258</v>
      </c>
      <c r="G53" s="9" t="s">
        <v>25</v>
      </c>
      <c r="H53" s="9"/>
      <c r="I53" s="9">
        <v>2</v>
      </c>
      <c r="J53" s="9">
        <v>11</v>
      </c>
      <c r="K53" s="9"/>
      <c r="L53" s="9" t="s">
        <v>12073</v>
      </c>
      <c r="M53" s="9" t="s">
        <v>12140</v>
      </c>
      <c r="N53" s="10" t="s">
        <v>12136</v>
      </c>
      <c r="O53" s="9"/>
      <c r="P53" s="9">
        <v>371</v>
      </c>
      <c r="Q53" s="9">
        <f t="shared" si="0"/>
        <v>44.580629656332611</v>
      </c>
      <c r="R53" s="9"/>
      <c r="S53" s="9" t="s">
        <v>12795</v>
      </c>
      <c r="T53" s="9" t="s">
        <v>12795</v>
      </c>
      <c r="U53" s="9" t="s">
        <v>12117</v>
      </c>
      <c r="V53" s="9"/>
      <c r="W53" s="9"/>
      <c r="X53" s="9"/>
      <c r="Y53" s="9"/>
      <c r="Z53" s="9"/>
      <c r="AA53" s="9"/>
      <c r="AB53" s="9"/>
      <c r="AC53" s="9"/>
      <c r="AD53" s="9"/>
    </row>
    <row r="54" spans="1:30" ht="72.5">
      <c r="A54" s="3" t="s">
        <v>673</v>
      </c>
      <c r="B54" s="3" t="s">
        <v>5262</v>
      </c>
      <c r="C54" s="3" t="s">
        <v>5263</v>
      </c>
      <c r="G54" s="9" t="s">
        <v>25</v>
      </c>
      <c r="H54" s="9"/>
      <c r="I54" s="9">
        <v>1</v>
      </c>
      <c r="J54" s="9">
        <v>3</v>
      </c>
      <c r="K54" s="9" t="s">
        <v>12078</v>
      </c>
      <c r="L54" s="9" t="s">
        <v>12079</v>
      </c>
      <c r="M54" s="9"/>
      <c r="N54" s="10"/>
      <c r="O54" s="9"/>
      <c r="P54" s="9">
        <v>11843</v>
      </c>
      <c r="Q54" s="9">
        <f t="shared" si="0"/>
        <v>1423.0954097572699</v>
      </c>
      <c r="R54" s="9"/>
      <c r="S54" s="9" t="s">
        <v>12795</v>
      </c>
      <c r="T54" s="9" t="s">
        <v>12795</v>
      </c>
      <c r="U54" s="9" t="s">
        <v>12117</v>
      </c>
      <c r="V54" s="9"/>
      <c r="W54" s="9"/>
      <c r="X54" s="9"/>
      <c r="Y54" s="9"/>
      <c r="Z54" s="9"/>
      <c r="AA54" s="9"/>
      <c r="AB54" s="9"/>
      <c r="AC54" s="9"/>
      <c r="AD54" s="9"/>
    </row>
    <row r="55" spans="1:30" ht="72.5">
      <c r="A55" s="3" t="s">
        <v>676</v>
      </c>
      <c r="B55" s="3" t="s">
        <v>5264</v>
      </c>
      <c r="C55" s="3" t="s">
        <v>5265</v>
      </c>
      <c r="G55" s="9" t="s">
        <v>25</v>
      </c>
      <c r="H55" s="9"/>
      <c r="I55" s="9">
        <v>2</v>
      </c>
      <c r="J55" s="9">
        <v>11</v>
      </c>
      <c r="K55" s="9"/>
      <c r="L55" s="9" t="s">
        <v>12073</v>
      </c>
      <c r="M55" s="9" t="s">
        <v>12178</v>
      </c>
      <c r="N55" s="10" t="s">
        <v>12138</v>
      </c>
      <c r="O55" s="9"/>
      <c r="P55" s="9">
        <v>47</v>
      </c>
      <c r="Q55" s="9">
        <f t="shared" si="0"/>
        <v>5.647680845950493</v>
      </c>
      <c r="R55" s="9"/>
      <c r="S55" s="9" t="s">
        <v>12795</v>
      </c>
      <c r="T55" s="9" t="s">
        <v>12795</v>
      </c>
      <c r="U55" s="9"/>
      <c r="V55" s="9"/>
      <c r="W55" s="9"/>
      <c r="X55" s="9"/>
      <c r="Y55" s="9"/>
      <c r="Z55" s="9"/>
      <c r="AA55" s="9"/>
      <c r="AB55" s="9"/>
      <c r="AC55" s="9"/>
      <c r="AD55" s="9"/>
    </row>
    <row r="56" spans="1:30" ht="58">
      <c r="A56" s="3" t="s">
        <v>693</v>
      </c>
      <c r="B56" s="3" t="s">
        <v>5271</v>
      </c>
      <c r="C56" s="3" t="s">
        <v>5270</v>
      </c>
      <c r="G56" s="9" t="s">
        <v>25</v>
      </c>
      <c r="H56" s="9"/>
      <c r="I56" s="9">
        <v>1</v>
      </c>
      <c r="J56" s="9">
        <v>3</v>
      </c>
      <c r="K56" s="9" t="s">
        <v>12078</v>
      </c>
      <c r="L56" s="9" t="s">
        <v>12079</v>
      </c>
      <c r="M56" s="9"/>
      <c r="N56" s="10"/>
      <c r="O56" s="9"/>
      <c r="P56" s="9">
        <v>11843</v>
      </c>
      <c r="Q56" s="9">
        <f t="shared" si="0"/>
        <v>1423.0954097572699</v>
      </c>
      <c r="R56" s="9"/>
      <c r="S56" s="9" t="s">
        <v>12795</v>
      </c>
      <c r="T56" s="9" t="s">
        <v>12795</v>
      </c>
      <c r="U56" s="9"/>
      <c r="V56" s="9"/>
      <c r="W56" s="9"/>
      <c r="X56" s="9"/>
      <c r="Y56" s="9"/>
      <c r="Z56" s="9"/>
      <c r="AA56" s="9"/>
      <c r="AB56" s="9"/>
      <c r="AC56" s="9"/>
      <c r="AD56" s="9"/>
    </row>
    <row r="57" spans="1:30" ht="43.5">
      <c r="A57" s="3" t="s">
        <v>703</v>
      </c>
      <c r="B57" s="3" t="s">
        <v>12854</v>
      </c>
      <c r="C57" s="3" t="s">
        <v>12855</v>
      </c>
      <c r="G57" s="9" t="s">
        <v>25</v>
      </c>
      <c r="H57" s="9"/>
      <c r="I57" s="9">
        <v>1</v>
      </c>
      <c r="J57" s="9">
        <v>3</v>
      </c>
      <c r="K57" s="9" t="s">
        <v>12087</v>
      </c>
      <c r="L57" s="9" t="s">
        <v>12079</v>
      </c>
      <c r="M57" s="9"/>
      <c r="N57" s="10"/>
      <c r="O57" s="9"/>
      <c r="P57" s="9">
        <v>5676</v>
      </c>
      <c r="Q57" s="9">
        <f t="shared" si="0"/>
        <v>682.04758471521268</v>
      </c>
      <c r="R57" s="9"/>
      <c r="S57" s="9" t="s">
        <v>12795</v>
      </c>
      <c r="T57" s="9" t="s">
        <v>12795</v>
      </c>
      <c r="U57" s="9"/>
      <c r="V57" s="9"/>
      <c r="W57" s="9"/>
      <c r="X57" s="9"/>
      <c r="Y57" s="9"/>
      <c r="Z57" s="9"/>
      <c r="AA57" s="9"/>
      <c r="AB57" s="9"/>
      <c r="AC57" s="9"/>
      <c r="AD57" s="9"/>
    </row>
    <row r="58" spans="1:30" ht="58">
      <c r="A58" s="3" t="s">
        <v>713</v>
      </c>
      <c r="B58" s="3" t="s">
        <v>5282</v>
      </c>
      <c r="C58" s="3" t="s">
        <v>12181</v>
      </c>
      <c r="G58" s="9" t="s">
        <v>25</v>
      </c>
      <c r="H58" s="9"/>
      <c r="I58" s="9">
        <v>1</v>
      </c>
      <c r="J58" s="9">
        <v>3</v>
      </c>
      <c r="K58" s="9" t="s">
        <v>12087</v>
      </c>
      <c r="L58" s="9" t="s">
        <v>12079</v>
      </c>
      <c r="M58" s="9"/>
      <c r="N58" s="10"/>
      <c r="O58" s="9"/>
      <c r="P58" s="9">
        <v>5676</v>
      </c>
      <c r="Q58" s="9">
        <f t="shared" si="0"/>
        <v>682.04758471521268</v>
      </c>
      <c r="R58" s="9"/>
      <c r="S58" s="9" t="s">
        <v>12795</v>
      </c>
      <c r="T58" s="9" t="s">
        <v>12795</v>
      </c>
      <c r="U58" s="9"/>
      <c r="V58" s="9"/>
      <c r="W58" s="9"/>
      <c r="X58" s="9"/>
      <c r="Y58" s="9"/>
      <c r="Z58" s="9"/>
      <c r="AA58" s="9"/>
      <c r="AB58" s="9"/>
      <c r="AC58" s="9"/>
      <c r="AD58" s="9"/>
    </row>
    <row r="59" spans="1:30" ht="29">
      <c r="A59" s="3" t="s">
        <v>715</v>
      </c>
      <c r="B59" s="3" t="s">
        <v>5288</v>
      </c>
      <c r="C59" s="3" t="s">
        <v>12182</v>
      </c>
      <c r="G59" s="9" t="s">
        <v>25</v>
      </c>
      <c r="H59" s="9"/>
      <c r="I59" s="9">
        <v>1</v>
      </c>
      <c r="J59" s="9">
        <v>3</v>
      </c>
      <c r="K59" s="9" t="s">
        <v>12078</v>
      </c>
      <c r="L59" s="9" t="s">
        <v>12079</v>
      </c>
      <c r="M59" s="9"/>
      <c r="N59" s="10"/>
      <c r="O59" s="9"/>
      <c r="P59" s="9">
        <v>11843</v>
      </c>
      <c r="Q59" s="9">
        <f t="shared" si="0"/>
        <v>1423.0954097572699</v>
      </c>
      <c r="R59" s="9"/>
      <c r="S59" s="9" t="s">
        <v>12795</v>
      </c>
      <c r="T59" s="9" t="s">
        <v>12795</v>
      </c>
      <c r="U59" s="9"/>
      <c r="V59" s="9"/>
      <c r="W59" s="9"/>
      <c r="X59" s="9"/>
      <c r="Y59" s="9"/>
      <c r="Z59" s="9"/>
      <c r="AA59" s="9"/>
      <c r="AB59" s="9"/>
      <c r="AC59" s="9"/>
      <c r="AD59" s="9"/>
    </row>
    <row r="60" spans="1:30" ht="43.5">
      <c r="A60" s="3" t="s">
        <v>725</v>
      </c>
      <c r="B60" s="3" t="s">
        <v>5297</v>
      </c>
      <c r="C60" s="3" t="s">
        <v>5298</v>
      </c>
      <c r="G60" s="9" t="s">
        <v>24</v>
      </c>
      <c r="H60" s="9"/>
      <c r="I60" s="9">
        <v>1</v>
      </c>
      <c r="J60" s="9">
        <v>2</v>
      </c>
      <c r="K60" s="9" t="s">
        <v>12087</v>
      </c>
      <c r="L60" s="9" t="s">
        <v>12119</v>
      </c>
      <c r="M60" s="9"/>
      <c r="N60" s="10"/>
      <c r="O60" s="9"/>
      <c r="P60" s="9">
        <v>1966</v>
      </c>
      <c r="Q60" s="9">
        <f t="shared" si="0"/>
        <v>236.24128815188658</v>
      </c>
      <c r="R60" s="9"/>
      <c r="S60" s="9" t="s">
        <v>12795</v>
      </c>
      <c r="T60" s="9" t="s">
        <v>12795</v>
      </c>
      <c r="U60" s="9"/>
      <c r="V60" s="9"/>
      <c r="W60" s="9"/>
      <c r="X60" s="9"/>
      <c r="Y60" s="9"/>
      <c r="Z60" s="9"/>
      <c r="AA60" s="9"/>
      <c r="AB60" s="9"/>
      <c r="AC60" s="9"/>
      <c r="AD60" s="9"/>
    </row>
    <row r="61" spans="1:30" ht="43.5">
      <c r="A61" s="3" t="s">
        <v>733</v>
      </c>
      <c r="B61" s="3" t="s">
        <v>5304</v>
      </c>
      <c r="C61" s="3" t="s">
        <v>5303</v>
      </c>
      <c r="G61" s="9" t="s">
        <v>24</v>
      </c>
      <c r="H61" s="9"/>
      <c r="I61" s="9">
        <v>1</v>
      </c>
      <c r="J61" s="9">
        <v>5</v>
      </c>
      <c r="K61" s="9" t="s">
        <v>12094</v>
      </c>
      <c r="L61" s="9" t="s">
        <v>12079</v>
      </c>
      <c r="M61" s="9"/>
      <c r="N61" s="10"/>
      <c r="O61" s="9"/>
      <c r="P61" s="9">
        <v>4240</v>
      </c>
      <c r="Q61" s="9">
        <f t="shared" si="0"/>
        <v>509.49291035808699</v>
      </c>
      <c r="R61" s="9"/>
      <c r="S61" s="9" t="s">
        <v>12795</v>
      </c>
      <c r="T61" s="9" t="s">
        <v>12795</v>
      </c>
      <c r="U61" s="9"/>
      <c r="V61" s="9"/>
      <c r="W61" s="9"/>
      <c r="X61" s="9"/>
      <c r="Y61" s="9"/>
      <c r="Z61" s="9"/>
      <c r="AA61" s="9"/>
      <c r="AB61" s="9"/>
      <c r="AC61" s="9"/>
      <c r="AD61" s="9"/>
    </row>
    <row r="62" spans="1:30" ht="72.5">
      <c r="A62" s="3" t="s">
        <v>741</v>
      </c>
      <c r="B62" s="3" t="s">
        <v>5307</v>
      </c>
      <c r="C62" s="3" t="s">
        <v>5308</v>
      </c>
      <c r="F62" t="s">
        <v>19</v>
      </c>
      <c r="G62" s="9" t="s">
        <v>24</v>
      </c>
      <c r="H62" s="9"/>
      <c r="I62" s="9">
        <v>1</v>
      </c>
      <c r="J62" s="9">
        <v>6</v>
      </c>
      <c r="K62" s="9" t="s">
        <v>12092</v>
      </c>
      <c r="L62" s="9" t="s">
        <v>12079</v>
      </c>
      <c r="M62" s="9"/>
      <c r="N62" s="10"/>
      <c r="O62" s="9"/>
      <c r="P62" s="9">
        <v>152</v>
      </c>
      <c r="Q62" s="9">
        <f t="shared" si="0"/>
        <v>18.264840182648403</v>
      </c>
      <c r="R62" s="9"/>
      <c r="S62" s="9"/>
      <c r="T62" s="9"/>
      <c r="U62" s="9"/>
      <c r="V62" s="9"/>
      <c r="W62" s="9"/>
      <c r="X62" s="9"/>
      <c r="Y62" s="9"/>
      <c r="Z62" s="9"/>
      <c r="AA62" s="9"/>
      <c r="AB62" s="9"/>
      <c r="AC62" s="9"/>
      <c r="AD62" s="9"/>
    </row>
    <row r="63" spans="1:30" ht="43.5">
      <c r="A63" s="3" t="s">
        <v>743</v>
      </c>
      <c r="B63" s="3" t="s">
        <v>5309</v>
      </c>
      <c r="C63" s="3" t="s">
        <v>12982</v>
      </c>
      <c r="G63" s="9" t="s">
        <v>25</v>
      </c>
      <c r="H63" s="9"/>
      <c r="I63" s="9">
        <v>1</v>
      </c>
      <c r="J63" s="9">
        <v>2</v>
      </c>
      <c r="K63" s="9" t="s">
        <v>12087</v>
      </c>
      <c r="L63" s="9" t="s">
        <v>12119</v>
      </c>
      <c r="M63" s="9"/>
      <c r="N63" s="10"/>
      <c r="O63" s="9"/>
      <c r="P63" s="9">
        <v>1966</v>
      </c>
      <c r="Q63" s="9">
        <f t="shared" si="0"/>
        <v>236.24128815188658</v>
      </c>
      <c r="R63" s="9"/>
      <c r="S63" s="9" t="s">
        <v>12795</v>
      </c>
      <c r="T63" s="9" t="s">
        <v>12795</v>
      </c>
      <c r="U63" s="9"/>
      <c r="V63" s="9"/>
      <c r="W63" s="9"/>
      <c r="X63" s="9"/>
      <c r="Y63" s="9"/>
      <c r="Z63" s="9"/>
      <c r="AA63" s="9"/>
      <c r="AB63" s="9"/>
      <c r="AC63" s="9"/>
      <c r="AD63" s="9"/>
    </row>
    <row r="64" spans="1:30" ht="58">
      <c r="A64" s="3" t="s">
        <v>746</v>
      </c>
      <c r="B64" s="3" t="s">
        <v>5316</v>
      </c>
      <c r="C64" s="3" t="s">
        <v>5315</v>
      </c>
      <c r="G64" s="9" t="s">
        <v>25</v>
      </c>
      <c r="H64" s="9"/>
      <c r="I64" s="9">
        <v>1</v>
      </c>
      <c r="J64" s="9">
        <v>5</v>
      </c>
      <c r="K64" s="9" t="s">
        <v>12094</v>
      </c>
      <c r="L64" s="9" t="s">
        <v>12079</v>
      </c>
      <c r="M64" s="9"/>
      <c r="N64" s="10"/>
      <c r="O64" s="9"/>
      <c r="P64" s="9">
        <v>930</v>
      </c>
      <c r="Q64" s="9">
        <f t="shared" si="0"/>
        <v>111.75198269646719</v>
      </c>
      <c r="R64" s="9"/>
      <c r="S64" s="9" t="s">
        <v>12795</v>
      </c>
      <c r="T64" s="9" t="s">
        <v>12795</v>
      </c>
      <c r="U64" s="9"/>
      <c r="V64" s="9"/>
      <c r="W64" s="9"/>
      <c r="X64" s="9"/>
      <c r="Y64" s="9"/>
      <c r="Z64" s="9"/>
      <c r="AA64" s="9"/>
      <c r="AB64" s="9"/>
      <c r="AC64" s="9"/>
      <c r="AD64" s="9"/>
    </row>
    <row r="65" spans="1:30" ht="116">
      <c r="A65" s="3" t="s">
        <v>749</v>
      </c>
      <c r="B65" s="3" t="s">
        <v>5319</v>
      </c>
      <c r="C65" s="3" t="s">
        <v>5320</v>
      </c>
      <c r="G65" s="9" t="s">
        <v>24</v>
      </c>
      <c r="H65" s="9"/>
      <c r="I65" s="9">
        <v>1</v>
      </c>
      <c r="J65" s="9">
        <v>1</v>
      </c>
      <c r="K65" s="9" t="s">
        <v>12078</v>
      </c>
      <c r="L65" s="9" t="s">
        <v>12119</v>
      </c>
      <c r="M65" s="9"/>
      <c r="N65" s="10"/>
      <c r="O65" s="9"/>
      <c r="P65" s="9">
        <v>11843</v>
      </c>
      <c r="Q65" s="9">
        <f t="shared" si="0"/>
        <v>1423.0954097572699</v>
      </c>
      <c r="R65" s="9"/>
      <c r="S65" s="9" t="s">
        <v>12795</v>
      </c>
      <c r="T65" s="9" t="s">
        <v>12795</v>
      </c>
      <c r="U65" s="9"/>
      <c r="V65" s="9"/>
      <c r="W65" s="9"/>
      <c r="X65" s="9"/>
      <c r="Y65" s="9"/>
      <c r="Z65" s="9"/>
      <c r="AA65" s="9"/>
      <c r="AB65" s="9"/>
      <c r="AC65" s="9"/>
      <c r="AD65" s="9"/>
    </row>
    <row r="66" spans="1:30" ht="116">
      <c r="A66" s="3" t="s">
        <v>749</v>
      </c>
      <c r="B66" s="3" t="s">
        <v>5319</v>
      </c>
      <c r="C66" s="3" t="s">
        <v>12186</v>
      </c>
      <c r="G66" s="9" t="s">
        <v>24</v>
      </c>
      <c r="H66" s="9"/>
      <c r="I66" s="9">
        <v>2</v>
      </c>
      <c r="J66" s="9">
        <v>12</v>
      </c>
      <c r="K66" s="9"/>
      <c r="L66" s="9" t="s">
        <v>12073</v>
      </c>
      <c r="M66" s="9" t="s">
        <v>12142</v>
      </c>
      <c r="N66" s="10" t="s">
        <v>12187</v>
      </c>
      <c r="O66" s="9" t="s">
        <v>12074</v>
      </c>
      <c r="P66" s="9">
        <v>261</v>
      </c>
      <c r="Q66" s="9">
        <f t="shared" ref="Q66:Q129" si="1">IF(ISNUMBER(P66), (P66/$F$988)*10000, "")</f>
        <v>31.362653208363376</v>
      </c>
      <c r="R66" s="9"/>
      <c r="S66" s="9" t="s">
        <v>12795</v>
      </c>
      <c r="T66" s="9" t="s">
        <v>12795</v>
      </c>
      <c r="U66" s="9"/>
      <c r="V66" s="9"/>
      <c r="W66" s="9"/>
      <c r="X66" s="9"/>
      <c r="Y66" s="9"/>
      <c r="Z66" s="9"/>
      <c r="AA66" s="9"/>
      <c r="AB66" s="9"/>
      <c r="AC66" s="9"/>
      <c r="AD66" s="9"/>
    </row>
    <row r="67" spans="1:30" ht="58">
      <c r="A67" s="3" t="s">
        <v>756</v>
      </c>
      <c r="B67" s="3" t="s">
        <v>5330</v>
      </c>
      <c r="C67" s="3" t="s">
        <v>5331</v>
      </c>
      <c r="G67" s="9" t="s">
        <v>24</v>
      </c>
      <c r="H67" s="9"/>
      <c r="I67" s="9">
        <v>1</v>
      </c>
      <c r="J67" s="9">
        <v>2</v>
      </c>
      <c r="K67" s="9" t="s">
        <v>12078</v>
      </c>
      <c r="L67" s="9" t="s">
        <v>12119</v>
      </c>
      <c r="M67" s="9"/>
      <c r="N67" s="10"/>
      <c r="O67" s="9"/>
      <c r="P67" s="9">
        <v>11843</v>
      </c>
      <c r="Q67" s="9">
        <f t="shared" si="1"/>
        <v>1423.0954097572699</v>
      </c>
      <c r="R67" s="9"/>
      <c r="S67" s="9" t="s">
        <v>12795</v>
      </c>
      <c r="T67" s="9" t="s">
        <v>12795</v>
      </c>
      <c r="U67" s="9"/>
      <c r="V67" s="9"/>
      <c r="W67" s="9"/>
      <c r="X67" s="9"/>
      <c r="Y67" s="9"/>
      <c r="Z67" s="9"/>
      <c r="AA67" s="9"/>
      <c r="AB67" s="9"/>
      <c r="AC67" s="9"/>
      <c r="AD67" s="9"/>
    </row>
    <row r="68" spans="1:30" ht="43.5">
      <c r="A68" s="3" t="s">
        <v>763</v>
      </c>
      <c r="B68" s="3" t="s">
        <v>5334</v>
      </c>
      <c r="C68" s="3" t="s">
        <v>5335</v>
      </c>
      <c r="G68" s="9" t="s">
        <v>25</v>
      </c>
      <c r="H68" s="9"/>
      <c r="I68" s="9">
        <v>1</v>
      </c>
      <c r="J68" s="9">
        <v>5</v>
      </c>
      <c r="K68" s="9" t="s">
        <v>12072</v>
      </c>
      <c r="L68" s="9" t="s">
        <v>12073</v>
      </c>
      <c r="M68" s="9" t="s">
        <v>12149</v>
      </c>
      <c r="N68" s="10" t="s">
        <v>12160</v>
      </c>
      <c r="O68" s="9"/>
      <c r="P68" s="9">
        <v>95</v>
      </c>
      <c r="Q68" s="9">
        <f t="shared" si="1"/>
        <v>11.415525114155251</v>
      </c>
      <c r="R68" s="9"/>
      <c r="S68" s="9" t="s">
        <v>12795</v>
      </c>
      <c r="T68" s="9" t="s">
        <v>12795</v>
      </c>
      <c r="U68" s="9"/>
      <c r="V68" s="9"/>
      <c r="W68" s="9"/>
      <c r="X68" s="9"/>
      <c r="Y68" s="9"/>
      <c r="Z68" s="9"/>
      <c r="AA68" s="9"/>
      <c r="AB68" s="9"/>
      <c r="AC68" s="9"/>
      <c r="AD68" s="9"/>
    </row>
    <row r="69" spans="1:30" ht="29">
      <c r="A69" s="3" t="s">
        <v>765</v>
      </c>
      <c r="B69" s="3" t="s">
        <v>5338</v>
      </c>
      <c r="C69" s="3" t="s">
        <v>5339</v>
      </c>
      <c r="G69" s="9" t="s">
        <v>25</v>
      </c>
      <c r="H69" s="9"/>
      <c r="I69" s="9">
        <v>1</v>
      </c>
      <c r="J69" s="9">
        <v>3</v>
      </c>
      <c r="K69" s="9" t="s">
        <v>12078</v>
      </c>
      <c r="L69" s="9" t="s">
        <v>12119</v>
      </c>
      <c r="M69" s="9"/>
      <c r="N69" s="10"/>
      <c r="O69" s="9"/>
      <c r="P69" s="9">
        <v>11843</v>
      </c>
      <c r="Q69" s="9">
        <f t="shared" si="1"/>
        <v>1423.0954097572699</v>
      </c>
      <c r="R69" s="9"/>
      <c r="S69" s="9" t="s">
        <v>12795</v>
      </c>
      <c r="T69" s="9" t="s">
        <v>12795</v>
      </c>
      <c r="U69" s="9"/>
      <c r="V69" s="9"/>
      <c r="W69" s="9"/>
      <c r="X69" s="9"/>
      <c r="Y69" s="9"/>
      <c r="Z69" s="9"/>
      <c r="AA69" s="9"/>
      <c r="AB69" s="9"/>
      <c r="AC69" s="9"/>
      <c r="AD69" s="9"/>
    </row>
    <row r="70" spans="1:30" ht="29">
      <c r="A70" s="3" t="s">
        <v>774</v>
      </c>
      <c r="B70" s="3" t="s">
        <v>5355</v>
      </c>
      <c r="C70" s="3" t="s">
        <v>5356</v>
      </c>
      <c r="F70" t="s">
        <v>19</v>
      </c>
      <c r="G70" s="9" t="s">
        <v>25</v>
      </c>
      <c r="H70" s="9"/>
      <c r="I70" s="9">
        <v>1</v>
      </c>
      <c r="J70" s="9">
        <v>2</v>
      </c>
      <c r="K70" s="9" t="s">
        <v>12123</v>
      </c>
      <c r="L70" s="9" t="s">
        <v>12119</v>
      </c>
      <c r="M70" s="9"/>
      <c r="N70" s="10"/>
      <c r="O70" s="9"/>
      <c r="P70" s="9">
        <v>526</v>
      </c>
      <c r="Q70" s="9">
        <f t="shared" si="1"/>
        <v>63.205960105743813</v>
      </c>
      <c r="R70" s="9"/>
      <c r="S70" s="9" t="s">
        <v>12795</v>
      </c>
      <c r="T70" s="9" t="s">
        <v>12795</v>
      </c>
      <c r="U70" s="9"/>
      <c r="V70" s="9"/>
      <c r="W70" s="9"/>
      <c r="X70" s="9"/>
      <c r="Y70" s="9"/>
      <c r="Z70" s="9"/>
      <c r="AA70" s="9"/>
      <c r="AB70" s="9"/>
      <c r="AC70" s="9"/>
      <c r="AD70" s="9"/>
    </row>
    <row r="71" spans="1:30" ht="43.5">
      <c r="A71" s="3" t="s">
        <v>787</v>
      </c>
      <c r="B71" s="3" t="s">
        <v>5361</v>
      </c>
      <c r="C71" s="3" t="s">
        <v>5362</v>
      </c>
      <c r="G71" s="9" t="s">
        <v>25</v>
      </c>
      <c r="H71" s="9"/>
      <c r="I71" s="9">
        <v>1</v>
      </c>
      <c r="J71" s="9">
        <v>6</v>
      </c>
      <c r="K71" s="9" t="s">
        <v>12084</v>
      </c>
      <c r="L71" s="9" t="s">
        <v>12079</v>
      </c>
      <c r="M71" s="9"/>
      <c r="N71" s="10"/>
      <c r="O71" s="9"/>
      <c r="P71" s="9">
        <v>0</v>
      </c>
      <c r="Q71" s="9">
        <f t="shared" si="1"/>
        <v>0</v>
      </c>
      <c r="R71" s="9"/>
      <c r="S71" s="9" t="s">
        <v>12795</v>
      </c>
      <c r="T71" s="9" t="s">
        <v>12795</v>
      </c>
      <c r="U71" s="9"/>
      <c r="V71" s="9"/>
      <c r="W71" s="9"/>
      <c r="X71" s="9"/>
      <c r="Y71" s="9"/>
      <c r="Z71" s="9"/>
      <c r="AA71" s="9"/>
      <c r="AB71" s="9"/>
      <c r="AC71" s="9"/>
      <c r="AD71" s="9"/>
    </row>
    <row r="72" spans="1:30" ht="58">
      <c r="A72" s="3" t="s">
        <v>798</v>
      </c>
      <c r="B72" s="3" t="s">
        <v>12986</v>
      </c>
      <c r="C72" s="3" t="s">
        <v>12983</v>
      </c>
      <c r="G72" s="9" t="s">
        <v>25</v>
      </c>
      <c r="H72" s="9"/>
      <c r="I72" s="9">
        <v>1</v>
      </c>
      <c r="J72" s="9">
        <v>5</v>
      </c>
      <c r="K72" s="9" t="s">
        <v>12094</v>
      </c>
      <c r="L72" s="9" t="s">
        <v>12073</v>
      </c>
      <c r="M72" s="9" t="s">
        <v>12142</v>
      </c>
      <c r="N72" s="10" t="s">
        <v>12160</v>
      </c>
      <c r="O72" s="9"/>
      <c r="P72" s="9">
        <v>4240</v>
      </c>
      <c r="Q72" s="9">
        <f t="shared" si="1"/>
        <v>509.49291035808699</v>
      </c>
      <c r="R72" s="9"/>
      <c r="S72" s="9" t="s">
        <v>12795</v>
      </c>
      <c r="T72" s="9" t="s">
        <v>12795</v>
      </c>
      <c r="U72" s="9"/>
      <c r="V72" s="9"/>
      <c r="W72" s="9"/>
      <c r="X72" s="9"/>
      <c r="Y72" s="9"/>
      <c r="Z72" s="9"/>
      <c r="AA72" s="9"/>
      <c r="AB72" s="9"/>
      <c r="AC72" s="9"/>
      <c r="AD72" s="9"/>
    </row>
    <row r="73" spans="1:30" ht="43.5">
      <c r="A73" s="3" t="s">
        <v>801</v>
      </c>
      <c r="B73" s="3" t="s">
        <v>5367</v>
      </c>
      <c r="C73" s="3" t="s">
        <v>5368</v>
      </c>
      <c r="G73" s="9" t="s">
        <v>24</v>
      </c>
      <c r="H73" s="9"/>
      <c r="I73" s="9">
        <v>1</v>
      </c>
      <c r="J73" s="9">
        <v>2</v>
      </c>
      <c r="K73" s="9" t="s">
        <v>12078</v>
      </c>
      <c r="L73" s="9" t="s">
        <v>12119</v>
      </c>
      <c r="M73" s="9"/>
      <c r="N73" s="10"/>
      <c r="O73" s="9"/>
      <c r="P73" s="9">
        <v>11843</v>
      </c>
      <c r="Q73" s="9">
        <f t="shared" si="1"/>
        <v>1423.0954097572699</v>
      </c>
      <c r="R73" s="9"/>
      <c r="S73" s="9" t="s">
        <v>12795</v>
      </c>
      <c r="T73" s="9" t="s">
        <v>12795</v>
      </c>
      <c r="U73" s="9"/>
      <c r="V73" s="9"/>
      <c r="W73" s="9"/>
      <c r="X73" s="9"/>
      <c r="Y73" s="9"/>
      <c r="Z73" s="9"/>
      <c r="AA73" s="9"/>
      <c r="AB73" s="9"/>
      <c r="AC73" s="9"/>
      <c r="AD73" s="9"/>
    </row>
    <row r="74" spans="1:30" ht="29">
      <c r="A74" s="3" t="s">
        <v>817</v>
      </c>
      <c r="B74" s="3" t="s">
        <v>5381</v>
      </c>
      <c r="C74" s="3" t="s">
        <v>5382</v>
      </c>
      <c r="G74" s="9" t="s">
        <v>25</v>
      </c>
      <c r="H74" s="9"/>
      <c r="I74" s="9">
        <v>1</v>
      </c>
      <c r="J74" s="9">
        <v>2</v>
      </c>
      <c r="K74" s="9" t="s">
        <v>12087</v>
      </c>
      <c r="L74" s="9" t="s">
        <v>12119</v>
      </c>
      <c r="M74" s="9"/>
      <c r="N74" s="10"/>
      <c r="O74" s="9"/>
      <c r="P74" s="9">
        <v>1966</v>
      </c>
      <c r="Q74" s="9">
        <f t="shared" si="1"/>
        <v>236.24128815188658</v>
      </c>
      <c r="R74" s="9"/>
      <c r="S74" s="9" t="s">
        <v>12795</v>
      </c>
      <c r="T74" s="9" t="s">
        <v>12795</v>
      </c>
      <c r="U74" s="9"/>
      <c r="V74" s="9"/>
      <c r="W74" s="9"/>
      <c r="X74" s="9"/>
      <c r="Y74" s="9"/>
      <c r="Z74" s="9"/>
      <c r="AA74" s="9"/>
      <c r="AB74" s="9"/>
      <c r="AC74" s="9"/>
      <c r="AD74" s="9"/>
    </row>
    <row r="75" spans="1:30" ht="29">
      <c r="A75" s="3" t="s">
        <v>826</v>
      </c>
      <c r="B75" s="3" t="s">
        <v>5392</v>
      </c>
      <c r="C75" s="3" t="s">
        <v>5393</v>
      </c>
      <c r="G75" s="9" t="s">
        <v>25</v>
      </c>
      <c r="H75" s="9"/>
      <c r="I75" s="9">
        <v>1</v>
      </c>
      <c r="J75" s="9">
        <v>2</v>
      </c>
      <c r="K75" s="9" t="s">
        <v>12087</v>
      </c>
      <c r="L75" s="9" t="s">
        <v>12119</v>
      </c>
      <c r="M75" s="9"/>
      <c r="N75" s="10"/>
      <c r="O75" s="9"/>
      <c r="P75" s="9">
        <v>1966</v>
      </c>
      <c r="Q75" s="9">
        <f t="shared" si="1"/>
        <v>236.24128815188658</v>
      </c>
      <c r="R75" s="9"/>
      <c r="S75" s="9" t="s">
        <v>12795</v>
      </c>
      <c r="T75" s="9" t="s">
        <v>12795</v>
      </c>
      <c r="U75" s="9"/>
      <c r="V75" s="9"/>
      <c r="W75" s="9"/>
      <c r="X75" s="9"/>
      <c r="Y75" s="9"/>
      <c r="Z75" s="9"/>
      <c r="AA75" s="9"/>
      <c r="AB75" s="9"/>
      <c r="AC75" s="9"/>
      <c r="AD75" s="9"/>
    </row>
    <row r="76" spans="1:30" ht="58">
      <c r="A76" s="3" t="s">
        <v>831</v>
      </c>
      <c r="B76" s="3" t="s">
        <v>5397</v>
      </c>
      <c r="C76" s="3" t="s">
        <v>5398</v>
      </c>
      <c r="G76" s="9" t="s">
        <v>24</v>
      </c>
      <c r="H76" s="9"/>
      <c r="I76" s="9">
        <v>1</v>
      </c>
      <c r="J76" s="9">
        <v>3</v>
      </c>
      <c r="K76" s="9" t="s">
        <v>12087</v>
      </c>
      <c r="L76" s="9" t="s">
        <v>12079</v>
      </c>
      <c r="M76" s="9"/>
      <c r="N76" s="10"/>
      <c r="O76" s="9"/>
      <c r="P76" s="9">
        <v>5676</v>
      </c>
      <c r="Q76" s="9">
        <f t="shared" si="1"/>
        <v>682.04758471521268</v>
      </c>
      <c r="R76" s="9"/>
      <c r="S76" s="9" t="s">
        <v>12795</v>
      </c>
      <c r="T76" s="9" t="s">
        <v>12795</v>
      </c>
      <c r="U76" s="9"/>
      <c r="V76" s="9"/>
      <c r="W76" s="9"/>
      <c r="X76" s="9"/>
      <c r="Y76" s="9"/>
      <c r="Z76" s="9"/>
      <c r="AA76" s="9"/>
      <c r="AB76" s="9"/>
      <c r="AC76" s="9"/>
      <c r="AD76" s="9"/>
    </row>
    <row r="77" spans="1:30" ht="58">
      <c r="A77" s="3" t="s">
        <v>834</v>
      </c>
      <c r="B77" s="3" t="s">
        <v>5402</v>
      </c>
      <c r="C77" s="3" t="s">
        <v>5401</v>
      </c>
      <c r="G77" s="9" t="s">
        <v>24</v>
      </c>
      <c r="H77" s="9"/>
      <c r="I77" s="9">
        <v>1</v>
      </c>
      <c r="J77" s="9">
        <v>2</v>
      </c>
      <c r="K77" s="9" t="s">
        <v>12123</v>
      </c>
      <c r="L77" s="9" t="s">
        <v>12119</v>
      </c>
      <c r="M77" s="9"/>
      <c r="N77" s="10"/>
      <c r="O77" s="9"/>
      <c r="P77" s="9">
        <v>526</v>
      </c>
      <c r="Q77" s="9">
        <f t="shared" si="1"/>
        <v>63.205960105743813</v>
      </c>
      <c r="R77" s="9"/>
      <c r="S77" s="9" t="s">
        <v>12795</v>
      </c>
      <c r="T77" s="9" t="s">
        <v>12795</v>
      </c>
      <c r="U77" s="9"/>
      <c r="V77" s="9"/>
      <c r="W77" s="9"/>
      <c r="X77" s="9"/>
      <c r="Y77" s="9"/>
      <c r="Z77" s="9"/>
      <c r="AA77" s="9"/>
      <c r="AB77" s="9"/>
      <c r="AC77" s="9"/>
      <c r="AD77" s="9"/>
    </row>
    <row r="78" spans="1:30" ht="43.5">
      <c r="A78" s="3" t="s">
        <v>838</v>
      </c>
      <c r="B78" s="3" t="s">
        <v>5419</v>
      </c>
      <c r="C78" s="3" t="s">
        <v>5420</v>
      </c>
      <c r="G78" s="9" t="s">
        <v>24</v>
      </c>
      <c r="H78" s="9"/>
      <c r="I78" s="9">
        <v>1</v>
      </c>
      <c r="J78" s="9">
        <v>1</v>
      </c>
      <c r="K78" s="9" t="s">
        <v>12078</v>
      </c>
      <c r="L78" s="9" t="s">
        <v>12119</v>
      </c>
      <c r="M78" s="9"/>
      <c r="N78" s="10"/>
      <c r="O78" s="9"/>
      <c r="P78" s="9">
        <v>11843</v>
      </c>
      <c r="Q78" s="9">
        <f t="shared" si="1"/>
        <v>1423.0954097572699</v>
      </c>
      <c r="R78" s="9"/>
      <c r="S78" s="9" t="s">
        <v>12795</v>
      </c>
      <c r="T78" s="9" t="s">
        <v>12795</v>
      </c>
      <c r="U78" s="9"/>
      <c r="V78" s="9"/>
      <c r="W78" s="9"/>
      <c r="X78" s="9"/>
      <c r="Y78" s="9"/>
      <c r="Z78" s="9"/>
      <c r="AA78" s="9"/>
      <c r="AB78" s="9"/>
      <c r="AC78" s="9"/>
      <c r="AD78" s="9"/>
    </row>
    <row r="79" spans="1:30" ht="29">
      <c r="A79" s="3" t="s">
        <v>838</v>
      </c>
      <c r="B79" s="3" t="s">
        <v>5421</v>
      </c>
      <c r="C79" s="3" t="s">
        <v>5422</v>
      </c>
      <c r="G79" s="9" t="s">
        <v>25</v>
      </c>
      <c r="H79" s="9"/>
      <c r="I79" s="9">
        <v>1</v>
      </c>
      <c r="J79" s="9">
        <v>4</v>
      </c>
      <c r="K79" s="9" t="s">
        <v>12094</v>
      </c>
      <c r="L79" s="9" t="s">
        <v>12079</v>
      </c>
      <c r="M79" s="9"/>
      <c r="N79" s="10"/>
      <c r="O79" s="9"/>
      <c r="P79" s="9">
        <v>4240</v>
      </c>
      <c r="Q79" s="9">
        <f t="shared" si="1"/>
        <v>509.49291035808699</v>
      </c>
      <c r="R79" s="9"/>
      <c r="S79" s="9" t="s">
        <v>12795</v>
      </c>
      <c r="T79" s="9" t="s">
        <v>12795</v>
      </c>
      <c r="U79" s="9"/>
      <c r="V79" s="9"/>
      <c r="W79" s="9"/>
      <c r="X79" s="9"/>
      <c r="Y79" s="9"/>
      <c r="Z79" s="9"/>
      <c r="AA79" s="9"/>
      <c r="AB79" s="9"/>
      <c r="AC79" s="9"/>
      <c r="AD79" s="9"/>
    </row>
    <row r="80" spans="1:30" ht="29">
      <c r="A80" s="3" t="s">
        <v>851</v>
      </c>
      <c r="B80" s="3" t="s">
        <v>5440</v>
      </c>
      <c r="C80" s="3" t="s">
        <v>5439</v>
      </c>
      <c r="G80" s="9" t="s">
        <v>24</v>
      </c>
      <c r="H80" s="9"/>
      <c r="I80" s="9">
        <v>1</v>
      </c>
      <c r="J80" s="9">
        <v>3</v>
      </c>
      <c r="K80" s="9" t="s">
        <v>12094</v>
      </c>
      <c r="L80" s="9" t="s">
        <v>12079</v>
      </c>
      <c r="M80" s="9"/>
      <c r="N80" s="10"/>
      <c r="O80" s="9"/>
      <c r="P80" s="9">
        <v>1496</v>
      </c>
      <c r="Q80" s="9">
        <f t="shared" si="1"/>
        <v>179.76447969238166</v>
      </c>
      <c r="R80" s="9"/>
      <c r="S80" s="9" t="s">
        <v>12795</v>
      </c>
      <c r="T80" s="9" t="s">
        <v>12795</v>
      </c>
      <c r="U80" s="9"/>
      <c r="V80" s="9"/>
      <c r="W80" s="9"/>
      <c r="X80" s="9"/>
      <c r="Y80" s="9"/>
      <c r="Z80" s="9"/>
      <c r="AA80" s="9"/>
      <c r="AB80" s="9"/>
      <c r="AC80" s="9"/>
      <c r="AD80" s="9"/>
    </row>
    <row r="81" spans="1:30" ht="72.5">
      <c r="A81" s="3" t="s">
        <v>865</v>
      </c>
      <c r="B81" s="3" t="s">
        <v>5451</v>
      </c>
      <c r="C81" s="3" t="s">
        <v>5452</v>
      </c>
      <c r="G81" s="9" t="s">
        <v>25</v>
      </c>
      <c r="H81" s="9"/>
      <c r="I81" s="9">
        <v>1</v>
      </c>
      <c r="J81" s="9">
        <v>8</v>
      </c>
      <c r="K81" s="9" t="s">
        <v>12092</v>
      </c>
      <c r="L81" s="9" t="s">
        <v>12079</v>
      </c>
      <c r="M81" s="9"/>
      <c r="N81" s="10"/>
      <c r="O81" s="9"/>
      <c r="P81" s="9">
        <v>371</v>
      </c>
      <c r="Q81" s="9">
        <f t="shared" si="1"/>
        <v>44.580629656332611</v>
      </c>
      <c r="R81" s="9"/>
      <c r="S81" s="9" t="s">
        <v>12795</v>
      </c>
      <c r="T81" s="9" t="s">
        <v>12795</v>
      </c>
      <c r="U81" s="9"/>
      <c r="V81" s="9"/>
      <c r="W81" s="9"/>
      <c r="X81" s="9"/>
      <c r="Y81" s="9"/>
      <c r="Z81" s="9"/>
      <c r="AA81" s="9"/>
      <c r="AB81" s="9"/>
      <c r="AC81" s="9"/>
      <c r="AD81" s="9"/>
    </row>
    <row r="82" spans="1:30" ht="29">
      <c r="A82" s="3" t="s">
        <v>868</v>
      </c>
      <c r="B82" s="3" t="s">
        <v>5459</v>
      </c>
      <c r="C82" s="3" t="s">
        <v>5460</v>
      </c>
      <c r="G82" s="9" t="s">
        <v>25</v>
      </c>
      <c r="H82" s="9"/>
      <c r="I82" s="9">
        <v>1</v>
      </c>
      <c r="J82" s="9">
        <v>1</v>
      </c>
      <c r="K82" s="9" t="s">
        <v>12078</v>
      </c>
      <c r="L82" s="9" t="s">
        <v>12119</v>
      </c>
      <c r="M82" s="9"/>
      <c r="N82" s="10"/>
      <c r="O82" s="9"/>
      <c r="P82" s="9">
        <v>11843</v>
      </c>
      <c r="Q82" s="9">
        <f t="shared" si="1"/>
        <v>1423.0954097572699</v>
      </c>
      <c r="R82" s="9"/>
      <c r="S82" s="9" t="s">
        <v>12795</v>
      </c>
      <c r="T82" s="9" t="s">
        <v>12795</v>
      </c>
      <c r="U82" s="9"/>
      <c r="V82" s="9"/>
      <c r="W82" s="9"/>
      <c r="X82" s="9"/>
      <c r="Y82" s="9"/>
      <c r="Z82" s="9"/>
      <c r="AA82" s="9"/>
      <c r="AB82" s="9"/>
      <c r="AC82" s="9"/>
      <c r="AD82" s="9"/>
    </row>
    <row r="83" spans="1:30" ht="58">
      <c r="A83" s="3" t="s">
        <v>876</v>
      </c>
      <c r="B83" s="3" t="s">
        <v>5465</v>
      </c>
      <c r="C83" s="3" t="s">
        <v>5466</v>
      </c>
      <c r="G83" s="9" t="s">
        <v>24</v>
      </c>
      <c r="H83" s="9"/>
      <c r="I83" s="9">
        <v>1</v>
      </c>
      <c r="J83" s="9">
        <v>2</v>
      </c>
      <c r="K83" s="9" t="s">
        <v>12078</v>
      </c>
      <c r="L83" s="9" t="s">
        <v>12119</v>
      </c>
      <c r="M83" s="9"/>
      <c r="N83" s="10"/>
      <c r="O83" s="9"/>
      <c r="P83" s="9">
        <v>11843</v>
      </c>
      <c r="Q83" s="9">
        <f t="shared" si="1"/>
        <v>1423.0954097572699</v>
      </c>
      <c r="R83" s="9"/>
      <c r="S83" s="9" t="s">
        <v>12795</v>
      </c>
      <c r="T83" s="9" t="s">
        <v>12795</v>
      </c>
      <c r="U83" s="9"/>
      <c r="V83" s="9"/>
      <c r="W83" s="9"/>
      <c r="X83" s="9"/>
      <c r="Y83" s="9"/>
      <c r="Z83" s="9"/>
      <c r="AA83" s="9"/>
      <c r="AB83" s="9"/>
      <c r="AC83" s="9"/>
      <c r="AD83" s="9"/>
    </row>
    <row r="84" spans="1:30" ht="58">
      <c r="A84" s="3" t="s">
        <v>891</v>
      </c>
      <c r="B84" s="3" t="s">
        <v>5480</v>
      </c>
      <c r="C84" s="3" t="s">
        <v>5479</v>
      </c>
      <c r="G84" s="9" t="s">
        <v>25</v>
      </c>
      <c r="H84" s="9"/>
      <c r="I84" s="9">
        <v>2</v>
      </c>
      <c r="J84" s="9">
        <v>7</v>
      </c>
      <c r="K84" s="9"/>
      <c r="L84" s="9" t="s">
        <v>12079</v>
      </c>
      <c r="M84" s="9"/>
      <c r="N84" s="10"/>
      <c r="O84" s="9"/>
      <c r="P84" s="9">
        <v>75</v>
      </c>
      <c r="Q84" s="9">
        <f t="shared" si="1"/>
        <v>9.0122566690699344</v>
      </c>
      <c r="R84" s="9"/>
      <c r="S84" s="9" t="s">
        <v>12795</v>
      </c>
      <c r="T84" s="9" t="s">
        <v>12795</v>
      </c>
      <c r="U84" s="9"/>
      <c r="V84" s="9"/>
      <c r="W84" s="9"/>
      <c r="X84" s="9"/>
      <c r="Y84" s="9"/>
      <c r="Z84" s="9"/>
      <c r="AA84" s="9"/>
      <c r="AB84" s="9"/>
      <c r="AC84" s="9"/>
      <c r="AD84" s="9"/>
    </row>
    <row r="85" spans="1:30" ht="29">
      <c r="A85" s="3" t="s">
        <v>895</v>
      </c>
      <c r="B85" s="3" t="s">
        <v>5488</v>
      </c>
      <c r="C85" s="3" t="s">
        <v>5489</v>
      </c>
      <c r="G85" s="9" t="s">
        <v>24</v>
      </c>
      <c r="H85" s="9"/>
      <c r="I85" s="9">
        <v>1</v>
      </c>
      <c r="J85" s="9">
        <v>3</v>
      </c>
      <c r="K85" s="9" t="s">
        <v>12078</v>
      </c>
      <c r="L85" s="9" t="s">
        <v>12079</v>
      </c>
      <c r="M85" s="9"/>
      <c r="N85" s="10"/>
      <c r="O85" s="9"/>
      <c r="P85" s="9">
        <v>11843</v>
      </c>
      <c r="Q85" s="9">
        <f t="shared" si="1"/>
        <v>1423.0954097572699</v>
      </c>
      <c r="R85" s="9"/>
      <c r="S85" s="9" t="s">
        <v>12795</v>
      </c>
      <c r="T85" s="9" t="s">
        <v>12795</v>
      </c>
      <c r="U85" s="9" t="s">
        <v>12117</v>
      </c>
      <c r="V85" s="9"/>
      <c r="W85" s="9"/>
      <c r="X85" s="9"/>
      <c r="Y85" s="9"/>
      <c r="Z85" s="9"/>
      <c r="AA85" s="9"/>
      <c r="AB85" s="9"/>
      <c r="AC85" s="9"/>
      <c r="AD85" s="9"/>
    </row>
    <row r="86" spans="1:30" ht="29">
      <c r="A86" s="3" t="s">
        <v>899</v>
      </c>
      <c r="B86" s="3" t="s">
        <v>5490</v>
      </c>
      <c r="C86" s="3" t="s">
        <v>5491</v>
      </c>
      <c r="G86" s="9" t="s">
        <v>25</v>
      </c>
      <c r="H86" s="9"/>
      <c r="I86" s="9">
        <v>1</v>
      </c>
      <c r="J86" s="9">
        <v>2</v>
      </c>
      <c r="K86" s="9" t="s">
        <v>12087</v>
      </c>
      <c r="L86" s="9" t="s">
        <v>12119</v>
      </c>
      <c r="M86" s="9"/>
      <c r="N86" s="10"/>
      <c r="O86" s="9"/>
      <c r="P86" s="9">
        <v>1966</v>
      </c>
      <c r="Q86" s="9">
        <f t="shared" si="1"/>
        <v>236.24128815188658</v>
      </c>
      <c r="R86" s="9"/>
      <c r="S86" s="9" t="s">
        <v>12795</v>
      </c>
      <c r="T86" s="9" t="s">
        <v>12795</v>
      </c>
      <c r="U86" s="9"/>
      <c r="V86" s="9"/>
      <c r="W86" s="9"/>
      <c r="X86" s="9"/>
      <c r="Y86" s="9"/>
      <c r="Z86" s="9"/>
      <c r="AA86" s="9"/>
      <c r="AB86" s="9"/>
      <c r="AC86" s="9"/>
      <c r="AD86" s="9"/>
    </row>
    <row r="87" spans="1:30" ht="43.5">
      <c r="A87" s="3" t="s">
        <v>904</v>
      </c>
      <c r="B87" s="3" t="s">
        <v>5494</v>
      </c>
      <c r="C87" s="3" t="s">
        <v>12846</v>
      </c>
      <c r="G87" s="9" t="s">
        <v>24</v>
      </c>
      <c r="H87" s="9"/>
      <c r="I87" s="9">
        <v>1</v>
      </c>
      <c r="J87" s="9">
        <v>3</v>
      </c>
      <c r="K87" s="9" t="s">
        <v>12087</v>
      </c>
      <c r="L87" s="9" t="s">
        <v>12079</v>
      </c>
      <c r="M87" s="9"/>
      <c r="N87" s="10"/>
      <c r="O87" s="9"/>
      <c r="P87" s="9">
        <v>5776</v>
      </c>
      <c r="Q87" s="9">
        <f t="shared" si="1"/>
        <v>694.06392694063925</v>
      </c>
      <c r="R87" s="9"/>
      <c r="S87" s="9"/>
      <c r="T87" s="9"/>
      <c r="U87" s="9"/>
      <c r="V87" s="9"/>
      <c r="W87" s="9"/>
      <c r="X87" s="9"/>
      <c r="Y87" s="9"/>
      <c r="Z87" s="9"/>
      <c r="AA87" s="9"/>
      <c r="AB87" s="9"/>
      <c r="AC87" s="9"/>
      <c r="AD87" s="9"/>
    </row>
    <row r="88" spans="1:30" ht="145">
      <c r="A88" s="3" t="s">
        <v>919</v>
      </c>
      <c r="B88" s="3" t="s">
        <v>5507</v>
      </c>
      <c r="C88" s="3" t="s">
        <v>5509</v>
      </c>
      <c r="F88" t="s">
        <v>22</v>
      </c>
      <c r="G88" s="9" t="s">
        <v>25</v>
      </c>
      <c r="H88" s="9"/>
      <c r="I88" s="9">
        <v>4</v>
      </c>
      <c r="J88" s="9">
        <v>16</v>
      </c>
      <c r="K88" s="9"/>
      <c r="L88" s="9" t="s">
        <v>12073</v>
      </c>
      <c r="M88" s="9" t="s">
        <v>12140</v>
      </c>
      <c r="N88" s="10" t="s">
        <v>12136</v>
      </c>
      <c r="O88" s="9"/>
      <c r="P88" s="9">
        <v>8</v>
      </c>
      <c r="Q88" s="9">
        <f t="shared" si="1"/>
        <v>0.96130737803412647</v>
      </c>
      <c r="R88" s="9"/>
      <c r="S88" s="9" t="s">
        <v>12795</v>
      </c>
      <c r="T88" s="9" t="s">
        <v>12795</v>
      </c>
      <c r="U88" s="9" t="s">
        <v>12117</v>
      </c>
      <c r="V88" s="9"/>
      <c r="W88" s="9"/>
      <c r="X88" s="9"/>
      <c r="Y88" s="9"/>
      <c r="Z88" s="9"/>
      <c r="AA88" s="9"/>
      <c r="AB88" s="9"/>
      <c r="AC88" s="9"/>
      <c r="AD88" s="9"/>
    </row>
    <row r="89" spans="1:30" ht="145">
      <c r="A89" s="3" t="s">
        <v>919</v>
      </c>
      <c r="B89" s="3" t="s">
        <v>5508</v>
      </c>
      <c r="C89" s="3" t="s">
        <v>5509</v>
      </c>
      <c r="G89" s="9" t="s">
        <v>25</v>
      </c>
      <c r="H89" s="9"/>
      <c r="I89" s="9">
        <v>1</v>
      </c>
      <c r="J89" s="9">
        <v>4</v>
      </c>
      <c r="K89" s="9" t="s">
        <v>12094</v>
      </c>
      <c r="L89" s="9" t="s">
        <v>12079</v>
      </c>
      <c r="M89" s="9"/>
      <c r="N89" s="10"/>
      <c r="O89" s="9"/>
      <c r="P89" s="9">
        <v>50</v>
      </c>
      <c r="Q89" s="9">
        <f t="shared" si="1"/>
        <v>6.0081711127132902</v>
      </c>
      <c r="R89" s="9"/>
      <c r="S89" s="9" t="s">
        <v>12795</v>
      </c>
      <c r="T89" s="9" t="s">
        <v>12795</v>
      </c>
      <c r="U89" s="9"/>
      <c r="V89" s="9"/>
      <c r="W89" s="9"/>
      <c r="X89" s="9"/>
      <c r="Y89" s="9"/>
      <c r="Z89" s="9"/>
      <c r="AA89" s="9"/>
      <c r="AB89" s="9"/>
      <c r="AC89" s="9"/>
      <c r="AD89" s="9"/>
    </row>
    <row r="90" spans="1:30" ht="72.5">
      <c r="A90" s="3" t="s">
        <v>929</v>
      </c>
      <c r="B90" s="3" t="s">
        <v>5528</v>
      </c>
      <c r="C90" s="3" t="s">
        <v>5527</v>
      </c>
      <c r="G90" s="9" t="s">
        <v>25</v>
      </c>
      <c r="H90" s="9"/>
      <c r="I90" s="9">
        <v>1</v>
      </c>
      <c r="J90" s="9">
        <v>2</v>
      </c>
      <c r="K90" s="9" t="s">
        <v>12078</v>
      </c>
      <c r="L90" s="9" t="s">
        <v>12119</v>
      </c>
      <c r="M90" s="9"/>
      <c r="N90" s="10"/>
      <c r="O90" s="9"/>
      <c r="P90" s="9">
        <v>11843</v>
      </c>
      <c r="Q90" s="9">
        <f t="shared" si="1"/>
        <v>1423.0954097572699</v>
      </c>
      <c r="R90" s="9"/>
      <c r="S90" s="9" t="s">
        <v>12795</v>
      </c>
      <c r="T90" s="9" t="s">
        <v>12795</v>
      </c>
      <c r="U90" s="9"/>
      <c r="V90" s="9"/>
      <c r="W90" s="9"/>
      <c r="X90" s="9"/>
      <c r="Y90" s="9"/>
      <c r="Z90" s="9"/>
      <c r="AA90" s="9"/>
      <c r="AB90" s="9"/>
      <c r="AC90" s="9"/>
      <c r="AD90" s="9"/>
    </row>
    <row r="91" spans="1:30" ht="43.5">
      <c r="A91" s="3" t="s">
        <v>940</v>
      </c>
      <c r="B91" s="3" t="s">
        <v>5538</v>
      </c>
      <c r="C91" s="3" t="s">
        <v>5539</v>
      </c>
      <c r="G91" s="9" t="s">
        <v>25</v>
      </c>
      <c r="H91" s="9"/>
      <c r="I91" s="9">
        <v>1</v>
      </c>
      <c r="J91" s="9">
        <v>3</v>
      </c>
      <c r="K91" s="9" t="s">
        <v>12087</v>
      </c>
      <c r="L91" s="9" t="s">
        <v>12079</v>
      </c>
      <c r="M91" s="9"/>
      <c r="N91" s="10"/>
      <c r="O91" s="9"/>
      <c r="P91" s="9">
        <v>5676</v>
      </c>
      <c r="Q91" s="9">
        <f t="shared" si="1"/>
        <v>682.04758471521268</v>
      </c>
      <c r="R91" s="9"/>
      <c r="S91" s="9" t="s">
        <v>12795</v>
      </c>
      <c r="T91" s="9" t="s">
        <v>12795</v>
      </c>
      <c r="U91" s="9"/>
      <c r="V91" s="9"/>
      <c r="W91" s="9"/>
      <c r="X91" s="9"/>
      <c r="Y91" s="9"/>
      <c r="Z91" s="9"/>
      <c r="AA91" s="9"/>
      <c r="AB91" s="9"/>
      <c r="AC91" s="9"/>
      <c r="AD91" s="9"/>
    </row>
    <row r="92" spans="1:30" ht="58">
      <c r="A92" s="3" t="s">
        <v>940</v>
      </c>
      <c r="B92" s="3" t="s">
        <v>5540</v>
      </c>
      <c r="C92" s="3" t="s">
        <v>5541</v>
      </c>
      <c r="G92" s="9" t="s">
        <v>25</v>
      </c>
      <c r="H92" s="9"/>
      <c r="I92" s="9">
        <v>1</v>
      </c>
      <c r="J92" s="9">
        <v>2</v>
      </c>
      <c r="K92" s="9" t="s">
        <v>12096</v>
      </c>
      <c r="L92" s="9" t="s">
        <v>12119</v>
      </c>
      <c r="M92" s="9"/>
      <c r="N92" s="10"/>
      <c r="O92" s="9"/>
      <c r="P92" s="9">
        <v>560</v>
      </c>
      <c r="Q92" s="9">
        <f t="shared" si="1"/>
        <v>67.291516462388842</v>
      </c>
      <c r="R92" s="9"/>
      <c r="S92" s="9" t="s">
        <v>12795</v>
      </c>
      <c r="T92" s="9" t="s">
        <v>12795</v>
      </c>
      <c r="U92" s="9"/>
      <c r="V92" s="9"/>
      <c r="W92" s="9"/>
      <c r="X92" s="9"/>
      <c r="Y92" s="9"/>
      <c r="Z92" s="9"/>
      <c r="AA92" s="9"/>
      <c r="AB92" s="9"/>
      <c r="AC92" s="9"/>
      <c r="AD92" s="9"/>
    </row>
    <row r="93" spans="1:30" ht="87">
      <c r="A93" s="3" t="s">
        <v>948</v>
      </c>
      <c r="B93" s="3" t="s">
        <v>5553</v>
      </c>
      <c r="C93" s="3" t="s">
        <v>5554</v>
      </c>
      <c r="G93" s="9" t="s">
        <v>25</v>
      </c>
      <c r="H93" s="9"/>
      <c r="I93" s="9">
        <v>3</v>
      </c>
      <c r="J93" s="9">
        <v>15</v>
      </c>
      <c r="K93" s="9"/>
      <c r="L93" s="9" t="s">
        <v>12073</v>
      </c>
      <c r="M93" s="9" t="s">
        <v>12140</v>
      </c>
      <c r="N93" s="10" t="s">
        <v>12137</v>
      </c>
      <c r="O93" s="9"/>
      <c r="P93" s="9">
        <v>62</v>
      </c>
      <c r="Q93" s="9">
        <f t="shared" si="1"/>
        <v>7.4501321797644797</v>
      </c>
      <c r="R93" s="9"/>
      <c r="S93" s="9" t="s">
        <v>12795</v>
      </c>
      <c r="T93" s="9" t="s">
        <v>12795</v>
      </c>
      <c r="U93" s="9"/>
      <c r="V93" s="9"/>
      <c r="W93" s="9"/>
      <c r="X93" s="9"/>
      <c r="Y93" s="9"/>
      <c r="Z93" s="9"/>
      <c r="AA93" s="9"/>
      <c r="AB93" s="9"/>
      <c r="AC93" s="9"/>
      <c r="AD93" s="9"/>
    </row>
    <row r="94" spans="1:30" ht="72.5">
      <c r="A94" s="3" t="s">
        <v>949</v>
      </c>
      <c r="B94" s="3" t="s">
        <v>5561</v>
      </c>
      <c r="C94" s="3" t="s">
        <v>5562</v>
      </c>
      <c r="G94" s="9" t="s">
        <v>24</v>
      </c>
      <c r="H94" s="9"/>
      <c r="I94" s="9">
        <v>1</v>
      </c>
      <c r="J94" s="9">
        <v>3</v>
      </c>
      <c r="K94" s="9" t="s">
        <v>12087</v>
      </c>
      <c r="L94" s="9" t="s">
        <v>12079</v>
      </c>
      <c r="M94" s="9"/>
      <c r="N94" s="10"/>
      <c r="O94" s="9"/>
      <c r="P94" s="9">
        <v>810</v>
      </c>
      <c r="Q94" s="9">
        <f t="shared" si="1"/>
        <v>97.332372025955294</v>
      </c>
      <c r="R94" s="9"/>
      <c r="S94" s="9" t="s">
        <v>12795</v>
      </c>
      <c r="T94" s="9" t="s">
        <v>12795</v>
      </c>
      <c r="U94" s="9"/>
      <c r="V94" s="9"/>
      <c r="W94" s="9"/>
      <c r="X94" s="9"/>
      <c r="Y94" s="9"/>
      <c r="Z94" s="9"/>
      <c r="AA94" s="9"/>
      <c r="AB94" s="9"/>
      <c r="AC94" s="9"/>
      <c r="AD94" s="9"/>
    </row>
    <row r="95" spans="1:30" ht="72.5">
      <c r="A95" s="3" t="s">
        <v>949</v>
      </c>
      <c r="B95" s="3" t="s">
        <v>5561</v>
      </c>
      <c r="C95" s="3" t="s">
        <v>5563</v>
      </c>
      <c r="G95" s="9" t="s">
        <v>24</v>
      </c>
      <c r="H95" s="9"/>
      <c r="I95" s="9">
        <v>1</v>
      </c>
      <c r="J95" s="9">
        <v>3</v>
      </c>
      <c r="K95" s="9" t="s">
        <v>12078</v>
      </c>
      <c r="L95" s="9" t="s">
        <v>12079</v>
      </c>
      <c r="M95" s="9"/>
      <c r="N95" s="10"/>
      <c r="O95" s="9"/>
      <c r="P95" s="9">
        <v>11843</v>
      </c>
      <c r="Q95" s="9">
        <f t="shared" si="1"/>
        <v>1423.0954097572699</v>
      </c>
      <c r="R95" s="9"/>
      <c r="S95" s="9" t="s">
        <v>12795</v>
      </c>
      <c r="T95" s="9" t="s">
        <v>12795</v>
      </c>
      <c r="U95" s="9"/>
      <c r="V95" s="9"/>
      <c r="W95" s="9"/>
      <c r="X95" s="9"/>
      <c r="Y95" s="9"/>
      <c r="Z95" s="9"/>
      <c r="AA95" s="9"/>
      <c r="AB95" s="9"/>
      <c r="AC95" s="9"/>
      <c r="AD95" s="9"/>
    </row>
    <row r="96" spans="1:30" ht="29">
      <c r="A96" s="3" t="s">
        <v>961</v>
      </c>
      <c r="B96" s="3" t="s">
        <v>5568</v>
      </c>
      <c r="C96" s="3" t="s">
        <v>5569</v>
      </c>
      <c r="G96" s="9" t="s">
        <v>24</v>
      </c>
      <c r="H96" s="9"/>
      <c r="I96" s="9">
        <v>1</v>
      </c>
      <c r="J96" s="9">
        <v>2</v>
      </c>
      <c r="K96" s="9" t="s">
        <v>12123</v>
      </c>
      <c r="L96" s="9" t="s">
        <v>12119</v>
      </c>
      <c r="M96" s="9"/>
      <c r="N96" s="10"/>
      <c r="O96" s="9"/>
      <c r="P96" s="9">
        <v>134</v>
      </c>
      <c r="Q96" s="9">
        <f t="shared" si="1"/>
        <v>16.101898582071616</v>
      </c>
      <c r="R96" s="9"/>
      <c r="S96" s="9" t="s">
        <v>12795</v>
      </c>
      <c r="T96" s="9" t="s">
        <v>12795</v>
      </c>
      <c r="U96" s="9"/>
      <c r="V96" s="9"/>
      <c r="W96" s="9"/>
      <c r="X96" s="9"/>
      <c r="Y96" s="9"/>
      <c r="Z96" s="9"/>
      <c r="AA96" s="9"/>
      <c r="AB96" s="9"/>
      <c r="AC96" s="9"/>
      <c r="AD96" s="9"/>
    </row>
    <row r="97" spans="1:30" ht="58">
      <c r="A97" s="3" t="s">
        <v>967</v>
      </c>
      <c r="B97" s="3" t="s">
        <v>5575</v>
      </c>
      <c r="C97" s="3" t="s">
        <v>5576</v>
      </c>
      <c r="G97" s="9" t="s">
        <v>24</v>
      </c>
      <c r="H97" s="9"/>
      <c r="I97" s="9">
        <v>1</v>
      </c>
      <c r="J97" s="9">
        <v>3</v>
      </c>
      <c r="K97" s="9" t="s">
        <v>12087</v>
      </c>
      <c r="L97" s="9" t="s">
        <v>12079</v>
      </c>
      <c r="M97" s="9"/>
      <c r="N97" s="10"/>
      <c r="O97" s="9"/>
      <c r="P97" s="9">
        <v>356</v>
      </c>
      <c r="Q97" s="9">
        <f t="shared" si="1"/>
        <v>42.778178322518627</v>
      </c>
      <c r="R97" s="9"/>
      <c r="S97" s="9" t="s">
        <v>12795</v>
      </c>
      <c r="T97" s="9" t="s">
        <v>12795</v>
      </c>
      <c r="U97" s="9"/>
      <c r="V97" s="9"/>
      <c r="W97" s="9"/>
      <c r="X97" s="9"/>
      <c r="Y97" s="9"/>
      <c r="Z97" s="9"/>
      <c r="AA97" s="9"/>
      <c r="AB97" s="9"/>
      <c r="AC97" s="9"/>
      <c r="AD97" s="9"/>
    </row>
    <row r="98" spans="1:30" ht="58">
      <c r="A98" s="3" t="s">
        <v>971</v>
      </c>
      <c r="B98" s="3" t="s">
        <v>5579</v>
      </c>
      <c r="C98" s="3" t="s">
        <v>5582</v>
      </c>
      <c r="G98" s="9" t="s">
        <v>24</v>
      </c>
      <c r="H98" s="9"/>
      <c r="I98" s="9">
        <v>1</v>
      </c>
      <c r="J98" s="9">
        <v>3</v>
      </c>
      <c r="K98" s="9" t="s">
        <v>12094</v>
      </c>
      <c r="L98" s="9" t="s">
        <v>12079</v>
      </c>
      <c r="M98" s="9"/>
      <c r="N98" s="10"/>
      <c r="O98" s="9"/>
      <c r="P98" s="9">
        <v>1496</v>
      </c>
      <c r="Q98" s="9">
        <f t="shared" si="1"/>
        <v>179.76447969238166</v>
      </c>
      <c r="R98" s="9"/>
      <c r="S98" s="9" t="s">
        <v>12795</v>
      </c>
      <c r="T98" s="9" t="s">
        <v>12795</v>
      </c>
      <c r="U98" s="9"/>
      <c r="V98" s="9"/>
      <c r="W98" s="9"/>
      <c r="X98" s="9"/>
      <c r="Y98" s="9"/>
      <c r="Z98" s="9"/>
      <c r="AA98" s="9"/>
      <c r="AB98" s="9"/>
      <c r="AC98" s="9"/>
      <c r="AD98" s="9"/>
    </row>
    <row r="99" spans="1:30" ht="43.5">
      <c r="A99" s="3" t="s">
        <v>973</v>
      </c>
      <c r="B99" s="3" t="s">
        <v>5586</v>
      </c>
      <c r="C99" s="3" t="s">
        <v>5587</v>
      </c>
      <c r="G99" s="9" t="s">
        <v>25</v>
      </c>
      <c r="H99" s="9"/>
      <c r="I99" s="9">
        <v>1</v>
      </c>
      <c r="J99" s="9">
        <v>2</v>
      </c>
      <c r="K99" s="9" t="s">
        <v>12087</v>
      </c>
      <c r="L99" s="9" t="s">
        <v>12119</v>
      </c>
      <c r="M99" s="9"/>
      <c r="N99" s="10"/>
      <c r="O99" s="9"/>
      <c r="P99" s="9">
        <v>1966</v>
      </c>
      <c r="Q99" s="9">
        <f t="shared" si="1"/>
        <v>236.24128815188658</v>
      </c>
      <c r="R99" s="9"/>
      <c r="S99" s="9" t="s">
        <v>12795</v>
      </c>
      <c r="T99" s="9" t="s">
        <v>12795</v>
      </c>
      <c r="U99" s="9"/>
      <c r="V99" s="9"/>
      <c r="W99" s="9"/>
      <c r="X99" s="9"/>
      <c r="Y99" s="9"/>
      <c r="Z99" s="9"/>
      <c r="AA99" s="9"/>
      <c r="AB99" s="9"/>
      <c r="AC99" s="9"/>
      <c r="AD99" s="9"/>
    </row>
    <row r="100" spans="1:30" ht="101.5">
      <c r="A100" s="3" t="s">
        <v>973</v>
      </c>
      <c r="B100" s="3" t="s">
        <v>5591</v>
      </c>
      <c r="C100" s="3" t="s">
        <v>5588</v>
      </c>
      <c r="G100" s="9" t="s">
        <v>25</v>
      </c>
      <c r="H100" s="9"/>
      <c r="I100" s="9">
        <v>3</v>
      </c>
      <c r="J100" s="9">
        <v>13</v>
      </c>
      <c r="K100" s="9"/>
      <c r="L100" s="9" t="s">
        <v>12079</v>
      </c>
      <c r="M100" s="9"/>
      <c r="N100" s="10"/>
      <c r="O100" s="9"/>
      <c r="P100" s="9">
        <v>105</v>
      </c>
      <c r="Q100" s="9">
        <f t="shared" si="1"/>
        <v>12.617159336697908</v>
      </c>
      <c r="R100" s="9"/>
      <c r="S100" s="9" t="s">
        <v>12795</v>
      </c>
      <c r="T100" s="9" t="s">
        <v>12795</v>
      </c>
      <c r="U100" s="9"/>
      <c r="V100" s="9"/>
      <c r="W100" s="9"/>
      <c r="X100" s="9"/>
      <c r="Y100" s="9"/>
      <c r="Z100" s="9"/>
      <c r="AA100" s="9"/>
      <c r="AB100" s="9"/>
      <c r="AC100" s="9"/>
      <c r="AD100" s="9"/>
    </row>
    <row r="101" spans="1:30" ht="58">
      <c r="A101" s="3" t="s">
        <v>1006</v>
      </c>
      <c r="B101" s="3" t="s">
        <v>5610</v>
      </c>
      <c r="C101" s="3" t="s">
        <v>5611</v>
      </c>
      <c r="G101" s="9" t="s">
        <v>24</v>
      </c>
      <c r="H101" s="9"/>
      <c r="I101" s="9">
        <v>1</v>
      </c>
      <c r="J101" s="9">
        <v>3</v>
      </c>
      <c r="K101" s="9" t="s">
        <v>12087</v>
      </c>
      <c r="L101" s="9" t="s">
        <v>12079</v>
      </c>
      <c r="M101" s="9"/>
      <c r="N101" s="10"/>
      <c r="O101" s="9"/>
      <c r="P101" s="9">
        <v>5676</v>
      </c>
      <c r="Q101" s="9">
        <f t="shared" si="1"/>
        <v>682.04758471521268</v>
      </c>
      <c r="R101" s="9"/>
      <c r="S101" s="9" t="s">
        <v>12795</v>
      </c>
      <c r="T101" s="9" t="s">
        <v>12795</v>
      </c>
      <c r="U101" s="9"/>
      <c r="V101" s="9"/>
      <c r="W101" s="9"/>
      <c r="X101" s="9"/>
      <c r="Y101" s="9"/>
      <c r="Z101" s="9"/>
      <c r="AA101" s="9"/>
      <c r="AB101" s="9"/>
      <c r="AC101" s="9"/>
      <c r="AD101" s="9"/>
    </row>
    <row r="102" spans="1:30" ht="43.5">
      <c r="A102" s="3" t="s">
        <v>1011</v>
      </c>
      <c r="B102" s="3" t="s">
        <v>5614</v>
      </c>
      <c r="C102" s="3" t="s">
        <v>5615</v>
      </c>
      <c r="G102" s="9" t="s">
        <v>24</v>
      </c>
      <c r="H102" s="9"/>
      <c r="I102" s="9">
        <v>2</v>
      </c>
      <c r="J102" s="9">
        <v>4</v>
      </c>
      <c r="K102" s="9"/>
      <c r="L102" s="9" t="s">
        <v>12079</v>
      </c>
      <c r="M102" s="9"/>
      <c r="N102" s="10"/>
      <c r="O102" s="9"/>
      <c r="P102" s="9">
        <v>5676</v>
      </c>
      <c r="Q102" s="9">
        <f t="shared" si="1"/>
        <v>682.04758471521268</v>
      </c>
      <c r="R102" s="9"/>
      <c r="S102" s="9" t="s">
        <v>12795</v>
      </c>
      <c r="T102" s="9" t="s">
        <v>12795</v>
      </c>
      <c r="U102" s="9"/>
      <c r="V102" s="9"/>
      <c r="W102" s="9"/>
      <c r="X102" s="9"/>
      <c r="Y102" s="9"/>
      <c r="Z102" s="9"/>
      <c r="AA102" s="9"/>
      <c r="AB102" s="9"/>
      <c r="AC102" s="9"/>
      <c r="AD102" s="9"/>
    </row>
    <row r="103" spans="1:30" ht="29">
      <c r="A103" s="3" t="s">
        <v>1032</v>
      </c>
      <c r="B103" s="3" t="s">
        <v>5624</v>
      </c>
      <c r="C103" s="3" t="s">
        <v>5625</v>
      </c>
      <c r="G103" s="9" t="s">
        <v>25</v>
      </c>
      <c r="H103" s="9"/>
      <c r="I103" s="9">
        <v>1</v>
      </c>
      <c r="J103" s="9">
        <v>1</v>
      </c>
      <c r="K103" s="9" t="s">
        <v>12078</v>
      </c>
      <c r="L103" s="9" t="s">
        <v>12119</v>
      </c>
      <c r="M103" s="9"/>
      <c r="N103" s="10"/>
      <c r="O103" s="9"/>
      <c r="P103" s="9">
        <v>11843</v>
      </c>
      <c r="Q103" s="9">
        <f t="shared" si="1"/>
        <v>1423.0954097572699</v>
      </c>
      <c r="R103" s="9"/>
      <c r="S103" s="9" t="s">
        <v>12795</v>
      </c>
      <c r="T103" s="9" t="s">
        <v>12795</v>
      </c>
      <c r="U103" s="9"/>
      <c r="V103" s="9"/>
      <c r="W103" s="9"/>
      <c r="X103" s="9"/>
      <c r="Y103" s="9"/>
      <c r="Z103" s="9"/>
      <c r="AA103" s="9"/>
      <c r="AB103" s="9"/>
      <c r="AC103" s="9"/>
      <c r="AD103" s="9"/>
    </row>
    <row r="104" spans="1:30" ht="43.5">
      <c r="A104" s="3" t="s">
        <v>1037</v>
      </c>
      <c r="B104" s="3" t="s">
        <v>5635</v>
      </c>
      <c r="C104" s="3" t="s">
        <v>5636</v>
      </c>
      <c r="G104" s="9" t="s">
        <v>25</v>
      </c>
      <c r="H104" s="9"/>
      <c r="I104" s="9">
        <v>1</v>
      </c>
      <c r="J104" s="9">
        <v>4</v>
      </c>
      <c r="K104" s="9" t="s">
        <v>12078</v>
      </c>
      <c r="L104" s="9" t="s">
        <v>12073</v>
      </c>
      <c r="M104" s="9" t="s">
        <v>12149</v>
      </c>
      <c r="N104" s="10" t="s">
        <v>12143</v>
      </c>
      <c r="O104" s="9"/>
      <c r="P104" s="9">
        <v>11843</v>
      </c>
      <c r="Q104" s="9">
        <f t="shared" si="1"/>
        <v>1423.0954097572699</v>
      </c>
      <c r="R104" s="9"/>
      <c r="S104" s="9" t="s">
        <v>12795</v>
      </c>
      <c r="T104" s="9" t="s">
        <v>12795</v>
      </c>
      <c r="U104" s="9"/>
      <c r="V104" s="9"/>
      <c r="W104" s="9"/>
      <c r="X104" s="9"/>
      <c r="Y104" s="9"/>
      <c r="Z104" s="9"/>
      <c r="AA104" s="9"/>
      <c r="AB104" s="9"/>
      <c r="AC104" s="9"/>
      <c r="AD104" s="9"/>
    </row>
    <row r="105" spans="1:30" ht="29">
      <c r="A105" s="3" t="s">
        <v>1039</v>
      </c>
      <c r="B105" s="3" t="s">
        <v>5637</v>
      </c>
      <c r="C105" s="3" t="s">
        <v>5638</v>
      </c>
      <c r="G105" s="9" t="s">
        <v>24</v>
      </c>
      <c r="H105" s="9"/>
      <c r="I105" s="9">
        <v>1</v>
      </c>
      <c r="J105" s="9">
        <v>4</v>
      </c>
      <c r="K105" s="9" t="s">
        <v>12078</v>
      </c>
      <c r="L105" s="9" t="s">
        <v>12073</v>
      </c>
      <c r="M105" s="9" t="s">
        <v>12149</v>
      </c>
      <c r="N105" s="10" t="s">
        <v>12143</v>
      </c>
      <c r="O105" s="9"/>
      <c r="P105" s="9">
        <v>11843</v>
      </c>
      <c r="Q105" s="9">
        <f t="shared" si="1"/>
        <v>1423.0954097572699</v>
      </c>
      <c r="R105" s="9"/>
      <c r="S105" s="9" t="s">
        <v>12795</v>
      </c>
      <c r="T105" s="9" t="s">
        <v>12795</v>
      </c>
      <c r="U105" s="9"/>
      <c r="V105" s="9"/>
      <c r="W105" s="9"/>
      <c r="X105" s="9"/>
      <c r="Y105" s="9"/>
      <c r="Z105" s="9"/>
      <c r="AA105" s="9"/>
      <c r="AB105" s="9"/>
      <c r="AC105" s="9"/>
      <c r="AD105" s="9"/>
    </row>
    <row r="106" spans="1:30" ht="43.5">
      <c r="A106" s="3" t="s">
        <v>1081</v>
      </c>
      <c r="B106" s="3" t="s">
        <v>5661</v>
      </c>
      <c r="C106" s="3" t="s">
        <v>5662</v>
      </c>
      <c r="G106" s="9" t="s">
        <v>24</v>
      </c>
      <c r="H106" s="9"/>
      <c r="I106" s="9">
        <v>1</v>
      </c>
      <c r="J106" s="9">
        <v>1</v>
      </c>
      <c r="K106" s="9" t="s">
        <v>12078</v>
      </c>
      <c r="L106" s="9" t="s">
        <v>12119</v>
      </c>
      <c r="M106" s="9"/>
      <c r="N106" s="10"/>
      <c r="O106" s="9"/>
      <c r="P106" s="9">
        <v>11843</v>
      </c>
      <c r="Q106" s="9">
        <f t="shared" si="1"/>
        <v>1423.0954097572699</v>
      </c>
      <c r="R106" s="9"/>
      <c r="S106" s="9" t="s">
        <v>12795</v>
      </c>
      <c r="T106" s="9" t="s">
        <v>12795</v>
      </c>
      <c r="U106" s="9"/>
      <c r="V106" s="9"/>
      <c r="W106" s="9"/>
      <c r="X106" s="9"/>
      <c r="Y106" s="9"/>
      <c r="Z106" s="9"/>
      <c r="AA106" s="9"/>
      <c r="AB106" s="9"/>
      <c r="AC106" s="9"/>
      <c r="AD106" s="9"/>
    </row>
    <row r="107" spans="1:30" ht="29">
      <c r="A107" s="3" t="s">
        <v>1082</v>
      </c>
      <c r="B107" s="3" t="s">
        <v>5663</v>
      </c>
      <c r="C107" s="3" t="s">
        <v>5664</v>
      </c>
      <c r="G107" s="9" t="s">
        <v>25</v>
      </c>
      <c r="H107" s="9"/>
      <c r="I107" s="9">
        <v>1</v>
      </c>
      <c r="J107" s="9">
        <v>3</v>
      </c>
      <c r="K107" s="9" t="s">
        <v>12087</v>
      </c>
      <c r="L107" s="9" t="s">
        <v>12079</v>
      </c>
      <c r="M107" s="9"/>
      <c r="N107" s="10"/>
      <c r="O107" s="9"/>
      <c r="P107" s="9">
        <v>810</v>
      </c>
      <c r="Q107" s="9">
        <f t="shared" si="1"/>
        <v>97.332372025955294</v>
      </c>
      <c r="R107" s="9"/>
      <c r="S107" s="9" t="s">
        <v>12795</v>
      </c>
      <c r="T107" s="9" t="s">
        <v>12795</v>
      </c>
      <c r="U107" s="9"/>
      <c r="V107" s="9"/>
      <c r="W107" s="9"/>
      <c r="X107" s="9"/>
      <c r="Y107" s="9"/>
      <c r="Z107" s="9"/>
      <c r="AA107" s="9"/>
      <c r="AB107" s="9"/>
      <c r="AC107" s="9"/>
      <c r="AD107" s="9"/>
    </row>
    <row r="108" spans="1:30" ht="29">
      <c r="A108" s="3" t="s">
        <v>1083</v>
      </c>
      <c r="B108" s="3" t="s">
        <v>5663</v>
      </c>
      <c r="C108" s="3" t="s">
        <v>5664</v>
      </c>
      <c r="G108" s="9" t="s">
        <v>25</v>
      </c>
      <c r="H108" s="9"/>
      <c r="I108" s="9">
        <v>1</v>
      </c>
      <c r="J108" s="9">
        <v>3</v>
      </c>
      <c r="K108" s="9" t="s">
        <v>12087</v>
      </c>
      <c r="L108" s="9" t="s">
        <v>12079</v>
      </c>
      <c r="M108" s="9"/>
      <c r="N108" s="10"/>
      <c r="O108" s="9"/>
      <c r="P108" s="9">
        <v>810</v>
      </c>
      <c r="Q108" s="9">
        <f t="shared" si="1"/>
        <v>97.332372025955294</v>
      </c>
      <c r="R108" s="9"/>
      <c r="S108" s="9" t="s">
        <v>12795</v>
      </c>
      <c r="T108" s="9" t="s">
        <v>12795</v>
      </c>
      <c r="U108" s="9"/>
      <c r="V108" s="9"/>
      <c r="W108" s="9"/>
      <c r="X108" s="9"/>
      <c r="Y108" s="9"/>
      <c r="Z108" s="9"/>
      <c r="AA108" s="9"/>
      <c r="AB108" s="9"/>
      <c r="AC108" s="9"/>
      <c r="AD108" s="9"/>
    </row>
    <row r="109" spans="1:30" ht="43.5">
      <c r="A109" s="3" t="s">
        <v>1084</v>
      </c>
      <c r="B109" s="3" t="s">
        <v>5665</v>
      </c>
      <c r="C109" s="3" t="s">
        <v>5666</v>
      </c>
      <c r="G109" s="9" t="s">
        <v>24</v>
      </c>
      <c r="H109" s="9"/>
      <c r="I109" s="9">
        <v>1</v>
      </c>
      <c r="J109" s="9">
        <v>2</v>
      </c>
      <c r="K109" s="9" t="s">
        <v>12094</v>
      </c>
      <c r="L109" s="9" t="s">
        <v>12119</v>
      </c>
      <c r="M109" s="9"/>
      <c r="N109" s="10"/>
      <c r="O109" s="9" t="s">
        <v>12074</v>
      </c>
      <c r="P109" s="9">
        <v>412</v>
      </c>
      <c r="Q109" s="9">
        <f t="shared" si="1"/>
        <v>49.507329968757517</v>
      </c>
      <c r="R109" s="9"/>
      <c r="S109" s="9" t="s">
        <v>12795</v>
      </c>
      <c r="T109" s="9" t="s">
        <v>12795</v>
      </c>
      <c r="U109" s="9"/>
      <c r="V109" s="9"/>
      <c r="W109" s="9"/>
      <c r="X109" s="9"/>
      <c r="Y109" s="9"/>
      <c r="Z109" s="9"/>
      <c r="AA109" s="9"/>
      <c r="AB109" s="9"/>
      <c r="AC109" s="9"/>
      <c r="AD109" s="9"/>
    </row>
    <row r="110" spans="1:30" ht="43.5">
      <c r="A110" s="3" t="s">
        <v>1085</v>
      </c>
      <c r="B110" s="3" t="s">
        <v>5668</v>
      </c>
      <c r="C110" s="3" t="s">
        <v>5667</v>
      </c>
      <c r="G110" s="9" t="s">
        <v>24</v>
      </c>
      <c r="H110" s="9"/>
      <c r="I110" s="9">
        <v>1</v>
      </c>
      <c r="J110" s="9">
        <v>3</v>
      </c>
      <c r="K110" s="9" t="s">
        <v>12078</v>
      </c>
      <c r="L110" s="9" t="s">
        <v>12079</v>
      </c>
      <c r="M110" s="9"/>
      <c r="N110" s="10"/>
      <c r="O110" s="9"/>
      <c r="P110" s="9">
        <v>11843</v>
      </c>
      <c r="Q110" s="9">
        <f t="shared" si="1"/>
        <v>1423.0954097572699</v>
      </c>
      <c r="R110" s="9"/>
      <c r="S110" s="9" t="s">
        <v>12795</v>
      </c>
      <c r="T110" s="9" t="s">
        <v>12795</v>
      </c>
      <c r="U110" s="9"/>
      <c r="V110" s="9"/>
      <c r="W110" s="9"/>
      <c r="X110" s="9"/>
      <c r="Y110" s="9"/>
      <c r="Z110" s="9"/>
      <c r="AA110" s="9"/>
      <c r="AB110" s="9"/>
      <c r="AC110" s="9"/>
      <c r="AD110" s="9"/>
    </row>
    <row r="111" spans="1:30" ht="29">
      <c r="A111" s="3" t="s">
        <v>1096</v>
      </c>
      <c r="B111" s="3" t="s">
        <v>5677</v>
      </c>
      <c r="C111" s="3" t="s">
        <v>5680</v>
      </c>
      <c r="G111" s="9" t="s">
        <v>24</v>
      </c>
      <c r="H111" s="9"/>
      <c r="I111" s="9">
        <v>1</v>
      </c>
      <c r="J111" s="9">
        <v>2</v>
      </c>
      <c r="K111" s="9" t="s">
        <v>12078</v>
      </c>
      <c r="L111" s="9" t="s">
        <v>12119</v>
      </c>
      <c r="M111" s="9"/>
      <c r="N111" s="10"/>
      <c r="O111" s="9"/>
      <c r="P111" s="9">
        <v>11843</v>
      </c>
      <c r="Q111" s="9">
        <f t="shared" si="1"/>
        <v>1423.0954097572699</v>
      </c>
      <c r="R111" s="9"/>
      <c r="S111" s="9" t="s">
        <v>12795</v>
      </c>
      <c r="T111" s="9" t="s">
        <v>12795</v>
      </c>
      <c r="U111" s="9"/>
      <c r="V111" s="9"/>
      <c r="W111" s="9"/>
      <c r="X111" s="9"/>
      <c r="Y111" s="9"/>
      <c r="Z111" s="9"/>
      <c r="AA111" s="9"/>
      <c r="AB111" s="9"/>
      <c r="AC111" s="9"/>
      <c r="AD111" s="9"/>
    </row>
    <row r="112" spans="1:30" ht="29">
      <c r="A112" s="3" t="s">
        <v>1100</v>
      </c>
      <c r="B112" s="3" t="s">
        <v>5681</v>
      </c>
      <c r="C112" s="3" t="s">
        <v>5682</v>
      </c>
      <c r="G112" s="9" t="s">
        <v>25</v>
      </c>
      <c r="H112" s="9"/>
      <c r="I112" s="9">
        <v>1</v>
      </c>
      <c r="J112" s="9">
        <v>2</v>
      </c>
      <c r="K112" s="9" t="s">
        <v>12087</v>
      </c>
      <c r="L112" s="9" t="s">
        <v>12119</v>
      </c>
      <c r="M112" s="9"/>
      <c r="N112" s="10"/>
      <c r="O112" s="9"/>
      <c r="P112" s="9">
        <v>1966</v>
      </c>
      <c r="Q112" s="9">
        <f t="shared" si="1"/>
        <v>236.24128815188658</v>
      </c>
      <c r="R112" s="9"/>
      <c r="S112" s="9" t="s">
        <v>12795</v>
      </c>
      <c r="T112" s="9" t="s">
        <v>12795</v>
      </c>
      <c r="U112" s="9"/>
      <c r="V112" s="9"/>
      <c r="W112" s="9"/>
      <c r="X112" s="9"/>
      <c r="Y112" s="9"/>
      <c r="Z112" s="9"/>
      <c r="AA112" s="9"/>
      <c r="AB112" s="9"/>
      <c r="AC112" s="9"/>
      <c r="AD112" s="9"/>
    </row>
    <row r="113" spans="1:30" ht="58">
      <c r="A113" s="3" t="s">
        <v>1106</v>
      </c>
      <c r="B113" s="3" t="s">
        <v>5687</v>
      </c>
      <c r="C113" s="3" t="s">
        <v>5688</v>
      </c>
      <c r="G113" s="9" t="s">
        <v>25</v>
      </c>
      <c r="H113" s="9"/>
      <c r="I113" s="9">
        <v>1</v>
      </c>
      <c r="J113" s="9">
        <v>3</v>
      </c>
      <c r="K113" s="9" t="s">
        <v>12087</v>
      </c>
      <c r="L113" s="9" t="s">
        <v>12079</v>
      </c>
      <c r="M113" s="9"/>
      <c r="N113" s="10"/>
      <c r="O113" s="9"/>
      <c r="P113" s="9">
        <v>5676</v>
      </c>
      <c r="Q113" s="9">
        <f t="shared" si="1"/>
        <v>682.04758471521268</v>
      </c>
      <c r="R113" s="9"/>
      <c r="S113" s="9" t="s">
        <v>12795</v>
      </c>
      <c r="T113" s="9" t="s">
        <v>12795</v>
      </c>
      <c r="U113" s="9"/>
      <c r="V113" s="9"/>
      <c r="W113" s="9"/>
      <c r="X113" s="9"/>
      <c r="Y113" s="9"/>
      <c r="Z113" s="9"/>
      <c r="AA113" s="9"/>
      <c r="AB113" s="9"/>
      <c r="AC113" s="9"/>
      <c r="AD113" s="9"/>
    </row>
    <row r="114" spans="1:30" ht="43.5">
      <c r="A114" s="3" t="s">
        <v>1115</v>
      </c>
      <c r="B114" s="3" t="s">
        <v>5695</v>
      </c>
      <c r="C114" s="3" t="s">
        <v>5694</v>
      </c>
      <c r="G114" s="9" t="s">
        <v>25</v>
      </c>
      <c r="H114" s="9"/>
      <c r="I114" s="9">
        <v>1</v>
      </c>
      <c r="J114" s="9">
        <v>3</v>
      </c>
      <c r="K114" s="9" t="s">
        <v>12078</v>
      </c>
      <c r="L114" s="9" t="s">
        <v>12079</v>
      </c>
      <c r="M114" s="9"/>
      <c r="N114" s="10"/>
      <c r="O114" s="9"/>
      <c r="P114" s="9">
        <v>11843</v>
      </c>
      <c r="Q114" s="9">
        <f t="shared" si="1"/>
        <v>1423.0954097572699</v>
      </c>
      <c r="R114" s="9"/>
      <c r="S114" s="9" t="s">
        <v>12795</v>
      </c>
      <c r="T114" s="9" t="s">
        <v>12795</v>
      </c>
      <c r="U114" s="9"/>
      <c r="V114" s="9"/>
      <c r="W114" s="9"/>
      <c r="X114" s="9"/>
      <c r="Y114" s="9"/>
      <c r="Z114" s="9"/>
      <c r="AA114" s="9"/>
      <c r="AB114" s="9"/>
      <c r="AC114" s="9"/>
      <c r="AD114" s="9"/>
    </row>
    <row r="115" spans="1:30" ht="43.5">
      <c r="A115" s="3" t="s">
        <v>1115</v>
      </c>
      <c r="B115" s="3" t="s">
        <v>5693</v>
      </c>
      <c r="C115" s="3" t="s">
        <v>5696</v>
      </c>
      <c r="G115" s="9" t="s">
        <v>24</v>
      </c>
      <c r="H115" s="9"/>
      <c r="I115" s="9">
        <v>1</v>
      </c>
      <c r="J115" s="9">
        <v>4</v>
      </c>
      <c r="K115" s="9" t="s">
        <v>12078</v>
      </c>
      <c r="L115" s="9" t="s">
        <v>12073</v>
      </c>
      <c r="M115" s="9" t="s">
        <v>12149</v>
      </c>
      <c r="N115" s="10" t="s">
        <v>12143</v>
      </c>
      <c r="O115" s="9"/>
      <c r="P115" s="9">
        <v>11843</v>
      </c>
      <c r="Q115" s="9">
        <f t="shared" si="1"/>
        <v>1423.0954097572699</v>
      </c>
      <c r="R115" s="9"/>
      <c r="S115" s="9" t="s">
        <v>12795</v>
      </c>
      <c r="T115" s="9" t="s">
        <v>12795</v>
      </c>
      <c r="U115" s="9"/>
      <c r="V115" s="9"/>
      <c r="W115" s="9"/>
      <c r="X115" s="9"/>
      <c r="Y115" s="9"/>
      <c r="Z115" s="9"/>
      <c r="AA115" s="9"/>
      <c r="AB115" s="9"/>
      <c r="AC115" s="9"/>
      <c r="AD115" s="9"/>
    </row>
    <row r="116" spans="1:30" ht="304.5">
      <c r="A116" s="3" t="s">
        <v>1116</v>
      </c>
      <c r="B116" s="3" t="s">
        <v>5702</v>
      </c>
      <c r="C116" s="3" t="s">
        <v>5701</v>
      </c>
      <c r="G116" s="15" t="s">
        <v>25</v>
      </c>
      <c r="H116" s="15"/>
      <c r="I116" s="15">
        <v>15</v>
      </c>
      <c r="J116" s="15">
        <v>90</v>
      </c>
      <c r="K116" s="15"/>
      <c r="L116" s="15" t="s">
        <v>12079</v>
      </c>
      <c r="M116" s="15"/>
      <c r="N116" s="16"/>
      <c r="O116" s="15"/>
      <c r="P116" s="15">
        <v>1</v>
      </c>
      <c r="Q116" s="9">
        <f t="shared" si="1"/>
        <v>0.12016342225426581</v>
      </c>
      <c r="R116" s="15"/>
      <c r="S116" s="15" t="s">
        <v>12795</v>
      </c>
      <c r="T116" s="15" t="s">
        <v>12795</v>
      </c>
      <c r="U116" s="15"/>
      <c r="V116" s="15"/>
      <c r="W116" s="15"/>
      <c r="X116" s="15"/>
      <c r="Y116" s="15"/>
      <c r="Z116" s="15"/>
      <c r="AA116" s="15"/>
      <c r="AB116" s="15"/>
      <c r="AC116" s="15"/>
      <c r="AD116" s="15"/>
    </row>
    <row r="117" spans="1:30" ht="43.5">
      <c r="A117" s="3" t="s">
        <v>1142</v>
      </c>
      <c r="B117" s="11" t="s">
        <v>5728</v>
      </c>
      <c r="C117" s="11" t="s">
        <v>5727</v>
      </c>
      <c r="G117" s="9" t="s">
        <v>24</v>
      </c>
      <c r="H117" s="9"/>
      <c r="I117" s="9">
        <v>1</v>
      </c>
      <c r="J117" s="9">
        <v>7</v>
      </c>
      <c r="K117" s="9" t="s">
        <v>12094</v>
      </c>
      <c r="L117" s="9" t="s">
        <v>12073</v>
      </c>
      <c r="M117" s="9" t="s">
        <v>12203</v>
      </c>
      <c r="N117" s="10" t="s">
        <v>12204</v>
      </c>
      <c r="O117" s="9"/>
      <c r="P117" s="9">
        <v>202</v>
      </c>
      <c r="Q117" s="9">
        <f t="shared" si="1"/>
        <v>24.273011295361695</v>
      </c>
      <c r="R117" s="9"/>
      <c r="S117" s="9" t="s">
        <v>12795</v>
      </c>
      <c r="T117" s="9" t="s">
        <v>12795</v>
      </c>
      <c r="U117" s="9"/>
      <c r="V117" s="9"/>
      <c r="W117" s="9"/>
      <c r="X117" s="9"/>
      <c r="Y117" s="9"/>
      <c r="Z117" s="9"/>
      <c r="AA117" s="9"/>
      <c r="AB117" s="9"/>
      <c r="AC117" s="9"/>
      <c r="AD117" s="9"/>
    </row>
    <row r="118" spans="1:30" ht="72.5">
      <c r="A118" s="3" t="s">
        <v>1152</v>
      </c>
      <c r="B118" s="3" t="s">
        <v>5736</v>
      </c>
      <c r="C118" s="3" t="s">
        <v>5737</v>
      </c>
      <c r="G118" s="9" t="s">
        <v>25</v>
      </c>
      <c r="H118" s="9"/>
      <c r="I118" s="9">
        <v>3</v>
      </c>
      <c r="J118" s="9">
        <v>4</v>
      </c>
      <c r="K118" s="9"/>
      <c r="L118" s="9" t="s">
        <v>12073</v>
      </c>
      <c r="M118" s="9" t="s">
        <v>12140</v>
      </c>
      <c r="N118" s="10" t="s">
        <v>12136</v>
      </c>
      <c r="O118" s="9"/>
      <c r="P118" s="9">
        <v>113</v>
      </c>
      <c r="Q118" s="9">
        <f t="shared" si="1"/>
        <v>13.578466714732036</v>
      </c>
      <c r="R118" s="9"/>
      <c r="S118" s="9" t="s">
        <v>12795</v>
      </c>
      <c r="T118" s="9" t="s">
        <v>12795</v>
      </c>
      <c r="U118" s="9"/>
      <c r="V118" s="9"/>
      <c r="W118" s="9"/>
      <c r="X118" s="9"/>
      <c r="Y118" s="9"/>
      <c r="Z118" s="9"/>
      <c r="AA118" s="9"/>
      <c r="AB118" s="9"/>
      <c r="AC118" s="9"/>
      <c r="AD118" s="9"/>
    </row>
    <row r="119" spans="1:30" ht="72.5">
      <c r="A119" s="3" t="s">
        <v>1154</v>
      </c>
      <c r="B119" s="3" t="s">
        <v>5740</v>
      </c>
      <c r="C119" s="3" t="s">
        <v>5743</v>
      </c>
      <c r="G119" s="9" t="s">
        <v>24</v>
      </c>
      <c r="H119" s="9"/>
      <c r="I119" s="9">
        <v>2</v>
      </c>
      <c r="J119" s="9">
        <v>8</v>
      </c>
      <c r="K119" s="9"/>
      <c r="L119" s="9" t="s">
        <v>12079</v>
      </c>
      <c r="M119" s="9"/>
      <c r="N119" s="10"/>
      <c r="O119" s="9"/>
      <c r="P119" s="9">
        <v>560</v>
      </c>
      <c r="Q119" s="9">
        <f t="shared" si="1"/>
        <v>67.291516462388842</v>
      </c>
      <c r="R119" s="9"/>
      <c r="S119" s="9" t="s">
        <v>12795</v>
      </c>
      <c r="T119" s="9" t="s">
        <v>12795</v>
      </c>
      <c r="U119" s="9" t="s">
        <v>12117</v>
      </c>
      <c r="V119" s="9"/>
      <c r="W119" s="9"/>
      <c r="X119" s="9"/>
      <c r="Y119" s="9"/>
      <c r="Z119" s="9"/>
      <c r="AA119" s="9"/>
      <c r="AB119" s="9"/>
      <c r="AC119" s="9"/>
      <c r="AD119" s="9"/>
    </row>
    <row r="120" spans="1:30" ht="58">
      <c r="A120" s="3" t="s">
        <v>1156</v>
      </c>
      <c r="B120" s="3" t="s">
        <v>5744</v>
      </c>
      <c r="C120" s="3" t="s">
        <v>5746</v>
      </c>
      <c r="G120" s="9" t="s">
        <v>24</v>
      </c>
      <c r="H120" s="9"/>
      <c r="I120" s="9">
        <v>1</v>
      </c>
      <c r="J120" s="9">
        <v>3</v>
      </c>
      <c r="K120" s="9" t="s">
        <v>12087</v>
      </c>
      <c r="L120" s="9" t="s">
        <v>12079</v>
      </c>
      <c r="M120" s="9"/>
      <c r="N120" s="10"/>
      <c r="O120" s="9"/>
      <c r="P120" s="9">
        <v>5676</v>
      </c>
      <c r="Q120" s="9">
        <f t="shared" si="1"/>
        <v>682.04758471521268</v>
      </c>
      <c r="R120" s="9"/>
      <c r="S120" s="9" t="s">
        <v>12795</v>
      </c>
      <c r="T120" s="9" t="s">
        <v>12795</v>
      </c>
      <c r="U120" s="9"/>
      <c r="V120" s="9"/>
      <c r="W120" s="9"/>
      <c r="X120" s="9"/>
      <c r="Y120" s="9"/>
      <c r="Z120" s="9"/>
      <c r="AA120" s="9"/>
      <c r="AB120" s="9"/>
      <c r="AC120" s="9"/>
      <c r="AD120" s="9"/>
    </row>
    <row r="121" spans="1:30" ht="58">
      <c r="A121" s="3" t="s">
        <v>1156</v>
      </c>
      <c r="B121" s="3" t="s">
        <v>5747</v>
      </c>
      <c r="C121" s="3" t="s">
        <v>5745</v>
      </c>
      <c r="G121" s="9" t="s">
        <v>25</v>
      </c>
      <c r="H121" s="9"/>
      <c r="I121" s="9">
        <v>1</v>
      </c>
      <c r="J121" s="9">
        <v>2</v>
      </c>
      <c r="K121" s="9" t="s">
        <v>12078</v>
      </c>
      <c r="L121" s="9" t="s">
        <v>12119</v>
      </c>
      <c r="M121" s="9"/>
      <c r="N121" s="10"/>
      <c r="O121" s="9"/>
      <c r="P121" s="9">
        <v>11843</v>
      </c>
      <c r="Q121" s="9">
        <f t="shared" si="1"/>
        <v>1423.0954097572699</v>
      </c>
      <c r="R121" s="9"/>
      <c r="S121" s="9" t="s">
        <v>12795</v>
      </c>
      <c r="T121" s="9" t="s">
        <v>12795</v>
      </c>
      <c r="U121" s="9"/>
      <c r="V121" s="9"/>
      <c r="W121" s="9"/>
      <c r="X121" s="9"/>
      <c r="Y121" s="9"/>
      <c r="Z121" s="9"/>
      <c r="AA121" s="9"/>
      <c r="AB121" s="9"/>
      <c r="AC121" s="9"/>
      <c r="AD121" s="9"/>
    </row>
    <row r="122" spans="1:30" ht="43.5">
      <c r="A122" s="3" t="s">
        <v>1158</v>
      </c>
      <c r="B122" s="3" t="s">
        <v>5754</v>
      </c>
      <c r="C122" s="3" t="s">
        <v>5755</v>
      </c>
      <c r="G122" s="9" t="s">
        <v>25</v>
      </c>
      <c r="H122" s="9"/>
      <c r="I122" s="9">
        <v>1</v>
      </c>
      <c r="J122" s="9">
        <v>2</v>
      </c>
      <c r="K122" s="9" t="s">
        <v>12123</v>
      </c>
      <c r="L122" s="9" t="s">
        <v>12119</v>
      </c>
      <c r="M122" s="9"/>
      <c r="N122" s="10"/>
      <c r="O122" s="9"/>
      <c r="P122" s="9">
        <v>134</v>
      </c>
      <c r="Q122" s="9">
        <f t="shared" si="1"/>
        <v>16.101898582071616</v>
      </c>
      <c r="R122" s="9"/>
      <c r="S122" s="9" t="s">
        <v>12795</v>
      </c>
      <c r="T122" s="9" t="s">
        <v>12795</v>
      </c>
      <c r="U122" s="9"/>
      <c r="V122" s="9"/>
      <c r="W122" s="9"/>
      <c r="X122" s="9"/>
      <c r="Y122" s="9"/>
      <c r="Z122" s="9"/>
      <c r="AA122" s="9"/>
      <c r="AB122" s="9"/>
      <c r="AC122" s="9"/>
      <c r="AD122" s="9"/>
    </row>
    <row r="123" spans="1:30" ht="58">
      <c r="A123" s="3" t="s">
        <v>1162</v>
      </c>
      <c r="B123" s="3" t="s">
        <v>5756</v>
      </c>
      <c r="C123" s="3" t="s">
        <v>5757</v>
      </c>
      <c r="G123" s="9" t="s">
        <v>24</v>
      </c>
      <c r="H123" s="9"/>
      <c r="I123" s="9">
        <v>1</v>
      </c>
      <c r="J123" s="9">
        <v>5</v>
      </c>
      <c r="K123" s="9" t="s">
        <v>12072</v>
      </c>
      <c r="L123" s="9" t="s">
        <v>12073</v>
      </c>
      <c r="M123" s="9" t="s">
        <v>12142</v>
      </c>
      <c r="N123" s="10" t="s">
        <v>12143</v>
      </c>
      <c r="O123" s="9"/>
      <c r="P123" s="9">
        <v>591</v>
      </c>
      <c r="Q123" s="9">
        <f t="shared" si="1"/>
        <v>71.016582552271089</v>
      </c>
      <c r="R123" s="9"/>
      <c r="S123" s="9" t="s">
        <v>12795</v>
      </c>
      <c r="T123" s="9" t="s">
        <v>12795</v>
      </c>
      <c r="U123" s="9"/>
      <c r="V123" s="9"/>
      <c r="W123" s="9"/>
      <c r="X123" s="9"/>
      <c r="Y123" s="9"/>
      <c r="Z123" s="9"/>
      <c r="AA123" s="9"/>
      <c r="AB123" s="9"/>
      <c r="AC123" s="9"/>
      <c r="AD123" s="9"/>
    </row>
    <row r="124" spans="1:30" ht="43.5">
      <c r="A124" s="3" t="s">
        <v>1162</v>
      </c>
      <c r="B124" s="3" t="s">
        <v>5758</v>
      </c>
      <c r="C124" s="3" t="s">
        <v>5759</v>
      </c>
      <c r="G124" s="9" t="s">
        <v>25</v>
      </c>
      <c r="H124" s="9"/>
      <c r="I124" s="9">
        <v>1</v>
      </c>
      <c r="J124" s="9">
        <v>2</v>
      </c>
      <c r="K124" s="9" t="s">
        <v>12087</v>
      </c>
      <c r="L124" s="9" t="s">
        <v>12119</v>
      </c>
      <c r="M124" s="9"/>
      <c r="N124" s="10"/>
      <c r="O124" s="9"/>
      <c r="P124" s="9">
        <v>1966</v>
      </c>
      <c r="Q124" s="9">
        <f t="shared" si="1"/>
        <v>236.24128815188658</v>
      </c>
      <c r="R124" s="9"/>
      <c r="S124" s="9" t="s">
        <v>12795</v>
      </c>
      <c r="T124" s="9" t="s">
        <v>12795</v>
      </c>
      <c r="U124" s="9"/>
      <c r="V124" s="9"/>
      <c r="W124" s="9"/>
      <c r="X124" s="9"/>
      <c r="Y124" s="9"/>
      <c r="Z124" s="9"/>
      <c r="AA124" s="9"/>
      <c r="AB124" s="9"/>
      <c r="AC124" s="9"/>
      <c r="AD124" s="9"/>
    </row>
    <row r="125" spans="1:30" ht="72.5">
      <c r="A125" s="3" t="s">
        <v>1163</v>
      </c>
      <c r="B125" s="3" t="s">
        <v>5763</v>
      </c>
      <c r="C125" s="3" t="s">
        <v>5760</v>
      </c>
      <c r="G125" s="9" t="s">
        <v>25</v>
      </c>
      <c r="H125" s="9"/>
      <c r="I125" s="9">
        <v>1</v>
      </c>
      <c r="J125" s="9">
        <v>3</v>
      </c>
      <c r="K125" s="9" t="s">
        <v>12084</v>
      </c>
      <c r="L125" s="9" t="s">
        <v>12079</v>
      </c>
      <c r="M125" s="9"/>
      <c r="N125" s="10"/>
      <c r="O125" s="9"/>
      <c r="P125" s="9">
        <v>52</v>
      </c>
      <c r="Q125" s="9">
        <f t="shared" si="1"/>
        <v>6.2484979572218213</v>
      </c>
      <c r="R125" s="9"/>
      <c r="S125" s="9" t="s">
        <v>12795</v>
      </c>
      <c r="T125" s="9" t="s">
        <v>12795</v>
      </c>
      <c r="U125" s="9"/>
      <c r="V125" s="9"/>
      <c r="W125" s="9"/>
      <c r="X125" s="9"/>
      <c r="Y125" s="9"/>
      <c r="Z125" s="9"/>
      <c r="AA125" s="9"/>
      <c r="AB125" s="9"/>
      <c r="AC125" s="9"/>
      <c r="AD125" s="9"/>
    </row>
    <row r="126" spans="1:30" ht="29">
      <c r="A126" s="3" t="s">
        <v>1164</v>
      </c>
      <c r="B126" s="3" t="s">
        <v>5766</v>
      </c>
      <c r="C126" s="3" t="s">
        <v>5767</v>
      </c>
      <c r="G126" s="9" t="s">
        <v>24</v>
      </c>
      <c r="H126" s="9"/>
      <c r="I126" s="9">
        <v>1</v>
      </c>
      <c r="J126" s="9">
        <v>3</v>
      </c>
      <c r="K126" s="9" t="s">
        <v>12123</v>
      </c>
      <c r="L126" s="9" t="s">
        <v>12079</v>
      </c>
      <c r="M126" s="9"/>
      <c r="N126" s="10"/>
      <c r="O126" s="9"/>
      <c r="P126" s="9">
        <v>92</v>
      </c>
      <c r="Q126" s="9">
        <f t="shared" si="1"/>
        <v>11.055034847392454</v>
      </c>
      <c r="R126" s="9"/>
      <c r="S126" s="9" t="s">
        <v>12795</v>
      </c>
      <c r="T126" s="9" t="s">
        <v>12795</v>
      </c>
      <c r="U126" s="9"/>
      <c r="V126" s="9"/>
      <c r="W126" s="9"/>
      <c r="X126" s="9"/>
      <c r="Y126" s="9"/>
      <c r="Z126" s="9"/>
      <c r="AA126" s="9"/>
      <c r="AB126" s="9"/>
      <c r="AC126" s="9"/>
      <c r="AD126" s="9"/>
    </row>
    <row r="127" spans="1:30" ht="43.5">
      <c r="A127" s="3" t="s">
        <v>1177</v>
      </c>
      <c r="B127" s="3" t="s">
        <v>5777</v>
      </c>
      <c r="C127" s="3" t="s">
        <v>5774</v>
      </c>
      <c r="G127" s="9" t="s">
        <v>25</v>
      </c>
      <c r="H127" s="9"/>
      <c r="I127" s="9">
        <v>1</v>
      </c>
      <c r="J127" s="9">
        <v>4</v>
      </c>
      <c r="K127" s="9" t="s">
        <v>12125</v>
      </c>
      <c r="L127" s="9" t="s">
        <v>12073</v>
      </c>
      <c r="M127" s="9" t="s">
        <v>12142</v>
      </c>
      <c r="N127" s="10" t="s">
        <v>12143</v>
      </c>
      <c r="O127" s="9"/>
      <c r="P127" s="9">
        <v>2042</v>
      </c>
      <c r="Q127" s="9">
        <f t="shared" si="1"/>
        <v>245.37370824321076</v>
      </c>
      <c r="R127" s="9"/>
      <c r="S127" s="9" t="s">
        <v>12795</v>
      </c>
      <c r="T127" s="9" t="s">
        <v>12795</v>
      </c>
      <c r="U127" s="9"/>
      <c r="V127" s="9"/>
      <c r="W127" s="9"/>
      <c r="X127" s="9"/>
      <c r="Y127" s="9"/>
      <c r="Z127" s="9"/>
      <c r="AA127" s="9"/>
      <c r="AB127" s="9"/>
      <c r="AC127" s="9"/>
      <c r="AD127" s="9"/>
    </row>
    <row r="128" spans="1:30" ht="43.5">
      <c r="A128" s="3" t="s">
        <v>1181</v>
      </c>
      <c r="B128" s="3" t="s">
        <v>5778</v>
      </c>
      <c r="C128" s="3" t="s">
        <v>5779</v>
      </c>
      <c r="G128" s="9" t="s">
        <v>25</v>
      </c>
      <c r="H128" s="9"/>
      <c r="I128" s="9">
        <v>1</v>
      </c>
      <c r="J128" s="9">
        <v>3</v>
      </c>
      <c r="K128" s="9" t="s">
        <v>12087</v>
      </c>
      <c r="L128" s="9" t="s">
        <v>12073</v>
      </c>
      <c r="M128" s="9" t="s">
        <v>12142</v>
      </c>
      <c r="N128" s="10" t="s">
        <v>12143</v>
      </c>
      <c r="O128" s="9"/>
      <c r="P128" s="9">
        <v>5676</v>
      </c>
      <c r="Q128" s="9">
        <f t="shared" si="1"/>
        <v>682.04758471521268</v>
      </c>
      <c r="R128" s="9"/>
      <c r="S128" s="9" t="s">
        <v>12795</v>
      </c>
      <c r="T128" s="9" t="s">
        <v>12795</v>
      </c>
      <c r="U128" s="9"/>
      <c r="V128" s="9"/>
      <c r="W128" s="9"/>
      <c r="X128" s="9"/>
      <c r="Y128" s="9"/>
      <c r="Z128" s="9"/>
      <c r="AA128" s="9"/>
      <c r="AB128" s="9"/>
      <c r="AC128" s="9"/>
      <c r="AD128" s="9"/>
    </row>
    <row r="129" spans="1:30" ht="101.5">
      <c r="A129" s="3" t="s">
        <v>1183</v>
      </c>
      <c r="B129" s="3" t="s">
        <v>5785</v>
      </c>
      <c r="C129" s="3" t="s">
        <v>5786</v>
      </c>
      <c r="G129" s="9" t="s">
        <v>24</v>
      </c>
      <c r="H129" s="9"/>
      <c r="I129" s="9">
        <v>2</v>
      </c>
      <c r="J129" s="9">
        <v>11</v>
      </c>
      <c r="K129" s="9"/>
      <c r="L129" s="9" t="s">
        <v>12079</v>
      </c>
      <c r="M129" s="9"/>
      <c r="N129" s="10"/>
      <c r="O129" s="9"/>
      <c r="P129" s="9">
        <v>173</v>
      </c>
      <c r="Q129" s="9">
        <f t="shared" si="1"/>
        <v>20.788272049987985</v>
      </c>
      <c r="R129" s="9"/>
      <c r="S129" s="9" t="s">
        <v>12795</v>
      </c>
      <c r="T129" s="9" t="s">
        <v>12795</v>
      </c>
      <c r="U129" s="9"/>
      <c r="V129" s="9"/>
      <c r="W129" s="9"/>
      <c r="X129" s="9"/>
      <c r="Y129" s="9"/>
      <c r="Z129" s="9"/>
      <c r="AA129" s="9"/>
      <c r="AB129" s="9"/>
      <c r="AC129" s="9"/>
      <c r="AD129" s="9"/>
    </row>
    <row r="130" spans="1:30" ht="87">
      <c r="A130" s="3" t="s">
        <v>1186</v>
      </c>
      <c r="B130" s="3" t="s">
        <v>5789</v>
      </c>
      <c r="C130" s="3" t="s">
        <v>5790</v>
      </c>
      <c r="G130" s="9" t="s">
        <v>24</v>
      </c>
      <c r="H130" s="9"/>
      <c r="I130" s="9">
        <v>3</v>
      </c>
      <c r="J130" s="9">
        <v>15</v>
      </c>
      <c r="K130" s="9"/>
      <c r="L130" s="9" t="s">
        <v>12073</v>
      </c>
      <c r="M130" s="9" t="s">
        <v>12154</v>
      </c>
      <c r="N130" s="10" t="s">
        <v>12207</v>
      </c>
      <c r="O130" s="9"/>
      <c r="P130" s="9">
        <v>62</v>
      </c>
      <c r="Q130" s="9">
        <f t="shared" ref="Q130:Q193" si="2">IF(ISNUMBER(P130), (P130/$F$988)*10000, "")</f>
        <v>7.4501321797644797</v>
      </c>
      <c r="R130" s="9"/>
      <c r="S130" s="9" t="s">
        <v>12795</v>
      </c>
      <c r="T130" s="9" t="s">
        <v>12795</v>
      </c>
      <c r="U130" s="9"/>
      <c r="V130" s="9"/>
      <c r="W130" s="9"/>
      <c r="X130" s="9"/>
      <c r="Y130" s="9"/>
      <c r="Z130" s="9"/>
      <c r="AA130" s="9"/>
      <c r="AB130" s="9"/>
      <c r="AC130" s="9"/>
      <c r="AD130" s="9"/>
    </row>
    <row r="131" spans="1:30" ht="72.5">
      <c r="A131" s="3" t="s">
        <v>1191</v>
      </c>
      <c r="B131" s="3" t="s">
        <v>5799</v>
      </c>
      <c r="C131" s="3" t="s">
        <v>5796</v>
      </c>
      <c r="G131" s="9" t="s">
        <v>25</v>
      </c>
      <c r="H131" s="9"/>
      <c r="I131" s="9">
        <v>1</v>
      </c>
      <c r="J131" s="9">
        <v>5</v>
      </c>
      <c r="K131" s="9" t="s">
        <v>12094</v>
      </c>
      <c r="L131" s="9" t="s">
        <v>12073</v>
      </c>
      <c r="M131" s="9" t="s">
        <v>12149</v>
      </c>
      <c r="N131" s="10" t="s">
        <v>12143</v>
      </c>
      <c r="O131" s="9"/>
      <c r="P131" s="9">
        <v>4240</v>
      </c>
      <c r="Q131" s="9">
        <f t="shared" si="2"/>
        <v>509.49291035808699</v>
      </c>
      <c r="R131" s="9"/>
      <c r="S131" s="9" t="s">
        <v>12795</v>
      </c>
      <c r="T131" s="9" t="s">
        <v>12795</v>
      </c>
      <c r="U131" s="9"/>
      <c r="V131" s="9"/>
      <c r="W131" s="9"/>
      <c r="X131" s="9"/>
      <c r="Y131" s="9"/>
      <c r="Z131" s="9"/>
      <c r="AA131" s="9"/>
      <c r="AB131" s="9"/>
      <c r="AC131" s="9"/>
      <c r="AD131" s="9"/>
    </row>
    <row r="132" spans="1:30" ht="58">
      <c r="A132" s="3" t="s">
        <v>1192</v>
      </c>
      <c r="B132" s="3" t="s">
        <v>5800</v>
      </c>
      <c r="C132" s="3" t="s">
        <v>5801</v>
      </c>
      <c r="G132" s="9" t="s">
        <v>24</v>
      </c>
      <c r="H132" s="9"/>
      <c r="I132" s="9">
        <v>1</v>
      </c>
      <c r="J132" s="9">
        <v>5</v>
      </c>
      <c r="K132" s="9" t="s">
        <v>12094</v>
      </c>
      <c r="L132" s="9" t="s">
        <v>12079</v>
      </c>
      <c r="M132" s="9"/>
      <c r="N132" s="10"/>
      <c r="O132" s="9"/>
      <c r="P132" s="9">
        <v>4240</v>
      </c>
      <c r="Q132" s="9">
        <f t="shared" si="2"/>
        <v>509.49291035808699</v>
      </c>
      <c r="R132" s="9"/>
      <c r="S132" s="9" t="s">
        <v>12795</v>
      </c>
      <c r="T132" s="9" t="s">
        <v>12795</v>
      </c>
      <c r="U132" s="9"/>
      <c r="V132" s="9"/>
      <c r="W132" s="9"/>
      <c r="X132" s="9"/>
      <c r="Y132" s="9"/>
      <c r="Z132" s="9"/>
      <c r="AA132" s="9"/>
      <c r="AB132" s="9"/>
      <c r="AC132" s="9"/>
      <c r="AD132" s="9"/>
    </row>
    <row r="133" spans="1:30" ht="43.5">
      <c r="A133" s="3" t="s">
        <v>1193</v>
      </c>
      <c r="B133" s="3" t="s">
        <v>5802</v>
      </c>
      <c r="C133" s="3" t="s">
        <v>5803</v>
      </c>
      <c r="G133" s="9" t="s">
        <v>25</v>
      </c>
      <c r="H133" s="9"/>
      <c r="I133" s="9">
        <v>1</v>
      </c>
      <c r="J133" s="9">
        <v>5</v>
      </c>
      <c r="K133" s="9" t="s">
        <v>12094</v>
      </c>
      <c r="L133" s="9" t="s">
        <v>12079</v>
      </c>
      <c r="M133" s="9"/>
      <c r="N133" s="10"/>
      <c r="O133" s="9"/>
      <c r="P133" s="9">
        <v>930</v>
      </c>
      <c r="Q133" s="9">
        <f t="shared" si="2"/>
        <v>111.75198269646719</v>
      </c>
      <c r="R133" s="9"/>
      <c r="S133" s="9" t="s">
        <v>12795</v>
      </c>
      <c r="T133" s="9" t="s">
        <v>12795</v>
      </c>
      <c r="U133" s="9"/>
      <c r="V133" s="9"/>
      <c r="W133" s="9"/>
      <c r="X133" s="9"/>
      <c r="Y133" s="9"/>
      <c r="Z133" s="9"/>
      <c r="AA133" s="9"/>
      <c r="AB133" s="9"/>
      <c r="AC133" s="9"/>
      <c r="AD133" s="9"/>
    </row>
    <row r="134" spans="1:30" ht="29">
      <c r="A134" s="3" t="s">
        <v>1204</v>
      </c>
      <c r="B134" s="3" t="s">
        <v>5817</v>
      </c>
      <c r="C134" s="3" t="s">
        <v>5818</v>
      </c>
      <c r="G134" s="9" t="s">
        <v>25</v>
      </c>
      <c r="H134" s="9"/>
      <c r="I134" s="9">
        <v>1</v>
      </c>
      <c r="J134" s="9">
        <v>3</v>
      </c>
      <c r="K134" s="9" t="s">
        <v>12087</v>
      </c>
      <c r="L134" s="9" t="s">
        <v>12079</v>
      </c>
      <c r="M134" s="9"/>
      <c r="N134" s="10"/>
      <c r="O134" s="9"/>
      <c r="P134" s="9">
        <v>356</v>
      </c>
      <c r="Q134" s="9">
        <f t="shared" si="2"/>
        <v>42.778178322518627</v>
      </c>
      <c r="R134" s="9"/>
      <c r="S134" s="9" t="s">
        <v>12795</v>
      </c>
      <c r="T134" s="9" t="s">
        <v>12795</v>
      </c>
      <c r="U134" s="9"/>
      <c r="V134" s="9"/>
      <c r="W134" s="9"/>
      <c r="X134" s="9"/>
      <c r="Y134" s="9"/>
      <c r="Z134" s="9"/>
      <c r="AA134" s="9"/>
      <c r="AB134" s="9"/>
      <c r="AC134" s="9"/>
      <c r="AD134" s="9"/>
    </row>
    <row r="135" spans="1:30" ht="29">
      <c r="A135" s="3" t="s">
        <v>1213</v>
      </c>
      <c r="B135" s="3" t="s">
        <v>5664</v>
      </c>
      <c r="C135" s="3" t="s">
        <v>5823</v>
      </c>
      <c r="G135" s="9" t="s">
        <v>24</v>
      </c>
      <c r="H135" s="9"/>
      <c r="I135" s="9">
        <v>1</v>
      </c>
      <c r="J135" s="9">
        <v>3</v>
      </c>
      <c r="K135" s="9" t="s">
        <v>12087</v>
      </c>
      <c r="L135" s="9" t="s">
        <v>12079</v>
      </c>
      <c r="M135" s="9"/>
      <c r="N135" s="10"/>
      <c r="O135" s="9"/>
      <c r="P135" s="9">
        <v>810</v>
      </c>
      <c r="Q135" s="9">
        <f t="shared" si="2"/>
        <v>97.332372025955294</v>
      </c>
      <c r="R135" s="9"/>
      <c r="S135" s="9" t="s">
        <v>12795</v>
      </c>
      <c r="T135" s="9" t="s">
        <v>12795</v>
      </c>
      <c r="U135" s="9"/>
      <c r="V135" s="9"/>
      <c r="W135" s="9"/>
      <c r="X135" s="9"/>
      <c r="Y135" s="9"/>
      <c r="Z135" s="9"/>
      <c r="AA135" s="9"/>
      <c r="AB135" s="9"/>
      <c r="AC135" s="9"/>
      <c r="AD135" s="9"/>
    </row>
    <row r="136" spans="1:30" ht="29">
      <c r="A136" s="3" t="s">
        <v>1216</v>
      </c>
      <c r="B136" s="3" t="s">
        <v>5829</v>
      </c>
      <c r="C136" s="3" t="s">
        <v>5830</v>
      </c>
      <c r="G136" s="9" t="s">
        <v>24</v>
      </c>
      <c r="H136" s="9"/>
      <c r="I136" s="9">
        <v>1</v>
      </c>
      <c r="J136" s="9">
        <v>3</v>
      </c>
      <c r="K136" s="9" t="s">
        <v>12087</v>
      </c>
      <c r="L136" s="9" t="s">
        <v>12079</v>
      </c>
      <c r="M136" s="9"/>
      <c r="N136" s="10"/>
      <c r="O136" s="9"/>
      <c r="P136" s="9">
        <v>5676</v>
      </c>
      <c r="Q136" s="9">
        <f t="shared" si="2"/>
        <v>682.04758471521268</v>
      </c>
      <c r="R136" s="9"/>
      <c r="S136" s="9" t="s">
        <v>12795</v>
      </c>
      <c r="T136" s="9" t="s">
        <v>12795</v>
      </c>
      <c r="U136" s="9"/>
      <c r="V136" s="9"/>
      <c r="W136" s="9"/>
      <c r="X136" s="9"/>
      <c r="Y136" s="9"/>
      <c r="Z136" s="9"/>
      <c r="AA136" s="9"/>
      <c r="AB136" s="9"/>
      <c r="AC136" s="9"/>
      <c r="AD136" s="9"/>
    </row>
    <row r="137" spans="1:30" ht="43.5">
      <c r="A137" s="3" t="s">
        <v>1222</v>
      </c>
      <c r="B137" s="3" t="s">
        <v>5831</v>
      </c>
      <c r="C137" s="3" t="s">
        <v>5832</v>
      </c>
      <c r="G137" s="9" t="s">
        <v>24</v>
      </c>
      <c r="H137" s="9"/>
      <c r="I137" s="9">
        <v>1</v>
      </c>
      <c r="J137" s="9">
        <v>2</v>
      </c>
      <c r="K137" s="9" t="s">
        <v>12087</v>
      </c>
      <c r="L137" s="9" t="s">
        <v>12119</v>
      </c>
      <c r="M137" s="9"/>
      <c r="N137" s="10"/>
      <c r="O137" s="9"/>
      <c r="P137" s="9">
        <v>1966</v>
      </c>
      <c r="Q137" s="9">
        <f t="shared" si="2"/>
        <v>236.24128815188658</v>
      </c>
      <c r="R137" s="9"/>
      <c r="S137" s="9" t="s">
        <v>12795</v>
      </c>
      <c r="T137" s="9" t="s">
        <v>12795</v>
      </c>
      <c r="U137" s="9"/>
      <c r="V137" s="9"/>
      <c r="W137" s="9"/>
      <c r="X137" s="9"/>
      <c r="Y137" s="9"/>
      <c r="Z137" s="9"/>
      <c r="AA137" s="9"/>
      <c r="AB137" s="9"/>
      <c r="AC137" s="9"/>
      <c r="AD137" s="9"/>
    </row>
    <row r="138" spans="1:30" ht="58">
      <c r="A138" s="3" t="s">
        <v>1232</v>
      </c>
      <c r="B138" s="3" t="s">
        <v>5837</v>
      </c>
      <c r="C138" s="3" t="s">
        <v>5836</v>
      </c>
      <c r="G138" s="9" t="s">
        <v>24</v>
      </c>
      <c r="H138" s="9"/>
      <c r="I138" s="9">
        <v>2</v>
      </c>
      <c r="J138" s="9">
        <v>6</v>
      </c>
      <c r="K138" s="9"/>
      <c r="L138" s="9" t="s">
        <v>12079</v>
      </c>
      <c r="M138" s="9"/>
      <c r="N138" s="10"/>
      <c r="O138" s="9"/>
      <c r="P138" s="9">
        <v>444</v>
      </c>
      <c r="Q138" s="9">
        <f t="shared" si="2"/>
        <v>53.352559480894016</v>
      </c>
      <c r="R138" s="9"/>
      <c r="S138" s="9" t="s">
        <v>12795</v>
      </c>
      <c r="T138" s="9" t="s">
        <v>12795</v>
      </c>
      <c r="U138" s="9"/>
      <c r="V138" s="9"/>
      <c r="W138" s="9"/>
      <c r="X138" s="9"/>
      <c r="Y138" s="9"/>
      <c r="Z138" s="9"/>
      <c r="AA138" s="9"/>
      <c r="AB138" s="9"/>
      <c r="AC138" s="9"/>
      <c r="AD138" s="9"/>
    </row>
    <row r="139" spans="1:30" ht="29">
      <c r="A139" s="3" t="s">
        <v>1237</v>
      </c>
      <c r="B139" s="3" t="s">
        <v>5842</v>
      </c>
      <c r="C139" s="3" t="s">
        <v>5843</v>
      </c>
      <c r="G139" s="9" t="s">
        <v>25</v>
      </c>
      <c r="H139" s="9"/>
      <c r="I139" s="9">
        <v>1</v>
      </c>
      <c r="J139" s="9">
        <v>2</v>
      </c>
      <c r="K139" s="9" t="s">
        <v>12087</v>
      </c>
      <c r="L139" s="9" t="s">
        <v>12119</v>
      </c>
      <c r="M139" s="9"/>
      <c r="N139" s="10"/>
      <c r="O139" s="9"/>
      <c r="P139" s="9">
        <v>1966</v>
      </c>
      <c r="Q139" s="9">
        <f t="shared" si="2"/>
        <v>236.24128815188658</v>
      </c>
      <c r="R139" s="9"/>
      <c r="S139" s="9" t="s">
        <v>12795</v>
      </c>
      <c r="T139" s="9" t="s">
        <v>12795</v>
      </c>
      <c r="U139" s="9"/>
      <c r="V139" s="9"/>
      <c r="W139" s="9"/>
      <c r="X139" s="9"/>
      <c r="Y139" s="9"/>
      <c r="Z139" s="9"/>
      <c r="AA139" s="9"/>
      <c r="AB139" s="9"/>
      <c r="AC139" s="9"/>
      <c r="AD139" s="9"/>
    </row>
    <row r="140" spans="1:30" ht="43.5">
      <c r="A140" s="3" t="s">
        <v>1238</v>
      </c>
      <c r="B140" s="3" t="s">
        <v>5846</v>
      </c>
      <c r="C140" s="3" t="s">
        <v>5847</v>
      </c>
      <c r="G140" s="9" t="s">
        <v>25</v>
      </c>
      <c r="H140" s="9"/>
      <c r="I140" s="9">
        <v>1</v>
      </c>
      <c r="J140" s="9">
        <v>3</v>
      </c>
      <c r="K140" s="9" t="s">
        <v>12087</v>
      </c>
      <c r="L140" s="9" t="s">
        <v>12079</v>
      </c>
      <c r="M140" s="9"/>
      <c r="N140" s="10"/>
      <c r="O140" s="9"/>
      <c r="P140" s="9">
        <v>5676</v>
      </c>
      <c r="Q140" s="9">
        <f t="shared" si="2"/>
        <v>682.04758471521268</v>
      </c>
      <c r="R140" s="9"/>
      <c r="S140" s="9" t="s">
        <v>12795</v>
      </c>
      <c r="T140" s="9" t="s">
        <v>12795</v>
      </c>
      <c r="U140" s="9"/>
      <c r="V140" s="9"/>
      <c r="W140" s="9"/>
      <c r="X140" s="9"/>
      <c r="Y140" s="9"/>
      <c r="Z140" s="9"/>
      <c r="AA140" s="9"/>
      <c r="AB140" s="9"/>
      <c r="AC140" s="9"/>
      <c r="AD140" s="9"/>
    </row>
    <row r="141" spans="1:30" ht="116">
      <c r="A141" s="3" t="s">
        <v>1239</v>
      </c>
      <c r="B141" s="3" t="s">
        <v>5850</v>
      </c>
      <c r="C141" s="3" t="s">
        <v>5849</v>
      </c>
      <c r="G141" s="9" t="s">
        <v>25</v>
      </c>
      <c r="H141" s="9"/>
      <c r="I141" s="9">
        <v>2</v>
      </c>
      <c r="J141" s="9">
        <v>13</v>
      </c>
      <c r="K141" s="9"/>
      <c r="L141" s="9" t="s">
        <v>12073</v>
      </c>
      <c r="M141" s="9" t="s">
        <v>12135</v>
      </c>
      <c r="N141" s="10" t="s">
        <v>12136</v>
      </c>
      <c r="O141" s="9"/>
      <c r="P141" s="9">
        <v>25</v>
      </c>
      <c r="Q141" s="9">
        <f t="shared" si="2"/>
        <v>3.0040855563566451</v>
      </c>
      <c r="R141" s="9"/>
      <c r="S141" s="9" t="s">
        <v>12795</v>
      </c>
      <c r="T141" s="9" t="s">
        <v>12795</v>
      </c>
      <c r="U141" s="9"/>
      <c r="V141" s="9"/>
      <c r="W141" s="9"/>
      <c r="X141" s="9"/>
      <c r="Y141" s="9"/>
      <c r="Z141" s="9"/>
      <c r="AA141" s="9"/>
      <c r="AB141" s="9"/>
      <c r="AC141" s="9"/>
      <c r="AD141" s="9"/>
    </row>
    <row r="142" spans="1:30" ht="116">
      <c r="A142" s="3" t="s">
        <v>1239</v>
      </c>
      <c r="B142" s="3" t="s">
        <v>5848</v>
      </c>
      <c r="C142" s="3" t="s">
        <v>5851</v>
      </c>
      <c r="G142" s="9" t="s">
        <v>24</v>
      </c>
      <c r="H142" s="9"/>
      <c r="I142" s="9">
        <v>1</v>
      </c>
      <c r="J142" s="9">
        <v>1</v>
      </c>
      <c r="K142" s="9" t="s">
        <v>12123</v>
      </c>
      <c r="L142" s="9" t="s">
        <v>12119</v>
      </c>
      <c r="M142" s="9"/>
      <c r="N142" s="10"/>
      <c r="O142" s="9"/>
      <c r="P142" s="9">
        <v>193</v>
      </c>
      <c r="Q142" s="9">
        <f t="shared" si="2"/>
        <v>23.191540495073301</v>
      </c>
      <c r="R142" s="9"/>
      <c r="S142" s="9" t="s">
        <v>12795</v>
      </c>
      <c r="T142" s="9" t="s">
        <v>12795</v>
      </c>
      <c r="U142" s="9"/>
      <c r="V142" s="9"/>
      <c r="W142" s="9"/>
      <c r="X142" s="9"/>
      <c r="Y142" s="9"/>
      <c r="Z142" s="9"/>
      <c r="AA142" s="9"/>
      <c r="AB142" s="9"/>
      <c r="AC142" s="9"/>
      <c r="AD142" s="9"/>
    </row>
    <row r="143" spans="1:30" ht="319">
      <c r="A143" s="3" t="s">
        <v>1246</v>
      </c>
      <c r="B143" s="3" t="s">
        <v>13002</v>
      </c>
      <c r="C143" s="3" t="s">
        <v>12997</v>
      </c>
      <c r="G143" s="9" t="s">
        <v>25</v>
      </c>
      <c r="H143" s="9"/>
      <c r="I143" s="9">
        <v>1</v>
      </c>
      <c r="J143" s="9">
        <v>2</v>
      </c>
      <c r="K143" s="9" t="s">
        <v>12078</v>
      </c>
      <c r="L143" s="9" t="s">
        <v>12119</v>
      </c>
      <c r="M143" s="9"/>
      <c r="N143" s="10"/>
      <c r="O143" s="9"/>
      <c r="P143" s="9">
        <v>11843</v>
      </c>
      <c r="Q143" s="9">
        <f t="shared" si="2"/>
        <v>1423.0954097572699</v>
      </c>
      <c r="R143" s="9"/>
      <c r="S143" s="9" t="s">
        <v>12795</v>
      </c>
      <c r="T143" s="9" t="s">
        <v>12795</v>
      </c>
      <c r="U143" s="9"/>
      <c r="V143" s="9"/>
      <c r="W143" s="9"/>
      <c r="X143" s="9"/>
      <c r="Y143" s="9"/>
      <c r="Z143" s="9"/>
      <c r="AA143" s="9"/>
      <c r="AB143" s="9"/>
      <c r="AC143" s="9"/>
      <c r="AD143" s="9"/>
    </row>
    <row r="144" spans="1:30" ht="43.5">
      <c r="A144" s="3" t="s">
        <v>1249</v>
      </c>
      <c r="B144" s="3" t="s">
        <v>5859</v>
      </c>
      <c r="C144" s="3" t="s">
        <v>5860</v>
      </c>
      <c r="G144" s="9" t="s">
        <v>25</v>
      </c>
      <c r="H144" s="9"/>
      <c r="I144" s="9">
        <v>1</v>
      </c>
      <c r="J144" s="9">
        <v>2</v>
      </c>
      <c r="K144" s="9" t="s">
        <v>12125</v>
      </c>
      <c r="L144" s="9" t="s">
        <v>12119</v>
      </c>
      <c r="M144" s="9"/>
      <c r="N144" s="10"/>
      <c r="O144" s="9"/>
      <c r="P144" s="9">
        <v>1565</v>
      </c>
      <c r="Q144" s="9">
        <f t="shared" si="2"/>
        <v>188.05575582792596</v>
      </c>
      <c r="R144" s="9"/>
      <c r="S144" s="9" t="s">
        <v>12795</v>
      </c>
      <c r="T144" s="9" t="s">
        <v>12795</v>
      </c>
      <c r="U144" s="9"/>
      <c r="V144" s="9"/>
      <c r="W144" s="9"/>
      <c r="X144" s="9"/>
      <c r="Y144" s="9"/>
      <c r="Z144" s="9"/>
      <c r="AA144" s="9"/>
      <c r="AB144" s="9"/>
      <c r="AC144" s="9"/>
      <c r="AD144" s="9"/>
    </row>
    <row r="145" spans="1:30" ht="72.5">
      <c r="A145" s="3" t="s">
        <v>1251</v>
      </c>
      <c r="B145" s="3" t="s">
        <v>5861</v>
      </c>
      <c r="C145" s="3" t="s">
        <v>5864</v>
      </c>
      <c r="G145" s="9" t="s">
        <v>24</v>
      </c>
      <c r="H145" s="9"/>
      <c r="I145" s="9">
        <v>1</v>
      </c>
      <c r="J145" s="9">
        <v>5</v>
      </c>
      <c r="K145" s="9" t="s">
        <v>12094</v>
      </c>
      <c r="L145" s="9" t="s">
        <v>12079</v>
      </c>
      <c r="M145" s="9"/>
      <c r="N145" s="10"/>
      <c r="O145" s="9"/>
      <c r="P145" s="9">
        <v>4240</v>
      </c>
      <c r="Q145" s="9">
        <f t="shared" si="2"/>
        <v>509.49291035808699</v>
      </c>
      <c r="R145" s="9"/>
      <c r="S145" s="9" t="s">
        <v>12795</v>
      </c>
      <c r="T145" s="9" t="s">
        <v>12795</v>
      </c>
      <c r="U145" s="9"/>
      <c r="V145" s="9"/>
      <c r="W145" s="9"/>
      <c r="X145" s="9"/>
      <c r="Y145" s="9"/>
      <c r="Z145" s="9"/>
      <c r="AA145" s="9"/>
      <c r="AB145" s="9"/>
      <c r="AC145" s="9"/>
      <c r="AD145" s="9"/>
    </row>
    <row r="146" spans="1:30" ht="43.5">
      <c r="A146" s="3" t="s">
        <v>1260</v>
      </c>
      <c r="B146" s="3" t="s">
        <v>5870</v>
      </c>
      <c r="C146" s="3" t="s">
        <v>5869</v>
      </c>
      <c r="G146" s="9" t="s">
        <v>24</v>
      </c>
      <c r="H146" s="9"/>
      <c r="I146" s="9">
        <v>1</v>
      </c>
      <c r="J146" s="9">
        <v>4</v>
      </c>
      <c r="K146" s="9" t="s">
        <v>12094</v>
      </c>
      <c r="L146" s="9" t="s">
        <v>12079</v>
      </c>
      <c r="M146" s="9"/>
      <c r="N146" s="10"/>
      <c r="O146" s="9"/>
      <c r="P146" s="9">
        <v>4240</v>
      </c>
      <c r="Q146" s="9">
        <f t="shared" si="2"/>
        <v>509.49291035808699</v>
      </c>
      <c r="R146" s="9"/>
      <c r="S146" s="9" t="s">
        <v>12795</v>
      </c>
      <c r="T146" s="9" t="s">
        <v>12795</v>
      </c>
      <c r="U146" s="9"/>
      <c r="V146" s="9"/>
      <c r="W146" s="9"/>
      <c r="X146" s="9"/>
      <c r="Y146" s="9"/>
      <c r="Z146" s="9"/>
      <c r="AA146" s="9"/>
      <c r="AB146" s="9"/>
      <c r="AC146" s="9"/>
      <c r="AD146" s="9"/>
    </row>
    <row r="147" spans="1:30" ht="101.5">
      <c r="A147" s="3" t="s">
        <v>1262</v>
      </c>
      <c r="B147" s="3" t="s">
        <v>5875</v>
      </c>
      <c r="C147" s="3" t="s">
        <v>12220</v>
      </c>
      <c r="G147" s="9" t="s">
        <v>24</v>
      </c>
      <c r="H147" s="9"/>
      <c r="I147" s="9">
        <v>1</v>
      </c>
      <c r="J147" s="9">
        <v>3</v>
      </c>
      <c r="K147" s="9" t="s">
        <v>12094</v>
      </c>
      <c r="L147" s="9" t="s">
        <v>12079</v>
      </c>
      <c r="M147" s="9"/>
      <c r="N147" s="10"/>
      <c r="O147" s="9"/>
      <c r="P147" s="9">
        <v>1741</v>
      </c>
      <c r="Q147" s="9">
        <f t="shared" si="2"/>
        <v>209.20451814467677</v>
      </c>
      <c r="R147" s="9"/>
      <c r="S147" s="9" t="s">
        <v>12795</v>
      </c>
      <c r="T147" s="9" t="s">
        <v>12795</v>
      </c>
      <c r="U147" s="9"/>
      <c r="V147" s="9"/>
      <c r="W147" s="9"/>
      <c r="X147" s="9"/>
      <c r="Y147" s="9"/>
      <c r="Z147" s="9"/>
      <c r="AA147" s="9"/>
      <c r="AB147" s="9"/>
      <c r="AC147" s="9"/>
      <c r="AD147" s="9"/>
    </row>
    <row r="148" spans="1:30" ht="58">
      <c r="A148" s="3" t="s">
        <v>1265</v>
      </c>
      <c r="B148" s="3" t="s">
        <v>5878</v>
      </c>
      <c r="C148" s="3" t="s">
        <v>5879</v>
      </c>
      <c r="G148" s="9" t="s">
        <v>25</v>
      </c>
      <c r="H148" s="9"/>
      <c r="I148" s="9">
        <v>1</v>
      </c>
      <c r="J148" s="9">
        <v>3</v>
      </c>
      <c r="K148" s="9" t="s">
        <v>12078</v>
      </c>
      <c r="L148" s="9" t="s">
        <v>12079</v>
      </c>
      <c r="M148" s="9"/>
      <c r="N148" s="10"/>
      <c r="O148" s="9"/>
      <c r="P148" s="9">
        <v>11843</v>
      </c>
      <c r="Q148" s="9">
        <f t="shared" si="2"/>
        <v>1423.0954097572699</v>
      </c>
      <c r="R148" s="9"/>
      <c r="S148" s="9" t="s">
        <v>12795</v>
      </c>
      <c r="T148" s="9" t="s">
        <v>12795</v>
      </c>
      <c r="U148" s="9"/>
      <c r="V148" s="9"/>
      <c r="W148" s="9"/>
      <c r="X148" s="9"/>
      <c r="Y148" s="9"/>
      <c r="Z148" s="9"/>
      <c r="AA148" s="9"/>
      <c r="AB148" s="9"/>
      <c r="AC148" s="9"/>
      <c r="AD148" s="9"/>
    </row>
    <row r="149" spans="1:30" ht="72.5">
      <c r="A149" s="3" t="s">
        <v>1267</v>
      </c>
      <c r="B149" s="3" t="s">
        <v>5882</v>
      </c>
      <c r="C149" s="3" t="s">
        <v>5885</v>
      </c>
      <c r="G149" s="9" t="s">
        <v>24</v>
      </c>
      <c r="H149" s="9"/>
      <c r="I149" s="9">
        <v>1</v>
      </c>
      <c r="J149" s="9">
        <v>3</v>
      </c>
      <c r="K149" s="9" t="s">
        <v>12087</v>
      </c>
      <c r="L149" s="9" t="s">
        <v>12079</v>
      </c>
      <c r="M149" s="9"/>
      <c r="N149" s="10"/>
      <c r="O149" s="9"/>
      <c r="P149" s="9">
        <v>5676</v>
      </c>
      <c r="Q149" s="9">
        <f t="shared" si="2"/>
        <v>682.04758471521268</v>
      </c>
      <c r="R149" s="9"/>
      <c r="S149" s="9" t="s">
        <v>12795</v>
      </c>
      <c r="T149" s="9" t="s">
        <v>12795</v>
      </c>
      <c r="U149" s="9"/>
      <c r="V149" s="9"/>
      <c r="W149" s="9"/>
      <c r="X149" s="9"/>
      <c r="Y149" s="9"/>
      <c r="Z149" s="9"/>
      <c r="AA149" s="9"/>
      <c r="AB149" s="9"/>
      <c r="AC149" s="9"/>
      <c r="AD149" s="9"/>
    </row>
    <row r="150" spans="1:30" ht="43.5">
      <c r="A150" s="3" t="s">
        <v>1273</v>
      </c>
      <c r="B150" s="3" t="s">
        <v>5890</v>
      </c>
      <c r="C150" s="3" t="s">
        <v>5891</v>
      </c>
      <c r="F150" t="s">
        <v>19</v>
      </c>
      <c r="G150" s="9" t="s">
        <v>25</v>
      </c>
      <c r="H150" s="9"/>
      <c r="I150" s="9">
        <v>1</v>
      </c>
      <c r="J150" s="9">
        <v>3</v>
      </c>
      <c r="K150" s="9" t="s">
        <v>12078</v>
      </c>
      <c r="L150" s="9" t="s">
        <v>12079</v>
      </c>
      <c r="M150" s="9"/>
      <c r="N150" s="10"/>
      <c r="O150" s="9"/>
      <c r="P150" s="9">
        <v>11843</v>
      </c>
      <c r="Q150" s="9">
        <f t="shared" si="2"/>
        <v>1423.0954097572699</v>
      </c>
      <c r="R150" s="9"/>
      <c r="S150" s="9" t="s">
        <v>12795</v>
      </c>
      <c r="T150" s="9" t="s">
        <v>12795</v>
      </c>
      <c r="U150" s="9"/>
      <c r="V150" s="9"/>
      <c r="W150" s="9"/>
      <c r="X150" s="9"/>
      <c r="Y150" s="9"/>
      <c r="Z150" s="9"/>
      <c r="AA150" s="9"/>
      <c r="AB150" s="9"/>
      <c r="AC150" s="9"/>
      <c r="AD150" s="9"/>
    </row>
    <row r="151" spans="1:30" ht="72.5">
      <c r="A151" s="3" t="s">
        <v>1277</v>
      </c>
      <c r="B151" s="3" t="s">
        <v>5896</v>
      </c>
      <c r="C151" s="3" t="s">
        <v>5895</v>
      </c>
      <c r="G151" s="9" t="s">
        <v>25</v>
      </c>
      <c r="H151" s="9"/>
      <c r="I151" s="9">
        <v>1</v>
      </c>
      <c r="J151" s="9">
        <v>3</v>
      </c>
      <c r="K151" s="9" t="s">
        <v>12087</v>
      </c>
      <c r="L151" s="9" t="s">
        <v>12079</v>
      </c>
      <c r="M151" s="9"/>
      <c r="N151" s="10"/>
      <c r="O151" s="9"/>
      <c r="P151" s="9">
        <v>5676</v>
      </c>
      <c r="Q151" s="9">
        <f t="shared" si="2"/>
        <v>682.04758471521268</v>
      </c>
      <c r="R151" s="9"/>
      <c r="S151" s="9" t="s">
        <v>12795</v>
      </c>
      <c r="T151" s="9" t="s">
        <v>12795</v>
      </c>
      <c r="U151" s="9"/>
      <c r="V151" s="9"/>
      <c r="W151" s="9"/>
      <c r="X151" s="9"/>
      <c r="Y151" s="9"/>
      <c r="Z151" s="9"/>
      <c r="AA151" s="9"/>
      <c r="AB151" s="9"/>
      <c r="AC151" s="9"/>
      <c r="AD151" s="9"/>
    </row>
    <row r="152" spans="1:30" ht="43.5">
      <c r="A152" s="3" t="s">
        <v>1278</v>
      </c>
      <c r="B152" s="3" t="s">
        <v>5901</v>
      </c>
      <c r="C152" s="3" t="s">
        <v>5900</v>
      </c>
      <c r="G152" s="9" t="s">
        <v>25</v>
      </c>
      <c r="H152" s="9"/>
      <c r="I152" s="9">
        <v>1</v>
      </c>
      <c r="J152" s="9">
        <v>2</v>
      </c>
      <c r="K152" s="9" t="s">
        <v>12078</v>
      </c>
      <c r="L152" s="9" t="s">
        <v>12119</v>
      </c>
      <c r="M152" s="9"/>
      <c r="N152" s="10"/>
      <c r="O152" s="9"/>
      <c r="P152" s="9">
        <v>11843</v>
      </c>
      <c r="Q152" s="9">
        <f t="shared" si="2"/>
        <v>1423.0954097572699</v>
      </c>
      <c r="R152" s="9"/>
      <c r="S152" s="9" t="s">
        <v>12795</v>
      </c>
      <c r="T152" s="9" t="s">
        <v>12795</v>
      </c>
      <c r="U152" s="9"/>
      <c r="V152" s="9"/>
      <c r="W152" s="9"/>
      <c r="X152" s="9"/>
      <c r="Y152" s="9"/>
      <c r="Z152" s="9"/>
      <c r="AA152" s="9"/>
      <c r="AB152" s="9"/>
      <c r="AC152" s="9"/>
      <c r="AD152" s="9"/>
    </row>
    <row r="153" spans="1:30" ht="43.5">
      <c r="A153" s="3" t="s">
        <v>1298</v>
      </c>
      <c r="B153" s="3" t="s">
        <v>5916</v>
      </c>
      <c r="C153" s="3" t="s">
        <v>5917</v>
      </c>
      <c r="G153" s="9" t="s">
        <v>25</v>
      </c>
      <c r="H153" s="9"/>
      <c r="I153" s="9">
        <v>1</v>
      </c>
      <c r="J153" s="9">
        <v>3</v>
      </c>
      <c r="K153" s="9" t="s">
        <v>12087</v>
      </c>
      <c r="L153" s="9" t="s">
        <v>12073</v>
      </c>
      <c r="M153" s="9" t="s">
        <v>12149</v>
      </c>
      <c r="N153" s="10" t="s">
        <v>12143</v>
      </c>
      <c r="O153" s="9"/>
      <c r="P153" s="9">
        <v>5676</v>
      </c>
      <c r="Q153" s="9">
        <f t="shared" si="2"/>
        <v>682.04758471521268</v>
      </c>
      <c r="R153" s="9"/>
      <c r="S153" s="9" t="s">
        <v>12795</v>
      </c>
      <c r="T153" s="9" t="s">
        <v>12795</v>
      </c>
      <c r="U153" s="9"/>
      <c r="V153" s="9"/>
      <c r="W153" s="9"/>
      <c r="X153" s="9"/>
      <c r="Y153" s="9"/>
      <c r="Z153" s="9"/>
      <c r="AA153" s="9"/>
      <c r="AB153" s="9"/>
      <c r="AC153" s="9"/>
      <c r="AD153" s="9"/>
    </row>
    <row r="154" spans="1:30" ht="43.5">
      <c r="A154" s="3" t="s">
        <v>1299</v>
      </c>
      <c r="B154" s="3" t="s">
        <v>5918</v>
      </c>
      <c r="C154" s="3" t="s">
        <v>5919</v>
      </c>
      <c r="G154" s="9" t="s">
        <v>25</v>
      </c>
      <c r="H154" s="9"/>
      <c r="I154" s="9">
        <v>1</v>
      </c>
      <c r="J154" s="9">
        <v>3</v>
      </c>
      <c r="K154" s="9" t="s">
        <v>12078</v>
      </c>
      <c r="L154" s="9" t="s">
        <v>12073</v>
      </c>
      <c r="M154" s="9" t="s">
        <v>12149</v>
      </c>
      <c r="N154" s="10" t="s">
        <v>12143</v>
      </c>
      <c r="O154" s="9"/>
      <c r="P154" s="9">
        <v>11843</v>
      </c>
      <c r="Q154" s="9">
        <f t="shared" si="2"/>
        <v>1423.0954097572699</v>
      </c>
      <c r="R154" s="9"/>
      <c r="S154" s="9" t="s">
        <v>12795</v>
      </c>
      <c r="T154" s="9" t="s">
        <v>12795</v>
      </c>
      <c r="U154" s="9"/>
      <c r="V154" s="9"/>
      <c r="W154" s="9"/>
      <c r="X154" s="9"/>
      <c r="Y154" s="9"/>
      <c r="Z154" s="9"/>
      <c r="AA154" s="9"/>
      <c r="AB154" s="9"/>
      <c r="AC154" s="9"/>
      <c r="AD154" s="9"/>
    </row>
    <row r="155" spans="1:30" ht="29">
      <c r="A155" s="3" t="s">
        <v>1300</v>
      </c>
      <c r="B155" s="3" t="s">
        <v>5921</v>
      </c>
      <c r="C155" s="11" t="s">
        <v>5920</v>
      </c>
      <c r="G155" s="9" t="s">
        <v>24</v>
      </c>
      <c r="H155" s="9"/>
      <c r="I155" s="9">
        <v>1</v>
      </c>
      <c r="J155" s="9">
        <v>2</v>
      </c>
      <c r="K155" s="9" t="s">
        <v>12087</v>
      </c>
      <c r="L155" s="9" t="s">
        <v>12119</v>
      </c>
      <c r="M155" s="9"/>
      <c r="N155" s="10"/>
      <c r="O155" s="9"/>
      <c r="P155" s="9">
        <v>227</v>
      </c>
      <c r="Q155" s="9">
        <f t="shared" si="2"/>
        <v>27.277096851718337</v>
      </c>
      <c r="R155" s="9"/>
      <c r="S155" s="9" t="s">
        <v>12795</v>
      </c>
      <c r="T155" s="9" t="s">
        <v>12795</v>
      </c>
      <c r="U155" s="9"/>
      <c r="V155" s="9"/>
      <c r="W155" s="9"/>
      <c r="X155" s="9"/>
      <c r="Y155" s="9"/>
      <c r="Z155" s="9"/>
      <c r="AA155" s="9"/>
      <c r="AB155" s="9"/>
      <c r="AC155" s="9"/>
      <c r="AD155" s="9"/>
    </row>
    <row r="156" spans="1:30" ht="29">
      <c r="A156" s="3" t="s">
        <v>1302</v>
      </c>
      <c r="B156" s="3" t="s">
        <v>5922</v>
      </c>
      <c r="C156" s="3" t="s">
        <v>5923</v>
      </c>
      <c r="F156" t="s">
        <v>19</v>
      </c>
      <c r="G156" s="9" t="s">
        <v>24</v>
      </c>
      <c r="H156" s="9"/>
      <c r="I156" s="9">
        <v>1</v>
      </c>
      <c r="J156" s="9">
        <v>1</v>
      </c>
      <c r="K156" s="9" t="s">
        <v>12078</v>
      </c>
      <c r="L156" s="9" t="s">
        <v>12119</v>
      </c>
      <c r="M156" s="9"/>
      <c r="N156" s="10"/>
      <c r="O156" s="9"/>
      <c r="P156" s="9">
        <v>11843</v>
      </c>
      <c r="Q156" s="9">
        <f t="shared" si="2"/>
        <v>1423.0954097572699</v>
      </c>
      <c r="R156" s="9"/>
      <c r="S156" s="9" t="s">
        <v>12795</v>
      </c>
      <c r="T156" s="9" t="s">
        <v>12795</v>
      </c>
      <c r="U156" s="9"/>
      <c r="V156" s="9"/>
      <c r="W156" s="9"/>
      <c r="X156" s="9"/>
      <c r="Y156" s="9"/>
      <c r="Z156" s="9"/>
      <c r="AA156" s="9"/>
      <c r="AB156" s="9"/>
      <c r="AC156" s="9"/>
      <c r="AD156" s="9"/>
    </row>
    <row r="157" spans="1:30" ht="43.5">
      <c r="A157" s="3" t="s">
        <v>1310</v>
      </c>
      <c r="B157" s="3" t="s">
        <v>5933</v>
      </c>
      <c r="C157" s="3" t="s">
        <v>5934</v>
      </c>
      <c r="F157" t="s">
        <v>19</v>
      </c>
      <c r="G157" s="9" t="s">
        <v>24</v>
      </c>
      <c r="H157" s="9"/>
      <c r="I157" s="9">
        <v>1</v>
      </c>
      <c r="J157" s="9">
        <v>4</v>
      </c>
      <c r="K157" s="9" t="s">
        <v>12084</v>
      </c>
      <c r="L157" s="9" t="s">
        <v>12079</v>
      </c>
      <c r="M157" s="9"/>
      <c r="N157" s="10"/>
      <c r="O157" s="9"/>
      <c r="P157" s="9">
        <v>10</v>
      </c>
      <c r="Q157" s="9">
        <f t="shared" si="2"/>
        <v>1.2016342225426579</v>
      </c>
      <c r="R157" s="9"/>
      <c r="S157" s="9" t="s">
        <v>12795</v>
      </c>
      <c r="T157" s="9" t="s">
        <v>12795</v>
      </c>
      <c r="U157" s="9"/>
      <c r="V157" s="9"/>
      <c r="W157" s="9"/>
      <c r="X157" s="9"/>
      <c r="Y157" s="9"/>
      <c r="Z157" s="9"/>
      <c r="AA157" s="9"/>
      <c r="AB157" s="9"/>
      <c r="AC157" s="9"/>
      <c r="AD157" s="9"/>
    </row>
    <row r="158" spans="1:30" ht="29">
      <c r="A158" s="3" t="s">
        <v>1317</v>
      </c>
      <c r="B158" s="3" t="s">
        <v>5943</v>
      </c>
      <c r="C158" s="3" t="s">
        <v>5944</v>
      </c>
      <c r="F158" t="s">
        <v>19</v>
      </c>
      <c r="G158" s="9" t="s">
        <v>25</v>
      </c>
      <c r="H158" s="9"/>
      <c r="I158" s="9">
        <v>1</v>
      </c>
      <c r="J158" s="9">
        <v>2</v>
      </c>
      <c r="K158" s="9" t="s">
        <v>12096</v>
      </c>
      <c r="L158" s="9" t="s">
        <v>12119</v>
      </c>
      <c r="M158" s="9"/>
      <c r="N158" s="10"/>
      <c r="O158" s="9"/>
      <c r="P158" s="9">
        <v>1294</v>
      </c>
      <c r="Q158" s="9">
        <f t="shared" si="2"/>
        <v>155.49146839701996</v>
      </c>
      <c r="R158" s="9"/>
      <c r="S158" s="9" t="s">
        <v>12795</v>
      </c>
      <c r="T158" s="9" t="s">
        <v>12795</v>
      </c>
      <c r="U158" s="9"/>
      <c r="V158" s="9"/>
      <c r="W158" s="9"/>
      <c r="X158" s="9"/>
      <c r="Y158" s="9"/>
      <c r="Z158" s="9"/>
      <c r="AA158" s="9"/>
      <c r="AB158" s="9"/>
      <c r="AC158" s="9"/>
      <c r="AD158" s="9"/>
    </row>
    <row r="159" spans="1:30" ht="43.5">
      <c r="A159" s="3" t="s">
        <v>1322</v>
      </c>
      <c r="B159" s="3" t="s">
        <v>5948</v>
      </c>
      <c r="C159" s="3" t="s">
        <v>5947</v>
      </c>
      <c r="F159" t="s">
        <v>19</v>
      </c>
      <c r="G159" s="9" t="s">
        <v>24</v>
      </c>
      <c r="H159" s="9"/>
      <c r="I159" s="9">
        <v>1</v>
      </c>
      <c r="J159" s="9">
        <v>1</v>
      </c>
      <c r="K159" s="9" t="s">
        <v>12078</v>
      </c>
      <c r="L159" s="9" t="s">
        <v>12119</v>
      </c>
      <c r="M159" s="9"/>
      <c r="N159" s="10"/>
      <c r="O159" s="9"/>
      <c r="P159" s="9">
        <v>11843</v>
      </c>
      <c r="Q159" s="9">
        <f t="shared" si="2"/>
        <v>1423.0954097572699</v>
      </c>
      <c r="R159" s="9"/>
      <c r="S159" s="9" t="s">
        <v>12795</v>
      </c>
      <c r="T159" s="9" t="s">
        <v>12795</v>
      </c>
      <c r="U159" s="9"/>
      <c r="V159" s="9"/>
      <c r="W159" s="9"/>
      <c r="X159" s="9"/>
      <c r="Y159" s="9"/>
      <c r="Z159" s="9"/>
      <c r="AA159" s="9"/>
      <c r="AB159" s="9"/>
      <c r="AC159" s="9"/>
      <c r="AD159" s="9"/>
    </row>
    <row r="160" spans="1:30" ht="29">
      <c r="A160" s="3" t="s">
        <v>1326</v>
      </c>
      <c r="B160" s="3" t="s">
        <v>5952</v>
      </c>
      <c r="C160" s="3" t="s">
        <v>5951</v>
      </c>
      <c r="F160" t="s">
        <v>19</v>
      </c>
      <c r="G160" s="9" t="s">
        <v>24</v>
      </c>
      <c r="H160" s="9"/>
      <c r="I160" s="9">
        <v>1</v>
      </c>
      <c r="J160" s="9">
        <v>3</v>
      </c>
      <c r="K160" s="9" t="s">
        <v>12078</v>
      </c>
      <c r="L160" s="9" t="s">
        <v>12079</v>
      </c>
      <c r="M160" s="9"/>
      <c r="N160" s="10"/>
      <c r="O160" s="9"/>
      <c r="P160" s="9">
        <v>11843</v>
      </c>
      <c r="Q160" s="9">
        <f t="shared" si="2"/>
        <v>1423.0954097572699</v>
      </c>
      <c r="R160" s="9"/>
      <c r="S160" s="9" t="s">
        <v>12795</v>
      </c>
      <c r="T160" s="9" t="s">
        <v>12795</v>
      </c>
      <c r="U160" s="9"/>
      <c r="V160" s="9"/>
      <c r="W160" s="9"/>
      <c r="X160" s="9"/>
      <c r="Y160" s="9"/>
      <c r="Z160" s="9"/>
      <c r="AA160" s="9"/>
      <c r="AB160" s="9"/>
      <c r="AC160" s="9"/>
      <c r="AD160" s="9"/>
    </row>
    <row r="161" spans="1:30" ht="72.5">
      <c r="A161" s="3" t="s">
        <v>1331</v>
      </c>
      <c r="B161" s="3" t="s">
        <v>5963</v>
      </c>
      <c r="C161" s="5" t="s">
        <v>5964</v>
      </c>
      <c r="D161" t="s">
        <v>32</v>
      </c>
      <c r="F161" t="s">
        <v>19</v>
      </c>
      <c r="G161" s="9" t="s">
        <v>24</v>
      </c>
      <c r="H161" s="9"/>
      <c r="I161" s="9">
        <v>3</v>
      </c>
      <c r="J161" s="9">
        <v>11</v>
      </c>
      <c r="K161" s="9"/>
      <c r="L161" s="9" t="s">
        <v>12079</v>
      </c>
      <c r="M161" s="9"/>
      <c r="N161" s="10"/>
      <c r="O161" s="9"/>
      <c r="P161" s="9">
        <v>31</v>
      </c>
      <c r="Q161" s="9">
        <f t="shared" si="2"/>
        <v>3.7250660898822399</v>
      </c>
      <c r="R161" s="9"/>
      <c r="S161" s="9" t="s">
        <v>12795</v>
      </c>
      <c r="T161" s="9" t="s">
        <v>12795</v>
      </c>
      <c r="U161" s="9"/>
      <c r="V161" s="9"/>
      <c r="W161" s="9"/>
      <c r="X161" s="9"/>
      <c r="Y161" s="9"/>
      <c r="Z161" s="9"/>
      <c r="AA161" s="9"/>
      <c r="AB161" s="9"/>
      <c r="AC161" s="9"/>
      <c r="AD161" s="9"/>
    </row>
    <row r="162" spans="1:30" ht="72.5">
      <c r="A162" s="3" t="s">
        <v>1336</v>
      </c>
      <c r="B162" s="3" t="s">
        <v>5969</v>
      </c>
      <c r="C162" s="3" t="s">
        <v>5970</v>
      </c>
      <c r="F162" t="s">
        <v>19</v>
      </c>
      <c r="G162" s="9" t="s">
        <v>24</v>
      </c>
      <c r="H162" s="9"/>
      <c r="I162" s="9">
        <v>3</v>
      </c>
      <c r="J162" s="9">
        <v>12</v>
      </c>
      <c r="K162" s="9"/>
      <c r="L162" s="9" t="s">
        <v>12079</v>
      </c>
      <c r="M162" s="9"/>
      <c r="N162" s="10"/>
      <c r="O162" s="9"/>
      <c r="P162" s="9">
        <v>58</v>
      </c>
      <c r="Q162" s="9">
        <f t="shared" si="2"/>
        <v>6.9694784907474165</v>
      </c>
      <c r="R162" s="9"/>
      <c r="S162" s="9" t="s">
        <v>12795</v>
      </c>
      <c r="T162" s="9" t="s">
        <v>12795</v>
      </c>
      <c r="U162" s="9"/>
      <c r="V162" s="9"/>
      <c r="W162" s="9"/>
      <c r="X162" s="9"/>
      <c r="Y162" s="9"/>
      <c r="Z162" s="9"/>
      <c r="AA162" s="9"/>
      <c r="AB162" s="9"/>
      <c r="AC162" s="9"/>
      <c r="AD162" s="9"/>
    </row>
    <row r="163" spans="1:30" ht="72.5">
      <c r="A163" s="3" t="s">
        <v>1336</v>
      </c>
      <c r="B163" s="3" t="s">
        <v>5969</v>
      </c>
      <c r="C163" s="3" t="s">
        <v>5971</v>
      </c>
      <c r="F163" t="s">
        <v>19</v>
      </c>
      <c r="G163" s="9" t="s">
        <v>24</v>
      </c>
      <c r="H163" s="9"/>
      <c r="I163" s="9">
        <v>1</v>
      </c>
      <c r="J163" s="9">
        <v>4</v>
      </c>
      <c r="K163" s="9" t="s">
        <v>12099</v>
      </c>
      <c r="L163" s="9" t="s">
        <v>12079</v>
      </c>
      <c r="M163" s="9"/>
      <c r="N163" s="10"/>
      <c r="O163" s="9"/>
      <c r="P163" s="9">
        <v>153</v>
      </c>
      <c r="Q163" s="9">
        <f t="shared" si="2"/>
        <v>18.385003604902668</v>
      </c>
      <c r="R163" s="9"/>
      <c r="S163" s="9" t="s">
        <v>12795</v>
      </c>
      <c r="T163" s="9" t="s">
        <v>12795</v>
      </c>
      <c r="U163" s="9"/>
      <c r="V163" s="9"/>
      <c r="W163" s="9"/>
      <c r="X163" s="9"/>
      <c r="Y163" s="9"/>
      <c r="Z163" s="9"/>
      <c r="AA163" s="9"/>
      <c r="AB163" s="9"/>
      <c r="AC163" s="9"/>
      <c r="AD163" s="9"/>
    </row>
    <row r="164" spans="1:30" ht="58">
      <c r="A164" s="3" t="s">
        <v>1337</v>
      </c>
      <c r="B164" s="3" t="s">
        <v>5975</v>
      </c>
      <c r="C164" s="3" t="s">
        <v>5974</v>
      </c>
      <c r="F164" t="s">
        <v>19</v>
      </c>
      <c r="G164" s="9" t="s">
        <v>25</v>
      </c>
      <c r="H164" s="9"/>
      <c r="I164" s="9">
        <v>1</v>
      </c>
      <c r="J164" s="9">
        <v>3</v>
      </c>
      <c r="K164" s="9" t="s">
        <v>12087</v>
      </c>
      <c r="L164" s="9" t="s">
        <v>12079</v>
      </c>
      <c r="M164" s="9"/>
      <c r="N164" s="10"/>
      <c r="O164" s="9"/>
      <c r="P164" s="9">
        <v>5676</v>
      </c>
      <c r="Q164" s="9">
        <f t="shared" si="2"/>
        <v>682.04758471521268</v>
      </c>
      <c r="R164" s="9"/>
      <c r="S164" s="9" t="s">
        <v>12795</v>
      </c>
      <c r="T164" s="9" t="s">
        <v>12795</v>
      </c>
      <c r="U164" s="9"/>
      <c r="V164" s="9"/>
      <c r="W164" s="9"/>
      <c r="X164" s="9"/>
      <c r="Y164" s="9"/>
      <c r="Z164" s="9"/>
      <c r="AA164" s="9"/>
      <c r="AB164" s="9"/>
      <c r="AC164" s="9"/>
      <c r="AD164" s="9"/>
    </row>
    <row r="165" spans="1:30" ht="58">
      <c r="A165" s="3" t="s">
        <v>1337</v>
      </c>
      <c r="B165" s="3" t="s">
        <v>5976</v>
      </c>
      <c r="C165" s="3" t="s">
        <v>5974</v>
      </c>
      <c r="G165" s="9" t="s">
        <v>25</v>
      </c>
      <c r="H165" s="9"/>
      <c r="I165" s="9">
        <v>1</v>
      </c>
      <c r="J165" s="9">
        <v>1</v>
      </c>
      <c r="K165" s="9" t="s">
        <v>12078</v>
      </c>
      <c r="L165" s="9" t="s">
        <v>12119</v>
      </c>
      <c r="M165" s="9"/>
      <c r="N165" s="10"/>
      <c r="O165" s="9"/>
      <c r="P165" s="9">
        <v>11843</v>
      </c>
      <c r="Q165" s="9">
        <f t="shared" si="2"/>
        <v>1423.0954097572699</v>
      </c>
      <c r="R165" s="9"/>
      <c r="S165" s="9" t="s">
        <v>12795</v>
      </c>
      <c r="T165" s="9" t="s">
        <v>12795</v>
      </c>
      <c r="U165" s="9"/>
      <c r="V165" s="9"/>
      <c r="W165" s="9"/>
      <c r="X165" s="9"/>
      <c r="Y165" s="9"/>
      <c r="Z165" s="9"/>
      <c r="AA165" s="9"/>
      <c r="AB165" s="9"/>
      <c r="AC165" s="9"/>
      <c r="AD165" s="9"/>
    </row>
    <row r="166" spans="1:30" ht="72.5">
      <c r="A166" s="3" t="s">
        <v>1343</v>
      </c>
      <c r="B166" s="3" t="s">
        <v>5982</v>
      </c>
      <c r="C166" s="3" t="s">
        <v>5981</v>
      </c>
      <c r="G166" s="9" t="s">
        <v>25</v>
      </c>
      <c r="H166" s="9"/>
      <c r="I166" s="9">
        <v>1</v>
      </c>
      <c r="J166" s="9">
        <v>3</v>
      </c>
      <c r="K166" s="9" t="s">
        <v>12078</v>
      </c>
      <c r="L166" s="9" t="s">
        <v>12073</v>
      </c>
      <c r="M166" s="9" t="s">
        <v>12149</v>
      </c>
      <c r="N166" s="10" t="s">
        <v>12143</v>
      </c>
      <c r="O166" s="9"/>
      <c r="P166" s="9">
        <v>11843</v>
      </c>
      <c r="Q166" s="9">
        <f t="shared" si="2"/>
        <v>1423.0954097572699</v>
      </c>
      <c r="R166" s="9"/>
      <c r="S166" s="9" t="s">
        <v>12795</v>
      </c>
      <c r="T166" s="9" t="s">
        <v>12795</v>
      </c>
      <c r="U166" s="9"/>
      <c r="V166" s="9"/>
      <c r="W166" s="9"/>
      <c r="X166" s="9"/>
      <c r="Y166" s="9"/>
      <c r="Z166" s="9"/>
      <c r="AA166" s="9"/>
      <c r="AB166" s="9"/>
      <c r="AC166" s="9"/>
      <c r="AD166" s="9"/>
    </row>
    <row r="167" spans="1:30" ht="29">
      <c r="A167" s="3" t="s">
        <v>1345</v>
      </c>
      <c r="B167" s="3" t="s">
        <v>4966</v>
      </c>
      <c r="C167" s="3" t="s">
        <v>4967</v>
      </c>
      <c r="G167" s="9" t="s">
        <v>24</v>
      </c>
      <c r="H167" s="9"/>
      <c r="I167" s="9">
        <v>1</v>
      </c>
      <c r="J167" s="9">
        <v>1</v>
      </c>
      <c r="K167" s="9" t="s">
        <v>12078</v>
      </c>
      <c r="L167" s="9" t="s">
        <v>12119</v>
      </c>
      <c r="M167" s="9"/>
      <c r="N167" s="10"/>
      <c r="O167" s="9"/>
      <c r="P167" s="9">
        <v>11843</v>
      </c>
      <c r="Q167" s="9">
        <f t="shared" si="2"/>
        <v>1423.0954097572699</v>
      </c>
      <c r="R167" s="9"/>
      <c r="S167" s="9" t="s">
        <v>12795</v>
      </c>
      <c r="T167" s="9" t="s">
        <v>12795</v>
      </c>
      <c r="U167" s="9"/>
      <c r="V167" s="9"/>
      <c r="W167" s="9"/>
      <c r="X167" s="9"/>
      <c r="Y167" s="9"/>
      <c r="Z167" s="9"/>
      <c r="AA167" s="9"/>
      <c r="AB167" s="9"/>
      <c r="AC167" s="9"/>
      <c r="AD167" s="9"/>
    </row>
    <row r="168" spans="1:30" ht="29">
      <c r="A168" s="3" t="s">
        <v>1346</v>
      </c>
      <c r="B168" s="3" t="s">
        <v>5985</v>
      </c>
      <c r="C168" s="3" t="s">
        <v>5986</v>
      </c>
      <c r="G168" s="9" t="s">
        <v>25</v>
      </c>
      <c r="H168" s="9"/>
      <c r="I168" s="9">
        <v>1</v>
      </c>
      <c r="J168" s="9">
        <v>3</v>
      </c>
      <c r="K168" s="9" t="s">
        <v>12078</v>
      </c>
      <c r="L168" s="9" t="s">
        <v>12079</v>
      </c>
      <c r="M168" s="9"/>
      <c r="N168" s="10"/>
      <c r="O168" s="9"/>
      <c r="P168" s="9">
        <v>11843</v>
      </c>
      <c r="Q168" s="9">
        <f t="shared" si="2"/>
        <v>1423.0954097572699</v>
      </c>
      <c r="R168" s="9"/>
      <c r="S168" s="9" t="s">
        <v>12795</v>
      </c>
      <c r="T168" s="9" t="s">
        <v>12795</v>
      </c>
      <c r="U168" s="9"/>
      <c r="V168" s="9"/>
      <c r="W168" s="9"/>
      <c r="X168" s="9"/>
      <c r="Y168" s="9"/>
      <c r="Z168" s="9"/>
      <c r="AA168" s="9"/>
      <c r="AB168" s="9"/>
      <c r="AC168" s="9"/>
      <c r="AD168" s="9"/>
    </row>
    <row r="169" spans="1:30" ht="43.5">
      <c r="A169" s="3" t="s">
        <v>1356</v>
      </c>
      <c r="B169" s="11" t="s">
        <v>5990</v>
      </c>
      <c r="C169" s="11" t="s">
        <v>5989</v>
      </c>
      <c r="F169" t="s">
        <v>19</v>
      </c>
      <c r="G169" s="9" t="s">
        <v>24</v>
      </c>
      <c r="H169" s="9"/>
      <c r="I169" s="9">
        <v>1</v>
      </c>
      <c r="J169" s="9">
        <v>2</v>
      </c>
      <c r="K169" s="9" t="s">
        <v>12078</v>
      </c>
      <c r="L169" s="9" t="s">
        <v>12119</v>
      </c>
      <c r="M169" s="9"/>
      <c r="N169" s="10"/>
      <c r="O169" s="9"/>
      <c r="P169" s="9">
        <v>11843</v>
      </c>
      <c r="Q169" s="9">
        <f t="shared" si="2"/>
        <v>1423.0954097572699</v>
      </c>
      <c r="R169" s="9"/>
      <c r="S169" s="9" t="s">
        <v>12795</v>
      </c>
      <c r="T169" s="9" t="s">
        <v>12795</v>
      </c>
      <c r="U169" s="9"/>
      <c r="V169" s="9"/>
      <c r="W169" s="9"/>
      <c r="X169" s="9"/>
      <c r="Y169" s="9"/>
      <c r="Z169" s="9"/>
      <c r="AA169" s="9"/>
      <c r="AB169" s="9"/>
      <c r="AC169" s="9"/>
      <c r="AD169" s="9"/>
    </row>
    <row r="170" spans="1:30" ht="29">
      <c r="A170" s="3" t="s">
        <v>1356</v>
      </c>
      <c r="B170" s="3" t="s">
        <v>5991</v>
      </c>
      <c r="C170" s="3" t="s">
        <v>5992</v>
      </c>
      <c r="G170" s="9" t="s">
        <v>24</v>
      </c>
      <c r="H170" s="9"/>
      <c r="I170" s="9">
        <v>1</v>
      </c>
      <c r="J170" s="9">
        <v>2</v>
      </c>
      <c r="K170" s="9" t="s">
        <v>12078</v>
      </c>
      <c r="L170" s="9" t="s">
        <v>12119</v>
      </c>
      <c r="M170" s="9"/>
      <c r="N170" s="10"/>
      <c r="O170" s="9"/>
      <c r="P170" s="9">
        <v>11843</v>
      </c>
      <c r="Q170" s="9">
        <f t="shared" si="2"/>
        <v>1423.0954097572699</v>
      </c>
      <c r="R170" s="9"/>
      <c r="S170" s="9" t="s">
        <v>12795</v>
      </c>
      <c r="T170" s="9" t="s">
        <v>12795</v>
      </c>
      <c r="U170" s="9"/>
      <c r="V170" s="9"/>
      <c r="W170" s="9"/>
      <c r="X170" s="9"/>
      <c r="Y170" s="9"/>
      <c r="Z170" s="9"/>
      <c r="AA170" s="9"/>
      <c r="AB170" s="9"/>
      <c r="AC170" s="9"/>
      <c r="AD170" s="9"/>
    </row>
    <row r="171" spans="1:30" ht="29">
      <c r="A171" s="3" t="s">
        <v>1357</v>
      </c>
      <c r="B171" s="3" t="s">
        <v>5995</v>
      </c>
      <c r="C171" s="3" t="s">
        <v>5996</v>
      </c>
      <c r="F171" t="s">
        <v>19</v>
      </c>
      <c r="G171" s="9" t="s">
        <v>24</v>
      </c>
      <c r="H171" s="9"/>
      <c r="I171" s="9">
        <v>1</v>
      </c>
      <c r="J171" s="9">
        <v>1</v>
      </c>
      <c r="K171" s="9" t="s">
        <v>12078</v>
      </c>
      <c r="L171" s="9" t="s">
        <v>12119</v>
      </c>
      <c r="M171" s="9"/>
      <c r="N171" s="10"/>
      <c r="O171" s="9"/>
      <c r="P171" s="9">
        <v>11843</v>
      </c>
      <c r="Q171" s="9">
        <f t="shared" si="2"/>
        <v>1423.0954097572699</v>
      </c>
      <c r="R171" s="9"/>
      <c r="S171" s="9" t="s">
        <v>12795</v>
      </c>
      <c r="T171" s="9" t="s">
        <v>12795</v>
      </c>
      <c r="U171" s="9"/>
      <c r="V171" s="9"/>
      <c r="W171" s="9"/>
      <c r="X171" s="9"/>
      <c r="Y171" s="9"/>
      <c r="Z171" s="9"/>
      <c r="AA171" s="9"/>
      <c r="AB171" s="9"/>
      <c r="AC171" s="9"/>
      <c r="AD171" s="9"/>
    </row>
    <row r="172" spans="1:30" ht="43.5">
      <c r="A172" s="3" t="s">
        <v>1359</v>
      </c>
      <c r="B172" s="3" t="s">
        <v>5998</v>
      </c>
      <c r="C172" s="3" t="s">
        <v>5999</v>
      </c>
      <c r="F172" t="s">
        <v>19</v>
      </c>
      <c r="G172" s="9" t="s">
        <v>24</v>
      </c>
      <c r="H172" s="9"/>
      <c r="I172" s="9">
        <v>1</v>
      </c>
      <c r="J172" s="9">
        <v>5</v>
      </c>
      <c r="K172" s="9" t="s">
        <v>12098</v>
      </c>
      <c r="L172" s="9" t="s">
        <v>12073</v>
      </c>
      <c r="M172" s="9" t="s">
        <v>12142</v>
      </c>
      <c r="N172" s="10" t="s">
        <v>12143</v>
      </c>
      <c r="O172" s="9"/>
      <c r="P172" s="9">
        <v>2</v>
      </c>
      <c r="Q172" s="9">
        <f t="shared" si="2"/>
        <v>0.24032684450853162</v>
      </c>
      <c r="R172" s="9"/>
      <c r="S172" s="9" t="s">
        <v>12795</v>
      </c>
      <c r="T172" s="9" t="s">
        <v>12795</v>
      </c>
      <c r="U172" s="9"/>
      <c r="V172" s="9"/>
      <c r="W172" s="9"/>
      <c r="X172" s="9"/>
      <c r="Y172" s="9"/>
      <c r="Z172" s="9"/>
      <c r="AA172" s="9"/>
      <c r="AB172" s="9"/>
      <c r="AC172" s="9"/>
      <c r="AD172" s="9"/>
    </row>
    <row r="173" spans="1:30" ht="145">
      <c r="A173" s="3" t="s">
        <v>1360</v>
      </c>
      <c r="B173" s="3" t="s">
        <v>6000</v>
      </c>
      <c r="C173" s="3" t="s">
        <v>6001</v>
      </c>
      <c r="F173" t="s">
        <v>20</v>
      </c>
      <c r="G173" s="9" t="s">
        <v>24</v>
      </c>
      <c r="H173" s="9"/>
      <c r="I173" s="9">
        <v>6</v>
      </c>
      <c r="J173" s="9">
        <v>25</v>
      </c>
      <c r="K173" s="9"/>
      <c r="L173" s="9" t="s">
        <v>12079</v>
      </c>
      <c r="M173" s="9"/>
      <c r="N173" s="10"/>
      <c r="O173" s="9"/>
      <c r="P173" s="9">
        <v>46</v>
      </c>
      <c r="Q173" s="9">
        <f t="shared" si="2"/>
        <v>5.527517423696227</v>
      </c>
      <c r="R173" s="9"/>
      <c r="S173" s="9" t="s">
        <v>12795</v>
      </c>
      <c r="T173" s="9" t="s">
        <v>12795</v>
      </c>
      <c r="U173" s="9"/>
      <c r="V173" s="9"/>
      <c r="W173" s="9"/>
      <c r="X173" s="9"/>
      <c r="Y173" s="9"/>
      <c r="Z173" s="9"/>
      <c r="AA173" s="9"/>
      <c r="AB173" s="9"/>
      <c r="AC173" s="9"/>
      <c r="AD173" s="9"/>
    </row>
    <row r="174" spans="1:30" ht="101.5">
      <c r="A174" s="3" t="s">
        <v>1365</v>
      </c>
      <c r="B174" s="3" t="s">
        <v>6014</v>
      </c>
      <c r="C174" s="3" t="s">
        <v>6011</v>
      </c>
      <c r="F174" t="s">
        <v>19</v>
      </c>
      <c r="G174" s="9" t="s">
        <v>25</v>
      </c>
      <c r="H174" s="9"/>
      <c r="I174" s="9">
        <v>1</v>
      </c>
      <c r="J174" s="9">
        <v>3</v>
      </c>
      <c r="K174" s="9" t="s">
        <v>12078</v>
      </c>
      <c r="L174" s="9" t="s">
        <v>12079</v>
      </c>
      <c r="M174" s="9"/>
      <c r="N174" s="10"/>
      <c r="O174" s="9"/>
      <c r="P174" s="9">
        <v>11843</v>
      </c>
      <c r="Q174" s="9">
        <f t="shared" si="2"/>
        <v>1423.0954097572699</v>
      </c>
      <c r="R174" s="9"/>
      <c r="S174" s="9" t="s">
        <v>12795</v>
      </c>
      <c r="T174" s="9" t="s">
        <v>12795</v>
      </c>
      <c r="U174" s="9"/>
      <c r="V174" s="9"/>
      <c r="W174" s="9"/>
      <c r="X174" s="9"/>
      <c r="Y174" s="9"/>
      <c r="Z174" s="9"/>
      <c r="AA174" s="9"/>
      <c r="AB174" s="9"/>
      <c r="AC174" s="9"/>
      <c r="AD174" s="9"/>
    </row>
    <row r="175" spans="1:30" ht="87">
      <c r="A175" s="3" t="s">
        <v>1369</v>
      </c>
      <c r="B175" s="3" t="s">
        <v>6015</v>
      </c>
      <c r="C175" s="3" t="s">
        <v>6016</v>
      </c>
      <c r="F175" t="s">
        <v>19</v>
      </c>
      <c r="G175" s="9" t="s">
        <v>24</v>
      </c>
      <c r="H175" s="9"/>
      <c r="I175" s="9">
        <v>2</v>
      </c>
      <c r="J175" s="9">
        <v>10</v>
      </c>
      <c r="K175" s="9"/>
      <c r="L175" s="9" t="s">
        <v>12079</v>
      </c>
      <c r="M175" s="9"/>
      <c r="N175" s="10"/>
      <c r="O175" s="9"/>
      <c r="P175" s="9">
        <v>75</v>
      </c>
      <c r="Q175" s="9">
        <f t="shared" si="2"/>
        <v>9.0122566690699344</v>
      </c>
      <c r="R175" s="9"/>
      <c r="S175" s="9" t="s">
        <v>12795</v>
      </c>
      <c r="T175" s="9" t="s">
        <v>12795</v>
      </c>
      <c r="U175" s="9"/>
      <c r="V175" s="9"/>
      <c r="W175" s="9"/>
      <c r="X175" s="9"/>
      <c r="Y175" s="9"/>
      <c r="Z175" s="9"/>
      <c r="AA175" s="9"/>
      <c r="AB175" s="9"/>
      <c r="AC175" s="9"/>
      <c r="AD175" s="9"/>
    </row>
    <row r="176" spans="1:30" ht="72.5">
      <c r="A176" s="3" t="s">
        <v>1370</v>
      </c>
      <c r="B176" s="3" t="s">
        <v>6017</v>
      </c>
      <c r="C176" s="3" t="s">
        <v>6018</v>
      </c>
      <c r="G176" s="9" t="s">
        <v>24</v>
      </c>
      <c r="H176" s="9"/>
      <c r="I176" s="9">
        <v>1</v>
      </c>
      <c r="J176" s="9">
        <v>6</v>
      </c>
      <c r="K176" s="9" t="s">
        <v>12092</v>
      </c>
      <c r="L176" s="9" t="s">
        <v>12073</v>
      </c>
      <c r="M176" s="9" t="s">
        <v>12142</v>
      </c>
      <c r="N176" s="10" t="s">
        <v>12158</v>
      </c>
      <c r="O176" s="9" t="s">
        <v>12074</v>
      </c>
      <c r="P176" s="9">
        <v>5</v>
      </c>
      <c r="Q176" s="9">
        <f t="shared" si="2"/>
        <v>0.60081711127132897</v>
      </c>
      <c r="R176" s="9"/>
      <c r="S176" s="9" t="s">
        <v>12795</v>
      </c>
      <c r="T176" s="9" t="s">
        <v>12795</v>
      </c>
      <c r="U176" s="9"/>
      <c r="V176" s="9"/>
      <c r="W176" s="9"/>
      <c r="X176" s="9"/>
      <c r="Y176" s="9"/>
      <c r="Z176" s="9"/>
      <c r="AA176" s="9"/>
      <c r="AB176" s="9"/>
      <c r="AC176" s="9"/>
      <c r="AD176" s="9"/>
    </row>
    <row r="177" spans="1:30" ht="130.5">
      <c r="A177" s="3" t="s">
        <v>1373</v>
      </c>
      <c r="B177" s="3" t="s">
        <v>6021</v>
      </c>
      <c r="C177" s="3" t="s">
        <v>6022</v>
      </c>
      <c r="F177" t="s">
        <v>19</v>
      </c>
      <c r="G177" s="9" t="s">
        <v>24</v>
      </c>
      <c r="H177" s="9"/>
      <c r="I177" s="9">
        <v>1</v>
      </c>
      <c r="J177" s="9">
        <v>5</v>
      </c>
      <c r="K177" s="9" t="s">
        <v>12096</v>
      </c>
      <c r="L177" s="9" t="s">
        <v>12079</v>
      </c>
      <c r="M177" s="9"/>
      <c r="N177" s="10"/>
      <c r="O177" s="9"/>
      <c r="P177" s="9">
        <v>28</v>
      </c>
      <c r="Q177" s="9">
        <f t="shared" si="2"/>
        <v>3.3645758231194423</v>
      </c>
      <c r="R177" s="9"/>
      <c r="S177" s="9" t="s">
        <v>12795</v>
      </c>
      <c r="T177" s="9" t="s">
        <v>12795</v>
      </c>
      <c r="U177" s="9"/>
      <c r="V177" s="9"/>
      <c r="W177" s="9"/>
      <c r="X177" s="9"/>
      <c r="Y177" s="9"/>
      <c r="Z177" s="9"/>
      <c r="AA177" s="9"/>
      <c r="AB177" s="9"/>
      <c r="AC177" s="9"/>
      <c r="AD177" s="9"/>
    </row>
    <row r="178" spans="1:30" ht="203">
      <c r="A178" s="3" t="s">
        <v>1380</v>
      </c>
      <c r="B178" s="3" t="s">
        <v>6032</v>
      </c>
      <c r="C178" s="3" t="s">
        <v>6029</v>
      </c>
      <c r="F178" t="s">
        <v>22</v>
      </c>
      <c r="G178" s="9" t="s">
        <v>25</v>
      </c>
      <c r="H178" s="9"/>
      <c r="I178" s="9">
        <v>3</v>
      </c>
      <c r="J178" s="9">
        <v>14</v>
      </c>
      <c r="K178" s="9"/>
      <c r="L178" s="9" t="s">
        <v>12079</v>
      </c>
      <c r="M178" s="9"/>
      <c r="N178" s="10"/>
      <c r="O178" s="9"/>
      <c r="P178" s="9">
        <v>186</v>
      </c>
      <c r="Q178" s="9">
        <f t="shared" si="2"/>
        <v>22.350396539293438</v>
      </c>
      <c r="R178" s="9"/>
      <c r="S178" s="9" t="s">
        <v>12795</v>
      </c>
      <c r="T178" s="9" t="s">
        <v>12795</v>
      </c>
      <c r="U178" s="9"/>
      <c r="V178" s="9"/>
      <c r="W178" s="9"/>
      <c r="X178" s="9"/>
      <c r="Y178" s="9"/>
      <c r="Z178" s="9"/>
      <c r="AA178" s="9"/>
      <c r="AB178" s="9"/>
      <c r="AC178" s="9"/>
      <c r="AD178" s="9"/>
    </row>
    <row r="179" spans="1:30" ht="116">
      <c r="A179" s="3" t="s">
        <v>1384</v>
      </c>
      <c r="B179" s="3" t="s">
        <v>6037</v>
      </c>
      <c r="C179" s="3" t="s">
        <v>6036</v>
      </c>
      <c r="F179" t="s">
        <v>19</v>
      </c>
      <c r="G179" s="9" t="s">
        <v>25</v>
      </c>
      <c r="H179" s="9"/>
      <c r="I179" s="9">
        <v>1</v>
      </c>
      <c r="J179" s="9">
        <v>8</v>
      </c>
      <c r="K179" s="9" t="s">
        <v>12098</v>
      </c>
      <c r="L179" s="9" t="s">
        <v>12079</v>
      </c>
      <c r="M179" s="9"/>
      <c r="N179" s="10"/>
      <c r="O179" s="9"/>
      <c r="P179" s="9">
        <v>35</v>
      </c>
      <c r="Q179" s="9">
        <f t="shared" si="2"/>
        <v>4.2057197788993026</v>
      </c>
      <c r="R179" s="9"/>
      <c r="S179" s="9" t="s">
        <v>12795</v>
      </c>
      <c r="T179" s="9" t="s">
        <v>12795</v>
      </c>
      <c r="U179" s="9"/>
      <c r="V179" s="9"/>
      <c r="W179" s="9"/>
      <c r="X179" s="9"/>
      <c r="Y179" s="9"/>
      <c r="Z179" s="9"/>
      <c r="AA179" s="9"/>
      <c r="AB179" s="9"/>
      <c r="AC179" s="9"/>
      <c r="AD179" s="9"/>
    </row>
    <row r="180" spans="1:30" ht="116">
      <c r="A180" s="3" t="s">
        <v>1384</v>
      </c>
      <c r="B180" s="3" t="s">
        <v>6038</v>
      </c>
      <c r="C180" s="3" t="s">
        <v>6036</v>
      </c>
      <c r="F180" t="s">
        <v>19</v>
      </c>
      <c r="G180" s="9" t="s">
        <v>25</v>
      </c>
      <c r="H180" s="9"/>
      <c r="I180" s="9">
        <v>1</v>
      </c>
      <c r="J180" s="9">
        <v>5</v>
      </c>
      <c r="K180" s="9" t="s">
        <v>12094</v>
      </c>
      <c r="L180" s="9" t="s">
        <v>12079</v>
      </c>
      <c r="M180" s="9"/>
      <c r="N180" s="10"/>
      <c r="O180" s="9"/>
      <c r="P180" s="9">
        <v>4240</v>
      </c>
      <c r="Q180" s="9">
        <f t="shared" si="2"/>
        <v>509.49291035808699</v>
      </c>
      <c r="R180" s="9"/>
      <c r="S180" s="9" t="s">
        <v>12795</v>
      </c>
      <c r="T180" s="9" t="s">
        <v>12795</v>
      </c>
      <c r="U180" s="9"/>
      <c r="V180" s="9"/>
      <c r="W180" s="9"/>
      <c r="X180" s="9"/>
      <c r="Y180" s="9"/>
      <c r="Z180" s="9"/>
      <c r="AA180" s="9"/>
      <c r="AB180" s="9"/>
      <c r="AC180" s="9"/>
      <c r="AD180" s="9"/>
    </row>
    <row r="181" spans="1:30" ht="116">
      <c r="A181" s="3" t="s">
        <v>1384</v>
      </c>
      <c r="B181" s="3" t="s">
        <v>6039</v>
      </c>
      <c r="C181" s="3" t="s">
        <v>6036</v>
      </c>
      <c r="F181" t="s">
        <v>19</v>
      </c>
      <c r="G181" s="9" t="s">
        <v>25</v>
      </c>
      <c r="H181" s="9"/>
      <c r="I181" s="9">
        <v>1</v>
      </c>
      <c r="J181" s="9">
        <v>6</v>
      </c>
      <c r="K181" s="9" t="s">
        <v>12084</v>
      </c>
      <c r="L181" s="9" t="s">
        <v>12079</v>
      </c>
      <c r="M181" s="9"/>
      <c r="N181" s="10"/>
      <c r="O181" s="9"/>
      <c r="P181" s="9">
        <v>32</v>
      </c>
      <c r="Q181" s="9">
        <f t="shared" si="2"/>
        <v>3.8452295121365059</v>
      </c>
      <c r="R181" s="9"/>
      <c r="S181" s="9" t="s">
        <v>12795</v>
      </c>
      <c r="T181" s="9" t="s">
        <v>12795</v>
      </c>
      <c r="U181" s="9"/>
      <c r="V181" s="9"/>
      <c r="W181" s="9"/>
      <c r="X181" s="9"/>
      <c r="Y181" s="9"/>
      <c r="Z181" s="9"/>
      <c r="AA181" s="9"/>
      <c r="AB181" s="9"/>
      <c r="AC181" s="9"/>
      <c r="AD181" s="9"/>
    </row>
    <row r="182" spans="1:30" ht="29">
      <c r="A182" s="3" t="s">
        <v>1387</v>
      </c>
      <c r="B182" s="3" t="s">
        <v>6041</v>
      </c>
      <c r="C182" s="3" t="s">
        <v>6042</v>
      </c>
      <c r="G182" s="9" t="s">
        <v>25</v>
      </c>
      <c r="H182" s="9"/>
      <c r="I182" s="9">
        <v>1</v>
      </c>
      <c r="J182" s="9">
        <v>3</v>
      </c>
      <c r="K182" s="9" t="s">
        <v>12078</v>
      </c>
      <c r="L182" s="9" t="s">
        <v>12079</v>
      </c>
      <c r="M182" s="9"/>
      <c r="N182" s="10"/>
      <c r="O182" s="9"/>
      <c r="P182" s="9">
        <v>11843</v>
      </c>
      <c r="Q182" s="9">
        <f t="shared" si="2"/>
        <v>1423.0954097572699</v>
      </c>
      <c r="R182" s="9"/>
      <c r="S182" s="9" t="s">
        <v>12795</v>
      </c>
      <c r="T182" s="9" t="s">
        <v>12795</v>
      </c>
      <c r="U182" s="9"/>
      <c r="V182" s="9"/>
      <c r="W182" s="9"/>
      <c r="X182" s="9"/>
      <c r="Y182" s="9"/>
      <c r="Z182" s="9"/>
      <c r="AA182" s="9"/>
      <c r="AB182" s="9"/>
      <c r="AC182" s="9"/>
      <c r="AD182" s="9"/>
    </row>
    <row r="183" spans="1:30" ht="43.5">
      <c r="A183" s="3" t="s">
        <v>1391</v>
      </c>
      <c r="B183" s="3" t="s">
        <v>12847</v>
      </c>
      <c r="C183" s="3" t="s">
        <v>6046</v>
      </c>
      <c r="G183" s="9" t="s">
        <v>25</v>
      </c>
      <c r="H183" s="9"/>
      <c r="I183" s="9">
        <v>1</v>
      </c>
      <c r="J183" s="9">
        <v>3</v>
      </c>
      <c r="K183" s="9" t="s">
        <v>12087</v>
      </c>
      <c r="L183" s="9" t="s">
        <v>12079</v>
      </c>
      <c r="M183" s="9"/>
      <c r="N183" s="10"/>
      <c r="O183" s="9"/>
      <c r="P183" s="9">
        <v>1942</v>
      </c>
      <c r="Q183" s="9">
        <f t="shared" si="2"/>
        <v>233.35736601778419</v>
      </c>
      <c r="R183" s="9"/>
      <c r="S183" s="9"/>
      <c r="T183" s="9"/>
      <c r="U183" s="9"/>
      <c r="V183" s="9"/>
      <c r="W183" s="9"/>
      <c r="X183" s="9"/>
      <c r="Y183" s="9"/>
      <c r="Z183" s="9"/>
      <c r="AA183" s="9"/>
      <c r="AB183" s="9"/>
      <c r="AC183" s="9"/>
      <c r="AD183" s="9"/>
    </row>
    <row r="184" spans="1:30" ht="29">
      <c r="A184" s="3" t="s">
        <v>1402</v>
      </c>
      <c r="B184" s="3" t="s">
        <v>6053</v>
      </c>
      <c r="C184" s="3" t="s">
        <v>6052</v>
      </c>
      <c r="G184" s="9" t="s">
        <v>24</v>
      </c>
      <c r="H184" s="9"/>
      <c r="I184" s="9">
        <v>1</v>
      </c>
      <c r="J184" s="9">
        <v>3</v>
      </c>
      <c r="K184" s="9" t="s">
        <v>12078</v>
      </c>
      <c r="L184" s="9" t="s">
        <v>12079</v>
      </c>
      <c r="M184" s="9"/>
      <c r="N184" s="10"/>
      <c r="O184" s="9"/>
      <c r="P184" s="9">
        <v>11843</v>
      </c>
      <c r="Q184" s="9">
        <f t="shared" si="2"/>
        <v>1423.0954097572699</v>
      </c>
      <c r="R184" s="9"/>
      <c r="S184" s="9" t="s">
        <v>12795</v>
      </c>
      <c r="T184" s="9" t="s">
        <v>12795</v>
      </c>
      <c r="U184" s="9"/>
      <c r="V184" s="9"/>
      <c r="W184" s="9"/>
      <c r="X184" s="9"/>
      <c r="Y184" s="9"/>
      <c r="Z184" s="9"/>
      <c r="AA184" s="9"/>
      <c r="AB184" s="9"/>
      <c r="AC184" s="9"/>
      <c r="AD184" s="9"/>
    </row>
    <row r="185" spans="1:30" ht="58">
      <c r="A185" s="3" t="s">
        <v>1409</v>
      </c>
      <c r="B185" s="3" t="s">
        <v>6056</v>
      </c>
      <c r="C185" s="3" t="s">
        <v>6059</v>
      </c>
      <c r="G185" s="9" t="s">
        <v>24</v>
      </c>
      <c r="H185" s="9"/>
      <c r="I185" s="9">
        <v>1</v>
      </c>
      <c r="J185" s="9">
        <v>4</v>
      </c>
      <c r="K185" s="9" t="s">
        <v>12094</v>
      </c>
      <c r="L185" s="9" t="s">
        <v>12079</v>
      </c>
      <c r="M185" s="9"/>
      <c r="N185" s="10"/>
      <c r="O185" s="9"/>
      <c r="P185" s="9">
        <v>4240</v>
      </c>
      <c r="Q185" s="9">
        <f t="shared" si="2"/>
        <v>509.49291035808699</v>
      </c>
      <c r="R185" s="9"/>
      <c r="S185" s="9" t="s">
        <v>12795</v>
      </c>
      <c r="T185" s="9" t="s">
        <v>12795</v>
      </c>
      <c r="U185" s="9"/>
      <c r="V185" s="9"/>
      <c r="W185" s="9"/>
      <c r="X185" s="9"/>
      <c r="Y185" s="9"/>
      <c r="Z185" s="9"/>
      <c r="AA185" s="9"/>
      <c r="AB185" s="9"/>
      <c r="AC185" s="9"/>
      <c r="AD185" s="9"/>
    </row>
    <row r="186" spans="1:30" ht="29">
      <c r="A186" s="3" t="s">
        <v>1412</v>
      </c>
      <c r="B186" s="3" t="s">
        <v>6067</v>
      </c>
      <c r="C186" s="3" t="s">
        <v>6068</v>
      </c>
      <c r="G186" s="9" t="s">
        <v>24</v>
      </c>
      <c r="H186" s="9"/>
      <c r="I186" s="9">
        <v>1</v>
      </c>
      <c r="J186" s="9">
        <v>3</v>
      </c>
      <c r="K186" s="9" t="s">
        <v>12072</v>
      </c>
      <c r="L186" s="9" t="s">
        <v>12079</v>
      </c>
      <c r="M186" s="9"/>
      <c r="N186" s="10"/>
      <c r="O186" s="9"/>
      <c r="P186" s="9">
        <v>214</v>
      </c>
      <c r="Q186" s="9">
        <f t="shared" si="2"/>
        <v>25.71497236241288</v>
      </c>
      <c r="R186" s="9"/>
      <c r="S186" s="9" t="s">
        <v>12795</v>
      </c>
      <c r="T186" s="9" t="s">
        <v>12795</v>
      </c>
      <c r="U186" s="9"/>
      <c r="V186" s="9"/>
      <c r="W186" s="9"/>
      <c r="X186" s="9"/>
      <c r="Y186" s="9"/>
      <c r="Z186" s="9"/>
      <c r="AA186" s="9"/>
      <c r="AB186" s="9"/>
      <c r="AC186" s="9"/>
      <c r="AD186" s="9"/>
    </row>
    <row r="187" spans="1:30" ht="58">
      <c r="A187" s="3" t="s">
        <v>1419</v>
      </c>
      <c r="B187" s="3" t="s">
        <v>6078</v>
      </c>
      <c r="C187" s="3" t="s">
        <v>6079</v>
      </c>
      <c r="G187" s="9" t="s">
        <v>25</v>
      </c>
      <c r="H187" s="9"/>
      <c r="I187" s="9">
        <v>1</v>
      </c>
      <c r="J187" s="9">
        <v>6</v>
      </c>
      <c r="K187" s="9" t="s">
        <v>12094</v>
      </c>
      <c r="L187" s="9" t="s">
        <v>12079</v>
      </c>
      <c r="M187" s="9"/>
      <c r="N187" s="10"/>
      <c r="O187" s="9"/>
      <c r="P187" s="9">
        <v>4240</v>
      </c>
      <c r="Q187" s="9">
        <f t="shared" si="2"/>
        <v>509.49291035808699</v>
      </c>
      <c r="R187" s="9"/>
      <c r="S187" s="9" t="s">
        <v>12795</v>
      </c>
      <c r="T187" s="9" t="s">
        <v>12795</v>
      </c>
      <c r="U187" s="9"/>
      <c r="V187" s="9"/>
      <c r="W187" s="9"/>
      <c r="X187" s="9"/>
      <c r="Y187" s="9"/>
      <c r="Z187" s="9"/>
      <c r="AA187" s="9"/>
      <c r="AB187" s="9"/>
      <c r="AC187" s="9"/>
      <c r="AD187" s="9"/>
    </row>
    <row r="188" spans="1:30" ht="29">
      <c r="A188" s="3" t="s">
        <v>1420</v>
      </c>
      <c r="B188" s="3" t="s">
        <v>6080</v>
      </c>
      <c r="C188" s="3" t="s">
        <v>6081</v>
      </c>
      <c r="G188" s="9" t="s">
        <v>25</v>
      </c>
      <c r="H188" s="9"/>
      <c r="I188" s="9">
        <v>1</v>
      </c>
      <c r="J188" s="9">
        <v>2</v>
      </c>
      <c r="K188" s="9" t="s">
        <v>12078</v>
      </c>
      <c r="L188" s="9" t="s">
        <v>12119</v>
      </c>
      <c r="M188" s="9"/>
      <c r="N188" s="10"/>
      <c r="O188" s="9" t="s">
        <v>12074</v>
      </c>
      <c r="P188" s="9">
        <v>11843</v>
      </c>
      <c r="Q188" s="9">
        <f t="shared" si="2"/>
        <v>1423.0954097572699</v>
      </c>
      <c r="R188" s="9"/>
      <c r="S188" s="9" t="s">
        <v>12795</v>
      </c>
      <c r="T188" s="9" t="s">
        <v>12795</v>
      </c>
      <c r="U188" s="9"/>
      <c r="V188" s="9"/>
      <c r="W188" s="9"/>
      <c r="X188" s="9"/>
      <c r="Y188" s="9"/>
      <c r="Z188" s="9"/>
      <c r="AA188" s="9"/>
      <c r="AB188" s="9"/>
      <c r="AC188" s="9"/>
      <c r="AD188" s="9"/>
    </row>
    <row r="189" spans="1:30" ht="43.5">
      <c r="A189" s="3" t="s">
        <v>1421</v>
      </c>
      <c r="B189" s="3" t="s">
        <v>6082</v>
      </c>
      <c r="C189" s="3" t="s">
        <v>6083</v>
      </c>
      <c r="G189" s="9" t="s">
        <v>25</v>
      </c>
      <c r="H189" s="9"/>
      <c r="I189" s="9">
        <v>1</v>
      </c>
      <c r="J189" s="9">
        <v>3</v>
      </c>
      <c r="K189" s="9" t="s">
        <v>12078</v>
      </c>
      <c r="L189" s="9" t="s">
        <v>12073</v>
      </c>
      <c r="M189" s="9" t="s">
        <v>12149</v>
      </c>
      <c r="N189" s="10" t="s">
        <v>12143</v>
      </c>
      <c r="O189" s="9"/>
      <c r="P189" s="9">
        <v>11843</v>
      </c>
      <c r="Q189" s="9">
        <f t="shared" si="2"/>
        <v>1423.0954097572699</v>
      </c>
      <c r="R189" s="9"/>
      <c r="S189" s="9" t="s">
        <v>12795</v>
      </c>
      <c r="T189" s="9" t="s">
        <v>12795</v>
      </c>
      <c r="U189" s="9"/>
      <c r="V189" s="9"/>
      <c r="W189" s="9"/>
      <c r="X189" s="9"/>
      <c r="Y189" s="9"/>
      <c r="Z189" s="9"/>
      <c r="AA189" s="9"/>
      <c r="AB189" s="9"/>
      <c r="AC189" s="9"/>
      <c r="AD189" s="9"/>
    </row>
    <row r="190" spans="1:30" ht="43.5">
      <c r="A190" s="3" t="s">
        <v>1421</v>
      </c>
      <c r="B190" s="3" t="s">
        <v>6084</v>
      </c>
      <c r="C190" s="3" t="s">
        <v>6085</v>
      </c>
      <c r="G190" s="9" t="s">
        <v>25</v>
      </c>
      <c r="H190" s="9"/>
      <c r="I190" s="9">
        <v>1</v>
      </c>
      <c r="J190" s="9">
        <v>3</v>
      </c>
      <c r="K190" s="9" t="s">
        <v>12078</v>
      </c>
      <c r="L190" s="9" t="s">
        <v>12073</v>
      </c>
      <c r="M190" s="9" t="s">
        <v>12149</v>
      </c>
      <c r="N190" s="10" t="s">
        <v>12143</v>
      </c>
      <c r="O190" s="9"/>
      <c r="P190" s="9">
        <v>11843</v>
      </c>
      <c r="Q190" s="9">
        <f t="shared" si="2"/>
        <v>1423.0954097572699</v>
      </c>
      <c r="R190" s="9"/>
      <c r="S190" s="9" t="s">
        <v>12795</v>
      </c>
      <c r="T190" s="9" t="s">
        <v>12795</v>
      </c>
      <c r="U190" s="9"/>
      <c r="V190" s="9"/>
      <c r="W190" s="9"/>
      <c r="X190" s="9"/>
      <c r="Y190" s="9"/>
      <c r="Z190" s="9"/>
      <c r="AA190" s="9"/>
      <c r="AB190" s="9"/>
      <c r="AC190" s="9"/>
      <c r="AD190" s="9"/>
    </row>
    <row r="191" spans="1:30" ht="72.5">
      <c r="A191" s="3" t="s">
        <v>1432</v>
      </c>
      <c r="B191" s="3" t="s">
        <v>6088</v>
      </c>
      <c r="C191" s="3" t="s">
        <v>6089</v>
      </c>
      <c r="G191" s="9" t="s">
        <v>24</v>
      </c>
      <c r="H191" s="9"/>
      <c r="I191" s="9">
        <v>1</v>
      </c>
      <c r="J191" s="9">
        <v>3</v>
      </c>
      <c r="K191" s="9" t="s">
        <v>12078</v>
      </c>
      <c r="L191" s="9" t="s">
        <v>12073</v>
      </c>
      <c r="M191" s="9" t="s">
        <v>12142</v>
      </c>
      <c r="N191" s="10" t="s">
        <v>12143</v>
      </c>
      <c r="O191" s="9" t="s">
        <v>12074</v>
      </c>
      <c r="P191" s="9">
        <v>11843</v>
      </c>
      <c r="Q191" s="9">
        <f t="shared" si="2"/>
        <v>1423.0954097572699</v>
      </c>
      <c r="R191" s="9"/>
      <c r="S191" s="9" t="s">
        <v>12795</v>
      </c>
      <c r="T191" s="9" t="s">
        <v>12795</v>
      </c>
      <c r="U191" s="9"/>
      <c r="V191" s="9"/>
      <c r="W191" s="9"/>
      <c r="X191" s="9"/>
      <c r="Y191" s="9"/>
      <c r="Z191" s="9"/>
      <c r="AA191" s="9"/>
      <c r="AB191" s="9"/>
      <c r="AC191" s="9"/>
      <c r="AD191" s="9"/>
    </row>
    <row r="192" spans="1:30" ht="130.5">
      <c r="A192" s="3" t="s">
        <v>1432</v>
      </c>
      <c r="B192" s="3" t="s">
        <v>6090</v>
      </c>
      <c r="C192" s="3" t="s">
        <v>6091</v>
      </c>
      <c r="G192" s="9" t="s">
        <v>25</v>
      </c>
      <c r="H192" s="9"/>
      <c r="I192" s="9">
        <v>6</v>
      </c>
      <c r="J192" s="9">
        <v>26</v>
      </c>
      <c r="K192" s="9"/>
      <c r="L192" s="9" t="s">
        <v>12079</v>
      </c>
      <c r="M192" s="9"/>
      <c r="N192" s="10"/>
      <c r="O192" s="9"/>
      <c r="P192" s="9">
        <v>265</v>
      </c>
      <c r="Q192" s="9">
        <f t="shared" si="2"/>
        <v>31.843306897380437</v>
      </c>
      <c r="R192" s="9"/>
      <c r="S192" s="9" t="s">
        <v>12795</v>
      </c>
      <c r="T192" s="9" t="s">
        <v>12795</v>
      </c>
      <c r="U192" s="9"/>
      <c r="V192" s="9"/>
      <c r="W192" s="9"/>
      <c r="X192" s="9"/>
      <c r="Y192" s="9"/>
      <c r="Z192" s="9"/>
      <c r="AA192" s="9"/>
      <c r="AB192" s="9"/>
      <c r="AC192" s="9"/>
      <c r="AD192" s="9"/>
    </row>
    <row r="193" spans="1:30" ht="130.5">
      <c r="A193" s="3" t="s">
        <v>1435</v>
      </c>
      <c r="B193" s="3" t="s">
        <v>6099</v>
      </c>
      <c r="C193" s="3" t="s">
        <v>6098</v>
      </c>
      <c r="G193" s="9" t="s">
        <v>25</v>
      </c>
      <c r="H193" s="9"/>
      <c r="I193" s="9">
        <v>1</v>
      </c>
      <c r="J193" s="9">
        <v>2</v>
      </c>
      <c r="K193" s="9" t="s">
        <v>12096</v>
      </c>
      <c r="L193" s="9" t="s">
        <v>12119</v>
      </c>
      <c r="M193" s="9"/>
      <c r="N193" s="10"/>
      <c r="O193" s="9"/>
      <c r="P193" s="9">
        <v>1294</v>
      </c>
      <c r="Q193" s="9">
        <f t="shared" si="2"/>
        <v>155.49146839701996</v>
      </c>
      <c r="R193" s="9"/>
      <c r="S193" s="9" t="s">
        <v>12795</v>
      </c>
      <c r="T193" s="9" t="s">
        <v>12795</v>
      </c>
      <c r="U193" s="9"/>
      <c r="V193" s="9"/>
      <c r="W193" s="9"/>
      <c r="X193" s="9"/>
      <c r="Y193" s="9"/>
      <c r="Z193" s="9"/>
      <c r="AA193" s="9"/>
      <c r="AB193" s="9"/>
      <c r="AC193" s="9"/>
      <c r="AD193" s="9"/>
    </row>
    <row r="194" spans="1:30" ht="130.5">
      <c r="A194" s="3" t="s">
        <v>1435</v>
      </c>
      <c r="B194" s="3" t="s">
        <v>6100</v>
      </c>
      <c r="C194" s="3" t="s">
        <v>6098</v>
      </c>
      <c r="G194" s="9" t="s">
        <v>25</v>
      </c>
      <c r="H194" s="9"/>
      <c r="I194" s="9">
        <v>1</v>
      </c>
      <c r="J194" s="9">
        <v>2</v>
      </c>
      <c r="K194" s="9" t="s">
        <v>12094</v>
      </c>
      <c r="L194" s="9" t="s">
        <v>12119</v>
      </c>
      <c r="M194" s="9"/>
      <c r="N194" s="10"/>
      <c r="O194" s="9"/>
      <c r="P194" s="9">
        <v>301</v>
      </c>
      <c r="Q194" s="9">
        <f t="shared" ref="Q194:Q257" si="3">IF(ISNUMBER(P194), (P194/$F$988)*10000, "")</f>
        <v>36.16919009853401</v>
      </c>
      <c r="R194" s="9"/>
      <c r="S194" s="9" t="s">
        <v>12795</v>
      </c>
      <c r="T194" s="9" t="s">
        <v>12795</v>
      </c>
      <c r="U194" s="9"/>
      <c r="V194" s="9"/>
      <c r="W194" s="9"/>
      <c r="X194" s="9"/>
      <c r="Y194" s="9"/>
      <c r="Z194" s="9"/>
      <c r="AA194" s="9"/>
      <c r="AB194" s="9"/>
      <c r="AC194" s="9"/>
      <c r="AD194" s="9"/>
    </row>
    <row r="195" spans="1:30" ht="43.5">
      <c r="A195" s="3" t="s">
        <v>1438</v>
      </c>
      <c r="B195" s="3" t="s">
        <v>6110</v>
      </c>
      <c r="C195" s="3" t="s">
        <v>6111</v>
      </c>
      <c r="G195" s="9" t="s">
        <v>24</v>
      </c>
      <c r="H195" s="9"/>
      <c r="I195" s="9">
        <v>1</v>
      </c>
      <c r="J195" s="9">
        <v>6</v>
      </c>
      <c r="K195" s="9" t="s">
        <v>12084</v>
      </c>
      <c r="L195" s="9" t="s">
        <v>12079</v>
      </c>
      <c r="M195" s="9"/>
      <c r="N195" s="10"/>
      <c r="O195" s="9"/>
      <c r="P195" s="9">
        <v>32</v>
      </c>
      <c r="Q195" s="9">
        <f t="shared" si="3"/>
        <v>3.8452295121365059</v>
      </c>
      <c r="R195" s="9"/>
      <c r="S195" s="9" t="s">
        <v>12795</v>
      </c>
      <c r="T195" s="9" t="s">
        <v>12795</v>
      </c>
      <c r="U195" s="9"/>
      <c r="V195" s="9"/>
      <c r="W195" s="9"/>
      <c r="X195" s="9"/>
      <c r="Y195" s="9"/>
      <c r="Z195" s="9"/>
      <c r="AA195" s="9"/>
      <c r="AB195" s="9"/>
      <c r="AC195" s="9"/>
      <c r="AD195" s="9"/>
    </row>
    <row r="196" spans="1:30" ht="130.5">
      <c r="A196" s="3" t="s">
        <v>1441</v>
      </c>
      <c r="B196" s="3" t="s">
        <v>6116</v>
      </c>
      <c r="C196" s="3" t="s">
        <v>6115</v>
      </c>
      <c r="G196" s="9" t="s">
        <v>25</v>
      </c>
      <c r="H196" s="9"/>
      <c r="I196" s="9">
        <v>1</v>
      </c>
      <c r="J196" s="9">
        <v>2</v>
      </c>
      <c r="K196" s="9" t="s">
        <v>12078</v>
      </c>
      <c r="L196" s="9" t="s">
        <v>12119</v>
      </c>
      <c r="M196" s="9"/>
      <c r="N196" s="10"/>
      <c r="O196" s="9"/>
      <c r="P196" s="9">
        <v>11843</v>
      </c>
      <c r="Q196" s="9">
        <f t="shared" si="3"/>
        <v>1423.0954097572699</v>
      </c>
      <c r="R196" s="9"/>
      <c r="S196" s="9" t="s">
        <v>12795</v>
      </c>
      <c r="T196" s="9" t="s">
        <v>12795</v>
      </c>
      <c r="U196" s="9"/>
      <c r="V196" s="9"/>
      <c r="W196" s="9"/>
      <c r="X196" s="9"/>
      <c r="Y196" s="9"/>
      <c r="Z196" s="9"/>
      <c r="AA196" s="9"/>
      <c r="AB196" s="9"/>
      <c r="AC196" s="9"/>
      <c r="AD196" s="9"/>
    </row>
    <row r="197" spans="1:30" ht="145">
      <c r="A197" s="3" t="s">
        <v>1441</v>
      </c>
      <c r="B197" s="3" t="s">
        <v>6117</v>
      </c>
      <c r="C197" s="3" t="s">
        <v>6115</v>
      </c>
      <c r="G197" s="9" t="s">
        <v>25</v>
      </c>
      <c r="H197" s="9"/>
      <c r="I197" s="9">
        <v>4</v>
      </c>
      <c r="J197" s="9">
        <v>14</v>
      </c>
      <c r="K197" s="9"/>
      <c r="L197" s="9" t="s">
        <v>12073</v>
      </c>
      <c r="M197" s="9" t="s">
        <v>12135</v>
      </c>
      <c r="N197" s="10" t="s">
        <v>12233</v>
      </c>
      <c r="O197" s="9"/>
      <c r="P197" s="9">
        <v>11</v>
      </c>
      <c r="Q197" s="9">
        <f t="shared" si="3"/>
        <v>1.3217976447969237</v>
      </c>
      <c r="R197" s="9"/>
      <c r="S197" s="9" t="s">
        <v>12795</v>
      </c>
      <c r="T197" s="9" t="s">
        <v>12795</v>
      </c>
      <c r="U197" s="9"/>
      <c r="V197" s="9"/>
      <c r="W197" s="9"/>
      <c r="X197" s="9"/>
      <c r="Y197" s="9"/>
      <c r="Z197" s="9"/>
      <c r="AA197" s="9"/>
      <c r="AB197" s="9"/>
      <c r="AC197" s="9"/>
      <c r="AD197" s="9"/>
    </row>
    <row r="198" spans="1:30" ht="58">
      <c r="A198" s="3" t="s">
        <v>1442</v>
      </c>
      <c r="B198" s="3" t="s">
        <v>6118</v>
      </c>
      <c r="C198" s="3" t="s">
        <v>6119</v>
      </c>
      <c r="G198" s="9" t="s">
        <v>25</v>
      </c>
      <c r="H198" s="9"/>
      <c r="I198" s="9">
        <v>1</v>
      </c>
      <c r="J198" s="9">
        <v>6</v>
      </c>
      <c r="K198" s="9" t="s">
        <v>12072</v>
      </c>
      <c r="L198" s="9" t="s">
        <v>12073</v>
      </c>
      <c r="M198" s="9" t="s">
        <v>12149</v>
      </c>
      <c r="N198" s="10" t="s">
        <v>12170</v>
      </c>
      <c r="O198" s="9"/>
      <c r="P198" s="9">
        <v>287</v>
      </c>
      <c r="Q198" s="9">
        <f t="shared" si="3"/>
        <v>34.486902186974284</v>
      </c>
      <c r="R198" s="9"/>
      <c r="S198" s="9" t="s">
        <v>12795</v>
      </c>
      <c r="T198" s="9" t="s">
        <v>12795</v>
      </c>
      <c r="U198" s="9"/>
      <c r="V198" s="9"/>
      <c r="W198" s="9"/>
      <c r="X198" s="9"/>
      <c r="Y198" s="9"/>
      <c r="Z198" s="9"/>
      <c r="AA198" s="9"/>
      <c r="AB198" s="9"/>
      <c r="AC198" s="9"/>
      <c r="AD198" s="9"/>
    </row>
    <row r="199" spans="1:30" ht="43.5">
      <c r="A199" s="3" t="s">
        <v>1443</v>
      </c>
      <c r="B199" s="3" t="s">
        <v>6120</v>
      </c>
      <c r="C199" s="3" t="s">
        <v>6121</v>
      </c>
      <c r="G199" s="9" t="s">
        <v>25</v>
      </c>
      <c r="H199" s="9"/>
      <c r="I199" s="9">
        <v>1</v>
      </c>
      <c r="J199" s="9">
        <v>2</v>
      </c>
      <c r="K199" s="9" t="s">
        <v>12096</v>
      </c>
      <c r="L199" s="9" t="s">
        <v>12119</v>
      </c>
      <c r="M199" s="9"/>
      <c r="N199" s="10"/>
      <c r="O199" s="9" t="s">
        <v>12074</v>
      </c>
      <c r="P199" s="9">
        <v>1294</v>
      </c>
      <c r="Q199" s="9">
        <f t="shared" si="3"/>
        <v>155.49146839701996</v>
      </c>
      <c r="R199" s="9"/>
      <c r="S199" s="9" t="s">
        <v>12795</v>
      </c>
      <c r="T199" s="9" t="s">
        <v>12795</v>
      </c>
      <c r="U199" s="9"/>
      <c r="V199" s="9"/>
      <c r="W199" s="9"/>
      <c r="X199" s="9"/>
      <c r="Y199" s="9"/>
      <c r="Z199" s="9"/>
      <c r="AA199" s="9"/>
      <c r="AB199" s="9"/>
      <c r="AC199" s="9"/>
      <c r="AD199" s="9"/>
    </row>
    <row r="200" spans="1:30" ht="72.5">
      <c r="A200" s="3" t="s">
        <v>1444</v>
      </c>
      <c r="B200" s="3" t="s">
        <v>6122</v>
      </c>
      <c r="C200" s="3" t="s">
        <v>6123</v>
      </c>
      <c r="G200" s="9" t="s">
        <v>24</v>
      </c>
      <c r="H200" s="9"/>
      <c r="I200" s="9">
        <v>1</v>
      </c>
      <c r="J200" s="9">
        <v>2</v>
      </c>
      <c r="K200" s="9" t="s">
        <v>12078</v>
      </c>
      <c r="L200" s="9" t="s">
        <v>12119</v>
      </c>
      <c r="M200" s="9"/>
      <c r="N200" s="10"/>
      <c r="O200" s="9"/>
      <c r="P200" s="9">
        <v>11843</v>
      </c>
      <c r="Q200" s="9">
        <f t="shared" si="3"/>
        <v>1423.0954097572699</v>
      </c>
      <c r="R200" s="9"/>
      <c r="S200" s="9" t="s">
        <v>12795</v>
      </c>
      <c r="T200" s="9" t="s">
        <v>12795</v>
      </c>
      <c r="U200" s="9"/>
      <c r="V200" s="9"/>
      <c r="W200" s="9"/>
      <c r="X200" s="9"/>
      <c r="Y200" s="9"/>
      <c r="Z200" s="9"/>
      <c r="AA200" s="9"/>
      <c r="AB200" s="9"/>
      <c r="AC200" s="9"/>
      <c r="AD200" s="9"/>
    </row>
    <row r="201" spans="1:30" ht="72.5">
      <c r="A201" s="3" t="s">
        <v>1444</v>
      </c>
      <c r="B201" s="3" t="s">
        <v>6122</v>
      </c>
      <c r="C201" s="3" t="s">
        <v>6126</v>
      </c>
      <c r="G201" s="9" t="s">
        <v>24</v>
      </c>
      <c r="H201" s="9"/>
      <c r="I201" s="9">
        <v>1</v>
      </c>
      <c r="J201" s="9">
        <v>2</v>
      </c>
      <c r="K201" s="9" t="s">
        <v>12078</v>
      </c>
      <c r="L201" s="9" t="s">
        <v>12119</v>
      </c>
      <c r="M201" s="9"/>
      <c r="N201" s="10"/>
      <c r="O201" s="9" t="s">
        <v>12074</v>
      </c>
      <c r="P201" s="9">
        <v>11843</v>
      </c>
      <c r="Q201" s="9">
        <f t="shared" si="3"/>
        <v>1423.0954097572699</v>
      </c>
      <c r="R201" s="9"/>
      <c r="S201" s="9" t="s">
        <v>12795</v>
      </c>
      <c r="T201" s="9" t="s">
        <v>12795</v>
      </c>
      <c r="U201" s="9"/>
      <c r="V201" s="9"/>
      <c r="W201" s="9"/>
      <c r="X201" s="9"/>
      <c r="Y201" s="9"/>
      <c r="Z201" s="9"/>
      <c r="AA201" s="9"/>
      <c r="AB201" s="9"/>
      <c r="AC201" s="9"/>
      <c r="AD201" s="9"/>
    </row>
    <row r="202" spans="1:30" ht="29">
      <c r="A202" s="3" t="s">
        <v>1444</v>
      </c>
      <c r="B202" s="3" t="s">
        <v>6127</v>
      </c>
      <c r="C202" s="3" t="s">
        <v>6128</v>
      </c>
      <c r="G202" s="9" t="s">
        <v>24</v>
      </c>
      <c r="H202" s="9"/>
      <c r="I202" s="9">
        <v>1</v>
      </c>
      <c r="J202" s="9">
        <v>3</v>
      </c>
      <c r="K202" s="9" t="s">
        <v>12087</v>
      </c>
      <c r="L202" s="9" t="s">
        <v>12079</v>
      </c>
      <c r="M202" s="9"/>
      <c r="N202" s="10"/>
      <c r="O202" s="9"/>
      <c r="P202" s="9">
        <v>810</v>
      </c>
      <c r="Q202" s="9">
        <f t="shared" si="3"/>
        <v>97.332372025955294</v>
      </c>
      <c r="R202" s="9"/>
      <c r="S202" s="9" t="s">
        <v>12795</v>
      </c>
      <c r="T202" s="9" t="s">
        <v>12795</v>
      </c>
      <c r="U202" s="9"/>
      <c r="V202" s="9"/>
      <c r="W202" s="9"/>
      <c r="X202" s="9"/>
      <c r="Y202" s="9"/>
      <c r="Z202" s="9"/>
      <c r="AA202" s="9"/>
      <c r="AB202" s="9"/>
      <c r="AC202" s="9"/>
      <c r="AD202" s="9"/>
    </row>
    <row r="203" spans="1:30" ht="29">
      <c r="A203" s="3" t="s">
        <v>1450</v>
      </c>
      <c r="B203" s="3" t="s">
        <v>6131</v>
      </c>
      <c r="C203" s="3" t="s">
        <v>6130</v>
      </c>
      <c r="G203" s="9" t="s">
        <v>25</v>
      </c>
      <c r="H203" s="9"/>
      <c r="I203" s="9">
        <v>1</v>
      </c>
      <c r="J203" s="9">
        <v>3</v>
      </c>
      <c r="K203" s="9" t="s">
        <v>12078</v>
      </c>
      <c r="L203" s="9" t="s">
        <v>12079</v>
      </c>
      <c r="M203" s="9"/>
      <c r="N203" s="10"/>
      <c r="O203" s="9"/>
      <c r="P203" s="9">
        <v>11843</v>
      </c>
      <c r="Q203" s="9">
        <f t="shared" si="3"/>
        <v>1423.0954097572699</v>
      </c>
      <c r="R203" s="9"/>
      <c r="S203" s="9" t="s">
        <v>12795</v>
      </c>
      <c r="T203" s="9" t="s">
        <v>12795</v>
      </c>
      <c r="U203" s="9"/>
      <c r="V203" s="9"/>
      <c r="W203" s="9"/>
      <c r="X203" s="9"/>
      <c r="Y203" s="9"/>
      <c r="Z203" s="9"/>
      <c r="AA203" s="9"/>
      <c r="AB203" s="9"/>
      <c r="AC203" s="9"/>
      <c r="AD203" s="9"/>
    </row>
    <row r="204" spans="1:30" ht="58">
      <c r="A204" s="3" t="s">
        <v>1454</v>
      </c>
      <c r="B204" s="3" t="s">
        <v>6151</v>
      </c>
      <c r="C204" s="3" t="s">
        <v>6148</v>
      </c>
      <c r="G204" s="9" t="s">
        <v>25</v>
      </c>
      <c r="H204" s="9"/>
      <c r="I204" s="9">
        <v>1</v>
      </c>
      <c r="J204" s="9">
        <v>6</v>
      </c>
      <c r="K204" s="9" t="s">
        <v>12094</v>
      </c>
      <c r="L204" s="9" t="s">
        <v>12079</v>
      </c>
      <c r="M204" s="9"/>
      <c r="N204" s="10"/>
      <c r="O204" s="9"/>
      <c r="P204" s="9">
        <v>4240</v>
      </c>
      <c r="Q204" s="9">
        <f t="shared" si="3"/>
        <v>509.49291035808699</v>
      </c>
      <c r="R204" s="9"/>
      <c r="S204" s="9" t="s">
        <v>12795</v>
      </c>
      <c r="T204" s="9" t="s">
        <v>12795</v>
      </c>
      <c r="U204" s="9"/>
      <c r="V204" s="9"/>
      <c r="W204" s="9"/>
      <c r="X204" s="9"/>
      <c r="Y204" s="9"/>
      <c r="Z204" s="9"/>
      <c r="AA204" s="9"/>
      <c r="AB204" s="9"/>
      <c r="AC204" s="9"/>
      <c r="AD204" s="9"/>
    </row>
    <row r="205" spans="1:30" ht="43.5">
      <c r="A205" s="3" t="s">
        <v>1458</v>
      </c>
      <c r="B205" s="3" t="s">
        <v>6152</v>
      </c>
      <c r="C205" s="3" t="s">
        <v>6153</v>
      </c>
      <c r="G205" s="9" t="s">
        <v>24</v>
      </c>
      <c r="H205" s="9"/>
      <c r="I205" s="9">
        <v>1</v>
      </c>
      <c r="J205" s="9">
        <v>2</v>
      </c>
      <c r="K205" s="9" t="s">
        <v>12123</v>
      </c>
      <c r="L205" s="9" t="s">
        <v>12119</v>
      </c>
      <c r="M205" s="9"/>
      <c r="N205" s="10"/>
      <c r="O205" s="9" t="s">
        <v>12074</v>
      </c>
      <c r="P205" s="9">
        <v>887</v>
      </c>
      <c r="Q205" s="9">
        <f t="shared" si="3"/>
        <v>106.58495553953377</v>
      </c>
      <c r="R205" s="9"/>
      <c r="S205" s="9" t="s">
        <v>12795</v>
      </c>
      <c r="T205" s="9" t="s">
        <v>12795</v>
      </c>
      <c r="U205" s="9" t="s">
        <v>12117</v>
      </c>
      <c r="V205" s="9"/>
      <c r="W205" s="9"/>
      <c r="X205" s="9"/>
      <c r="Y205" s="9"/>
      <c r="Z205" s="9"/>
      <c r="AA205" s="9"/>
      <c r="AB205" s="9"/>
      <c r="AC205" s="9"/>
      <c r="AD205" s="9"/>
    </row>
    <row r="206" spans="1:30" ht="130.5">
      <c r="A206" s="3" t="s">
        <v>1466</v>
      </c>
      <c r="B206" s="3" t="s">
        <v>6158</v>
      </c>
      <c r="C206" s="3" t="s">
        <v>6157</v>
      </c>
      <c r="G206" s="9" t="s">
        <v>25</v>
      </c>
      <c r="H206" s="9"/>
      <c r="I206" s="9">
        <v>2</v>
      </c>
      <c r="J206" s="9">
        <v>12</v>
      </c>
      <c r="K206" s="9"/>
      <c r="L206" s="9" t="s">
        <v>12079</v>
      </c>
      <c r="M206" s="9"/>
      <c r="N206" s="10"/>
      <c r="O206" s="9"/>
      <c r="P206" s="9">
        <v>2</v>
      </c>
      <c r="Q206" s="9">
        <f t="shared" si="3"/>
        <v>0.24032684450853162</v>
      </c>
      <c r="R206" s="9"/>
      <c r="S206" s="9" t="s">
        <v>12795</v>
      </c>
      <c r="T206" s="9" t="s">
        <v>12795</v>
      </c>
      <c r="U206" s="9"/>
      <c r="V206" s="9"/>
      <c r="W206" s="9"/>
      <c r="X206" s="9"/>
      <c r="Y206" s="9"/>
      <c r="Z206" s="9"/>
      <c r="AA206" s="9"/>
      <c r="AB206" s="9"/>
      <c r="AC206" s="9"/>
      <c r="AD206" s="9"/>
    </row>
    <row r="207" spans="1:30" ht="116">
      <c r="A207" s="3" t="s">
        <v>1471</v>
      </c>
      <c r="B207" s="3" t="s">
        <v>12869</v>
      </c>
      <c r="C207" s="3" t="s">
        <v>12866</v>
      </c>
      <c r="G207" s="9" t="s">
        <v>24</v>
      </c>
      <c r="H207" s="9"/>
      <c r="I207" s="9">
        <v>1</v>
      </c>
      <c r="J207" s="9">
        <v>7</v>
      </c>
      <c r="K207" s="9" t="s">
        <v>12125</v>
      </c>
      <c r="L207" s="9" t="s">
        <v>12073</v>
      </c>
      <c r="M207" s="9" t="s">
        <v>12149</v>
      </c>
      <c r="N207" s="10" t="s">
        <v>12143</v>
      </c>
      <c r="O207" s="9"/>
      <c r="P207" s="9">
        <v>437</v>
      </c>
      <c r="Q207" s="9">
        <f t="shared" si="3"/>
        <v>52.51141552511416</v>
      </c>
      <c r="R207" s="9"/>
      <c r="S207" s="9" t="s">
        <v>12795</v>
      </c>
      <c r="T207" s="9" t="s">
        <v>12795</v>
      </c>
      <c r="U207" s="9"/>
      <c r="V207" s="9"/>
      <c r="W207" s="9"/>
      <c r="X207" s="9"/>
      <c r="Y207" s="9"/>
      <c r="Z207" s="9"/>
      <c r="AA207" s="9"/>
      <c r="AB207" s="9"/>
      <c r="AC207" s="9"/>
      <c r="AD207" s="9"/>
    </row>
    <row r="208" spans="1:30" ht="116">
      <c r="A208" s="3" t="s">
        <v>1471</v>
      </c>
      <c r="B208" s="3" t="s">
        <v>12870</v>
      </c>
      <c r="C208" s="3" t="s">
        <v>12868</v>
      </c>
      <c r="G208" s="9" t="s">
        <v>25</v>
      </c>
      <c r="H208" s="9"/>
      <c r="I208" s="9">
        <v>1</v>
      </c>
      <c r="J208" s="9">
        <v>1</v>
      </c>
      <c r="K208" s="9" t="s">
        <v>12087</v>
      </c>
      <c r="L208" s="9" t="s">
        <v>12119</v>
      </c>
      <c r="M208" s="9"/>
      <c r="N208" s="10"/>
      <c r="O208" s="9"/>
      <c r="P208" s="9">
        <v>166</v>
      </c>
      <c r="Q208" s="9">
        <f t="shared" si="3"/>
        <v>19.947128094208121</v>
      </c>
      <c r="R208" s="9"/>
      <c r="S208" s="9" t="s">
        <v>12795</v>
      </c>
      <c r="T208" s="9" t="s">
        <v>12795</v>
      </c>
      <c r="U208" s="9"/>
      <c r="V208" s="9"/>
      <c r="W208" s="9"/>
      <c r="X208" s="9"/>
      <c r="Y208" s="9"/>
      <c r="Z208" s="9"/>
      <c r="AA208" s="9"/>
      <c r="AB208" s="9"/>
      <c r="AC208" s="9"/>
      <c r="AD208" s="9"/>
    </row>
    <row r="209" spans="1:30" ht="58">
      <c r="A209" s="3" t="s">
        <v>1486</v>
      </c>
      <c r="B209" s="3" t="s">
        <v>6186</v>
      </c>
      <c r="C209" s="3" t="s">
        <v>6187</v>
      </c>
      <c r="G209" s="9" t="s">
        <v>24</v>
      </c>
      <c r="H209" s="9"/>
      <c r="I209" s="9">
        <v>1</v>
      </c>
      <c r="J209" s="9">
        <v>6</v>
      </c>
      <c r="K209" s="9" t="s">
        <v>12084</v>
      </c>
      <c r="L209" s="9" t="s">
        <v>12079</v>
      </c>
      <c r="M209" s="9"/>
      <c r="N209" s="10"/>
      <c r="O209" s="9"/>
      <c r="P209" s="9">
        <v>32</v>
      </c>
      <c r="Q209" s="9">
        <f t="shared" si="3"/>
        <v>3.8452295121365059</v>
      </c>
      <c r="R209" s="9"/>
      <c r="S209" s="9" t="s">
        <v>12795</v>
      </c>
      <c r="T209" s="9" t="s">
        <v>12795</v>
      </c>
      <c r="U209" s="9"/>
      <c r="V209" s="9"/>
      <c r="W209" s="9"/>
      <c r="X209" s="9"/>
      <c r="Y209" s="9"/>
      <c r="Z209" s="9"/>
      <c r="AA209" s="9"/>
      <c r="AB209" s="9"/>
      <c r="AC209" s="9"/>
      <c r="AD209" s="9"/>
    </row>
    <row r="210" spans="1:30" ht="87">
      <c r="A210" s="3" t="s">
        <v>1488</v>
      </c>
      <c r="B210" s="3" t="s">
        <v>6190</v>
      </c>
      <c r="C210" s="3" t="s">
        <v>6195</v>
      </c>
      <c r="G210" s="9" t="s">
        <v>24</v>
      </c>
      <c r="H210" s="9"/>
      <c r="I210" s="9">
        <v>1</v>
      </c>
      <c r="J210" s="9">
        <v>2</v>
      </c>
      <c r="K210" s="9" t="s">
        <v>12078</v>
      </c>
      <c r="L210" s="9" t="s">
        <v>12119</v>
      </c>
      <c r="M210" s="9"/>
      <c r="N210" s="10"/>
      <c r="O210" s="9"/>
      <c r="P210" s="9">
        <v>11843</v>
      </c>
      <c r="Q210" s="9">
        <f t="shared" si="3"/>
        <v>1423.0954097572699</v>
      </c>
      <c r="R210" s="9"/>
      <c r="S210" s="9" t="s">
        <v>12795</v>
      </c>
      <c r="T210" s="9" t="s">
        <v>12795</v>
      </c>
      <c r="U210" s="9"/>
      <c r="V210" s="9"/>
      <c r="W210" s="9"/>
      <c r="X210" s="9"/>
      <c r="Y210" s="9"/>
      <c r="Z210" s="9"/>
      <c r="AA210" s="9"/>
      <c r="AB210" s="9"/>
      <c r="AC210" s="9"/>
      <c r="AD210" s="9"/>
    </row>
    <row r="211" spans="1:30" ht="159.5">
      <c r="A211" s="3" t="s">
        <v>1495</v>
      </c>
      <c r="B211" s="3" t="s">
        <v>12252</v>
      </c>
      <c r="C211" s="3" t="s">
        <v>12251</v>
      </c>
      <c r="G211" s="9" t="s">
        <v>25</v>
      </c>
      <c r="H211" s="9"/>
      <c r="I211" s="9">
        <v>6</v>
      </c>
      <c r="J211" s="9">
        <v>31</v>
      </c>
      <c r="K211" s="9"/>
      <c r="L211" s="9" t="s">
        <v>12073</v>
      </c>
      <c r="M211" s="9" t="s">
        <v>12140</v>
      </c>
      <c r="N211" s="10" t="s">
        <v>12193</v>
      </c>
      <c r="O211" s="9"/>
      <c r="P211" s="9">
        <v>81</v>
      </c>
      <c r="Q211" s="9">
        <f t="shared" si="3"/>
        <v>9.7332372025955287</v>
      </c>
      <c r="R211" s="9"/>
      <c r="S211" s="9" t="s">
        <v>12795</v>
      </c>
      <c r="T211" s="9" t="s">
        <v>12795</v>
      </c>
      <c r="U211" s="9"/>
      <c r="V211" s="9"/>
      <c r="W211" s="9"/>
      <c r="X211" s="9"/>
      <c r="Y211" s="9"/>
      <c r="Z211" s="9"/>
      <c r="AA211" s="9"/>
      <c r="AB211" s="9"/>
      <c r="AC211" s="9"/>
      <c r="AD211" s="9"/>
    </row>
    <row r="212" spans="1:30" ht="43.5">
      <c r="A212" s="3" t="s">
        <v>1503</v>
      </c>
      <c r="B212" s="3" t="s">
        <v>6203</v>
      </c>
      <c r="C212" s="3" t="s">
        <v>6202</v>
      </c>
      <c r="G212" s="9" t="s">
        <v>25</v>
      </c>
      <c r="H212" s="9"/>
      <c r="I212" s="9">
        <v>1</v>
      </c>
      <c r="J212" s="9">
        <v>5</v>
      </c>
      <c r="K212" s="9" t="s">
        <v>12125</v>
      </c>
      <c r="L212" s="9" t="s">
        <v>12079</v>
      </c>
      <c r="M212" s="9"/>
      <c r="N212" s="10"/>
      <c r="O212" s="9"/>
      <c r="P212" s="9">
        <v>1565</v>
      </c>
      <c r="Q212" s="9">
        <f t="shared" si="3"/>
        <v>188.05575582792596</v>
      </c>
      <c r="R212" s="9"/>
      <c r="S212" s="9" t="s">
        <v>12795</v>
      </c>
      <c r="T212" s="9" t="s">
        <v>12795</v>
      </c>
      <c r="U212" s="9"/>
      <c r="V212" s="9"/>
      <c r="W212" s="9"/>
      <c r="X212" s="9"/>
      <c r="Y212" s="9"/>
      <c r="Z212" s="9"/>
      <c r="AA212" s="9"/>
      <c r="AB212" s="9"/>
      <c r="AC212" s="9"/>
      <c r="AD212" s="9"/>
    </row>
    <row r="213" spans="1:30" ht="130.5">
      <c r="A213" s="3" t="s">
        <v>1509</v>
      </c>
      <c r="B213" s="3" t="s">
        <v>6218</v>
      </c>
      <c r="C213" s="3" t="s">
        <v>6223</v>
      </c>
      <c r="G213" s="9" t="s">
        <v>24</v>
      </c>
      <c r="H213" s="9"/>
      <c r="I213" s="9">
        <v>1</v>
      </c>
      <c r="J213" s="9">
        <v>4</v>
      </c>
      <c r="K213" s="9" t="s">
        <v>12094</v>
      </c>
      <c r="L213" s="9" t="s">
        <v>12079</v>
      </c>
      <c r="M213" s="9"/>
      <c r="N213" s="10"/>
      <c r="O213" s="9"/>
      <c r="P213" s="9">
        <v>4240</v>
      </c>
      <c r="Q213" s="9">
        <f t="shared" si="3"/>
        <v>509.49291035808699</v>
      </c>
      <c r="R213" s="9"/>
      <c r="S213" s="9" t="s">
        <v>12795</v>
      </c>
      <c r="T213" s="9" t="s">
        <v>12795</v>
      </c>
      <c r="U213" s="9"/>
      <c r="V213" s="9"/>
      <c r="W213" s="9"/>
      <c r="X213" s="9"/>
      <c r="Y213" s="9"/>
      <c r="Z213" s="9"/>
      <c r="AA213" s="9"/>
      <c r="AB213" s="9"/>
      <c r="AC213" s="9"/>
      <c r="AD213" s="9"/>
    </row>
    <row r="214" spans="1:30" ht="43.5">
      <c r="A214" s="3" t="s">
        <v>1517</v>
      </c>
      <c r="B214" s="3" t="s">
        <v>6226</v>
      </c>
      <c r="C214" s="3" t="s">
        <v>6227</v>
      </c>
      <c r="G214" s="9" t="s">
        <v>25</v>
      </c>
      <c r="H214" s="9"/>
      <c r="I214" s="9">
        <v>1</v>
      </c>
      <c r="J214" s="9">
        <v>3</v>
      </c>
      <c r="K214" s="9" t="s">
        <v>12078</v>
      </c>
      <c r="L214" s="9" t="s">
        <v>12073</v>
      </c>
      <c r="M214" s="9" t="s">
        <v>12149</v>
      </c>
      <c r="N214" s="10" t="s">
        <v>12136</v>
      </c>
      <c r="O214" s="9"/>
      <c r="P214" s="9">
        <v>11843</v>
      </c>
      <c r="Q214" s="9">
        <f t="shared" si="3"/>
        <v>1423.0954097572699</v>
      </c>
      <c r="R214" s="9"/>
      <c r="S214" s="9" t="s">
        <v>12795</v>
      </c>
      <c r="T214" s="9" t="s">
        <v>12795</v>
      </c>
      <c r="U214" s="9"/>
      <c r="V214" s="9"/>
      <c r="W214" s="9"/>
      <c r="X214" s="9"/>
      <c r="Y214" s="9"/>
      <c r="Z214" s="9"/>
      <c r="AA214" s="9"/>
      <c r="AB214" s="9"/>
      <c r="AC214" s="9"/>
      <c r="AD214" s="9"/>
    </row>
    <row r="215" spans="1:30" ht="43.5">
      <c r="A215" s="3" t="s">
        <v>1521</v>
      </c>
      <c r="B215" s="3" t="s">
        <v>6235</v>
      </c>
      <c r="C215" s="11" t="s">
        <v>6236</v>
      </c>
      <c r="G215" s="9" t="s">
        <v>25</v>
      </c>
      <c r="H215" s="9"/>
      <c r="I215" s="9">
        <v>2</v>
      </c>
      <c r="J215" s="9">
        <v>5</v>
      </c>
      <c r="K215" s="9"/>
      <c r="L215" s="9" t="s">
        <v>12073</v>
      </c>
      <c r="M215" s="9" t="s">
        <v>12149</v>
      </c>
      <c r="N215" s="10" t="s">
        <v>12160</v>
      </c>
      <c r="O215" s="9"/>
      <c r="P215" s="9">
        <v>472</v>
      </c>
      <c r="Q215" s="9">
        <f t="shared" si="3"/>
        <v>56.71713530401346</v>
      </c>
      <c r="R215" s="9"/>
      <c r="S215" s="9" t="s">
        <v>12795</v>
      </c>
      <c r="T215" s="9" t="s">
        <v>12795</v>
      </c>
      <c r="U215" s="9"/>
      <c r="V215" s="9"/>
      <c r="W215" s="9"/>
      <c r="X215" s="9"/>
      <c r="Y215" s="9"/>
      <c r="Z215" s="9"/>
      <c r="AA215" s="9"/>
      <c r="AB215" s="9"/>
      <c r="AC215" s="9"/>
      <c r="AD215" s="9"/>
    </row>
    <row r="216" spans="1:30" ht="43.5">
      <c r="A216" s="3" t="s">
        <v>1522</v>
      </c>
      <c r="B216" s="3" t="s">
        <v>6237</v>
      </c>
      <c r="C216" s="3" t="s">
        <v>6238</v>
      </c>
      <c r="E216" t="s">
        <v>20</v>
      </c>
      <c r="G216" s="9" t="s">
        <v>25</v>
      </c>
      <c r="H216" s="9"/>
      <c r="I216" s="9">
        <v>2</v>
      </c>
      <c r="J216" s="9">
        <v>4</v>
      </c>
      <c r="K216" s="9"/>
      <c r="L216" s="9" t="s">
        <v>12079</v>
      </c>
      <c r="M216" s="9"/>
      <c r="N216" s="10"/>
      <c r="O216" s="9"/>
      <c r="P216" s="9">
        <v>635</v>
      </c>
      <c r="Q216" s="9">
        <f t="shared" si="3"/>
        <v>76.303773131458783</v>
      </c>
      <c r="R216" s="9"/>
      <c r="S216" s="9" t="s">
        <v>12795</v>
      </c>
      <c r="T216" s="9" t="s">
        <v>12795</v>
      </c>
      <c r="U216" s="9"/>
      <c r="V216" s="9"/>
      <c r="W216" s="9"/>
      <c r="X216" s="9"/>
      <c r="Y216" s="9"/>
      <c r="Z216" s="9"/>
      <c r="AA216" s="9"/>
      <c r="AB216" s="9"/>
      <c r="AC216" s="9"/>
      <c r="AD216" s="9"/>
    </row>
    <row r="217" spans="1:30" ht="29">
      <c r="A217" s="3" t="s">
        <v>1523</v>
      </c>
      <c r="B217" s="3" t="s">
        <v>6240</v>
      </c>
      <c r="C217" s="3" t="s">
        <v>6241</v>
      </c>
      <c r="G217" s="9" t="s">
        <v>25</v>
      </c>
      <c r="H217" s="9"/>
      <c r="I217" s="9">
        <v>1</v>
      </c>
      <c r="J217" s="9">
        <v>5</v>
      </c>
      <c r="K217" s="9" t="s">
        <v>12125</v>
      </c>
      <c r="L217" s="9" t="s">
        <v>12079</v>
      </c>
      <c r="M217" s="9"/>
      <c r="N217" s="10"/>
      <c r="O217" s="9"/>
      <c r="P217" s="9">
        <v>1565</v>
      </c>
      <c r="Q217" s="9">
        <f t="shared" si="3"/>
        <v>188.05575582792596</v>
      </c>
      <c r="R217" s="9"/>
      <c r="S217" s="9" t="s">
        <v>12795</v>
      </c>
      <c r="T217" s="9" t="s">
        <v>12795</v>
      </c>
      <c r="U217" s="9"/>
      <c r="V217" s="9"/>
      <c r="W217" s="9"/>
      <c r="X217" s="9"/>
      <c r="Y217" s="9"/>
      <c r="Z217" s="9"/>
      <c r="AA217" s="9"/>
      <c r="AB217" s="9"/>
      <c r="AC217" s="9"/>
      <c r="AD217" s="9"/>
    </row>
    <row r="218" spans="1:30" ht="58">
      <c r="A218" s="3" t="s">
        <v>1525</v>
      </c>
      <c r="B218" s="3" t="s">
        <v>6242</v>
      </c>
      <c r="C218" s="3" t="s">
        <v>6243</v>
      </c>
      <c r="G218" s="9" t="s">
        <v>24</v>
      </c>
      <c r="H218" s="9"/>
      <c r="I218" s="9">
        <v>1</v>
      </c>
      <c r="J218" s="9">
        <v>6</v>
      </c>
      <c r="K218" s="9" t="s">
        <v>12072</v>
      </c>
      <c r="L218" s="9" t="s">
        <v>12079</v>
      </c>
      <c r="M218" s="9"/>
      <c r="N218" s="10"/>
      <c r="O218" s="9"/>
      <c r="P218" s="9">
        <v>130</v>
      </c>
      <c r="Q218" s="9">
        <f t="shared" si="3"/>
        <v>15.621244893054554</v>
      </c>
      <c r="R218" s="9"/>
      <c r="S218" s="9" t="s">
        <v>12795</v>
      </c>
      <c r="T218" s="9" t="s">
        <v>12795</v>
      </c>
      <c r="U218" s="9"/>
      <c r="V218" s="9"/>
      <c r="W218" s="9"/>
      <c r="X218" s="9"/>
      <c r="Y218" s="9"/>
      <c r="Z218" s="9"/>
      <c r="AA218" s="9"/>
      <c r="AB218" s="9"/>
      <c r="AC218" s="9"/>
      <c r="AD218" s="9"/>
    </row>
    <row r="219" spans="1:30" ht="101.5">
      <c r="A219" s="3" t="s">
        <v>1527</v>
      </c>
      <c r="B219" s="3" t="s">
        <v>6248</v>
      </c>
      <c r="C219" s="3" t="s">
        <v>6249</v>
      </c>
      <c r="G219" s="9" t="s">
        <v>25</v>
      </c>
      <c r="H219" s="9"/>
      <c r="I219" s="9">
        <v>3</v>
      </c>
      <c r="J219" s="9">
        <v>14</v>
      </c>
      <c r="K219" s="9"/>
      <c r="L219" s="9" t="s">
        <v>12073</v>
      </c>
      <c r="M219" s="9" t="s">
        <v>12140</v>
      </c>
      <c r="N219" s="10" t="s">
        <v>12136</v>
      </c>
      <c r="O219" s="9"/>
      <c r="P219" s="9">
        <v>12</v>
      </c>
      <c r="Q219" s="9">
        <f t="shared" si="3"/>
        <v>1.4419610670511898</v>
      </c>
      <c r="R219" s="9"/>
      <c r="S219" s="9" t="s">
        <v>12795</v>
      </c>
      <c r="T219" s="9" t="s">
        <v>12795</v>
      </c>
      <c r="U219" s="9"/>
      <c r="V219" s="9"/>
      <c r="W219" s="9"/>
      <c r="X219" s="9"/>
      <c r="Y219" s="9"/>
      <c r="Z219" s="9"/>
      <c r="AA219" s="9"/>
      <c r="AB219" s="9"/>
      <c r="AC219" s="9"/>
      <c r="AD219" s="9"/>
    </row>
    <row r="220" spans="1:30" ht="72.5">
      <c r="A220" s="3" t="s">
        <v>1527</v>
      </c>
      <c r="B220" s="3" t="s">
        <v>6252</v>
      </c>
      <c r="C220" s="3" t="s">
        <v>6253</v>
      </c>
      <c r="G220" s="9" t="s">
        <v>24</v>
      </c>
      <c r="H220" s="9"/>
      <c r="I220" s="9">
        <v>2</v>
      </c>
      <c r="J220" s="9">
        <v>6</v>
      </c>
      <c r="K220" s="9"/>
      <c r="L220" s="9" t="s">
        <v>12079</v>
      </c>
      <c r="M220" s="9"/>
      <c r="N220" s="10"/>
      <c r="O220" s="9"/>
      <c r="P220" s="9">
        <v>1565</v>
      </c>
      <c r="Q220" s="9">
        <f t="shared" si="3"/>
        <v>188.05575582792596</v>
      </c>
      <c r="R220" s="9"/>
      <c r="S220" s="9" t="s">
        <v>12795</v>
      </c>
      <c r="T220" s="9" t="s">
        <v>12795</v>
      </c>
      <c r="U220" s="9"/>
      <c r="V220" s="9"/>
      <c r="W220" s="9"/>
      <c r="X220" s="9"/>
      <c r="Y220" s="9"/>
      <c r="Z220" s="9"/>
      <c r="AA220" s="9"/>
      <c r="AB220" s="9"/>
      <c r="AC220" s="9"/>
      <c r="AD220" s="9"/>
    </row>
    <row r="221" spans="1:30" ht="72.5">
      <c r="A221" s="3" t="s">
        <v>1529</v>
      </c>
      <c r="B221" s="3" t="s">
        <v>6256</v>
      </c>
      <c r="C221" s="3" t="s">
        <v>6257</v>
      </c>
      <c r="G221" s="9" t="s">
        <v>25</v>
      </c>
      <c r="H221" s="9"/>
      <c r="I221" s="9">
        <v>1</v>
      </c>
      <c r="J221" s="9">
        <v>5</v>
      </c>
      <c r="K221" s="9" t="s">
        <v>12094</v>
      </c>
      <c r="L221" s="9" t="s">
        <v>12073</v>
      </c>
      <c r="M221" s="9" t="s">
        <v>12149</v>
      </c>
      <c r="N221" s="10" t="s">
        <v>12143</v>
      </c>
      <c r="O221" s="9"/>
      <c r="P221" s="9">
        <v>4240</v>
      </c>
      <c r="Q221" s="9">
        <f t="shared" si="3"/>
        <v>509.49291035808699</v>
      </c>
      <c r="R221" s="9"/>
      <c r="S221" s="9" t="s">
        <v>12795</v>
      </c>
      <c r="T221" s="9" t="s">
        <v>12795</v>
      </c>
      <c r="U221" s="9"/>
      <c r="V221" s="9"/>
      <c r="W221" s="9"/>
      <c r="X221" s="9"/>
      <c r="Y221" s="9"/>
      <c r="Z221" s="9"/>
      <c r="AA221" s="9"/>
      <c r="AB221" s="9"/>
      <c r="AC221" s="9"/>
      <c r="AD221" s="9"/>
    </row>
    <row r="222" spans="1:30" ht="58">
      <c r="A222" s="3" t="s">
        <v>1530</v>
      </c>
      <c r="B222" s="3" t="s">
        <v>6258</v>
      </c>
      <c r="C222" s="3" t="s">
        <v>6259</v>
      </c>
      <c r="G222" s="9" t="s">
        <v>25</v>
      </c>
      <c r="H222" s="9"/>
      <c r="I222" s="9">
        <v>1</v>
      </c>
      <c r="J222" s="9">
        <v>5</v>
      </c>
      <c r="K222" s="9" t="s">
        <v>12094</v>
      </c>
      <c r="L222" s="9" t="s">
        <v>12079</v>
      </c>
      <c r="M222" s="9"/>
      <c r="N222" s="10"/>
      <c r="O222" s="9"/>
      <c r="P222" s="9">
        <v>4240</v>
      </c>
      <c r="Q222" s="9">
        <f t="shared" si="3"/>
        <v>509.49291035808699</v>
      </c>
      <c r="R222" s="9"/>
      <c r="S222" s="9" t="s">
        <v>12795</v>
      </c>
      <c r="T222" s="9" t="s">
        <v>12795</v>
      </c>
      <c r="U222" s="9"/>
      <c r="V222" s="9"/>
      <c r="W222" s="9"/>
      <c r="X222" s="9"/>
      <c r="Y222" s="9"/>
      <c r="Z222" s="9"/>
      <c r="AA222" s="9"/>
      <c r="AB222" s="9"/>
      <c r="AC222" s="9"/>
      <c r="AD222" s="9"/>
    </row>
    <row r="223" spans="1:30" ht="43.5">
      <c r="A223" s="3" t="s">
        <v>1531</v>
      </c>
      <c r="B223" s="3" t="s">
        <v>6262</v>
      </c>
      <c r="C223" s="3" t="s">
        <v>6263</v>
      </c>
      <c r="G223" s="9" t="s">
        <v>25</v>
      </c>
      <c r="H223" s="9"/>
      <c r="I223" s="9">
        <v>1</v>
      </c>
      <c r="J223" s="9">
        <v>2</v>
      </c>
      <c r="K223" s="9" t="s">
        <v>12094</v>
      </c>
      <c r="L223" s="9" t="s">
        <v>12119</v>
      </c>
      <c r="M223" s="9"/>
      <c r="N223" s="10"/>
      <c r="O223" s="9"/>
      <c r="P223" s="9">
        <v>1741</v>
      </c>
      <c r="Q223" s="9">
        <f t="shared" si="3"/>
        <v>209.20451814467677</v>
      </c>
      <c r="R223" s="9"/>
      <c r="S223" s="9" t="s">
        <v>12795</v>
      </c>
      <c r="T223" s="9" t="s">
        <v>12795</v>
      </c>
      <c r="U223" s="9"/>
      <c r="V223" s="9"/>
      <c r="W223" s="9"/>
      <c r="X223" s="9"/>
      <c r="Y223" s="9"/>
      <c r="Z223" s="9"/>
      <c r="AA223" s="9"/>
      <c r="AB223" s="9"/>
      <c r="AC223" s="9"/>
      <c r="AD223" s="9"/>
    </row>
    <row r="224" spans="1:30" ht="72.5">
      <c r="A224" s="3" t="s">
        <v>1532</v>
      </c>
      <c r="B224" s="3" t="s">
        <v>6264</v>
      </c>
      <c r="C224" s="3" t="s">
        <v>6265</v>
      </c>
      <c r="G224" s="9" t="s">
        <v>24</v>
      </c>
      <c r="H224" s="9"/>
      <c r="I224" s="9">
        <v>1</v>
      </c>
      <c r="J224" s="9">
        <v>3</v>
      </c>
      <c r="K224" s="9" t="s">
        <v>12087</v>
      </c>
      <c r="L224" s="9" t="s">
        <v>12079</v>
      </c>
      <c r="M224" s="9"/>
      <c r="N224" s="10"/>
      <c r="O224" s="9"/>
      <c r="P224" s="9">
        <v>5676</v>
      </c>
      <c r="Q224" s="9">
        <f t="shared" si="3"/>
        <v>682.04758471521268</v>
      </c>
      <c r="R224" s="9"/>
      <c r="S224" s="9" t="s">
        <v>12795</v>
      </c>
      <c r="T224" s="9" t="s">
        <v>12795</v>
      </c>
      <c r="U224" s="9"/>
      <c r="V224" s="9"/>
      <c r="W224" s="9"/>
      <c r="X224" s="9"/>
      <c r="Y224" s="9"/>
      <c r="Z224" s="9"/>
      <c r="AA224" s="9"/>
      <c r="AB224" s="9"/>
      <c r="AC224" s="9"/>
      <c r="AD224" s="9"/>
    </row>
    <row r="225" spans="1:30" ht="29">
      <c r="A225" s="3" t="s">
        <v>1536</v>
      </c>
      <c r="B225" s="3" t="s">
        <v>6273</v>
      </c>
      <c r="C225" s="3" t="s">
        <v>6275</v>
      </c>
      <c r="G225" s="9" t="s">
        <v>25</v>
      </c>
      <c r="H225" s="9"/>
      <c r="I225" s="9">
        <v>1</v>
      </c>
      <c r="J225" s="9">
        <v>5</v>
      </c>
      <c r="K225" s="9" t="s">
        <v>12094</v>
      </c>
      <c r="L225" s="9" t="s">
        <v>12073</v>
      </c>
      <c r="M225" s="9" t="s">
        <v>12142</v>
      </c>
      <c r="N225" s="10" t="s">
        <v>12160</v>
      </c>
      <c r="O225" s="9"/>
      <c r="P225" s="9">
        <v>4240</v>
      </c>
      <c r="Q225" s="9">
        <f t="shared" si="3"/>
        <v>509.49291035808699</v>
      </c>
      <c r="R225" s="9"/>
      <c r="S225" s="9" t="s">
        <v>12795</v>
      </c>
      <c r="T225" s="9" t="s">
        <v>12795</v>
      </c>
      <c r="U225" s="9" t="s">
        <v>4</v>
      </c>
      <c r="V225" s="9"/>
      <c r="W225" s="9"/>
      <c r="X225" s="9"/>
      <c r="Y225" s="9"/>
      <c r="Z225" s="9"/>
      <c r="AA225" s="9"/>
      <c r="AB225" s="9"/>
      <c r="AC225" s="9"/>
      <c r="AD225" s="9"/>
    </row>
    <row r="226" spans="1:30" ht="29">
      <c r="A226" s="3" t="s">
        <v>1538</v>
      </c>
      <c r="B226" s="11" t="s">
        <v>6285</v>
      </c>
      <c r="C226" s="11" t="s">
        <v>6284</v>
      </c>
      <c r="G226" s="9" t="s">
        <v>24</v>
      </c>
      <c r="H226" s="9"/>
      <c r="I226" s="9">
        <v>1</v>
      </c>
      <c r="J226" s="9">
        <v>2</v>
      </c>
      <c r="K226" s="9" t="s">
        <v>12096</v>
      </c>
      <c r="L226" s="9" t="s">
        <v>12119</v>
      </c>
      <c r="M226" s="9"/>
      <c r="N226" s="10"/>
      <c r="O226" s="9"/>
      <c r="P226" s="9">
        <v>560</v>
      </c>
      <c r="Q226" s="9">
        <f t="shared" si="3"/>
        <v>67.291516462388842</v>
      </c>
      <c r="R226" s="9"/>
      <c r="S226" s="9" t="s">
        <v>12795</v>
      </c>
      <c r="T226" s="9" t="s">
        <v>12795</v>
      </c>
      <c r="U226" s="9"/>
      <c r="V226" s="9"/>
      <c r="W226" s="9"/>
      <c r="X226" s="9"/>
      <c r="Y226" s="9"/>
      <c r="Z226" s="9"/>
      <c r="AA226" s="9"/>
      <c r="AB226" s="9"/>
      <c r="AC226" s="9"/>
      <c r="AD226" s="9"/>
    </row>
    <row r="227" spans="1:30" ht="29">
      <c r="A227" s="3" t="s">
        <v>1541</v>
      </c>
      <c r="B227" s="3" t="s">
        <v>6290</v>
      </c>
      <c r="C227" s="3" t="s">
        <v>6291</v>
      </c>
      <c r="G227" s="9" t="s">
        <v>25</v>
      </c>
      <c r="H227" s="9"/>
      <c r="I227" s="9">
        <v>1</v>
      </c>
      <c r="J227" s="9">
        <v>4</v>
      </c>
      <c r="K227" s="9" t="s">
        <v>12094</v>
      </c>
      <c r="L227" s="9" t="s">
        <v>12079</v>
      </c>
      <c r="M227" s="9"/>
      <c r="N227" s="10"/>
      <c r="O227" s="9"/>
      <c r="P227" s="9">
        <v>4240</v>
      </c>
      <c r="Q227" s="9">
        <f t="shared" si="3"/>
        <v>509.49291035808699</v>
      </c>
      <c r="R227" s="9"/>
      <c r="S227" s="9" t="s">
        <v>12795</v>
      </c>
      <c r="T227" s="9" t="s">
        <v>12795</v>
      </c>
      <c r="U227" s="9"/>
      <c r="V227" s="9"/>
      <c r="W227" s="9"/>
      <c r="X227" s="9"/>
      <c r="Y227" s="9"/>
      <c r="Z227" s="9"/>
      <c r="AA227" s="9"/>
      <c r="AB227" s="9"/>
      <c r="AC227" s="9"/>
      <c r="AD227" s="9"/>
    </row>
    <row r="228" spans="1:30" ht="29">
      <c r="A228" s="3" t="s">
        <v>1542</v>
      </c>
      <c r="B228" s="3" t="s">
        <v>6292</v>
      </c>
      <c r="C228" s="3" t="s">
        <v>6293</v>
      </c>
      <c r="F228" t="s">
        <v>19</v>
      </c>
      <c r="G228" s="9" t="s">
        <v>24</v>
      </c>
      <c r="H228" s="9"/>
      <c r="I228" s="9">
        <v>1</v>
      </c>
      <c r="J228" s="9">
        <v>5</v>
      </c>
      <c r="K228" s="9" t="s">
        <v>12094</v>
      </c>
      <c r="L228" s="9" t="s">
        <v>12073</v>
      </c>
      <c r="M228" s="9" t="s">
        <v>12149</v>
      </c>
      <c r="N228" s="10" t="s">
        <v>12143</v>
      </c>
      <c r="O228" s="9"/>
      <c r="P228" s="9">
        <v>930</v>
      </c>
      <c r="Q228" s="9">
        <f t="shared" si="3"/>
        <v>111.75198269646719</v>
      </c>
      <c r="R228" s="9"/>
      <c r="S228" s="9" t="s">
        <v>12795</v>
      </c>
      <c r="T228" s="9" t="s">
        <v>12795</v>
      </c>
      <c r="U228" s="9"/>
      <c r="V228" s="9"/>
      <c r="W228" s="9"/>
      <c r="X228" s="9"/>
      <c r="Y228" s="9"/>
      <c r="Z228" s="9"/>
      <c r="AA228" s="9"/>
      <c r="AB228" s="9"/>
      <c r="AC228" s="9"/>
      <c r="AD228" s="9"/>
    </row>
    <row r="229" spans="1:30" ht="87">
      <c r="A229" s="3" t="s">
        <v>1549</v>
      </c>
      <c r="B229" s="3" t="s">
        <v>6295</v>
      </c>
      <c r="C229" s="3" t="s">
        <v>6294</v>
      </c>
      <c r="G229" s="9" t="s">
        <v>25</v>
      </c>
      <c r="H229" s="9"/>
      <c r="I229" s="9">
        <v>1</v>
      </c>
      <c r="J229" s="9">
        <v>5</v>
      </c>
      <c r="K229" s="9" t="s">
        <v>12098</v>
      </c>
      <c r="L229" s="9" t="s">
        <v>12079</v>
      </c>
      <c r="M229" s="9"/>
      <c r="N229" s="10"/>
      <c r="O229" s="9"/>
      <c r="P229" s="9">
        <v>1565</v>
      </c>
      <c r="Q229" s="9">
        <f t="shared" si="3"/>
        <v>188.05575582792596</v>
      </c>
      <c r="R229" s="9"/>
      <c r="S229" s="9" t="s">
        <v>12795</v>
      </c>
      <c r="T229" s="9" t="s">
        <v>12795</v>
      </c>
      <c r="U229" s="9"/>
      <c r="V229" s="9"/>
      <c r="W229" s="9"/>
      <c r="X229" s="9"/>
      <c r="Y229" s="9"/>
      <c r="Z229" s="9"/>
      <c r="AA229" s="9"/>
      <c r="AB229" s="9"/>
      <c r="AC229" s="9"/>
      <c r="AD229" s="9"/>
    </row>
    <row r="230" spans="1:30" ht="29">
      <c r="A230" s="3" t="s">
        <v>1558</v>
      </c>
      <c r="B230" s="3" t="s">
        <v>6306</v>
      </c>
      <c r="C230" s="3" t="s">
        <v>6307</v>
      </c>
      <c r="G230" s="9" t="s">
        <v>25</v>
      </c>
      <c r="H230" s="9"/>
      <c r="I230" s="9">
        <v>1</v>
      </c>
      <c r="J230" s="9">
        <v>2</v>
      </c>
      <c r="K230" s="9" t="s">
        <v>12078</v>
      </c>
      <c r="L230" s="9" t="s">
        <v>12119</v>
      </c>
      <c r="M230" s="9"/>
      <c r="N230" s="10"/>
      <c r="O230" s="9" t="s">
        <v>12074</v>
      </c>
      <c r="P230" s="9">
        <v>11843</v>
      </c>
      <c r="Q230" s="9">
        <f t="shared" si="3"/>
        <v>1423.0954097572699</v>
      </c>
      <c r="R230" s="9"/>
      <c r="S230" s="9" t="s">
        <v>12795</v>
      </c>
      <c r="T230" s="9" t="s">
        <v>12795</v>
      </c>
      <c r="U230" s="9"/>
      <c r="V230" s="9"/>
      <c r="W230" s="9"/>
      <c r="X230" s="9"/>
      <c r="Y230" s="9"/>
      <c r="Z230" s="9"/>
      <c r="AA230" s="9"/>
      <c r="AB230" s="9"/>
      <c r="AC230" s="9"/>
      <c r="AD230" s="9"/>
    </row>
    <row r="231" spans="1:30" ht="87">
      <c r="A231" s="3" t="s">
        <v>1569</v>
      </c>
      <c r="B231" s="3" t="s">
        <v>6318</v>
      </c>
      <c r="C231" s="3" t="s">
        <v>6317</v>
      </c>
      <c r="G231" s="9" t="s">
        <v>25</v>
      </c>
      <c r="H231" s="9"/>
      <c r="I231" s="9">
        <v>1</v>
      </c>
      <c r="J231" s="9">
        <v>1</v>
      </c>
      <c r="K231" s="9" t="s">
        <v>12078</v>
      </c>
      <c r="L231" s="9" t="s">
        <v>12119</v>
      </c>
      <c r="M231" s="9"/>
      <c r="N231" s="10"/>
      <c r="O231" s="9"/>
      <c r="P231" s="9">
        <v>11843</v>
      </c>
      <c r="Q231" s="9">
        <f t="shared" si="3"/>
        <v>1423.0954097572699</v>
      </c>
      <c r="R231" s="9"/>
      <c r="S231" s="9" t="s">
        <v>12795</v>
      </c>
      <c r="T231" s="9" t="s">
        <v>12795</v>
      </c>
      <c r="U231" s="9"/>
      <c r="V231" s="9"/>
      <c r="W231" s="9"/>
      <c r="X231" s="9"/>
      <c r="Y231" s="9"/>
      <c r="Z231" s="9"/>
      <c r="AA231" s="9"/>
      <c r="AB231" s="9"/>
      <c r="AC231" s="9"/>
      <c r="AD231" s="9"/>
    </row>
    <row r="232" spans="1:30" ht="29">
      <c r="A232" s="3" t="s">
        <v>1570</v>
      </c>
      <c r="B232" s="3" t="s">
        <v>6321</v>
      </c>
      <c r="C232" s="3" t="s">
        <v>6322</v>
      </c>
      <c r="G232" s="9" t="s">
        <v>24</v>
      </c>
      <c r="H232" s="9"/>
      <c r="I232" s="9">
        <v>1</v>
      </c>
      <c r="J232" s="9">
        <v>3</v>
      </c>
      <c r="K232" s="9" t="s">
        <v>12078</v>
      </c>
      <c r="L232" s="9" t="s">
        <v>12079</v>
      </c>
      <c r="M232" s="9"/>
      <c r="N232" s="10"/>
      <c r="O232" s="9"/>
      <c r="P232" s="9">
        <v>11843</v>
      </c>
      <c r="Q232" s="9">
        <f t="shared" si="3"/>
        <v>1423.0954097572699</v>
      </c>
      <c r="R232" s="9"/>
      <c r="S232" s="9" t="s">
        <v>12795</v>
      </c>
      <c r="T232" s="9" t="s">
        <v>12795</v>
      </c>
      <c r="U232" s="9"/>
      <c r="V232" s="9"/>
      <c r="W232" s="9"/>
      <c r="X232" s="9"/>
      <c r="Y232" s="9"/>
      <c r="Z232" s="9"/>
      <c r="AA232" s="9"/>
      <c r="AB232" s="9"/>
      <c r="AC232" s="9"/>
      <c r="AD232" s="9"/>
    </row>
    <row r="233" spans="1:30" ht="29">
      <c r="A233" s="3" t="s">
        <v>1571</v>
      </c>
      <c r="B233" s="3" t="s">
        <v>6323</v>
      </c>
      <c r="C233" s="3" t="s">
        <v>6324</v>
      </c>
      <c r="G233" s="9" t="s">
        <v>24</v>
      </c>
      <c r="H233" s="9"/>
      <c r="I233" s="9">
        <v>1</v>
      </c>
      <c r="J233" s="9">
        <v>1</v>
      </c>
      <c r="K233" s="9" t="s">
        <v>12078</v>
      </c>
      <c r="L233" s="9" t="s">
        <v>12119</v>
      </c>
      <c r="M233" s="9"/>
      <c r="N233" s="10"/>
      <c r="O233" s="9"/>
      <c r="P233" s="9">
        <v>11843</v>
      </c>
      <c r="Q233" s="9">
        <f t="shared" si="3"/>
        <v>1423.0954097572699</v>
      </c>
      <c r="R233" s="9"/>
      <c r="S233" s="9" t="s">
        <v>12795</v>
      </c>
      <c r="T233" s="9" t="s">
        <v>12795</v>
      </c>
      <c r="U233" s="9"/>
      <c r="V233" s="9"/>
      <c r="W233" s="9"/>
      <c r="X233" s="9"/>
      <c r="Y233" s="9"/>
      <c r="Z233" s="9"/>
      <c r="AA233" s="9"/>
      <c r="AB233" s="9"/>
      <c r="AC233" s="9"/>
      <c r="AD233" s="9"/>
    </row>
    <row r="234" spans="1:30" ht="43.5">
      <c r="A234" s="3" t="s">
        <v>1571</v>
      </c>
      <c r="B234" s="3" t="s">
        <v>6325</v>
      </c>
      <c r="C234" s="3" t="s">
        <v>6326</v>
      </c>
      <c r="G234" s="9" t="s">
        <v>24</v>
      </c>
      <c r="H234" s="9"/>
      <c r="I234" s="9">
        <v>1</v>
      </c>
      <c r="J234" s="9">
        <v>3</v>
      </c>
      <c r="K234" s="9" t="s">
        <v>12087</v>
      </c>
      <c r="L234" s="9" t="s">
        <v>12079</v>
      </c>
      <c r="M234" s="9"/>
      <c r="N234" s="10"/>
      <c r="O234" s="9"/>
      <c r="P234" s="9">
        <v>810</v>
      </c>
      <c r="Q234" s="9">
        <f t="shared" si="3"/>
        <v>97.332372025955294</v>
      </c>
      <c r="R234" s="9"/>
      <c r="S234" s="9" t="s">
        <v>12795</v>
      </c>
      <c r="T234" s="9" t="s">
        <v>12795</v>
      </c>
      <c r="U234" s="9"/>
      <c r="V234" s="9"/>
      <c r="W234" s="9"/>
      <c r="X234" s="9"/>
      <c r="Y234" s="9"/>
      <c r="Z234" s="9"/>
      <c r="AA234" s="9"/>
      <c r="AB234" s="9"/>
      <c r="AC234" s="9"/>
      <c r="AD234" s="9"/>
    </row>
    <row r="235" spans="1:30" ht="43.5">
      <c r="A235" s="3" t="s">
        <v>1573</v>
      </c>
      <c r="B235" s="3" t="s">
        <v>6340</v>
      </c>
      <c r="C235" s="3" t="s">
        <v>6339</v>
      </c>
      <c r="G235" s="9" t="s">
        <v>24</v>
      </c>
      <c r="H235" s="9"/>
      <c r="I235" s="9">
        <v>1</v>
      </c>
      <c r="J235" s="9">
        <v>3</v>
      </c>
      <c r="K235" s="9" t="s">
        <v>12087</v>
      </c>
      <c r="L235" s="9" t="s">
        <v>12079</v>
      </c>
      <c r="M235" s="9"/>
      <c r="N235" s="10"/>
      <c r="O235" s="9"/>
      <c r="P235" s="9">
        <v>67</v>
      </c>
      <c r="Q235" s="9">
        <f t="shared" si="3"/>
        <v>8.050949291035808</v>
      </c>
      <c r="R235" s="9"/>
      <c r="S235" s="9" t="s">
        <v>12795</v>
      </c>
      <c r="T235" s="9" t="s">
        <v>12795</v>
      </c>
      <c r="U235" s="9"/>
      <c r="V235" s="9"/>
      <c r="W235" s="9"/>
      <c r="X235" s="9"/>
      <c r="Y235" s="9"/>
      <c r="Z235" s="9"/>
      <c r="AA235" s="9"/>
      <c r="AB235" s="9"/>
      <c r="AC235" s="9"/>
      <c r="AD235" s="9"/>
    </row>
    <row r="236" spans="1:30" ht="29">
      <c r="A236" s="3" t="s">
        <v>1578</v>
      </c>
      <c r="B236" s="3" t="s">
        <v>6344</v>
      </c>
      <c r="C236" s="3" t="s">
        <v>6347</v>
      </c>
      <c r="G236" s="9" t="s">
        <v>24</v>
      </c>
      <c r="H236" s="9"/>
      <c r="I236" s="9">
        <v>1</v>
      </c>
      <c r="J236" s="9">
        <v>1</v>
      </c>
      <c r="K236" s="9" t="s">
        <v>12078</v>
      </c>
      <c r="L236" s="9" t="s">
        <v>12119</v>
      </c>
      <c r="M236" s="9"/>
      <c r="N236" s="10"/>
      <c r="O236" s="9"/>
      <c r="P236" s="9">
        <v>11843</v>
      </c>
      <c r="Q236" s="9">
        <f t="shared" si="3"/>
        <v>1423.0954097572699</v>
      </c>
      <c r="R236" s="9"/>
      <c r="S236" s="9" t="s">
        <v>12795</v>
      </c>
      <c r="T236" s="9" t="s">
        <v>12795</v>
      </c>
      <c r="U236" s="9"/>
      <c r="V236" s="9"/>
      <c r="W236" s="9"/>
      <c r="X236" s="9"/>
      <c r="Y236" s="9"/>
      <c r="Z236" s="9"/>
      <c r="AA236" s="9"/>
      <c r="AB236" s="9"/>
      <c r="AC236" s="9"/>
      <c r="AD236" s="9"/>
    </row>
    <row r="237" spans="1:30" ht="29">
      <c r="A237" s="3" t="s">
        <v>1584</v>
      </c>
      <c r="B237" s="3" t="s">
        <v>6353</v>
      </c>
      <c r="C237" s="3" t="s">
        <v>6354</v>
      </c>
      <c r="G237" s="9" t="s">
        <v>25</v>
      </c>
      <c r="H237" s="9"/>
      <c r="I237" s="9">
        <v>2</v>
      </c>
      <c r="J237" s="9">
        <v>4</v>
      </c>
      <c r="K237" s="9"/>
      <c r="L237" s="9" t="s">
        <v>12073</v>
      </c>
      <c r="M237" s="9" t="s">
        <v>12142</v>
      </c>
      <c r="N237" s="10" t="s">
        <v>12143</v>
      </c>
      <c r="O237" s="9"/>
      <c r="P237" s="9">
        <v>635</v>
      </c>
      <c r="Q237" s="9">
        <f t="shared" si="3"/>
        <v>76.303773131458783</v>
      </c>
      <c r="R237" s="9"/>
      <c r="S237" s="9" t="s">
        <v>12795</v>
      </c>
      <c r="T237" s="9" t="s">
        <v>12795</v>
      </c>
      <c r="U237" s="9"/>
      <c r="V237" s="9"/>
      <c r="W237" s="9"/>
      <c r="X237" s="9"/>
      <c r="Y237" s="9"/>
      <c r="Z237" s="9"/>
      <c r="AA237" s="9"/>
      <c r="AB237" s="9"/>
      <c r="AC237" s="9"/>
      <c r="AD237" s="9"/>
    </row>
    <row r="238" spans="1:30" ht="87">
      <c r="A238" s="3" t="s">
        <v>1587</v>
      </c>
      <c r="B238" s="3" t="s">
        <v>6357</v>
      </c>
      <c r="C238" s="3" t="s">
        <v>6356</v>
      </c>
      <c r="G238" s="9" t="s">
        <v>25</v>
      </c>
      <c r="H238" s="9"/>
      <c r="I238" s="9">
        <v>1</v>
      </c>
      <c r="J238" s="9">
        <v>1</v>
      </c>
      <c r="K238" s="9" t="s">
        <v>12078</v>
      </c>
      <c r="L238" s="9" t="s">
        <v>12119</v>
      </c>
      <c r="M238" s="9"/>
      <c r="N238" s="10"/>
      <c r="O238" s="9"/>
      <c r="P238" s="9">
        <v>11843</v>
      </c>
      <c r="Q238" s="9">
        <f t="shared" si="3"/>
        <v>1423.0954097572699</v>
      </c>
      <c r="R238" s="9"/>
      <c r="S238" s="9" t="s">
        <v>12795</v>
      </c>
      <c r="T238" s="9" t="s">
        <v>12795</v>
      </c>
      <c r="U238" s="9"/>
      <c r="V238" s="9"/>
      <c r="W238" s="9"/>
      <c r="X238" s="9"/>
      <c r="Y238" s="9"/>
      <c r="Z238" s="9"/>
      <c r="AA238" s="9"/>
      <c r="AB238" s="9"/>
      <c r="AC238" s="9"/>
      <c r="AD238" s="9"/>
    </row>
    <row r="239" spans="1:30" ht="58">
      <c r="A239" s="3" t="s">
        <v>1590</v>
      </c>
      <c r="B239" s="3" t="s">
        <v>6368</v>
      </c>
      <c r="C239" s="3" t="s">
        <v>6369</v>
      </c>
      <c r="G239" s="9" t="s">
        <v>25</v>
      </c>
      <c r="H239" s="9"/>
      <c r="I239" s="9">
        <v>1</v>
      </c>
      <c r="J239" s="9">
        <v>3</v>
      </c>
      <c r="K239" s="9" t="s">
        <v>12087</v>
      </c>
      <c r="L239" s="9" t="s">
        <v>12079</v>
      </c>
      <c r="M239" s="9"/>
      <c r="N239" s="10"/>
      <c r="O239" s="9"/>
      <c r="P239" s="9">
        <v>309</v>
      </c>
      <c r="Q239" s="9">
        <f t="shared" si="3"/>
        <v>37.130497476568131</v>
      </c>
      <c r="R239" s="9"/>
      <c r="S239" s="9" t="s">
        <v>12795</v>
      </c>
      <c r="T239" s="9" t="s">
        <v>12795</v>
      </c>
      <c r="U239" s="9"/>
      <c r="V239" s="9"/>
      <c r="W239" s="9"/>
      <c r="X239" s="9"/>
      <c r="Y239" s="9"/>
      <c r="Z239" s="9"/>
      <c r="AA239" s="9"/>
      <c r="AB239" s="9"/>
      <c r="AC239" s="9"/>
      <c r="AD239" s="9"/>
    </row>
    <row r="240" spans="1:30" ht="29">
      <c r="A240" s="3" t="s">
        <v>1593</v>
      </c>
      <c r="B240" s="3" t="s">
        <v>6376</v>
      </c>
      <c r="C240" s="3" t="s">
        <v>6377</v>
      </c>
      <c r="G240" s="9" t="s">
        <v>25</v>
      </c>
      <c r="H240" s="9"/>
      <c r="I240" s="9">
        <v>1</v>
      </c>
      <c r="J240" s="9">
        <v>1</v>
      </c>
      <c r="K240" s="9" t="s">
        <v>12072</v>
      </c>
      <c r="L240" s="9" t="s">
        <v>12119</v>
      </c>
      <c r="M240" s="9"/>
      <c r="N240" s="10"/>
      <c r="O240" s="9"/>
      <c r="P240" s="9">
        <v>34</v>
      </c>
      <c r="Q240" s="9">
        <f t="shared" si="3"/>
        <v>4.0855563566450375</v>
      </c>
      <c r="R240" s="9"/>
      <c r="S240" s="9" t="s">
        <v>12795</v>
      </c>
      <c r="T240" s="9" t="s">
        <v>12795</v>
      </c>
      <c r="U240" s="9"/>
      <c r="V240" s="9"/>
      <c r="W240" s="9"/>
      <c r="X240" s="9"/>
      <c r="Y240" s="9"/>
      <c r="Z240" s="9"/>
      <c r="AA240" s="9"/>
      <c r="AB240" s="9"/>
      <c r="AC240" s="9"/>
      <c r="AD240" s="9"/>
    </row>
    <row r="241" spans="1:30" ht="72.5">
      <c r="A241" s="3" t="s">
        <v>1594</v>
      </c>
      <c r="B241" s="3" t="s">
        <v>6378</v>
      </c>
      <c r="C241" s="3" t="s">
        <v>6379</v>
      </c>
      <c r="G241" s="9" t="s">
        <v>25</v>
      </c>
      <c r="H241" s="9"/>
      <c r="I241" s="9">
        <v>1</v>
      </c>
      <c r="J241" s="9">
        <v>10</v>
      </c>
      <c r="K241" s="9" t="s">
        <v>12098</v>
      </c>
      <c r="L241" s="9" t="s">
        <v>12073</v>
      </c>
      <c r="M241" s="9" t="s">
        <v>12142</v>
      </c>
      <c r="N241" s="10" t="s">
        <v>12143</v>
      </c>
      <c r="O241" s="9"/>
      <c r="P241" s="9">
        <v>0</v>
      </c>
      <c r="Q241" s="9">
        <f t="shared" si="3"/>
        <v>0</v>
      </c>
      <c r="R241" s="9"/>
      <c r="S241" s="9" t="s">
        <v>12795</v>
      </c>
      <c r="T241" s="9" t="s">
        <v>12795</v>
      </c>
      <c r="U241" s="9"/>
      <c r="V241" s="9"/>
      <c r="W241" s="9"/>
      <c r="X241" s="9"/>
      <c r="Y241" s="9"/>
      <c r="Z241" s="9"/>
      <c r="AA241" s="9"/>
      <c r="AB241" s="9"/>
      <c r="AC241" s="9"/>
      <c r="AD241" s="9"/>
    </row>
    <row r="242" spans="1:30" ht="29">
      <c r="A242" s="3" t="s">
        <v>1619</v>
      </c>
      <c r="B242" s="3" t="s">
        <v>6392</v>
      </c>
      <c r="C242" s="3" t="s">
        <v>6393</v>
      </c>
      <c r="G242" s="9" t="s">
        <v>24</v>
      </c>
      <c r="H242" s="9"/>
      <c r="I242" s="9">
        <v>1</v>
      </c>
      <c r="J242" s="9">
        <v>3</v>
      </c>
      <c r="K242" s="9" t="s">
        <v>12094</v>
      </c>
      <c r="L242" s="9" t="s">
        <v>12079</v>
      </c>
      <c r="M242" s="9"/>
      <c r="N242" s="10"/>
      <c r="O242" s="9"/>
      <c r="P242" s="9">
        <v>1741</v>
      </c>
      <c r="Q242" s="9">
        <f t="shared" si="3"/>
        <v>209.20451814467677</v>
      </c>
      <c r="R242" s="9"/>
      <c r="S242" s="9" t="s">
        <v>12795</v>
      </c>
      <c r="T242" s="9" t="s">
        <v>12795</v>
      </c>
      <c r="U242" s="9"/>
      <c r="V242" s="9"/>
      <c r="W242" s="9"/>
      <c r="X242" s="9"/>
      <c r="Y242" s="9"/>
      <c r="Z242" s="9"/>
      <c r="AA242" s="9"/>
      <c r="AB242" s="9"/>
      <c r="AC242" s="9"/>
      <c r="AD242" s="9"/>
    </row>
    <row r="243" spans="1:30" ht="58">
      <c r="A243" s="3" t="s">
        <v>1620</v>
      </c>
      <c r="B243" s="3" t="s">
        <v>6394</v>
      </c>
      <c r="C243" s="3" t="s">
        <v>12267</v>
      </c>
      <c r="G243" s="9" t="s">
        <v>24</v>
      </c>
      <c r="H243" s="9"/>
      <c r="I243" s="9">
        <v>1</v>
      </c>
      <c r="J243" s="9">
        <v>2</v>
      </c>
      <c r="K243" s="9" t="s">
        <v>12096</v>
      </c>
      <c r="L243" s="9" t="s">
        <v>12119</v>
      </c>
      <c r="M243" s="9"/>
      <c r="N243" s="10"/>
      <c r="O243" s="9"/>
      <c r="P243" s="9">
        <v>485</v>
      </c>
      <c r="Q243" s="9">
        <f t="shared" si="3"/>
        <v>58.279259793318907</v>
      </c>
      <c r="R243" s="9"/>
      <c r="S243" s="9" t="s">
        <v>12795</v>
      </c>
      <c r="T243" s="9" t="s">
        <v>12795</v>
      </c>
      <c r="U243" s="9"/>
      <c r="V243" s="9"/>
      <c r="W243" s="9"/>
      <c r="X243" s="9"/>
      <c r="Y243" s="9"/>
      <c r="Z243" s="9"/>
      <c r="AA243" s="9"/>
      <c r="AB243" s="9"/>
      <c r="AC243" s="9"/>
      <c r="AD243" s="9"/>
    </row>
    <row r="244" spans="1:30" ht="43.5">
      <c r="A244" s="3" t="s">
        <v>1638</v>
      </c>
      <c r="B244" s="3" t="s">
        <v>6418</v>
      </c>
      <c r="C244" s="3" t="s">
        <v>6419</v>
      </c>
      <c r="G244" s="9" t="s">
        <v>25</v>
      </c>
      <c r="H244" s="9"/>
      <c r="I244" s="9">
        <v>1</v>
      </c>
      <c r="J244" s="9">
        <v>2</v>
      </c>
      <c r="K244" s="9" t="s">
        <v>12078</v>
      </c>
      <c r="L244" s="9" t="s">
        <v>12119</v>
      </c>
      <c r="M244" s="9"/>
      <c r="N244" s="10"/>
      <c r="O244" s="9"/>
      <c r="P244" s="9">
        <v>11843</v>
      </c>
      <c r="Q244" s="9">
        <f t="shared" si="3"/>
        <v>1423.0954097572699</v>
      </c>
      <c r="R244" s="9"/>
      <c r="S244" s="9" t="s">
        <v>12795</v>
      </c>
      <c r="T244" s="9" t="s">
        <v>12795</v>
      </c>
      <c r="U244" s="9"/>
      <c r="V244" s="9"/>
      <c r="W244" s="9"/>
      <c r="X244" s="9"/>
      <c r="Y244" s="9"/>
      <c r="Z244" s="9"/>
      <c r="AA244" s="9"/>
      <c r="AB244" s="9"/>
      <c r="AC244" s="9"/>
      <c r="AD244" s="9"/>
    </row>
    <row r="245" spans="1:30" ht="72.5">
      <c r="A245" s="3" t="s">
        <v>1640</v>
      </c>
      <c r="B245" s="3" t="s">
        <v>6420</v>
      </c>
      <c r="C245" s="3" t="s">
        <v>12273</v>
      </c>
      <c r="G245" s="9" t="s">
        <v>24</v>
      </c>
      <c r="H245" s="9"/>
      <c r="I245" s="9">
        <v>2</v>
      </c>
      <c r="J245" s="9">
        <v>7</v>
      </c>
      <c r="K245" s="9"/>
      <c r="L245" s="9" t="s">
        <v>12079</v>
      </c>
      <c r="M245" s="9"/>
      <c r="N245" s="10"/>
      <c r="O245" s="9"/>
      <c r="P245" s="9">
        <v>635</v>
      </c>
      <c r="Q245" s="9">
        <f t="shared" si="3"/>
        <v>76.303773131458783</v>
      </c>
      <c r="R245" s="9"/>
      <c r="S245" s="9" t="s">
        <v>12795</v>
      </c>
      <c r="T245" s="9" t="s">
        <v>12795</v>
      </c>
      <c r="U245" s="9"/>
      <c r="V245" s="9"/>
      <c r="W245" s="9"/>
      <c r="X245" s="9"/>
      <c r="Y245" s="9"/>
      <c r="Z245" s="9"/>
      <c r="AA245" s="9"/>
      <c r="AB245" s="9"/>
      <c r="AC245" s="9"/>
      <c r="AD245" s="9"/>
    </row>
    <row r="246" spans="1:30" ht="58">
      <c r="A246" s="3" t="s">
        <v>1641</v>
      </c>
      <c r="B246" s="3" t="s">
        <v>6423</v>
      </c>
      <c r="C246" s="3" t="s">
        <v>6424</v>
      </c>
      <c r="G246" s="9" t="s">
        <v>24</v>
      </c>
      <c r="H246" s="9"/>
      <c r="I246" s="9">
        <v>1</v>
      </c>
      <c r="J246" s="9">
        <v>3</v>
      </c>
      <c r="K246" s="9" t="s">
        <v>12084</v>
      </c>
      <c r="L246" s="9" t="s">
        <v>12079</v>
      </c>
      <c r="M246" s="9"/>
      <c r="N246" s="10"/>
      <c r="O246" s="9"/>
      <c r="P246" s="9">
        <v>18</v>
      </c>
      <c r="Q246" s="9">
        <f t="shared" si="3"/>
        <v>2.1629416005767843</v>
      </c>
      <c r="R246" s="9"/>
      <c r="S246" s="9" t="s">
        <v>12795</v>
      </c>
      <c r="T246" s="9" t="s">
        <v>12795</v>
      </c>
      <c r="U246" s="9"/>
      <c r="V246" s="9"/>
      <c r="W246" s="9"/>
      <c r="X246" s="9"/>
      <c r="Y246" s="9"/>
      <c r="Z246" s="9"/>
      <c r="AA246" s="9"/>
      <c r="AB246" s="9"/>
      <c r="AC246" s="9"/>
      <c r="AD246" s="9"/>
    </row>
    <row r="247" spans="1:30" ht="43.5">
      <c r="A247" s="3" t="s">
        <v>1644</v>
      </c>
      <c r="B247" s="3" t="s">
        <v>6430</v>
      </c>
      <c r="C247" s="3" t="s">
        <v>6429</v>
      </c>
      <c r="G247" s="9" t="s">
        <v>24</v>
      </c>
      <c r="H247" s="9"/>
      <c r="I247" s="9">
        <v>1</v>
      </c>
      <c r="J247" s="9">
        <v>3</v>
      </c>
      <c r="K247" s="9" t="s">
        <v>12078</v>
      </c>
      <c r="L247" s="9" t="s">
        <v>12073</v>
      </c>
      <c r="M247" s="9" t="s">
        <v>12142</v>
      </c>
      <c r="N247" s="10" t="s">
        <v>12143</v>
      </c>
      <c r="O247" s="9" t="s">
        <v>12074</v>
      </c>
      <c r="P247" s="9">
        <v>11843</v>
      </c>
      <c r="Q247" s="9">
        <f t="shared" si="3"/>
        <v>1423.0954097572699</v>
      </c>
      <c r="R247" s="9"/>
      <c r="S247" s="9" t="s">
        <v>12795</v>
      </c>
      <c r="T247" s="9" t="s">
        <v>12795</v>
      </c>
      <c r="U247" s="9"/>
      <c r="V247" s="9"/>
      <c r="W247" s="9"/>
      <c r="X247" s="9"/>
      <c r="Y247" s="9"/>
      <c r="Z247" s="9"/>
      <c r="AA247" s="9"/>
      <c r="AB247" s="9"/>
      <c r="AC247" s="9"/>
      <c r="AD247" s="9"/>
    </row>
    <row r="248" spans="1:30" ht="29">
      <c r="A248" s="3" t="s">
        <v>1645</v>
      </c>
      <c r="B248" s="3" t="s">
        <v>6431</v>
      </c>
      <c r="C248" s="3" t="s">
        <v>6432</v>
      </c>
      <c r="G248" s="9" t="s">
        <v>24</v>
      </c>
      <c r="H248" s="9"/>
      <c r="I248" s="9">
        <v>1</v>
      </c>
      <c r="J248" s="9">
        <v>3</v>
      </c>
      <c r="K248" s="9" t="s">
        <v>12078</v>
      </c>
      <c r="L248" s="9" t="s">
        <v>12079</v>
      </c>
      <c r="M248" s="9"/>
      <c r="N248" s="10"/>
      <c r="O248" s="9"/>
      <c r="P248" s="9">
        <v>11843</v>
      </c>
      <c r="Q248" s="9">
        <f t="shared" si="3"/>
        <v>1423.0954097572699</v>
      </c>
      <c r="R248" s="9"/>
      <c r="S248" s="9" t="s">
        <v>12795</v>
      </c>
      <c r="T248" s="9" t="s">
        <v>12795</v>
      </c>
      <c r="U248" s="9"/>
      <c r="V248" s="9"/>
      <c r="W248" s="9"/>
      <c r="X248" s="9"/>
      <c r="Y248" s="9"/>
      <c r="Z248" s="9"/>
      <c r="AA248" s="9"/>
      <c r="AB248" s="9"/>
      <c r="AC248" s="9"/>
      <c r="AD248" s="9"/>
    </row>
    <row r="249" spans="1:30" ht="58">
      <c r="A249" s="3" t="s">
        <v>1648</v>
      </c>
      <c r="B249" s="3" t="s">
        <v>6435</v>
      </c>
      <c r="C249" s="3" t="s">
        <v>6436</v>
      </c>
      <c r="G249" s="9" t="s">
        <v>25</v>
      </c>
      <c r="H249" s="9"/>
      <c r="I249" s="9">
        <v>1</v>
      </c>
      <c r="J249" s="9">
        <v>3</v>
      </c>
      <c r="K249" s="9" t="s">
        <v>12078</v>
      </c>
      <c r="L249" s="9" t="s">
        <v>12079</v>
      </c>
      <c r="M249" s="9"/>
      <c r="N249" s="10"/>
      <c r="O249" s="9"/>
      <c r="P249" s="9">
        <v>11843</v>
      </c>
      <c r="Q249" s="9">
        <f t="shared" si="3"/>
        <v>1423.0954097572699</v>
      </c>
      <c r="R249" s="9"/>
      <c r="S249" s="9" t="s">
        <v>12795</v>
      </c>
      <c r="T249" s="9" t="s">
        <v>12795</v>
      </c>
      <c r="U249" s="9"/>
      <c r="V249" s="9"/>
      <c r="W249" s="9"/>
      <c r="X249" s="9"/>
      <c r="Y249" s="9"/>
      <c r="Z249" s="9"/>
      <c r="AA249" s="9"/>
      <c r="AB249" s="9"/>
      <c r="AC249" s="9"/>
      <c r="AD249" s="9"/>
    </row>
    <row r="250" spans="1:30" ht="58">
      <c r="A250" s="3" t="s">
        <v>1649</v>
      </c>
      <c r="B250" s="3" t="s">
        <v>6440</v>
      </c>
      <c r="C250" s="3" t="s">
        <v>6437</v>
      </c>
      <c r="G250" s="9" t="s">
        <v>25</v>
      </c>
      <c r="H250" s="9"/>
      <c r="I250" s="9">
        <v>1</v>
      </c>
      <c r="J250" s="9">
        <v>5</v>
      </c>
      <c r="K250" s="9" t="s">
        <v>12094</v>
      </c>
      <c r="L250" s="9" t="s">
        <v>12073</v>
      </c>
      <c r="M250" s="9" t="s">
        <v>12142</v>
      </c>
      <c r="N250" s="10" t="s">
        <v>12143</v>
      </c>
      <c r="O250" s="9"/>
      <c r="P250" s="9">
        <v>4240</v>
      </c>
      <c r="Q250" s="9">
        <f t="shared" si="3"/>
        <v>509.49291035808699</v>
      </c>
      <c r="R250" s="9"/>
      <c r="S250" s="9" t="s">
        <v>12795</v>
      </c>
      <c r="T250" s="9" t="s">
        <v>12795</v>
      </c>
      <c r="U250" s="9"/>
      <c r="V250" s="9"/>
      <c r="W250" s="9"/>
      <c r="X250" s="9"/>
      <c r="Y250" s="9"/>
      <c r="Z250" s="9"/>
      <c r="AA250" s="9"/>
      <c r="AB250" s="9"/>
      <c r="AC250" s="9"/>
      <c r="AD250" s="9"/>
    </row>
    <row r="251" spans="1:30" ht="43.5">
      <c r="A251" s="3" t="s">
        <v>1659</v>
      </c>
      <c r="B251" s="3" t="s">
        <v>6445</v>
      </c>
      <c r="C251" s="3" t="s">
        <v>6447</v>
      </c>
      <c r="G251" s="9" t="s">
        <v>25</v>
      </c>
      <c r="H251" s="9"/>
      <c r="I251" s="9">
        <v>1</v>
      </c>
      <c r="J251" s="9">
        <v>5</v>
      </c>
      <c r="K251" s="9" t="s">
        <v>12084</v>
      </c>
      <c r="L251" s="9" t="s">
        <v>12079</v>
      </c>
      <c r="M251" s="9"/>
      <c r="N251" s="10"/>
      <c r="O251" s="9"/>
      <c r="P251" s="9">
        <v>98</v>
      </c>
      <c r="Q251" s="9">
        <f t="shared" si="3"/>
        <v>11.77601538091805</v>
      </c>
      <c r="R251" s="9"/>
      <c r="S251" s="9" t="s">
        <v>12795</v>
      </c>
      <c r="T251" s="9" t="s">
        <v>12795</v>
      </c>
      <c r="U251" s="9"/>
      <c r="V251" s="9"/>
      <c r="W251" s="9"/>
      <c r="X251" s="9"/>
      <c r="Y251" s="9"/>
      <c r="Z251" s="9"/>
      <c r="AA251" s="9"/>
      <c r="AB251" s="9"/>
      <c r="AC251" s="9"/>
      <c r="AD251" s="9"/>
    </row>
    <row r="252" spans="1:30" ht="43.5">
      <c r="A252" s="3" t="s">
        <v>1659</v>
      </c>
      <c r="B252" s="3" t="s">
        <v>6446</v>
      </c>
      <c r="C252" s="3" t="s">
        <v>6448</v>
      </c>
      <c r="G252" s="9" t="s">
        <v>25</v>
      </c>
      <c r="H252" s="9"/>
      <c r="I252" s="9">
        <v>1</v>
      </c>
      <c r="J252" s="9">
        <v>5</v>
      </c>
      <c r="K252" s="9" t="s">
        <v>12094</v>
      </c>
      <c r="L252" s="9" t="s">
        <v>12073</v>
      </c>
      <c r="M252" s="9" t="s">
        <v>12142</v>
      </c>
      <c r="N252" s="10" t="s">
        <v>12143</v>
      </c>
      <c r="O252" s="9"/>
      <c r="P252" s="9">
        <v>4240</v>
      </c>
      <c r="Q252" s="9">
        <f t="shared" si="3"/>
        <v>509.49291035808699</v>
      </c>
      <c r="R252" s="9"/>
      <c r="S252" s="9" t="s">
        <v>12795</v>
      </c>
      <c r="T252" s="9" t="s">
        <v>12795</v>
      </c>
      <c r="U252" s="9"/>
      <c r="V252" s="9"/>
      <c r="W252" s="9"/>
      <c r="X252" s="9"/>
      <c r="Y252" s="9"/>
      <c r="Z252" s="9"/>
      <c r="AA252" s="9"/>
      <c r="AB252" s="9"/>
      <c r="AC252" s="9"/>
      <c r="AD252" s="9"/>
    </row>
    <row r="253" spans="1:30" ht="58">
      <c r="A253" s="3" t="s">
        <v>1665</v>
      </c>
      <c r="B253" s="3" t="s">
        <v>6450</v>
      </c>
      <c r="C253" s="3" t="s">
        <v>6449</v>
      </c>
      <c r="G253" s="9" t="s">
        <v>25</v>
      </c>
      <c r="H253" s="9"/>
      <c r="I253" s="9">
        <v>1</v>
      </c>
      <c r="J253" s="9">
        <v>3</v>
      </c>
      <c r="K253" s="9" t="s">
        <v>12087</v>
      </c>
      <c r="L253" s="9" t="s">
        <v>12119</v>
      </c>
      <c r="M253" s="9"/>
      <c r="N253" s="10"/>
      <c r="O253" s="9"/>
      <c r="P253" s="9">
        <v>5676</v>
      </c>
      <c r="Q253" s="9">
        <f t="shared" si="3"/>
        <v>682.04758471521268</v>
      </c>
      <c r="R253" s="9"/>
      <c r="S253" s="9" t="s">
        <v>12795</v>
      </c>
      <c r="T253" s="9" t="s">
        <v>12795</v>
      </c>
      <c r="U253" s="9"/>
      <c r="V253" s="9"/>
      <c r="W253" s="9"/>
      <c r="X253" s="9"/>
      <c r="Y253" s="9"/>
      <c r="Z253" s="9"/>
      <c r="AA253" s="9"/>
      <c r="AB253" s="9"/>
      <c r="AC253" s="9"/>
      <c r="AD253" s="9"/>
    </row>
    <row r="254" spans="1:30" ht="58">
      <c r="A254" s="3" t="s">
        <v>1670</v>
      </c>
      <c r="B254" s="3" t="s">
        <v>6453</v>
      </c>
      <c r="C254" s="3" t="s">
        <v>6454</v>
      </c>
      <c r="G254" s="9" t="s">
        <v>24</v>
      </c>
      <c r="H254" s="9"/>
      <c r="I254" s="9">
        <v>1</v>
      </c>
      <c r="J254" s="9">
        <v>4</v>
      </c>
      <c r="K254" s="9" t="s">
        <v>12078</v>
      </c>
      <c r="L254" s="9" t="s">
        <v>12073</v>
      </c>
      <c r="M254" s="9" t="s">
        <v>12149</v>
      </c>
      <c r="N254" s="10" t="s">
        <v>12160</v>
      </c>
      <c r="O254" s="9"/>
      <c r="P254" s="9">
        <v>11843</v>
      </c>
      <c r="Q254" s="9">
        <f t="shared" si="3"/>
        <v>1423.0954097572699</v>
      </c>
      <c r="R254" s="9"/>
      <c r="S254" s="9" t="s">
        <v>12795</v>
      </c>
      <c r="T254" s="9" t="s">
        <v>12795</v>
      </c>
      <c r="U254" s="9"/>
      <c r="V254" s="9"/>
      <c r="W254" s="9"/>
      <c r="X254" s="9"/>
      <c r="Y254" s="9"/>
      <c r="Z254" s="9"/>
      <c r="AA254" s="9"/>
      <c r="AB254" s="9"/>
      <c r="AC254" s="9"/>
      <c r="AD254" s="9"/>
    </row>
    <row r="255" spans="1:30" ht="58">
      <c r="A255" s="3" t="s">
        <v>1670</v>
      </c>
      <c r="B255" s="3" t="s">
        <v>6453</v>
      </c>
      <c r="C255" s="3" t="s">
        <v>6455</v>
      </c>
      <c r="G255" s="9" t="s">
        <v>24</v>
      </c>
      <c r="H255" s="9"/>
      <c r="I255" s="9">
        <v>1</v>
      </c>
      <c r="J255" s="9">
        <v>3</v>
      </c>
      <c r="K255" s="9" t="s">
        <v>12087</v>
      </c>
      <c r="L255" s="9" t="s">
        <v>12119</v>
      </c>
      <c r="M255" s="9"/>
      <c r="N255" s="10"/>
      <c r="O255" s="9"/>
      <c r="P255" s="9">
        <v>5676</v>
      </c>
      <c r="Q255" s="9">
        <f t="shared" si="3"/>
        <v>682.04758471521268</v>
      </c>
      <c r="R255" s="9"/>
      <c r="S255" s="9" t="s">
        <v>12795</v>
      </c>
      <c r="T255" s="9" t="s">
        <v>12795</v>
      </c>
      <c r="U255" s="9"/>
      <c r="V255" s="9"/>
      <c r="W255" s="9"/>
      <c r="X255" s="9"/>
      <c r="Y255" s="9"/>
      <c r="Z255" s="9"/>
      <c r="AA255" s="9"/>
      <c r="AB255" s="9"/>
      <c r="AC255" s="9"/>
      <c r="AD255" s="9"/>
    </row>
    <row r="256" spans="1:30" ht="43.5">
      <c r="A256" s="3" t="s">
        <v>1677</v>
      </c>
      <c r="B256" s="3" t="s">
        <v>6461</v>
      </c>
      <c r="C256" s="3" t="s">
        <v>6460</v>
      </c>
      <c r="G256" s="9" t="s">
        <v>25</v>
      </c>
      <c r="H256" s="9"/>
      <c r="I256" s="9">
        <v>1</v>
      </c>
      <c r="J256" s="9">
        <v>4</v>
      </c>
      <c r="K256" s="9" t="s">
        <v>12078</v>
      </c>
      <c r="L256" s="9" t="s">
        <v>12073</v>
      </c>
      <c r="M256" s="9" t="s">
        <v>12142</v>
      </c>
      <c r="N256" s="10" t="s">
        <v>12160</v>
      </c>
      <c r="O256" s="9" t="s">
        <v>12074</v>
      </c>
      <c r="P256" s="9">
        <v>11843</v>
      </c>
      <c r="Q256" s="9">
        <f t="shared" si="3"/>
        <v>1423.0954097572699</v>
      </c>
      <c r="R256" s="9"/>
      <c r="S256" s="9" t="s">
        <v>12795</v>
      </c>
      <c r="T256" s="9" t="s">
        <v>12795</v>
      </c>
      <c r="U256" s="9"/>
      <c r="V256" s="9"/>
      <c r="W256" s="9"/>
      <c r="X256" s="9"/>
      <c r="Y256" s="9"/>
      <c r="Z256" s="9"/>
      <c r="AA256" s="9"/>
      <c r="AB256" s="9"/>
      <c r="AC256" s="9"/>
      <c r="AD256" s="9"/>
    </row>
    <row r="257" spans="1:30" ht="58">
      <c r="A257" s="3" t="s">
        <v>1692</v>
      </c>
      <c r="B257" s="3" t="s">
        <v>6480</v>
      </c>
      <c r="C257" s="3" t="s">
        <v>6481</v>
      </c>
      <c r="G257" s="9" t="s">
        <v>24</v>
      </c>
      <c r="H257" s="9"/>
      <c r="I257" s="9">
        <v>1</v>
      </c>
      <c r="J257" s="9">
        <v>2</v>
      </c>
      <c r="K257" s="9" t="s">
        <v>12078</v>
      </c>
      <c r="L257" s="9" t="s">
        <v>12119</v>
      </c>
      <c r="M257" s="9"/>
      <c r="N257" s="10"/>
      <c r="O257" s="9"/>
      <c r="P257" s="9">
        <v>11843</v>
      </c>
      <c r="Q257" s="9">
        <f t="shared" si="3"/>
        <v>1423.0954097572699</v>
      </c>
      <c r="R257" s="9"/>
      <c r="S257" s="9" t="s">
        <v>12795</v>
      </c>
      <c r="T257" s="9" t="s">
        <v>12795</v>
      </c>
      <c r="U257" s="9"/>
      <c r="V257" s="9"/>
      <c r="W257" s="9"/>
      <c r="X257" s="9"/>
      <c r="Y257" s="9"/>
      <c r="Z257" s="9"/>
      <c r="AA257" s="9"/>
      <c r="AB257" s="9"/>
      <c r="AC257" s="9"/>
      <c r="AD257" s="9"/>
    </row>
    <row r="258" spans="1:30" ht="43.5">
      <c r="A258" s="3" t="s">
        <v>1708</v>
      </c>
      <c r="B258" s="3" t="s">
        <v>5839</v>
      </c>
      <c r="C258" s="3" t="s">
        <v>6506</v>
      </c>
      <c r="G258" s="9" t="s">
        <v>25</v>
      </c>
      <c r="H258" s="9"/>
      <c r="I258" s="9">
        <v>1</v>
      </c>
      <c r="J258" s="9">
        <v>4</v>
      </c>
      <c r="K258" s="9" t="s">
        <v>12078</v>
      </c>
      <c r="L258" s="9" t="s">
        <v>12079</v>
      </c>
      <c r="M258" s="9"/>
      <c r="N258" s="10"/>
      <c r="O258" s="9"/>
      <c r="P258" s="9">
        <v>11843</v>
      </c>
      <c r="Q258" s="9">
        <f t="shared" ref="Q258:Q321" si="4">IF(ISNUMBER(P258), (P258/$F$988)*10000, "")</f>
        <v>1423.0954097572699</v>
      </c>
      <c r="R258" s="9"/>
      <c r="S258" s="9" t="s">
        <v>12795</v>
      </c>
      <c r="T258" s="9" t="s">
        <v>12795</v>
      </c>
      <c r="U258" s="9"/>
      <c r="V258" s="9"/>
      <c r="W258" s="9"/>
      <c r="X258" s="9"/>
      <c r="Y258" s="9"/>
      <c r="Z258" s="9"/>
      <c r="AA258" s="9"/>
      <c r="AB258" s="9"/>
      <c r="AC258" s="9"/>
      <c r="AD258" s="9"/>
    </row>
    <row r="259" spans="1:30" ht="29">
      <c r="A259" s="3" t="s">
        <v>1709</v>
      </c>
      <c r="B259" s="3" t="s">
        <v>6076</v>
      </c>
      <c r="C259" s="3" t="s">
        <v>6077</v>
      </c>
      <c r="G259" s="9" t="s">
        <v>24</v>
      </c>
      <c r="H259" s="9"/>
      <c r="I259" s="9">
        <v>1</v>
      </c>
      <c r="J259" s="9">
        <v>1</v>
      </c>
      <c r="K259" s="9" t="s">
        <v>12078</v>
      </c>
      <c r="L259" s="9" t="s">
        <v>12119</v>
      </c>
      <c r="M259" s="9"/>
      <c r="N259" s="10"/>
      <c r="O259" s="9" t="s">
        <v>12074</v>
      </c>
      <c r="P259" s="9">
        <v>11843</v>
      </c>
      <c r="Q259" s="9">
        <f t="shared" si="4"/>
        <v>1423.0954097572699</v>
      </c>
      <c r="R259" s="9"/>
      <c r="S259" s="9" t="s">
        <v>12795</v>
      </c>
      <c r="T259" s="9" t="s">
        <v>12795</v>
      </c>
      <c r="U259" s="9"/>
      <c r="V259" s="9"/>
      <c r="W259" s="9"/>
      <c r="X259" s="9"/>
      <c r="Y259" s="9"/>
      <c r="Z259" s="9"/>
      <c r="AA259" s="9"/>
      <c r="AB259" s="9"/>
      <c r="AC259" s="9"/>
      <c r="AD259" s="9"/>
    </row>
    <row r="260" spans="1:30" ht="87">
      <c r="A260" s="3" t="s">
        <v>1711</v>
      </c>
      <c r="B260" s="3" t="s">
        <v>6511</v>
      </c>
      <c r="C260" s="3" t="s">
        <v>6509</v>
      </c>
      <c r="G260" s="9" t="s">
        <v>25</v>
      </c>
      <c r="H260" s="9"/>
      <c r="I260" s="9">
        <v>1</v>
      </c>
      <c r="J260" s="9">
        <v>4</v>
      </c>
      <c r="K260" s="9" t="s">
        <v>12094</v>
      </c>
      <c r="L260" s="9" t="s">
        <v>12079</v>
      </c>
      <c r="M260" s="9"/>
      <c r="N260" s="10"/>
      <c r="O260" s="9"/>
      <c r="P260" s="9">
        <v>4240</v>
      </c>
      <c r="Q260" s="9">
        <f t="shared" si="4"/>
        <v>509.49291035808699</v>
      </c>
      <c r="R260" s="9"/>
      <c r="S260" s="9" t="s">
        <v>12795</v>
      </c>
      <c r="T260" s="9" t="s">
        <v>12795</v>
      </c>
      <c r="U260" s="9"/>
      <c r="V260" s="9"/>
      <c r="W260" s="9"/>
      <c r="X260" s="9"/>
      <c r="Y260" s="9"/>
      <c r="Z260" s="9"/>
      <c r="AA260" s="9"/>
      <c r="AB260" s="9"/>
      <c r="AC260" s="9"/>
      <c r="AD260" s="9"/>
    </row>
    <row r="261" spans="1:30" ht="87">
      <c r="A261" s="3" t="s">
        <v>1711</v>
      </c>
      <c r="B261" s="3" t="s">
        <v>6510</v>
      </c>
      <c r="C261" s="3" t="s">
        <v>6514</v>
      </c>
      <c r="G261" s="9" t="s">
        <v>24</v>
      </c>
      <c r="H261" s="9"/>
      <c r="I261" s="9">
        <v>2</v>
      </c>
      <c r="J261" s="9">
        <v>7</v>
      </c>
      <c r="K261" s="9"/>
      <c r="L261" s="9" t="s">
        <v>12079</v>
      </c>
      <c r="M261" s="9"/>
      <c r="N261" s="10"/>
      <c r="O261" s="9"/>
      <c r="P261" s="9">
        <v>2042</v>
      </c>
      <c r="Q261" s="9">
        <f t="shared" si="4"/>
        <v>245.37370824321076</v>
      </c>
      <c r="R261" s="9"/>
      <c r="S261" s="9" t="s">
        <v>12795</v>
      </c>
      <c r="T261" s="9" t="s">
        <v>12795</v>
      </c>
      <c r="U261" s="9"/>
      <c r="V261" s="9"/>
      <c r="W261" s="9"/>
      <c r="X261" s="9"/>
      <c r="Y261" s="9"/>
      <c r="Z261" s="9"/>
      <c r="AA261" s="9"/>
      <c r="AB261" s="9"/>
      <c r="AC261" s="9"/>
      <c r="AD261" s="9"/>
    </row>
    <row r="262" spans="1:30" ht="130.5">
      <c r="A262" s="3" t="s">
        <v>1712</v>
      </c>
      <c r="B262" s="3" t="s">
        <v>6518</v>
      </c>
      <c r="C262" s="3" t="s">
        <v>6515</v>
      </c>
      <c r="G262" s="9" t="s">
        <v>25</v>
      </c>
      <c r="H262" s="9"/>
      <c r="I262" s="9">
        <v>2</v>
      </c>
      <c r="J262" s="9">
        <v>12</v>
      </c>
      <c r="K262" s="9"/>
      <c r="L262" s="9" t="s">
        <v>12073</v>
      </c>
      <c r="M262" s="9" t="s">
        <v>12135</v>
      </c>
      <c r="N262" s="10" t="s">
        <v>12137</v>
      </c>
      <c r="O262" s="9"/>
      <c r="P262" s="9">
        <v>77</v>
      </c>
      <c r="Q262" s="9">
        <f t="shared" si="4"/>
        <v>9.2525835135784664</v>
      </c>
      <c r="R262" s="9"/>
      <c r="S262" s="9" t="s">
        <v>12795</v>
      </c>
      <c r="T262" s="9" t="s">
        <v>12795</v>
      </c>
      <c r="U262" s="9"/>
      <c r="V262" s="9"/>
      <c r="W262" s="9"/>
      <c r="X262" s="9"/>
      <c r="Y262" s="9"/>
      <c r="Z262" s="9"/>
      <c r="AA262" s="9"/>
      <c r="AB262" s="9"/>
      <c r="AC262" s="9"/>
      <c r="AD262" s="9"/>
    </row>
    <row r="263" spans="1:30" ht="29">
      <c r="A263" s="3" t="s">
        <v>1713</v>
      </c>
      <c r="B263" s="3" t="s">
        <v>6521</v>
      </c>
      <c r="C263" s="3" t="s">
        <v>6522</v>
      </c>
      <c r="G263" s="9" t="s">
        <v>24</v>
      </c>
      <c r="H263" s="9"/>
      <c r="I263" s="9">
        <v>1</v>
      </c>
      <c r="J263" s="9">
        <v>3</v>
      </c>
      <c r="K263" s="9" t="s">
        <v>12087</v>
      </c>
      <c r="L263" s="9" t="s">
        <v>12079</v>
      </c>
      <c r="M263" s="9"/>
      <c r="N263" s="10"/>
      <c r="O263" s="9"/>
      <c r="P263" s="9">
        <v>5676</v>
      </c>
      <c r="Q263" s="9">
        <f t="shared" si="4"/>
        <v>682.04758471521268</v>
      </c>
      <c r="R263" s="9"/>
      <c r="S263" s="9" t="s">
        <v>12795</v>
      </c>
      <c r="T263" s="9" t="s">
        <v>12795</v>
      </c>
      <c r="U263" s="9"/>
      <c r="V263" s="9"/>
      <c r="W263" s="9"/>
      <c r="X263" s="9"/>
      <c r="Y263" s="9"/>
      <c r="Z263" s="9"/>
      <c r="AA263" s="9"/>
      <c r="AB263" s="9"/>
      <c r="AC263" s="9"/>
      <c r="AD263" s="9"/>
    </row>
    <row r="264" spans="1:30" ht="101.5">
      <c r="A264" s="3" t="s">
        <v>1715</v>
      </c>
      <c r="B264" s="3" t="s">
        <v>6523</v>
      </c>
      <c r="C264" s="3" t="s">
        <v>6524</v>
      </c>
      <c r="G264" s="9" t="s">
        <v>24</v>
      </c>
      <c r="H264" s="9"/>
      <c r="I264" s="9">
        <v>1</v>
      </c>
      <c r="J264" s="9">
        <v>3</v>
      </c>
      <c r="K264" s="9" t="s">
        <v>12087</v>
      </c>
      <c r="L264" s="9" t="s">
        <v>12079</v>
      </c>
      <c r="M264" s="9"/>
      <c r="N264" s="10"/>
      <c r="O264" s="9"/>
      <c r="P264" s="9">
        <v>5676</v>
      </c>
      <c r="Q264" s="9">
        <f t="shared" si="4"/>
        <v>682.04758471521268</v>
      </c>
      <c r="R264" s="9"/>
      <c r="S264" s="9" t="s">
        <v>12795</v>
      </c>
      <c r="T264" s="9" t="s">
        <v>12795</v>
      </c>
      <c r="U264" s="9"/>
      <c r="V264" s="9"/>
      <c r="W264" s="9"/>
      <c r="X264" s="9"/>
      <c r="Y264" s="9"/>
      <c r="Z264" s="9"/>
      <c r="AA264" s="9"/>
      <c r="AB264" s="9"/>
      <c r="AC264" s="9"/>
      <c r="AD264" s="9"/>
    </row>
    <row r="265" spans="1:30" ht="43.5">
      <c r="A265" s="3" t="s">
        <v>1715</v>
      </c>
      <c r="B265" s="3" t="s">
        <v>6530</v>
      </c>
      <c r="C265" s="3" t="s">
        <v>6529</v>
      </c>
      <c r="G265" s="9" t="s">
        <v>25</v>
      </c>
      <c r="H265" s="9"/>
      <c r="I265" s="9">
        <v>1</v>
      </c>
      <c r="J265" s="9">
        <v>2</v>
      </c>
      <c r="K265" s="9" t="s">
        <v>12092</v>
      </c>
      <c r="L265" s="9" t="s">
        <v>12119</v>
      </c>
      <c r="M265" s="9"/>
      <c r="N265" s="10"/>
      <c r="O265" s="9"/>
      <c r="P265" s="9">
        <v>361</v>
      </c>
      <c r="Q265" s="9">
        <f t="shared" si="4"/>
        <v>43.378995433789953</v>
      </c>
      <c r="R265" s="9"/>
      <c r="S265" s="9" t="s">
        <v>12795</v>
      </c>
      <c r="T265" s="9" t="s">
        <v>12795</v>
      </c>
      <c r="U265" s="9"/>
      <c r="V265" s="9"/>
      <c r="W265" s="9"/>
      <c r="X265" s="9"/>
      <c r="Y265" s="9"/>
      <c r="Z265" s="9"/>
      <c r="AA265" s="9"/>
      <c r="AB265" s="9"/>
      <c r="AC265" s="9"/>
      <c r="AD265" s="9"/>
    </row>
    <row r="266" spans="1:30" ht="29">
      <c r="A266" s="3" t="s">
        <v>1716</v>
      </c>
      <c r="B266" s="3" t="s">
        <v>6531</v>
      </c>
      <c r="C266" s="3" t="s">
        <v>6532</v>
      </c>
      <c r="G266" s="9" t="s">
        <v>24</v>
      </c>
      <c r="H266" s="9"/>
      <c r="I266" s="9">
        <v>1</v>
      </c>
      <c r="J266" s="9">
        <v>2</v>
      </c>
      <c r="K266" s="9" t="s">
        <v>12078</v>
      </c>
      <c r="L266" s="9" t="s">
        <v>12119</v>
      </c>
      <c r="M266" s="9"/>
      <c r="N266" s="10"/>
      <c r="O266" s="9"/>
      <c r="P266" s="9">
        <v>11843</v>
      </c>
      <c r="Q266" s="9">
        <f t="shared" si="4"/>
        <v>1423.0954097572699</v>
      </c>
      <c r="R266" s="9"/>
      <c r="S266" s="9" t="s">
        <v>12795</v>
      </c>
      <c r="T266" s="9" t="s">
        <v>12795</v>
      </c>
      <c r="U266" s="9"/>
      <c r="V266" s="9"/>
      <c r="W266" s="9"/>
      <c r="X266" s="9"/>
      <c r="Y266" s="9"/>
      <c r="Z266" s="9"/>
      <c r="AA266" s="9"/>
      <c r="AB266" s="9"/>
      <c r="AC266" s="9"/>
      <c r="AD266" s="9"/>
    </row>
    <row r="267" spans="1:30" ht="43.5">
      <c r="A267" s="3" t="s">
        <v>1735</v>
      </c>
      <c r="B267" s="3" t="s">
        <v>6567</v>
      </c>
      <c r="C267" s="3" t="s">
        <v>6568</v>
      </c>
      <c r="G267" s="9" t="s">
        <v>24</v>
      </c>
      <c r="H267" s="9"/>
      <c r="I267" s="9">
        <v>1</v>
      </c>
      <c r="J267" s="9">
        <v>3</v>
      </c>
      <c r="K267" s="9" t="s">
        <v>12087</v>
      </c>
      <c r="L267" s="9" t="s">
        <v>12079</v>
      </c>
      <c r="M267" s="9"/>
      <c r="N267" s="10"/>
      <c r="O267" s="9"/>
      <c r="P267" s="9">
        <v>148</v>
      </c>
      <c r="Q267" s="9">
        <f t="shared" si="4"/>
        <v>17.784186493631339</v>
      </c>
      <c r="R267" s="9"/>
      <c r="S267" s="9" t="s">
        <v>12795</v>
      </c>
      <c r="T267" s="9" t="s">
        <v>12795</v>
      </c>
      <c r="U267" s="9"/>
      <c r="V267" s="9"/>
      <c r="W267" s="9"/>
      <c r="X267" s="9"/>
      <c r="Y267" s="9"/>
      <c r="Z267" s="9"/>
      <c r="AA267" s="9"/>
      <c r="AB267" s="9"/>
      <c r="AC267" s="9"/>
      <c r="AD267" s="9"/>
    </row>
    <row r="268" spans="1:30" ht="72.5">
      <c r="A268" s="3" t="s">
        <v>1735</v>
      </c>
      <c r="B268" s="3" t="s">
        <v>6573</v>
      </c>
      <c r="C268" s="3" t="s">
        <v>6576</v>
      </c>
      <c r="G268" s="9" t="s">
        <v>24</v>
      </c>
      <c r="H268" s="9"/>
      <c r="I268" s="9">
        <v>2</v>
      </c>
      <c r="J268" s="9">
        <v>8</v>
      </c>
      <c r="K268" s="9"/>
      <c r="L268" s="9" t="s">
        <v>12079</v>
      </c>
      <c r="M268" s="9"/>
      <c r="N268" s="10"/>
      <c r="O268" s="9"/>
      <c r="P268" s="9">
        <v>28</v>
      </c>
      <c r="Q268" s="9">
        <f t="shared" si="4"/>
        <v>3.3645758231194423</v>
      </c>
      <c r="R268" s="9"/>
      <c r="S268" s="9" t="s">
        <v>12795</v>
      </c>
      <c r="T268" s="9" t="s">
        <v>12795</v>
      </c>
      <c r="U268" s="9" t="s">
        <v>12117</v>
      </c>
      <c r="V268" s="9"/>
      <c r="W268" s="9"/>
      <c r="X268" s="9"/>
      <c r="Y268" s="9"/>
      <c r="Z268" s="9"/>
      <c r="AA268" s="9"/>
      <c r="AB268" s="9"/>
      <c r="AC268" s="9"/>
      <c r="AD268" s="9"/>
    </row>
    <row r="269" spans="1:30" ht="29">
      <c r="A269" s="3" t="s">
        <v>1739</v>
      </c>
      <c r="B269" s="3" t="s">
        <v>6581</v>
      </c>
      <c r="C269" s="3" t="s">
        <v>6582</v>
      </c>
      <c r="G269" s="9" t="s">
        <v>25</v>
      </c>
      <c r="H269" s="9"/>
      <c r="I269" s="9">
        <v>1</v>
      </c>
      <c r="J269" s="9">
        <v>1</v>
      </c>
      <c r="K269" s="9" t="s">
        <v>12078</v>
      </c>
      <c r="L269" s="9" t="s">
        <v>12119</v>
      </c>
      <c r="M269" s="9"/>
      <c r="N269" s="10"/>
      <c r="O269" s="9" t="s">
        <v>12074</v>
      </c>
      <c r="P269" s="9">
        <v>11843</v>
      </c>
      <c r="Q269" s="9">
        <f t="shared" si="4"/>
        <v>1423.0954097572699</v>
      </c>
      <c r="R269" s="9"/>
      <c r="S269" s="9" t="s">
        <v>12795</v>
      </c>
      <c r="T269" s="9" t="s">
        <v>12795</v>
      </c>
      <c r="U269" s="9"/>
      <c r="V269" s="9"/>
      <c r="W269" s="9"/>
      <c r="X269" s="9"/>
      <c r="Y269" s="9"/>
      <c r="Z269" s="9"/>
      <c r="AA269" s="9"/>
      <c r="AB269" s="9"/>
      <c r="AC269" s="9"/>
      <c r="AD269" s="9"/>
    </row>
    <row r="270" spans="1:30" ht="58">
      <c r="A270" s="3" t="s">
        <v>1746</v>
      </c>
      <c r="B270" s="3" t="s">
        <v>6593</v>
      </c>
      <c r="C270" s="3" t="s">
        <v>6594</v>
      </c>
      <c r="G270" s="9" t="s">
        <v>25</v>
      </c>
      <c r="H270" s="9"/>
      <c r="I270" s="9">
        <v>1</v>
      </c>
      <c r="J270" s="9">
        <v>5</v>
      </c>
      <c r="K270" s="9" t="s">
        <v>12094</v>
      </c>
      <c r="L270" s="9" t="s">
        <v>12079</v>
      </c>
      <c r="M270" s="9"/>
      <c r="N270" s="10"/>
      <c r="O270" s="9"/>
      <c r="P270" s="9">
        <v>4240</v>
      </c>
      <c r="Q270" s="9">
        <f t="shared" si="4"/>
        <v>509.49291035808699</v>
      </c>
      <c r="R270" s="9"/>
      <c r="S270" s="9" t="s">
        <v>12795</v>
      </c>
      <c r="T270" s="9" t="s">
        <v>12795</v>
      </c>
      <c r="U270" s="9"/>
      <c r="V270" s="9"/>
      <c r="W270" s="9"/>
      <c r="X270" s="9"/>
      <c r="Y270" s="9"/>
      <c r="Z270" s="9"/>
      <c r="AA270" s="9"/>
      <c r="AB270" s="9"/>
      <c r="AC270" s="9"/>
      <c r="AD270" s="9"/>
    </row>
    <row r="271" spans="1:30" ht="29">
      <c r="A271" s="3" t="s">
        <v>1747</v>
      </c>
      <c r="B271" s="3" t="s">
        <v>12662</v>
      </c>
      <c r="C271" s="3" t="s">
        <v>12663</v>
      </c>
      <c r="G271" s="9" t="s">
        <v>25</v>
      </c>
      <c r="H271" s="9"/>
      <c r="I271" s="9">
        <v>1</v>
      </c>
      <c r="J271" s="9">
        <v>4</v>
      </c>
      <c r="K271" s="9" t="s">
        <v>12094</v>
      </c>
      <c r="L271" s="9" t="s">
        <v>12073</v>
      </c>
      <c r="M271" s="9" t="s">
        <v>12142</v>
      </c>
      <c r="N271" s="10" t="s">
        <v>12143</v>
      </c>
      <c r="O271" s="9"/>
      <c r="P271" s="9">
        <v>4240</v>
      </c>
      <c r="Q271" s="9">
        <f t="shared" si="4"/>
        <v>509.49291035808699</v>
      </c>
      <c r="R271" s="9"/>
      <c r="S271" s="9" t="s">
        <v>12795</v>
      </c>
      <c r="T271" s="9" t="s">
        <v>12795</v>
      </c>
      <c r="U271" s="9"/>
      <c r="V271" s="9"/>
      <c r="W271" s="9"/>
      <c r="X271" s="9"/>
      <c r="Y271" s="9"/>
      <c r="Z271" s="9"/>
      <c r="AA271" s="9"/>
      <c r="AB271" s="9"/>
      <c r="AC271" s="9"/>
      <c r="AD271" s="9"/>
    </row>
    <row r="272" spans="1:30" ht="101.5">
      <c r="A272" s="3" t="s">
        <v>1753</v>
      </c>
      <c r="B272" s="3" t="s">
        <v>6600</v>
      </c>
      <c r="C272" s="3" t="s">
        <v>6599</v>
      </c>
      <c r="G272" s="9" t="s">
        <v>25</v>
      </c>
      <c r="H272" s="9"/>
      <c r="I272" s="9">
        <v>3</v>
      </c>
      <c r="J272" s="9">
        <v>15</v>
      </c>
      <c r="K272" s="9"/>
      <c r="L272" s="9" t="s">
        <v>12079</v>
      </c>
      <c r="M272" s="9"/>
      <c r="N272" s="10"/>
      <c r="O272" s="9"/>
      <c r="P272" s="9">
        <v>57</v>
      </c>
      <c r="Q272" s="9">
        <f t="shared" si="4"/>
        <v>6.8493150684931505</v>
      </c>
      <c r="R272" s="9"/>
      <c r="S272" s="9" t="s">
        <v>12795</v>
      </c>
      <c r="T272" s="9" t="s">
        <v>12795</v>
      </c>
      <c r="U272" s="9"/>
      <c r="V272" s="9"/>
      <c r="W272" s="9"/>
      <c r="X272" s="9"/>
      <c r="Y272" s="9"/>
      <c r="Z272" s="9"/>
      <c r="AA272" s="9"/>
      <c r="AB272" s="9"/>
      <c r="AC272" s="9"/>
      <c r="AD272" s="9"/>
    </row>
    <row r="273" spans="1:30" ht="58">
      <c r="A273" s="3" t="s">
        <v>1759</v>
      </c>
      <c r="B273" s="3" t="s">
        <v>6601</v>
      </c>
      <c r="C273" s="3" t="s">
        <v>6602</v>
      </c>
      <c r="G273" s="9" t="s">
        <v>25</v>
      </c>
      <c r="H273" s="9"/>
      <c r="I273" s="9">
        <v>1</v>
      </c>
      <c r="J273" s="9">
        <v>3</v>
      </c>
      <c r="K273" s="9" t="s">
        <v>12096</v>
      </c>
      <c r="L273" s="9" t="s">
        <v>12079</v>
      </c>
      <c r="M273" s="9"/>
      <c r="N273" s="10"/>
      <c r="O273" s="9"/>
      <c r="P273" s="9">
        <v>1101</v>
      </c>
      <c r="Q273" s="9">
        <f t="shared" si="4"/>
        <v>132.29992790194663</v>
      </c>
      <c r="R273" s="9"/>
      <c r="S273" s="9" t="s">
        <v>12795</v>
      </c>
      <c r="T273" s="9" t="s">
        <v>12795</v>
      </c>
      <c r="U273" s="9"/>
      <c r="V273" s="9"/>
      <c r="W273" s="9"/>
      <c r="X273" s="9"/>
      <c r="Y273" s="9"/>
      <c r="Z273" s="9"/>
      <c r="AA273" s="9"/>
      <c r="AB273" s="9"/>
      <c r="AC273" s="9"/>
      <c r="AD273" s="9"/>
    </row>
    <row r="274" spans="1:30" ht="43.5">
      <c r="A274" s="3" t="s">
        <v>1759</v>
      </c>
      <c r="B274" s="11" t="s">
        <v>12878</v>
      </c>
      <c r="C274" s="11" t="s">
        <v>12881</v>
      </c>
      <c r="G274" s="9" t="s">
        <v>24</v>
      </c>
      <c r="H274" s="9"/>
      <c r="I274" s="9">
        <v>1</v>
      </c>
      <c r="J274" s="9">
        <v>3</v>
      </c>
      <c r="K274" s="9" t="s">
        <v>12078</v>
      </c>
      <c r="L274" s="9" t="s">
        <v>12079</v>
      </c>
      <c r="M274" s="9"/>
      <c r="N274" s="10"/>
      <c r="O274" s="9"/>
      <c r="P274" s="9">
        <v>11843</v>
      </c>
      <c r="Q274" s="9">
        <f t="shared" si="4"/>
        <v>1423.0954097572699</v>
      </c>
      <c r="R274" s="9"/>
      <c r="S274" s="9" t="s">
        <v>12795</v>
      </c>
      <c r="T274" s="9" t="s">
        <v>12795</v>
      </c>
      <c r="U274" s="9"/>
      <c r="V274" s="9"/>
      <c r="W274" s="9"/>
      <c r="X274" s="9"/>
      <c r="Y274" s="9"/>
      <c r="Z274" s="9"/>
      <c r="AA274" s="9"/>
      <c r="AB274" s="9"/>
      <c r="AC274" s="9"/>
      <c r="AD274" s="9"/>
    </row>
    <row r="275" spans="1:30" ht="43.5">
      <c r="A275" s="3" t="s">
        <v>1766</v>
      </c>
      <c r="B275" s="3" t="s">
        <v>6606</v>
      </c>
      <c r="C275" s="3" t="s">
        <v>6605</v>
      </c>
      <c r="G275" s="9" t="s">
        <v>24</v>
      </c>
      <c r="H275" s="9"/>
      <c r="I275" s="9">
        <v>1</v>
      </c>
      <c r="J275" s="9">
        <v>4</v>
      </c>
      <c r="K275" s="9" t="s">
        <v>12078</v>
      </c>
      <c r="L275" s="9" t="s">
        <v>12079</v>
      </c>
      <c r="M275" s="9"/>
      <c r="N275" s="10"/>
      <c r="O275" s="9"/>
      <c r="P275" s="9">
        <v>11843</v>
      </c>
      <c r="Q275" s="9">
        <f t="shared" si="4"/>
        <v>1423.0954097572699</v>
      </c>
      <c r="R275" s="9"/>
      <c r="S275" s="9" t="s">
        <v>12795</v>
      </c>
      <c r="T275" s="9" t="s">
        <v>12795</v>
      </c>
      <c r="U275" s="9"/>
      <c r="V275" s="9"/>
      <c r="W275" s="9"/>
      <c r="X275" s="9"/>
      <c r="Y275" s="9"/>
      <c r="Z275" s="9"/>
      <c r="AA275" s="9"/>
      <c r="AB275" s="9"/>
      <c r="AC275" s="9"/>
      <c r="AD275" s="9"/>
    </row>
    <row r="276" spans="1:30" ht="43.5">
      <c r="A276" s="3" t="s">
        <v>1774</v>
      </c>
      <c r="B276" s="3" t="s">
        <v>6610</v>
      </c>
      <c r="C276" s="3" t="s">
        <v>6611</v>
      </c>
      <c r="G276" s="9" t="s">
        <v>25</v>
      </c>
      <c r="H276" s="9"/>
      <c r="I276" s="9">
        <v>1</v>
      </c>
      <c r="J276" s="9">
        <v>2</v>
      </c>
      <c r="K276" s="9" t="s">
        <v>12096</v>
      </c>
      <c r="L276" s="9" t="s">
        <v>12119</v>
      </c>
      <c r="M276" s="9"/>
      <c r="N276" s="10"/>
      <c r="O276" s="9" t="s">
        <v>12074</v>
      </c>
      <c r="P276" s="9">
        <v>1294</v>
      </c>
      <c r="Q276" s="9">
        <f t="shared" si="4"/>
        <v>155.49146839701996</v>
      </c>
      <c r="R276" s="9"/>
      <c r="S276" s="9" t="s">
        <v>12795</v>
      </c>
      <c r="T276" s="9" t="s">
        <v>12795</v>
      </c>
      <c r="U276" s="9"/>
      <c r="V276" s="9"/>
      <c r="W276" s="9"/>
      <c r="X276" s="9"/>
      <c r="Y276" s="9"/>
      <c r="Z276" s="9"/>
      <c r="AA276" s="9"/>
      <c r="AB276" s="9"/>
      <c r="AC276" s="9"/>
      <c r="AD276" s="9"/>
    </row>
    <row r="277" spans="1:30" ht="29">
      <c r="A277" s="3" t="s">
        <v>1781</v>
      </c>
      <c r="B277" s="3" t="s">
        <v>6612</v>
      </c>
      <c r="C277" s="3" t="s">
        <v>6613</v>
      </c>
      <c r="G277" s="9" t="s">
        <v>25</v>
      </c>
      <c r="H277" s="9"/>
      <c r="I277" s="9">
        <v>1</v>
      </c>
      <c r="J277" s="9">
        <v>1</v>
      </c>
      <c r="K277" s="9" t="s">
        <v>12072</v>
      </c>
      <c r="L277" s="9" t="s">
        <v>12119</v>
      </c>
      <c r="M277" s="9"/>
      <c r="N277" s="10"/>
      <c r="O277" s="9" t="s">
        <v>12074</v>
      </c>
      <c r="P277" s="9">
        <v>16</v>
      </c>
      <c r="Q277" s="9">
        <f t="shared" si="4"/>
        <v>1.9226147560682529</v>
      </c>
      <c r="R277" s="9"/>
      <c r="S277" s="9" t="s">
        <v>12795</v>
      </c>
      <c r="T277" s="9" t="s">
        <v>12795</v>
      </c>
      <c r="U277" s="9"/>
      <c r="V277" s="9"/>
      <c r="W277" s="9"/>
      <c r="X277" s="9"/>
      <c r="Y277" s="9"/>
      <c r="Z277" s="9"/>
      <c r="AA277" s="9"/>
      <c r="AB277" s="9"/>
      <c r="AC277" s="9"/>
      <c r="AD277" s="9"/>
    </row>
    <row r="278" spans="1:30" ht="188.5">
      <c r="A278" s="3" t="s">
        <v>1782</v>
      </c>
      <c r="B278" s="3" t="s">
        <v>6617</v>
      </c>
      <c r="C278" s="3" t="s">
        <v>6616</v>
      </c>
      <c r="G278" s="9" t="s">
        <v>25</v>
      </c>
      <c r="H278" s="9"/>
      <c r="I278" s="9">
        <v>6</v>
      </c>
      <c r="J278" s="9">
        <v>38</v>
      </c>
      <c r="K278" s="9"/>
      <c r="L278" s="9" t="s">
        <v>12073</v>
      </c>
      <c r="M278" s="9" t="s">
        <v>12140</v>
      </c>
      <c r="N278" s="10" t="s">
        <v>12295</v>
      </c>
      <c r="O278" s="9"/>
      <c r="P278" s="9">
        <v>2</v>
      </c>
      <c r="Q278" s="9">
        <f t="shared" si="4"/>
        <v>0.24032684450853162</v>
      </c>
      <c r="R278" s="9"/>
      <c r="S278" s="9" t="s">
        <v>12795</v>
      </c>
      <c r="T278" s="9" t="s">
        <v>12795</v>
      </c>
      <c r="U278" s="9"/>
      <c r="V278" s="9"/>
      <c r="W278" s="9"/>
      <c r="X278" s="9"/>
      <c r="Y278" s="9"/>
      <c r="Z278" s="9"/>
      <c r="AA278" s="9"/>
      <c r="AB278" s="9"/>
      <c r="AC278" s="9"/>
      <c r="AD278" s="9"/>
    </row>
    <row r="279" spans="1:30" ht="43.5">
      <c r="A279" s="3" t="s">
        <v>1786</v>
      </c>
      <c r="B279" s="3" t="s">
        <v>6626</v>
      </c>
      <c r="C279" s="3" t="s">
        <v>6625</v>
      </c>
      <c r="G279" s="9" t="s">
        <v>24</v>
      </c>
      <c r="H279" s="9"/>
      <c r="I279" s="9">
        <v>1</v>
      </c>
      <c r="J279" s="9">
        <v>1</v>
      </c>
      <c r="K279" s="9" t="s">
        <v>12078</v>
      </c>
      <c r="L279" s="9" t="s">
        <v>12119</v>
      </c>
      <c r="M279" s="9"/>
      <c r="N279" s="10"/>
      <c r="O279" s="9"/>
      <c r="P279" s="9">
        <v>11843</v>
      </c>
      <c r="Q279" s="9">
        <f t="shared" si="4"/>
        <v>1423.0954097572699</v>
      </c>
      <c r="R279" s="9"/>
      <c r="S279" s="9" t="s">
        <v>12795</v>
      </c>
      <c r="T279" s="9" t="s">
        <v>12795</v>
      </c>
      <c r="U279" s="9"/>
      <c r="V279" s="9"/>
      <c r="W279" s="9"/>
      <c r="X279" s="9"/>
      <c r="Y279" s="9"/>
      <c r="Z279" s="9"/>
      <c r="AA279" s="9"/>
      <c r="AB279" s="9"/>
      <c r="AC279" s="9"/>
      <c r="AD279" s="9"/>
    </row>
    <row r="280" spans="1:30" ht="87">
      <c r="A280" s="3" t="s">
        <v>1790</v>
      </c>
      <c r="B280" s="3" t="s">
        <v>6631</v>
      </c>
      <c r="C280" s="3" t="s">
        <v>6634</v>
      </c>
      <c r="G280" s="9" t="s">
        <v>24</v>
      </c>
      <c r="H280" s="9"/>
      <c r="I280" s="9">
        <v>2</v>
      </c>
      <c r="J280" s="9">
        <v>12</v>
      </c>
      <c r="K280" s="9"/>
      <c r="L280" s="9" t="s">
        <v>12079</v>
      </c>
      <c r="M280" s="9"/>
      <c r="N280" s="10"/>
      <c r="O280" s="9"/>
      <c r="P280" s="9">
        <v>2042</v>
      </c>
      <c r="Q280" s="9">
        <f t="shared" si="4"/>
        <v>245.37370824321076</v>
      </c>
      <c r="R280" s="9"/>
      <c r="S280" s="9" t="s">
        <v>12795</v>
      </c>
      <c r="T280" s="9" t="s">
        <v>12795</v>
      </c>
      <c r="U280" s="9"/>
      <c r="V280" s="9"/>
      <c r="W280" s="9"/>
      <c r="X280" s="9"/>
      <c r="Y280" s="9"/>
      <c r="Z280" s="9"/>
      <c r="AA280" s="9"/>
      <c r="AB280" s="9"/>
      <c r="AC280" s="9"/>
      <c r="AD280" s="9"/>
    </row>
    <row r="281" spans="1:30" ht="29">
      <c r="A281" s="3" t="s">
        <v>1797</v>
      </c>
      <c r="B281" s="3" t="s">
        <v>6642</v>
      </c>
      <c r="C281" s="3" t="s">
        <v>6643</v>
      </c>
      <c r="G281" s="9" t="s">
        <v>25</v>
      </c>
      <c r="H281" s="9"/>
      <c r="I281" s="9">
        <v>1</v>
      </c>
      <c r="J281" s="9">
        <v>1</v>
      </c>
      <c r="K281" s="9" t="s">
        <v>12078</v>
      </c>
      <c r="L281" s="9" t="s">
        <v>12119</v>
      </c>
      <c r="M281" s="9"/>
      <c r="N281" s="10"/>
      <c r="O281" s="9"/>
      <c r="P281" s="9">
        <v>11843</v>
      </c>
      <c r="Q281" s="9">
        <f t="shared" si="4"/>
        <v>1423.0954097572699</v>
      </c>
      <c r="R281" s="9"/>
      <c r="S281" s="9" t="s">
        <v>12795</v>
      </c>
      <c r="T281" s="9" t="s">
        <v>12795</v>
      </c>
      <c r="U281" s="9"/>
      <c r="V281" s="9"/>
      <c r="W281" s="9"/>
      <c r="X281" s="9"/>
      <c r="Y281" s="9"/>
      <c r="Z281" s="9"/>
      <c r="AA281" s="9"/>
      <c r="AB281" s="9"/>
      <c r="AC281" s="9"/>
      <c r="AD281" s="9"/>
    </row>
    <row r="282" spans="1:30" ht="43.5">
      <c r="A282" s="3" t="s">
        <v>1800</v>
      </c>
      <c r="B282" s="11" t="s">
        <v>6645</v>
      </c>
      <c r="C282" s="11" t="s">
        <v>6644</v>
      </c>
      <c r="G282" s="9" t="s">
        <v>24</v>
      </c>
      <c r="H282" s="9"/>
      <c r="I282" s="9">
        <v>1</v>
      </c>
      <c r="J282" s="9">
        <v>3</v>
      </c>
      <c r="K282" s="9" t="s">
        <v>12078</v>
      </c>
      <c r="L282" s="9" t="s">
        <v>12079</v>
      </c>
      <c r="M282" s="9"/>
      <c r="N282" s="10"/>
      <c r="O282" s="9"/>
      <c r="P282" s="9">
        <v>11843</v>
      </c>
      <c r="Q282" s="9">
        <f t="shared" si="4"/>
        <v>1423.0954097572699</v>
      </c>
      <c r="R282" s="9"/>
      <c r="S282" s="9" t="s">
        <v>12795</v>
      </c>
      <c r="T282" s="9" t="s">
        <v>12795</v>
      </c>
      <c r="U282" s="9"/>
      <c r="V282" s="9"/>
      <c r="W282" s="9"/>
      <c r="X282" s="9"/>
      <c r="Y282" s="9"/>
      <c r="Z282" s="9"/>
      <c r="AA282" s="9"/>
      <c r="AB282" s="9"/>
      <c r="AC282" s="9"/>
      <c r="AD282" s="9"/>
    </row>
    <row r="283" spans="1:30" ht="87">
      <c r="A283" s="3" t="s">
        <v>1809</v>
      </c>
      <c r="B283" s="3" t="s">
        <v>6651</v>
      </c>
      <c r="C283" s="3" t="s">
        <v>6654</v>
      </c>
      <c r="G283" s="9" t="s">
        <v>24</v>
      </c>
      <c r="H283" s="9"/>
      <c r="I283" s="9">
        <v>2</v>
      </c>
      <c r="J283" s="9">
        <v>7</v>
      </c>
      <c r="K283" s="9"/>
      <c r="L283" s="9" t="s">
        <v>12073</v>
      </c>
      <c r="M283" s="9" t="s">
        <v>12140</v>
      </c>
      <c r="N283" s="10" t="s">
        <v>12137</v>
      </c>
      <c r="O283" s="9"/>
      <c r="P283" s="9">
        <v>635</v>
      </c>
      <c r="Q283" s="9">
        <f t="shared" si="4"/>
        <v>76.303773131458783</v>
      </c>
      <c r="R283" s="9"/>
      <c r="S283" s="9" t="s">
        <v>12795</v>
      </c>
      <c r="T283" s="9" t="s">
        <v>12795</v>
      </c>
      <c r="U283" s="9"/>
      <c r="V283" s="9"/>
      <c r="W283" s="9"/>
      <c r="X283" s="9"/>
      <c r="Y283" s="9"/>
      <c r="Z283" s="9"/>
      <c r="AA283" s="9"/>
      <c r="AB283" s="9"/>
      <c r="AC283" s="9"/>
      <c r="AD283" s="9"/>
    </row>
    <row r="284" spans="1:30" ht="58">
      <c r="A284" s="3" t="s">
        <v>1809</v>
      </c>
      <c r="B284" s="3" t="s">
        <v>6657</v>
      </c>
      <c r="C284" s="3" t="s">
        <v>6660</v>
      </c>
      <c r="G284" s="9" t="s">
        <v>24</v>
      </c>
      <c r="H284" s="9"/>
      <c r="I284" s="9">
        <v>1</v>
      </c>
      <c r="J284" s="9">
        <v>3</v>
      </c>
      <c r="K284" s="9" t="s">
        <v>12078</v>
      </c>
      <c r="L284" s="9" t="s">
        <v>12079</v>
      </c>
      <c r="M284" s="9"/>
      <c r="N284" s="10"/>
      <c r="O284" s="9"/>
      <c r="P284" s="9">
        <v>11843</v>
      </c>
      <c r="Q284" s="9">
        <f t="shared" si="4"/>
        <v>1423.0954097572699</v>
      </c>
      <c r="R284" s="9"/>
      <c r="S284" s="9" t="s">
        <v>12795</v>
      </c>
      <c r="T284" s="9" t="s">
        <v>12795</v>
      </c>
      <c r="U284" s="9"/>
      <c r="V284" s="9"/>
      <c r="W284" s="9"/>
      <c r="X284" s="9"/>
      <c r="Y284" s="9"/>
      <c r="Z284" s="9"/>
      <c r="AA284" s="9"/>
      <c r="AB284" s="9"/>
      <c r="AC284" s="9"/>
      <c r="AD284" s="9"/>
    </row>
    <row r="285" spans="1:30" ht="29">
      <c r="A285" s="3" t="s">
        <v>1811</v>
      </c>
      <c r="B285" s="3" t="s">
        <v>6663</v>
      </c>
      <c r="C285" s="3" t="s">
        <v>6664</v>
      </c>
      <c r="G285" s="9" t="s">
        <v>25</v>
      </c>
      <c r="H285" s="9"/>
      <c r="I285" s="9">
        <v>1</v>
      </c>
      <c r="J285" s="9">
        <v>1</v>
      </c>
      <c r="K285" s="9" t="s">
        <v>12078</v>
      </c>
      <c r="L285" s="9" t="s">
        <v>12119</v>
      </c>
      <c r="M285" s="9"/>
      <c r="N285" s="10"/>
      <c r="O285" s="9"/>
      <c r="P285" s="9">
        <v>11843</v>
      </c>
      <c r="Q285" s="9">
        <f t="shared" si="4"/>
        <v>1423.0954097572699</v>
      </c>
      <c r="R285" s="9"/>
      <c r="S285" s="9" t="s">
        <v>12795</v>
      </c>
      <c r="T285" s="9" t="s">
        <v>12795</v>
      </c>
      <c r="U285" s="9"/>
      <c r="V285" s="9"/>
      <c r="W285" s="9"/>
      <c r="X285" s="9"/>
      <c r="Y285" s="9"/>
      <c r="Z285" s="9"/>
      <c r="AA285" s="9"/>
      <c r="AB285" s="9"/>
      <c r="AC285" s="9"/>
      <c r="AD285" s="9"/>
    </row>
    <row r="286" spans="1:30" ht="72.5">
      <c r="A286" s="3" t="s">
        <v>1820</v>
      </c>
      <c r="B286" s="3" t="s">
        <v>6674</v>
      </c>
      <c r="C286" s="3" t="s">
        <v>6673</v>
      </c>
      <c r="G286" s="9" t="s">
        <v>25</v>
      </c>
      <c r="H286" s="9"/>
      <c r="I286" s="9">
        <v>1</v>
      </c>
      <c r="J286" s="9">
        <v>2</v>
      </c>
      <c r="K286" s="9" t="s">
        <v>12078</v>
      </c>
      <c r="L286" s="9" t="s">
        <v>12119</v>
      </c>
      <c r="M286" s="9"/>
      <c r="N286" s="10"/>
      <c r="O286" s="9"/>
      <c r="P286" s="9">
        <v>11843</v>
      </c>
      <c r="Q286" s="9">
        <f t="shared" si="4"/>
        <v>1423.0954097572699</v>
      </c>
      <c r="R286" s="9"/>
      <c r="S286" s="9" t="s">
        <v>12795</v>
      </c>
      <c r="T286" s="9" t="s">
        <v>12795</v>
      </c>
      <c r="U286" s="9"/>
      <c r="V286" s="9"/>
      <c r="W286" s="9"/>
      <c r="X286" s="9"/>
      <c r="Y286" s="9"/>
      <c r="Z286" s="9"/>
      <c r="AA286" s="9"/>
      <c r="AB286" s="9"/>
      <c r="AC286" s="9"/>
      <c r="AD286" s="9"/>
    </row>
    <row r="287" spans="1:30" ht="87">
      <c r="A287" s="3" t="s">
        <v>1822</v>
      </c>
      <c r="B287" s="3" t="s">
        <v>6680</v>
      </c>
      <c r="C287" s="3" t="s">
        <v>6679</v>
      </c>
      <c r="G287" s="9" t="s">
        <v>25</v>
      </c>
      <c r="H287" s="9"/>
      <c r="I287" s="9">
        <v>1</v>
      </c>
      <c r="J287" s="9">
        <v>3</v>
      </c>
      <c r="K287" s="9" t="s">
        <v>12087</v>
      </c>
      <c r="L287" s="9" t="s">
        <v>12079</v>
      </c>
      <c r="M287" s="9"/>
      <c r="N287" s="10"/>
      <c r="O287" s="9"/>
      <c r="P287" s="9">
        <v>5676</v>
      </c>
      <c r="Q287" s="9">
        <f t="shared" si="4"/>
        <v>682.04758471521268</v>
      </c>
      <c r="R287" s="9"/>
      <c r="S287" s="9" t="s">
        <v>12795</v>
      </c>
      <c r="T287" s="9" t="s">
        <v>12795</v>
      </c>
      <c r="U287" s="9"/>
      <c r="V287" s="9"/>
      <c r="W287" s="9"/>
      <c r="X287" s="9"/>
      <c r="Y287" s="9"/>
      <c r="Z287" s="9"/>
      <c r="AA287" s="9"/>
      <c r="AB287" s="9"/>
      <c r="AC287" s="9"/>
      <c r="AD287" s="9"/>
    </row>
    <row r="288" spans="1:30" ht="29">
      <c r="A288" s="3" t="s">
        <v>1831</v>
      </c>
      <c r="B288" s="3" t="s">
        <v>6697</v>
      </c>
      <c r="C288" s="11" t="s">
        <v>6698</v>
      </c>
      <c r="G288" s="9" t="s">
        <v>25</v>
      </c>
      <c r="H288" s="9"/>
      <c r="I288" s="9">
        <v>1</v>
      </c>
      <c r="J288" s="9">
        <v>1</v>
      </c>
      <c r="K288" s="9" t="s">
        <v>12078</v>
      </c>
      <c r="L288" s="9" t="s">
        <v>12119</v>
      </c>
      <c r="M288" s="9"/>
      <c r="N288" s="10"/>
      <c r="O288" s="9"/>
      <c r="P288" s="9">
        <v>11843</v>
      </c>
      <c r="Q288" s="9">
        <f t="shared" si="4"/>
        <v>1423.0954097572699</v>
      </c>
      <c r="R288" s="9"/>
      <c r="S288" s="9" t="s">
        <v>12795</v>
      </c>
      <c r="T288" s="9" t="s">
        <v>12795</v>
      </c>
      <c r="U288" s="9"/>
      <c r="V288" s="9"/>
      <c r="W288" s="9"/>
      <c r="X288" s="9"/>
      <c r="Y288" s="9"/>
      <c r="Z288" s="9"/>
      <c r="AA288" s="9"/>
      <c r="AB288" s="9"/>
      <c r="AC288" s="9"/>
      <c r="AD288" s="9"/>
    </row>
    <row r="289" spans="1:30" ht="58">
      <c r="A289" s="3" t="s">
        <v>1834</v>
      </c>
      <c r="B289" s="3" t="s">
        <v>6706</v>
      </c>
      <c r="C289" s="3" t="s">
        <v>6707</v>
      </c>
      <c r="G289" s="9" t="s">
        <v>25</v>
      </c>
      <c r="H289" s="9"/>
      <c r="I289" s="9">
        <v>2</v>
      </c>
      <c r="J289" s="9">
        <v>9</v>
      </c>
      <c r="K289" s="9"/>
      <c r="L289" s="9" t="s">
        <v>12073</v>
      </c>
      <c r="M289" s="9" t="s">
        <v>12140</v>
      </c>
      <c r="N289" s="10" t="s">
        <v>12136</v>
      </c>
      <c r="O289" s="9"/>
      <c r="P289" s="9">
        <v>508</v>
      </c>
      <c r="Q289" s="9">
        <f t="shared" si="4"/>
        <v>61.043018505167026</v>
      </c>
      <c r="R289" s="9"/>
      <c r="S289" s="9" t="s">
        <v>12795</v>
      </c>
      <c r="T289" s="9" t="s">
        <v>12795</v>
      </c>
      <c r="U289" s="9"/>
      <c r="V289" s="9"/>
      <c r="W289" s="9"/>
      <c r="X289" s="9"/>
      <c r="Y289" s="9"/>
      <c r="Z289" s="9"/>
      <c r="AA289" s="9"/>
      <c r="AB289" s="9"/>
      <c r="AC289" s="9"/>
      <c r="AD289" s="9"/>
    </row>
    <row r="290" spans="1:30" ht="130.5">
      <c r="A290" s="3" t="s">
        <v>1841</v>
      </c>
      <c r="B290" s="3" t="s">
        <v>6713</v>
      </c>
      <c r="C290" s="3" t="s">
        <v>6712</v>
      </c>
      <c r="G290" s="9" t="s">
        <v>25</v>
      </c>
      <c r="H290" s="9"/>
      <c r="I290" s="9">
        <v>1</v>
      </c>
      <c r="J290" s="9">
        <v>2</v>
      </c>
      <c r="K290" s="9" t="s">
        <v>12087</v>
      </c>
      <c r="L290" s="9" t="s">
        <v>12119</v>
      </c>
      <c r="M290" s="9"/>
      <c r="N290" s="10"/>
      <c r="O290" s="9"/>
      <c r="P290" s="9">
        <v>227</v>
      </c>
      <c r="Q290" s="9">
        <f t="shared" si="4"/>
        <v>27.277096851718337</v>
      </c>
      <c r="R290" s="9"/>
      <c r="S290" s="9" t="s">
        <v>12795</v>
      </c>
      <c r="T290" s="9" t="s">
        <v>12795</v>
      </c>
      <c r="U290" s="9"/>
      <c r="V290" s="9"/>
      <c r="W290" s="9"/>
      <c r="X290" s="9"/>
      <c r="Y290" s="9"/>
      <c r="Z290" s="9"/>
      <c r="AA290" s="9"/>
      <c r="AB290" s="9"/>
      <c r="AC290" s="9"/>
      <c r="AD290" s="9"/>
    </row>
    <row r="291" spans="1:30" ht="130.5">
      <c r="A291" s="3" t="s">
        <v>1841</v>
      </c>
      <c r="B291" s="3" t="s">
        <v>6714</v>
      </c>
      <c r="C291" s="3" t="s">
        <v>6712</v>
      </c>
      <c r="G291" s="9" t="s">
        <v>25</v>
      </c>
      <c r="H291" s="9"/>
      <c r="I291" s="9">
        <v>1</v>
      </c>
      <c r="J291" s="9">
        <v>4</v>
      </c>
      <c r="K291" s="9" t="s">
        <v>12094</v>
      </c>
      <c r="L291" s="9" t="s">
        <v>12079</v>
      </c>
      <c r="M291" s="9"/>
      <c r="N291" s="10"/>
      <c r="O291" s="9"/>
      <c r="P291" s="9"/>
      <c r="Q291" s="9" t="str">
        <f t="shared" si="4"/>
        <v/>
      </c>
      <c r="R291" s="9"/>
      <c r="S291" s="9" t="s">
        <v>12795</v>
      </c>
      <c r="T291" s="9" t="s">
        <v>12795</v>
      </c>
      <c r="U291" s="9"/>
      <c r="V291" s="9"/>
      <c r="W291" s="9"/>
      <c r="X291" s="9"/>
      <c r="Y291" s="9"/>
      <c r="Z291" s="9"/>
      <c r="AA291" s="9"/>
      <c r="AB291" s="9"/>
      <c r="AC291" s="9"/>
      <c r="AD291" s="9"/>
    </row>
    <row r="292" spans="1:30" ht="130.5">
      <c r="A292" s="3" t="s">
        <v>1841</v>
      </c>
      <c r="B292" s="3" t="s">
        <v>6711</v>
      </c>
      <c r="C292" s="3" t="s">
        <v>6719</v>
      </c>
      <c r="G292" s="9" t="s">
        <v>24</v>
      </c>
      <c r="H292" s="9"/>
      <c r="I292" s="9">
        <v>1</v>
      </c>
      <c r="J292" s="9">
        <v>8</v>
      </c>
      <c r="K292" s="9" t="s">
        <v>12092</v>
      </c>
      <c r="L292" s="9" t="s">
        <v>12073</v>
      </c>
      <c r="M292" s="9" t="s">
        <v>12142</v>
      </c>
      <c r="N292" s="10" t="s">
        <v>12160</v>
      </c>
      <c r="O292" s="9"/>
      <c r="P292" s="9">
        <v>28</v>
      </c>
      <c r="Q292" s="9">
        <f t="shared" si="4"/>
        <v>3.3645758231194423</v>
      </c>
      <c r="R292" s="9"/>
      <c r="S292" s="9" t="s">
        <v>12795</v>
      </c>
      <c r="T292" s="9" t="s">
        <v>12795</v>
      </c>
      <c r="U292" s="9"/>
      <c r="V292" s="9"/>
      <c r="W292" s="9"/>
      <c r="X292" s="9"/>
      <c r="Y292" s="9"/>
      <c r="Z292" s="9"/>
      <c r="AA292" s="9"/>
      <c r="AB292" s="9"/>
      <c r="AC292" s="9"/>
      <c r="AD292" s="9"/>
    </row>
    <row r="293" spans="1:30" ht="72.5">
      <c r="A293" s="3" t="s">
        <v>1842</v>
      </c>
      <c r="B293" s="3" t="s">
        <v>6720</v>
      </c>
      <c r="C293" s="5" t="s">
        <v>6721</v>
      </c>
      <c r="D293" t="s">
        <v>32</v>
      </c>
      <c r="G293" s="9" t="s">
        <v>25</v>
      </c>
      <c r="H293" s="9"/>
      <c r="I293" s="9">
        <v>1</v>
      </c>
      <c r="J293" s="9">
        <v>2</v>
      </c>
      <c r="K293" s="9" t="s">
        <v>12087</v>
      </c>
      <c r="L293" s="9" t="s">
        <v>12119</v>
      </c>
      <c r="M293" s="9"/>
      <c r="N293" s="10"/>
      <c r="O293" s="9"/>
      <c r="P293" s="9">
        <v>1966</v>
      </c>
      <c r="Q293" s="9">
        <f t="shared" si="4"/>
        <v>236.24128815188658</v>
      </c>
      <c r="R293" s="9"/>
      <c r="S293" s="9" t="s">
        <v>12795</v>
      </c>
      <c r="T293" s="9" t="s">
        <v>12795</v>
      </c>
      <c r="U293" s="9"/>
      <c r="V293" s="9"/>
      <c r="W293" s="9"/>
      <c r="X293" s="9"/>
      <c r="Y293" s="9"/>
      <c r="Z293" s="9"/>
      <c r="AA293" s="9"/>
      <c r="AB293" s="9"/>
      <c r="AC293" s="9"/>
      <c r="AD293" s="9"/>
    </row>
    <row r="294" spans="1:30" ht="72.5">
      <c r="A294" s="3" t="s">
        <v>1842</v>
      </c>
      <c r="B294" s="3" t="s">
        <v>6724</v>
      </c>
      <c r="C294" s="3" t="s">
        <v>6723</v>
      </c>
      <c r="F294" t="s">
        <v>19</v>
      </c>
      <c r="G294" s="9" t="s">
        <v>25</v>
      </c>
      <c r="H294" s="9"/>
      <c r="I294" s="9">
        <v>1</v>
      </c>
      <c r="J294" s="9">
        <v>3</v>
      </c>
      <c r="K294" s="9" t="s">
        <v>12078</v>
      </c>
      <c r="L294" s="9" t="s">
        <v>12079</v>
      </c>
      <c r="M294" s="9"/>
      <c r="N294" s="10"/>
      <c r="O294" s="9"/>
      <c r="P294" s="9">
        <v>11843</v>
      </c>
      <c r="Q294" s="9">
        <f t="shared" si="4"/>
        <v>1423.0954097572699</v>
      </c>
      <c r="R294" s="9"/>
      <c r="S294" s="9" t="s">
        <v>12795</v>
      </c>
      <c r="T294" s="9" t="s">
        <v>12795</v>
      </c>
      <c r="U294" s="9"/>
      <c r="V294" s="9"/>
      <c r="W294" s="9"/>
      <c r="X294" s="9"/>
      <c r="Y294" s="9"/>
      <c r="Z294" s="9"/>
      <c r="AA294" s="9"/>
      <c r="AB294" s="9"/>
      <c r="AC294" s="9"/>
      <c r="AD294" s="9"/>
    </row>
    <row r="295" spans="1:30" ht="72.5">
      <c r="A295" s="3" t="s">
        <v>1842</v>
      </c>
      <c r="B295" s="3" t="s">
        <v>6725</v>
      </c>
      <c r="C295" s="3" t="s">
        <v>6723</v>
      </c>
      <c r="F295" t="s">
        <v>19</v>
      </c>
      <c r="G295" s="9" t="s">
        <v>25</v>
      </c>
      <c r="H295" s="9"/>
      <c r="I295" s="9">
        <v>1</v>
      </c>
      <c r="J295" s="9">
        <v>2</v>
      </c>
      <c r="K295" s="9" t="s">
        <v>12078</v>
      </c>
      <c r="L295" s="9" t="s">
        <v>12119</v>
      </c>
      <c r="M295" s="9"/>
      <c r="N295" s="10"/>
      <c r="O295" s="9"/>
      <c r="P295" s="9">
        <v>11843</v>
      </c>
      <c r="Q295" s="9">
        <f t="shared" si="4"/>
        <v>1423.0954097572699</v>
      </c>
      <c r="R295" s="9"/>
      <c r="S295" s="9" t="s">
        <v>12795</v>
      </c>
      <c r="T295" s="9" t="s">
        <v>12795</v>
      </c>
      <c r="U295" s="9"/>
      <c r="V295" s="9"/>
      <c r="W295" s="9"/>
      <c r="X295" s="9"/>
      <c r="Y295" s="9"/>
      <c r="Z295" s="9"/>
      <c r="AA295" s="9"/>
      <c r="AB295" s="9"/>
      <c r="AC295" s="9"/>
      <c r="AD295" s="9"/>
    </row>
    <row r="296" spans="1:30" ht="101.5">
      <c r="A296" s="3" t="s">
        <v>1844</v>
      </c>
      <c r="B296" s="3" t="s">
        <v>6732</v>
      </c>
      <c r="C296" s="3" t="s">
        <v>6733</v>
      </c>
      <c r="G296" s="9" t="s">
        <v>24</v>
      </c>
      <c r="H296" s="9"/>
      <c r="I296" s="9">
        <v>2</v>
      </c>
      <c r="J296" s="9">
        <v>7</v>
      </c>
      <c r="K296" s="9"/>
      <c r="L296" s="9" t="s">
        <v>12079</v>
      </c>
      <c r="M296" s="9"/>
      <c r="N296" s="10"/>
      <c r="O296" s="9"/>
      <c r="P296" s="9">
        <v>28</v>
      </c>
      <c r="Q296" s="9">
        <f t="shared" si="4"/>
        <v>3.3645758231194423</v>
      </c>
      <c r="R296" s="9"/>
      <c r="S296" s="9" t="s">
        <v>12795</v>
      </c>
      <c r="T296" s="9" t="s">
        <v>12795</v>
      </c>
      <c r="U296" s="9"/>
      <c r="V296" s="9"/>
      <c r="W296" s="9"/>
      <c r="X296" s="9"/>
      <c r="Y296" s="9"/>
      <c r="Z296" s="9"/>
      <c r="AA296" s="9"/>
      <c r="AB296" s="9"/>
      <c r="AC296" s="9"/>
      <c r="AD296" s="9"/>
    </row>
    <row r="297" spans="1:30" ht="101.5">
      <c r="A297" s="3" t="s">
        <v>1844</v>
      </c>
      <c r="B297" s="3" t="s">
        <v>6732</v>
      </c>
      <c r="C297" s="3" t="s">
        <v>6734</v>
      </c>
      <c r="G297" s="9" t="s">
        <v>24</v>
      </c>
      <c r="H297" s="9"/>
      <c r="I297" s="9">
        <v>2</v>
      </c>
      <c r="J297" s="9">
        <v>6</v>
      </c>
      <c r="K297" s="9"/>
      <c r="L297" s="9" t="s">
        <v>12079</v>
      </c>
      <c r="M297" s="9"/>
      <c r="N297" s="10"/>
      <c r="O297" s="9"/>
      <c r="P297" s="9">
        <v>887</v>
      </c>
      <c r="Q297" s="9">
        <f t="shared" si="4"/>
        <v>106.58495553953377</v>
      </c>
      <c r="R297" s="9"/>
      <c r="S297" s="9" t="s">
        <v>12795</v>
      </c>
      <c r="T297" s="9" t="s">
        <v>12795</v>
      </c>
      <c r="U297" s="9"/>
      <c r="V297" s="9"/>
      <c r="W297" s="9"/>
      <c r="X297" s="9"/>
      <c r="Y297" s="9"/>
      <c r="Z297" s="9"/>
      <c r="AA297" s="9"/>
      <c r="AB297" s="9"/>
      <c r="AC297" s="9"/>
      <c r="AD297" s="9"/>
    </row>
    <row r="298" spans="1:30" ht="43.5">
      <c r="A298" s="3" t="s">
        <v>1845</v>
      </c>
      <c r="B298" s="3" t="s">
        <v>6735</v>
      </c>
      <c r="C298" s="3" t="s">
        <v>6736</v>
      </c>
      <c r="G298" s="9" t="s">
        <v>25</v>
      </c>
      <c r="H298" s="9"/>
      <c r="I298" s="9">
        <v>1</v>
      </c>
      <c r="J298" s="9">
        <v>6</v>
      </c>
      <c r="K298" s="9" t="s">
        <v>12125</v>
      </c>
      <c r="L298" s="9" t="s">
        <v>12079</v>
      </c>
      <c r="M298" s="9"/>
      <c r="N298" s="10"/>
      <c r="O298" s="9"/>
      <c r="P298" s="9">
        <v>173</v>
      </c>
      <c r="Q298" s="9">
        <f t="shared" si="4"/>
        <v>20.788272049987985</v>
      </c>
      <c r="R298" s="9"/>
      <c r="S298" s="9" t="s">
        <v>12795</v>
      </c>
      <c r="T298" s="9" t="s">
        <v>12795</v>
      </c>
      <c r="U298" s="9"/>
      <c r="V298" s="9"/>
      <c r="W298" s="9"/>
      <c r="X298" s="9"/>
      <c r="Y298" s="9"/>
      <c r="Z298" s="9"/>
      <c r="AA298" s="9"/>
      <c r="AB298" s="9"/>
      <c r="AC298" s="9"/>
      <c r="AD298" s="9"/>
    </row>
    <row r="299" spans="1:30" ht="43.5">
      <c r="A299" s="3" t="s">
        <v>1848</v>
      </c>
      <c r="B299" s="3" t="s">
        <v>6740</v>
      </c>
      <c r="C299" s="3" t="s">
        <v>6741</v>
      </c>
      <c r="G299" s="9" t="s">
        <v>25</v>
      </c>
      <c r="H299" s="9"/>
      <c r="I299" s="9">
        <v>1</v>
      </c>
      <c r="J299" s="9">
        <v>7</v>
      </c>
      <c r="K299" s="9" t="s">
        <v>12092</v>
      </c>
      <c r="L299" s="9" t="s">
        <v>12079</v>
      </c>
      <c r="M299" s="9"/>
      <c r="N299" s="10"/>
      <c r="O299" s="9"/>
      <c r="P299" s="9">
        <v>57</v>
      </c>
      <c r="Q299" s="9">
        <f t="shared" si="4"/>
        <v>6.8493150684931505</v>
      </c>
      <c r="R299" s="9"/>
      <c r="S299" s="9" t="s">
        <v>12795</v>
      </c>
      <c r="T299" s="9" t="s">
        <v>12795</v>
      </c>
      <c r="U299" s="9"/>
      <c r="V299" s="9"/>
      <c r="W299" s="9"/>
      <c r="X299" s="9"/>
      <c r="Y299" s="9"/>
      <c r="Z299" s="9"/>
      <c r="AA299" s="9"/>
      <c r="AB299" s="9"/>
      <c r="AC299" s="9"/>
      <c r="AD299" s="9"/>
    </row>
    <row r="300" spans="1:30" ht="43.5">
      <c r="A300" s="3" t="s">
        <v>1851</v>
      </c>
      <c r="B300" s="3" t="s">
        <v>6744</v>
      </c>
      <c r="C300" s="3" t="s">
        <v>6745</v>
      </c>
      <c r="G300" s="9" t="s">
        <v>25</v>
      </c>
      <c r="H300" s="9"/>
      <c r="I300" s="9">
        <v>1</v>
      </c>
      <c r="J300" s="9">
        <v>9</v>
      </c>
      <c r="K300" s="9" t="s">
        <v>12092</v>
      </c>
      <c r="L300" s="9" t="s">
        <v>12079</v>
      </c>
      <c r="M300" s="9"/>
      <c r="N300" s="10"/>
      <c r="O300" s="9"/>
      <c r="P300" s="9">
        <v>50</v>
      </c>
      <c r="Q300" s="9">
        <f t="shared" si="4"/>
        <v>6.0081711127132902</v>
      </c>
      <c r="R300" s="9"/>
      <c r="S300" s="9" t="s">
        <v>12795</v>
      </c>
      <c r="T300" s="9" t="s">
        <v>12795</v>
      </c>
      <c r="U300" s="9"/>
      <c r="V300" s="9"/>
      <c r="W300" s="9"/>
      <c r="X300" s="9"/>
      <c r="Y300" s="9"/>
      <c r="Z300" s="9"/>
      <c r="AA300" s="9"/>
      <c r="AB300" s="9"/>
      <c r="AC300" s="9"/>
      <c r="AD300" s="9"/>
    </row>
    <row r="301" spans="1:30" ht="72.5">
      <c r="A301" s="3" t="s">
        <v>1856</v>
      </c>
      <c r="B301" s="3" t="s">
        <v>6752</v>
      </c>
      <c r="C301" s="3" t="s">
        <v>6753</v>
      </c>
      <c r="G301" s="9" t="s">
        <v>24</v>
      </c>
      <c r="H301" s="9"/>
      <c r="I301" s="9">
        <v>1</v>
      </c>
      <c r="J301" s="9">
        <v>2</v>
      </c>
      <c r="K301" s="9" t="s">
        <v>12123</v>
      </c>
      <c r="L301" s="9" t="s">
        <v>12119</v>
      </c>
      <c r="M301" s="9"/>
      <c r="N301" s="10"/>
      <c r="O301" s="9"/>
      <c r="P301" s="9">
        <v>134</v>
      </c>
      <c r="Q301" s="9">
        <f t="shared" si="4"/>
        <v>16.101898582071616</v>
      </c>
      <c r="R301" s="9"/>
      <c r="S301" s="9" t="s">
        <v>12795</v>
      </c>
      <c r="T301" s="9" t="s">
        <v>12795</v>
      </c>
      <c r="U301" s="9"/>
      <c r="V301" s="9"/>
      <c r="W301" s="9"/>
      <c r="X301" s="9"/>
      <c r="Y301" s="9"/>
      <c r="Z301" s="9"/>
      <c r="AA301" s="9"/>
      <c r="AB301" s="9"/>
      <c r="AC301" s="9"/>
      <c r="AD301" s="9"/>
    </row>
    <row r="302" spans="1:30" ht="29">
      <c r="A302" s="3" t="s">
        <v>1857</v>
      </c>
      <c r="B302" s="3" t="s">
        <v>6759</v>
      </c>
      <c r="C302" s="3" t="s">
        <v>6760</v>
      </c>
      <c r="G302" s="9" t="s">
        <v>25</v>
      </c>
      <c r="H302" s="9"/>
      <c r="I302" s="9">
        <v>1</v>
      </c>
      <c r="J302" s="9">
        <v>3</v>
      </c>
      <c r="K302" s="9" t="s">
        <v>12087</v>
      </c>
      <c r="L302" s="9" t="s">
        <v>12079</v>
      </c>
      <c r="M302" s="9"/>
      <c r="N302" s="10"/>
      <c r="O302" s="9"/>
      <c r="P302" s="9">
        <v>5676</v>
      </c>
      <c r="Q302" s="9">
        <f t="shared" si="4"/>
        <v>682.04758471521268</v>
      </c>
      <c r="R302" s="9"/>
      <c r="S302" s="9" t="s">
        <v>12795</v>
      </c>
      <c r="T302" s="9" t="s">
        <v>12795</v>
      </c>
      <c r="U302" s="9"/>
      <c r="V302" s="9"/>
      <c r="W302" s="9"/>
      <c r="X302" s="9"/>
      <c r="Y302" s="9"/>
      <c r="Z302" s="9"/>
      <c r="AA302" s="9"/>
      <c r="AB302" s="9"/>
      <c r="AC302" s="9"/>
      <c r="AD302" s="9"/>
    </row>
    <row r="303" spans="1:30" ht="43.5">
      <c r="A303" s="3" t="s">
        <v>1858</v>
      </c>
      <c r="B303" s="3" t="s">
        <v>6762</v>
      </c>
      <c r="C303" s="3" t="s">
        <v>6761</v>
      </c>
      <c r="G303" s="9" t="s">
        <v>24</v>
      </c>
      <c r="H303" s="9"/>
      <c r="I303" s="9">
        <v>1</v>
      </c>
      <c r="J303" s="9">
        <v>3</v>
      </c>
      <c r="K303" s="9" t="s">
        <v>12078</v>
      </c>
      <c r="L303" s="9" t="s">
        <v>12079</v>
      </c>
      <c r="M303" s="9"/>
      <c r="N303" s="10"/>
      <c r="O303" s="9"/>
      <c r="P303" s="9">
        <v>11843</v>
      </c>
      <c r="Q303" s="9">
        <f t="shared" si="4"/>
        <v>1423.0954097572699</v>
      </c>
      <c r="R303" s="9"/>
      <c r="S303" s="9" t="s">
        <v>12795</v>
      </c>
      <c r="T303" s="9" t="s">
        <v>12795</v>
      </c>
      <c r="U303" s="9"/>
      <c r="V303" s="9"/>
      <c r="W303" s="9"/>
      <c r="X303" s="9"/>
      <c r="Y303" s="9"/>
      <c r="Z303" s="9"/>
      <c r="AA303" s="9"/>
      <c r="AB303" s="9"/>
      <c r="AC303" s="9"/>
      <c r="AD303" s="9"/>
    </row>
    <row r="304" spans="1:30" ht="58">
      <c r="A304" s="3" t="s">
        <v>1858</v>
      </c>
      <c r="B304" s="3" t="s">
        <v>6764</v>
      </c>
      <c r="C304" s="3" t="s">
        <v>6763</v>
      </c>
      <c r="G304" s="9" t="s">
        <v>24</v>
      </c>
      <c r="H304" s="9"/>
      <c r="I304" s="9">
        <v>1</v>
      </c>
      <c r="J304" s="9">
        <v>3</v>
      </c>
      <c r="K304" s="9" t="s">
        <v>12087</v>
      </c>
      <c r="L304" s="9" t="s">
        <v>12079</v>
      </c>
      <c r="M304" s="9"/>
      <c r="N304" s="10"/>
      <c r="O304" s="9"/>
      <c r="P304" s="9">
        <v>5676</v>
      </c>
      <c r="Q304" s="9">
        <f t="shared" si="4"/>
        <v>682.04758471521268</v>
      </c>
      <c r="R304" s="9"/>
      <c r="S304" s="9" t="s">
        <v>12795</v>
      </c>
      <c r="T304" s="9" t="s">
        <v>12795</v>
      </c>
      <c r="U304" s="9"/>
      <c r="V304" s="9"/>
      <c r="W304" s="9"/>
      <c r="X304" s="9"/>
      <c r="Y304" s="9"/>
      <c r="Z304" s="9"/>
      <c r="AA304" s="9"/>
      <c r="AB304" s="9"/>
      <c r="AC304" s="9"/>
      <c r="AD304" s="9"/>
    </row>
    <row r="305" spans="1:30" ht="43.5">
      <c r="A305" s="3" t="s">
        <v>1880</v>
      </c>
      <c r="B305" s="11" t="s">
        <v>6789</v>
      </c>
      <c r="C305" s="11" t="s">
        <v>6788</v>
      </c>
      <c r="G305" s="9" t="s">
        <v>24</v>
      </c>
      <c r="H305" s="9"/>
      <c r="I305" s="9">
        <v>1</v>
      </c>
      <c r="J305" s="9">
        <v>2</v>
      </c>
      <c r="K305" s="9" t="s">
        <v>12087</v>
      </c>
      <c r="L305" s="9" t="s">
        <v>12119</v>
      </c>
      <c r="M305" s="9"/>
      <c r="N305" s="10"/>
      <c r="O305" s="9"/>
      <c r="P305" s="9">
        <v>1966</v>
      </c>
      <c r="Q305" s="9">
        <f t="shared" si="4"/>
        <v>236.24128815188658</v>
      </c>
      <c r="R305" s="9"/>
      <c r="S305" s="9" t="s">
        <v>12795</v>
      </c>
      <c r="T305" s="9" t="s">
        <v>12795</v>
      </c>
      <c r="U305" s="9"/>
      <c r="V305" s="9"/>
      <c r="W305" s="9"/>
      <c r="X305" s="9"/>
      <c r="Y305" s="9"/>
      <c r="Z305" s="9"/>
      <c r="AA305" s="9"/>
      <c r="AB305" s="9"/>
      <c r="AC305" s="9"/>
      <c r="AD305" s="9"/>
    </row>
    <row r="306" spans="1:30" ht="43.5">
      <c r="A306" s="3" t="s">
        <v>1888</v>
      </c>
      <c r="B306" s="3" t="s">
        <v>6808</v>
      </c>
      <c r="C306" s="3" t="s">
        <v>6809</v>
      </c>
      <c r="G306" s="9" t="s">
        <v>24</v>
      </c>
      <c r="H306" s="9"/>
      <c r="I306" s="9">
        <v>1</v>
      </c>
      <c r="J306" s="9">
        <v>3</v>
      </c>
      <c r="K306" s="9" t="s">
        <v>12087</v>
      </c>
      <c r="L306" s="9" t="s">
        <v>12079</v>
      </c>
      <c r="M306" s="9"/>
      <c r="N306" s="10"/>
      <c r="O306" s="9"/>
      <c r="P306" s="9">
        <v>5676</v>
      </c>
      <c r="Q306" s="9">
        <f t="shared" si="4"/>
        <v>682.04758471521268</v>
      </c>
      <c r="R306" s="9"/>
      <c r="S306" s="9" t="s">
        <v>12795</v>
      </c>
      <c r="T306" s="9" t="s">
        <v>12795</v>
      </c>
      <c r="U306" s="9"/>
      <c r="V306" s="9"/>
      <c r="W306" s="9"/>
      <c r="X306" s="9"/>
      <c r="Y306" s="9"/>
      <c r="Z306" s="9"/>
      <c r="AA306" s="9"/>
      <c r="AB306" s="9"/>
      <c r="AC306" s="9"/>
      <c r="AD306" s="9"/>
    </row>
    <row r="307" spans="1:30" ht="87">
      <c r="A307" s="3" t="s">
        <v>1895</v>
      </c>
      <c r="B307" s="3" t="s">
        <v>6816</v>
      </c>
      <c r="C307" s="3" t="s">
        <v>6818</v>
      </c>
      <c r="G307" s="9" t="s">
        <v>24</v>
      </c>
      <c r="H307" s="9"/>
      <c r="I307" s="9">
        <v>1</v>
      </c>
      <c r="J307" s="9">
        <v>3</v>
      </c>
      <c r="K307" s="9" t="s">
        <v>12078</v>
      </c>
      <c r="L307" s="9" t="s">
        <v>12079</v>
      </c>
      <c r="M307" s="9"/>
      <c r="N307" s="10"/>
      <c r="O307" s="9"/>
      <c r="P307" s="9">
        <v>11843</v>
      </c>
      <c r="Q307" s="9">
        <f t="shared" si="4"/>
        <v>1423.0954097572699</v>
      </c>
      <c r="R307" s="9"/>
      <c r="S307" s="9" t="s">
        <v>12795</v>
      </c>
      <c r="T307" s="9" t="s">
        <v>12795</v>
      </c>
      <c r="U307" s="9"/>
      <c r="V307" s="9"/>
      <c r="W307" s="9"/>
      <c r="X307" s="9"/>
      <c r="Y307" s="9"/>
      <c r="Z307" s="9"/>
      <c r="AA307" s="9"/>
      <c r="AB307" s="9"/>
      <c r="AC307" s="9"/>
      <c r="AD307" s="9"/>
    </row>
    <row r="308" spans="1:30" ht="29">
      <c r="A308" s="3" t="s">
        <v>1902</v>
      </c>
      <c r="B308" s="11" t="s">
        <v>6831</v>
      </c>
      <c r="C308" s="11" t="s">
        <v>6830</v>
      </c>
      <c r="G308" s="9" t="s">
        <v>25</v>
      </c>
      <c r="H308" s="9"/>
      <c r="I308" s="9">
        <v>1</v>
      </c>
      <c r="J308" s="9">
        <v>2</v>
      </c>
      <c r="K308" s="9" t="s">
        <v>12087</v>
      </c>
      <c r="L308" s="9" t="s">
        <v>12119</v>
      </c>
      <c r="M308" s="9"/>
      <c r="N308" s="10"/>
      <c r="O308" s="9"/>
      <c r="P308" s="9">
        <v>1966</v>
      </c>
      <c r="Q308" s="9">
        <f t="shared" si="4"/>
        <v>236.24128815188658</v>
      </c>
      <c r="R308" s="9"/>
      <c r="S308" s="9" t="s">
        <v>12795</v>
      </c>
      <c r="T308" s="9" t="s">
        <v>12795</v>
      </c>
      <c r="U308" s="9"/>
      <c r="V308" s="9"/>
      <c r="W308" s="9"/>
      <c r="X308" s="9"/>
      <c r="Y308" s="9"/>
      <c r="Z308" s="9"/>
      <c r="AA308" s="9"/>
      <c r="AB308" s="9"/>
      <c r="AC308" s="9"/>
      <c r="AD308" s="9"/>
    </row>
    <row r="309" spans="1:30" ht="58">
      <c r="A309" s="3" t="s">
        <v>1903</v>
      </c>
      <c r="B309" s="3" t="s">
        <v>6832</v>
      </c>
      <c r="C309" s="3" t="s">
        <v>6833</v>
      </c>
      <c r="G309" s="9" t="s">
        <v>24</v>
      </c>
      <c r="H309" s="9"/>
      <c r="I309" s="9">
        <v>1</v>
      </c>
      <c r="J309" s="9">
        <v>6</v>
      </c>
      <c r="K309" s="9" t="s">
        <v>12094</v>
      </c>
      <c r="L309" s="9" t="s">
        <v>12079</v>
      </c>
      <c r="M309" s="9"/>
      <c r="N309" s="10"/>
      <c r="O309" s="9"/>
      <c r="P309" s="9">
        <v>4240</v>
      </c>
      <c r="Q309" s="9">
        <f t="shared" si="4"/>
        <v>509.49291035808699</v>
      </c>
      <c r="R309" s="9"/>
      <c r="S309" s="9" t="s">
        <v>12795</v>
      </c>
      <c r="T309" s="9" t="s">
        <v>12795</v>
      </c>
      <c r="U309" s="9"/>
      <c r="V309" s="9"/>
      <c r="W309" s="9"/>
      <c r="X309" s="9"/>
      <c r="Y309" s="9"/>
      <c r="Z309" s="9"/>
      <c r="AA309" s="9"/>
      <c r="AB309" s="9"/>
      <c r="AC309" s="9"/>
      <c r="AD309" s="9"/>
    </row>
    <row r="310" spans="1:30" ht="58">
      <c r="A310" s="3" t="s">
        <v>1908</v>
      </c>
      <c r="B310" s="3" t="s">
        <v>6840</v>
      </c>
      <c r="C310" s="3" t="s">
        <v>6841</v>
      </c>
      <c r="G310" s="9" t="s">
        <v>25</v>
      </c>
      <c r="H310" s="9"/>
      <c r="I310" s="9">
        <v>2</v>
      </c>
      <c r="J310" s="9">
        <v>3</v>
      </c>
      <c r="K310" s="9"/>
      <c r="L310" s="9" t="s">
        <v>12079</v>
      </c>
      <c r="M310" s="9"/>
      <c r="N310" s="10"/>
      <c r="O310" s="9"/>
      <c r="P310" s="9">
        <v>1966</v>
      </c>
      <c r="Q310" s="9">
        <f t="shared" si="4"/>
        <v>236.24128815188658</v>
      </c>
      <c r="R310" s="9"/>
      <c r="S310" s="9" t="s">
        <v>12795</v>
      </c>
      <c r="T310" s="9" t="s">
        <v>12795</v>
      </c>
      <c r="U310" s="9"/>
      <c r="V310" s="9"/>
      <c r="W310" s="9"/>
      <c r="X310" s="9"/>
      <c r="Y310" s="9"/>
      <c r="Z310" s="9"/>
      <c r="AA310" s="9"/>
      <c r="AB310" s="9"/>
      <c r="AC310" s="9"/>
      <c r="AD310" s="9"/>
    </row>
    <row r="311" spans="1:30" ht="43.5">
      <c r="A311" s="3" t="s">
        <v>1908</v>
      </c>
      <c r="B311" s="3" t="s">
        <v>6842</v>
      </c>
      <c r="C311" s="3" t="s">
        <v>6843</v>
      </c>
      <c r="G311" s="9" t="s">
        <v>25</v>
      </c>
      <c r="H311" s="9"/>
      <c r="I311" s="9">
        <v>1</v>
      </c>
      <c r="J311" s="9">
        <v>1</v>
      </c>
      <c r="K311" s="9" t="s">
        <v>12078</v>
      </c>
      <c r="L311" s="9" t="s">
        <v>12119</v>
      </c>
      <c r="M311" s="9"/>
      <c r="N311" s="10"/>
      <c r="O311" s="9"/>
      <c r="P311" s="9">
        <v>11843</v>
      </c>
      <c r="Q311" s="9">
        <f t="shared" si="4"/>
        <v>1423.0954097572699</v>
      </c>
      <c r="R311" s="9"/>
      <c r="S311" s="9" t="s">
        <v>12795</v>
      </c>
      <c r="T311" s="9" t="s">
        <v>12795</v>
      </c>
      <c r="U311" s="9"/>
      <c r="V311" s="9"/>
      <c r="W311" s="9"/>
      <c r="X311" s="9"/>
      <c r="Y311" s="9"/>
      <c r="Z311" s="9"/>
      <c r="AA311" s="9"/>
      <c r="AB311" s="9"/>
      <c r="AC311" s="9"/>
      <c r="AD311" s="9"/>
    </row>
    <row r="312" spans="1:30" ht="43.5">
      <c r="A312" s="3" t="s">
        <v>1915</v>
      </c>
      <c r="B312" s="3" t="s">
        <v>6860</v>
      </c>
      <c r="C312" s="3" t="s">
        <v>6859</v>
      </c>
      <c r="G312" s="9" t="s">
        <v>25</v>
      </c>
      <c r="H312" s="9"/>
      <c r="I312" s="9">
        <v>1</v>
      </c>
      <c r="J312" s="9">
        <v>2</v>
      </c>
      <c r="K312" s="9" t="s">
        <v>12094</v>
      </c>
      <c r="L312" s="9" t="s">
        <v>12119</v>
      </c>
      <c r="M312" s="9"/>
      <c r="N312" s="10"/>
      <c r="O312" s="9"/>
      <c r="P312" s="9">
        <v>1741</v>
      </c>
      <c r="Q312" s="9">
        <f t="shared" si="4"/>
        <v>209.20451814467677</v>
      </c>
      <c r="R312" s="9"/>
      <c r="S312" s="9" t="s">
        <v>12795</v>
      </c>
      <c r="T312" s="9" t="s">
        <v>12795</v>
      </c>
      <c r="U312" s="9"/>
      <c r="V312" s="9"/>
      <c r="W312" s="9"/>
      <c r="X312" s="9"/>
      <c r="Y312" s="9"/>
      <c r="Z312" s="9"/>
      <c r="AA312" s="9"/>
      <c r="AB312" s="9"/>
      <c r="AC312" s="9"/>
      <c r="AD312" s="9"/>
    </row>
    <row r="313" spans="1:30" ht="29">
      <c r="A313" s="3" t="s">
        <v>1915</v>
      </c>
      <c r="B313" s="3" t="s">
        <v>6862</v>
      </c>
      <c r="C313" s="3" t="s">
        <v>6861</v>
      </c>
      <c r="G313" s="9" t="s">
        <v>24</v>
      </c>
      <c r="H313" s="9"/>
      <c r="I313" s="9">
        <v>1</v>
      </c>
      <c r="J313" s="9">
        <v>3</v>
      </c>
      <c r="K313" s="9" t="s">
        <v>12087</v>
      </c>
      <c r="L313" s="9" t="s">
        <v>12079</v>
      </c>
      <c r="M313" s="9"/>
      <c r="N313" s="10"/>
      <c r="O313" s="9"/>
      <c r="P313" s="9">
        <v>5676</v>
      </c>
      <c r="Q313" s="9">
        <f t="shared" si="4"/>
        <v>682.04758471521268</v>
      </c>
      <c r="R313" s="9"/>
      <c r="S313" s="9" t="s">
        <v>12795</v>
      </c>
      <c r="T313" s="9" t="s">
        <v>12795</v>
      </c>
      <c r="U313" s="9"/>
      <c r="V313" s="9"/>
      <c r="W313" s="9"/>
      <c r="X313" s="9"/>
      <c r="Y313" s="9"/>
      <c r="Z313" s="9"/>
      <c r="AA313" s="9"/>
      <c r="AB313" s="9"/>
      <c r="AC313" s="9"/>
      <c r="AD313" s="9"/>
    </row>
    <row r="314" spans="1:30" ht="43.5">
      <c r="A314" s="3" t="s">
        <v>1921</v>
      </c>
      <c r="B314" s="3" t="s">
        <v>6865</v>
      </c>
      <c r="C314" s="3" t="s">
        <v>6868</v>
      </c>
      <c r="G314" s="9" t="s">
        <v>24</v>
      </c>
      <c r="H314" s="9"/>
      <c r="I314" s="9">
        <v>1</v>
      </c>
      <c r="J314" s="9">
        <v>3</v>
      </c>
      <c r="K314" s="9" t="s">
        <v>12087</v>
      </c>
      <c r="L314" s="9" t="s">
        <v>12079</v>
      </c>
      <c r="M314" s="9"/>
      <c r="N314" s="10"/>
      <c r="O314" s="9"/>
      <c r="P314" s="9">
        <v>309</v>
      </c>
      <c r="Q314" s="9">
        <f t="shared" si="4"/>
        <v>37.130497476568131</v>
      </c>
      <c r="R314" s="9"/>
      <c r="S314" s="9" t="s">
        <v>12795</v>
      </c>
      <c r="T314" s="9" t="s">
        <v>12795</v>
      </c>
      <c r="U314" s="9"/>
      <c r="V314" s="9"/>
      <c r="W314" s="9"/>
      <c r="X314" s="9"/>
      <c r="Y314" s="9"/>
      <c r="Z314" s="9"/>
      <c r="AA314" s="9"/>
      <c r="AB314" s="9"/>
      <c r="AC314" s="9"/>
      <c r="AD314" s="9"/>
    </row>
    <row r="315" spans="1:30" ht="43.5">
      <c r="A315" s="3" t="s">
        <v>1924</v>
      </c>
      <c r="B315" s="3" t="s">
        <v>6871</v>
      </c>
      <c r="C315" s="11" t="s">
        <v>6872</v>
      </c>
      <c r="G315" s="9" t="s">
        <v>24</v>
      </c>
      <c r="H315" s="9"/>
      <c r="I315" s="9">
        <v>1</v>
      </c>
      <c r="J315" s="9">
        <v>2</v>
      </c>
      <c r="K315" s="9" t="s">
        <v>12078</v>
      </c>
      <c r="L315" s="9" t="s">
        <v>12119</v>
      </c>
      <c r="M315" s="9"/>
      <c r="N315" s="10"/>
      <c r="O315" s="9"/>
      <c r="P315" s="9">
        <v>11843</v>
      </c>
      <c r="Q315" s="9">
        <f t="shared" si="4"/>
        <v>1423.0954097572699</v>
      </c>
      <c r="R315" s="9"/>
      <c r="S315" s="9" t="s">
        <v>12795</v>
      </c>
      <c r="T315" s="9" t="s">
        <v>12795</v>
      </c>
      <c r="U315" s="9"/>
      <c r="V315" s="9"/>
      <c r="W315" s="9"/>
      <c r="X315" s="9"/>
      <c r="Y315" s="9"/>
      <c r="Z315" s="9"/>
      <c r="AA315" s="9"/>
      <c r="AB315" s="9"/>
      <c r="AC315" s="9"/>
      <c r="AD315" s="9"/>
    </row>
    <row r="316" spans="1:30" ht="217.5">
      <c r="A316" s="3" t="s">
        <v>1927</v>
      </c>
      <c r="B316" s="3" t="s">
        <v>12311</v>
      </c>
      <c r="C316" s="3" t="s">
        <v>12312</v>
      </c>
      <c r="G316" s="9" t="s">
        <v>25</v>
      </c>
      <c r="H316" s="9"/>
      <c r="I316" s="9">
        <v>9</v>
      </c>
      <c r="J316" s="9">
        <v>42</v>
      </c>
      <c r="K316" s="9"/>
      <c r="L316" s="9" t="s">
        <v>12073</v>
      </c>
      <c r="M316" s="9" t="s">
        <v>12140</v>
      </c>
      <c r="N316" s="10" t="s">
        <v>12278</v>
      </c>
      <c r="O316" s="9"/>
      <c r="P316" s="9">
        <v>17</v>
      </c>
      <c r="Q316" s="9">
        <f t="shared" si="4"/>
        <v>2.0427781783225187</v>
      </c>
      <c r="R316" s="9"/>
      <c r="S316" s="9" t="s">
        <v>12795</v>
      </c>
      <c r="T316" s="9" t="s">
        <v>12795</v>
      </c>
      <c r="U316" s="9"/>
      <c r="V316" s="9"/>
      <c r="W316" s="9"/>
      <c r="X316" s="9"/>
      <c r="Y316" s="9"/>
      <c r="Z316" s="9"/>
      <c r="AA316" s="9"/>
      <c r="AB316" s="9"/>
      <c r="AC316" s="9"/>
      <c r="AD316" s="9"/>
    </row>
    <row r="317" spans="1:30" ht="87">
      <c r="A317" s="3" t="s">
        <v>1928</v>
      </c>
      <c r="B317" s="3" t="s">
        <v>6877</v>
      </c>
      <c r="C317" s="3" t="s">
        <v>6878</v>
      </c>
      <c r="G317" s="9" t="s">
        <v>24</v>
      </c>
      <c r="H317" s="9"/>
      <c r="I317" s="9">
        <v>1</v>
      </c>
      <c r="J317" s="9">
        <v>3</v>
      </c>
      <c r="K317" s="9" t="s">
        <v>12078</v>
      </c>
      <c r="L317" s="9" t="s">
        <v>12079</v>
      </c>
      <c r="M317" s="9"/>
      <c r="N317" s="10"/>
      <c r="O317" s="9"/>
      <c r="P317" s="9">
        <v>11843</v>
      </c>
      <c r="Q317" s="9">
        <f t="shared" si="4"/>
        <v>1423.0954097572699</v>
      </c>
      <c r="R317" s="9"/>
      <c r="S317" s="9" t="s">
        <v>12795</v>
      </c>
      <c r="T317" s="9" t="s">
        <v>12795</v>
      </c>
      <c r="U317" s="9"/>
      <c r="V317" s="9"/>
      <c r="W317" s="9"/>
      <c r="X317" s="9"/>
      <c r="Y317" s="9"/>
      <c r="Z317" s="9"/>
      <c r="AA317" s="9"/>
      <c r="AB317" s="9"/>
      <c r="AC317" s="9"/>
      <c r="AD317" s="9"/>
    </row>
    <row r="318" spans="1:30" ht="72.5">
      <c r="A318" s="3" t="s">
        <v>1938</v>
      </c>
      <c r="B318" s="3" t="s">
        <v>6889</v>
      </c>
      <c r="C318" s="3" t="s">
        <v>6888</v>
      </c>
      <c r="E318" t="s">
        <v>20</v>
      </c>
      <c r="G318" s="9" t="s">
        <v>25</v>
      </c>
      <c r="H318" s="9"/>
      <c r="I318" s="9">
        <v>1</v>
      </c>
      <c r="J318" s="9">
        <v>6</v>
      </c>
      <c r="K318" s="9" t="s">
        <v>12125</v>
      </c>
      <c r="L318" s="9" t="s">
        <v>12073</v>
      </c>
      <c r="M318" s="9" t="s">
        <v>12142</v>
      </c>
      <c r="N318" s="10" t="s">
        <v>12160</v>
      </c>
      <c r="O318" s="9"/>
      <c r="P318" s="9">
        <v>2042</v>
      </c>
      <c r="Q318" s="9">
        <f t="shared" si="4"/>
        <v>245.37370824321076</v>
      </c>
      <c r="R318" s="9"/>
      <c r="S318" s="9" t="s">
        <v>12795</v>
      </c>
      <c r="T318" s="9" t="s">
        <v>12795</v>
      </c>
      <c r="U318" s="9" t="s">
        <v>12117</v>
      </c>
      <c r="V318" s="9"/>
      <c r="W318" s="9"/>
      <c r="X318" s="9"/>
      <c r="Y318" s="9"/>
      <c r="Z318" s="9"/>
      <c r="AA318" s="9"/>
      <c r="AB318" s="9"/>
      <c r="AC318" s="9"/>
      <c r="AD318" s="9"/>
    </row>
    <row r="319" spans="1:30" ht="72.5">
      <c r="A319" s="3" t="s">
        <v>1943</v>
      </c>
      <c r="B319" s="3" t="s">
        <v>12314</v>
      </c>
      <c r="C319" s="3" t="s">
        <v>6892</v>
      </c>
      <c r="G319" s="9" t="s">
        <v>25</v>
      </c>
      <c r="H319" s="9"/>
      <c r="I319" s="9">
        <v>1</v>
      </c>
      <c r="J319" s="9">
        <v>10</v>
      </c>
      <c r="K319" s="9" t="s">
        <v>12098</v>
      </c>
      <c r="L319" s="9" t="s">
        <v>12079</v>
      </c>
      <c r="M319" s="9"/>
      <c r="N319" s="10"/>
      <c r="O319" s="9"/>
      <c r="P319" s="9">
        <v>229</v>
      </c>
      <c r="Q319" s="9">
        <f t="shared" si="4"/>
        <v>27.517423696226867</v>
      </c>
      <c r="R319" s="9"/>
      <c r="S319" s="9" t="s">
        <v>12795</v>
      </c>
      <c r="T319" s="9" t="s">
        <v>12795</v>
      </c>
      <c r="U319" s="9"/>
      <c r="V319" s="9"/>
      <c r="W319" s="9"/>
      <c r="X319" s="9"/>
      <c r="Y319" s="9"/>
      <c r="Z319" s="9"/>
      <c r="AA319" s="9"/>
      <c r="AB319" s="9"/>
      <c r="AC319" s="9"/>
      <c r="AD319" s="9"/>
    </row>
    <row r="320" spans="1:30" ht="72.5">
      <c r="A320" s="3" t="s">
        <v>1943</v>
      </c>
      <c r="B320" s="3" t="s">
        <v>12317</v>
      </c>
      <c r="C320" s="3" t="s">
        <v>6892</v>
      </c>
      <c r="G320" s="9" t="s">
        <v>25</v>
      </c>
      <c r="H320" s="9"/>
      <c r="I320" s="9">
        <v>1</v>
      </c>
      <c r="J320" s="9">
        <v>4</v>
      </c>
      <c r="K320" s="9" t="s">
        <v>12094</v>
      </c>
      <c r="L320" s="9" t="s">
        <v>12079</v>
      </c>
      <c r="M320" s="9"/>
      <c r="N320" s="10"/>
      <c r="O320" s="9"/>
      <c r="P320" s="9">
        <v>4240</v>
      </c>
      <c r="Q320" s="9">
        <f t="shared" si="4"/>
        <v>509.49291035808699</v>
      </c>
      <c r="R320" s="9"/>
      <c r="S320" s="9" t="s">
        <v>12795</v>
      </c>
      <c r="T320" s="9" t="s">
        <v>12795</v>
      </c>
      <c r="U320" s="9"/>
      <c r="V320" s="9"/>
      <c r="W320" s="9"/>
      <c r="X320" s="9"/>
      <c r="Y320" s="9"/>
      <c r="Z320" s="9"/>
      <c r="AA320" s="9"/>
      <c r="AB320" s="9"/>
      <c r="AC320" s="9"/>
      <c r="AD320" s="9"/>
    </row>
    <row r="321" spans="1:30" ht="43.5">
      <c r="A321" s="3" t="s">
        <v>1944</v>
      </c>
      <c r="B321" s="3" t="s">
        <v>6898</v>
      </c>
      <c r="C321" s="3" t="s">
        <v>6895</v>
      </c>
      <c r="G321" s="9" t="s">
        <v>25</v>
      </c>
      <c r="H321" s="9"/>
      <c r="I321" s="9">
        <v>1</v>
      </c>
      <c r="J321" s="9">
        <v>3</v>
      </c>
      <c r="K321" s="9" t="s">
        <v>12087</v>
      </c>
      <c r="L321" s="9" t="s">
        <v>12079</v>
      </c>
      <c r="M321" s="9"/>
      <c r="N321" s="10"/>
      <c r="O321" s="9"/>
      <c r="P321" s="9">
        <v>5676</v>
      </c>
      <c r="Q321" s="9">
        <f t="shared" si="4"/>
        <v>682.04758471521268</v>
      </c>
      <c r="R321" s="9"/>
      <c r="S321" s="9" t="s">
        <v>12795</v>
      </c>
      <c r="T321" s="9" t="s">
        <v>12795</v>
      </c>
      <c r="U321" s="9"/>
      <c r="V321" s="9"/>
      <c r="W321" s="9"/>
      <c r="X321" s="9"/>
      <c r="Y321" s="9"/>
      <c r="Z321" s="9"/>
      <c r="AA321" s="9"/>
      <c r="AB321" s="9"/>
      <c r="AC321" s="9"/>
      <c r="AD321" s="9"/>
    </row>
    <row r="322" spans="1:30" ht="101.5">
      <c r="A322" s="3" t="s">
        <v>1946</v>
      </c>
      <c r="B322" s="3" t="s">
        <v>6901</v>
      </c>
      <c r="C322" s="3" t="s">
        <v>6904</v>
      </c>
      <c r="G322" s="9" t="s">
        <v>24</v>
      </c>
      <c r="H322" s="9"/>
      <c r="I322" s="9">
        <v>3</v>
      </c>
      <c r="J322" s="9">
        <v>20</v>
      </c>
      <c r="K322" s="9"/>
      <c r="L322" s="9" t="s">
        <v>12073</v>
      </c>
      <c r="M322" s="9" t="s">
        <v>12140</v>
      </c>
      <c r="N322" s="10" t="s">
        <v>12193</v>
      </c>
      <c r="O322" s="9"/>
      <c r="P322" s="9">
        <v>2</v>
      </c>
      <c r="Q322" s="9">
        <f t="shared" ref="Q322:Q385" si="5">IF(ISNUMBER(P322), (P322/$F$988)*10000, "")</f>
        <v>0.24032684450853162</v>
      </c>
      <c r="R322" s="9"/>
      <c r="S322" s="9" t="s">
        <v>12795</v>
      </c>
      <c r="T322" s="9" t="s">
        <v>12795</v>
      </c>
      <c r="U322" s="9"/>
      <c r="V322" s="9"/>
      <c r="W322" s="9"/>
      <c r="X322" s="9"/>
      <c r="Y322" s="9"/>
      <c r="Z322" s="9"/>
      <c r="AA322" s="9"/>
      <c r="AB322" s="9"/>
      <c r="AC322" s="9"/>
      <c r="AD322" s="9"/>
    </row>
    <row r="323" spans="1:30" ht="43.5">
      <c r="A323" s="3" t="s">
        <v>1951</v>
      </c>
      <c r="B323" s="3" t="s">
        <v>6913</v>
      </c>
      <c r="C323" s="3" t="s">
        <v>6912</v>
      </c>
      <c r="G323" s="9" t="s">
        <v>25</v>
      </c>
      <c r="H323" s="9"/>
      <c r="I323" s="9">
        <v>1</v>
      </c>
      <c r="J323" s="9">
        <v>3</v>
      </c>
      <c r="K323" s="9" t="s">
        <v>12087</v>
      </c>
      <c r="L323" s="9" t="s">
        <v>12079</v>
      </c>
      <c r="M323" s="9"/>
      <c r="N323" s="10"/>
      <c r="O323" s="9"/>
      <c r="P323" s="9">
        <v>5676</v>
      </c>
      <c r="Q323" s="9">
        <f t="shared" si="5"/>
        <v>682.04758471521268</v>
      </c>
      <c r="R323" s="9"/>
      <c r="S323" s="9" t="s">
        <v>12795</v>
      </c>
      <c r="T323" s="9" t="s">
        <v>12795</v>
      </c>
      <c r="U323" s="9"/>
      <c r="V323" s="9"/>
      <c r="W323" s="9"/>
      <c r="X323" s="9"/>
      <c r="Y323" s="9"/>
      <c r="Z323" s="9"/>
      <c r="AA323" s="9"/>
      <c r="AB323" s="9"/>
      <c r="AC323" s="9"/>
      <c r="AD323" s="9"/>
    </row>
    <row r="324" spans="1:30" ht="58">
      <c r="A324" s="3" t="s">
        <v>1954</v>
      </c>
      <c r="B324" s="3" t="s">
        <v>6916</v>
      </c>
      <c r="C324" s="3" t="s">
        <v>6917</v>
      </c>
      <c r="G324" s="9" t="s">
        <v>24</v>
      </c>
      <c r="H324" s="9"/>
      <c r="I324" s="9">
        <v>1</v>
      </c>
      <c r="J324" s="9">
        <v>6</v>
      </c>
      <c r="K324" s="9" t="s">
        <v>12094</v>
      </c>
      <c r="L324" s="9" t="s">
        <v>12079</v>
      </c>
      <c r="M324" s="9"/>
      <c r="N324" s="10"/>
      <c r="O324" s="9"/>
      <c r="P324" s="9">
        <v>930</v>
      </c>
      <c r="Q324" s="9">
        <f t="shared" si="5"/>
        <v>111.75198269646719</v>
      </c>
      <c r="R324" s="9"/>
      <c r="S324" s="9" t="s">
        <v>12795</v>
      </c>
      <c r="T324" s="9" t="s">
        <v>12795</v>
      </c>
      <c r="U324" s="9"/>
      <c r="V324" s="9"/>
      <c r="W324" s="9"/>
      <c r="X324" s="9"/>
      <c r="Y324" s="9"/>
      <c r="Z324" s="9"/>
      <c r="AA324" s="9"/>
      <c r="AB324" s="9"/>
      <c r="AC324" s="9"/>
      <c r="AD324" s="9"/>
    </row>
    <row r="325" spans="1:30" ht="58">
      <c r="A325" s="3" t="s">
        <v>1962</v>
      </c>
      <c r="B325" s="3" t="s">
        <v>6924</v>
      </c>
      <c r="C325" s="3" t="s">
        <v>6921</v>
      </c>
      <c r="G325" s="9" t="s">
        <v>25</v>
      </c>
      <c r="H325" s="9"/>
      <c r="I325" s="9">
        <v>1</v>
      </c>
      <c r="J325" s="9">
        <v>3</v>
      </c>
      <c r="K325" s="9" t="s">
        <v>12072</v>
      </c>
      <c r="L325" s="9" t="s">
        <v>12079</v>
      </c>
      <c r="M325" s="9"/>
      <c r="N325" s="10"/>
      <c r="O325" s="9"/>
      <c r="P325" s="9">
        <v>214</v>
      </c>
      <c r="Q325" s="9">
        <f t="shared" si="5"/>
        <v>25.71497236241288</v>
      </c>
      <c r="R325" s="9"/>
      <c r="S325" s="9" t="s">
        <v>12795</v>
      </c>
      <c r="T325" s="9" t="s">
        <v>12795</v>
      </c>
      <c r="U325" s="9"/>
      <c r="V325" s="9"/>
      <c r="W325" s="9"/>
      <c r="X325" s="9"/>
      <c r="Y325" s="9"/>
      <c r="Z325" s="9"/>
      <c r="AA325" s="9"/>
      <c r="AB325" s="9"/>
      <c r="AC325" s="9"/>
      <c r="AD325" s="9"/>
    </row>
    <row r="326" spans="1:30" ht="72.5">
      <c r="A326" s="3" t="s">
        <v>1963</v>
      </c>
      <c r="B326" s="3" t="s">
        <v>6926</v>
      </c>
      <c r="C326" s="3" t="s">
        <v>6925</v>
      </c>
      <c r="G326" s="9" t="s">
        <v>25</v>
      </c>
      <c r="H326" s="9"/>
      <c r="I326" s="9">
        <v>1</v>
      </c>
      <c r="J326" s="9">
        <v>5</v>
      </c>
      <c r="K326" s="9" t="s">
        <v>12094</v>
      </c>
      <c r="L326" s="9" t="s">
        <v>12079</v>
      </c>
      <c r="M326" s="9"/>
      <c r="N326" s="10"/>
      <c r="O326" s="9"/>
      <c r="P326" s="9">
        <v>4240</v>
      </c>
      <c r="Q326" s="9">
        <f t="shared" si="5"/>
        <v>509.49291035808699</v>
      </c>
      <c r="R326" s="9"/>
      <c r="S326" s="9" t="s">
        <v>12795</v>
      </c>
      <c r="T326" s="9" t="s">
        <v>12795</v>
      </c>
      <c r="U326" s="9"/>
      <c r="V326" s="9"/>
      <c r="W326" s="9"/>
      <c r="X326" s="9"/>
      <c r="Y326" s="9"/>
      <c r="Z326" s="9"/>
      <c r="AA326" s="9"/>
      <c r="AB326" s="9"/>
      <c r="AC326" s="9"/>
      <c r="AD326" s="9"/>
    </row>
    <row r="327" spans="1:30" ht="43.5">
      <c r="A327" s="3" t="s">
        <v>1967</v>
      </c>
      <c r="B327" s="3" t="s">
        <v>6934</v>
      </c>
      <c r="C327" s="3" t="s">
        <v>6933</v>
      </c>
      <c r="G327" s="9" t="s">
        <v>25</v>
      </c>
      <c r="H327" s="9"/>
      <c r="I327" s="9">
        <v>1</v>
      </c>
      <c r="J327" s="9">
        <v>8</v>
      </c>
      <c r="K327" s="9" t="s">
        <v>12098</v>
      </c>
      <c r="L327" s="9" t="s">
        <v>12079</v>
      </c>
      <c r="M327" s="9"/>
      <c r="N327" s="10"/>
      <c r="O327" s="9"/>
      <c r="P327" s="9">
        <v>2042</v>
      </c>
      <c r="Q327" s="9">
        <f t="shared" si="5"/>
        <v>245.37370824321076</v>
      </c>
      <c r="R327" s="9"/>
      <c r="S327" s="9" t="s">
        <v>12795</v>
      </c>
      <c r="T327" s="9" t="s">
        <v>12795</v>
      </c>
      <c r="U327" s="9"/>
      <c r="V327" s="9"/>
      <c r="W327" s="9"/>
      <c r="X327" s="9"/>
      <c r="Y327" s="9"/>
      <c r="Z327" s="9"/>
      <c r="AA327" s="9"/>
      <c r="AB327" s="9"/>
      <c r="AC327" s="9"/>
      <c r="AD327" s="9"/>
    </row>
    <row r="328" spans="1:30" ht="29">
      <c r="A328" s="3" t="s">
        <v>1968</v>
      </c>
      <c r="B328" s="3" t="s">
        <v>6936</v>
      </c>
      <c r="C328" s="3" t="s">
        <v>6935</v>
      </c>
      <c r="G328" s="9" t="s">
        <v>24</v>
      </c>
      <c r="H328" s="9"/>
      <c r="I328" s="9">
        <v>1</v>
      </c>
      <c r="J328" s="9">
        <v>2</v>
      </c>
      <c r="K328" s="9" t="s">
        <v>12094</v>
      </c>
      <c r="L328" s="9" t="s">
        <v>12119</v>
      </c>
      <c r="M328" s="9"/>
      <c r="N328" s="10"/>
      <c r="O328" s="9" t="s">
        <v>12074</v>
      </c>
      <c r="P328" s="9">
        <v>412</v>
      </c>
      <c r="Q328" s="9">
        <f t="shared" si="5"/>
        <v>49.507329968757517</v>
      </c>
      <c r="R328" s="9"/>
      <c r="S328" s="9" t="s">
        <v>12795</v>
      </c>
      <c r="T328" s="9" t="s">
        <v>12795</v>
      </c>
      <c r="U328" s="9"/>
      <c r="V328" s="9"/>
      <c r="W328" s="9"/>
      <c r="X328" s="9"/>
      <c r="Y328" s="9"/>
      <c r="Z328" s="9"/>
      <c r="AA328" s="9"/>
      <c r="AB328" s="9"/>
      <c r="AC328" s="9"/>
      <c r="AD328" s="9"/>
    </row>
    <row r="329" spans="1:30" ht="159.5">
      <c r="A329" s="3" t="s">
        <v>1970</v>
      </c>
      <c r="B329" s="3" t="s">
        <v>6937</v>
      </c>
      <c r="C329" s="3" t="s">
        <v>6938</v>
      </c>
      <c r="G329" s="9" t="s">
        <v>25</v>
      </c>
      <c r="H329" s="9"/>
      <c r="I329" s="9">
        <v>6</v>
      </c>
      <c r="J329" s="9">
        <v>30</v>
      </c>
      <c r="K329" s="9"/>
      <c r="L329" s="9" t="s">
        <v>12073</v>
      </c>
      <c r="M329" s="9" t="s">
        <v>12140</v>
      </c>
      <c r="N329" s="10" t="s">
        <v>12136</v>
      </c>
      <c r="O329" s="9"/>
      <c r="P329" s="9">
        <v>3</v>
      </c>
      <c r="Q329" s="9">
        <f t="shared" si="5"/>
        <v>0.36049026676279744</v>
      </c>
      <c r="R329" s="9"/>
      <c r="S329" s="9" t="s">
        <v>12795</v>
      </c>
      <c r="T329" s="9" t="s">
        <v>12795</v>
      </c>
      <c r="U329" s="9"/>
      <c r="V329" s="9"/>
      <c r="W329" s="9"/>
      <c r="X329" s="9"/>
      <c r="Y329" s="9"/>
      <c r="Z329" s="9"/>
      <c r="AA329" s="9"/>
      <c r="AB329" s="9"/>
      <c r="AC329" s="9"/>
      <c r="AD329" s="9"/>
    </row>
    <row r="330" spans="1:30" ht="58">
      <c r="A330" s="3" t="s">
        <v>1984</v>
      </c>
      <c r="B330" s="11" t="s">
        <v>6950</v>
      </c>
      <c r="C330" s="3" t="s">
        <v>6949</v>
      </c>
      <c r="G330" s="9" t="s">
        <v>24</v>
      </c>
      <c r="H330" s="9"/>
      <c r="I330" s="9">
        <v>1</v>
      </c>
      <c r="J330" s="9">
        <v>3</v>
      </c>
      <c r="K330" s="9" t="s">
        <v>12087</v>
      </c>
      <c r="L330" s="9" t="s">
        <v>12079</v>
      </c>
      <c r="M330" s="9"/>
      <c r="N330" s="10"/>
      <c r="O330" s="9"/>
      <c r="P330" s="9">
        <v>5676</v>
      </c>
      <c r="Q330" s="9">
        <f t="shared" si="5"/>
        <v>682.04758471521268</v>
      </c>
      <c r="R330" s="9"/>
      <c r="S330" s="9" t="s">
        <v>12795</v>
      </c>
      <c r="T330" s="9" t="s">
        <v>12795</v>
      </c>
      <c r="U330" s="9"/>
      <c r="V330" s="9"/>
      <c r="W330" s="9"/>
      <c r="X330" s="9"/>
      <c r="Y330" s="9"/>
      <c r="Z330" s="9"/>
      <c r="AA330" s="9"/>
      <c r="AB330" s="9"/>
      <c r="AC330" s="9"/>
      <c r="AD330" s="9"/>
    </row>
    <row r="331" spans="1:30" ht="116">
      <c r="A331" s="3" t="s">
        <v>2004</v>
      </c>
      <c r="B331" s="3" t="s">
        <v>12331</v>
      </c>
      <c r="C331" s="3" t="s">
        <v>12334</v>
      </c>
      <c r="G331" s="9" t="s">
        <v>25</v>
      </c>
      <c r="H331" s="9"/>
      <c r="I331" s="9">
        <v>1</v>
      </c>
      <c r="J331" s="9">
        <v>5</v>
      </c>
      <c r="K331" s="9" t="s">
        <v>12094</v>
      </c>
      <c r="L331" s="9" t="s">
        <v>12079</v>
      </c>
      <c r="M331" s="9"/>
      <c r="N331" s="10"/>
      <c r="O331" s="9"/>
      <c r="P331" s="9">
        <v>4240</v>
      </c>
      <c r="Q331" s="9">
        <f t="shared" si="5"/>
        <v>509.49291035808699</v>
      </c>
      <c r="R331" s="9"/>
      <c r="S331" s="9" t="s">
        <v>12795</v>
      </c>
      <c r="T331" s="9" t="s">
        <v>12795</v>
      </c>
      <c r="U331" s="9"/>
      <c r="V331" s="9"/>
      <c r="W331" s="9"/>
      <c r="X331" s="9"/>
      <c r="Y331" s="9"/>
      <c r="Z331" s="9"/>
      <c r="AA331" s="9"/>
      <c r="AB331" s="9"/>
      <c r="AC331" s="9"/>
      <c r="AD331" s="9"/>
    </row>
    <row r="332" spans="1:30" ht="116">
      <c r="A332" s="3" t="s">
        <v>2007</v>
      </c>
      <c r="B332" s="3" t="s">
        <v>12332</v>
      </c>
      <c r="C332" s="3" t="s">
        <v>12334</v>
      </c>
      <c r="G332" s="9" t="s">
        <v>25</v>
      </c>
      <c r="H332" s="9"/>
      <c r="I332" s="9">
        <v>2</v>
      </c>
      <c r="J332" s="9">
        <v>6</v>
      </c>
      <c r="K332" s="9"/>
      <c r="L332" s="9" t="s">
        <v>12079</v>
      </c>
      <c r="M332" s="9"/>
      <c r="N332" s="10"/>
      <c r="O332" s="9"/>
      <c r="P332" s="9">
        <v>32</v>
      </c>
      <c r="Q332" s="9">
        <f t="shared" si="5"/>
        <v>3.8452295121365059</v>
      </c>
      <c r="R332" s="9"/>
      <c r="S332" s="9" t="s">
        <v>12795</v>
      </c>
      <c r="T332" s="9" t="s">
        <v>12795</v>
      </c>
      <c r="U332" s="9"/>
      <c r="V332" s="9"/>
      <c r="W332" s="9"/>
      <c r="X332" s="9"/>
      <c r="Y332" s="9"/>
      <c r="Z332" s="9"/>
      <c r="AA332" s="9"/>
      <c r="AB332" s="9"/>
      <c r="AC332" s="9"/>
      <c r="AD332" s="9"/>
    </row>
    <row r="333" spans="1:30" ht="43.5">
      <c r="A333" s="3" t="s">
        <v>2007</v>
      </c>
      <c r="B333" s="3" t="s">
        <v>6980</v>
      </c>
      <c r="C333" s="3" t="s">
        <v>6979</v>
      </c>
      <c r="G333" s="9" t="s">
        <v>24</v>
      </c>
      <c r="H333" s="9"/>
      <c r="I333" s="9">
        <v>1</v>
      </c>
      <c r="J333" s="9">
        <v>3</v>
      </c>
      <c r="K333" s="9" t="s">
        <v>12087</v>
      </c>
      <c r="L333" s="9" t="s">
        <v>12079</v>
      </c>
      <c r="M333" s="9"/>
      <c r="N333" s="10"/>
      <c r="O333" s="9"/>
      <c r="P333" s="9">
        <v>5676</v>
      </c>
      <c r="Q333" s="9">
        <f t="shared" si="5"/>
        <v>682.04758471521268</v>
      </c>
      <c r="R333" s="9"/>
      <c r="S333" s="9" t="s">
        <v>12795</v>
      </c>
      <c r="T333" s="9" t="s">
        <v>12795</v>
      </c>
      <c r="U333" s="9"/>
      <c r="V333" s="9"/>
      <c r="W333" s="9"/>
      <c r="X333" s="9"/>
      <c r="Y333" s="9"/>
      <c r="Z333" s="9"/>
      <c r="AA333" s="9"/>
      <c r="AB333" s="9"/>
      <c r="AC333" s="9"/>
      <c r="AD333" s="9"/>
    </row>
    <row r="334" spans="1:30" ht="87">
      <c r="A334" s="3" t="s">
        <v>2012</v>
      </c>
      <c r="B334" s="3" t="s">
        <v>6981</v>
      </c>
      <c r="C334" s="3" t="s">
        <v>6982</v>
      </c>
      <c r="G334" s="9" t="s">
        <v>25</v>
      </c>
      <c r="H334" s="9"/>
      <c r="I334" s="9">
        <v>1</v>
      </c>
      <c r="J334" s="9">
        <v>3</v>
      </c>
      <c r="K334" s="9" t="s">
        <v>12078</v>
      </c>
      <c r="L334" s="9" t="s">
        <v>12073</v>
      </c>
      <c r="M334" s="9" t="s">
        <v>12149</v>
      </c>
      <c r="N334" s="10" t="s">
        <v>12143</v>
      </c>
      <c r="O334" s="9"/>
      <c r="P334" s="9">
        <v>11843</v>
      </c>
      <c r="Q334" s="9">
        <f t="shared" si="5"/>
        <v>1423.0954097572699</v>
      </c>
      <c r="R334" s="9"/>
      <c r="S334" s="9" t="s">
        <v>12795</v>
      </c>
      <c r="T334" s="9" t="s">
        <v>12795</v>
      </c>
      <c r="U334" s="9"/>
      <c r="V334" s="9"/>
      <c r="W334" s="9"/>
      <c r="X334" s="9"/>
      <c r="Y334" s="9"/>
      <c r="Z334" s="9"/>
      <c r="AA334" s="9"/>
      <c r="AB334" s="9"/>
      <c r="AC334" s="9"/>
      <c r="AD334" s="9"/>
    </row>
    <row r="335" spans="1:30" ht="72.5">
      <c r="A335" s="3" t="s">
        <v>2013</v>
      </c>
      <c r="B335" s="3" t="s">
        <v>6988</v>
      </c>
      <c r="C335" s="3" t="s">
        <v>6987</v>
      </c>
      <c r="G335" s="9" t="s">
        <v>25</v>
      </c>
      <c r="H335" s="9"/>
      <c r="I335" s="9">
        <v>1</v>
      </c>
      <c r="J335" s="9">
        <v>8</v>
      </c>
      <c r="K335" s="9" t="s">
        <v>12125</v>
      </c>
      <c r="L335" s="9" t="s">
        <v>12073</v>
      </c>
      <c r="M335" s="9" t="s">
        <v>12203</v>
      </c>
      <c r="N335" s="10" t="s">
        <v>12204</v>
      </c>
      <c r="O335" s="9"/>
      <c r="P335" s="9">
        <v>20</v>
      </c>
      <c r="Q335" s="9">
        <f t="shared" si="5"/>
        <v>2.4032684450853159</v>
      </c>
      <c r="R335" s="9"/>
      <c r="S335" s="9" t="s">
        <v>12795</v>
      </c>
      <c r="T335" s="9" t="s">
        <v>12795</v>
      </c>
      <c r="U335" s="9"/>
      <c r="V335" s="9"/>
      <c r="W335" s="9"/>
      <c r="X335" s="9"/>
      <c r="Y335" s="9"/>
      <c r="Z335" s="9"/>
      <c r="AA335" s="9"/>
      <c r="AB335" s="9"/>
      <c r="AC335" s="9"/>
      <c r="AD335" s="9"/>
    </row>
    <row r="336" spans="1:30" ht="116">
      <c r="A336" s="3" t="s">
        <v>2022</v>
      </c>
      <c r="B336" s="3" t="s">
        <v>6997</v>
      </c>
      <c r="C336" s="3" t="s">
        <v>6996</v>
      </c>
      <c r="E336" t="s">
        <v>20</v>
      </c>
      <c r="G336" s="9" t="s">
        <v>25</v>
      </c>
      <c r="H336" s="9"/>
      <c r="I336" s="9">
        <v>3</v>
      </c>
      <c r="J336" s="9">
        <v>15</v>
      </c>
      <c r="K336" s="9"/>
      <c r="L336" s="9" t="s">
        <v>12073</v>
      </c>
      <c r="M336" s="9" t="s">
        <v>12140</v>
      </c>
      <c r="N336" s="10" t="s">
        <v>12138</v>
      </c>
      <c r="O336" s="9"/>
      <c r="P336" s="9">
        <v>65</v>
      </c>
      <c r="Q336" s="9">
        <f t="shared" si="5"/>
        <v>7.8106224465272769</v>
      </c>
      <c r="R336" s="9"/>
      <c r="S336" s="9" t="s">
        <v>12795</v>
      </c>
      <c r="T336" s="9" t="s">
        <v>12795</v>
      </c>
      <c r="U336" s="9"/>
      <c r="V336" s="9"/>
      <c r="W336" s="9"/>
      <c r="X336" s="9"/>
      <c r="Y336" s="9"/>
      <c r="Z336" s="9"/>
      <c r="AA336" s="9"/>
      <c r="AB336" s="9"/>
      <c r="AC336" s="9"/>
      <c r="AD336" s="9"/>
    </row>
    <row r="337" spans="1:30" ht="58">
      <c r="A337" s="3" t="s">
        <v>2027</v>
      </c>
      <c r="B337" s="3" t="s">
        <v>7011</v>
      </c>
      <c r="C337" s="3" t="s">
        <v>7012</v>
      </c>
      <c r="G337" s="9" t="s">
        <v>25</v>
      </c>
      <c r="H337" s="9"/>
      <c r="I337" s="9">
        <v>1</v>
      </c>
      <c r="J337" s="9">
        <v>6</v>
      </c>
      <c r="K337" s="9" t="s">
        <v>12094</v>
      </c>
      <c r="L337" s="9" t="s">
        <v>12073</v>
      </c>
      <c r="M337" s="9" t="s">
        <v>12149</v>
      </c>
      <c r="N337" s="10" t="s">
        <v>12160</v>
      </c>
      <c r="O337" s="9"/>
      <c r="P337" s="9">
        <v>4240</v>
      </c>
      <c r="Q337" s="9">
        <f t="shared" si="5"/>
        <v>509.49291035808699</v>
      </c>
      <c r="R337" s="9"/>
      <c r="S337" s="9" t="s">
        <v>12795</v>
      </c>
      <c r="T337" s="9" t="s">
        <v>12795</v>
      </c>
      <c r="U337" s="9"/>
      <c r="V337" s="9"/>
      <c r="W337" s="9"/>
      <c r="X337" s="9"/>
      <c r="Y337" s="9"/>
      <c r="Z337" s="9"/>
      <c r="AA337" s="9"/>
      <c r="AB337" s="9"/>
      <c r="AC337" s="9"/>
      <c r="AD337" s="9"/>
    </row>
    <row r="338" spans="1:30" ht="72.5">
      <c r="A338" s="3" t="s">
        <v>2028</v>
      </c>
      <c r="B338" s="3" t="s">
        <v>7014</v>
      </c>
      <c r="C338" s="3" t="s">
        <v>7013</v>
      </c>
      <c r="G338" s="9" t="s">
        <v>25</v>
      </c>
      <c r="H338" s="9"/>
      <c r="I338" s="9">
        <v>2</v>
      </c>
      <c r="J338" s="9">
        <v>7</v>
      </c>
      <c r="K338" s="9"/>
      <c r="L338" s="9" t="s">
        <v>12079</v>
      </c>
      <c r="M338" s="9"/>
      <c r="N338" s="10"/>
      <c r="O338" s="9"/>
      <c r="P338" s="9">
        <v>4240</v>
      </c>
      <c r="Q338" s="9">
        <f t="shared" si="5"/>
        <v>509.49291035808699</v>
      </c>
      <c r="R338" s="9"/>
      <c r="S338" s="9" t="s">
        <v>12795</v>
      </c>
      <c r="T338" s="9" t="s">
        <v>12795</v>
      </c>
      <c r="U338" s="9"/>
      <c r="V338" s="9"/>
      <c r="W338" s="9"/>
      <c r="X338" s="9"/>
      <c r="Y338" s="9"/>
      <c r="Z338" s="9"/>
      <c r="AA338" s="9"/>
      <c r="AB338" s="9"/>
      <c r="AC338" s="9"/>
      <c r="AD338" s="9"/>
    </row>
    <row r="339" spans="1:30" ht="72.5">
      <c r="A339" s="3" t="s">
        <v>2032</v>
      </c>
      <c r="B339" s="3" t="s">
        <v>7017</v>
      </c>
      <c r="C339" s="3" t="s">
        <v>7018</v>
      </c>
      <c r="G339" s="9" t="s">
        <v>25</v>
      </c>
      <c r="H339" s="9"/>
      <c r="I339" s="9">
        <v>1</v>
      </c>
      <c r="J339" s="9">
        <v>3</v>
      </c>
      <c r="K339" s="9" t="s">
        <v>12087</v>
      </c>
      <c r="L339" s="9" t="s">
        <v>12079</v>
      </c>
      <c r="M339" s="9"/>
      <c r="N339" s="10"/>
      <c r="O339" s="9"/>
      <c r="P339" s="9">
        <v>810</v>
      </c>
      <c r="Q339" s="9">
        <f t="shared" si="5"/>
        <v>97.332372025955294</v>
      </c>
      <c r="R339" s="9"/>
      <c r="S339" s="9" t="s">
        <v>12795</v>
      </c>
      <c r="T339" s="9" t="s">
        <v>12795</v>
      </c>
      <c r="U339" s="9"/>
      <c r="V339" s="9"/>
      <c r="W339" s="9"/>
      <c r="X339" s="9"/>
      <c r="Y339" s="9"/>
      <c r="Z339" s="9"/>
      <c r="AA339" s="9"/>
      <c r="AB339" s="9"/>
      <c r="AC339" s="9"/>
      <c r="AD339" s="9"/>
    </row>
    <row r="340" spans="1:30" ht="145">
      <c r="A340" s="3" t="s">
        <v>2032</v>
      </c>
      <c r="B340" s="3" t="s">
        <v>13027</v>
      </c>
      <c r="C340" s="3" t="s">
        <v>13028</v>
      </c>
      <c r="G340" s="9" t="s">
        <v>25</v>
      </c>
      <c r="H340" s="9"/>
      <c r="I340" s="9">
        <v>4</v>
      </c>
      <c r="J340" s="9">
        <v>26</v>
      </c>
      <c r="K340" s="9"/>
      <c r="L340" s="9" t="s">
        <v>12073</v>
      </c>
      <c r="M340" s="9" t="s">
        <v>12140</v>
      </c>
      <c r="N340" s="10" t="s">
        <v>12194</v>
      </c>
      <c r="O340" s="9"/>
      <c r="P340" s="9">
        <v>11</v>
      </c>
      <c r="Q340" s="9">
        <f t="shared" si="5"/>
        <v>1.3217976447969237</v>
      </c>
      <c r="R340" s="9"/>
      <c r="S340" s="9" t="s">
        <v>12795</v>
      </c>
      <c r="T340" s="9" t="s">
        <v>12795</v>
      </c>
      <c r="U340" s="9"/>
      <c r="V340" s="9"/>
      <c r="W340" s="9"/>
      <c r="X340" s="9"/>
      <c r="Y340" s="9"/>
      <c r="Z340" s="9"/>
      <c r="AA340" s="9"/>
      <c r="AB340" s="9"/>
      <c r="AC340" s="9"/>
      <c r="AD340" s="9"/>
    </row>
    <row r="341" spans="1:30" ht="232">
      <c r="A341" s="3" t="s">
        <v>2044</v>
      </c>
      <c r="B341" s="3" t="s">
        <v>12888</v>
      </c>
      <c r="C341" s="3" t="s">
        <v>12889</v>
      </c>
      <c r="G341" s="9" t="s">
        <v>25</v>
      </c>
      <c r="H341" s="9"/>
      <c r="I341" s="9">
        <v>12</v>
      </c>
      <c r="J341" s="9">
        <v>60</v>
      </c>
      <c r="K341" s="9"/>
      <c r="L341" s="9" t="s">
        <v>12073</v>
      </c>
      <c r="M341" s="9" t="s">
        <v>12140</v>
      </c>
      <c r="N341" s="10" t="s">
        <v>12344</v>
      </c>
      <c r="O341" s="9"/>
      <c r="P341" s="9">
        <v>2</v>
      </c>
      <c r="Q341" s="9">
        <f t="shared" si="5"/>
        <v>0.24032684450853162</v>
      </c>
      <c r="R341" s="9"/>
      <c r="S341" s="9" t="s">
        <v>12795</v>
      </c>
      <c r="T341" s="9" t="s">
        <v>12795</v>
      </c>
      <c r="U341" s="9"/>
      <c r="V341" s="9"/>
      <c r="W341" s="9"/>
      <c r="X341" s="9"/>
      <c r="Y341" s="9"/>
      <c r="Z341" s="9"/>
      <c r="AA341" s="9"/>
      <c r="AB341" s="9"/>
      <c r="AC341" s="9"/>
      <c r="AD341" s="9"/>
    </row>
    <row r="342" spans="1:30" ht="43.5">
      <c r="A342" s="3" t="s">
        <v>2058</v>
      </c>
      <c r="B342" s="3" t="s">
        <v>7060</v>
      </c>
      <c r="C342" s="3" t="s">
        <v>7061</v>
      </c>
      <c r="G342" s="9" t="s">
        <v>24</v>
      </c>
      <c r="H342" s="9"/>
      <c r="I342" s="9">
        <v>1</v>
      </c>
      <c r="J342" s="9">
        <v>1</v>
      </c>
      <c r="K342" s="9" t="s">
        <v>12078</v>
      </c>
      <c r="L342" s="9" t="s">
        <v>12119</v>
      </c>
      <c r="M342" s="9"/>
      <c r="N342" s="10"/>
      <c r="O342" s="9"/>
      <c r="P342" s="9">
        <v>11843</v>
      </c>
      <c r="Q342" s="9">
        <f t="shared" si="5"/>
        <v>1423.0954097572699</v>
      </c>
      <c r="R342" s="9"/>
      <c r="S342" s="9" t="s">
        <v>12795</v>
      </c>
      <c r="T342" s="9" t="s">
        <v>12795</v>
      </c>
      <c r="U342" s="9"/>
      <c r="V342" s="9"/>
      <c r="W342" s="9"/>
      <c r="X342" s="9"/>
      <c r="Y342" s="9"/>
      <c r="Z342" s="9"/>
      <c r="AA342" s="9"/>
      <c r="AB342" s="9"/>
      <c r="AC342" s="9"/>
      <c r="AD342" s="9"/>
    </row>
    <row r="343" spans="1:30" ht="72.5">
      <c r="A343" s="3" t="s">
        <v>2059</v>
      </c>
      <c r="B343" s="3" t="s">
        <v>7062</v>
      </c>
      <c r="C343" s="3" t="s">
        <v>12351</v>
      </c>
      <c r="G343" s="9" t="s">
        <v>24</v>
      </c>
      <c r="H343" s="9"/>
      <c r="I343" s="9">
        <v>1</v>
      </c>
      <c r="J343" s="9">
        <v>2</v>
      </c>
      <c r="K343" s="9" t="s">
        <v>12078</v>
      </c>
      <c r="L343" s="9" t="s">
        <v>12119</v>
      </c>
      <c r="M343" s="9"/>
      <c r="N343" s="10"/>
      <c r="O343" s="9"/>
      <c r="P343" s="9">
        <v>11843</v>
      </c>
      <c r="Q343" s="9">
        <f t="shared" si="5"/>
        <v>1423.0954097572699</v>
      </c>
      <c r="R343" s="9"/>
      <c r="S343" s="9" t="s">
        <v>12795</v>
      </c>
      <c r="T343" s="9" t="s">
        <v>12795</v>
      </c>
      <c r="U343" s="9"/>
      <c r="V343" s="9"/>
      <c r="W343" s="9"/>
      <c r="X343" s="9"/>
      <c r="Y343" s="9"/>
      <c r="Z343" s="9"/>
      <c r="AA343" s="9"/>
      <c r="AB343" s="9"/>
      <c r="AC343" s="9"/>
      <c r="AD343" s="9"/>
    </row>
    <row r="344" spans="1:30" ht="72.5">
      <c r="A344" s="3" t="s">
        <v>2063</v>
      </c>
      <c r="B344" s="3" t="s">
        <v>7066</v>
      </c>
      <c r="C344" s="3" t="s">
        <v>7065</v>
      </c>
      <c r="G344" s="9" t="s">
        <v>25</v>
      </c>
      <c r="H344" s="9"/>
      <c r="I344" s="9">
        <v>2</v>
      </c>
      <c r="J344" s="9">
        <v>7</v>
      </c>
      <c r="K344" s="9"/>
      <c r="L344" s="9" t="s">
        <v>12079</v>
      </c>
      <c r="M344" s="9"/>
      <c r="N344" s="10"/>
      <c r="O344" s="9"/>
      <c r="P344" s="9">
        <v>160</v>
      </c>
      <c r="Q344" s="9">
        <f t="shared" si="5"/>
        <v>19.226147560682527</v>
      </c>
      <c r="R344" s="9"/>
      <c r="S344" s="9" t="s">
        <v>12795</v>
      </c>
      <c r="T344" s="9" t="s">
        <v>12795</v>
      </c>
      <c r="U344" s="9"/>
      <c r="V344" s="9"/>
      <c r="W344" s="9"/>
      <c r="X344" s="9"/>
      <c r="Y344" s="9"/>
      <c r="Z344" s="9"/>
      <c r="AA344" s="9"/>
      <c r="AB344" s="9"/>
      <c r="AC344" s="9"/>
      <c r="AD344" s="9"/>
    </row>
    <row r="345" spans="1:30" ht="43.5">
      <c r="A345" s="3" t="s">
        <v>2067</v>
      </c>
      <c r="B345" s="3" t="s">
        <v>7075</v>
      </c>
      <c r="C345" s="3" t="s">
        <v>7076</v>
      </c>
      <c r="G345" s="9" t="s">
        <v>25</v>
      </c>
      <c r="H345" s="9"/>
      <c r="I345" s="9">
        <v>1</v>
      </c>
      <c r="J345" s="9">
        <v>2</v>
      </c>
      <c r="K345" s="9" t="s">
        <v>12078</v>
      </c>
      <c r="L345" s="9" t="s">
        <v>12119</v>
      </c>
      <c r="M345" s="9"/>
      <c r="N345" s="10"/>
      <c r="O345" s="9" t="s">
        <v>12074</v>
      </c>
      <c r="P345" s="9">
        <v>11843</v>
      </c>
      <c r="Q345" s="9">
        <f t="shared" si="5"/>
        <v>1423.0954097572699</v>
      </c>
      <c r="R345" s="9"/>
      <c r="S345" s="9" t="s">
        <v>12795</v>
      </c>
      <c r="T345" s="9" t="s">
        <v>12795</v>
      </c>
      <c r="U345" s="9"/>
      <c r="V345" s="9"/>
      <c r="W345" s="9"/>
      <c r="X345" s="9"/>
      <c r="Y345" s="9"/>
      <c r="Z345" s="9"/>
      <c r="AA345" s="9"/>
      <c r="AB345" s="9"/>
      <c r="AC345" s="9"/>
      <c r="AD345" s="9"/>
    </row>
    <row r="346" spans="1:30" ht="29">
      <c r="A346" s="3" t="s">
        <v>2075</v>
      </c>
      <c r="B346" s="3" t="s">
        <v>7080</v>
      </c>
      <c r="C346" s="3" t="s">
        <v>7081</v>
      </c>
      <c r="G346" s="9" t="s">
        <v>25</v>
      </c>
      <c r="H346" s="9"/>
      <c r="I346" s="9">
        <v>1</v>
      </c>
      <c r="J346" s="9">
        <v>5</v>
      </c>
      <c r="K346" s="9" t="s">
        <v>12094</v>
      </c>
      <c r="L346" s="9" t="s">
        <v>12079</v>
      </c>
      <c r="M346" s="9"/>
      <c r="N346" s="10"/>
      <c r="O346" s="9"/>
      <c r="P346" s="9">
        <v>4240</v>
      </c>
      <c r="Q346" s="9">
        <f t="shared" si="5"/>
        <v>509.49291035808699</v>
      </c>
      <c r="R346" s="9"/>
      <c r="S346" s="9" t="s">
        <v>12795</v>
      </c>
      <c r="T346" s="9" t="s">
        <v>12795</v>
      </c>
      <c r="U346" s="9"/>
      <c r="V346" s="9"/>
      <c r="W346" s="9"/>
      <c r="X346" s="9"/>
      <c r="Y346" s="9"/>
      <c r="Z346" s="9"/>
      <c r="AA346" s="9"/>
      <c r="AB346" s="9"/>
      <c r="AC346" s="9"/>
      <c r="AD346" s="9"/>
    </row>
    <row r="347" spans="1:30" ht="29">
      <c r="A347" s="3" t="s">
        <v>2106</v>
      </c>
      <c r="B347" s="3" t="s">
        <v>7091</v>
      </c>
      <c r="C347" s="3" t="s">
        <v>7092</v>
      </c>
      <c r="G347" s="9" t="s">
        <v>25</v>
      </c>
      <c r="H347" s="9"/>
      <c r="I347" s="9">
        <v>1</v>
      </c>
      <c r="J347" s="9">
        <v>1</v>
      </c>
      <c r="K347" s="9" t="s">
        <v>12078</v>
      </c>
      <c r="L347" s="9" t="s">
        <v>12119</v>
      </c>
      <c r="M347" s="9"/>
      <c r="N347" s="10"/>
      <c r="O347" s="9" t="s">
        <v>12074</v>
      </c>
      <c r="P347" s="9">
        <v>11843</v>
      </c>
      <c r="Q347" s="9">
        <f t="shared" si="5"/>
        <v>1423.0954097572699</v>
      </c>
      <c r="R347" s="9"/>
      <c r="S347" s="9" t="s">
        <v>12795</v>
      </c>
      <c r="T347" s="9" t="s">
        <v>12795</v>
      </c>
      <c r="U347" s="9"/>
      <c r="V347" s="9"/>
      <c r="W347" s="9"/>
      <c r="X347" s="9"/>
      <c r="Y347" s="9"/>
      <c r="Z347" s="9"/>
      <c r="AA347" s="9"/>
      <c r="AB347" s="9"/>
      <c r="AC347" s="9"/>
      <c r="AD347" s="9"/>
    </row>
    <row r="348" spans="1:30" ht="29">
      <c r="A348" s="3" t="s">
        <v>2108</v>
      </c>
      <c r="B348" s="3" t="s">
        <v>7095</v>
      </c>
      <c r="C348" s="3" t="s">
        <v>7096</v>
      </c>
      <c r="G348" s="9" t="s">
        <v>25</v>
      </c>
      <c r="H348" s="9"/>
      <c r="I348" s="9">
        <v>1</v>
      </c>
      <c r="J348" s="9">
        <v>1</v>
      </c>
      <c r="K348" s="9" t="s">
        <v>12078</v>
      </c>
      <c r="L348" s="9" t="s">
        <v>12119</v>
      </c>
      <c r="M348" s="9"/>
      <c r="N348" s="10"/>
      <c r="O348" s="9"/>
      <c r="P348" s="9">
        <v>11843</v>
      </c>
      <c r="Q348" s="9">
        <f t="shared" si="5"/>
        <v>1423.0954097572699</v>
      </c>
      <c r="R348" s="9"/>
      <c r="S348" s="9" t="s">
        <v>12795</v>
      </c>
      <c r="T348" s="9" t="s">
        <v>12795</v>
      </c>
      <c r="U348" s="9"/>
      <c r="V348" s="9"/>
      <c r="W348" s="9"/>
      <c r="X348" s="9"/>
      <c r="Y348" s="9"/>
      <c r="Z348" s="9"/>
      <c r="AA348" s="9"/>
      <c r="AB348" s="9"/>
      <c r="AC348" s="9"/>
      <c r="AD348" s="9"/>
    </row>
    <row r="349" spans="1:30" ht="72.5">
      <c r="A349" s="3" t="s">
        <v>2109</v>
      </c>
      <c r="B349" s="3" t="s">
        <v>7097</v>
      </c>
      <c r="C349" s="3" t="s">
        <v>12355</v>
      </c>
      <c r="G349" s="9" t="s">
        <v>24</v>
      </c>
      <c r="H349" s="9"/>
      <c r="I349" s="9">
        <v>1</v>
      </c>
      <c r="J349" s="9">
        <v>2</v>
      </c>
      <c r="K349" s="9" t="s">
        <v>12078</v>
      </c>
      <c r="L349" s="9" t="s">
        <v>12119</v>
      </c>
      <c r="M349" s="9"/>
      <c r="N349" s="10"/>
      <c r="O349" s="9"/>
      <c r="P349" s="9">
        <v>11843</v>
      </c>
      <c r="Q349" s="9">
        <f t="shared" si="5"/>
        <v>1423.0954097572699</v>
      </c>
      <c r="R349" s="9"/>
      <c r="S349" s="9" t="s">
        <v>12795</v>
      </c>
      <c r="T349" s="9" t="s">
        <v>12795</v>
      </c>
      <c r="U349" s="9"/>
      <c r="V349" s="9"/>
      <c r="W349" s="9"/>
      <c r="X349" s="9"/>
      <c r="Y349" s="9"/>
      <c r="Z349" s="9"/>
      <c r="AA349" s="9"/>
      <c r="AB349" s="9"/>
      <c r="AC349" s="9"/>
      <c r="AD349" s="9"/>
    </row>
    <row r="350" spans="1:30" ht="72.5">
      <c r="A350" s="3" t="s">
        <v>2109</v>
      </c>
      <c r="B350" s="3" t="s">
        <v>7097</v>
      </c>
      <c r="C350" s="3" t="s">
        <v>12356</v>
      </c>
      <c r="G350" s="9" t="s">
        <v>24</v>
      </c>
      <c r="H350" s="9"/>
      <c r="I350" s="9">
        <v>1</v>
      </c>
      <c r="J350" s="9">
        <v>3</v>
      </c>
      <c r="K350" s="9" t="s">
        <v>12078</v>
      </c>
      <c r="L350" s="9" t="s">
        <v>12079</v>
      </c>
      <c r="M350" s="9"/>
      <c r="N350" s="10"/>
      <c r="O350" s="9"/>
      <c r="P350" s="9">
        <v>11843</v>
      </c>
      <c r="Q350" s="9">
        <f t="shared" si="5"/>
        <v>1423.0954097572699</v>
      </c>
      <c r="R350" s="9"/>
      <c r="S350" s="9" t="s">
        <v>12795</v>
      </c>
      <c r="T350" s="9" t="s">
        <v>12795</v>
      </c>
      <c r="U350" s="9"/>
      <c r="V350" s="9"/>
      <c r="W350" s="9"/>
      <c r="X350" s="9"/>
      <c r="Y350" s="9"/>
      <c r="Z350" s="9"/>
      <c r="AA350" s="9"/>
      <c r="AB350" s="9"/>
      <c r="AC350" s="9"/>
      <c r="AD350" s="9"/>
    </row>
    <row r="351" spans="1:30" ht="43.5">
      <c r="A351" s="3" t="s">
        <v>2112</v>
      </c>
      <c r="B351" s="3" t="s">
        <v>7098</v>
      </c>
      <c r="C351" s="3" t="s">
        <v>7099</v>
      </c>
      <c r="G351" s="9" t="s">
        <v>24</v>
      </c>
      <c r="H351" s="9"/>
      <c r="I351" s="9">
        <v>1</v>
      </c>
      <c r="J351" s="9">
        <v>3</v>
      </c>
      <c r="K351" s="9" t="s">
        <v>12078</v>
      </c>
      <c r="L351" s="9" t="s">
        <v>12079</v>
      </c>
      <c r="M351" s="9"/>
      <c r="N351" s="10"/>
      <c r="O351" s="9"/>
      <c r="P351" s="9">
        <v>11843</v>
      </c>
      <c r="Q351" s="9">
        <f t="shared" si="5"/>
        <v>1423.0954097572699</v>
      </c>
      <c r="R351" s="9"/>
      <c r="S351" s="9" t="s">
        <v>12795</v>
      </c>
      <c r="T351" s="9" t="s">
        <v>12795</v>
      </c>
      <c r="U351" s="9" t="s">
        <v>12117</v>
      </c>
      <c r="V351" s="9"/>
      <c r="W351" s="9"/>
      <c r="X351" s="9"/>
      <c r="Y351" s="9"/>
      <c r="Z351" s="9"/>
      <c r="AA351" s="9"/>
      <c r="AB351" s="9"/>
      <c r="AC351" s="9"/>
      <c r="AD351" s="9"/>
    </row>
    <row r="352" spans="1:30" ht="72.5">
      <c r="A352" s="3" t="s">
        <v>2114</v>
      </c>
      <c r="B352" s="3" t="s">
        <v>7102</v>
      </c>
      <c r="C352" s="3" t="s">
        <v>7103</v>
      </c>
      <c r="G352" s="9" t="s">
        <v>25</v>
      </c>
      <c r="H352" s="9"/>
      <c r="I352" s="9">
        <v>1</v>
      </c>
      <c r="J352" s="9">
        <v>9</v>
      </c>
      <c r="K352" s="9" t="s">
        <v>12092</v>
      </c>
      <c r="L352" s="9" t="s">
        <v>12073</v>
      </c>
      <c r="M352" s="9" t="s">
        <v>12149</v>
      </c>
      <c r="N352" s="10" t="s">
        <v>12143</v>
      </c>
      <c r="O352" s="9"/>
      <c r="P352" s="9">
        <v>1</v>
      </c>
      <c r="Q352" s="9">
        <f t="shared" si="5"/>
        <v>0.12016342225426581</v>
      </c>
      <c r="R352" s="9"/>
      <c r="S352" s="9" t="s">
        <v>12795</v>
      </c>
      <c r="T352" s="9" t="s">
        <v>12795</v>
      </c>
      <c r="U352" s="9"/>
      <c r="V352" s="9"/>
      <c r="W352" s="9"/>
      <c r="X352" s="9"/>
      <c r="Y352" s="9"/>
      <c r="Z352" s="9"/>
      <c r="AA352" s="9"/>
      <c r="AB352" s="9"/>
      <c r="AC352" s="9"/>
      <c r="AD352" s="9"/>
    </row>
    <row r="353" spans="1:30" ht="29">
      <c r="A353" s="3" t="s">
        <v>2117</v>
      </c>
      <c r="B353" s="3" t="s">
        <v>7113</v>
      </c>
      <c r="C353" s="3" t="s">
        <v>7112</v>
      </c>
      <c r="G353" s="9" t="s">
        <v>24</v>
      </c>
      <c r="H353" s="9"/>
      <c r="I353" s="9">
        <v>1</v>
      </c>
      <c r="J353" s="9">
        <v>2</v>
      </c>
      <c r="K353" s="9" t="s">
        <v>12078</v>
      </c>
      <c r="L353" s="9" t="s">
        <v>12119</v>
      </c>
      <c r="M353" s="9"/>
      <c r="N353" s="10"/>
      <c r="O353" s="9"/>
      <c r="P353" s="9">
        <v>11843</v>
      </c>
      <c r="Q353" s="9">
        <f t="shared" si="5"/>
        <v>1423.0954097572699</v>
      </c>
      <c r="R353" s="9"/>
      <c r="S353" s="9" t="s">
        <v>12795</v>
      </c>
      <c r="T353" s="9" t="s">
        <v>12795</v>
      </c>
      <c r="U353" s="9"/>
      <c r="V353" s="9"/>
      <c r="W353" s="9"/>
      <c r="X353" s="9"/>
      <c r="Y353" s="9"/>
      <c r="Z353" s="9"/>
      <c r="AA353" s="9"/>
      <c r="AB353" s="9"/>
      <c r="AC353" s="9"/>
      <c r="AD353" s="9"/>
    </row>
    <row r="354" spans="1:30" ht="58">
      <c r="A354" s="3" t="s">
        <v>2119</v>
      </c>
      <c r="B354" s="3" t="s">
        <v>7119</v>
      </c>
      <c r="C354" s="3" t="s">
        <v>7118</v>
      </c>
      <c r="G354" s="9" t="s">
        <v>24</v>
      </c>
      <c r="H354" s="9"/>
      <c r="I354" s="9">
        <v>1</v>
      </c>
      <c r="J354" s="9">
        <v>8</v>
      </c>
      <c r="K354" s="9" t="s">
        <v>12098</v>
      </c>
      <c r="L354" s="9" t="s">
        <v>12073</v>
      </c>
      <c r="M354" s="9" t="s">
        <v>12142</v>
      </c>
      <c r="N354" s="10" t="s">
        <v>12158</v>
      </c>
      <c r="O354" s="9"/>
      <c r="P354" s="9">
        <v>16</v>
      </c>
      <c r="Q354" s="9">
        <f t="shared" si="5"/>
        <v>1.9226147560682529</v>
      </c>
      <c r="R354" s="9"/>
      <c r="S354" s="9" t="s">
        <v>12795</v>
      </c>
      <c r="T354" s="9" t="s">
        <v>12795</v>
      </c>
      <c r="U354" s="9"/>
      <c r="V354" s="9"/>
      <c r="W354" s="9"/>
      <c r="X354" s="9"/>
      <c r="Y354" s="9"/>
      <c r="Z354" s="9"/>
      <c r="AA354" s="9"/>
      <c r="AB354" s="9"/>
      <c r="AC354" s="9"/>
      <c r="AD354" s="9"/>
    </row>
    <row r="355" spans="1:30" ht="58">
      <c r="A355" s="3" t="s">
        <v>2136</v>
      </c>
      <c r="B355" s="3" t="s">
        <v>12895</v>
      </c>
      <c r="C355" s="3" t="s">
        <v>7134</v>
      </c>
      <c r="G355" s="9" t="s">
        <v>25</v>
      </c>
      <c r="H355" s="9"/>
      <c r="I355" s="9">
        <v>1</v>
      </c>
      <c r="J355" s="9">
        <v>10</v>
      </c>
      <c r="K355" s="9" t="s">
        <v>12125</v>
      </c>
      <c r="L355" s="9" t="s">
        <v>12073</v>
      </c>
      <c r="M355" s="9" t="s">
        <v>12142</v>
      </c>
      <c r="N355" s="10" t="s">
        <v>12143</v>
      </c>
      <c r="O355" s="9"/>
      <c r="P355" s="9">
        <v>25</v>
      </c>
      <c r="Q355" s="9">
        <f t="shared" si="5"/>
        <v>3.0040855563566451</v>
      </c>
      <c r="R355" s="9"/>
      <c r="S355" s="9" t="s">
        <v>12795</v>
      </c>
      <c r="T355" s="9" t="s">
        <v>12795</v>
      </c>
      <c r="U355" s="9"/>
      <c r="V355" s="9"/>
      <c r="W355" s="9"/>
      <c r="X355" s="9"/>
      <c r="Y355" s="9"/>
      <c r="Z355" s="9"/>
      <c r="AA355" s="9"/>
      <c r="AB355" s="9"/>
      <c r="AC355" s="9"/>
      <c r="AD355" s="9"/>
    </row>
    <row r="356" spans="1:30" ht="29">
      <c r="A356" s="3" t="s">
        <v>2137</v>
      </c>
      <c r="B356" s="3" t="s">
        <v>12896</v>
      </c>
      <c r="C356" s="3" t="s">
        <v>7135</v>
      </c>
      <c r="G356" s="9" t="s">
        <v>24</v>
      </c>
      <c r="H356" s="9"/>
      <c r="I356" s="9">
        <v>1</v>
      </c>
      <c r="J356" s="9">
        <v>2</v>
      </c>
      <c r="K356" s="9" t="s">
        <v>12078</v>
      </c>
      <c r="L356" s="9" t="s">
        <v>12119</v>
      </c>
      <c r="M356" s="9"/>
      <c r="N356" s="10"/>
      <c r="O356" s="9"/>
      <c r="P356" s="9">
        <v>11843</v>
      </c>
      <c r="Q356" s="9">
        <f t="shared" si="5"/>
        <v>1423.0954097572699</v>
      </c>
      <c r="R356" s="9"/>
      <c r="S356" s="9" t="s">
        <v>12795</v>
      </c>
      <c r="T356" s="9" t="s">
        <v>12795</v>
      </c>
      <c r="U356" s="9"/>
      <c r="V356" s="9"/>
      <c r="W356" s="9"/>
      <c r="X356" s="9"/>
      <c r="Y356" s="9"/>
      <c r="Z356" s="9"/>
      <c r="AA356" s="9"/>
      <c r="AB356" s="9"/>
      <c r="AC356" s="9"/>
      <c r="AD356" s="9"/>
    </row>
    <row r="357" spans="1:30" ht="43.5">
      <c r="A357" s="3" t="s">
        <v>2140</v>
      </c>
      <c r="B357" s="3" t="s">
        <v>7138</v>
      </c>
      <c r="C357" s="3" t="s">
        <v>7137</v>
      </c>
      <c r="G357" s="9" t="s">
        <v>25</v>
      </c>
      <c r="H357" s="9"/>
      <c r="I357" s="9">
        <v>1</v>
      </c>
      <c r="J357" s="9">
        <v>3</v>
      </c>
      <c r="K357" s="9" t="s">
        <v>12078</v>
      </c>
      <c r="L357" s="9" t="s">
        <v>12079</v>
      </c>
      <c r="M357" s="9"/>
      <c r="N357" s="10"/>
      <c r="O357" s="9"/>
      <c r="P357" s="9">
        <v>11843</v>
      </c>
      <c r="Q357" s="9">
        <f t="shared" si="5"/>
        <v>1423.0954097572699</v>
      </c>
      <c r="R357" s="9"/>
      <c r="S357" s="9" t="s">
        <v>12795</v>
      </c>
      <c r="T357" s="9" t="s">
        <v>12795</v>
      </c>
      <c r="U357" s="9"/>
      <c r="V357" s="9"/>
      <c r="W357" s="9"/>
      <c r="X357" s="9"/>
      <c r="Y357" s="9"/>
      <c r="Z357" s="9"/>
      <c r="AA357" s="9"/>
      <c r="AB357" s="9"/>
      <c r="AC357" s="9"/>
      <c r="AD357" s="9"/>
    </row>
    <row r="358" spans="1:30" ht="58">
      <c r="A358" s="3" t="s">
        <v>2150</v>
      </c>
      <c r="B358" s="3" t="s">
        <v>7156</v>
      </c>
      <c r="C358" s="3" t="s">
        <v>7157</v>
      </c>
      <c r="G358" s="9" t="s">
        <v>25</v>
      </c>
      <c r="H358" s="9"/>
      <c r="I358" s="9">
        <v>1</v>
      </c>
      <c r="J358" s="9">
        <v>3</v>
      </c>
      <c r="K358" s="9" t="s">
        <v>12092</v>
      </c>
      <c r="L358" s="9" t="s">
        <v>12079</v>
      </c>
      <c r="M358" s="9"/>
      <c r="N358" s="10"/>
      <c r="O358" s="9"/>
      <c r="P358" s="9">
        <v>635</v>
      </c>
      <c r="Q358" s="9">
        <f t="shared" si="5"/>
        <v>76.303773131458783</v>
      </c>
      <c r="R358" s="9"/>
      <c r="S358" s="9" t="s">
        <v>12795</v>
      </c>
      <c r="T358" s="9" t="s">
        <v>12795</v>
      </c>
      <c r="U358" s="9"/>
      <c r="V358" s="9"/>
      <c r="W358" s="9"/>
      <c r="X358" s="9"/>
      <c r="Y358" s="9"/>
      <c r="Z358" s="9"/>
      <c r="AA358" s="9"/>
      <c r="AB358" s="9"/>
      <c r="AC358" s="9"/>
      <c r="AD358" s="9"/>
    </row>
    <row r="359" spans="1:30" ht="43.5">
      <c r="A359" s="3" t="s">
        <v>2151</v>
      </c>
      <c r="B359" s="3" t="s">
        <v>7167</v>
      </c>
      <c r="C359" s="3" t="s">
        <v>7168</v>
      </c>
      <c r="G359" s="9" t="s">
        <v>25</v>
      </c>
      <c r="H359" s="9"/>
      <c r="I359" s="9">
        <v>1</v>
      </c>
      <c r="J359" s="9">
        <v>2</v>
      </c>
      <c r="K359" s="9" t="s">
        <v>12096</v>
      </c>
      <c r="L359" s="9" t="s">
        <v>12119</v>
      </c>
      <c r="M359" s="9"/>
      <c r="N359" s="10"/>
      <c r="O359" s="9"/>
      <c r="P359" s="9">
        <v>1294</v>
      </c>
      <c r="Q359" s="9">
        <f t="shared" si="5"/>
        <v>155.49146839701996</v>
      </c>
      <c r="R359" s="9"/>
      <c r="S359" s="9" t="s">
        <v>12795</v>
      </c>
      <c r="T359" s="9" t="s">
        <v>12795</v>
      </c>
      <c r="U359" s="9"/>
      <c r="V359" s="9"/>
      <c r="W359" s="9"/>
      <c r="X359" s="9"/>
      <c r="Y359" s="9"/>
      <c r="Z359" s="9"/>
      <c r="AA359" s="9"/>
      <c r="AB359" s="9"/>
      <c r="AC359" s="9"/>
      <c r="AD359" s="9"/>
    </row>
    <row r="360" spans="1:30" ht="72.5">
      <c r="A360" s="3" t="s">
        <v>2157</v>
      </c>
      <c r="B360" s="3" t="s">
        <v>7172</v>
      </c>
      <c r="C360" s="3" t="s">
        <v>7171</v>
      </c>
      <c r="G360" s="9" t="s">
        <v>24</v>
      </c>
      <c r="H360" s="9"/>
      <c r="I360" s="9">
        <v>1</v>
      </c>
      <c r="J360" s="9">
        <v>5</v>
      </c>
      <c r="K360" s="9" t="s">
        <v>12094</v>
      </c>
      <c r="L360" s="9" t="s">
        <v>12079</v>
      </c>
      <c r="M360" s="9"/>
      <c r="N360" s="10"/>
      <c r="O360" s="9"/>
      <c r="P360" s="9">
        <v>4240</v>
      </c>
      <c r="Q360" s="9">
        <f t="shared" si="5"/>
        <v>509.49291035808699</v>
      </c>
      <c r="R360" s="9"/>
      <c r="S360" s="9" t="s">
        <v>12795</v>
      </c>
      <c r="T360" s="9" t="s">
        <v>12795</v>
      </c>
      <c r="U360" s="9"/>
      <c r="V360" s="9"/>
      <c r="W360" s="9"/>
      <c r="X360" s="9"/>
      <c r="Y360" s="9"/>
      <c r="Z360" s="9"/>
      <c r="AA360" s="9"/>
      <c r="AB360" s="9"/>
      <c r="AC360" s="9"/>
      <c r="AD360" s="9"/>
    </row>
    <row r="361" spans="1:30" ht="43.5">
      <c r="A361" s="3" t="s">
        <v>2159</v>
      </c>
      <c r="B361" s="3" t="s">
        <v>7175</v>
      </c>
      <c r="C361" s="3" t="s">
        <v>7176</v>
      </c>
      <c r="G361" s="9" t="s">
        <v>25</v>
      </c>
      <c r="H361" s="9"/>
      <c r="I361" s="9">
        <v>1</v>
      </c>
      <c r="J361" s="9">
        <v>2</v>
      </c>
      <c r="K361" s="9" t="s">
        <v>12087</v>
      </c>
      <c r="L361" s="9" t="s">
        <v>12119</v>
      </c>
      <c r="M361" s="9"/>
      <c r="N361" s="10"/>
      <c r="O361" s="9"/>
      <c r="P361" s="9">
        <v>1966</v>
      </c>
      <c r="Q361" s="9">
        <f t="shared" si="5"/>
        <v>236.24128815188658</v>
      </c>
      <c r="R361" s="9"/>
      <c r="S361" s="9" t="s">
        <v>12795</v>
      </c>
      <c r="T361" s="9" t="s">
        <v>12795</v>
      </c>
      <c r="U361" s="9"/>
      <c r="V361" s="9"/>
      <c r="W361" s="9"/>
      <c r="X361" s="9"/>
      <c r="Y361" s="9"/>
      <c r="Z361" s="9"/>
      <c r="AA361" s="9"/>
      <c r="AB361" s="9"/>
      <c r="AC361" s="9"/>
      <c r="AD361" s="9"/>
    </row>
    <row r="362" spans="1:30" ht="43.5">
      <c r="A362" s="3" t="s">
        <v>2160</v>
      </c>
      <c r="B362" s="3" t="s">
        <v>7178</v>
      </c>
      <c r="C362" s="3" t="s">
        <v>7177</v>
      </c>
      <c r="G362" s="9" t="s">
        <v>25</v>
      </c>
      <c r="H362" s="9"/>
      <c r="I362" s="9">
        <v>1</v>
      </c>
      <c r="J362" s="9">
        <v>2</v>
      </c>
      <c r="K362" s="9" t="s">
        <v>12094</v>
      </c>
      <c r="L362" s="9" t="s">
        <v>12119</v>
      </c>
      <c r="M362" s="9"/>
      <c r="N362" s="10"/>
      <c r="O362" s="9"/>
      <c r="P362" s="9">
        <v>1496</v>
      </c>
      <c r="Q362" s="9">
        <f t="shared" si="5"/>
        <v>179.76447969238166</v>
      </c>
      <c r="R362" s="9"/>
      <c r="S362" s="9" t="s">
        <v>12795</v>
      </c>
      <c r="T362" s="9" t="s">
        <v>12795</v>
      </c>
      <c r="U362" s="9"/>
      <c r="V362" s="9"/>
      <c r="W362" s="9"/>
      <c r="X362" s="9"/>
      <c r="Y362" s="9"/>
      <c r="Z362" s="9"/>
      <c r="AA362" s="9"/>
      <c r="AB362" s="9"/>
      <c r="AC362" s="9"/>
      <c r="AD362" s="9"/>
    </row>
    <row r="363" spans="1:30" ht="58">
      <c r="A363" s="3" t="s">
        <v>2162</v>
      </c>
      <c r="B363" s="3" t="s">
        <v>7183</v>
      </c>
      <c r="C363" s="3" t="s">
        <v>7184</v>
      </c>
      <c r="G363" s="9" t="s">
        <v>25</v>
      </c>
      <c r="H363" s="9"/>
      <c r="I363" s="9">
        <v>1</v>
      </c>
      <c r="J363" s="9">
        <v>6</v>
      </c>
      <c r="K363" s="9" t="s">
        <v>12094</v>
      </c>
      <c r="L363" s="9" t="s">
        <v>12073</v>
      </c>
      <c r="M363" s="9" t="s">
        <v>12142</v>
      </c>
      <c r="N363" s="10" t="s">
        <v>12143</v>
      </c>
      <c r="O363" s="9"/>
      <c r="P363" s="9">
        <v>4240</v>
      </c>
      <c r="Q363" s="9">
        <f t="shared" si="5"/>
        <v>509.49291035808699</v>
      </c>
      <c r="R363" s="9"/>
      <c r="S363" s="9" t="s">
        <v>12795</v>
      </c>
      <c r="T363" s="9" t="s">
        <v>12795</v>
      </c>
      <c r="U363" s="9"/>
      <c r="V363" s="9"/>
      <c r="W363" s="9"/>
      <c r="X363" s="9"/>
      <c r="Y363" s="9"/>
      <c r="Z363" s="9"/>
      <c r="AA363" s="9"/>
      <c r="AB363" s="9"/>
      <c r="AC363" s="9"/>
      <c r="AD363" s="9"/>
    </row>
    <row r="364" spans="1:30" ht="377">
      <c r="A364" s="3" t="s">
        <v>2165</v>
      </c>
      <c r="B364" s="3" t="s">
        <v>7190</v>
      </c>
      <c r="C364" s="3" t="s">
        <v>7191</v>
      </c>
      <c r="G364" s="9" t="s">
        <v>24</v>
      </c>
      <c r="H364" s="9"/>
      <c r="I364" s="9">
        <v>4</v>
      </c>
      <c r="J364" s="9">
        <v>28</v>
      </c>
      <c r="K364" s="9"/>
      <c r="L364" s="9" t="s">
        <v>12073</v>
      </c>
      <c r="M364" s="9" t="s">
        <v>12140</v>
      </c>
      <c r="N364" s="10" t="s">
        <v>12194</v>
      </c>
      <c r="O364" s="9"/>
      <c r="P364" s="9">
        <v>3</v>
      </c>
      <c r="Q364" s="9">
        <f t="shared" si="5"/>
        <v>0.36049026676279744</v>
      </c>
      <c r="R364" s="9"/>
      <c r="S364" s="9" t="s">
        <v>12795</v>
      </c>
      <c r="T364" s="9" t="s">
        <v>12795</v>
      </c>
      <c r="U364" s="9"/>
      <c r="V364" s="9"/>
      <c r="W364" s="9"/>
      <c r="X364" s="9"/>
      <c r="Y364" s="9"/>
      <c r="Z364" s="9"/>
      <c r="AA364" s="9"/>
      <c r="AB364" s="9"/>
      <c r="AC364" s="9"/>
      <c r="AD364" s="9"/>
    </row>
    <row r="365" spans="1:30" ht="29">
      <c r="A365" s="3" t="s">
        <v>2168</v>
      </c>
      <c r="B365" s="3" t="s">
        <v>7196</v>
      </c>
      <c r="C365" s="3" t="s">
        <v>7197</v>
      </c>
      <c r="G365" s="9" t="s">
        <v>24</v>
      </c>
      <c r="H365" s="9"/>
      <c r="I365" s="9">
        <v>1</v>
      </c>
      <c r="J365" s="9">
        <v>2</v>
      </c>
      <c r="K365" s="9" t="s">
        <v>12078</v>
      </c>
      <c r="L365" s="9" t="s">
        <v>12119</v>
      </c>
      <c r="M365" s="9"/>
      <c r="N365" s="10"/>
      <c r="O365" s="9" t="s">
        <v>12074</v>
      </c>
      <c r="P365" s="9">
        <v>11843</v>
      </c>
      <c r="Q365" s="9">
        <f t="shared" si="5"/>
        <v>1423.0954097572699</v>
      </c>
      <c r="R365" s="9"/>
      <c r="S365" s="9" t="s">
        <v>12795</v>
      </c>
      <c r="T365" s="9" t="s">
        <v>12795</v>
      </c>
      <c r="U365" s="9"/>
      <c r="V365" s="9"/>
      <c r="W365" s="9"/>
      <c r="X365" s="9"/>
      <c r="Y365" s="9"/>
      <c r="Z365" s="9"/>
      <c r="AA365" s="9"/>
      <c r="AB365" s="9"/>
      <c r="AC365" s="9"/>
      <c r="AD365" s="9"/>
    </row>
    <row r="366" spans="1:30" ht="43.5">
      <c r="A366" s="3" t="s">
        <v>2168</v>
      </c>
      <c r="B366" s="3" t="s">
        <v>7198</v>
      </c>
      <c r="C366" s="3" t="s">
        <v>7201</v>
      </c>
      <c r="G366" s="9" t="s">
        <v>24</v>
      </c>
      <c r="H366" s="9"/>
      <c r="I366" s="9">
        <v>1</v>
      </c>
      <c r="J366" s="9">
        <v>3</v>
      </c>
      <c r="K366" s="9" t="s">
        <v>12078</v>
      </c>
      <c r="L366" s="9" t="s">
        <v>12079</v>
      </c>
      <c r="M366" s="9"/>
      <c r="N366" s="10"/>
      <c r="O366" s="9"/>
      <c r="P366" s="9">
        <v>11843</v>
      </c>
      <c r="Q366" s="9">
        <f t="shared" si="5"/>
        <v>1423.0954097572699</v>
      </c>
      <c r="R366" s="9"/>
      <c r="S366" s="9" t="s">
        <v>12795</v>
      </c>
      <c r="T366" s="9" t="s">
        <v>12795</v>
      </c>
      <c r="U366" s="9"/>
      <c r="V366" s="9"/>
      <c r="W366" s="9"/>
      <c r="X366" s="9"/>
      <c r="Y366" s="9"/>
      <c r="Z366" s="9"/>
      <c r="AA366" s="9"/>
      <c r="AB366" s="9"/>
      <c r="AC366" s="9"/>
      <c r="AD366" s="9"/>
    </row>
    <row r="367" spans="1:30" ht="29">
      <c r="A367" s="3" t="s">
        <v>2175</v>
      </c>
      <c r="B367" s="3" t="s">
        <v>7205</v>
      </c>
      <c r="C367" s="3" t="s">
        <v>7204</v>
      </c>
      <c r="G367" s="9" t="s">
        <v>24</v>
      </c>
      <c r="H367" s="9"/>
      <c r="I367" s="9">
        <v>1</v>
      </c>
      <c r="J367" s="9">
        <v>3</v>
      </c>
      <c r="K367" s="9" t="s">
        <v>12078</v>
      </c>
      <c r="L367" s="9" t="s">
        <v>12079</v>
      </c>
      <c r="M367" s="9"/>
      <c r="N367" s="10"/>
      <c r="O367" s="9"/>
      <c r="P367" s="9">
        <v>11843</v>
      </c>
      <c r="Q367" s="9">
        <f t="shared" si="5"/>
        <v>1423.0954097572699</v>
      </c>
      <c r="R367" s="9"/>
      <c r="S367" s="9" t="s">
        <v>12795</v>
      </c>
      <c r="T367" s="9" t="s">
        <v>12795</v>
      </c>
      <c r="U367" s="9"/>
      <c r="V367" s="9"/>
      <c r="W367" s="9"/>
      <c r="X367" s="9"/>
      <c r="Y367" s="9"/>
      <c r="Z367" s="9"/>
      <c r="AA367" s="9"/>
      <c r="AB367" s="9"/>
      <c r="AC367" s="9"/>
      <c r="AD367" s="9"/>
    </row>
    <row r="368" spans="1:30" ht="72.5">
      <c r="A368" s="3" t="s">
        <v>2183</v>
      </c>
      <c r="B368" s="3" t="s">
        <v>7215</v>
      </c>
      <c r="C368" s="3" t="s">
        <v>7214</v>
      </c>
      <c r="G368" s="9" t="s">
        <v>25</v>
      </c>
      <c r="H368" s="9"/>
      <c r="I368" s="9">
        <v>2</v>
      </c>
      <c r="J368" s="9">
        <v>5</v>
      </c>
      <c r="K368" s="9"/>
      <c r="L368" s="9" t="s">
        <v>12079</v>
      </c>
      <c r="M368" s="9"/>
      <c r="N368" s="10"/>
      <c r="O368" s="9"/>
      <c r="P368" s="9">
        <v>1966</v>
      </c>
      <c r="Q368" s="9">
        <f t="shared" si="5"/>
        <v>236.24128815188658</v>
      </c>
      <c r="R368" s="9"/>
      <c r="S368" s="9" t="s">
        <v>12795</v>
      </c>
      <c r="T368" s="9" t="s">
        <v>12795</v>
      </c>
      <c r="U368" s="9"/>
      <c r="V368" s="9"/>
      <c r="W368" s="9"/>
      <c r="X368" s="9"/>
      <c r="Y368" s="9"/>
      <c r="Z368" s="9"/>
      <c r="AA368" s="9"/>
      <c r="AB368" s="9"/>
      <c r="AC368" s="9"/>
      <c r="AD368" s="9"/>
    </row>
    <row r="369" spans="1:30" ht="29">
      <c r="A369" s="3" t="s">
        <v>2186</v>
      </c>
      <c r="B369" s="3" t="s">
        <v>7220</v>
      </c>
      <c r="C369" s="3" t="s">
        <v>7221</v>
      </c>
      <c r="G369" s="9" t="s">
        <v>25</v>
      </c>
      <c r="H369" s="9"/>
      <c r="I369" s="9">
        <v>1</v>
      </c>
      <c r="J369" s="9">
        <v>2</v>
      </c>
      <c r="K369" s="9" t="s">
        <v>12078</v>
      </c>
      <c r="L369" s="9" t="s">
        <v>12119</v>
      </c>
      <c r="M369" s="9"/>
      <c r="N369" s="10"/>
      <c r="O369" s="9"/>
      <c r="P369" s="9">
        <v>11843</v>
      </c>
      <c r="Q369" s="9">
        <f t="shared" si="5"/>
        <v>1423.0954097572699</v>
      </c>
      <c r="R369" s="9"/>
      <c r="S369" s="9" t="s">
        <v>12795</v>
      </c>
      <c r="T369" s="9" t="s">
        <v>12795</v>
      </c>
      <c r="U369" s="9"/>
      <c r="V369" s="9"/>
      <c r="W369" s="9"/>
      <c r="X369" s="9"/>
      <c r="Y369" s="9"/>
      <c r="Z369" s="9"/>
      <c r="AA369" s="9"/>
      <c r="AB369" s="9"/>
      <c r="AC369" s="9"/>
      <c r="AD369" s="9"/>
    </row>
    <row r="370" spans="1:30" ht="29">
      <c r="A370" s="3" t="s">
        <v>2209</v>
      </c>
      <c r="B370" s="3" t="s">
        <v>7226</v>
      </c>
      <c r="C370" s="3" t="s">
        <v>6698</v>
      </c>
      <c r="G370" s="9" t="s">
        <v>25</v>
      </c>
      <c r="H370" s="9"/>
      <c r="I370" s="9">
        <v>1</v>
      </c>
      <c r="J370" s="9">
        <v>1</v>
      </c>
      <c r="K370" s="9" t="s">
        <v>12078</v>
      </c>
      <c r="L370" s="9" t="s">
        <v>12119</v>
      </c>
      <c r="M370" s="9"/>
      <c r="N370" s="10"/>
      <c r="O370" s="9"/>
      <c r="P370" s="9">
        <v>11843</v>
      </c>
      <c r="Q370" s="9">
        <f t="shared" si="5"/>
        <v>1423.0954097572699</v>
      </c>
      <c r="R370" s="9"/>
      <c r="S370" s="9" t="s">
        <v>12795</v>
      </c>
      <c r="T370" s="9" t="s">
        <v>12795</v>
      </c>
      <c r="U370" s="9" t="s">
        <v>12117</v>
      </c>
      <c r="V370" s="9"/>
      <c r="W370" s="9"/>
      <c r="X370" s="9"/>
      <c r="Y370" s="9"/>
      <c r="Z370" s="9"/>
      <c r="AA370" s="9"/>
      <c r="AB370" s="9"/>
      <c r="AC370" s="9"/>
      <c r="AD370" s="9"/>
    </row>
    <row r="371" spans="1:30" ht="29">
      <c r="A371" s="3" t="s">
        <v>2209</v>
      </c>
      <c r="B371" s="3" t="s">
        <v>7228</v>
      </c>
      <c r="C371" s="3" t="s">
        <v>7227</v>
      </c>
      <c r="G371" s="9" t="s">
        <v>24</v>
      </c>
      <c r="H371" s="9"/>
      <c r="I371" s="9">
        <v>1</v>
      </c>
      <c r="J371" s="9">
        <v>3</v>
      </c>
      <c r="K371" s="9" t="s">
        <v>12087</v>
      </c>
      <c r="L371" s="9" t="s">
        <v>12079</v>
      </c>
      <c r="M371" s="9"/>
      <c r="N371" s="10"/>
      <c r="O371" s="9"/>
      <c r="P371" s="9">
        <v>810</v>
      </c>
      <c r="Q371" s="9">
        <f t="shared" si="5"/>
        <v>97.332372025955294</v>
      </c>
      <c r="R371" s="9"/>
      <c r="S371" s="9" t="s">
        <v>12795</v>
      </c>
      <c r="T371" s="9" t="s">
        <v>12795</v>
      </c>
      <c r="U371" s="9" t="s">
        <v>12117</v>
      </c>
      <c r="V371" s="9"/>
      <c r="W371" s="9"/>
      <c r="X371" s="9"/>
      <c r="Y371" s="9"/>
      <c r="Z371" s="9"/>
      <c r="AA371" s="9"/>
      <c r="AB371" s="9"/>
      <c r="AC371" s="9"/>
      <c r="AD371" s="9"/>
    </row>
    <row r="372" spans="1:30" ht="43.5">
      <c r="A372" s="3" t="s">
        <v>2219</v>
      </c>
      <c r="B372" s="3" t="s">
        <v>7235</v>
      </c>
      <c r="C372" s="3" t="s">
        <v>7236</v>
      </c>
      <c r="G372" s="9" t="s">
        <v>24</v>
      </c>
      <c r="H372" s="9"/>
      <c r="I372" s="9">
        <v>1</v>
      </c>
      <c r="J372" s="9">
        <v>3</v>
      </c>
      <c r="K372" s="9" t="s">
        <v>12078</v>
      </c>
      <c r="L372" s="9" t="s">
        <v>12079</v>
      </c>
      <c r="M372" s="9"/>
      <c r="N372" s="10"/>
      <c r="O372" s="9"/>
      <c r="P372" s="9">
        <v>11843</v>
      </c>
      <c r="Q372" s="9">
        <f t="shared" si="5"/>
        <v>1423.0954097572699</v>
      </c>
      <c r="R372" s="9"/>
      <c r="S372" s="9" t="s">
        <v>12795</v>
      </c>
      <c r="T372" s="9" t="s">
        <v>12795</v>
      </c>
      <c r="U372" s="9"/>
      <c r="V372" s="9"/>
      <c r="W372" s="9"/>
      <c r="X372" s="9"/>
      <c r="Y372" s="9"/>
      <c r="Z372" s="9"/>
      <c r="AA372" s="9"/>
      <c r="AB372" s="9"/>
      <c r="AC372" s="9"/>
      <c r="AD372" s="9"/>
    </row>
    <row r="373" spans="1:30" ht="58">
      <c r="A373" s="3" t="s">
        <v>2221</v>
      </c>
      <c r="B373" s="3" t="s">
        <v>7242</v>
      </c>
      <c r="C373" s="3" t="s">
        <v>7243</v>
      </c>
      <c r="G373" s="9" t="s">
        <v>24</v>
      </c>
      <c r="H373" s="9"/>
      <c r="I373" s="9">
        <v>1</v>
      </c>
      <c r="J373" s="9">
        <v>2</v>
      </c>
      <c r="K373" s="9" t="s">
        <v>12094</v>
      </c>
      <c r="L373" s="9" t="s">
        <v>12119</v>
      </c>
      <c r="M373" s="9"/>
      <c r="N373" s="10"/>
      <c r="O373" s="9"/>
      <c r="P373" s="9">
        <v>1496</v>
      </c>
      <c r="Q373" s="9">
        <f t="shared" si="5"/>
        <v>179.76447969238166</v>
      </c>
      <c r="R373" s="9"/>
      <c r="S373" s="9" t="s">
        <v>12795</v>
      </c>
      <c r="T373" s="9" t="s">
        <v>12795</v>
      </c>
      <c r="U373" s="9"/>
      <c r="V373" s="9"/>
      <c r="W373" s="9"/>
      <c r="X373" s="9"/>
      <c r="Y373" s="9"/>
      <c r="Z373" s="9"/>
      <c r="AA373" s="9"/>
      <c r="AB373" s="9"/>
      <c r="AC373" s="9"/>
      <c r="AD373" s="9"/>
    </row>
    <row r="374" spans="1:30" ht="58">
      <c r="A374" s="3" t="s">
        <v>2234</v>
      </c>
      <c r="B374" s="3" t="s">
        <v>7248</v>
      </c>
      <c r="C374" s="3" t="s">
        <v>12363</v>
      </c>
      <c r="G374" s="9" t="s">
        <v>24</v>
      </c>
      <c r="H374" s="9"/>
      <c r="I374" s="9">
        <v>1</v>
      </c>
      <c r="J374" s="9">
        <v>2</v>
      </c>
      <c r="K374" s="9" t="s">
        <v>12078</v>
      </c>
      <c r="L374" s="9" t="s">
        <v>12119</v>
      </c>
      <c r="M374" s="9"/>
      <c r="N374" s="10"/>
      <c r="O374" s="9"/>
      <c r="P374" s="9">
        <v>11843</v>
      </c>
      <c r="Q374" s="9">
        <f t="shared" si="5"/>
        <v>1423.0954097572699</v>
      </c>
      <c r="R374" s="9"/>
      <c r="S374" s="9" t="s">
        <v>12795</v>
      </c>
      <c r="T374" s="9" t="s">
        <v>12795</v>
      </c>
      <c r="U374" s="9"/>
      <c r="V374" s="9"/>
      <c r="W374" s="9"/>
      <c r="X374" s="9"/>
      <c r="Y374" s="9"/>
      <c r="Z374" s="9"/>
      <c r="AA374" s="9"/>
      <c r="AB374" s="9"/>
      <c r="AC374" s="9"/>
      <c r="AD374" s="9"/>
    </row>
    <row r="375" spans="1:30" ht="29">
      <c r="A375" s="3" t="s">
        <v>2237</v>
      </c>
      <c r="B375" s="3" t="s">
        <v>7250</v>
      </c>
      <c r="C375" s="3" t="s">
        <v>7249</v>
      </c>
      <c r="G375" s="9" t="s">
        <v>24</v>
      </c>
      <c r="H375" s="9"/>
      <c r="I375" s="9">
        <v>1</v>
      </c>
      <c r="J375" s="9">
        <v>2</v>
      </c>
      <c r="K375" s="9" t="s">
        <v>12087</v>
      </c>
      <c r="L375" s="9" t="s">
        <v>12119</v>
      </c>
      <c r="M375" s="9"/>
      <c r="N375" s="10"/>
      <c r="O375" s="9"/>
      <c r="P375" s="9">
        <v>1966</v>
      </c>
      <c r="Q375" s="9">
        <f t="shared" si="5"/>
        <v>236.24128815188658</v>
      </c>
      <c r="R375" s="9"/>
      <c r="S375" s="9" t="s">
        <v>12795</v>
      </c>
      <c r="T375" s="9" t="s">
        <v>12795</v>
      </c>
      <c r="U375" s="9"/>
      <c r="V375" s="9"/>
      <c r="W375" s="9"/>
      <c r="X375" s="9"/>
      <c r="Y375" s="9"/>
      <c r="Z375" s="9"/>
      <c r="AA375" s="9"/>
      <c r="AB375" s="9"/>
      <c r="AC375" s="9"/>
      <c r="AD375" s="9"/>
    </row>
    <row r="376" spans="1:30" ht="29">
      <c r="A376" s="3" t="s">
        <v>2257</v>
      </c>
      <c r="B376" s="3" t="s">
        <v>7284</v>
      </c>
      <c r="C376" s="3" t="s">
        <v>7283</v>
      </c>
      <c r="G376" s="9" t="s">
        <v>25</v>
      </c>
      <c r="H376" s="9"/>
      <c r="I376" s="9">
        <v>1</v>
      </c>
      <c r="J376" s="9">
        <v>3</v>
      </c>
      <c r="K376" s="9" t="s">
        <v>12087</v>
      </c>
      <c r="L376" s="9" t="s">
        <v>12079</v>
      </c>
      <c r="M376" s="9"/>
      <c r="N376" s="10"/>
      <c r="O376" s="9"/>
      <c r="P376" s="9">
        <v>5676</v>
      </c>
      <c r="Q376" s="9">
        <f t="shared" si="5"/>
        <v>682.04758471521268</v>
      </c>
      <c r="R376" s="9"/>
      <c r="S376" s="9" t="s">
        <v>12795</v>
      </c>
      <c r="T376" s="9" t="s">
        <v>12795</v>
      </c>
      <c r="U376" s="9"/>
      <c r="V376" s="9"/>
      <c r="W376" s="9"/>
      <c r="X376" s="9"/>
      <c r="Y376" s="9"/>
      <c r="Z376" s="9"/>
      <c r="AA376" s="9"/>
      <c r="AB376" s="9"/>
      <c r="AC376" s="9"/>
      <c r="AD376" s="9"/>
    </row>
    <row r="377" spans="1:30" ht="72.5">
      <c r="A377" s="3" t="s">
        <v>2259</v>
      </c>
      <c r="B377" s="3" t="s">
        <v>12366</v>
      </c>
      <c r="C377" s="3" t="s">
        <v>12365</v>
      </c>
      <c r="G377" s="9" t="s">
        <v>25</v>
      </c>
      <c r="H377" s="9"/>
      <c r="I377" s="9">
        <v>2</v>
      </c>
      <c r="J377" s="9">
        <v>6</v>
      </c>
      <c r="K377" s="9"/>
      <c r="L377" s="9" t="s">
        <v>12079</v>
      </c>
      <c r="M377" s="9"/>
      <c r="N377" s="10"/>
      <c r="O377" s="9"/>
      <c r="P377" s="9">
        <v>75</v>
      </c>
      <c r="Q377" s="9">
        <f t="shared" si="5"/>
        <v>9.0122566690699344</v>
      </c>
      <c r="R377" s="9"/>
      <c r="S377" s="9" t="s">
        <v>12795</v>
      </c>
      <c r="T377" s="9" t="s">
        <v>12795</v>
      </c>
      <c r="U377" s="9"/>
      <c r="V377" s="9"/>
      <c r="W377" s="9"/>
      <c r="X377" s="9"/>
      <c r="Y377" s="9"/>
      <c r="Z377" s="9"/>
      <c r="AA377" s="9"/>
      <c r="AB377" s="9"/>
      <c r="AC377" s="9"/>
      <c r="AD377" s="9"/>
    </row>
    <row r="378" spans="1:30" ht="58">
      <c r="A378" s="3" t="s">
        <v>2265</v>
      </c>
      <c r="B378" s="3" t="s">
        <v>7301</v>
      </c>
      <c r="C378" s="3" t="s">
        <v>7302</v>
      </c>
      <c r="G378" s="9" t="s">
        <v>24</v>
      </c>
      <c r="H378" s="9"/>
      <c r="I378" s="9">
        <v>1</v>
      </c>
      <c r="J378" s="9">
        <v>4</v>
      </c>
      <c r="K378" s="9" t="s">
        <v>12078</v>
      </c>
      <c r="L378" s="9" t="s">
        <v>12073</v>
      </c>
      <c r="M378" s="9" t="s">
        <v>12142</v>
      </c>
      <c r="N378" s="10" t="s">
        <v>12143</v>
      </c>
      <c r="O378" s="9"/>
      <c r="P378" s="9">
        <v>11843</v>
      </c>
      <c r="Q378" s="9">
        <f t="shared" si="5"/>
        <v>1423.0954097572699</v>
      </c>
      <c r="R378" s="9"/>
      <c r="S378" s="9" t="s">
        <v>12795</v>
      </c>
      <c r="T378" s="9" t="s">
        <v>12795</v>
      </c>
      <c r="U378" s="9"/>
      <c r="V378" s="9"/>
      <c r="W378" s="9"/>
      <c r="X378" s="9"/>
      <c r="Y378" s="9"/>
      <c r="Z378" s="9"/>
      <c r="AA378" s="9"/>
      <c r="AB378" s="9"/>
      <c r="AC378" s="9"/>
      <c r="AD378" s="9"/>
    </row>
    <row r="379" spans="1:30" ht="58">
      <c r="A379" s="3" t="s">
        <v>2265</v>
      </c>
      <c r="B379" s="3" t="s">
        <v>7303</v>
      </c>
      <c r="C379" s="3" t="s">
        <v>7300</v>
      </c>
      <c r="G379" s="9" t="s">
        <v>25</v>
      </c>
      <c r="H379" s="9"/>
      <c r="I379" s="9">
        <v>1</v>
      </c>
      <c r="J379" s="9">
        <v>2</v>
      </c>
      <c r="K379" s="9" t="s">
        <v>12078</v>
      </c>
      <c r="L379" s="9" t="s">
        <v>12119</v>
      </c>
      <c r="M379" s="9"/>
      <c r="N379" s="10"/>
      <c r="O379" s="9"/>
      <c r="P379" s="9">
        <v>11843</v>
      </c>
      <c r="Q379" s="9">
        <f t="shared" si="5"/>
        <v>1423.0954097572699</v>
      </c>
      <c r="R379" s="9"/>
      <c r="S379" s="9" t="s">
        <v>12795</v>
      </c>
      <c r="T379" s="9" t="s">
        <v>12795</v>
      </c>
      <c r="U379" s="9"/>
      <c r="V379" s="9"/>
      <c r="W379" s="9"/>
      <c r="X379" s="9"/>
      <c r="Y379" s="9"/>
      <c r="Z379" s="9"/>
      <c r="AA379" s="9"/>
      <c r="AB379" s="9"/>
      <c r="AC379" s="9"/>
      <c r="AD379" s="9"/>
    </row>
    <row r="380" spans="1:30" ht="58">
      <c r="A380" s="3" t="s">
        <v>2268</v>
      </c>
      <c r="B380" s="3" t="s">
        <v>12369</v>
      </c>
      <c r="C380" s="3" t="s">
        <v>7308</v>
      </c>
      <c r="G380" s="9" t="s">
        <v>25</v>
      </c>
      <c r="H380" s="9"/>
      <c r="I380" s="9">
        <v>1</v>
      </c>
      <c r="J380" s="9">
        <v>2</v>
      </c>
      <c r="K380" s="9" t="s">
        <v>12087</v>
      </c>
      <c r="L380" s="9" t="s">
        <v>12119</v>
      </c>
      <c r="M380" s="9"/>
      <c r="N380" s="10"/>
      <c r="O380" s="9"/>
      <c r="P380" s="9">
        <v>1966</v>
      </c>
      <c r="Q380" s="9">
        <f t="shared" si="5"/>
        <v>236.24128815188658</v>
      </c>
      <c r="R380" s="9"/>
      <c r="S380" s="9" t="s">
        <v>12795</v>
      </c>
      <c r="T380" s="9" t="s">
        <v>12795</v>
      </c>
      <c r="U380" s="9"/>
      <c r="V380" s="9"/>
      <c r="W380" s="9"/>
      <c r="X380" s="9"/>
      <c r="Y380" s="9"/>
      <c r="Z380" s="9"/>
      <c r="AA380" s="9"/>
      <c r="AB380" s="9"/>
      <c r="AC380" s="9"/>
      <c r="AD380" s="9"/>
    </row>
    <row r="381" spans="1:30" ht="58">
      <c r="A381" s="3" t="s">
        <v>2268</v>
      </c>
      <c r="B381" s="3" t="s">
        <v>7309</v>
      </c>
      <c r="C381" s="3" t="s">
        <v>12370</v>
      </c>
      <c r="G381" s="9" t="s">
        <v>24</v>
      </c>
      <c r="H381" s="9"/>
      <c r="I381" s="9">
        <v>1</v>
      </c>
      <c r="J381" s="9">
        <v>3</v>
      </c>
      <c r="K381" s="9" t="s">
        <v>12087</v>
      </c>
      <c r="L381" s="9" t="s">
        <v>12079</v>
      </c>
      <c r="M381" s="9"/>
      <c r="N381" s="10"/>
      <c r="O381" s="9"/>
      <c r="P381" s="9">
        <v>356</v>
      </c>
      <c r="Q381" s="9">
        <f t="shared" si="5"/>
        <v>42.778178322518627</v>
      </c>
      <c r="R381" s="9"/>
      <c r="S381" s="9" t="s">
        <v>12795</v>
      </c>
      <c r="T381" s="9" t="s">
        <v>12795</v>
      </c>
      <c r="U381" s="9"/>
      <c r="V381" s="9"/>
      <c r="W381" s="9"/>
      <c r="X381" s="9"/>
      <c r="Y381" s="9"/>
      <c r="Z381" s="9"/>
      <c r="AA381" s="9"/>
      <c r="AB381" s="9"/>
      <c r="AC381" s="9"/>
      <c r="AD381" s="9"/>
    </row>
    <row r="382" spans="1:30" ht="43.5">
      <c r="A382" s="3" t="s">
        <v>2270</v>
      </c>
      <c r="B382" s="3" t="s">
        <v>7310</v>
      </c>
      <c r="C382" s="3" t="s">
        <v>7311</v>
      </c>
      <c r="G382" s="9" t="s">
        <v>25</v>
      </c>
      <c r="H382" s="9"/>
      <c r="I382" s="9">
        <v>1</v>
      </c>
      <c r="J382" s="9">
        <v>6</v>
      </c>
      <c r="K382" s="9" t="s">
        <v>12078</v>
      </c>
      <c r="L382" s="9" t="s">
        <v>12079</v>
      </c>
      <c r="M382" s="9"/>
      <c r="N382" s="10"/>
      <c r="O382" s="9"/>
      <c r="P382" s="9">
        <v>11843</v>
      </c>
      <c r="Q382" s="9">
        <f t="shared" si="5"/>
        <v>1423.0954097572699</v>
      </c>
      <c r="R382" s="9"/>
      <c r="S382" s="9" t="s">
        <v>12795</v>
      </c>
      <c r="T382" s="9" t="s">
        <v>12795</v>
      </c>
      <c r="U382" s="9"/>
      <c r="V382" s="9"/>
      <c r="W382" s="9"/>
      <c r="X382" s="9"/>
      <c r="Y382" s="9"/>
      <c r="Z382" s="9"/>
      <c r="AA382" s="9"/>
      <c r="AB382" s="9"/>
      <c r="AC382" s="9"/>
      <c r="AD382" s="9"/>
    </row>
    <row r="383" spans="1:30" ht="101.5">
      <c r="A383" s="3" t="s">
        <v>2271</v>
      </c>
      <c r="B383" s="3" t="s">
        <v>7313</v>
      </c>
      <c r="C383" s="3" t="s">
        <v>7312</v>
      </c>
      <c r="G383" s="9" t="s">
        <v>25</v>
      </c>
      <c r="H383" s="9"/>
      <c r="I383" s="9">
        <v>3</v>
      </c>
      <c r="J383" s="9">
        <v>18</v>
      </c>
      <c r="K383" s="9"/>
      <c r="L383" s="9" t="s">
        <v>12073</v>
      </c>
      <c r="M383" s="9" t="s">
        <v>12135</v>
      </c>
      <c r="N383" s="10" t="s">
        <v>12136</v>
      </c>
      <c r="O383" s="9"/>
      <c r="P383" s="9">
        <v>83</v>
      </c>
      <c r="Q383" s="9">
        <f t="shared" si="5"/>
        <v>9.9735640471040607</v>
      </c>
      <c r="R383" s="9"/>
      <c r="S383" s="9" t="s">
        <v>12795</v>
      </c>
      <c r="T383" s="9" t="s">
        <v>12795</v>
      </c>
      <c r="U383" s="9"/>
      <c r="V383" s="9"/>
      <c r="W383" s="9"/>
      <c r="X383" s="9"/>
      <c r="Y383" s="9"/>
      <c r="Z383" s="9"/>
      <c r="AA383" s="9"/>
      <c r="AB383" s="9"/>
      <c r="AC383" s="9"/>
      <c r="AD383" s="9"/>
    </row>
    <row r="384" spans="1:30" ht="29">
      <c r="A384" s="3" t="s">
        <v>2283</v>
      </c>
      <c r="B384" s="3" t="s">
        <v>7323</v>
      </c>
      <c r="C384" s="3" t="s">
        <v>7324</v>
      </c>
      <c r="G384" s="9" t="s">
        <v>25</v>
      </c>
      <c r="H384" s="9"/>
      <c r="I384" s="9">
        <v>1</v>
      </c>
      <c r="J384" s="9">
        <v>5</v>
      </c>
      <c r="K384" s="9" t="s">
        <v>12094</v>
      </c>
      <c r="L384" s="9" t="s">
        <v>12079</v>
      </c>
      <c r="M384" s="9"/>
      <c r="N384" s="10"/>
      <c r="O384" s="9"/>
      <c r="P384" s="9">
        <v>930</v>
      </c>
      <c r="Q384" s="9">
        <f t="shared" si="5"/>
        <v>111.75198269646719</v>
      </c>
      <c r="R384" s="9"/>
      <c r="S384" s="9" t="s">
        <v>12795</v>
      </c>
      <c r="T384" s="9" t="s">
        <v>12795</v>
      </c>
      <c r="U384" s="9"/>
      <c r="V384" s="9"/>
      <c r="W384" s="9"/>
      <c r="X384" s="9"/>
      <c r="Y384" s="9"/>
      <c r="Z384" s="9"/>
      <c r="AA384" s="9"/>
      <c r="AB384" s="9"/>
      <c r="AC384" s="9"/>
      <c r="AD384" s="9"/>
    </row>
    <row r="385" spans="1:30" ht="72.5">
      <c r="A385" s="3" t="s">
        <v>2285</v>
      </c>
      <c r="B385" s="3" t="s">
        <v>7327</v>
      </c>
      <c r="C385" s="3" t="s">
        <v>7330</v>
      </c>
      <c r="G385" s="9" t="s">
        <v>24</v>
      </c>
      <c r="H385" s="9"/>
      <c r="I385" s="9">
        <v>1</v>
      </c>
      <c r="J385" s="9">
        <v>3</v>
      </c>
      <c r="K385" s="9" t="s">
        <v>12094</v>
      </c>
      <c r="L385" s="9" t="s">
        <v>12079</v>
      </c>
      <c r="M385" s="9"/>
      <c r="N385" s="10"/>
      <c r="O385" s="9"/>
      <c r="P385" s="9">
        <v>1741</v>
      </c>
      <c r="Q385" s="9">
        <f t="shared" si="5"/>
        <v>209.20451814467677</v>
      </c>
      <c r="R385" s="9"/>
      <c r="S385" s="9" t="s">
        <v>12795</v>
      </c>
      <c r="T385" s="9" t="s">
        <v>12795</v>
      </c>
      <c r="U385" s="9" t="s">
        <v>12117</v>
      </c>
      <c r="V385" s="9"/>
      <c r="W385" s="9"/>
      <c r="X385" s="9"/>
      <c r="Y385" s="9"/>
      <c r="Z385" s="9"/>
      <c r="AA385" s="9"/>
      <c r="AB385" s="9"/>
      <c r="AC385" s="9"/>
      <c r="AD385" s="9"/>
    </row>
    <row r="386" spans="1:30" ht="43.5">
      <c r="A386" s="3" t="s">
        <v>2292</v>
      </c>
      <c r="B386" s="3" t="s">
        <v>7343</v>
      </c>
      <c r="C386" s="3" t="s">
        <v>7344</v>
      </c>
      <c r="G386" s="9" t="s">
        <v>24</v>
      </c>
      <c r="H386" s="9"/>
      <c r="I386" s="9">
        <v>1</v>
      </c>
      <c r="J386" s="9">
        <v>3</v>
      </c>
      <c r="K386" s="9" t="s">
        <v>12078</v>
      </c>
      <c r="L386" s="9" t="s">
        <v>12079</v>
      </c>
      <c r="M386" s="9"/>
      <c r="N386" s="10"/>
      <c r="O386" s="9"/>
      <c r="P386" s="9">
        <v>11843</v>
      </c>
      <c r="Q386" s="9">
        <f t="shared" ref="Q386:Q449" si="6">IF(ISNUMBER(P386), (P386/$F$988)*10000, "")</f>
        <v>1423.0954097572699</v>
      </c>
      <c r="R386" s="9"/>
      <c r="S386" s="9" t="s">
        <v>12795</v>
      </c>
      <c r="T386" s="9" t="s">
        <v>12795</v>
      </c>
      <c r="U386" s="9"/>
      <c r="V386" s="9"/>
      <c r="W386" s="9"/>
      <c r="X386" s="9"/>
      <c r="Y386" s="9"/>
      <c r="Z386" s="9"/>
      <c r="AA386" s="9"/>
      <c r="AB386" s="9"/>
      <c r="AC386" s="9"/>
      <c r="AD386" s="9"/>
    </row>
    <row r="387" spans="1:30" ht="29">
      <c r="A387" s="3" t="s">
        <v>2293</v>
      </c>
      <c r="B387" s="3" t="s">
        <v>6286</v>
      </c>
      <c r="C387" s="3" t="s">
        <v>7347</v>
      </c>
      <c r="G387" s="9" t="s">
        <v>25</v>
      </c>
      <c r="H387" s="9"/>
      <c r="I387" s="9">
        <v>1</v>
      </c>
      <c r="J387" s="9">
        <v>3</v>
      </c>
      <c r="K387" s="9" t="s">
        <v>12092</v>
      </c>
      <c r="L387" s="9" t="s">
        <v>12079</v>
      </c>
      <c r="M387" s="9"/>
      <c r="N387" s="10"/>
      <c r="O387" s="9"/>
      <c r="P387" s="9">
        <v>635</v>
      </c>
      <c r="Q387" s="9">
        <f t="shared" si="6"/>
        <v>76.303773131458783</v>
      </c>
      <c r="R387" s="9"/>
      <c r="S387" s="9" t="s">
        <v>12795</v>
      </c>
      <c r="T387" s="9" t="s">
        <v>12795</v>
      </c>
      <c r="U387" s="9"/>
      <c r="V387" s="9"/>
      <c r="W387" s="9"/>
      <c r="X387" s="9"/>
      <c r="Y387" s="9"/>
      <c r="Z387" s="9"/>
      <c r="AA387" s="9"/>
      <c r="AB387" s="9"/>
      <c r="AC387" s="9"/>
      <c r="AD387" s="9"/>
    </row>
    <row r="388" spans="1:30" ht="58">
      <c r="A388" s="3" t="s">
        <v>2298</v>
      </c>
      <c r="B388" s="3" t="s">
        <v>7348</v>
      </c>
      <c r="C388" s="3" t="s">
        <v>7349</v>
      </c>
      <c r="G388" s="9" t="s">
        <v>25</v>
      </c>
      <c r="H388" s="9"/>
      <c r="I388" s="9">
        <v>1</v>
      </c>
      <c r="J388" s="9">
        <v>8</v>
      </c>
      <c r="K388" s="9" t="s">
        <v>12092</v>
      </c>
      <c r="L388" s="9" t="s">
        <v>12079</v>
      </c>
      <c r="M388" s="9"/>
      <c r="N388" s="10"/>
      <c r="O388" s="9"/>
      <c r="P388" s="9">
        <v>4</v>
      </c>
      <c r="Q388" s="9">
        <f t="shared" si="6"/>
        <v>0.48065368901706323</v>
      </c>
      <c r="R388" s="9"/>
      <c r="S388" s="9" t="s">
        <v>12795</v>
      </c>
      <c r="T388" s="9" t="s">
        <v>12795</v>
      </c>
      <c r="U388" s="9"/>
      <c r="V388" s="9"/>
      <c r="W388" s="9"/>
      <c r="X388" s="9"/>
      <c r="Y388" s="9"/>
      <c r="Z388" s="9"/>
      <c r="AA388" s="9"/>
      <c r="AB388" s="9"/>
      <c r="AC388" s="9"/>
      <c r="AD388" s="9"/>
    </row>
    <row r="389" spans="1:30" ht="29">
      <c r="A389" s="3" t="s">
        <v>2303</v>
      </c>
      <c r="B389" s="3" t="s">
        <v>7351</v>
      </c>
      <c r="C389" s="3" t="s">
        <v>7350</v>
      </c>
      <c r="G389" s="9" t="s">
        <v>25</v>
      </c>
      <c r="H389" s="9"/>
      <c r="I389" s="9">
        <v>1</v>
      </c>
      <c r="J389" s="9">
        <v>1</v>
      </c>
      <c r="K389" s="9" t="s">
        <v>12078</v>
      </c>
      <c r="L389" s="9" t="s">
        <v>12079</v>
      </c>
      <c r="M389" s="9"/>
      <c r="N389" s="10"/>
      <c r="O389" s="9"/>
      <c r="P389" s="9">
        <v>11843</v>
      </c>
      <c r="Q389" s="9">
        <f t="shared" si="6"/>
        <v>1423.0954097572699</v>
      </c>
      <c r="R389" s="9"/>
      <c r="S389" s="9" t="s">
        <v>12795</v>
      </c>
      <c r="T389" s="9" t="s">
        <v>12795</v>
      </c>
      <c r="U389" s="9"/>
      <c r="V389" s="9"/>
      <c r="W389" s="9"/>
      <c r="X389" s="9"/>
      <c r="Y389" s="9"/>
      <c r="Z389" s="9"/>
      <c r="AA389" s="9"/>
      <c r="AB389" s="9"/>
      <c r="AC389" s="9"/>
      <c r="AD389" s="9"/>
    </row>
    <row r="390" spans="1:30" ht="72.5">
      <c r="A390" s="3" t="s">
        <v>2303</v>
      </c>
      <c r="B390" s="3" t="s">
        <v>7353</v>
      </c>
      <c r="C390" s="3" t="s">
        <v>7352</v>
      </c>
      <c r="G390" s="9" t="s">
        <v>25</v>
      </c>
      <c r="H390" s="9"/>
      <c r="I390" s="9">
        <v>2</v>
      </c>
      <c r="J390" s="9">
        <v>12</v>
      </c>
      <c r="K390" s="9"/>
      <c r="L390" s="9" t="s">
        <v>12073</v>
      </c>
      <c r="M390" s="9" t="s">
        <v>12142</v>
      </c>
      <c r="N390" s="10" t="s">
        <v>12199</v>
      </c>
      <c r="O390" s="9"/>
      <c r="P390" s="9">
        <v>11</v>
      </c>
      <c r="Q390" s="9">
        <f t="shared" si="6"/>
        <v>1.3217976447969237</v>
      </c>
      <c r="R390" s="9"/>
      <c r="S390" s="9" t="s">
        <v>12795</v>
      </c>
      <c r="T390" s="9" t="s">
        <v>12795</v>
      </c>
      <c r="U390" s="9"/>
      <c r="V390" s="9"/>
      <c r="W390" s="9"/>
      <c r="X390" s="9"/>
      <c r="Y390" s="9"/>
      <c r="Z390" s="9"/>
      <c r="AA390" s="9"/>
      <c r="AB390" s="9"/>
      <c r="AC390" s="9"/>
      <c r="AD390" s="9"/>
    </row>
    <row r="391" spans="1:30" ht="29">
      <c r="A391" s="3" t="s">
        <v>2304</v>
      </c>
      <c r="B391" s="3" t="s">
        <v>7356</v>
      </c>
      <c r="C391" s="3" t="s">
        <v>7357</v>
      </c>
      <c r="G391" s="9" t="s">
        <v>25</v>
      </c>
      <c r="H391" s="9"/>
      <c r="I391" s="9">
        <v>1</v>
      </c>
      <c r="J391" s="9">
        <v>2</v>
      </c>
      <c r="K391" s="9" t="s">
        <v>12087</v>
      </c>
      <c r="L391" s="9" t="s">
        <v>12079</v>
      </c>
      <c r="M391" s="9"/>
      <c r="N391" s="10"/>
      <c r="O391" s="9"/>
      <c r="P391" s="9">
        <v>1966</v>
      </c>
      <c r="Q391" s="9">
        <f t="shared" si="6"/>
        <v>236.24128815188658</v>
      </c>
      <c r="R391" s="9"/>
      <c r="S391" s="9" t="s">
        <v>12795</v>
      </c>
      <c r="T391" s="9" t="s">
        <v>12795</v>
      </c>
      <c r="U391" s="9"/>
      <c r="V391" s="9"/>
      <c r="W391" s="9"/>
      <c r="X391" s="9"/>
      <c r="Y391" s="9"/>
      <c r="Z391" s="9"/>
      <c r="AA391" s="9"/>
      <c r="AB391" s="9"/>
      <c r="AC391" s="9"/>
      <c r="AD391" s="9"/>
    </row>
    <row r="392" spans="1:30" ht="29">
      <c r="A392" s="3" t="s">
        <v>2305</v>
      </c>
      <c r="B392" s="11" t="s">
        <v>12897</v>
      </c>
      <c r="C392" s="11" t="s">
        <v>7358</v>
      </c>
      <c r="G392" s="9" t="s">
        <v>25</v>
      </c>
      <c r="H392" s="9"/>
      <c r="I392" s="9">
        <v>1</v>
      </c>
      <c r="J392" s="9">
        <v>1</v>
      </c>
      <c r="K392" s="9" t="s">
        <v>12078</v>
      </c>
      <c r="L392" s="9" t="s">
        <v>12079</v>
      </c>
      <c r="M392" s="9"/>
      <c r="N392" s="10"/>
      <c r="O392" s="9"/>
      <c r="P392" s="9">
        <v>11843</v>
      </c>
      <c r="Q392" s="9">
        <f t="shared" si="6"/>
        <v>1423.0954097572699</v>
      </c>
      <c r="R392" s="9"/>
      <c r="S392" s="9" t="s">
        <v>12795</v>
      </c>
      <c r="T392" s="9" t="s">
        <v>12795</v>
      </c>
      <c r="U392" s="9"/>
      <c r="V392" s="9"/>
      <c r="W392" s="9"/>
      <c r="X392" s="9"/>
      <c r="Y392" s="9"/>
      <c r="Z392" s="9"/>
      <c r="AA392" s="9"/>
      <c r="AB392" s="9"/>
      <c r="AC392" s="9"/>
      <c r="AD392" s="9"/>
    </row>
    <row r="393" spans="1:30" ht="391.5">
      <c r="A393" s="3" t="s">
        <v>2320</v>
      </c>
      <c r="B393" s="3" t="s">
        <v>12900</v>
      </c>
      <c r="C393" s="3" t="s">
        <v>7367</v>
      </c>
      <c r="G393" s="9" t="s">
        <v>25</v>
      </c>
      <c r="H393" s="9"/>
      <c r="I393" s="9">
        <v>2</v>
      </c>
      <c r="J393" s="9">
        <v>20</v>
      </c>
      <c r="K393" s="9"/>
      <c r="L393" s="9" t="s">
        <v>12079</v>
      </c>
      <c r="M393" s="9"/>
      <c r="N393" s="10"/>
      <c r="O393" s="9"/>
      <c r="P393" s="9">
        <v>3</v>
      </c>
      <c r="Q393" s="9">
        <f t="shared" si="6"/>
        <v>0.36049026676279744</v>
      </c>
      <c r="R393" s="9"/>
      <c r="S393" s="9" t="s">
        <v>12795</v>
      </c>
      <c r="T393" s="9" t="s">
        <v>12795</v>
      </c>
      <c r="U393" s="9"/>
      <c r="V393" s="9"/>
      <c r="W393" s="9"/>
      <c r="X393" s="9"/>
      <c r="Y393" s="9"/>
      <c r="Z393" s="9"/>
      <c r="AA393" s="9"/>
      <c r="AB393" s="9"/>
      <c r="AC393" s="9"/>
      <c r="AD393" s="9"/>
    </row>
    <row r="394" spans="1:30" ht="29">
      <c r="A394" s="3" t="s">
        <v>2332</v>
      </c>
      <c r="B394" s="3" t="s">
        <v>7384</v>
      </c>
      <c r="C394" s="3" t="s">
        <v>7386</v>
      </c>
      <c r="G394" s="9" t="s">
        <v>25</v>
      </c>
      <c r="H394" s="9"/>
      <c r="I394" s="9">
        <v>1</v>
      </c>
      <c r="J394" s="9">
        <v>2</v>
      </c>
      <c r="K394" s="9" t="s">
        <v>12087</v>
      </c>
      <c r="L394" s="9" t="s">
        <v>12119</v>
      </c>
      <c r="M394" s="9"/>
      <c r="N394" s="10"/>
      <c r="O394" s="9"/>
      <c r="P394" s="9">
        <v>227</v>
      </c>
      <c r="Q394" s="9">
        <f t="shared" si="6"/>
        <v>27.277096851718337</v>
      </c>
      <c r="R394" s="9"/>
      <c r="S394" s="9" t="s">
        <v>12795</v>
      </c>
      <c r="T394" s="9" t="s">
        <v>12795</v>
      </c>
      <c r="U394" s="9"/>
      <c r="V394" s="9"/>
      <c r="W394" s="9"/>
      <c r="X394" s="9"/>
      <c r="Y394" s="9"/>
      <c r="Z394" s="9"/>
      <c r="AA394" s="9"/>
      <c r="AB394" s="9"/>
      <c r="AC394" s="9"/>
      <c r="AD394" s="9"/>
    </row>
    <row r="395" spans="1:30" ht="43.5">
      <c r="A395" s="3" t="s">
        <v>2333</v>
      </c>
      <c r="B395" s="3" t="s">
        <v>7385</v>
      </c>
      <c r="C395" s="3" t="s">
        <v>7387</v>
      </c>
      <c r="G395" s="9" t="s">
        <v>25</v>
      </c>
      <c r="H395" s="9"/>
      <c r="I395" s="9">
        <v>1</v>
      </c>
      <c r="J395" s="9">
        <v>2</v>
      </c>
      <c r="K395" s="9" t="s">
        <v>12087</v>
      </c>
      <c r="L395" s="9" t="s">
        <v>12119</v>
      </c>
      <c r="M395" s="9"/>
      <c r="N395" s="10"/>
      <c r="O395" s="9"/>
      <c r="P395" s="9">
        <v>227</v>
      </c>
      <c r="Q395" s="9">
        <f t="shared" si="6"/>
        <v>27.277096851718337</v>
      </c>
      <c r="R395" s="9"/>
      <c r="S395" s="9" t="s">
        <v>12795</v>
      </c>
      <c r="T395" s="9" t="s">
        <v>12795</v>
      </c>
      <c r="U395" s="9"/>
      <c r="V395" s="9"/>
      <c r="W395" s="9"/>
      <c r="X395" s="9"/>
      <c r="Y395" s="9"/>
      <c r="Z395" s="9"/>
      <c r="AA395" s="9"/>
      <c r="AB395" s="9"/>
      <c r="AC395" s="9"/>
      <c r="AD395" s="9"/>
    </row>
    <row r="396" spans="1:30" ht="43.5">
      <c r="A396" s="3" t="s">
        <v>2342</v>
      </c>
      <c r="B396" s="3" t="s">
        <v>7389</v>
      </c>
      <c r="C396" s="3" t="s">
        <v>7388</v>
      </c>
      <c r="G396" s="9" t="s">
        <v>24</v>
      </c>
      <c r="H396" s="9"/>
      <c r="I396" s="9">
        <v>1</v>
      </c>
      <c r="J396" s="9">
        <v>2</v>
      </c>
      <c r="K396" s="9" t="s">
        <v>12078</v>
      </c>
      <c r="L396" s="9" t="s">
        <v>12119</v>
      </c>
      <c r="M396" s="9"/>
      <c r="N396" s="10"/>
      <c r="O396" s="9"/>
      <c r="P396" s="9">
        <v>11843</v>
      </c>
      <c r="Q396" s="9">
        <f t="shared" si="6"/>
        <v>1423.0954097572699</v>
      </c>
      <c r="R396" s="9"/>
      <c r="S396" s="9" t="s">
        <v>12795</v>
      </c>
      <c r="T396" s="9" t="s">
        <v>12795</v>
      </c>
      <c r="U396" s="9"/>
      <c r="V396" s="9"/>
      <c r="W396" s="9"/>
      <c r="X396" s="9"/>
      <c r="Y396" s="9"/>
      <c r="Z396" s="9"/>
      <c r="AA396" s="9"/>
      <c r="AB396" s="9"/>
      <c r="AC396" s="9"/>
      <c r="AD396" s="9"/>
    </row>
    <row r="397" spans="1:30" ht="101.5">
      <c r="A397" s="3" t="s">
        <v>2343</v>
      </c>
      <c r="B397" s="3" t="s">
        <v>7390</v>
      </c>
      <c r="C397" s="3" t="s">
        <v>7393</v>
      </c>
      <c r="G397" s="9" t="s">
        <v>24</v>
      </c>
      <c r="H397" s="9"/>
      <c r="I397" s="9">
        <v>1</v>
      </c>
      <c r="J397" s="9">
        <v>10</v>
      </c>
      <c r="K397" s="9" t="s">
        <v>12092</v>
      </c>
      <c r="L397" s="9" t="s">
        <v>12073</v>
      </c>
      <c r="M397" s="9" t="s">
        <v>12142</v>
      </c>
      <c r="N397" s="10" t="s">
        <v>12375</v>
      </c>
      <c r="O397" s="9" t="s">
        <v>12074</v>
      </c>
      <c r="P397" s="9">
        <v>17</v>
      </c>
      <c r="Q397" s="9">
        <f t="shared" si="6"/>
        <v>2.0427781783225187</v>
      </c>
      <c r="R397" s="9"/>
      <c r="S397" s="9" t="s">
        <v>12795</v>
      </c>
      <c r="T397" s="9" t="s">
        <v>12795</v>
      </c>
      <c r="U397" s="9"/>
      <c r="V397" s="9"/>
      <c r="W397" s="9"/>
      <c r="X397" s="9"/>
      <c r="Y397" s="9"/>
      <c r="Z397" s="9"/>
      <c r="AA397" s="9"/>
      <c r="AB397" s="9"/>
      <c r="AC397" s="9"/>
      <c r="AD397" s="9"/>
    </row>
    <row r="398" spans="1:30" ht="29">
      <c r="A398" s="3" t="s">
        <v>2344</v>
      </c>
      <c r="B398" s="3" t="s">
        <v>7395</v>
      </c>
      <c r="C398" s="3" t="s">
        <v>7394</v>
      </c>
      <c r="G398" s="9" t="s">
        <v>24</v>
      </c>
      <c r="H398" s="9"/>
      <c r="I398" s="9">
        <v>1</v>
      </c>
      <c r="J398" s="9">
        <v>2</v>
      </c>
      <c r="K398" s="9" t="s">
        <v>12087</v>
      </c>
      <c r="L398" s="9" t="s">
        <v>12119</v>
      </c>
      <c r="M398" s="9"/>
      <c r="N398" s="10"/>
      <c r="O398" s="9"/>
      <c r="P398" s="9">
        <v>1966</v>
      </c>
      <c r="Q398" s="9">
        <f t="shared" si="6"/>
        <v>236.24128815188658</v>
      </c>
      <c r="R398" s="9"/>
      <c r="S398" s="9" t="s">
        <v>12795</v>
      </c>
      <c r="T398" s="9" t="s">
        <v>12795</v>
      </c>
      <c r="U398" s="9"/>
      <c r="V398" s="9"/>
      <c r="W398" s="9"/>
      <c r="X398" s="9"/>
      <c r="Y398" s="9"/>
      <c r="Z398" s="9"/>
      <c r="AA398" s="9"/>
      <c r="AB398" s="9"/>
      <c r="AC398" s="9"/>
      <c r="AD398" s="9"/>
    </row>
    <row r="399" spans="1:30" ht="72.5">
      <c r="A399" s="3" t="s">
        <v>2344</v>
      </c>
      <c r="B399" s="3" t="s">
        <v>7396</v>
      </c>
      <c r="C399" s="3" t="s">
        <v>7397</v>
      </c>
      <c r="G399" s="9" t="s">
        <v>24</v>
      </c>
      <c r="H399" s="9"/>
      <c r="I399" s="9">
        <v>1</v>
      </c>
      <c r="J399" s="9">
        <v>3</v>
      </c>
      <c r="K399" s="9" t="s">
        <v>12078</v>
      </c>
      <c r="L399" s="9" t="s">
        <v>12079</v>
      </c>
      <c r="M399" s="9"/>
      <c r="N399" s="10"/>
      <c r="O399" s="9"/>
      <c r="P399" s="9">
        <v>11843</v>
      </c>
      <c r="Q399" s="9">
        <f t="shared" si="6"/>
        <v>1423.0954097572699</v>
      </c>
      <c r="R399" s="9"/>
      <c r="S399" s="9" t="s">
        <v>12795</v>
      </c>
      <c r="T399" s="9" t="s">
        <v>12795</v>
      </c>
      <c r="U399" s="9"/>
      <c r="V399" s="9"/>
      <c r="W399" s="9"/>
      <c r="X399" s="9"/>
      <c r="Y399" s="9"/>
      <c r="Z399" s="9"/>
      <c r="AA399" s="9"/>
      <c r="AB399" s="9"/>
      <c r="AC399" s="9"/>
      <c r="AD399" s="9"/>
    </row>
    <row r="400" spans="1:30" ht="58">
      <c r="A400" s="3" t="s">
        <v>2356</v>
      </c>
      <c r="B400" s="3" t="s">
        <v>7409</v>
      </c>
      <c r="C400" s="3" t="s">
        <v>7408</v>
      </c>
      <c r="G400" s="9" t="s">
        <v>24</v>
      </c>
      <c r="H400" s="9"/>
      <c r="I400" s="9">
        <v>1</v>
      </c>
      <c r="J400" s="9">
        <v>4</v>
      </c>
      <c r="K400" s="9" t="s">
        <v>12094</v>
      </c>
      <c r="L400" s="9" t="s">
        <v>12079</v>
      </c>
      <c r="M400" s="9"/>
      <c r="N400" s="10"/>
      <c r="O400" s="9"/>
      <c r="P400" s="9">
        <v>4240</v>
      </c>
      <c r="Q400" s="9">
        <f t="shared" si="6"/>
        <v>509.49291035808699</v>
      </c>
      <c r="R400" s="9"/>
      <c r="S400" s="9" t="s">
        <v>12795</v>
      </c>
      <c r="T400" s="9" t="s">
        <v>12795</v>
      </c>
      <c r="U400" s="9"/>
      <c r="V400" s="9"/>
      <c r="W400" s="9"/>
      <c r="X400" s="9"/>
      <c r="Y400" s="9"/>
      <c r="Z400" s="9"/>
      <c r="AA400" s="9"/>
      <c r="AB400" s="9"/>
      <c r="AC400" s="9"/>
      <c r="AD400" s="9"/>
    </row>
    <row r="401" spans="1:30" ht="159.5">
      <c r="A401" s="3" t="s">
        <v>2357</v>
      </c>
      <c r="B401" s="3" t="s">
        <v>7411</v>
      </c>
      <c r="C401" s="3" t="s">
        <v>7412</v>
      </c>
      <c r="G401" s="9" t="s">
        <v>24</v>
      </c>
      <c r="H401" s="9"/>
      <c r="I401" s="9">
        <v>1</v>
      </c>
      <c r="J401" s="9">
        <v>3</v>
      </c>
      <c r="K401" s="9" t="s">
        <v>12078</v>
      </c>
      <c r="L401" s="9" t="s">
        <v>12079</v>
      </c>
      <c r="M401" s="9"/>
      <c r="N401" s="10"/>
      <c r="O401" s="9"/>
      <c r="P401" s="9">
        <v>11843</v>
      </c>
      <c r="Q401" s="9">
        <f t="shared" si="6"/>
        <v>1423.0954097572699</v>
      </c>
      <c r="R401" s="9"/>
      <c r="S401" s="9" t="s">
        <v>12795</v>
      </c>
      <c r="T401" s="9" t="s">
        <v>12795</v>
      </c>
      <c r="U401" s="9"/>
      <c r="V401" s="9"/>
      <c r="W401" s="9"/>
      <c r="X401" s="9"/>
      <c r="Y401" s="9"/>
      <c r="Z401" s="9"/>
      <c r="AA401" s="9"/>
      <c r="AB401" s="9"/>
      <c r="AC401" s="9"/>
      <c r="AD401" s="9"/>
    </row>
    <row r="402" spans="1:30" ht="159.5">
      <c r="A402" s="3" t="s">
        <v>2357</v>
      </c>
      <c r="B402" s="3" t="s">
        <v>7413</v>
      </c>
      <c r="C402" s="3" t="s">
        <v>7410</v>
      </c>
      <c r="G402" s="9" t="s">
        <v>25</v>
      </c>
      <c r="H402" s="9"/>
      <c r="I402" s="9">
        <v>1</v>
      </c>
      <c r="J402" s="9">
        <v>2</v>
      </c>
      <c r="K402" s="9" t="s">
        <v>12078</v>
      </c>
      <c r="L402" s="9" t="s">
        <v>12119</v>
      </c>
      <c r="M402" s="9"/>
      <c r="N402" s="10"/>
      <c r="O402" s="9"/>
      <c r="P402" s="9">
        <v>11843</v>
      </c>
      <c r="Q402" s="9">
        <f t="shared" si="6"/>
        <v>1423.0954097572699</v>
      </c>
      <c r="R402" s="9"/>
      <c r="S402" s="9" t="s">
        <v>12795</v>
      </c>
      <c r="T402" s="9" t="s">
        <v>12795</v>
      </c>
      <c r="U402" s="9"/>
      <c r="V402" s="9"/>
      <c r="W402" s="9"/>
      <c r="X402" s="9"/>
      <c r="Y402" s="9"/>
      <c r="Z402" s="9"/>
      <c r="AA402" s="9"/>
      <c r="AB402" s="9"/>
      <c r="AC402" s="9"/>
      <c r="AD402" s="9"/>
    </row>
    <row r="403" spans="1:30" ht="159.5">
      <c r="A403" s="3" t="s">
        <v>2357</v>
      </c>
      <c r="B403" s="3" t="s">
        <v>7414</v>
      </c>
      <c r="C403" s="3" t="s">
        <v>7410</v>
      </c>
      <c r="G403" s="9" t="s">
        <v>25</v>
      </c>
      <c r="H403" s="9"/>
      <c r="I403" s="9">
        <v>1</v>
      </c>
      <c r="J403" s="9">
        <v>6</v>
      </c>
      <c r="K403" s="9" t="s">
        <v>12092</v>
      </c>
      <c r="L403" s="9" t="s">
        <v>12079</v>
      </c>
      <c r="M403" s="9"/>
      <c r="N403" s="10"/>
      <c r="O403" s="9"/>
      <c r="P403" s="9">
        <v>75</v>
      </c>
      <c r="Q403" s="9">
        <f t="shared" si="6"/>
        <v>9.0122566690699344</v>
      </c>
      <c r="R403" s="9"/>
      <c r="S403" s="9" t="s">
        <v>12795</v>
      </c>
      <c r="T403" s="9" t="s">
        <v>12795</v>
      </c>
      <c r="U403" s="9"/>
      <c r="V403" s="9"/>
      <c r="W403" s="9"/>
      <c r="X403" s="9"/>
      <c r="Y403" s="9"/>
      <c r="Z403" s="9"/>
      <c r="AA403" s="9"/>
      <c r="AB403" s="9"/>
      <c r="AC403" s="9"/>
      <c r="AD403" s="9"/>
    </row>
    <row r="404" spans="1:30" ht="159.5">
      <c r="A404" s="3" t="s">
        <v>2357</v>
      </c>
      <c r="B404" s="3" t="s">
        <v>7411</v>
      </c>
      <c r="C404" s="3" t="s">
        <v>7415</v>
      </c>
      <c r="G404" s="9" t="s">
        <v>24</v>
      </c>
      <c r="H404" s="9"/>
      <c r="I404" s="9">
        <v>1</v>
      </c>
      <c r="J404" s="9">
        <v>6</v>
      </c>
      <c r="K404" s="9" t="s">
        <v>12092</v>
      </c>
      <c r="L404" s="9" t="s">
        <v>12079</v>
      </c>
      <c r="M404" s="9"/>
      <c r="N404" s="10"/>
      <c r="O404" s="9"/>
      <c r="P404" s="9">
        <v>75</v>
      </c>
      <c r="Q404" s="9">
        <f t="shared" si="6"/>
        <v>9.0122566690699344</v>
      </c>
      <c r="R404" s="9"/>
      <c r="S404" s="9" t="s">
        <v>12795</v>
      </c>
      <c r="T404" s="9" t="s">
        <v>12795</v>
      </c>
      <c r="U404" s="9"/>
      <c r="V404" s="9"/>
      <c r="W404" s="9"/>
      <c r="X404" s="9"/>
      <c r="Y404" s="9"/>
      <c r="Z404" s="9"/>
      <c r="AA404" s="9"/>
      <c r="AB404" s="9"/>
      <c r="AC404" s="9"/>
      <c r="AD404" s="9"/>
    </row>
    <row r="405" spans="1:30" ht="87">
      <c r="A405" s="3" t="s">
        <v>2360</v>
      </c>
      <c r="B405" s="3" t="s">
        <v>12376</v>
      </c>
      <c r="C405" s="3" t="s">
        <v>12377</v>
      </c>
      <c r="G405" s="9" t="s">
        <v>25</v>
      </c>
      <c r="H405" s="9"/>
      <c r="I405" s="9">
        <v>3</v>
      </c>
      <c r="J405" s="9">
        <v>12</v>
      </c>
      <c r="K405" s="9"/>
      <c r="L405" s="9" t="s">
        <v>12073</v>
      </c>
      <c r="M405" s="9" t="s">
        <v>12140</v>
      </c>
      <c r="N405" s="10" t="s">
        <v>12193</v>
      </c>
      <c r="O405" s="9"/>
      <c r="P405" s="9">
        <v>2042</v>
      </c>
      <c r="Q405" s="9">
        <f t="shared" si="6"/>
        <v>245.37370824321076</v>
      </c>
      <c r="R405" s="9"/>
      <c r="S405" s="9" t="s">
        <v>12795</v>
      </c>
      <c r="T405" s="9" t="s">
        <v>12795</v>
      </c>
      <c r="U405" s="9"/>
      <c r="V405" s="9"/>
      <c r="W405" s="9"/>
      <c r="X405" s="9"/>
      <c r="Y405" s="9"/>
      <c r="Z405" s="9"/>
      <c r="AA405" s="9"/>
      <c r="AB405" s="9"/>
      <c r="AC405" s="9"/>
      <c r="AD405" s="9"/>
    </row>
    <row r="406" spans="1:30" ht="58">
      <c r="A406" s="3" t="s">
        <v>2361</v>
      </c>
      <c r="B406" s="3" t="s">
        <v>7422</v>
      </c>
      <c r="C406" s="3" t="s">
        <v>7423</v>
      </c>
      <c r="G406" s="9" t="s">
        <v>25</v>
      </c>
      <c r="H406" s="9"/>
      <c r="I406" s="9">
        <v>1</v>
      </c>
      <c r="J406" s="9">
        <v>8</v>
      </c>
      <c r="K406" s="9" t="s">
        <v>12092</v>
      </c>
      <c r="L406" s="9" t="s">
        <v>12073</v>
      </c>
      <c r="M406" s="9" t="s">
        <v>12142</v>
      </c>
      <c r="N406" s="10" t="s">
        <v>12199</v>
      </c>
      <c r="O406" s="9" t="s">
        <v>12074</v>
      </c>
      <c r="P406" s="9">
        <v>9</v>
      </c>
      <c r="Q406" s="9">
        <f t="shared" si="6"/>
        <v>1.0814708002883922</v>
      </c>
      <c r="R406" s="9"/>
      <c r="S406" s="9" t="s">
        <v>12795</v>
      </c>
      <c r="T406" s="9" t="s">
        <v>12795</v>
      </c>
      <c r="U406" s="9"/>
      <c r="V406" s="9"/>
      <c r="W406" s="9"/>
      <c r="X406" s="9"/>
      <c r="Y406" s="9"/>
      <c r="Z406" s="9"/>
      <c r="AA406" s="9"/>
      <c r="AB406" s="9"/>
      <c r="AC406" s="9"/>
      <c r="AD406" s="9"/>
    </row>
    <row r="407" spans="1:30" ht="29">
      <c r="A407" s="3" t="s">
        <v>2372</v>
      </c>
      <c r="B407" s="3" t="s">
        <v>7439</v>
      </c>
      <c r="C407" s="3" t="s">
        <v>7438</v>
      </c>
      <c r="G407" s="9" t="s">
        <v>25</v>
      </c>
      <c r="H407" s="9"/>
      <c r="I407" s="9">
        <v>1</v>
      </c>
      <c r="J407" s="9">
        <v>2</v>
      </c>
      <c r="K407" s="9" t="s">
        <v>12096</v>
      </c>
      <c r="L407" s="9" t="s">
        <v>12119</v>
      </c>
      <c r="M407" s="9"/>
      <c r="N407" s="10"/>
      <c r="O407" s="9"/>
      <c r="P407" s="9">
        <v>1294</v>
      </c>
      <c r="Q407" s="9">
        <f t="shared" si="6"/>
        <v>155.49146839701996</v>
      </c>
      <c r="R407" s="9"/>
      <c r="S407" s="9" t="s">
        <v>12795</v>
      </c>
      <c r="T407" s="9" t="s">
        <v>12795</v>
      </c>
      <c r="U407" s="9"/>
      <c r="V407" s="9"/>
      <c r="W407" s="9"/>
      <c r="X407" s="9"/>
      <c r="Y407" s="9"/>
      <c r="Z407" s="9"/>
      <c r="AA407" s="9"/>
      <c r="AB407" s="9"/>
      <c r="AC407" s="9"/>
      <c r="AD407" s="9"/>
    </row>
    <row r="408" spans="1:30" ht="43.5">
      <c r="A408" s="3" t="s">
        <v>2375</v>
      </c>
      <c r="B408" s="3" t="s">
        <v>7441</v>
      </c>
      <c r="C408" s="3" t="s">
        <v>7440</v>
      </c>
      <c r="G408" s="9" t="s">
        <v>24</v>
      </c>
      <c r="H408" s="9"/>
      <c r="I408" s="9">
        <v>1</v>
      </c>
      <c r="J408" s="9">
        <v>3</v>
      </c>
      <c r="K408" s="9" t="s">
        <v>12094</v>
      </c>
      <c r="L408" s="9" t="s">
        <v>12079</v>
      </c>
      <c r="M408" s="9"/>
      <c r="N408" s="10"/>
      <c r="O408" s="9"/>
      <c r="P408" s="9">
        <v>1496</v>
      </c>
      <c r="Q408" s="9">
        <f t="shared" si="6"/>
        <v>179.76447969238166</v>
      </c>
      <c r="R408" s="9"/>
      <c r="S408" s="9" t="s">
        <v>12795</v>
      </c>
      <c r="T408" s="9" t="s">
        <v>12795</v>
      </c>
      <c r="U408" s="9"/>
      <c r="V408" s="9"/>
      <c r="W408" s="9"/>
      <c r="X408" s="9"/>
      <c r="Y408" s="9"/>
      <c r="Z408" s="9"/>
      <c r="AA408" s="9"/>
      <c r="AB408" s="9"/>
      <c r="AC408" s="9"/>
      <c r="AD408" s="9"/>
    </row>
    <row r="409" spans="1:30" ht="58">
      <c r="A409" s="3" t="s">
        <v>2376</v>
      </c>
      <c r="B409" s="3" t="s">
        <v>7443</v>
      </c>
      <c r="C409" s="3" t="s">
        <v>7442</v>
      </c>
      <c r="G409" s="9" t="s">
        <v>25</v>
      </c>
      <c r="H409" s="9"/>
      <c r="I409" s="9">
        <v>1</v>
      </c>
      <c r="J409" s="9">
        <v>5</v>
      </c>
      <c r="K409" s="9" t="s">
        <v>12094</v>
      </c>
      <c r="L409" s="9" t="s">
        <v>12079</v>
      </c>
      <c r="M409" s="9"/>
      <c r="N409" s="10"/>
      <c r="O409" s="9"/>
      <c r="P409" s="9">
        <v>4240</v>
      </c>
      <c r="Q409" s="9">
        <f t="shared" si="6"/>
        <v>509.49291035808699</v>
      </c>
      <c r="R409" s="9"/>
      <c r="S409" s="9" t="s">
        <v>12795</v>
      </c>
      <c r="T409" s="9" t="s">
        <v>12795</v>
      </c>
      <c r="U409" s="9"/>
      <c r="V409" s="9"/>
      <c r="W409" s="9"/>
      <c r="X409" s="9"/>
      <c r="Y409" s="9"/>
      <c r="Z409" s="9"/>
      <c r="AA409" s="9"/>
      <c r="AB409" s="9"/>
      <c r="AC409" s="9"/>
      <c r="AD409" s="9"/>
    </row>
    <row r="410" spans="1:30" ht="29">
      <c r="A410" s="3" t="s">
        <v>2378</v>
      </c>
      <c r="B410" s="3" t="s">
        <v>7448</v>
      </c>
      <c r="C410" s="3" t="s">
        <v>7449</v>
      </c>
      <c r="G410" s="9" t="s">
        <v>25</v>
      </c>
      <c r="H410" s="9"/>
      <c r="I410" s="9">
        <v>1</v>
      </c>
      <c r="J410" s="9">
        <v>2</v>
      </c>
      <c r="K410" s="9" t="s">
        <v>12078</v>
      </c>
      <c r="L410" s="9" t="s">
        <v>12119</v>
      </c>
      <c r="M410" s="9"/>
      <c r="N410" s="10"/>
      <c r="O410" s="9"/>
      <c r="P410" s="9">
        <v>11843</v>
      </c>
      <c r="Q410" s="9">
        <f t="shared" si="6"/>
        <v>1423.0954097572699</v>
      </c>
      <c r="R410" s="9"/>
      <c r="S410" s="9" t="s">
        <v>12795</v>
      </c>
      <c r="T410" s="9" t="s">
        <v>12795</v>
      </c>
      <c r="U410" s="9"/>
      <c r="V410" s="9"/>
      <c r="W410" s="9"/>
      <c r="X410" s="9"/>
      <c r="Y410" s="9"/>
      <c r="Z410" s="9"/>
      <c r="AA410" s="9"/>
      <c r="AB410" s="9"/>
      <c r="AC410" s="9"/>
      <c r="AD410" s="9"/>
    </row>
    <row r="411" spans="1:30" ht="43.5">
      <c r="A411" s="3" t="s">
        <v>2378</v>
      </c>
      <c r="B411" s="3" t="s">
        <v>7450</v>
      </c>
      <c r="C411" s="3" t="s">
        <v>12378</v>
      </c>
      <c r="G411" s="9" t="s">
        <v>24</v>
      </c>
      <c r="H411" s="9"/>
      <c r="I411" s="9">
        <v>1</v>
      </c>
      <c r="J411" s="9">
        <v>3</v>
      </c>
      <c r="K411" s="9" t="s">
        <v>12123</v>
      </c>
      <c r="L411" s="9" t="s">
        <v>12079</v>
      </c>
      <c r="M411" s="9"/>
      <c r="N411" s="10"/>
      <c r="O411" s="9"/>
      <c r="P411" s="9">
        <v>887</v>
      </c>
      <c r="Q411" s="9">
        <f t="shared" si="6"/>
        <v>106.58495553953377</v>
      </c>
      <c r="R411" s="9"/>
      <c r="S411" s="9" t="s">
        <v>12795</v>
      </c>
      <c r="T411" s="9" t="s">
        <v>12795</v>
      </c>
      <c r="U411" s="9"/>
      <c r="V411" s="9"/>
      <c r="W411" s="9"/>
      <c r="X411" s="9"/>
      <c r="Y411" s="9"/>
      <c r="Z411" s="9"/>
      <c r="AA411" s="9"/>
      <c r="AB411" s="9"/>
      <c r="AC411" s="9"/>
      <c r="AD411" s="9"/>
    </row>
    <row r="412" spans="1:30" ht="58">
      <c r="A412" s="3" t="s">
        <v>2386</v>
      </c>
      <c r="B412" s="3" t="s">
        <v>7457</v>
      </c>
      <c r="C412" s="3" t="s">
        <v>7456</v>
      </c>
      <c r="G412" s="9" t="s">
        <v>25</v>
      </c>
      <c r="H412" s="9"/>
      <c r="I412" s="9">
        <v>1</v>
      </c>
      <c r="J412" s="9">
        <v>7</v>
      </c>
      <c r="K412" s="9" t="s">
        <v>12092</v>
      </c>
      <c r="L412" s="9" t="s">
        <v>12079</v>
      </c>
      <c r="M412" s="9"/>
      <c r="N412" s="10"/>
      <c r="O412" s="9"/>
      <c r="P412" s="9">
        <v>14</v>
      </c>
      <c r="Q412" s="9">
        <f t="shared" si="6"/>
        <v>1.6822879115597211</v>
      </c>
      <c r="R412" s="9"/>
      <c r="S412" s="9" t="s">
        <v>12795</v>
      </c>
      <c r="T412" s="9" t="s">
        <v>12795</v>
      </c>
      <c r="U412" s="9"/>
      <c r="V412" s="9"/>
      <c r="W412" s="9"/>
      <c r="X412" s="9"/>
      <c r="Y412" s="9"/>
      <c r="Z412" s="9"/>
      <c r="AA412" s="9"/>
      <c r="AB412" s="9"/>
      <c r="AC412" s="9"/>
      <c r="AD412" s="9"/>
    </row>
    <row r="413" spans="1:30" ht="29">
      <c r="A413" s="3" t="s">
        <v>2391</v>
      </c>
      <c r="B413" s="3" t="s">
        <v>7459</v>
      </c>
      <c r="C413" s="3" t="s">
        <v>7458</v>
      </c>
      <c r="G413" s="9" t="s">
        <v>25</v>
      </c>
      <c r="H413" s="9"/>
      <c r="I413" s="9">
        <v>1</v>
      </c>
      <c r="J413" s="9">
        <v>3</v>
      </c>
      <c r="K413" s="9" t="s">
        <v>12087</v>
      </c>
      <c r="L413" s="9" t="s">
        <v>12079</v>
      </c>
      <c r="M413" s="9"/>
      <c r="N413" s="10"/>
      <c r="O413" s="9"/>
      <c r="P413" s="9">
        <v>5676</v>
      </c>
      <c r="Q413" s="9">
        <f t="shared" si="6"/>
        <v>682.04758471521268</v>
      </c>
      <c r="R413" s="9"/>
      <c r="S413" s="9" t="s">
        <v>12795</v>
      </c>
      <c r="T413" s="9" t="s">
        <v>12795</v>
      </c>
      <c r="U413" s="9"/>
      <c r="V413" s="9"/>
      <c r="W413" s="9"/>
      <c r="X413" s="9"/>
      <c r="Y413" s="9"/>
      <c r="Z413" s="9"/>
      <c r="AA413" s="9"/>
      <c r="AB413" s="9"/>
      <c r="AC413" s="9"/>
      <c r="AD413" s="9"/>
    </row>
    <row r="414" spans="1:30" ht="29">
      <c r="A414" s="3" t="s">
        <v>2391</v>
      </c>
      <c r="B414" s="3" t="s">
        <v>7461</v>
      </c>
      <c r="C414" s="3" t="s">
        <v>7460</v>
      </c>
      <c r="G414" s="9" t="s">
        <v>24</v>
      </c>
      <c r="H414" s="9"/>
      <c r="I414" s="9">
        <v>1</v>
      </c>
      <c r="J414" s="9">
        <v>4</v>
      </c>
      <c r="K414" s="9" t="s">
        <v>12078</v>
      </c>
      <c r="L414" s="9" t="s">
        <v>12079</v>
      </c>
      <c r="M414" s="9"/>
      <c r="N414" s="10"/>
      <c r="O414" s="9"/>
      <c r="P414" s="9">
        <v>11843</v>
      </c>
      <c r="Q414" s="9">
        <f t="shared" si="6"/>
        <v>1423.0954097572699</v>
      </c>
      <c r="R414" s="9"/>
      <c r="S414" s="9" t="s">
        <v>12795</v>
      </c>
      <c r="T414" s="9" t="s">
        <v>12795</v>
      </c>
      <c r="U414" s="9"/>
      <c r="V414" s="9"/>
      <c r="W414" s="9"/>
      <c r="X414" s="9"/>
      <c r="Y414" s="9"/>
      <c r="Z414" s="9"/>
      <c r="AA414" s="9"/>
      <c r="AB414" s="9"/>
      <c r="AC414" s="9"/>
      <c r="AD414" s="9"/>
    </row>
    <row r="415" spans="1:30" ht="72.5">
      <c r="A415" s="3" t="s">
        <v>2398</v>
      </c>
      <c r="B415" s="3" t="s">
        <v>7468</v>
      </c>
      <c r="C415" s="3" t="s">
        <v>7467</v>
      </c>
      <c r="G415" s="9" t="s">
        <v>25</v>
      </c>
      <c r="H415" s="9"/>
      <c r="I415" s="9">
        <v>1</v>
      </c>
      <c r="J415" s="9">
        <v>3</v>
      </c>
      <c r="K415" s="9" t="s">
        <v>12087</v>
      </c>
      <c r="L415" s="9" t="s">
        <v>12079</v>
      </c>
      <c r="M415" s="9"/>
      <c r="N415" s="10"/>
      <c r="O415" s="9"/>
      <c r="P415" s="9">
        <v>5676</v>
      </c>
      <c r="Q415" s="9">
        <f t="shared" si="6"/>
        <v>682.04758471521268</v>
      </c>
      <c r="R415" s="9"/>
      <c r="S415" s="9" t="s">
        <v>12795</v>
      </c>
      <c r="T415" s="9" t="s">
        <v>12795</v>
      </c>
      <c r="U415" s="9"/>
      <c r="V415" s="9"/>
      <c r="W415" s="9"/>
      <c r="X415" s="9"/>
      <c r="Y415" s="9"/>
      <c r="Z415" s="9"/>
      <c r="AA415" s="9"/>
      <c r="AB415" s="9"/>
      <c r="AC415" s="9"/>
      <c r="AD415" s="9"/>
    </row>
    <row r="416" spans="1:30" ht="116">
      <c r="A416" s="3" t="s">
        <v>2399</v>
      </c>
      <c r="B416" s="3" t="s">
        <v>7472</v>
      </c>
      <c r="C416" s="3" t="s">
        <v>7471</v>
      </c>
      <c r="G416" s="9" t="s">
        <v>25</v>
      </c>
      <c r="H416" s="9"/>
      <c r="I416" s="9">
        <v>3</v>
      </c>
      <c r="J416" s="9">
        <v>18</v>
      </c>
      <c r="K416" s="9"/>
      <c r="L416" s="9" t="s">
        <v>12073</v>
      </c>
      <c r="M416" s="9" t="s">
        <v>12386</v>
      </c>
      <c r="N416" s="10" t="s">
        <v>12136</v>
      </c>
      <c r="O416" s="9"/>
      <c r="P416" s="9">
        <v>18</v>
      </c>
      <c r="Q416" s="9">
        <f t="shared" si="6"/>
        <v>2.1629416005767843</v>
      </c>
      <c r="R416" s="9"/>
      <c r="S416" s="9" t="s">
        <v>12795</v>
      </c>
      <c r="T416" s="9" t="s">
        <v>12795</v>
      </c>
      <c r="U416" s="9"/>
      <c r="V416" s="9"/>
      <c r="W416" s="9"/>
      <c r="X416" s="9"/>
      <c r="Y416" s="9"/>
      <c r="Z416" s="9"/>
      <c r="AA416" s="9"/>
      <c r="AB416" s="9"/>
      <c r="AC416" s="9"/>
      <c r="AD416" s="9"/>
    </row>
    <row r="417" spans="1:30" ht="29">
      <c r="A417" s="3" t="s">
        <v>2401</v>
      </c>
      <c r="B417" s="3" t="s">
        <v>7476</v>
      </c>
      <c r="C417" s="3" t="s">
        <v>7475</v>
      </c>
      <c r="F417" t="s">
        <v>19</v>
      </c>
      <c r="G417" s="9" t="s">
        <v>25</v>
      </c>
      <c r="H417" s="9"/>
      <c r="I417" s="9">
        <v>1</v>
      </c>
      <c r="J417" s="9">
        <v>3</v>
      </c>
      <c r="K417" s="9" t="s">
        <v>12087</v>
      </c>
      <c r="L417" s="9" t="s">
        <v>12079</v>
      </c>
      <c r="M417" s="9"/>
      <c r="N417" s="10"/>
      <c r="O417" s="9"/>
      <c r="P417" s="9">
        <v>5676</v>
      </c>
      <c r="Q417" s="9">
        <f t="shared" si="6"/>
        <v>682.04758471521268</v>
      </c>
      <c r="R417" s="9"/>
      <c r="S417" s="9" t="s">
        <v>12795</v>
      </c>
      <c r="T417" s="9" t="s">
        <v>12795</v>
      </c>
      <c r="U417" s="9"/>
      <c r="V417" s="9"/>
      <c r="W417" s="9"/>
      <c r="X417" s="9"/>
      <c r="Y417" s="9"/>
      <c r="Z417" s="9"/>
      <c r="AA417" s="9"/>
      <c r="AB417" s="9"/>
      <c r="AC417" s="9"/>
      <c r="AD417" s="9"/>
    </row>
    <row r="418" spans="1:30" ht="43.5">
      <c r="A418" s="3" t="s">
        <v>2412</v>
      </c>
      <c r="B418" s="3" t="s">
        <v>7494</v>
      </c>
      <c r="C418" s="3" t="s">
        <v>7493</v>
      </c>
      <c r="G418" s="9" t="s">
        <v>24</v>
      </c>
      <c r="H418" s="9"/>
      <c r="I418" s="9">
        <v>1</v>
      </c>
      <c r="J418" s="9">
        <v>3</v>
      </c>
      <c r="K418" s="9" t="s">
        <v>12087</v>
      </c>
      <c r="L418" s="9" t="s">
        <v>12079</v>
      </c>
      <c r="M418" s="9"/>
      <c r="N418" s="10"/>
      <c r="O418" s="9"/>
      <c r="P418" s="9">
        <v>5676</v>
      </c>
      <c r="Q418" s="9">
        <f t="shared" si="6"/>
        <v>682.04758471521268</v>
      </c>
      <c r="R418" s="9"/>
      <c r="S418" s="9" t="s">
        <v>12795</v>
      </c>
      <c r="T418" s="9" t="s">
        <v>12795</v>
      </c>
      <c r="U418" s="9" t="s">
        <v>12117</v>
      </c>
      <c r="V418" s="9"/>
      <c r="W418" s="9"/>
      <c r="X418" s="9"/>
      <c r="Y418" s="9"/>
      <c r="Z418" s="9"/>
      <c r="AA418" s="9"/>
      <c r="AB418" s="9"/>
      <c r="AC418" s="9"/>
      <c r="AD418" s="9"/>
    </row>
    <row r="419" spans="1:30" ht="29">
      <c r="A419" s="3" t="s">
        <v>2416</v>
      </c>
      <c r="B419" s="3" t="s">
        <v>7495</v>
      </c>
      <c r="C419" s="3" t="s">
        <v>7496</v>
      </c>
      <c r="G419" s="9" t="s">
        <v>25</v>
      </c>
      <c r="H419" s="9"/>
      <c r="I419" s="9">
        <v>1</v>
      </c>
      <c r="J419" s="9">
        <v>3</v>
      </c>
      <c r="K419" s="9" t="s">
        <v>12087</v>
      </c>
      <c r="L419" s="9" t="s">
        <v>12079</v>
      </c>
      <c r="M419" s="9"/>
      <c r="N419" s="10"/>
      <c r="O419" s="9"/>
      <c r="P419" s="9">
        <v>810</v>
      </c>
      <c r="Q419" s="9">
        <f t="shared" si="6"/>
        <v>97.332372025955294</v>
      </c>
      <c r="R419" s="9"/>
      <c r="S419" s="9" t="s">
        <v>12795</v>
      </c>
      <c r="T419" s="9" t="s">
        <v>12795</v>
      </c>
      <c r="U419" s="9"/>
      <c r="V419" s="9"/>
      <c r="W419" s="9"/>
      <c r="X419" s="9"/>
      <c r="Y419" s="9"/>
      <c r="Z419" s="9"/>
      <c r="AA419" s="9"/>
      <c r="AB419" s="9"/>
      <c r="AC419" s="9"/>
      <c r="AD419" s="9"/>
    </row>
    <row r="420" spans="1:30" ht="29">
      <c r="A420" s="3" t="s">
        <v>2417</v>
      </c>
      <c r="B420" s="3" t="s">
        <v>7497</v>
      </c>
      <c r="C420" s="3" t="s">
        <v>7498</v>
      </c>
      <c r="G420" s="9" t="s">
        <v>25</v>
      </c>
      <c r="H420" s="9"/>
      <c r="I420" s="9">
        <v>1</v>
      </c>
      <c r="J420" s="9">
        <v>1</v>
      </c>
      <c r="K420" s="9" t="s">
        <v>12078</v>
      </c>
      <c r="L420" s="9" t="s">
        <v>12119</v>
      </c>
      <c r="M420" s="9"/>
      <c r="N420" s="10"/>
      <c r="O420" s="9"/>
      <c r="P420" s="9">
        <v>11843</v>
      </c>
      <c r="Q420" s="9">
        <f t="shared" si="6"/>
        <v>1423.0954097572699</v>
      </c>
      <c r="R420" s="9"/>
      <c r="S420" s="9" t="s">
        <v>12795</v>
      </c>
      <c r="T420" s="9" t="s">
        <v>12795</v>
      </c>
      <c r="U420" s="9"/>
      <c r="V420" s="9"/>
      <c r="W420" s="9"/>
      <c r="X420" s="9"/>
      <c r="Y420" s="9"/>
      <c r="Z420" s="9"/>
      <c r="AA420" s="9"/>
      <c r="AB420" s="9"/>
      <c r="AC420" s="9"/>
      <c r="AD420" s="9"/>
    </row>
    <row r="421" spans="1:30" ht="29">
      <c r="A421" s="3" t="s">
        <v>2417</v>
      </c>
      <c r="B421" s="3" t="s">
        <v>7500</v>
      </c>
      <c r="C421" s="3" t="s">
        <v>7499</v>
      </c>
      <c r="G421" s="9" t="s">
        <v>25</v>
      </c>
      <c r="H421" s="9"/>
      <c r="I421" s="9">
        <v>1</v>
      </c>
      <c r="J421" s="9">
        <v>2</v>
      </c>
      <c r="K421" s="9" t="s">
        <v>12078</v>
      </c>
      <c r="L421" s="9" t="s">
        <v>12119</v>
      </c>
      <c r="M421" s="9"/>
      <c r="N421" s="10"/>
      <c r="O421" s="9"/>
      <c r="P421" s="9">
        <v>11843</v>
      </c>
      <c r="Q421" s="9">
        <f t="shared" si="6"/>
        <v>1423.0954097572699</v>
      </c>
      <c r="R421" s="9"/>
      <c r="S421" s="9" t="s">
        <v>12795</v>
      </c>
      <c r="T421" s="9" t="s">
        <v>12795</v>
      </c>
      <c r="U421" s="9"/>
      <c r="V421" s="9"/>
      <c r="W421" s="9"/>
      <c r="X421" s="9"/>
      <c r="Y421" s="9"/>
      <c r="Z421" s="9"/>
      <c r="AA421" s="9"/>
      <c r="AB421" s="9"/>
      <c r="AC421" s="9"/>
      <c r="AD421" s="9"/>
    </row>
    <row r="422" spans="1:30" ht="43.5">
      <c r="A422" s="3" t="s">
        <v>2418</v>
      </c>
      <c r="B422" s="3" t="s">
        <v>7501</v>
      </c>
      <c r="C422" s="3" t="s">
        <v>7502</v>
      </c>
      <c r="G422" s="9" t="s">
        <v>25</v>
      </c>
      <c r="H422" s="9"/>
      <c r="I422" s="9">
        <v>1</v>
      </c>
      <c r="J422" s="9">
        <v>5</v>
      </c>
      <c r="K422" s="9" t="s">
        <v>12094</v>
      </c>
      <c r="L422" s="9" t="s">
        <v>12079</v>
      </c>
      <c r="M422" s="9"/>
      <c r="N422" s="10"/>
      <c r="O422" s="9"/>
      <c r="P422" s="9">
        <v>4240</v>
      </c>
      <c r="Q422" s="9">
        <f t="shared" si="6"/>
        <v>509.49291035808699</v>
      </c>
      <c r="R422" s="9"/>
      <c r="S422" s="9" t="s">
        <v>12795</v>
      </c>
      <c r="T422" s="9" t="s">
        <v>12795</v>
      </c>
      <c r="U422" s="9"/>
      <c r="V422" s="9"/>
      <c r="W422" s="9"/>
      <c r="X422" s="9"/>
      <c r="Y422" s="9"/>
      <c r="Z422" s="9"/>
      <c r="AA422" s="9"/>
      <c r="AB422" s="9"/>
      <c r="AC422" s="9"/>
      <c r="AD422" s="9"/>
    </row>
    <row r="423" spans="1:30" ht="29">
      <c r="A423" s="3" t="s">
        <v>2421</v>
      </c>
      <c r="B423" s="3" t="s">
        <v>7504</v>
      </c>
      <c r="C423" s="3" t="s">
        <v>7503</v>
      </c>
      <c r="G423" s="9" t="s">
        <v>25</v>
      </c>
      <c r="H423" s="9"/>
      <c r="I423" s="9">
        <v>1</v>
      </c>
      <c r="J423" s="9">
        <v>2</v>
      </c>
      <c r="K423" s="9" t="s">
        <v>12078</v>
      </c>
      <c r="L423" s="9" t="s">
        <v>12119</v>
      </c>
      <c r="M423" s="9"/>
      <c r="N423" s="10"/>
      <c r="O423" s="9"/>
      <c r="P423" s="9">
        <v>11843</v>
      </c>
      <c r="Q423" s="9">
        <f t="shared" si="6"/>
        <v>1423.0954097572699</v>
      </c>
      <c r="R423" s="9"/>
      <c r="S423" s="9" t="s">
        <v>12795</v>
      </c>
      <c r="T423" s="9" t="s">
        <v>12795</v>
      </c>
      <c r="U423" s="9"/>
      <c r="V423" s="9"/>
      <c r="W423" s="9"/>
      <c r="X423" s="9"/>
      <c r="Y423" s="9"/>
      <c r="Z423" s="9"/>
      <c r="AA423" s="9"/>
      <c r="AB423" s="9"/>
      <c r="AC423" s="9"/>
      <c r="AD423" s="9"/>
    </row>
    <row r="424" spans="1:30" ht="29">
      <c r="A424" s="3" t="s">
        <v>2423</v>
      </c>
      <c r="B424" s="3" t="s">
        <v>7507</v>
      </c>
      <c r="C424" s="3" t="s">
        <v>7508</v>
      </c>
      <c r="G424" s="9" t="s">
        <v>24</v>
      </c>
      <c r="H424" s="9"/>
      <c r="I424" s="9">
        <v>1</v>
      </c>
      <c r="J424" s="9">
        <v>3</v>
      </c>
      <c r="K424" s="9" t="s">
        <v>12087</v>
      </c>
      <c r="L424" s="9" t="s">
        <v>12079</v>
      </c>
      <c r="M424" s="9"/>
      <c r="N424" s="10"/>
      <c r="O424" s="9"/>
      <c r="P424" s="9">
        <v>5676</v>
      </c>
      <c r="Q424" s="9">
        <f t="shared" si="6"/>
        <v>682.04758471521268</v>
      </c>
      <c r="R424" s="9"/>
      <c r="S424" s="9" t="s">
        <v>12795</v>
      </c>
      <c r="T424" s="9" t="s">
        <v>12795</v>
      </c>
      <c r="U424" s="9"/>
      <c r="V424" s="9"/>
      <c r="W424" s="9"/>
      <c r="X424" s="9"/>
      <c r="Y424" s="9"/>
      <c r="Z424" s="9"/>
      <c r="AA424" s="9"/>
      <c r="AB424" s="9"/>
      <c r="AC424" s="9"/>
      <c r="AD424" s="9"/>
    </row>
    <row r="425" spans="1:30" ht="58">
      <c r="A425" s="3" t="s">
        <v>2426</v>
      </c>
      <c r="B425" s="3" t="s">
        <v>7511</v>
      </c>
      <c r="C425" s="3" t="s">
        <v>7510</v>
      </c>
      <c r="G425" s="9" t="s">
        <v>25</v>
      </c>
      <c r="H425" s="9"/>
      <c r="I425" s="9">
        <v>2</v>
      </c>
      <c r="J425" s="9">
        <v>10</v>
      </c>
      <c r="K425" s="9"/>
      <c r="L425" s="9" t="s">
        <v>12079</v>
      </c>
      <c r="M425" s="9"/>
      <c r="N425" s="10"/>
      <c r="O425" s="9"/>
      <c r="P425" s="9">
        <v>70</v>
      </c>
      <c r="Q425" s="9">
        <f t="shared" si="6"/>
        <v>8.4114395577986052</v>
      </c>
      <c r="R425" s="9"/>
      <c r="S425" s="9" t="s">
        <v>12795</v>
      </c>
      <c r="T425" s="9" t="s">
        <v>12795</v>
      </c>
      <c r="U425" s="9"/>
      <c r="V425" s="9"/>
      <c r="W425" s="9"/>
      <c r="X425" s="9"/>
      <c r="Y425" s="9"/>
      <c r="Z425" s="9"/>
      <c r="AA425" s="9"/>
      <c r="AB425" s="9"/>
      <c r="AC425" s="9"/>
      <c r="AD425" s="9"/>
    </row>
    <row r="426" spans="1:30" ht="58">
      <c r="A426" s="3" t="s">
        <v>2426</v>
      </c>
      <c r="B426" s="3" t="s">
        <v>7509</v>
      </c>
      <c r="C426" s="3" t="s">
        <v>7512</v>
      </c>
      <c r="G426" s="9" t="s">
        <v>24</v>
      </c>
      <c r="H426" s="9"/>
      <c r="I426" s="9">
        <v>1</v>
      </c>
      <c r="J426" s="9">
        <v>3</v>
      </c>
      <c r="K426" s="9" t="s">
        <v>12087</v>
      </c>
      <c r="L426" s="9" t="s">
        <v>12079</v>
      </c>
      <c r="M426" s="9"/>
      <c r="N426" s="10"/>
      <c r="O426" s="9"/>
      <c r="P426" s="9">
        <v>5676</v>
      </c>
      <c r="Q426" s="9">
        <f t="shared" si="6"/>
        <v>682.04758471521268</v>
      </c>
      <c r="R426" s="9"/>
      <c r="S426" s="9" t="s">
        <v>12795</v>
      </c>
      <c r="T426" s="9" t="s">
        <v>12795</v>
      </c>
      <c r="U426" s="9"/>
      <c r="V426" s="9"/>
      <c r="W426" s="9"/>
      <c r="X426" s="9"/>
      <c r="Y426" s="9"/>
      <c r="Z426" s="9"/>
      <c r="AA426" s="9"/>
      <c r="AB426" s="9"/>
      <c r="AC426" s="9"/>
      <c r="AD426" s="9"/>
    </row>
    <row r="427" spans="1:30" ht="72.5">
      <c r="A427" s="3" t="s">
        <v>2435</v>
      </c>
      <c r="B427" s="3" t="s">
        <v>7524</v>
      </c>
      <c r="C427" s="3" t="s">
        <v>7525</v>
      </c>
      <c r="G427" s="9" t="s">
        <v>24</v>
      </c>
      <c r="H427" s="9"/>
      <c r="I427" s="9">
        <v>1</v>
      </c>
      <c r="J427" s="9">
        <v>3</v>
      </c>
      <c r="K427" s="9" t="s">
        <v>12087</v>
      </c>
      <c r="L427" s="9" t="s">
        <v>12079</v>
      </c>
      <c r="M427" s="9"/>
      <c r="N427" s="10"/>
      <c r="O427" s="9"/>
      <c r="P427" s="9">
        <v>5676</v>
      </c>
      <c r="Q427" s="9">
        <f t="shared" si="6"/>
        <v>682.04758471521268</v>
      </c>
      <c r="R427" s="9"/>
      <c r="S427" s="9" t="s">
        <v>12795</v>
      </c>
      <c r="T427" s="9" t="s">
        <v>12795</v>
      </c>
      <c r="U427" s="9"/>
      <c r="V427" s="9"/>
      <c r="W427" s="9"/>
      <c r="X427" s="9"/>
      <c r="Y427" s="9"/>
      <c r="Z427" s="9"/>
      <c r="AA427" s="9"/>
      <c r="AB427" s="9"/>
      <c r="AC427" s="9"/>
      <c r="AD427" s="9"/>
    </row>
    <row r="428" spans="1:30" ht="43.5">
      <c r="A428" s="3" t="s">
        <v>2436</v>
      </c>
      <c r="B428" s="3" t="s">
        <v>7527</v>
      </c>
      <c r="C428" s="3" t="s">
        <v>7526</v>
      </c>
      <c r="G428" s="9" t="s">
        <v>25</v>
      </c>
      <c r="H428" s="9"/>
      <c r="I428" s="9">
        <v>1</v>
      </c>
      <c r="J428" s="9">
        <v>2</v>
      </c>
      <c r="K428" s="9" t="s">
        <v>12078</v>
      </c>
      <c r="L428" s="9" t="s">
        <v>12119</v>
      </c>
      <c r="M428" s="9"/>
      <c r="N428" s="10"/>
      <c r="O428" s="9"/>
      <c r="P428" s="9">
        <v>11843</v>
      </c>
      <c r="Q428" s="9">
        <f t="shared" si="6"/>
        <v>1423.0954097572699</v>
      </c>
      <c r="R428" s="9"/>
      <c r="S428" s="9" t="s">
        <v>12795</v>
      </c>
      <c r="T428" s="9" t="s">
        <v>12795</v>
      </c>
      <c r="U428" s="9"/>
      <c r="V428" s="9"/>
      <c r="W428" s="9"/>
      <c r="X428" s="9"/>
      <c r="Y428" s="9"/>
      <c r="Z428" s="9"/>
      <c r="AA428" s="9"/>
      <c r="AB428" s="9"/>
      <c r="AC428" s="9"/>
      <c r="AD428" s="9"/>
    </row>
    <row r="429" spans="1:30" ht="43.5">
      <c r="A429" s="3" t="s">
        <v>2441</v>
      </c>
      <c r="B429" s="3" t="s">
        <v>7534</v>
      </c>
      <c r="C429" s="3" t="s">
        <v>7535</v>
      </c>
      <c r="G429" s="9" t="s">
        <v>25</v>
      </c>
      <c r="H429" s="9"/>
      <c r="I429" s="9">
        <v>1</v>
      </c>
      <c r="J429" s="9">
        <v>2</v>
      </c>
      <c r="K429" s="9" t="s">
        <v>12078</v>
      </c>
      <c r="L429" s="9" t="s">
        <v>12119</v>
      </c>
      <c r="M429" s="9"/>
      <c r="N429" s="10"/>
      <c r="O429" s="9"/>
      <c r="P429" s="9">
        <v>11843</v>
      </c>
      <c r="Q429" s="9">
        <f t="shared" si="6"/>
        <v>1423.0954097572699</v>
      </c>
      <c r="R429" s="9"/>
      <c r="S429" s="9" t="s">
        <v>12795</v>
      </c>
      <c r="T429" s="9" t="s">
        <v>12795</v>
      </c>
      <c r="U429" s="9"/>
      <c r="V429" s="9"/>
      <c r="W429" s="9"/>
      <c r="X429" s="9"/>
      <c r="Y429" s="9"/>
      <c r="Z429" s="9"/>
      <c r="AA429" s="9"/>
      <c r="AB429" s="9"/>
      <c r="AC429" s="9"/>
      <c r="AD429" s="9"/>
    </row>
    <row r="430" spans="1:30" ht="72.5">
      <c r="A430" s="3" t="s">
        <v>2443</v>
      </c>
      <c r="B430" s="3" t="s">
        <v>7537</v>
      </c>
      <c r="C430" s="3" t="s">
        <v>7538</v>
      </c>
      <c r="G430" s="9" t="s">
        <v>24</v>
      </c>
      <c r="H430" s="9"/>
      <c r="I430" s="9">
        <v>1</v>
      </c>
      <c r="J430" s="9">
        <v>1</v>
      </c>
      <c r="K430" s="9" t="s">
        <v>12078</v>
      </c>
      <c r="L430" s="9" t="s">
        <v>12119</v>
      </c>
      <c r="M430" s="9"/>
      <c r="N430" s="10"/>
      <c r="O430" s="9"/>
      <c r="P430" s="9">
        <v>11843</v>
      </c>
      <c r="Q430" s="9">
        <f t="shared" si="6"/>
        <v>1423.0954097572699</v>
      </c>
      <c r="R430" s="9"/>
      <c r="S430" s="9" t="s">
        <v>12795</v>
      </c>
      <c r="T430" s="9" t="s">
        <v>12795</v>
      </c>
      <c r="U430" s="9"/>
      <c r="V430" s="9"/>
      <c r="W430" s="9"/>
      <c r="X430" s="9"/>
      <c r="Y430" s="9"/>
      <c r="Z430" s="9"/>
      <c r="AA430" s="9"/>
      <c r="AB430" s="9"/>
      <c r="AC430" s="9"/>
      <c r="AD430" s="9"/>
    </row>
    <row r="431" spans="1:30" ht="58">
      <c r="A431" s="3" t="s">
        <v>2445</v>
      </c>
      <c r="B431" s="3" t="s">
        <v>7544</v>
      </c>
      <c r="C431" s="3" t="s">
        <v>7541</v>
      </c>
      <c r="G431" s="9" t="s">
        <v>25</v>
      </c>
      <c r="H431" s="9"/>
      <c r="I431" s="9">
        <v>1</v>
      </c>
      <c r="J431" s="9">
        <v>5</v>
      </c>
      <c r="K431" s="9" t="s">
        <v>12094</v>
      </c>
      <c r="L431" s="9" t="s">
        <v>12079</v>
      </c>
      <c r="M431" s="9"/>
      <c r="N431" s="10"/>
      <c r="O431" s="9"/>
      <c r="P431" s="9">
        <v>4240</v>
      </c>
      <c r="Q431" s="9">
        <f t="shared" si="6"/>
        <v>509.49291035808699</v>
      </c>
      <c r="R431" s="9"/>
      <c r="S431" s="9" t="s">
        <v>12795</v>
      </c>
      <c r="T431" s="9" t="s">
        <v>12795</v>
      </c>
      <c r="U431" s="9"/>
      <c r="V431" s="9"/>
      <c r="W431" s="9"/>
      <c r="X431" s="9"/>
      <c r="Y431" s="9"/>
      <c r="Z431" s="9"/>
      <c r="AA431" s="9"/>
      <c r="AB431" s="9"/>
      <c r="AC431" s="9"/>
      <c r="AD431" s="9"/>
    </row>
    <row r="432" spans="1:30" ht="58">
      <c r="A432" s="3" t="s">
        <v>2457</v>
      </c>
      <c r="B432" s="3" t="s">
        <v>7557</v>
      </c>
      <c r="C432" s="3" t="s">
        <v>7558</v>
      </c>
      <c r="G432" s="9" t="s">
        <v>25</v>
      </c>
      <c r="H432" s="9"/>
      <c r="I432" s="9">
        <v>1</v>
      </c>
      <c r="J432" s="9">
        <v>2</v>
      </c>
      <c r="K432" s="9" t="s">
        <v>12078</v>
      </c>
      <c r="L432" s="9" t="s">
        <v>12119</v>
      </c>
      <c r="M432" s="9"/>
      <c r="N432" s="10"/>
      <c r="O432" s="9"/>
      <c r="P432" s="9">
        <v>11843</v>
      </c>
      <c r="Q432" s="9">
        <f t="shared" si="6"/>
        <v>1423.0954097572699</v>
      </c>
      <c r="R432" s="9"/>
      <c r="S432" s="9" t="s">
        <v>12795</v>
      </c>
      <c r="T432" s="9" t="s">
        <v>12795</v>
      </c>
      <c r="U432" s="9"/>
      <c r="V432" s="9"/>
      <c r="W432" s="9"/>
      <c r="X432" s="9"/>
      <c r="Y432" s="9"/>
      <c r="Z432" s="9"/>
      <c r="AA432" s="9"/>
      <c r="AB432" s="9"/>
      <c r="AC432" s="9"/>
      <c r="AD432" s="9"/>
    </row>
    <row r="433" spans="1:30" ht="43.5">
      <c r="A433" s="3" t="s">
        <v>2461</v>
      </c>
      <c r="B433" s="3" t="s">
        <v>7564</v>
      </c>
      <c r="C433" s="3" t="s">
        <v>7563</v>
      </c>
      <c r="G433" s="9" t="s">
        <v>24</v>
      </c>
      <c r="H433" s="9"/>
      <c r="I433" s="9">
        <v>1</v>
      </c>
      <c r="J433" s="9">
        <v>3</v>
      </c>
      <c r="K433" s="9" t="s">
        <v>12078</v>
      </c>
      <c r="L433" s="9" t="s">
        <v>12073</v>
      </c>
      <c r="M433" s="9" t="s">
        <v>12142</v>
      </c>
      <c r="N433" s="10" t="s">
        <v>12143</v>
      </c>
      <c r="O433" s="9" t="s">
        <v>12074</v>
      </c>
      <c r="P433" s="9">
        <v>11843</v>
      </c>
      <c r="Q433" s="9">
        <f t="shared" si="6"/>
        <v>1423.0954097572699</v>
      </c>
      <c r="R433" s="9"/>
      <c r="S433" s="9" t="s">
        <v>12795</v>
      </c>
      <c r="T433" s="9" t="s">
        <v>12795</v>
      </c>
      <c r="U433" s="9"/>
      <c r="V433" s="9"/>
      <c r="W433" s="9"/>
      <c r="X433" s="9"/>
      <c r="Y433" s="9"/>
      <c r="Z433" s="9"/>
      <c r="AA433" s="9"/>
      <c r="AB433" s="9"/>
      <c r="AC433" s="9"/>
      <c r="AD433" s="9"/>
    </row>
    <row r="434" spans="1:30" ht="29">
      <c r="A434" s="3" t="s">
        <v>2462</v>
      </c>
      <c r="B434" s="3" t="s">
        <v>7566</v>
      </c>
      <c r="C434" s="3" t="s">
        <v>7565</v>
      </c>
      <c r="G434" s="9" t="s">
        <v>24</v>
      </c>
      <c r="H434" s="9"/>
      <c r="I434" s="9">
        <v>1</v>
      </c>
      <c r="J434" s="9">
        <v>3</v>
      </c>
      <c r="K434" s="9" t="s">
        <v>12078</v>
      </c>
      <c r="L434" s="9" t="s">
        <v>12079</v>
      </c>
      <c r="M434" s="9"/>
      <c r="N434" s="10"/>
      <c r="O434" s="9"/>
      <c r="P434" s="9">
        <v>11843</v>
      </c>
      <c r="Q434" s="9">
        <f t="shared" si="6"/>
        <v>1423.0954097572699</v>
      </c>
      <c r="R434" s="9"/>
      <c r="S434" s="9" t="s">
        <v>12795</v>
      </c>
      <c r="T434" s="9" t="s">
        <v>12795</v>
      </c>
      <c r="U434" s="9"/>
      <c r="V434" s="9"/>
      <c r="W434" s="9"/>
      <c r="X434" s="9"/>
      <c r="Y434" s="9"/>
      <c r="Z434" s="9"/>
      <c r="AA434" s="9"/>
      <c r="AB434" s="9"/>
      <c r="AC434" s="9"/>
      <c r="AD434" s="9"/>
    </row>
    <row r="435" spans="1:30" ht="43.5">
      <c r="A435" s="3" t="s">
        <v>2470</v>
      </c>
      <c r="B435" s="3" t="s">
        <v>7570</v>
      </c>
      <c r="C435" s="3" t="s">
        <v>7569</v>
      </c>
      <c r="G435" s="9" t="s">
        <v>25</v>
      </c>
      <c r="H435" s="9"/>
      <c r="I435" s="9">
        <v>1</v>
      </c>
      <c r="J435" s="9">
        <v>9</v>
      </c>
      <c r="K435" s="9" t="s">
        <v>12092</v>
      </c>
      <c r="L435" s="9" t="s">
        <v>12073</v>
      </c>
      <c r="M435" s="9" t="s">
        <v>12142</v>
      </c>
      <c r="N435" s="10" t="s">
        <v>12143</v>
      </c>
      <c r="O435" s="9"/>
      <c r="P435" s="9">
        <v>2</v>
      </c>
      <c r="Q435" s="9">
        <f t="shared" si="6"/>
        <v>0.24032684450853162</v>
      </c>
      <c r="R435" s="9"/>
      <c r="S435" s="9" t="s">
        <v>12795</v>
      </c>
      <c r="T435" s="9" t="s">
        <v>12795</v>
      </c>
      <c r="U435" s="9"/>
      <c r="V435" s="9"/>
      <c r="W435" s="9"/>
      <c r="X435" s="9"/>
      <c r="Y435" s="9"/>
      <c r="Z435" s="9"/>
      <c r="AA435" s="9"/>
      <c r="AB435" s="9"/>
      <c r="AC435" s="9"/>
      <c r="AD435" s="9"/>
    </row>
    <row r="436" spans="1:30" ht="43.5">
      <c r="A436" s="3" t="s">
        <v>2492</v>
      </c>
      <c r="B436" s="3" t="s">
        <v>7598</v>
      </c>
      <c r="C436" s="11" t="s">
        <v>7595</v>
      </c>
      <c r="G436" s="9" t="s">
        <v>25</v>
      </c>
      <c r="H436" s="9"/>
      <c r="I436" s="9">
        <v>1</v>
      </c>
      <c r="J436" s="9">
        <v>3</v>
      </c>
      <c r="K436" s="9" t="s">
        <v>12084</v>
      </c>
      <c r="L436" s="9" t="s">
        <v>12079</v>
      </c>
      <c r="M436" s="9"/>
      <c r="N436" s="10"/>
      <c r="O436" s="9"/>
      <c r="P436" s="9">
        <v>50</v>
      </c>
      <c r="Q436" s="9">
        <f t="shared" si="6"/>
        <v>6.0081711127132902</v>
      </c>
      <c r="R436" s="9"/>
      <c r="S436" s="9" t="s">
        <v>12795</v>
      </c>
      <c r="T436" s="9" t="s">
        <v>12795</v>
      </c>
      <c r="U436" s="9"/>
      <c r="V436" s="9"/>
      <c r="W436" s="9"/>
      <c r="X436" s="9"/>
      <c r="Y436" s="9"/>
      <c r="Z436" s="9"/>
      <c r="AA436" s="9"/>
      <c r="AB436" s="9"/>
      <c r="AC436" s="9"/>
      <c r="AD436" s="9"/>
    </row>
    <row r="437" spans="1:30" ht="43.5">
      <c r="A437" s="3" t="s">
        <v>2498</v>
      </c>
      <c r="B437" s="3" t="s">
        <v>7615</v>
      </c>
      <c r="C437" s="3" t="s">
        <v>7616</v>
      </c>
      <c r="G437" s="9" t="s">
        <v>25</v>
      </c>
      <c r="H437" s="9"/>
      <c r="I437" s="9">
        <v>1</v>
      </c>
      <c r="J437" s="9">
        <v>3</v>
      </c>
      <c r="K437" s="9" t="s">
        <v>12123</v>
      </c>
      <c r="L437" s="9" t="s">
        <v>12079</v>
      </c>
      <c r="M437" s="9"/>
      <c r="N437" s="10"/>
      <c r="O437" s="9"/>
      <c r="P437" s="9">
        <v>887</v>
      </c>
      <c r="Q437" s="9">
        <f t="shared" si="6"/>
        <v>106.58495553953377</v>
      </c>
      <c r="R437" s="9"/>
      <c r="S437" s="9" t="s">
        <v>12795</v>
      </c>
      <c r="T437" s="9" t="s">
        <v>12795</v>
      </c>
      <c r="U437" s="9"/>
      <c r="V437" s="9"/>
      <c r="W437" s="9"/>
      <c r="X437" s="9"/>
      <c r="Y437" s="9"/>
      <c r="Z437" s="9"/>
      <c r="AA437" s="9"/>
      <c r="AB437" s="9"/>
      <c r="AC437" s="9"/>
      <c r="AD437" s="9"/>
    </row>
    <row r="438" spans="1:30" ht="43.5">
      <c r="A438" s="3" t="s">
        <v>2507</v>
      </c>
      <c r="B438" s="3" t="s">
        <v>7618</v>
      </c>
      <c r="C438" s="3" t="s">
        <v>7617</v>
      </c>
      <c r="G438" s="9" t="s">
        <v>25</v>
      </c>
      <c r="H438" s="9"/>
      <c r="I438" s="9">
        <v>1</v>
      </c>
      <c r="J438" s="9">
        <v>2</v>
      </c>
      <c r="K438" s="9" t="s">
        <v>12087</v>
      </c>
      <c r="L438" s="9" t="s">
        <v>12119</v>
      </c>
      <c r="M438" s="9"/>
      <c r="N438" s="10"/>
      <c r="O438" s="9"/>
      <c r="P438" s="9">
        <v>1966</v>
      </c>
      <c r="Q438" s="9">
        <f t="shared" si="6"/>
        <v>236.24128815188658</v>
      </c>
      <c r="R438" s="9"/>
      <c r="S438" s="9" t="s">
        <v>12795</v>
      </c>
      <c r="T438" s="9" t="s">
        <v>12795</v>
      </c>
      <c r="U438" s="9"/>
      <c r="V438" s="9"/>
      <c r="W438" s="9"/>
      <c r="X438" s="9"/>
      <c r="Y438" s="9"/>
      <c r="Z438" s="9"/>
      <c r="AA438" s="9"/>
      <c r="AB438" s="9"/>
      <c r="AC438" s="9"/>
      <c r="AD438" s="9"/>
    </row>
    <row r="439" spans="1:30" ht="43.5">
      <c r="A439" s="3" t="s">
        <v>2507</v>
      </c>
      <c r="B439" s="3" t="s">
        <v>7621</v>
      </c>
      <c r="C439" s="3" t="s">
        <v>7622</v>
      </c>
      <c r="G439" s="9" t="s">
        <v>24</v>
      </c>
      <c r="H439" s="9"/>
      <c r="I439" s="9">
        <v>1</v>
      </c>
      <c r="J439" s="9">
        <v>2</v>
      </c>
      <c r="K439" s="9" t="s">
        <v>12078</v>
      </c>
      <c r="L439" s="9" t="s">
        <v>12119</v>
      </c>
      <c r="M439" s="9"/>
      <c r="N439" s="10"/>
      <c r="O439" s="9" t="s">
        <v>12074</v>
      </c>
      <c r="P439" s="9">
        <v>11843</v>
      </c>
      <c r="Q439" s="9">
        <f t="shared" si="6"/>
        <v>1423.0954097572699</v>
      </c>
      <c r="R439" s="9"/>
      <c r="S439" s="9" t="s">
        <v>12795</v>
      </c>
      <c r="T439" s="9" t="s">
        <v>12795</v>
      </c>
      <c r="U439" s="9"/>
      <c r="V439" s="9"/>
      <c r="W439" s="9"/>
      <c r="X439" s="9"/>
      <c r="Y439" s="9"/>
      <c r="Z439" s="9"/>
      <c r="AA439" s="9"/>
      <c r="AB439" s="9"/>
      <c r="AC439" s="9"/>
      <c r="AD439" s="9"/>
    </row>
    <row r="440" spans="1:30" ht="58">
      <c r="A440" s="3" t="s">
        <v>2531</v>
      </c>
      <c r="B440" s="3" t="s">
        <v>12903</v>
      </c>
      <c r="C440" s="3" t="s">
        <v>12907</v>
      </c>
      <c r="G440" s="9" t="s">
        <v>24</v>
      </c>
      <c r="H440" s="9"/>
      <c r="I440" s="9">
        <v>1</v>
      </c>
      <c r="J440" s="9">
        <v>3</v>
      </c>
      <c r="K440" s="9" t="s">
        <v>12094</v>
      </c>
      <c r="L440" s="9" t="s">
        <v>12079</v>
      </c>
      <c r="M440" s="9"/>
      <c r="N440" s="10"/>
      <c r="O440" s="9"/>
      <c r="P440" s="9">
        <v>1741</v>
      </c>
      <c r="Q440" s="9">
        <f t="shared" si="6"/>
        <v>209.20451814467677</v>
      </c>
      <c r="R440" s="9"/>
      <c r="S440" s="9"/>
      <c r="T440" s="9"/>
      <c r="U440" s="9"/>
      <c r="V440" s="9"/>
      <c r="W440" s="9"/>
      <c r="X440" s="9"/>
      <c r="Y440" s="9"/>
      <c r="Z440" s="9"/>
      <c r="AA440" s="9"/>
      <c r="AB440" s="9"/>
      <c r="AC440" s="9"/>
      <c r="AD440" s="9"/>
    </row>
    <row r="441" spans="1:30" ht="29">
      <c r="A441" s="3" t="s">
        <v>2533</v>
      </c>
      <c r="B441" s="3" t="s">
        <v>7653</v>
      </c>
      <c r="C441" s="3" t="s">
        <v>7652</v>
      </c>
      <c r="G441" s="9" t="s">
        <v>24</v>
      </c>
      <c r="H441" s="9"/>
      <c r="I441" s="9">
        <v>1</v>
      </c>
      <c r="J441" s="9">
        <v>3</v>
      </c>
      <c r="K441" s="9" t="s">
        <v>12078</v>
      </c>
      <c r="L441" s="9" t="s">
        <v>12079</v>
      </c>
      <c r="M441" s="9"/>
      <c r="N441" s="10"/>
      <c r="O441" s="9"/>
      <c r="P441" s="9">
        <v>11843</v>
      </c>
      <c r="Q441" s="9">
        <f t="shared" si="6"/>
        <v>1423.0954097572699</v>
      </c>
      <c r="R441" s="9"/>
      <c r="S441" s="9" t="s">
        <v>12795</v>
      </c>
      <c r="T441" s="9" t="s">
        <v>12795</v>
      </c>
      <c r="U441" s="9"/>
      <c r="V441" s="9"/>
      <c r="W441" s="9"/>
      <c r="X441" s="9"/>
      <c r="Y441" s="9"/>
      <c r="Z441" s="9"/>
      <c r="AA441" s="9"/>
      <c r="AB441" s="9"/>
      <c r="AC441" s="9"/>
      <c r="AD441" s="9"/>
    </row>
    <row r="442" spans="1:30" ht="43.5">
      <c r="A442" s="3" t="s">
        <v>2534</v>
      </c>
      <c r="B442" s="3" t="s">
        <v>7655</v>
      </c>
      <c r="C442" s="3" t="s">
        <v>7654</v>
      </c>
      <c r="G442" s="9" t="s">
        <v>24</v>
      </c>
      <c r="H442" s="9"/>
      <c r="I442" s="9">
        <v>2</v>
      </c>
      <c r="J442" s="9">
        <v>7</v>
      </c>
      <c r="K442" s="9"/>
      <c r="L442" s="9" t="s">
        <v>12079</v>
      </c>
      <c r="M442" s="9"/>
      <c r="N442" s="10"/>
      <c r="O442" s="9"/>
      <c r="P442" s="9">
        <v>635</v>
      </c>
      <c r="Q442" s="9">
        <f t="shared" si="6"/>
        <v>76.303773131458783</v>
      </c>
      <c r="R442" s="9"/>
      <c r="S442" s="9" t="s">
        <v>12795</v>
      </c>
      <c r="T442" s="9" t="s">
        <v>12795</v>
      </c>
      <c r="U442" s="9"/>
      <c r="V442" s="9"/>
      <c r="W442" s="9"/>
      <c r="X442" s="9"/>
      <c r="Y442" s="9"/>
      <c r="Z442" s="9"/>
      <c r="AA442" s="9"/>
      <c r="AB442" s="9"/>
      <c r="AC442" s="9"/>
      <c r="AD442" s="9"/>
    </row>
    <row r="443" spans="1:30" ht="29">
      <c r="A443" s="3" t="s">
        <v>2535</v>
      </c>
      <c r="B443" s="3" t="s">
        <v>7659</v>
      </c>
      <c r="C443" s="3" t="s">
        <v>7658</v>
      </c>
      <c r="G443" s="9" t="s">
        <v>24</v>
      </c>
      <c r="H443" s="9"/>
      <c r="I443" s="9">
        <v>1</v>
      </c>
      <c r="J443" s="9">
        <v>3</v>
      </c>
      <c r="K443" s="9" t="s">
        <v>12094</v>
      </c>
      <c r="L443" s="9" t="s">
        <v>12079</v>
      </c>
      <c r="M443" s="9"/>
      <c r="N443" s="10"/>
      <c r="O443" s="9"/>
      <c r="P443" s="9">
        <v>1496</v>
      </c>
      <c r="Q443" s="9">
        <f t="shared" si="6"/>
        <v>179.76447969238166</v>
      </c>
      <c r="R443" s="9"/>
      <c r="S443" s="9" t="s">
        <v>12795</v>
      </c>
      <c r="T443" s="9" t="s">
        <v>12795</v>
      </c>
      <c r="U443" s="9"/>
      <c r="V443" s="9"/>
      <c r="W443" s="9"/>
      <c r="X443" s="9"/>
      <c r="Y443" s="9"/>
      <c r="Z443" s="9"/>
      <c r="AA443" s="9"/>
      <c r="AB443" s="9"/>
      <c r="AC443" s="9"/>
      <c r="AD443" s="9"/>
    </row>
    <row r="444" spans="1:30" ht="58">
      <c r="A444" s="3" t="s">
        <v>2540</v>
      </c>
      <c r="B444" s="3" t="s">
        <v>7665</v>
      </c>
      <c r="C444" s="3" t="s">
        <v>7664</v>
      </c>
      <c r="G444" s="9" t="s">
        <v>24</v>
      </c>
      <c r="H444" s="9"/>
      <c r="I444" s="9">
        <v>1</v>
      </c>
      <c r="J444" s="9">
        <v>3</v>
      </c>
      <c r="K444" s="9" t="s">
        <v>12078</v>
      </c>
      <c r="L444" s="9" t="s">
        <v>12079</v>
      </c>
      <c r="M444" s="9"/>
      <c r="N444" s="10"/>
      <c r="O444" s="9"/>
      <c r="P444" s="9">
        <v>11843</v>
      </c>
      <c r="Q444" s="9">
        <f t="shared" si="6"/>
        <v>1423.0954097572699</v>
      </c>
      <c r="R444" s="9"/>
      <c r="S444" s="9" t="s">
        <v>12795</v>
      </c>
      <c r="T444" s="9" t="s">
        <v>12795</v>
      </c>
      <c r="U444" s="9"/>
      <c r="V444" s="9"/>
      <c r="W444" s="9"/>
      <c r="X444" s="9"/>
      <c r="Y444" s="9"/>
      <c r="Z444" s="9"/>
      <c r="AA444" s="9"/>
      <c r="AB444" s="9"/>
      <c r="AC444" s="9"/>
      <c r="AD444" s="9"/>
    </row>
    <row r="445" spans="1:30" ht="58">
      <c r="A445" s="3" t="s">
        <v>2554</v>
      </c>
      <c r="B445" s="3" t="s">
        <v>7675</v>
      </c>
      <c r="C445" s="3" t="s">
        <v>7677</v>
      </c>
      <c r="G445" s="9" t="s">
        <v>24</v>
      </c>
      <c r="H445" s="9"/>
      <c r="I445" s="9">
        <v>1</v>
      </c>
      <c r="J445" s="9">
        <v>3</v>
      </c>
      <c r="K445" s="9" t="s">
        <v>12094</v>
      </c>
      <c r="L445" s="9" t="s">
        <v>12079</v>
      </c>
      <c r="M445" s="9"/>
      <c r="N445" s="10"/>
      <c r="O445" s="9"/>
      <c r="P445" s="9">
        <v>1496</v>
      </c>
      <c r="Q445" s="9">
        <f t="shared" si="6"/>
        <v>179.76447969238166</v>
      </c>
      <c r="R445" s="9"/>
      <c r="S445" s="9" t="s">
        <v>12795</v>
      </c>
      <c r="T445" s="9" t="s">
        <v>12795</v>
      </c>
      <c r="U445" s="9"/>
      <c r="V445" s="9"/>
      <c r="W445" s="9"/>
      <c r="X445" s="9"/>
      <c r="Y445" s="9"/>
      <c r="Z445" s="9"/>
      <c r="AA445" s="9"/>
      <c r="AB445" s="9"/>
      <c r="AC445" s="9"/>
      <c r="AD445" s="9"/>
    </row>
    <row r="446" spans="1:30" ht="29">
      <c r="A446" s="3" t="s">
        <v>2557</v>
      </c>
      <c r="B446" s="3" t="s">
        <v>7623</v>
      </c>
      <c r="C446" s="3" t="s">
        <v>7680</v>
      </c>
      <c r="G446" s="9" t="s">
        <v>25</v>
      </c>
      <c r="H446" s="9"/>
      <c r="I446" s="9">
        <v>1</v>
      </c>
      <c r="J446" s="9">
        <v>2</v>
      </c>
      <c r="K446" s="9" t="s">
        <v>12087</v>
      </c>
      <c r="L446" s="9" t="s">
        <v>12119</v>
      </c>
      <c r="M446" s="9"/>
      <c r="N446" s="10"/>
      <c r="O446" s="9"/>
      <c r="P446" s="9">
        <v>1966</v>
      </c>
      <c r="Q446" s="9">
        <f t="shared" si="6"/>
        <v>236.24128815188658</v>
      </c>
      <c r="R446" s="9"/>
      <c r="S446" s="9" t="s">
        <v>12795</v>
      </c>
      <c r="T446" s="9" t="s">
        <v>12795</v>
      </c>
      <c r="U446" s="9"/>
      <c r="V446" s="9"/>
      <c r="W446" s="9"/>
      <c r="X446" s="9"/>
      <c r="Y446" s="9"/>
      <c r="Z446" s="9"/>
      <c r="AA446" s="9"/>
      <c r="AB446" s="9"/>
      <c r="AC446" s="9"/>
      <c r="AD446" s="9"/>
    </row>
    <row r="447" spans="1:30" ht="43.5">
      <c r="A447" s="3" t="s">
        <v>2560</v>
      </c>
      <c r="B447" s="3" t="s">
        <v>7685</v>
      </c>
      <c r="C447" s="3" t="s">
        <v>7688</v>
      </c>
      <c r="G447" s="9" t="s">
        <v>24</v>
      </c>
      <c r="H447" s="9"/>
      <c r="I447" s="9">
        <v>1</v>
      </c>
      <c r="J447" s="9">
        <v>2</v>
      </c>
      <c r="K447" s="9" t="s">
        <v>12096</v>
      </c>
      <c r="L447" s="9" t="s">
        <v>12119</v>
      </c>
      <c r="M447" s="9"/>
      <c r="N447" s="10"/>
      <c r="O447" s="9"/>
      <c r="P447" s="9">
        <v>444</v>
      </c>
      <c r="Q447" s="9">
        <f t="shared" si="6"/>
        <v>53.352559480894016</v>
      </c>
      <c r="R447" s="9"/>
      <c r="S447" s="9" t="s">
        <v>12795</v>
      </c>
      <c r="T447" s="9" t="s">
        <v>12795</v>
      </c>
      <c r="U447" s="9"/>
      <c r="V447" s="9"/>
      <c r="W447" s="9"/>
      <c r="X447" s="9"/>
      <c r="Y447" s="9"/>
      <c r="Z447" s="9"/>
      <c r="AA447" s="9"/>
      <c r="AB447" s="9"/>
      <c r="AC447" s="9"/>
      <c r="AD447" s="9"/>
    </row>
    <row r="448" spans="1:30" ht="43.5">
      <c r="A448" s="3" t="s">
        <v>2561</v>
      </c>
      <c r="B448" s="3" t="s">
        <v>7690</v>
      </c>
      <c r="C448" s="3" t="s">
        <v>7689</v>
      </c>
      <c r="G448" s="9" t="s">
        <v>25</v>
      </c>
      <c r="H448" s="9"/>
      <c r="I448" s="9">
        <v>1</v>
      </c>
      <c r="J448" s="9">
        <v>3</v>
      </c>
      <c r="K448" s="9" t="s">
        <v>12087</v>
      </c>
      <c r="L448" s="9" t="s">
        <v>12079</v>
      </c>
      <c r="M448" s="9"/>
      <c r="N448" s="10"/>
      <c r="O448" s="9"/>
      <c r="P448" s="9">
        <v>5676</v>
      </c>
      <c r="Q448" s="9">
        <f t="shared" si="6"/>
        <v>682.04758471521268</v>
      </c>
      <c r="R448" s="9"/>
      <c r="S448" s="9" t="s">
        <v>12795</v>
      </c>
      <c r="T448" s="9" t="s">
        <v>12795</v>
      </c>
      <c r="U448" s="9"/>
      <c r="V448" s="9"/>
      <c r="W448" s="9"/>
      <c r="X448" s="9"/>
      <c r="Y448" s="9"/>
      <c r="Z448" s="9"/>
      <c r="AA448" s="9"/>
      <c r="AB448" s="9"/>
      <c r="AC448" s="9"/>
      <c r="AD448" s="9"/>
    </row>
    <row r="449" spans="1:30" ht="43.5">
      <c r="A449" s="3" t="s">
        <v>2562</v>
      </c>
      <c r="B449" s="3" t="s">
        <v>7691</v>
      </c>
      <c r="C449" s="3" t="s">
        <v>7692</v>
      </c>
      <c r="G449" s="9" t="s">
        <v>25</v>
      </c>
      <c r="H449" s="9"/>
      <c r="I449" s="9">
        <v>1</v>
      </c>
      <c r="J449" s="9">
        <v>1</v>
      </c>
      <c r="K449" s="9" t="s">
        <v>12078</v>
      </c>
      <c r="L449" s="9" t="s">
        <v>12119</v>
      </c>
      <c r="M449" s="9"/>
      <c r="N449" s="10"/>
      <c r="O449" s="9"/>
      <c r="P449" s="9">
        <v>11843</v>
      </c>
      <c r="Q449" s="9">
        <f t="shared" si="6"/>
        <v>1423.0954097572699</v>
      </c>
      <c r="R449" s="9"/>
      <c r="S449" s="9" t="s">
        <v>12795</v>
      </c>
      <c r="T449" s="9" t="s">
        <v>12795</v>
      </c>
      <c r="U449" s="9"/>
      <c r="V449" s="9"/>
      <c r="W449" s="9"/>
      <c r="X449" s="9"/>
      <c r="Y449" s="9"/>
      <c r="Z449" s="9"/>
      <c r="AA449" s="9"/>
      <c r="AB449" s="9"/>
      <c r="AC449" s="9"/>
      <c r="AD449" s="9"/>
    </row>
    <row r="450" spans="1:30" ht="87">
      <c r="A450" s="3" t="s">
        <v>2562</v>
      </c>
      <c r="B450" s="3" t="s">
        <v>7693</v>
      </c>
      <c r="C450" s="3" t="s">
        <v>7694</v>
      </c>
      <c r="G450" s="9" t="s">
        <v>24</v>
      </c>
      <c r="H450" s="9"/>
      <c r="I450" s="9">
        <v>1</v>
      </c>
      <c r="J450" s="9">
        <v>3</v>
      </c>
      <c r="K450" s="9" t="s">
        <v>12084</v>
      </c>
      <c r="L450" s="9" t="s">
        <v>12079</v>
      </c>
      <c r="M450" s="9"/>
      <c r="N450" s="10"/>
      <c r="O450" s="9"/>
      <c r="P450" s="9">
        <v>50</v>
      </c>
      <c r="Q450" s="9">
        <f t="shared" ref="Q450:Q513" si="7">IF(ISNUMBER(P450), (P450/$F$988)*10000, "")</f>
        <v>6.0081711127132902</v>
      </c>
      <c r="R450" s="9"/>
      <c r="S450" s="9" t="s">
        <v>12795</v>
      </c>
      <c r="T450" s="9" t="s">
        <v>12795</v>
      </c>
      <c r="U450" s="9"/>
      <c r="V450" s="9"/>
      <c r="W450" s="9"/>
      <c r="X450" s="9"/>
      <c r="Y450" s="9"/>
      <c r="Z450" s="9"/>
      <c r="AA450" s="9"/>
      <c r="AB450" s="9"/>
      <c r="AC450" s="9"/>
      <c r="AD450" s="9"/>
    </row>
    <row r="451" spans="1:30" ht="29">
      <c r="A451" s="3" t="s">
        <v>2565</v>
      </c>
      <c r="B451" s="3" t="s">
        <v>7699</v>
      </c>
      <c r="C451" s="3" t="s">
        <v>7700</v>
      </c>
      <c r="G451" s="9" t="s">
        <v>25</v>
      </c>
      <c r="H451" s="9"/>
      <c r="I451" s="9">
        <v>1</v>
      </c>
      <c r="J451" s="9">
        <v>3</v>
      </c>
      <c r="K451" s="9" t="s">
        <v>12078</v>
      </c>
      <c r="L451" s="9" t="s">
        <v>12079</v>
      </c>
      <c r="M451" s="9"/>
      <c r="N451" s="10"/>
      <c r="O451" s="9"/>
      <c r="P451" s="9">
        <v>11843</v>
      </c>
      <c r="Q451" s="9">
        <f t="shared" si="7"/>
        <v>1423.0954097572699</v>
      </c>
      <c r="R451" s="9"/>
      <c r="S451" s="9" t="s">
        <v>12795</v>
      </c>
      <c r="T451" s="9" t="s">
        <v>12795</v>
      </c>
      <c r="U451" s="9"/>
      <c r="V451" s="9"/>
      <c r="W451" s="9"/>
      <c r="X451" s="9"/>
      <c r="Y451" s="9"/>
      <c r="Z451" s="9"/>
      <c r="AA451" s="9"/>
      <c r="AB451" s="9"/>
      <c r="AC451" s="9"/>
      <c r="AD451" s="9"/>
    </row>
    <row r="452" spans="1:30" ht="29">
      <c r="A452" s="3" t="s">
        <v>2570</v>
      </c>
      <c r="B452" s="3" t="s">
        <v>7705</v>
      </c>
      <c r="C452" s="3" t="s">
        <v>7704</v>
      </c>
      <c r="G452" s="9" t="s">
        <v>24</v>
      </c>
      <c r="H452" s="9"/>
      <c r="I452" s="9">
        <v>1</v>
      </c>
      <c r="J452" s="9">
        <v>2</v>
      </c>
      <c r="K452" s="9" t="s">
        <v>12087</v>
      </c>
      <c r="L452" s="9" t="s">
        <v>12119</v>
      </c>
      <c r="M452" s="9"/>
      <c r="N452" s="10"/>
      <c r="O452" s="9"/>
      <c r="P452" s="9">
        <v>1966</v>
      </c>
      <c r="Q452" s="9">
        <f t="shared" si="7"/>
        <v>236.24128815188658</v>
      </c>
      <c r="R452" s="9"/>
      <c r="S452" s="9" t="s">
        <v>12795</v>
      </c>
      <c r="T452" s="9" t="s">
        <v>12795</v>
      </c>
      <c r="U452" s="9"/>
      <c r="V452" s="9"/>
      <c r="W452" s="9"/>
      <c r="X452" s="9"/>
      <c r="Y452" s="9"/>
      <c r="Z452" s="9"/>
      <c r="AA452" s="9"/>
      <c r="AB452" s="9"/>
      <c r="AC452" s="9"/>
      <c r="AD452" s="9"/>
    </row>
    <row r="453" spans="1:30" ht="58">
      <c r="A453" s="3" t="s">
        <v>2584</v>
      </c>
      <c r="B453" s="3" t="s">
        <v>7712</v>
      </c>
      <c r="C453" s="3" t="s">
        <v>7713</v>
      </c>
      <c r="G453" s="9" t="s">
        <v>25</v>
      </c>
      <c r="H453" s="9"/>
      <c r="I453" s="9">
        <v>1</v>
      </c>
      <c r="J453" s="9">
        <v>3</v>
      </c>
      <c r="K453" s="9" t="s">
        <v>12078</v>
      </c>
      <c r="L453" s="9" t="s">
        <v>12119</v>
      </c>
      <c r="M453" s="9"/>
      <c r="N453" s="10"/>
      <c r="O453" s="9"/>
      <c r="P453" s="9">
        <v>11843</v>
      </c>
      <c r="Q453" s="9">
        <f t="shared" si="7"/>
        <v>1423.0954097572699</v>
      </c>
      <c r="R453" s="9"/>
      <c r="S453" s="9" t="s">
        <v>12795</v>
      </c>
      <c r="T453" s="9" t="s">
        <v>12795</v>
      </c>
      <c r="U453" s="9"/>
      <c r="V453" s="9"/>
      <c r="W453" s="9"/>
      <c r="X453" s="9"/>
      <c r="Y453" s="9"/>
      <c r="Z453" s="9"/>
      <c r="AA453" s="9"/>
      <c r="AB453" s="9"/>
      <c r="AC453" s="9"/>
      <c r="AD453" s="9"/>
    </row>
    <row r="454" spans="1:30" ht="58">
      <c r="A454" s="3" t="s">
        <v>2606</v>
      </c>
      <c r="B454" s="3" t="s">
        <v>7740</v>
      </c>
      <c r="C454" s="3" t="s">
        <v>7741</v>
      </c>
      <c r="G454" s="9" t="s">
        <v>25</v>
      </c>
      <c r="H454" s="9"/>
      <c r="I454" s="9">
        <v>1</v>
      </c>
      <c r="J454" s="9">
        <v>3</v>
      </c>
      <c r="K454" s="9" t="s">
        <v>12078</v>
      </c>
      <c r="L454" s="9" t="s">
        <v>12073</v>
      </c>
      <c r="M454" s="9" t="s">
        <v>12149</v>
      </c>
      <c r="N454" s="10" t="s">
        <v>12143</v>
      </c>
      <c r="O454" s="9"/>
      <c r="P454" s="9">
        <v>11843</v>
      </c>
      <c r="Q454" s="9">
        <f t="shared" si="7"/>
        <v>1423.0954097572699</v>
      </c>
      <c r="R454" s="9"/>
      <c r="S454" s="9" t="s">
        <v>12795</v>
      </c>
      <c r="T454" s="9" t="s">
        <v>12795</v>
      </c>
      <c r="U454" s="9"/>
      <c r="V454" s="9"/>
      <c r="W454" s="9"/>
      <c r="X454" s="9"/>
      <c r="Y454" s="9"/>
      <c r="Z454" s="9"/>
      <c r="AA454" s="9"/>
      <c r="AB454" s="9"/>
      <c r="AC454" s="9"/>
      <c r="AD454" s="9"/>
    </row>
    <row r="455" spans="1:30" ht="29">
      <c r="A455" s="3" t="s">
        <v>2607</v>
      </c>
      <c r="B455" s="3" t="s">
        <v>7746</v>
      </c>
      <c r="C455" s="3" t="s">
        <v>7745</v>
      </c>
      <c r="G455" s="9" t="s">
        <v>25</v>
      </c>
      <c r="H455" s="9"/>
      <c r="I455" s="9">
        <v>1</v>
      </c>
      <c r="J455" s="9">
        <v>3</v>
      </c>
      <c r="K455" s="9" t="s">
        <v>12087</v>
      </c>
      <c r="L455" s="9" t="s">
        <v>12079</v>
      </c>
      <c r="M455" s="9"/>
      <c r="N455" s="10"/>
      <c r="O455" s="9"/>
      <c r="P455" s="9">
        <v>5676</v>
      </c>
      <c r="Q455" s="9">
        <f t="shared" si="7"/>
        <v>682.04758471521268</v>
      </c>
      <c r="R455" s="9"/>
      <c r="S455" s="9" t="s">
        <v>12795</v>
      </c>
      <c r="T455" s="9" t="s">
        <v>12795</v>
      </c>
      <c r="U455" s="9"/>
      <c r="V455" s="9"/>
      <c r="W455" s="9"/>
      <c r="X455" s="9"/>
      <c r="Y455" s="9"/>
      <c r="Z455" s="9"/>
      <c r="AA455" s="9"/>
      <c r="AB455" s="9"/>
      <c r="AC455" s="9"/>
      <c r="AD455" s="9"/>
    </row>
    <row r="456" spans="1:30" ht="116">
      <c r="A456" s="3" t="s">
        <v>2618</v>
      </c>
      <c r="B456" s="3" t="s">
        <v>7757</v>
      </c>
      <c r="C456" s="3" t="s">
        <v>7758</v>
      </c>
      <c r="G456" s="9" t="s">
        <v>24</v>
      </c>
      <c r="H456" s="9"/>
      <c r="I456" s="9">
        <v>1</v>
      </c>
      <c r="J456" s="9">
        <v>8</v>
      </c>
      <c r="K456" s="9" t="s">
        <v>12125</v>
      </c>
      <c r="L456" s="9" t="s">
        <v>12073</v>
      </c>
      <c r="M456" s="9" t="s">
        <v>12142</v>
      </c>
      <c r="N456" s="10" t="s">
        <v>12199</v>
      </c>
      <c r="O456" s="9" t="s">
        <v>12074</v>
      </c>
      <c r="P456" s="9">
        <v>72</v>
      </c>
      <c r="Q456" s="9">
        <f t="shared" si="7"/>
        <v>8.6517664023071372</v>
      </c>
      <c r="R456" s="9"/>
      <c r="S456" s="9" t="s">
        <v>12795</v>
      </c>
      <c r="T456" s="9" t="s">
        <v>12795</v>
      </c>
      <c r="U456" s="9"/>
      <c r="V456" s="9"/>
      <c r="W456" s="9"/>
      <c r="X456" s="9"/>
      <c r="Y456" s="9"/>
      <c r="Z456" s="9"/>
      <c r="AA456" s="9"/>
      <c r="AB456" s="9"/>
      <c r="AC456" s="9"/>
      <c r="AD456" s="9"/>
    </row>
    <row r="457" spans="1:30" ht="43.5">
      <c r="A457" s="3" t="s">
        <v>2619</v>
      </c>
      <c r="B457" s="3" t="s">
        <v>7760</v>
      </c>
      <c r="C457" s="3" t="s">
        <v>7761</v>
      </c>
      <c r="G457" s="9" t="s">
        <v>25</v>
      </c>
      <c r="H457" s="9"/>
      <c r="I457" s="9">
        <v>1</v>
      </c>
      <c r="J457" s="9">
        <v>5</v>
      </c>
      <c r="K457" s="9" t="s">
        <v>12094</v>
      </c>
      <c r="L457" s="9" t="s">
        <v>12079</v>
      </c>
      <c r="M457" s="9"/>
      <c r="N457" s="10"/>
      <c r="O457" s="9"/>
      <c r="P457" s="9">
        <v>1741</v>
      </c>
      <c r="Q457" s="9">
        <f t="shared" si="7"/>
        <v>209.20451814467677</v>
      </c>
      <c r="R457" s="9"/>
      <c r="S457" s="9" t="s">
        <v>12795</v>
      </c>
      <c r="T457" s="9" t="s">
        <v>12795</v>
      </c>
      <c r="U457" s="9"/>
      <c r="V457" s="9"/>
      <c r="W457" s="9"/>
      <c r="X457" s="9"/>
      <c r="Y457" s="9"/>
      <c r="Z457" s="9"/>
      <c r="AA457" s="9"/>
      <c r="AB457" s="9"/>
      <c r="AC457" s="9"/>
      <c r="AD457" s="9"/>
    </row>
    <row r="458" spans="1:30" ht="29">
      <c r="A458" s="3" t="s">
        <v>2620</v>
      </c>
      <c r="B458" s="3" t="s">
        <v>7762</v>
      </c>
      <c r="C458" s="3" t="s">
        <v>7763</v>
      </c>
      <c r="G458" s="9" t="s">
        <v>25</v>
      </c>
      <c r="H458" s="9"/>
      <c r="I458" s="9">
        <v>1</v>
      </c>
      <c r="J458" s="9">
        <v>3</v>
      </c>
      <c r="K458" s="9" t="s">
        <v>12087</v>
      </c>
      <c r="L458" s="9" t="s">
        <v>12079</v>
      </c>
      <c r="M458" s="9"/>
      <c r="N458" s="10"/>
      <c r="O458" s="9"/>
      <c r="P458" s="9">
        <v>810</v>
      </c>
      <c r="Q458" s="9">
        <f t="shared" si="7"/>
        <v>97.332372025955294</v>
      </c>
      <c r="R458" s="9"/>
      <c r="S458" s="9" t="s">
        <v>12795</v>
      </c>
      <c r="T458" s="9" t="s">
        <v>12795</v>
      </c>
      <c r="U458" s="9"/>
      <c r="V458" s="9"/>
      <c r="W458" s="9"/>
      <c r="X458" s="9"/>
      <c r="Y458" s="9"/>
      <c r="Z458" s="9"/>
      <c r="AA458" s="9"/>
      <c r="AB458" s="9"/>
      <c r="AC458" s="9"/>
      <c r="AD458" s="9"/>
    </row>
    <row r="459" spans="1:30" ht="29">
      <c r="A459" s="3" t="s">
        <v>2621</v>
      </c>
      <c r="B459" s="3" t="s">
        <v>7765</v>
      </c>
      <c r="C459" s="3" t="s">
        <v>7764</v>
      </c>
      <c r="G459" s="9" t="s">
        <v>25</v>
      </c>
      <c r="H459" s="9"/>
      <c r="I459" s="9">
        <v>1</v>
      </c>
      <c r="J459" s="9">
        <v>2</v>
      </c>
      <c r="K459" s="9" t="s">
        <v>12078</v>
      </c>
      <c r="L459" s="9" t="s">
        <v>12119</v>
      </c>
      <c r="M459" s="9"/>
      <c r="N459" s="10"/>
      <c r="O459" s="9"/>
      <c r="P459" s="9">
        <v>11843</v>
      </c>
      <c r="Q459" s="9">
        <f t="shared" si="7"/>
        <v>1423.0954097572699</v>
      </c>
      <c r="R459" s="9"/>
      <c r="S459" s="9" t="s">
        <v>12795</v>
      </c>
      <c r="T459" s="9" t="s">
        <v>12795</v>
      </c>
      <c r="U459" s="9"/>
      <c r="V459" s="9"/>
      <c r="W459" s="9"/>
      <c r="X459" s="9"/>
      <c r="Y459" s="9"/>
      <c r="Z459" s="9"/>
      <c r="AA459" s="9"/>
      <c r="AB459" s="9"/>
      <c r="AC459" s="9"/>
      <c r="AD459" s="9"/>
    </row>
    <row r="460" spans="1:30" ht="58">
      <c r="A460" s="3" t="s">
        <v>2627</v>
      </c>
      <c r="B460" s="3" t="s">
        <v>7771</v>
      </c>
      <c r="C460" s="3" t="s">
        <v>7770</v>
      </c>
      <c r="G460" s="9" t="s">
        <v>25</v>
      </c>
      <c r="H460" s="9"/>
      <c r="I460" s="9">
        <v>1</v>
      </c>
      <c r="J460" s="9">
        <v>4</v>
      </c>
      <c r="K460" s="9" t="s">
        <v>12125</v>
      </c>
      <c r="L460" s="9" t="s">
        <v>12079</v>
      </c>
      <c r="M460" s="9"/>
      <c r="N460" s="10"/>
      <c r="O460" s="9"/>
      <c r="P460" s="9">
        <v>2042</v>
      </c>
      <c r="Q460" s="9">
        <f t="shared" si="7"/>
        <v>245.37370824321076</v>
      </c>
      <c r="R460" s="9"/>
      <c r="S460" s="9" t="s">
        <v>12795</v>
      </c>
      <c r="T460" s="9" t="s">
        <v>12795</v>
      </c>
      <c r="U460" s="9"/>
      <c r="V460" s="9"/>
      <c r="W460" s="9"/>
      <c r="X460" s="9"/>
      <c r="Y460" s="9"/>
      <c r="Z460" s="9"/>
      <c r="AA460" s="9"/>
      <c r="AB460" s="9"/>
      <c r="AC460" s="9"/>
      <c r="AD460" s="9"/>
    </row>
    <row r="461" spans="1:30" ht="43.5">
      <c r="A461" s="3" t="s">
        <v>2629</v>
      </c>
      <c r="B461" s="3" t="s">
        <v>7773</v>
      </c>
      <c r="C461" s="3" t="s">
        <v>7772</v>
      </c>
      <c r="G461" s="9" t="s">
        <v>25</v>
      </c>
      <c r="H461" s="9"/>
      <c r="I461" s="9">
        <v>1</v>
      </c>
      <c r="J461" s="9">
        <v>3</v>
      </c>
      <c r="K461" s="9" t="s">
        <v>12078</v>
      </c>
      <c r="L461" s="9" t="s">
        <v>12079</v>
      </c>
      <c r="M461" s="9"/>
      <c r="N461" s="10"/>
      <c r="O461" s="9"/>
      <c r="P461" s="9">
        <v>11843</v>
      </c>
      <c r="Q461" s="9">
        <f t="shared" si="7"/>
        <v>1423.0954097572699</v>
      </c>
      <c r="R461" s="9"/>
      <c r="S461" s="9" t="s">
        <v>12795</v>
      </c>
      <c r="T461" s="9" t="s">
        <v>12795</v>
      </c>
      <c r="U461" s="9"/>
      <c r="V461" s="9"/>
      <c r="W461" s="9"/>
      <c r="X461" s="9"/>
      <c r="Y461" s="9"/>
      <c r="Z461" s="9"/>
      <c r="AA461" s="9"/>
      <c r="AB461" s="9"/>
      <c r="AC461" s="9"/>
      <c r="AD461" s="9"/>
    </row>
    <row r="462" spans="1:30" ht="43.5">
      <c r="A462" s="3" t="s">
        <v>2629</v>
      </c>
      <c r="B462" s="3" t="s">
        <v>7774</v>
      </c>
      <c r="C462" s="3" t="s">
        <v>7775</v>
      </c>
      <c r="G462" s="9" t="s">
        <v>25</v>
      </c>
      <c r="H462" s="9"/>
      <c r="I462" s="9">
        <v>1</v>
      </c>
      <c r="J462" s="9">
        <v>4</v>
      </c>
      <c r="K462" s="9" t="s">
        <v>12087</v>
      </c>
      <c r="L462" s="9" t="s">
        <v>12079</v>
      </c>
      <c r="M462" s="9"/>
      <c r="N462" s="10"/>
      <c r="O462" s="9"/>
      <c r="P462" s="9">
        <v>37</v>
      </c>
      <c r="Q462" s="9">
        <f t="shared" si="7"/>
        <v>4.4460466234078346</v>
      </c>
      <c r="R462" s="9"/>
      <c r="S462" s="9" t="s">
        <v>12795</v>
      </c>
      <c r="T462" s="9" t="s">
        <v>12795</v>
      </c>
      <c r="U462" s="9"/>
      <c r="V462" s="9"/>
      <c r="W462" s="9"/>
      <c r="X462" s="9"/>
      <c r="Y462" s="9"/>
      <c r="Z462" s="9"/>
      <c r="AA462" s="9"/>
      <c r="AB462" s="9"/>
      <c r="AC462" s="9"/>
      <c r="AD462" s="9"/>
    </row>
    <row r="463" spans="1:30" ht="43.5">
      <c r="A463" s="3" t="s">
        <v>2633</v>
      </c>
      <c r="B463" s="3" t="s">
        <v>7776</v>
      </c>
      <c r="C463" s="3" t="s">
        <v>7777</v>
      </c>
      <c r="G463" s="9" t="s">
        <v>25</v>
      </c>
      <c r="H463" s="9"/>
      <c r="I463" s="9">
        <v>1</v>
      </c>
      <c r="J463" s="9">
        <v>2</v>
      </c>
      <c r="K463" s="9" t="s">
        <v>12094</v>
      </c>
      <c r="L463" s="9" t="s">
        <v>12119</v>
      </c>
      <c r="M463" s="9"/>
      <c r="N463" s="10"/>
      <c r="O463" s="9"/>
      <c r="P463" s="9">
        <v>412</v>
      </c>
      <c r="Q463" s="9">
        <f t="shared" si="7"/>
        <v>49.507329968757517</v>
      </c>
      <c r="R463" s="9"/>
      <c r="S463" s="9" t="s">
        <v>12795</v>
      </c>
      <c r="T463" s="9" t="s">
        <v>12795</v>
      </c>
      <c r="U463" s="9"/>
      <c r="V463" s="9"/>
      <c r="W463" s="9"/>
      <c r="X463" s="9"/>
      <c r="Y463" s="9"/>
      <c r="Z463" s="9"/>
      <c r="AA463" s="9"/>
      <c r="AB463" s="9"/>
      <c r="AC463" s="9"/>
      <c r="AD463" s="9"/>
    </row>
    <row r="464" spans="1:30" ht="29">
      <c r="A464" s="3" t="s">
        <v>2649</v>
      </c>
      <c r="B464" s="3" t="s">
        <v>7788</v>
      </c>
      <c r="C464" s="3" t="s">
        <v>7787</v>
      </c>
      <c r="G464" s="9" t="s">
        <v>25</v>
      </c>
      <c r="H464" s="9"/>
      <c r="I464" s="9">
        <v>1</v>
      </c>
      <c r="J464" s="9">
        <v>2</v>
      </c>
      <c r="K464" s="9" t="s">
        <v>12078</v>
      </c>
      <c r="L464" s="9" t="s">
        <v>12119</v>
      </c>
      <c r="M464" s="9"/>
      <c r="N464" s="10"/>
      <c r="O464" s="9"/>
      <c r="P464" s="9">
        <v>11843</v>
      </c>
      <c r="Q464" s="9">
        <f t="shared" si="7"/>
        <v>1423.0954097572699</v>
      </c>
      <c r="R464" s="9"/>
      <c r="S464" s="9" t="s">
        <v>12795</v>
      </c>
      <c r="T464" s="9" t="s">
        <v>12795</v>
      </c>
      <c r="U464" s="9"/>
      <c r="V464" s="9"/>
      <c r="W464" s="9"/>
      <c r="X464" s="9"/>
      <c r="Y464" s="9"/>
      <c r="Z464" s="9"/>
      <c r="AA464" s="9"/>
      <c r="AB464" s="9"/>
      <c r="AC464" s="9"/>
      <c r="AD464" s="9"/>
    </row>
    <row r="465" spans="1:30" ht="58">
      <c r="A465" s="3" t="s">
        <v>2654</v>
      </c>
      <c r="B465" s="3" t="s">
        <v>7797</v>
      </c>
      <c r="C465" s="3" t="s">
        <v>13040</v>
      </c>
      <c r="G465" s="9" t="s">
        <v>24</v>
      </c>
      <c r="H465" s="9"/>
      <c r="I465" s="9">
        <v>1</v>
      </c>
      <c r="J465" s="9">
        <v>3</v>
      </c>
      <c r="K465" s="9" t="s">
        <v>12087</v>
      </c>
      <c r="L465" s="9" t="s">
        <v>12079</v>
      </c>
      <c r="M465" s="9"/>
      <c r="N465" s="10"/>
      <c r="O465" s="9"/>
      <c r="P465" s="9">
        <v>5676</v>
      </c>
      <c r="Q465" s="9">
        <f t="shared" si="7"/>
        <v>682.04758471521268</v>
      </c>
      <c r="R465" s="9"/>
      <c r="S465" s="9" t="s">
        <v>12795</v>
      </c>
      <c r="T465" s="9" t="s">
        <v>12795</v>
      </c>
      <c r="U465" s="9"/>
      <c r="V465" s="9"/>
      <c r="W465" s="9"/>
      <c r="X465" s="9"/>
      <c r="Y465" s="9"/>
      <c r="Z465" s="9"/>
      <c r="AA465" s="9"/>
      <c r="AB465" s="9"/>
      <c r="AC465" s="9"/>
      <c r="AD465" s="9"/>
    </row>
    <row r="466" spans="1:30" ht="29">
      <c r="A466" s="3" t="s">
        <v>2655</v>
      </c>
      <c r="B466" s="3" t="s">
        <v>12909</v>
      </c>
      <c r="C466" s="3" t="s">
        <v>7798</v>
      </c>
      <c r="G466" s="9" t="s">
        <v>25</v>
      </c>
      <c r="H466" s="9"/>
      <c r="I466" s="9">
        <v>1</v>
      </c>
      <c r="J466" s="9">
        <v>5</v>
      </c>
      <c r="K466" s="9" t="s">
        <v>12094</v>
      </c>
      <c r="L466" s="9" t="s">
        <v>12079</v>
      </c>
      <c r="M466" s="9"/>
      <c r="N466" s="10"/>
      <c r="O466" s="9"/>
      <c r="P466" s="9">
        <v>4240</v>
      </c>
      <c r="Q466" s="9">
        <f t="shared" si="7"/>
        <v>509.49291035808699</v>
      </c>
      <c r="R466" s="9"/>
      <c r="S466" s="9" t="s">
        <v>12795</v>
      </c>
      <c r="T466" s="9" t="s">
        <v>12795</v>
      </c>
      <c r="U466" s="9"/>
      <c r="V466" s="9"/>
      <c r="W466" s="9"/>
      <c r="X466" s="9"/>
      <c r="Y466" s="9"/>
      <c r="Z466" s="9"/>
      <c r="AA466" s="9"/>
      <c r="AB466" s="9"/>
      <c r="AC466" s="9"/>
      <c r="AD466" s="9"/>
    </row>
    <row r="467" spans="1:30" ht="29">
      <c r="A467" s="3" t="s">
        <v>2658</v>
      </c>
      <c r="B467" s="3" t="s">
        <v>7804</v>
      </c>
      <c r="C467" s="3" t="s">
        <v>7805</v>
      </c>
      <c r="G467" s="9" t="s">
        <v>25</v>
      </c>
      <c r="H467" s="9"/>
      <c r="I467" s="9">
        <v>1</v>
      </c>
      <c r="J467" s="9">
        <v>3</v>
      </c>
      <c r="K467" s="9" t="s">
        <v>12078</v>
      </c>
      <c r="L467" s="9" t="s">
        <v>12079</v>
      </c>
      <c r="M467" s="9"/>
      <c r="N467" s="10"/>
      <c r="O467" s="9"/>
      <c r="P467" s="9">
        <v>11843</v>
      </c>
      <c r="Q467" s="9">
        <f t="shared" si="7"/>
        <v>1423.0954097572699</v>
      </c>
      <c r="R467" s="9"/>
      <c r="S467" s="9" t="s">
        <v>12795</v>
      </c>
      <c r="T467" s="9" t="s">
        <v>12795</v>
      </c>
      <c r="U467" s="9"/>
      <c r="V467" s="9"/>
      <c r="W467" s="9"/>
      <c r="X467" s="9"/>
      <c r="Y467" s="9"/>
      <c r="Z467" s="9"/>
      <c r="AA467" s="9"/>
      <c r="AB467" s="9"/>
      <c r="AC467" s="9"/>
      <c r="AD467" s="9"/>
    </row>
    <row r="468" spans="1:30" ht="58">
      <c r="A468" s="3" t="s">
        <v>2662</v>
      </c>
      <c r="B468" s="3" t="s">
        <v>7807</v>
      </c>
      <c r="C468" s="3" t="s">
        <v>7806</v>
      </c>
      <c r="G468" s="9" t="s">
        <v>25</v>
      </c>
      <c r="H468" s="9"/>
      <c r="I468" s="9">
        <v>1</v>
      </c>
      <c r="J468" s="9">
        <v>4</v>
      </c>
      <c r="K468" s="9" t="s">
        <v>12087</v>
      </c>
      <c r="L468" s="9" t="s">
        <v>12079</v>
      </c>
      <c r="M468" s="9"/>
      <c r="N468" s="10"/>
      <c r="O468" s="9"/>
      <c r="P468" s="9">
        <v>25</v>
      </c>
      <c r="Q468" s="9">
        <f t="shared" si="7"/>
        <v>3.0040855563566451</v>
      </c>
      <c r="R468" s="9"/>
      <c r="S468" s="9" t="s">
        <v>12795</v>
      </c>
      <c r="T468" s="9" t="s">
        <v>12795</v>
      </c>
      <c r="U468" s="9"/>
      <c r="V468" s="9"/>
      <c r="W468" s="9"/>
      <c r="X468" s="9"/>
      <c r="Y468" s="9"/>
      <c r="Z468" s="9"/>
      <c r="AA468" s="9"/>
      <c r="AB468" s="9"/>
      <c r="AC468" s="9"/>
      <c r="AD468" s="9"/>
    </row>
    <row r="469" spans="1:30" ht="58">
      <c r="A469" s="3" t="s">
        <v>2679</v>
      </c>
      <c r="B469" s="3" t="s">
        <v>7814</v>
      </c>
      <c r="C469" s="3" t="s">
        <v>7813</v>
      </c>
      <c r="G469" s="9" t="s">
        <v>24</v>
      </c>
      <c r="H469" s="9"/>
      <c r="I469" s="9">
        <v>1</v>
      </c>
      <c r="J469" s="9">
        <v>6</v>
      </c>
      <c r="K469" s="9" t="s">
        <v>12094</v>
      </c>
      <c r="L469" s="9" t="s">
        <v>12073</v>
      </c>
      <c r="M469" s="9" t="s">
        <v>12149</v>
      </c>
      <c r="N469" s="10" t="s">
        <v>12143</v>
      </c>
      <c r="O469" s="9"/>
      <c r="P469" s="9">
        <v>930</v>
      </c>
      <c r="Q469" s="9">
        <f t="shared" si="7"/>
        <v>111.75198269646719</v>
      </c>
      <c r="R469" s="9"/>
      <c r="S469" s="9" t="s">
        <v>12795</v>
      </c>
      <c r="T469" s="9" t="s">
        <v>12795</v>
      </c>
      <c r="U469" s="9"/>
      <c r="V469" s="9"/>
      <c r="W469" s="9"/>
      <c r="X469" s="9"/>
      <c r="Y469" s="9"/>
      <c r="Z469" s="9"/>
      <c r="AA469" s="9"/>
      <c r="AB469" s="9"/>
      <c r="AC469" s="9"/>
      <c r="AD469" s="9"/>
    </row>
    <row r="470" spans="1:30" ht="43.5">
      <c r="A470" s="3" t="s">
        <v>2684</v>
      </c>
      <c r="B470" s="3" t="s">
        <v>7828</v>
      </c>
      <c r="C470" s="3" t="s">
        <v>7827</v>
      </c>
      <c r="G470" s="9" t="s">
        <v>25</v>
      </c>
      <c r="H470" s="9"/>
      <c r="I470" s="9">
        <v>1</v>
      </c>
      <c r="J470" s="9">
        <v>5</v>
      </c>
      <c r="K470" s="9" t="s">
        <v>12094</v>
      </c>
      <c r="L470" s="9" t="s">
        <v>12079</v>
      </c>
      <c r="M470" s="9"/>
      <c r="N470" s="10"/>
      <c r="O470" s="9"/>
      <c r="P470" s="9">
        <v>4240</v>
      </c>
      <c r="Q470" s="9">
        <f t="shared" si="7"/>
        <v>509.49291035808699</v>
      </c>
      <c r="R470" s="9"/>
      <c r="S470" s="9" t="s">
        <v>12795</v>
      </c>
      <c r="T470" s="9" t="s">
        <v>12795</v>
      </c>
      <c r="U470" s="9"/>
      <c r="V470" s="9"/>
      <c r="W470" s="9"/>
      <c r="X470" s="9"/>
      <c r="Y470" s="9"/>
      <c r="Z470" s="9"/>
      <c r="AA470" s="9"/>
      <c r="AB470" s="9"/>
      <c r="AC470" s="9"/>
      <c r="AD470" s="9"/>
    </row>
    <row r="471" spans="1:30" ht="58">
      <c r="A471" s="3" t="s">
        <v>2685</v>
      </c>
      <c r="B471" s="3" t="s">
        <v>7830</v>
      </c>
      <c r="C471" s="3" t="s">
        <v>7829</v>
      </c>
      <c r="G471" s="9" t="s">
        <v>25</v>
      </c>
      <c r="H471" s="9"/>
      <c r="I471" s="9">
        <v>1</v>
      </c>
      <c r="J471" s="9">
        <v>7</v>
      </c>
      <c r="K471" s="9" t="s">
        <v>12092</v>
      </c>
      <c r="L471" s="9" t="s">
        <v>12073</v>
      </c>
      <c r="M471" s="9" t="s">
        <v>12142</v>
      </c>
      <c r="N471" s="10" t="s">
        <v>12160</v>
      </c>
      <c r="O471" s="9"/>
      <c r="P471" s="9">
        <v>2</v>
      </c>
      <c r="Q471" s="9">
        <f t="shared" si="7"/>
        <v>0.24032684450853162</v>
      </c>
      <c r="R471" s="9"/>
      <c r="S471" s="9" t="s">
        <v>12795</v>
      </c>
      <c r="T471" s="9" t="s">
        <v>12795</v>
      </c>
      <c r="U471" s="9"/>
      <c r="V471" s="9"/>
      <c r="W471" s="9"/>
      <c r="X471" s="9"/>
      <c r="Y471" s="9"/>
      <c r="Z471" s="9"/>
      <c r="AA471" s="9"/>
      <c r="AB471" s="9"/>
      <c r="AC471" s="9"/>
      <c r="AD471" s="9"/>
    </row>
    <row r="472" spans="1:30" ht="43.5">
      <c r="A472" s="3" t="s">
        <v>2686</v>
      </c>
      <c r="B472" s="3" t="s">
        <v>7832</v>
      </c>
      <c r="C472" s="3" t="s">
        <v>7831</v>
      </c>
      <c r="G472" s="9" t="s">
        <v>24</v>
      </c>
      <c r="H472" s="9"/>
      <c r="I472" s="9">
        <v>1</v>
      </c>
      <c r="J472" s="9">
        <v>2</v>
      </c>
      <c r="K472" s="9" t="s">
        <v>12078</v>
      </c>
      <c r="L472" s="9" t="s">
        <v>12119</v>
      </c>
      <c r="M472" s="9"/>
      <c r="N472" s="10"/>
      <c r="O472" s="9"/>
      <c r="P472" s="9">
        <v>11843</v>
      </c>
      <c r="Q472" s="9">
        <f t="shared" si="7"/>
        <v>1423.0954097572699</v>
      </c>
      <c r="R472" s="9"/>
      <c r="S472" s="9" t="s">
        <v>12795</v>
      </c>
      <c r="T472" s="9" t="s">
        <v>12795</v>
      </c>
      <c r="U472" s="9"/>
      <c r="V472" s="9"/>
      <c r="W472" s="9"/>
      <c r="X472" s="9"/>
      <c r="Y472" s="9"/>
      <c r="Z472" s="9"/>
      <c r="AA472" s="9"/>
      <c r="AB472" s="9"/>
      <c r="AC472" s="9"/>
      <c r="AD472" s="9"/>
    </row>
    <row r="473" spans="1:30" ht="58">
      <c r="A473" s="3" t="s">
        <v>2695</v>
      </c>
      <c r="B473" s="3" t="s">
        <v>7843</v>
      </c>
      <c r="C473" s="3" t="s">
        <v>7842</v>
      </c>
      <c r="G473" s="9" t="s">
        <v>24</v>
      </c>
      <c r="H473" s="9"/>
      <c r="I473" s="9">
        <v>1</v>
      </c>
      <c r="J473" s="9">
        <v>4</v>
      </c>
      <c r="K473" s="9" t="s">
        <v>12072</v>
      </c>
      <c r="L473" s="9" t="s">
        <v>12079</v>
      </c>
      <c r="M473" s="9"/>
      <c r="N473" s="10"/>
      <c r="O473" s="9"/>
      <c r="P473" s="9">
        <v>130</v>
      </c>
      <c r="Q473" s="9">
        <f t="shared" si="7"/>
        <v>15.621244893054554</v>
      </c>
      <c r="R473" s="9"/>
      <c r="S473" s="9" t="s">
        <v>12795</v>
      </c>
      <c r="T473" s="9" t="s">
        <v>12795</v>
      </c>
      <c r="U473" s="9"/>
      <c r="V473" s="9"/>
      <c r="W473" s="9"/>
      <c r="X473" s="9"/>
      <c r="Y473" s="9"/>
      <c r="Z473" s="9"/>
      <c r="AA473" s="9"/>
      <c r="AB473" s="9"/>
      <c r="AC473" s="9"/>
      <c r="AD473" s="9"/>
    </row>
    <row r="474" spans="1:30" ht="43.5">
      <c r="A474" s="3" t="s">
        <v>2699</v>
      </c>
      <c r="B474" s="3" t="s">
        <v>7853</v>
      </c>
      <c r="C474" s="3" t="s">
        <v>7852</v>
      </c>
      <c r="G474" s="9" t="s">
        <v>25</v>
      </c>
      <c r="H474" s="9"/>
      <c r="I474" s="9">
        <v>1</v>
      </c>
      <c r="J474" s="9">
        <v>2</v>
      </c>
      <c r="K474" s="9" t="s">
        <v>12092</v>
      </c>
      <c r="L474" s="9" t="s">
        <v>12119</v>
      </c>
      <c r="M474" s="9"/>
      <c r="N474" s="10"/>
      <c r="O474" s="9"/>
      <c r="P474" s="9">
        <v>361</v>
      </c>
      <c r="Q474" s="9">
        <f t="shared" si="7"/>
        <v>43.378995433789953</v>
      </c>
      <c r="R474" s="9"/>
      <c r="S474" s="9" t="s">
        <v>12795</v>
      </c>
      <c r="T474" s="9" t="s">
        <v>12795</v>
      </c>
      <c r="U474" s="9"/>
      <c r="V474" s="9"/>
      <c r="W474" s="9"/>
      <c r="X474" s="9"/>
      <c r="Y474" s="9"/>
      <c r="Z474" s="9"/>
      <c r="AA474" s="9"/>
      <c r="AB474" s="9"/>
      <c r="AC474" s="9"/>
      <c r="AD474" s="9"/>
    </row>
    <row r="475" spans="1:30" ht="29">
      <c r="A475" s="3" t="s">
        <v>2702</v>
      </c>
      <c r="B475" s="3" t="s">
        <v>7854</v>
      </c>
      <c r="C475" s="3" t="s">
        <v>7855</v>
      </c>
      <c r="G475" s="9" t="s">
        <v>25</v>
      </c>
      <c r="H475" s="9"/>
      <c r="I475" s="9">
        <v>1</v>
      </c>
      <c r="J475" s="9">
        <v>2</v>
      </c>
      <c r="K475" s="9" t="s">
        <v>12078</v>
      </c>
      <c r="L475" s="9" t="s">
        <v>12119</v>
      </c>
      <c r="M475" s="9"/>
      <c r="N475" s="10"/>
      <c r="O475" s="9"/>
      <c r="P475" s="9">
        <v>11843</v>
      </c>
      <c r="Q475" s="9">
        <f t="shared" si="7"/>
        <v>1423.0954097572699</v>
      </c>
      <c r="R475" s="9"/>
      <c r="S475" s="9" t="s">
        <v>12795</v>
      </c>
      <c r="T475" s="9" t="s">
        <v>12795</v>
      </c>
      <c r="U475" s="9" t="s">
        <v>12117</v>
      </c>
      <c r="V475" s="9"/>
      <c r="W475" s="9"/>
      <c r="X475" s="9"/>
      <c r="Y475" s="9"/>
      <c r="Z475" s="9"/>
      <c r="AA475" s="9"/>
      <c r="AB475" s="9"/>
      <c r="AC475" s="9"/>
      <c r="AD475" s="9"/>
    </row>
    <row r="476" spans="1:30" ht="232">
      <c r="A476" s="3" t="s">
        <v>2707</v>
      </c>
      <c r="B476" s="3" t="s">
        <v>7859</v>
      </c>
      <c r="C476" s="3" t="s">
        <v>7858</v>
      </c>
      <c r="G476" s="9" t="s">
        <v>25</v>
      </c>
      <c r="H476" s="9"/>
      <c r="I476" s="9">
        <v>13</v>
      </c>
      <c r="J476" s="9">
        <v>65</v>
      </c>
      <c r="K476" s="9"/>
      <c r="L476" s="9" t="s">
        <v>12079</v>
      </c>
      <c r="M476" s="9"/>
      <c r="N476" s="10"/>
      <c r="O476" s="9"/>
      <c r="P476" s="9">
        <v>31</v>
      </c>
      <c r="Q476" s="9">
        <f t="shared" si="7"/>
        <v>3.7250660898822399</v>
      </c>
      <c r="R476" s="9"/>
      <c r="S476" s="9" t="s">
        <v>12795</v>
      </c>
      <c r="T476" s="9" t="s">
        <v>12795</v>
      </c>
      <c r="U476" s="9"/>
      <c r="V476" s="9"/>
      <c r="W476" s="9"/>
      <c r="X476" s="9"/>
      <c r="Y476" s="9"/>
      <c r="Z476" s="9"/>
      <c r="AA476" s="9"/>
      <c r="AB476" s="9"/>
      <c r="AC476" s="9"/>
      <c r="AD476" s="9"/>
    </row>
    <row r="477" spans="1:30" ht="116">
      <c r="A477" s="3" t="s">
        <v>2711</v>
      </c>
      <c r="B477" s="3" t="s">
        <v>7861</v>
      </c>
      <c r="C477" s="3" t="s">
        <v>7860</v>
      </c>
      <c r="G477" s="9" t="s">
        <v>24</v>
      </c>
      <c r="H477" s="9"/>
      <c r="I477" s="9">
        <v>4</v>
      </c>
      <c r="J477" s="9">
        <v>15</v>
      </c>
      <c r="K477" s="9"/>
      <c r="L477" s="9" t="s">
        <v>12073</v>
      </c>
      <c r="M477" s="9" t="s">
        <v>12154</v>
      </c>
      <c r="N477" s="10" t="s">
        <v>12405</v>
      </c>
      <c r="O477" s="9"/>
      <c r="P477" s="9">
        <v>28</v>
      </c>
      <c r="Q477" s="9">
        <f t="shared" si="7"/>
        <v>3.3645758231194423</v>
      </c>
      <c r="R477" s="9"/>
      <c r="S477" s="9" t="s">
        <v>12795</v>
      </c>
      <c r="T477" s="9" t="s">
        <v>12795</v>
      </c>
      <c r="U477" s="9"/>
      <c r="V477" s="9"/>
      <c r="W477" s="9"/>
      <c r="X477" s="9"/>
      <c r="Y477" s="9"/>
      <c r="Z477" s="9"/>
      <c r="AA477" s="9"/>
      <c r="AB477" s="9"/>
      <c r="AC477" s="9"/>
      <c r="AD477" s="9"/>
    </row>
    <row r="478" spans="1:30" ht="43.5">
      <c r="A478" s="3" t="s">
        <v>2727</v>
      </c>
      <c r="B478" s="3" t="s">
        <v>7882</v>
      </c>
      <c r="C478" s="3" t="s">
        <v>7881</v>
      </c>
      <c r="G478" s="9" t="s">
        <v>24</v>
      </c>
      <c r="H478" s="9"/>
      <c r="I478" s="9">
        <v>1</v>
      </c>
      <c r="J478" s="9">
        <v>4</v>
      </c>
      <c r="K478" s="9" t="s">
        <v>12094</v>
      </c>
      <c r="L478" s="9" t="s">
        <v>12079</v>
      </c>
      <c r="M478" s="9"/>
      <c r="N478" s="10"/>
      <c r="O478" s="9"/>
      <c r="P478" s="9">
        <v>4240</v>
      </c>
      <c r="Q478" s="9">
        <f t="shared" si="7"/>
        <v>509.49291035808699</v>
      </c>
      <c r="R478" s="9"/>
      <c r="S478" s="9" t="s">
        <v>12795</v>
      </c>
      <c r="T478" s="9" t="s">
        <v>12795</v>
      </c>
      <c r="U478" s="9"/>
      <c r="V478" s="9"/>
      <c r="W478" s="9"/>
      <c r="X478" s="9"/>
      <c r="Y478" s="9"/>
      <c r="Z478" s="9"/>
      <c r="AA478" s="9"/>
      <c r="AB478" s="9"/>
      <c r="AC478" s="9"/>
      <c r="AD478" s="9"/>
    </row>
    <row r="479" spans="1:30" ht="29">
      <c r="A479" s="3" t="s">
        <v>2728</v>
      </c>
      <c r="B479" s="3" t="s">
        <v>7884</v>
      </c>
      <c r="C479" s="3" t="s">
        <v>7883</v>
      </c>
      <c r="G479" s="9" t="s">
        <v>24</v>
      </c>
      <c r="H479" s="9"/>
      <c r="I479" s="9">
        <v>1</v>
      </c>
      <c r="J479" s="9">
        <v>3</v>
      </c>
      <c r="K479" s="9" t="s">
        <v>12087</v>
      </c>
      <c r="L479" s="9" t="s">
        <v>12079</v>
      </c>
      <c r="M479" s="9"/>
      <c r="N479" s="10"/>
      <c r="O479" s="9"/>
      <c r="P479" s="9">
        <v>5676</v>
      </c>
      <c r="Q479" s="9">
        <f t="shared" si="7"/>
        <v>682.04758471521268</v>
      </c>
      <c r="R479" s="9"/>
      <c r="S479" s="9" t="s">
        <v>12795</v>
      </c>
      <c r="T479" s="9" t="s">
        <v>12795</v>
      </c>
      <c r="U479" s="9"/>
      <c r="V479" s="9"/>
      <c r="W479" s="9"/>
      <c r="X479" s="9"/>
      <c r="Y479" s="9"/>
      <c r="Z479" s="9"/>
      <c r="AA479" s="9"/>
      <c r="AB479" s="9"/>
      <c r="AC479" s="9"/>
      <c r="AD479" s="9"/>
    </row>
    <row r="480" spans="1:30" ht="43.5">
      <c r="A480" s="3" t="s">
        <v>2731</v>
      </c>
      <c r="B480" s="3" t="s">
        <v>7894</v>
      </c>
      <c r="C480" s="3" t="s">
        <v>7893</v>
      </c>
      <c r="G480" s="9" t="s">
        <v>25</v>
      </c>
      <c r="H480" s="9"/>
      <c r="I480" s="9">
        <v>1</v>
      </c>
      <c r="J480" s="9">
        <v>5</v>
      </c>
      <c r="K480" s="9" t="s">
        <v>12094</v>
      </c>
      <c r="L480" s="9" t="s">
        <v>12079</v>
      </c>
      <c r="M480" s="9"/>
      <c r="N480" s="10"/>
      <c r="O480" s="9"/>
      <c r="P480" s="9">
        <v>4240</v>
      </c>
      <c r="Q480" s="9">
        <f t="shared" si="7"/>
        <v>509.49291035808699</v>
      </c>
      <c r="R480" s="9"/>
      <c r="S480" s="9" t="s">
        <v>12795</v>
      </c>
      <c r="T480" s="9" t="s">
        <v>12795</v>
      </c>
      <c r="U480" s="9"/>
      <c r="V480" s="9"/>
      <c r="W480" s="9"/>
      <c r="X480" s="9"/>
      <c r="Y480" s="9"/>
      <c r="Z480" s="9"/>
      <c r="AA480" s="9"/>
      <c r="AB480" s="9"/>
      <c r="AC480" s="9"/>
      <c r="AD480" s="9"/>
    </row>
    <row r="481" spans="1:30" ht="29">
      <c r="A481" s="3" t="s">
        <v>2733</v>
      </c>
      <c r="B481" s="3" t="s">
        <v>7900</v>
      </c>
      <c r="C481" s="3" t="s">
        <v>7899</v>
      </c>
      <c r="G481" s="9" t="s">
        <v>24</v>
      </c>
      <c r="H481" s="9"/>
      <c r="I481" s="9">
        <v>1</v>
      </c>
      <c r="J481" s="9">
        <v>3</v>
      </c>
      <c r="K481" s="9" t="s">
        <v>12087</v>
      </c>
      <c r="L481" s="9" t="s">
        <v>12079</v>
      </c>
      <c r="M481" s="9"/>
      <c r="N481" s="10"/>
      <c r="O481" s="9"/>
      <c r="P481" s="9">
        <v>810</v>
      </c>
      <c r="Q481" s="9">
        <f t="shared" si="7"/>
        <v>97.332372025955294</v>
      </c>
      <c r="R481" s="9"/>
      <c r="S481" s="9" t="s">
        <v>12795</v>
      </c>
      <c r="T481" s="9" t="s">
        <v>12795</v>
      </c>
      <c r="U481" s="9"/>
      <c r="V481" s="9"/>
      <c r="W481" s="9"/>
      <c r="X481" s="9"/>
      <c r="Y481" s="9"/>
      <c r="Z481" s="9"/>
      <c r="AA481" s="9"/>
      <c r="AB481" s="9"/>
      <c r="AC481" s="9"/>
      <c r="AD481" s="9"/>
    </row>
    <row r="482" spans="1:30" ht="43.5">
      <c r="A482" s="3" t="s">
        <v>2738</v>
      </c>
      <c r="B482" s="3" t="s">
        <v>7907</v>
      </c>
      <c r="C482" s="3" t="s">
        <v>7908</v>
      </c>
      <c r="G482" s="9" t="s">
        <v>25</v>
      </c>
      <c r="H482" s="9"/>
      <c r="I482" s="9">
        <v>1</v>
      </c>
      <c r="J482" s="9">
        <v>2</v>
      </c>
      <c r="K482" s="9" t="s">
        <v>12087</v>
      </c>
      <c r="L482" s="9" t="s">
        <v>12079</v>
      </c>
      <c r="M482" s="9"/>
      <c r="N482" s="10"/>
      <c r="O482" s="9"/>
      <c r="P482" s="9">
        <v>166</v>
      </c>
      <c r="Q482" s="9">
        <f t="shared" si="7"/>
        <v>19.947128094208121</v>
      </c>
      <c r="R482" s="9"/>
      <c r="S482" s="9" t="s">
        <v>12795</v>
      </c>
      <c r="T482" s="9" t="s">
        <v>12795</v>
      </c>
      <c r="U482" s="9"/>
      <c r="V482" s="9"/>
      <c r="W482" s="9"/>
      <c r="X482" s="9"/>
      <c r="Y482" s="9"/>
      <c r="Z482" s="9"/>
      <c r="AA482" s="9"/>
      <c r="AB482" s="9"/>
      <c r="AC482" s="9"/>
      <c r="AD482" s="9"/>
    </row>
    <row r="483" spans="1:30" ht="29">
      <c r="A483" s="3" t="s">
        <v>2750</v>
      </c>
      <c r="B483" s="3" t="s">
        <v>7926</v>
      </c>
      <c r="C483" s="3" t="s">
        <v>7925</v>
      </c>
      <c r="G483" s="9" t="s">
        <v>24</v>
      </c>
      <c r="H483" s="9"/>
      <c r="I483" s="9">
        <v>1</v>
      </c>
      <c r="J483" s="9">
        <v>3</v>
      </c>
      <c r="K483" s="9" t="s">
        <v>12078</v>
      </c>
      <c r="L483" s="9" t="s">
        <v>12079</v>
      </c>
      <c r="M483" s="9"/>
      <c r="N483" s="10"/>
      <c r="O483" s="9"/>
      <c r="P483" s="9">
        <v>11843</v>
      </c>
      <c r="Q483" s="9">
        <f t="shared" si="7"/>
        <v>1423.0954097572699</v>
      </c>
      <c r="R483" s="9"/>
      <c r="S483" s="9" t="s">
        <v>12795</v>
      </c>
      <c r="T483" s="9" t="s">
        <v>12795</v>
      </c>
      <c r="U483" s="9"/>
      <c r="V483" s="9"/>
      <c r="W483" s="9"/>
      <c r="X483" s="9"/>
      <c r="Y483" s="9"/>
      <c r="Z483" s="9"/>
      <c r="AA483" s="9"/>
      <c r="AB483" s="9"/>
      <c r="AC483" s="9"/>
      <c r="AD483" s="9"/>
    </row>
    <row r="484" spans="1:30" ht="43.5">
      <c r="A484" s="3" t="s">
        <v>2763</v>
      </c>
      <c r="B484" s="3" t="s">
        <v>7941</v>
      </c>
      <c r="C484" s="3" t="s">
        <v>7940</v>
      </c>
      <c r="G484" s="9" t="s">
        <v>24</v>
      </c>
      <c r="H484" s="9"/>
      <c r="I484" s="9">
        <v>1</v>
      </c>
      <c r="J484" s="9">
        <v>3</v>
      </c>
      <c r="K484" s="9" t="s">
        <v>12087</v>
      </c>
      <c r="L484" s="9" t="s">
        <v>12079</v>
      </c>
      <c r="M484" s="9"/>
      <c r="N484" s="10"/>
      <c r="O484" s="9"/>
      <c r="P484" s="9">
        <v>5676</v>
      </c>
      <c r="Q484" s="9">
        <f t="shared" si="7"/>
        <v>682.04758471521268</v>
      </c>
      <c r="R484" s="9"/>
      <c r="S484" s="9" t="s">
        <v>12795</v>
      </c>
      <c r="T484" s="9" t="s">
        <v>12795</v>
      </c>
      <c r="U484" s="9" t="s">
        <v>12117</v>
      </c>
      <c r="V484" s="9"/>
      <c r="W484" s="9"/>
      <c r="X484" s="9"/>
      <c r="Y484" s="9"/>
      <c r="Z484" s="9"/>
      <c r="AA484" s="9"/>
      <c r="AB484" s="9"/>
      <c r="AC484" s="9"/>
      <c r="AD484" s="9"/>
    </row>
    <row r="485" spans="1:30" ht="130.5">
      <c r="A485" s="3" t="s">
        <v>2788</v>
      </c>
      <c r="B485" s="3" t="s">
        <v>12415</v>
      </c>
      <c r="C485" s="3" t="s">
        <v>12416</v>
      </c>
      <c r="G485" s="9" t="s">
        <v>25</v>
      </c>
      <c r="H485" s="9"/>
      <c r="I485" s="9">
        <v>5</v>
      </c>
      <c r="J485" s="9">
        <v>29</v>
      </c>
      <c r="K485" s="9"/>
      <c r="L485" s="9" t="s">
        <v>12073</v>
      </c>
      <c r="M485" s="9" t="s">
        <v>12140</v>
      </c>
      <c r="N485" s="10" t="s">
        <v>12417</v>
      </c>
      <c r="O485" s="9"/>
      <c r="P485" s="9">
        <v>9</v>
      </c>
      <c r="Q485" s="9">
        <f t="shared" si="7"/>
        <v>1.0814708002883922</v>
      </c>
      <c r="R485" s="9"/>
      <c r="S485" s="9" t="s">
        <v>12795</v>
      </c>
      <c r="T485" s="9" t="s">
        <v>12795</v>
      </c>
      <c r="U485" s="9"/>
      <c r="V485" s="9"/>
      <c r="W485" s="9"/>
      <c r="X485" s="9"/>
      <c r="Y485" s="9"/>
      <c r="Z485" s="9"/>
      <c r="AA485" s="9"/>
      <c r="AB485" s="9"/>
      <c r="AC485" s="9"/>
      <c r="AD485" s="9"/>
    </row>
    <row r="486" spans="1:30" ht="101.5">
      <c r="A486" s="3" t="s">
        <v>2789</v>
      </c>
      <c r="B486" s="3" t="s">
        <v>7970</v>
      </c>
      <c r="C486" s="3" t="s">
        <v>7969</v>
      </c>
      <c r="G486" s="9" t="s">
        <v>24</v>
      </c>
      <c r="H486" s="9"/>
      <c r="I486" s="9">
        <v>1</v>
      </c>
      <c r="J486" s="9">
        <v>2</v>
      </c>
      <c r="K486" s="9" t="s">
        <v>12087</v>
      </c>
      <c r="L486" s="9" t="s">
        <v>12119</v>
      </c>
      <c r="M486" s="9"/>
      <c r="N486" s="10"/>
      <c r="O486" s="9"/>
      <c r="P486" s="9">
        <v>1966</v>
      </c>
      <c r="Q486" s="9">
        <f t="shared" si="7"/>
        <v>236.24128815188658</v>
      </c>
      <c r="R486" s="9"/>
      <c r="S486" s="9" t="s">
        <v>12795</v>
      </c>
      <c r="T486" s="9" t="s">
        <v>12795</v>
      </c>
      <c r="U486" s="9"/>
      <c r="V486" s="9"/>
      <c r="W486" s="9"/>
      <c r="X486" s="9"/>
      <c r="Y486" s="9"/>
      <c r="Z486" s="9"/>
      <c r="AA486" s="9"/>
      <c r="AB486" s="9"/>
      <c r="AC486" s="9"/>
      <c r="AD486" s="9"/>
    </row>
    <row r="487" spans="1:30" ht="29">
      <c r="A487" s="3" t="s">
        <v>2790</v>
      </c>
      <c r="B487" s="3" t="s">
        <v>7976</v>
      </c>
      <c r="C487" s="3" t="s">
        <v>7975</v>
      </c>
      <c r="G487" s="9" t="s">
        <v>24</v>
      </c>
      <c r="H487" s="9"/>
      <c r="I487" s="9">
        <v>1</v>
      </c>
      <c r="J487" s="9">
        <v>2</v>
      </c>
      <c r="K487" s="9" t="s">
        <v>12125</v>
      </c>
      <c r="L487" s="9" t="s">
        <v>12119</v>
      </c>
      <c r="M487" s="9"/>
      <c r="N487" s="10"/>
      <c r="O487" s="9"/>
      <c r="P487" s="9">
        <v>1565</v>
      </c>
      <c r="Q487" s="9">
        <f t="shared" si="7"/>
        <v>188.05575582792596</v>
      </c>
      <c r="R487" s="9"/>
      <c r="S487" s="9" t="s">
        <v>12795</v>
      </c>
      <c r="T487" s="9" t="s">
        <v>12795</v>
      </c>
      <c r="U487" s="9"/>
      <c r="V487" s="9"/>
      <c r="W487" s="9"/>
      <c r="X487" s="9"/>
      <c r="Y487" s="9"/>
      <c r="Z487" s="9"/>
      <c r="AA487" s="9"/>
      <c r="AB487" s="9"/>
      <c r="AC487" s="9"/>
      <c r="AD487" s="9"/>
    </row>
    <row r="488" spans="1:30" ht="87">
      <c r="A488" s="3" t="s">
        <v>2791</v>
      </c>
      <c r="B488" s="3" t="s">
        <v>7978</v>
      </c>
      <c r="C488" s="3" t="s">
        <v>7977</v>
      </c>
      <c r="G488" s="9" t="s">
        <v>25</v>
      </c>
      <c r="H488" s="9"/>
      <c r="I488" s="9">
        <v>3</v>
      </c>
      <c r="J488" s="9">
        <v>13</v>
      </c>
      <c r="K488" s="9"/>
      <c r="L488" s="9" t="s">
        <v>12079</v>
      </c>
      <c r="M488" s="9"/>
      <c r="N488" s="10"/>
      <c r="O488" s="9"/>
      <c r="P488" s="9">
        <v>75</v>
      </c>
      <c r="Q488" s="9">
        <f t="shared" si="7"/>
        <v>9.0122566690699344</v>
      </c>
      <c r="R488" s="9"/>
      <c r="S488" s="9" t="s">
        <v>12795</v>
      </c>
      <c r="T488" s="9" t="s">
        <v>12795</v>
      </c>
      <c r="U488" s="9"/>
      <c r="V488" s="9"/>
      <c r="W488" s="9"/>
      <c r="X488" s="9"/>
      <c r="Y488" s="9"/>
      <c r="Z488" s="9"/>
      <c r="AA488" s="9"/>
      <c r="AB488" s="9"/>
      <c r="AC488" s="9"/>
      <c r="AD488" s="9"/>
    </row>
    <row r="489" spans="1:30" ht="43.5">
      <c r="A489" s="3" t="s">
        <v>2794</v>
      </c>
      <c r="B489" s="3" t="s">
        <v>7984</v>
      </c>
      <c r="C489" s="3" t="s">
        <v>7985</v>
      </c>
      <c r="G489" s="9" t="s">
        <v>25</v>
      </c>
      <c r="H489" s="9"/>
      <c r="I489" s="9">
        <v>1</v>
      </c>
      <c r="J489" s="9">
        <v>6</v>
      </c>
      <c r="K489" s="9" t="s">
        <v>12092</v>
      </c>
      <c r="L489" s="9" t="s">
        <v>12079</v>
      </c>
      <c r="M489" s="9"/>
      <c r="N489" s="10"/>
      <c r="O489" s="9"/>
      <c r="P489" s="9">
        <v>41</v>
      </c>
      <c r="Q489" s="9">
        <f t="shared" si="7"/>
        <v>4.9267003124248978</v>
      </c>
      <c r="R489" s="9"/>
      <c r="S489" s="9" t="s">
        <v>12795</v>
      </c>
      <c r="T489" s="9" t="s">
        <v>12795</v>
      </c>
      <c r="U489" s="9"/>
      <c r="V489" s="9"/>
      <c r="W489" s="9"/>
      <c r="X489" s="9"/>
      <c r="Y489" s="9"/>
      <c r="Z489" s="9"/>
      <c r="AA489" s="9"/>
      <c r="AB489" s="9"/>
      <c r="AC489" s="9"/>
      <c r="AD489" s="9"/>
    </row>
    <row r="490" spans="1:30" ht="58">
      <c r="A490" s="3" t="s">
        <v>2796</v>
      </c>
      <c r="B490" s="3" t="s">
        <v>7991</v>
      </c>
      <c r="C490" s="3" t="s">
        <v>7988</v>
      </c>
      <c r="G490" s="9" t="s">
        <v>25</v>
      </c>
      <c r="H490" s="9"/>
      <c r="I490" s="9">
        <v>2</v>
      </c>
      <c r="J490" s="9">
        <v>8</v>
      </c>
      <c r="K490" s="9"/>
      <c r="L490" s="9" t="s">
        <v>12079</v>
      </c>
      <c r="M490" s="9"/>
      <c r="N490" s="10"/>
      <c r="O490" s="9"/>
      <c r="P490" s="9">
        <v>58</v>
      </c>
      <c r="Q490" s="9">
        <f t="shared" si="7"/>
        <v>6.9694784907474165</v>
      </c>
      <c r="R490" s="9"/>
      <c r="S490" s="9" t="s">
        <v>12795</v>
      </c>
      <c r="T490" s="9" t="s">
        <v>12795</v>
      </c>
      <c r="U490" s="9"/>
      <c r="V490" s="9"/>
      <c r="W490" s="9"/>
      <c r="X490" s="9"/>
      <c r="Y490" s="9"/>
      <c r="Z490" s="9"/>
      <c r="AA490" s="9"/>
      <c r="AB490" s="9"/>
      <c r="AC490" s="9"/>
      <c r="AD490" s="9"/>
    </row>
    <row r="491" spans="1:30" ht="29">
      <c r="A491" s="3" t="s">
        <v>2798</v>
      </c>
      <c r="B491" s="3" t="s">
        <v>7997</v>
      </c>
      <c r="C491" s="3" t="s">
        <v>7996</v>
      </c>
      <c r="G491" s="9" t="s">
        <v>24</v>
      </c>
      <c r="H491" s="9"/>
      <c r="I491" s="9">
        <v>1</v>
      </c>
      <c r="J491" s="9">
        <v>2</v>
      </c>
      <c r="K491" s="9" t="s">
        <v>12087</v>
      </c>
      <c r="L491" s="9" t="s">
        <v>12119</v>
      </c>
      <c r="M491" s="9"/>
      <c r="N491" s="10"/>
      <c r="O491" s="9"/>
      <c r="P491" s="9">
        <v>1966</v>
      </c>
      <c r="Q491" s="9">
        <f t="shared" si="7"/>
        <v>236.24128815188658</v>
      </c>
      <c r="R491" s="9"/>
      <c r="S491" s="9" t="s">
        <v>12795</v>
      </c>
      <c r="T491" s="9" t="s">
        <v>12795</v>
      </c>
      <c r="U491" s="9"/>
      <c r="V491" s="9"/>
      <c r="W491" s="9"/>
      <c r="X491" s="9"/>
      <c r="Y491" s="9"/>
      <c r="Z491" s="9"/>
      <c r="AA491" s="9"/>
      <c r="AB491" s="9"/>
      <c r="AC491" s="9"/>
      <c r="AD491" s="9"/>
    </row>
    <row r="492" spans="1:30" ht="58">
      <c r="A492" s="3" t="s">
        <v>2800</v>
      </c>
      <c r="B492" s="3" t="s">
        <v>8002</v>
      </c>
      <c r="C492" s="3" t="s">
        <v>8001</v>
      </c>
      <c r="G492" s="9" t="s">
        <v>25</v>
      </c>
      <c r="H492" s="9"/>
      <c r="I492" s="9">
        <v>1</v>
      </c>
      <c r="J492" s="9">
        <v>2</v>
      </c>
      <c r="K492" s="9" t="s">
        <v>12078</v>
      </c>
      <c r="L492" s="9" t="s">
        <v>12119</v>
      </c>
      <c r="M492" s="9"/>
      <c r="N492" s="10"/>
      <c r="O492" s="9"/>
      <c r="P492" s="9">
        <v>11843</v>
      </c>
      <c r="Q492" s="9">
        <f t="shared" si="7"/>
        <v>1423.0954097572699</v>
      </c>
      <c r="R492" s="9"/>
      <c r="S492" s="9" t="s">
        <v>12795</v>
      </c>
      <c r="T492" s="9" t="s">
        <v>12795</v>
      </c>
      <c r="U492" s="9"/>
      <c r="V492" s="9"/>
      <c r="W492" s="9"/>
      <c r="X492" s="9"/>
      <c r="Y492" s="9"/>
      <c r="Z492" s="9"/>
      <c r="AA492" s="9"/>
      <c r="AB492" s="9"/>
      <c r="AC492" s="9"/>
      <c r="AD492" s="9"/>
    </row>
    <row r="493" spans="1:30" ht="43.5">
      <c r="A493" s="3" t="s">
        <v>2801</v>
      </c>
      <c r="B493" s="3" t="s">
        <v>8009</v>
      </c>
      <c r="C493" s="3" t="s">
        <v>8008</v>
      </c>
      <c r="G493" s="9" t="s">
        <v>25</v>
      </c>
      <c r="H493" s="9"/>
      <c r="I493" s="9">
        <v>1</v>
      </c>
      <c r="J493" s="9">
        <v>6</v>
      </c>
      <c r="K493" s="9" t="s">
        <v>12094</v>
      </c>
      <c r="L493" s="9" t="s">
        <v>12079</v>
      </c>
      <c r="M493" s="9"/>
      <c r="N493" s="10"/>
      <c r="O493" s="9"/>
      <c r="P493" s="9">
        <v>4240</v>
      </c>
      <c r="Q493" s="9">
        <f t="shared" si="7"/>
        <v>509.49291035808699</v>
      </c>
      <c r="R493" s="9"/>
      <c r="S493" s="9" t="s">
        <v>12795</v>
      </c>
      <c r="T493" s="9" t="s">
        <v>12795</v>
      </c>
      <c r="U493" s="9"/>
      <c r="V493" s="9"/>
      <c r="W493" s="9"/>
      <c r="X493" s="9"/>
      <c r="Y493" s="9"/>
      <c r="Z493" s="9"/>
      <c r="AA493" s="9"/>
      <c r="AB493" s="9"/>
      <c r="AC493" s="9"/>
      <c r="AD493" s="9"/>
    </row>
    <row r="494" spans="1:30" ht="72.5">
      <c r="A494" s="3" t="s">
        <v>2804</v>
      </c>
      <c r="B494" s="3" t="s">
        <v>8016</v>
      </c>
      <c r="C494" s="3" t="s">
        <v>8019</v>
      </c>
      <c r="G494" s="9" t="s">
        <v>24</v>
      </c>
      <c r="H494" s="9"/>
      <c r="I494" s="9">
        <v>1</v>
      </c>
      <c r="J494" s="9">
        <v>6</v>
      </c>
      <c r="K494" s="9" t="s">
        <v>12072</v>
      </c>
      <c r="L494" s="9" t="s">
        <v>12079</v>
      </c>
      <c r="M494" s="9"/>
      <c r="N494" s="10"/>
      <c r="O494" s="9"/>
      <c r="P494" s="9">
        <v>202</v>
      </c>
      <c r="Q494" s="9">
        <f t="shared" si="7"/>
        <v>24.273011295361695</v>
      </c>
      <c r="R494" s="9"/>
      <c r="S494" s="9" t="s">
        <v>12795</v>
      </c>
      <c r="T494" s="9" t="s">
        <v>12795</v>
      </c>
      <c r="U494" s="9"/>
      <c r="V494" s="9"/>
      <c r="W494" s="9"/>
      <c r="X494" s="9"/>
      <c r="Y494" s="9"/>
      <c r="Z494" s="9"/>
      <c r="AA494" s="9"/>
      <c r="AB494" s="9"/>
      <c r="AC494" s="9"/>
      <c r="AD494" s="9"/>
    </row>
    <row r="495" spans="1:30" ht="43.5">
      <c r="A495" s="3" t="s">
        <v>2808</v>
      </c>
      <c r="B495" s="3" t="s">
        <v>8027</v>
      </c>
      <c r="C495" s="3" t="s">
        <v>8028</v>
      </c>
      <c r="G495" s="9" t="s">
        <v>25</v>
      </c>
      <c r="H495" s="9"/>
      <c r="I495" s="9">
        <v>1</v>
      </c>
      <c r="J495" s="9">
        <v>2</v>
      </c>
      <c r="K495" s="9" t="s">
        <v>12087</v>
      </c>
      <c r="L495" s="9" t="s">
        <v>12119</v>
      </c>
      <c r="M495" s="9"/>
      <c r="N495" s="10"/>
      <c r="O495" s="9"/>
      <c r="P495" s="9">
        <v>1966</v>
      </c>
      <c r="Q495" s="9">
        <f t="shared" si="7"/>
        <v>236.24128815188658</v>
      </c>
      <c r="R495" s="9"/>
      <c r="S495" s="9" t="s">
        <v>12795</v>
      </c>
      <c r="T495" s="9" t="s">
        <v>12795</v>
      </c>
      <c r="U495" s="9"/>
      <c r="V495" s="9"/>
      <c r="W495" s="9"/>
      <c r="X495" s="9"/>
      <c r="Y495" s="9"/>
      <c r="Z495" s="9"/>
      <c r="AA495" s="9"/>
      <c r="AB495" s="9"/>
      <c r="AC495" s="9"/>
      <c r="AD495" s="9"/>
    </row>
    <row r="496" spans="1:30" ht="43.5">
      <c r="A496" s="3" t="s">
        <v>2810</v>
      </c>
      <c r="B496" s="3" t="s">
        <v>8034</v>
      </c>
      <c r="C496" s="3" t="s">
        <v>8033</v>
      </c>
      <c r="G496" s="9" t="s">
        <v>25</v>
      </c>
      <c r="H496" s="9"/>
      <c r="I496" s="9">
        <v>2</v>
      </c>
      <c r="J496" s="9">
        <v>12</v>
      </c>
      <c r="K496" s="9"/>
      <c r="L496" s="9" t="s">
        <v>12079</v>
      </c>
      <c r="M496" s="9"/>
      <c r="N496" s="10"/>
      <c r="O496" s="9"/>
      <c r="P496" s="9">
        <v>169</v>
      </c>
      <c r="Q496" s="9">
        <f t="shared" si="7"/>
        <v>20.30761836097092</v>
      </c>
      <c r="R496" s="9"/>
      <c r="S496" s="9" t="s">
        <v>12795</v>
      </c>
      <c r="T496" s="9" t="s">
        <v>12795</v>
      </c>
      <c r="U496" s="9"/>
      <c r="V496" s="9"/>
      <c r="W496" s="9"/>
      <c r="X496" s="9"/>
      <c r="Y496" s="9"/>
      <c r="Z496" s="9"/>
      <c r="AA496" s="9"/>
      <c r="AB496" s="9"/>
      <c r="AC496" s="9"/>
      <c r="AD496" s="9"/>
    </row>
    <row r="497" spans="1:30" ht="29">
      <c r="A497" s="3" t="s">
        <v>2811</v>
      </c>
      <c r="B497" s="3" t="s">
        <v>8036</v>
      </c>
      <c r="C497" s="3" t="s">
        <v>8035</v>
      </c>
      <c r="G497" s="9" t="s">
        <v>24</v>
      </c>
      <c r="H497" s="9"/>
      <c r="I497" s="9">
        <v>1</v>
      </c>
      <c r="J497" s="9">
        <v>1</v>
      </c>
      <c r="K497" s="9" t="s">
        <v>12087</v>
      </c>
      <c r="L497" s="9" t="s">
        <v>12119</v>
      </c>
      <c r="M497" s="9"/>
      <c r="N497" s="10"/>
      <c r="O497" s="9"/>
      <c r="P497" s="9">
        <v>193</v>
      </c>
      <c r="Q497" s="9">
        <f t="shared" si="7"/>
        <v>23.191540495073301</v>
      </c>
      <c r="R497" s="9"/>
      <c r="S497" s="9" t="s">
        <v>12795</v>
      </c>
      <c r="T497" s="9" t="s">
        <v>12795</v>
      </c>
      <c r="U497" s="9"/>
      <c r="V497" s="9"/>
      <c r="W497" s="9"/>
      <c r="X497" s="9"/>
      <c r="Y497" s="9"/>
      <c r="Z497" s="9"/>
      <c r="AA497" s="9"/>
      <c r="AB497" s="9"/>
      <c r="AC497" s="9"/>
      <c r="AD497" s="9"/>
    </row>
    <row r="498" spans="1:30" ht="29">
      <c r="A498" s="3" t="s">
        <v>2812</v>
      </c>
      <c r="B498" s="3" t="s">
        <v>8040</v>
      </c>
      <c r="C498" s="3" t="s">
        <v>8039</v>
      </c>
      <c r="G498" s="9" t="s">
        <v>25</v>
      </c>
      <c r="H498" s="9"/>
      <c r="I498" s="9">
        <v>1</v>
      </c>
      <c r="J498" s="9">
        <v>3</v>
      </c>
      <c r="K498" s="9" t="s">
        <v>12078</v>
      </c>
      <c r="L498" s="9" t="s">
        <v>12079</v>
      </c>
      <c r="M498" s="9"/>
      <c r="N498" s="10"/>
      <c r="O498" s="9"/>
      <c r="P498" s="9">
        <v>11843</v>
      </c>
      <c r="Q498" s="9">
        <f t="shared" si="7"/>
        <v>1423.0954097572699</v>
      </c>
      <c r="R498" s="9"/>
      <c r="S498" s="9" t="s">
        <v>12795</v>
      </c>
      <c r="T498" s="9" t="s">
        <v>12795</v>
      </c>
      <c r="U498" s="9"/>
      <c r="V498" s="9"/>
      <c r="W498" s="9"/>
      <c r="X498" s="9"/>
      <c r="Y498" s="9"/>
      <c r="Z498" s="9"/>
      <c r="AA498" s="9"/>
      <c r="AB498" s="9"/>
      <c r="AC498" s="9"/>
      <c r="AD498" s="9"/>
    </row>
    <row r="499" spans="1:30" ht="29">
      <c r="A499" s="3" t="s">
        <v>2824</v>
      </c>
      <c r="B499" s="3" t="s">
        <v>8058</v>
      </c>
      <c r="C499" s="3" t="s">
        <v>8057</v>
      </c>
      <c r="G499" s="9" t="s">
        <v>25</v>
      </c>
      <c r="H499" s="9"/>
      <c r="I499" s="9">
        <v>1</v>
      </c>
      <c r="J499" s="9">
        <v>2</v>
      </c>
      <c r="K499" s="9" t="s">
        <v>12123</v>
      </c>
      <c r="L499" s="9" t="s">
        <v>12119</v>
      </c>
      <c r="M499" s="9"/>
      <c r="N499" s="10"/>
      <c r="O499" s="9"/>
      <c r="P499" s="9">
        <v>887</v>
      </c>
      <c r="Q499" s="9">
        <f t="shared" si="7"/>
        <v>106.58495553953377</v>
      </c>
      <c r="R499" s="9"/>
      <c r="S499" s="9" t="s">
        <v>12795</v>
      </c>
      <c r="T499" s="9" t="s">
        <v>12795</v>
      </c>
      <c r="U499" s="9"/>
      <c r="V499" s="9"/>
      <c r="W499" s="9"/>
      <c r="X499" s="9"/>
      <c r="Y499" s="9"/>
      <c r="Z499" s="9"/>
      <c r="AA499" s="9"/>
      <c r="AB499" s="9"/>
      <c r="AC499" s="9"/>
      <c r="AD499" s="9"/>
    </row>
    <row r="500" spans="1:30" ht="58">
      <c r="A500" s="3" t="s">
        <v>2825</v>
      </c>
      <c r="B500" s="3" t="s">
        <v>8062</v>
      </c>
      <c r="C500" s="3" t="s">
        <v>8061</v>
      </c>
      <c r="G500" s="9" t="s">
        <v>24</v>
      </c>
      <c r="H500" s="9"/>
      <c r="I500" s="9">
        <v>1</v>
      </c>
      <c r="J500" s="9">
        <v>4</v>
      </c>
      <c r="K500" s="9" t="s">
        <v>12078</v>
      </c>
      <c r="L500" s="9" t="s">
        <v>12073</v>
      </c>
      <c r="M500" s="9" t="s">
        <v>12149</v>
      </c>
      <c r="N500" s="10" t="s">
        <v>12143</v>
      </c>
      <c r="O500" s="9"/>
      <c r="P500" s="9">
        <v>11843</v>
      </c>
      <c r="Q500" s="9">
        <f t="shared" si="7"/>
        <v>1423.0954097572699</v>
      </c>
      <c r="R500" s="9"/>
      <c r="S500" s="9" t="s">
        <v>12795</v>
      </c>
      <c r="T500" s="9" t="s">
        <v>12795</v>
      </c>
      <c r="U500" s="9"/>
      <c r="V500" s="9"/>
      <c r="W500" s="9"/>
      <c r="X500" s="9"/>
      <c r="Y500" s="9"/>
      <c r="Z500" s="9"/>
      <c r="AA500" s="9"/>
      <c r="AB500" s="9"/>
      <c r="AC500" s="9"/>
      <c r="AD500" s="9"/>
    </row>
    <row r="501" spans="1:30" ht="29">
      <c r="A501" s="3" t="s">
        <v>2829</v>
      </c>
      <c r="B501" s="3" t="s">
        <v>8063</v>
      </c>
      <c r="C501" s="3" t="s">
        <v>8064</v>
      </c>
      <c r="G501" s="9" t="s">
        <v>25</v>
      </c>
      <c r="H501" s="9"/>
      <c r="I501" s="9">
        <v>1</v>
      </c>
      <c r="J501" s="9">
        <v>2</v>
      </c>
      <c r="K501" s="9" t="s">
        <v>12078</v>
      </c>
      <c r="L501" s="9" t="s">
        <v>12119</v>
      </c>
      <c r="M501" s="9"/>
      <c r="N501" s="10"/>
      <c r="O501" s="9"/>
      <c r="P501" s="9">
        <v>11843</v>
      </c>
      <c r="Q501" s="9">
        <f t="shared" si="7"/>
        <v>1423.0954097572699</v>
      </c>
      <c r="R501" s="9"/>
      <c r="S501" s="9" t="s">
        <v>12795</v>
      </c>
      <c r="T501" s="9" t="s">
        <v>12795</v>
      </c>
      <c r="U501" s="9"/>
      <c r="V501" s="9"/>
      <c r="W501" s="9"/>
      <c r="X501" s="9"/>
      <c r="Y501" s="9"/>
      <c r="Z501" s="9"/>
      <c r="AA501" s="9"/>
      <c r="AB501" s="9"/>
      <c r="AC501" s="9"/>
      <c r="AD501" s="9"/>
    </row>
    <row r="502" spans="1:30" ht="145">
      <c r="A502" s="3" t="s">
        <v>2833</v>
      </c>
      <c r="B502" s="3" t="s">
        <v>8081</v>
      </c>
      <c r="C502" s="3" t="s">
        <v>8078</v>
      </c>
      <c r="G502" s="9" t="s">
        <v>25</v>
      </c>
      <c r="H502" s="9"/>
      <c r="I502" s="9">
        <v>2</v>
      </c>
      <c r="J502" s="9">
        <v>9</v>
      </c>
      <c r="K502" s="9"/>
      <c r="L502" s="9" t="s">
        <v>12073</v>
      </c>
      <c r="M502" s="9" t="s">
        <v>12140</v>
      </c>
      <c r="N502" s="10" t="s">
        <v>12193</v>
      </c>
      <c r="O502" s="9"/>
      <c r="P502" s="9">
        <v>8</v>
      </c>
      <c r="Q502" s="9">
        <f t="shared" si="7"/>
        <v>0.96130737803412647</v>
      </c>
      <c r="R502" s="9"/>
      <c r="S502" s="9" t="s">
        <v>12795</v>
      </c>
      <c r="T502" s="9" t="s">
        <v>12795</v>
      </c>
      <c r="U502" s="9"/>
      <c r="V502" s="9"/>
      <c r="W502" s="9"/>
      <c r="X502" s="9"/>
      <c r="Y502" s="9"/>
      <c r="Z502" s="9"/>
      <c r="AA502" s="9"/>
      <c r="AB502" s="9"/>
      <c r="AC502" s="9"/>
      <c r="AD502" s="9"/>
    </row>
    <row r="503" spans="1:30" ht="43.5">
      <c r="A503" s="3" t="s">
        <v>2833</v>
      </c>
      <c r="B503" s="3" t="s">
        <v>8084</v>
      </c>
      <c r="C503" s="3" t="s">
        <v>8085</v>
      </c>
      <c r="G503" s="9" t="s">
        <v>24</v>
      </c>
      <c r="H503" s="9"/>
      <c r="I503" s="9">
        <v>1</v>
      </c>
      <c r="J503" s="9">
        <v>3</v>
      </c>
      <c r="K503" s="9" t="s">
        <v>12094</v>
      </c>
      <c r="L503" s="9" t="s">
        <v>12079</v>
      </c>
      <c r="M503" s="9"/>
      <c r="N503" s="10"/>
      <c r="O503" s="9"/>
      <c r="P503" s="9">
        <v>1741</v>
      </c>
      <c r="Q503" s="9">
        <f t="shared" si="7"/>
        <v>209.20451814467677</v>
      </c>
      <c r="R503" s="9"/>
      <c r="S503" s="9" t="s">
        <v>12795</v>
      </c>
      <c r="T503" s="9" t="s">
        <v>12795</v>
      </c>
      <c r="U503" s="9"/>
      <c r="V503" s="9"/>
      <c r="W503" s="9"/>
      <c r="X503" s="9"/>
      <c r="Y503" s="9"/>
      <c r="Z503" s="9"/>
      <c r="AA503" s="9"/>
      <c r="AB503" s="9"/>
      <c r="AC503" s="9"/>
      <c r="AD503" s="9"/>
    </row>
    <row r="504" spans="1:30" ht="58">
      <c r="A504" s="3" t="s">
        <v>2834</v>
      </c>
      <c r="B504" s="3" t="s">
        <v>8089</v>
      </c>
      <c r="C504" s="3" t="s">
        <v>8088</v>
      </c>
      <c r="G504" s="9" t="s">
        <v>25</v>
      </c>
      <c r="H504" s="9"/>
      <c r="I504" s="9">
        <v>1</v>
      </c>
      <c r="J504" s="9">
        <v>4</v>
      </c>
      <c r="K504" s="9" t="s">
        <v>12078</v>
      </c>
      <c r="L504" s="9" t="s">
        <v>12073</v>
      </c>
      <c r="M504" s="9" t="s">
        <v>12149</v>
      </c>
      <c r="N504" s="10" t="s">
        <v>12143</v>
      </c>
      <c r="O504" s="9"/>
      <c r="P504" s="9">
        <v>11843</v>
      </c>
      <c r="Q504" s="9">
        <f t="shared" si="7"/>
        <v>1423.0954097572699</v>
      </c>
      <c r="R504" s="9"/>
      <c r="S504" s="9" t="s">
        <v>12795</v>
      </c>
      <c r="T504" s="9" t="s">
        <v>12795</v>
      </c>
      <c r="U504" s="9"/>
      <c r="V504" s="9"/>
      <c r="W504" s="9"/>
      <c r="X504" s="9"/>
      <c r="Y504" s="9"/>
      <c r="Z504" s="9"/>
      <c r="AA504" s="9"/>
      <c r="AB504" s="9"/>
      <c r="AC504" s="9"/>
      <c r="AD504" s="9"/>
    </row>
    <row r="505" spans="1:30" ht="29">
      <c r="A505" s="3" t="s">
        <v>2837</v>
      </c>
      <c r="B505" s="3" t="s">
        <v>8096</v>
      </c>
      <c r="C505" s="3" t="s">
        <v>8095</v>
      </c>
      <c r="G505" s="9" t="s">
        <v>25</v>
      </c>
      <c r="H505" s="9"/>
      <c r="I505" s="9">
        <v>1</v>
      </c>
      <c r="J505" s="9">
        <v>2</v>
      </c>
      <c r="K505" s="9" t="s">
        <v>12123</v>
      </c>
      <c r="L505" s="9" t="s">
        <v>12119</v>
      </c>
      <c r="M505" s="9"/>
      <c r="N505" s="10"/>
      <c r="O505" s="9"/>
      <c r="P505" s="9">
        <v>526</v>
      </c>
      <c r="Q505" s="9">
        <f t="shared" si="7"/>
        <v>63.205960105743813</v>
      </c>
      <c r="R505" s="9"/>
      <c r="S505" s="9" t="s">
        <v>12795</v>
      </c>
      <c r="T505" s="9" t="s">
        <v>12795</v>
      </c>
      <c r="U505" s="9"/>
      <c r="V505" s="9"/>
      <c r="W505" s="9"/>
      <c r="X505" s="9"/>
      <c r="Y505" s="9"/>
      <c r="Z505" s="9"/>
      <c r="AA505" s="9"/>
      <c r="AB505" s="9"/>
      <c r="AC505" s="9"/>
      <c r="AD505" s="9"/>
    </row>
    <row r="506" spans="1:30" ht="58">
      <c r="A506" s="3" t="s">
        <v>2856</v>
      </c>
      <c r="B506" s="3" t="s">
        <v>8107</v>
      </c>
      <c r="C506" s="3" t="s">
        <v>8108</v>
      </c>
      <c r="G506" s="9" t="s">
        <v>24</v>
      </c>
      <c r="H506" s="9"/>
      <c r="I506" s="9">
        <v>1</v>
      </c>
      <c r="J506" s="9">
        <v>8</v>
      </c>
      <c r="K506" s="9" t="s">
        <v>12098</v>
      </c>
      <c r="L506" s="9" t="s">
        <v>12073</v>
      </c>
      <c r="M506" s="9" t="s">
        <v>12142</v>
      </c>
      <c r="N506" s="10" t="s">
        <v>12160</v>
      </c>
      <c r="O506" s="9"/>
      <c r="P506" s="9">
        <v>2042</v>
      </c>
      <c r="Q506" s="9">
        <f t="shared" si="7"/>
        <v>245.37370824321076</v>
      </c>
      <c r="R506" s="9"/>
      <c r="S506" s="9" t="s">
        <v>12795</v>
      </c>
      <c r="T506" s="9" t="s">
        <v>12795</v>
      </c>
      <c r="U506" s="9"/>
      <c r="V506" s="9"/>
      <c r="W506" s="9"/>
      <c r="X506" s="9"/>
      <c r="Y506" s="9"/>
      <c r="Z506" s="9"/>
      <c r="AA506" s="9"/>
      <c r="AB506" s="9"/>
      <c r="AC506" s="9"/>
      <c r="AD506" s="9"/>
    </row>
    <row r="507" spans="1:30" ht="29">
      <c r="A507" s="3" t="s">
        <v>2857</v>
      </c>
      <c r="B507" s="3" t="s">
        <v>8111</v>
      </c>
      <c r="C507" s="3" t="s">
        <v>8112</v>
      </c>
      <c r="G507" s="9" t="s">
        <v>25</v>
      </c>
      <c r="H507" s="9"/>
      <c r="I507" s="9">
        <v>1</v>
      </c>
      <c r="J507" s="9">
        <v>1</v>
      </c>
      <c r="K507" s="9" t="s">
        <v>12078</v>
      </c>
      <c r="L507" s="9" t="s">
        <v>12119</v>
      </c>
      <c r="M507" s="9"/>
      <c r="N507" s="10"/>
      <c r="O507" s="9"/>
      <c r="P507" s="9">
        <v>11843</v>
      </c>
      <c r="Q507" s="9">
        <f t="shared" si="7"/>
        <v>1423.0954097572699</v>
      </c>
      <c r="R507" s="9"/>
      <c r="S507" s="9" t="s">
        <v>12795</v>
      </c>
      <c r="T507" s="9" t="s">
        <v>12795</v>
      </c>
      <c r="U507" s="9"/>
      <c r="V507" s="9"/>
      <c r="W507" s="9"/>
      <c r="X507" s="9"/>
      <c r="Y507" s="9"/>
      <c r="Z507" s="9"/>
      <c r="AA507" s="9"/>
      <c r="AB507" s="9"/>
      <c r="AC507" s="9"/>
      <c r="AD507" s="9"/>
    </row>
    <row r="508" spans="1:30" ht="58">
      <c r="A508" s="3" t="s">
        <v>2858</v>
      </c>
      <c r="B508" s="3" t="s">
        <v>8118</v>
      </c>
      <c r="C508" s="3" t="s">
        <v>8119</v>
      </c>
      <c r="G508" s="9" t="s">
        <v>25</v>
      </c>
      <c r="H508" s="9"/>
      <c r="I508" s="9">
        <v>1</v>
      </c>
      <c r="J508" s="9">
        <v>5</v>
      </c>
      <c r="K508" s="9" t="s">
        <v>12125</v>
      </c>
      <c r="L508" s="9" t="s">
        <v>12079</v>
      </c>
      <c r="M508" s="9"/>
      <c r="N508" s="10"/>
      <c r="O508" s="9"/>
      <c r="P508" s="9">
        <v>1565</v>
      </c>
      <c r="Q508" s="9">
        <f t="shared" si="7"/>
        <v>188.05575582792596</v>
      </c>
      <c r="R508" s="9"/>
      <c r="S508" s="9" t="s">
        <v>12795</v>
      </c>
      <c r="T508" s="9" t="s">
        <v>12795</v>
      </c>
      <c r="U508" s="9"/>
      <c r="V508" s="9"/>
      <c r="W508" s="9"/>
      <c r="X508" s="9"/>
      <c r="Y508" s="9"/>
      <c r="Z508" s="9"/>
      <c r="AA508" s="9"/>
      <c r="AB508" s="9"/>
      <c r="AC508" s="9"/>
      <c r="AD508" s="9"/>
    </row>
    <row r="509" spans="1:30" ht="29">
      <c r="A509" s="3" t="s">
        <v>2859</v>
      </c>
      <c r="B509" s="3" t="s">
        <v>8120</v>
      </c>
      <c r="C509" s="3" t="s">
        <v>8121</v>
      </c>
      <c r="G509" s="9" t="s">
        <v>25</v>
      </c>
      <c r="H509" s="9"/>
      <c r="I509" s="9">
        <v>1</v>
      </c>
      <c r="J509" s="9">
        <v>2</v>
      </c>
      <c r="K509" s="9" t="s">
        <v>12078</v>
      </c>
      <c r="L509" s="9" t="s">
        <v>12119</v>
      </c>
      <c r="M509" s="9"/>
      <c r="N509" s="10"/>
      <c r="O509" s="9"/>
      <c r="P509" s="9">
        <v>11843</v>
      </c>
      <c r="Q509" s="9">
        <f t="shared" si="7"/>
        <v>1423.0954097572699</v>
      </c>
      <c r="R509" s="9"/>
      <c r="S509" s="9" t="s">
        <v>12795</v>
      </c>
      <c r="T509" s="9" t="s">
        <v>12795</v>
      </c>
      <c r="U509" s="9"/>
      <c r="V509" s="9"/>
      <c r="W509" s="9"/>
      <c r="X509" s="9"/>
      <c r="Y509" s="9"/>
      <c r="Z509" s="9"/>
      <c r="AA509" s="9"/>
      <c r="AB509" s="9"/>
      <c r="AC509" s="9"/>
      <c r="AD509" s="9"/>
    </row>
    <row r="510" spans="1:30" ht="116">
      <c r="A510" s="3" t="s">
        <v>2882</v>
      </c>
      <c r="B510" s="3" t="s">
        <v>8142</v>
      </c>
      <c r="C510" s="3" t="s">
        <v>8143</v>
      </c>
      <c r="G510" s="9" t="s">
        <v>24</v>
      </c>
      <c r="H510" s="9"/>
      <c r="I510" s="9">
        <v>1</v>
      </c>
      <c r="J510" s="9">
        <v>9</v>
      </c>
      <c r="K510" s="9" t="s">
        <v>12084</v>
      </c>
      <c r="L510" s="9" t="s">
        <v>12073</v>
      </c>
      <c r="M510" s="9" t="s">
        <v>12142</v>
      </c>
      <c r="N510" s="10" t="s">
        <v>12160</v>
      </c>
      <c r="O510" s="9"/>
      <c r="P510" s="9">
        <v>37</v>
      </c>
      <c r="Q510" s="9">
        <f t="shared" si="7"/>
        <v>4.4460466234078346</v>
      </c>
      <c r="R510" s="9"/>
      <c r="S510" s="9" t="s">
        <v>12795</v>
      </c>
      <c r="T510" s="9" t="s">
        <v>12795</v>
      </c>
      <c r="U510" s="9"/>
      <c r="V510" s="9"/>
      <c r="W510" s="9"/>
      <c r="X510" s="9"/>
      <c r="Y510" s="9"/>
      <c r="Z510" s="9"/>
      <c r="AA510" s="9"/>
      <c r="AB510" s="9"/>
      <c r="AC510" s="9"/>
      <c r="AD510" s="9"/>
    </row>
    <row r="511" spans="1:30" ht="116">
      <c r="A511" s="3" t="s">
        <v>2882</v>
      </c>
      <c r="B511" s="3" t="s">
        <v>8144</v>
      </c>
      <c r="C511" s="3" t="s">
        <v>8141</v>
      </c>
      <c r="G511" s="9" t="s">
        <v>25</v>
      </c>
      <c r="H511" s="9"/>
      <c r="I511" s="9">
        <v>1</v>
      </c>
      <c r="J511" s="9">
        <v>2</v>
      </c>
      <c r="K511" s="9" t="s">
        <v>12087</v>
      </c>
      <c r="L511" s="9" t="s">
        <v>12119</v>
      </c>
      <c r="M511" s="9"/>
      <c r="N511" s="10"/>
      <c r="O511" s="9"/>
      <c r="P511" s="9">
        <v>1966</v>
      </c>
      <c r="Q511" s="9">
        <f t="shared" si="7"/>
        <v>236.24128815188658</v>
      </c>
      <c r="R511" s="9"/>
      <c r="S511" s="9" t="s">
        <v>12795</v>
      </c>
      <c r="T511" s="9" t="s">
        <v>12795</v>
      </c>
      <c r="U511" s="9"/>
      <c r="V511" s="9"/>
      <c r="W511" s="9"/>
      <c r="X511" s="9"/>
      <c r="Y511" s="9"/>
      <c r="Z511" s="9"/>
      <c r="AA511" s="9"/>
      <c r="AB511" s="9"/>
      <c r="AC511" s="9"/>
      <c r="AD511" s="9"/>
    </row>
    <row r="512" spans="1:30" ht="87">
      <c r="A512" s="3" t="s">
        <v>2885</v>
      </c>
      <c r="B512" s="3" t="s">
        <v>8151</v>
      </c>
      <c r="C512" s="3" t="s">
        <v>13048</v>
      </c>
      <c r="G512" s="9" t="s">
        <v>25</v>
      </c>
      <c r="H512" s="9"/>
      <c r="I512" s="9">
        <v>1</v>
      </c>
      <c r="J512" s="9">
        <v>11</v>
      </c>
      <c r="K512" s="9" t="s">
        <v>12125</v>
      </c>
      <c r="L512" s="9" t="s">
        <v>12073</v>
      </c>
      <c r="M512" s="9" t="s">
        <v>12142</v>
      </c>
      <c r="N512" s="10" t="s">
        <v>12170</v>
      </c>
      <c r="O512" s="9"/>
      <c r="P512" s="9">
        <v>229</v>
      </c>
      <c r="Q512" s="9">
        <f t="shared" si="7"/>
        <v>27.517423696226867</v>
      </c>
      <c r="R512" s="9"/>
      <c r="S512" s="9" t="s">
        <v>12795</v>
      </c>
      <c r="T512" s="9" t="s">
        <v>12795</v>
      </c>
      <c r="U512" s="9"/>
      <c r="V512" s="9"/>
      <c r="W512" s="9"/>
      <c r="X512" s="9"/>
      <c r="Y512" s="9"/>
      <c r="Z512" s="9"/>
      <c r="AA512" s="9"/>
      <c r="AB512" s="9"/>
      <c r="AC512" s="9"/>
      <c r="AD512" s="9"/>
    </row>
    <row r="513" spans="1:30" ht="43.5">
      <c r="A513" s="3" t="s">
        <v>2886</v>
      </c>
      <c r="B513" s="3" t="s">
        <v>8153</v>
      </c>
      <c r="C513" s="3" t="s">
        <v>8152</v>
      </c>
      <c r="G513" s="9" t="s">
        <v>25</v>
      </c>
      <c r="H513" s="9"/>
      <c r="I513" s="9">
        <v>1</v>
      </c>
      <c r="J513" s="9">
        <v>3</v>
      </c>
      <c r="K513" s="9" t="s">
        <v>12078</v>
      </c>
      <c r="L513" s="9" t="s">
        <v>12079</v>
      </c>
      <c r="M513" s="9"/>
      <c r="N513" s="10"/>
      <c r="O513" s="9"/>
      <c r="P513" s="9">
        <v>11843</v>
      </c>
      <c r="Q513" s="9">
        <f t="shared" si="7"/>
        <v>1423.0954097572699</v>
      </c>
      <c r="R513" s="9"/>
      <c r="S513" s="9" t="s">
        <v>12795</v>
      </c>
      <c r="T513" s="9" t="s">
        <v>12795</v>
      </c>
      <c r="U513" s="9"/>
      <c r="V513" s="9"/>
      <c r="W513" s="9"/>
      <c r="X513" s="9"/>
      <c r="Y513" s="9"/>
      <c r="Z513" s="9"/>
      <c r="AA513" s="9"/>
      <c r="AB513" s="9"/>
      <c r="AC513" s="9"/>
      <c r="AD513" s="9"/>
    </row>
    <row r="514" spans="1:30" ht="87">
      <c r="A514" s="3" t="s">
        <v>2889</v>
      </c>
      <c r="B514" s="3" t="s">
        <v>8159</v>
      </c>
      <c r="C514" s="3" t="s">
        <v>8158</v>
      </c>
      <c r="G514" s="9" t="s">
        <v>25</v>
      </c>
      <c r="H514" s="9"/>
      <c r="I514" s="9">
        <v>3</v>
      </c>
      <c r="J514" s="9">
        <v>20</v>
      </c>
      <c r="K514" s="9"/>
      <c r="L514" s="9" t="s">
        <v>12079</v>
      </c>
      <c r="M514" s="9"/>
      <c r="N514" s="10"/>
      <c r="O514" s="9"/>
      <c r="P514" s="9">
        <v>25</v>
      </c>
      <c r="Q514" s="9">
        <f t="shared" ref="Q514:Q576" si="8">IF(ISNUMBER(P514), (P514/$F$988)*10000, "")</f>
        <v>3.0040855563566451</v>
      </c>
      <c r="R514" s="9"/>
      <c r="S514" s="9" t="s">
        <v>12795</v>
      </c>
      <c r="T514" s="9" t="s">
        <v>12795</v>
      </c>
      <c r="U514" s="9"/>
      <c r="V514" s="9"/>
      <c r="W514" s="9"/>
      <c r="X514" s="9"/>
      <c r="Y514" s="9"/>
      <c r="Z514" s="9"/>
      <c r="AA514" s="9"/>
      <c r="AB514" s="9"/>
      <c r="AC514" s="9"/>
      <c r="AD514" s="9"/>
    </row>
    <row r="515" spans="1:30" ht="43.5">
      <c r="A515" s="3" t="s">
        <v>2890</v>
      </c>
      <c r="B515" s="11" t="s">
        <v>8161</v>
      </c>
      <c r="C515" s="3" t="s">
        <v>8160</v>
      </c>
      <c r="G515" s="9" t="s">
        <v>24</v>
      </c>
      <c r="H515" s="9"/>
      <c r="I515" s="9">
        <v>1</v>
      </c>
      <c r="J515" s="9">
        <v>3</v>
      </c>
      <c r="K515" s="9" t="s">
        <v>12078</v>
      </c>
      <c r="L515" s="9" t="s">
        <v>12079</v>
      </c>
      <c r="M515" s="9"/>
      <c r="N515" s="10"/>
      <c r="O515" s="9"/>
      <c r="P515" s="9">
        <v>11843</v>
      </c>
      <c r="Q515" s="9">
        <f t="shared" si="8"/>
        <v>1423.0954097572699</v>
      </c>
      <c r="R515" s="9"/>
      <c r="S515" s="9" t="s">
        <v>12795</v>
      </c>
      <c r="T515" s="9" t="s">
        <v>12795</v>
      </c>
      <c r="U515" s="9"/>
      <c r="V515" s="9"/>
      <c r="W515" s="9"/>
      <c r="X515" s="9"/>
      <c r="Y515" s="9"/>
      <c r="Z515" s="9"/>
      <c r="AA515" s="9"/>
      <c r="AB515" s="9"/>
      <c r="AC515" s="9"/>
      <c r="AD515" s="9"/>
    </row>
    <row r="516" spans="1:30" ht="58">
      <c r="A516" s="3" t="s">
        <v>2908</v>
      </c>
      <c r="B516" s="3" t="s">
        <v>8182</v>
      </c>
      <c r="C516" s="3" t="s">
        <v>8181</v>
      </c>
      <c r="F516" t="s">
        <v>19</v>
      </c>
      <c r="G516" s="9" t="s">
        <v>24</v>
      </c>
      <c r="H516" s="9"/>
      <c r="I516" s="9">
        <v>1</v>
      </c>
      <c r="J516" s="9">
        <v>2</v>
      </c>
      <c r="K516" s="9" t="s">
        <v>12078</v>
      </c>
      <c r="L516" s="9" t="s">
        <v>12119</v>
      </c>
      <c r="M516" s="9"/>
      <c r="N516" s="10"/>
      <c r="O516" s="9"/>
      <c r="P516" s="9">
        <v>11843</v>
      </c>
      <c r="Q516" s="9">
        <f t="shared" si="8"/>
        <v>1423.0954097572699</v>
      </c>
      <c r="R516" s="9"/>
      <c r="S516" s="9" t="s">
        <v>12795</v>
      </c>
      <c r="T516" s="9" t="s">
        <v>12795</v>
      </c>
      <c r="U516" s="9"/>
      <c r="V516" s="9"/>
      <c r="W516" s="9"/>
      <c r="X516" s="9"/>
      <c r="Y516" s="9"/>
      <c r="Z516" s="9"/>
      <c r="AA516" s="9"/>
      <c r="AB516" s="9"/>
      <c r="AC516" s="9"/>
      <c r="AD516" s="9"/>
    </row>
    <row r="517" spans="1:30" ht="29">
      <c r="A517" s="3" t="s">
        <v>2909</v>
      </c>
      <c r="B517" s="3" t="s">
        <v>8186</v>
      </c>
      <c r="C517" s="3" t="s">
        <v>8185</v>
      </c>
      <c r="G517" s="9" t="s">
        <v>25</v>
      </c>
      <c r="H517" s="9"/>
      <c r="I517" s="9">
        <v>1</v>
      </c>
      <c r="J517" s="9">
        <v>2</v>
      </c>
      <c r="K517" s="9" t="s">
        <v>12078</v>
      </c>
      <c r="L517" s="9" t="s">
        <v>12119</v>
      </c>
      <c r="M517" s="9"/>
      <c r="N517" s="10"/>
      <c r="O517" s="9"/>
      <c r="P517" s="9">
        <v>11843</v>
      </c>
      <c r="Q517" s="9">
        <f t="shared" si="8"/>
        <v>1423.0954097572699</v>
      </c>
      <c r="R517" s="9"/>
      <c r="S517" s="9" t="s">
        <v>12795</v>
      </c>
      <c r="T517" s="9" t="s">
        <v>12795</v>
      </c>
      <c r="U517" s="9"/>
      <c r="V517" s="9"/>
      <c r="W517" s="9"/>
      <c r="X517" s="9"/>
      <c r="Y517" s="9"/>
      <c r="Z517" s="9"/>
      <c r="AA517" s="9"/>
      <c r="AB517" s="9"/>
      <c r="AC517" s="9"/>
      <c r="AD517" s="9"/>
    </row>
    <row r="518" spans="1:30" ht="29">
      <c r="A518" s="3" t="s">
        <v>2911</v>
      </c>
      <c r="B518" s="3" t="s">
        <v>8189</v>
      </c>
      <c r="C518" s="3" t="s">
        <v>8190</v>
      </c>
      <c r="G518" s="9" t="s">
        <v>24</v>
      </c>
      <c r="H518" s="9"/>
      <c r="I518" s="9">
        <v>1</v>
      </c>
      <c r="J518" s="9">
        <v>1</v>
      </c>
      <c r="K518" s="9" t="s">
        <v>12078</v>
      </c>
      <c r="L518" s="9" t="s">
        <v>12119</v>
      </c>
      <c r="M518" s="9"/>
      <c r="N518" s="10"/>
      <c r="O518" s="9"/>
      <c r="P518" s="9">
        <v>11843</v>
      </c>
      <c r="Q518" s="9">
        <f t="shared" si="8"/>
        <v>1423.0954097572699</v>
      </c>
      <c r="R518" s="9"/>
      <c r="S518" s="9" t="s">
        <v>12795</v>
      </c>
      <c r="T518" s="9" t="s">
        <v>12795</v>
      </c>
      <c r="U518" s="9"/>
      <c r="V518" s="9"/>
      <c r="W518" s="9"/>
      <c r="X518" s="9"/>
      <c r="Y518" s="9"/>
      <c r="Z518" s="9"/>
      <c r="AA518" s="9"/>
      <c r="AB518" s="9"/>
      <c r="AC518" s="9"/>
      <c r="AD518" s="9"/>
    </row>
    <row r="519" spans="1:30" ht="43.5">
      <c r="A519" s="3" t="s">
        <v>2915</v>
      </c>
      <c r="B519" s="3" t="s">
        <v>8195</v>
      </c>
      <c r="C519" s="3" t="s">
        <v>13049</v>
      </c>
      <c r="G519" s="9" t="s">
        <v>24</v>
      </c>
      <c r="H519" s="9"/>
      <c r="I519" s="9">
        <v>1</v>
      </c>
      <c r="J519" s="9">
        <v>3</v>
      </c>
      <c r="K519" s="9" t="s">
        <v>12087</v>
      </c>
      <c r="L519" s="9" t="s">
        <v>12079</v>
      </c>
      <c r="M519" s="9"/>
      <c r="N519" s="10"/>
      <c r="O519" s="9"/>
      <c r="P519" s="9">
        <v>5676</v>
      </c>
      <c r="Q519" s="9">
        <f t="shared" si="8"/>
        <v>682.04758471521268</v>
      </c>
      <c r="R519" s="9"/>
      <c r="S519" s="9" t="s">
        <v>12795</v>
      </c>
      <c r="T519" s="9" t="s">
        <v>12795</v>
      </c>
      <c r="U519" s="9"/>
      <c r="V519" s="9"/>
      <c r="W519" s="9"/>
      <c r="X519" s="9"/>
      <c r="Y519" s="9"/>
      <c r="Z519" s="9"/>
      <c r="AA519" s="9"/>
      <c r="AB519" s="9"/>
      <c r="AC519" s="9"/>
      <c r="AD519" s="9"/>
    </row>
    <row r="520" spans="1:30" ht="72.5">
      <c r="A520" s="3" t="s">
        <v>2922</v>
      </c>
      <c r="B520" s="3" t="s">
        <v>8201</v>
      </c>
      <c r="C520" s="3" t="s">
        <v>8200</v>
      </c>
      <c r="G520" s="9" t="s">
        <v>24</v>
      </c>
      <c r="H520" s="9"/>
      <c r="I520" s="9">
        <v>1</v>
      </c>
      <c r="J520" s="9">
        <v>5</v>
      </c>
      <c r="K520" s="9" t="s">
        <v>12094</v>
      </c>
      <c r="L520" s="9" t="s">
        <v>12079</v>
      </c>
      <c r="M520" s="9"/>
      <c r="N520" s="10"/>
      <c r="O520" s="9"/>
      <c r="P520" s="9">
        <v>4240</v>
      </c>
      <c r="Q520" s="9">
        <f t="shared" si="8"/>
        <v>509.49291035808699</v>
      </c>
      <c r="R520" s="9"/>
      <c r="S520" s="9" t="s">
        <v>12795</v>
      </c>
      <c r="T520" s="9" t="s">
        <v>12795</v>
      </c>
      <c r="U520" s="9"/>
      <c r="V520" s="9"/>
      <c r="W520" s="9"/>
      <c r="X520" s="9"/>
      <c r="Y520" s="9"/>
      <c r="Z520" s="9"/>
      <c r="AA520" s="9"/>
      <c r="AB520" s="9"/>
      <c r="AC520" s="9"/>
      <c r="AD520" s="9"/>
    </row>
    <row r="521" spans="1:30" ht="29">
      <c r="A521" s="3" t="s">
        <v>2931</v>
      </c>
      <c r="B521" s="3" t="s">
        <v>8209</v>
      </c>
      <c r="C521" s="3" t="s">
        <v>8208</v>
      </c>
      <c r="G521" s="9" t="s">
        <v>24</v>
      </c>
      <c r="H521" s="9"/>
      <c r="I521" s="9">
        <v>1</v>
      </c>
      <c r="J521" s="9">
        <v>1</v>
      </c>
      <c r="K521" s="9" t="s">
        <v>12094</v>
      </c>
      <c r="L521" s="9" t="s">
        <v>12119</v>
      </c>
      <c r="M521" s="9"/>
      <c r="N521" s="10"/>
      <c r="O521" s="9"/>
      <c r="P521" s="9">
        <v>780</v>
      </c>
      <c r="Q521" s="9">
        <f t="shared" si="8"/>
        <v>93.727469358327326</v>
      </c>
      <c r="R521" s="9"/>
      <c r="S521" s="9" t="s">
        <v>12795</v>
      </c>
      <c r="T521" s="9" t="s">
        <v>12795</v>
      </c>
      <c r="U521" s="9"/>
      <c r="V521" s="9"/>
      <c r="W521" s="9"/>
      <c r="X521" s="9"/>
      <c r="Y521" s="9"/>
      <c r="Z521" s="9"/>
      <c r="AA521" s="9"/>
      <c r="AB521" s="9"/>
      <c r="AC521" s="9"/>
      <c r="AD521" s="9"/>
    </row>
    <row r="522" spans="1:30" ht="43.5">
      <c r="A522" s="3" t="s">
        <v>2932</v>
      </c>
      <c r="B522" s="3" t="s">
        <v>8212</v>
      </c>
      <c r="C522" s="3" t="s">
        <v>8213</v>
      </c>
      <c r="G522" s="9" t="s">
        <v>25</v>
      </c>
      <c r="H522" s="9"/>
      <c r="I522" s="9">
        <v>1</v>
      </c>
      <c r="J522" s="9">
        <v>3</v>
      </c>
      <c r="K522" s="9" t="s">
        <v>12094</v>
      </c>
      <c r="L522" s="9" t="s">
        <v>12079</v>
      </c>
      <c r="M522" s="9"/>
      <c r="N522" s="10"/>
      <c r="O522" s="9"/>
      <c r="P522" s="9">
        <v>1741</v>
      </c>
      <c r="Q522" s="9">
        <f t="shared" si="8"/>
        <v>209.20451814467677</v>
      </c>
      <c r="R522" s="9"/>
      <c r="S522" s="9" t="s">
        <v>12795</v>
      </c>
      <c r="T522" s="9" t="s">
        <v>12795</v>
      </c>
      <c r="U522" s="9"/>
      <c r="V522" s="9"/>
      <c r="W522" s="9"/>
      <c r="X522" s="9"/>
      <c r="Y522" s="9"/>
      <c r="Z522" s="9"/>
      <c r="AA522" s="9"/>
      <c r="AB522" s="9"/>
      <c r="AC522" s="9"/>
      <c r="AD522" s="9"/>
    </row>
    <row r="523" spans="1:30" ht="29">
      <c r="A523" s="3" t="s">
        <v>2945</v>
      </c>
      <c r="B523" s="3" t="s">
        <v>8221</v>
      </c>
      <c r="C523" s="3" t="s">
        <v>8220</v>
      </c>
      <c r="G523" s="9" t="s">
        <v>25</v>
      </c>
      <c r="H523" s="9"/>
      <c r="I523" s="9">
        <v>1</v>
      </c>
      <c r="J523" s="9">
        <v>2</v>
      </c>
      <c r="K523" s="9" t="s">
        <v>12078</v>
      </c>
      <c r="L523" s="9" t="s">
        <v>12119</v>
      </c>
      <c r="M523" s="9"/>
      <c r="N523" s="10"/>
      <c r="O523" s="9"/>
      <c r="P523" s="9">
        <v>11843</v>
      </c>
      <c r="Q523" s="9">
        <f t="shared" si="8"/>
        <v>1423.0954097572699</v>
      </c>
      <c r="R523" s="9"/>
      <c r="S523" s="9" t="s">
        <v>12795</v>
      </c>
      <c r="T523" s="9" t="s">
        <v>12795</v>
      </c>
      <c r="U523" s="9"/>
      <c r="V523" s="9"/>
      <c r="W523" s="9"/>
      <c r="X523" s="9"/>
      <c r="Y523" s="9"/>
      <c r="Z523" s="9"/>
      <c r="AA523" s="9"/>
      <c r="AB523" s="9"/>
      <c r="AC523" s="9"/>
      <c r="AD523" s="9"/>
    </row>
    <row r="524" spans="1:30" ht="58">
      <c r="A524" s="3" t="s">
        <v>2947</v>
      </c>
      <c r="B524" s="3" t="s">
        <v>8223</v>
      </c>
      <c r="C524" s="3" t="s">
        <v>8224</v>
      </c>
      <c r="G524" s="9" t="s">
        <v>24</v>
      </c>
      <c r="H524" s="9"/>
      <c r="I524" s="9">
        <v>1</v>
      </c>
      <c r="J524" s="9">
        <v>3</v>
      </c>
      <c r="K524" s="9" t="s">
        <v>12078</v>
      </c>
      <c r="L524" s="9" t="s">
        <v>12073</v>
      </c>
      <c r="M524" s="9" t="s">
        <v>12142</v>
      </c>
      <c r="N524" s="10" t="s">
        <v>12143</v>
      </c>
      <c r="O524" s="9" t="s">
        <v>12074</v>
      </c>
      <c r="P524" s="9">
        <v>11843</v>
      </c>
      <c r="Q524" s="9">
        <f t="shared" si="8"/>
        <v>1423.0954097572699</v>
      </c>
      <c r="R524" s="9"/>
      <c r="S524" s="9" t="s">
        <v>12795</v>
      </c>
      <c r="T524" s="9" t="s">
        <v>12795</v>
      </c>
      <c r="U524" s="9"/>
      <c r="V524" s="9"/>
      <c r="W524" s="9"/>
      <c r="X524" s="9"/>
      <c r="Y524" s="9"/>
      <c r="Z524" s="9"/>
      <c r="AA524" s="9"/>
      <c r="AB524" s="9"/>
      <c r="AC524" s="9"/>
      <c r="AD524" s="9"/>
    </row>
    <row r="525" spans="1:30" ht="43.5">
      <c r="A525" s="3" t="s">
        <v>2947</v>
      </c>
      <c r="B525" s="3" t="s">
        <v>12426</v>
      </c>
      <c r="C525" s="3" t="s">
        <v>12427</v>
      </c>
      <c r="G525" s="9" t="s">
        <v>25</v>
      </c>
      <c r="H525" s="9"/>
      <c r="I525" s="9">
        <v>1</v>
      </c>
      <c r="J525" s="9">
        <v>1</v>
      </c>
      <c r="K525" s="9" t="s">
        <v>12078</v>
      </c>
      <c r="L525" s="9" t="s">
        <v>12119</v>
      </c>
      <c r="M525" s="9"/>
      <c r="N525" s="10"/>
      <c r="O525" s="9"/>
      <c r="P525" s="9">
        <v>11843</v>
      </c>
      <c r="Q525" s="9">
        <f t="shared" si="8"/>
        <v>1423.0954097572699</v>
      </c>
      <c r="R525" s="9"/>
      <c r="S525" s="9" t="s">
        <v>12795</v>
      </c>
      <c r="T525" s="9" t="s">
        <v>12795</v>
      </c>
      <c r="U525" s="9"/>
      <c r="V525" s="9"/>
      <c r="W525" s="9"/>
      <c r="X525" s="9"/>
      <c r="Y525" s="9"/>
      <c r="Z525" s="9"/>
      <c r="AA525" s="9"/>
      <c r="AB525" s="9"/>
      <c r="AC525" s="9"/>
      <c r="AD525" s="9"/>
    </row>
    <row r="526" spans="1:30" ht="43.5">
      <c r="A526" s="3" t="s">
        <v>2951</v>
      </c>
      <c r="B526" s="3" t="s">
        <v>8228</v>
      </c>
      <c r="C526" s="3" t="s">
        <v>8227</v>
      </c>
      <c r="G526" s="9" t="s">
        <v>24</v>
      </c>
      <c r="H526" s="9"/>
      <c r="I526" s="9">
        <v>1</v>
      </c>
      <c r="J526" s="9">
        <v>4</v>
      </c>
      <c r="K526" s="9" t="s">
        <v>12094</v>
      </c>
      <c r="L526" s="9" t="s">
        <v>12079</v>
      </c>
      <c r="M526" s="9"/>
      <c r="N526" s="10"/>
      <c r="O526" s="9"/>
      <c r="P526" s="9">
        <v>1741</v>
      </c>
      <c r="Q526" s="9">
        <f t="shared" si="8"/>
        <v>209.20451814467677</v>
      </c>
      <c r="R526" s="9"/>
      <c r="S526" s="9" t="s">
        <v>12795</v>
      </c>
      <c r="T526" s="9" t="s">
        <v>12795</v>
      </c>
      <c r="U526" s="9"/>
      <c r="V526" s="9"/>
      <c r="W526" s="9"/>
      <c r="X526" s="9"/>
      <c r="Y526" s="9"/>
      <c r="Z526" s="9"/>
      <c r="AA526" s="9"/>
      <c r="AB526" s="9"/>
      <c r="AC526" s="9"/>
      <c r="AD526" s="9"/>
    </row>
    <row r="527" spans="1:30" ht="145">
      <c r="A527" s="3" t="s">
        <v>2952</v>
      </c>
      <c r="B527" s="3" t="s">
        <v>12428</v>
      </c>
      <c r="C527" s="3" t="s">
        <v>8232</v>
      </c>
      <c r="G527" s="9" t="s">
        <v>24</v>
      </c>
      <c r="H527" s="9"/>
      <c r="I527" s="9">
        <v>3</v>
      </c>
      <c r="J527" s="9">
        <v>14</v>
      </c>
      <c r="K527" s="9"/>
      <c r="L527" s="9" t="s">
        <v>12079</v>
      </c>
      <c r="M527" s="9"/>
      <c r="N527" s="10"/>
      <c r="O527" s="9"/>
      <c r="P527" s="9">
        <v>47</v>
      </c>
      <c r="Q527" s="9">
        <f t="shared" si="8"/>
        <v>5.647680845950493</v>
      </c>
      <c r="R527" s="9"/>
      <c r="S527" s="9" t="s">
        <v>12795</v>
      </c>
      <c r="T527" s="9" t="s">
        <v>12795</v>
      </c>
      <c r="U527" s="9"/>
      <c r="V527" s="9"/>
      <c r="W527" s="9"/>
      <c r="X527" s="9"/>
      <c r="Y527" s="9"/>
      <c r="Z527" s="9"/>
      <c r="AA527" s="9"/>
      <c r="AB527" s="9"/>
      <c r="AC527" s="9"/>
      <c r="AD527" s="9"/>
    </row>
    <row r="528" spans="1:30" ht="145">
      <c r="A528" s="3" t="s">
        <v>2952</v>
      </c>
      <c r="B528" s="3" t="s">
        <v>12430</v>
      </c>
      <c r="C528" s="3" t="s">
        <v>12429</v>
      </c>
      <c r="G528" s="9" t="s">
        <v>25</v>
      </c>
      <c r="H528" s="9"/>
      <c r="I528" s="9">
        <v>3</v>
      </c>
      <c r="J528" s="9">
        <v>14</v>
      </c>
      <c r="K528" s="9"/>
      <c r="L528" s="9" t="s">
        <v>12073</v>
      </c>
      <c r="M528" s="9" t="s">
        <v>12140</v>
      </c>
      <c r="N528" s="10" t="s">
        <v>12136</v>
      </c>
      <c r="O528" s="9"/>
      <c r="P528" s="9">
        <v>47</v>
      </c>
      <c r="Q528" s="9">
        <f t="shared" si="8"/>
        <v>5.647680845950493</v>
      </c>
      <c r="R528" s="9"/>
      <c r="S528" s="9" t="s">
        <v>12795</v>
      </c>
      <c r="T528" s="9" t="s">
        <v>12795</v>
      </c>
      <c r="U528" s="9"/>
      <c r="V528" s="9"/>
      <c r="W528" s="9"/>
      <c r="X528" s="9"/>
      <c r="Y528" s="9"/>
      <c r="Z528" s="9"/>
      <c r="AA528" s="9"/>
      <c r="AB528" s="9"/>
      <c r="AC528" s="9"/>
      <c r="AD528" s="9"/>
    </row>
    <row r="529" spans="1:30" ht="43.5">
      <c r="A529" s="3" t="s">
        <v>2956</v>
      </c>
      <c r="B529" s="3" t="s">
        <v>8238</v>
      </c>
      <c r="C529" s="3" t="s">
        <v>8237</v>
      </c>
      <c r="G529" s="9" t="s">
        <v>25</v>
      </c>
      <c r="H529" s="9"/>
      <c r="I529" s="9">
        <v>1</v>
      </c>
      <c r="J529" s="9">
        <v>3</v>
      </c>
      <c r="K529" s="9" t="s">
        <v>12087</v>
      </c>
      <c r="L529" s="9" t="s">
        <v>12079</v>
      </c>
      <c r="M529" s="9"/>
      <c r="N529" s="10"/>
      <c r="O529" s="9"/>
      <c r="P529" s="9">
        <v>431</v>
      </c>
      <c r="Q529" s="9">
        <f t="shared" si="8"/>
        <v>51.790434991588562</v>
      </c>
      <c r="R529" s="9"/>
      <c r="S529" s="9" t="s">
        <v>12795</v>
      </c>
      <c r="T529" s="9" t="s">
        <v>12795</v>
      </c>
      <c r="U529" s="9"/>
      <c r="V529" s="9"/>
      <c r="W529" s="9"/>
      <c r="X529" s="9"/>
      <c r="Y529" s="9"/>
      <c r="Z529" s="9"/>
      <c r="AA529" s="9"/>
      <c r="AB529" s="9"/>
      <c r="AC529" s="9"/>
      <c r="AD529" s="9"/>
    </row>
    <row r="530" spans="1:30" ht="43.5">
      <c r="A530" s="3" t="s">
        <v>2957</v>
      </c>
      <c r="B530" s="3" t="s">
        <v>8240</v>
      </c>
      <c r="C530" s="3" t="s">
        <v>8239</v>
      </c>
      <c r="G530" s="9" t="s">
        <v>25</v>
      </c>
      <c r="H530" s="9"/>
      <c r="I530" s="9">
        <v>1</v>
      </c>
      <c r="J530" s="9">
        <v>2</v>
      </c>
      <c r="K530" s="9" t="s">
        <v>12078</v>
      </c>
      <c r="L530" s="9" t="s">
        <v>12119</v>
      </c>
      <c r="M530" s="9"/>
      <c r="N530" s="10"/>
      <c r="O530" s="9" t="s">
        <v>12074</v>
      </c>
      <c r="P530" s="9">
        <v>11843</v>
      </c>
      <c r="Q530" s="9">
        <f t="shared" si="8"/>
        <v>1423.0954097572699</v>
      </c>
      <c r="R530" s="9"/>
      <c r="S530" s="9" t="s">
        <v>12795</v>
      </c>
      <c r="T530" s="9" t="s">
        <v>12795</v>
      </c>
      <c r="U530" s="9"/>
      <c r="V530" s="9"/>
      <c r="W530" s="9"/>
      <c r="X530" s="9"/>
      <c r="Y530" s="9"/>
      <c r="Z530" s="9"/>
      <c r="AA530" s="9"/>
      <c r="AB530" s="9"/>
      <c r="AC530" s="9"/>
      <c r="AD530" s="9"/>
    </row>
    <row r="531" spans="1:30" ht="43.5">
      <c r="A531" s="3" t="s">
        <v>2965</v>
      </c>
      <c r="B531" s="3" t="s">
        <v>8251</v>
      </c>
      <c r="C531" s="3" t="s">
        <v>8252</v>
      </c>
      <c r="G531" s="9" t="s">
        <v>25</v>
      </c>
      <c r="H531" s="9"/>
      <c r="I531" s="9">
        <v>1</v>
      </c>
      <c r="J531" s="9">
        <v>6</v>
      </c>
      <c r="K531" s="9" t="s">
        <v>12125</v>
      </c>
      <c r="L531" s="9" t="s">
        <v>12079</v>
      </c>
      <c r="M531" s="9"/>
      <c r="N531" s="10"/>
      <c r="O531" s="9"/>
      <c r="P531" s="9">
        <v>265</v>
      </c>
      <c r="Q531" s="9">
        <f t="shared" si="8"/>
        <v>31.843306897380437</v>
      </c>
      <c r="R531" s="9"/>
      <c r="S531" s="9" t="s">
        <v>12795</v>
      </c>
      <c r="T531" s="9" t="s">
        <v>12795</v>
      </c>
      <c r="U531" s="9"/>
      <c r="V531" s="9"/>
      <c r="W531" s="9"/>
      <c r="X531" s="9"/>
      <c r="Y531" s="9"/>
      <c r="Z531" s="9"/>
      <c r="AA531" s="9"/>
      <c r="AB531" s="9"/>
      <c r="AC531" s="9"/>
      <c r="AD531" s="9"/>
    </row>
    <row r="532" spans="1:30" ht="58">
      <c r="A532" s="3" t="s">
        <v>2968</v>
      </c>
      <c r="B532" s="3" t="s">
        <v>8254</v>
      </c>
      <c r="C532" s="3" t="s">
        <v>8253</v>
      </c>
      <c r="G532" s="9" t="s">
        <v>24</v>
      </c>
      <c r="H532" s="9"/>
      <c r="I532" s="9">
        <v>1</v>
      </c>
      <c r="J532" s="9">
        <v>4</v>
      </c>
      <c r="K532" s="9" t="s">
        <v>12072</v>
      </c>
      <c r="L532" s="9" t="s">
        <v>12079</v>
      </c>
      <c r="M532" s="9"/>
      <c r="N532" s="10"/>
      <c r="O532" s="9"/>
      <c r="P532" s="9">
        <v>130</v>
      </c>
      <c r="Q532" s="9">
        <f t="shared" si="8"/>
        <v>15.621244893054554</v>
      </c>
      <c r="R532" s="9"/>
      <c r="S532" s="9"/>
      <c r="T532" s="9"/>
      <c r="U532" s="9"/>
      <c r="V532" s="9"/>
      <c r="W532" s="9"/>
      <c r="X532" s="9"/>
      <c r="Y532" s="9"/>
      <c r="Z532" s="9"/>
      <c r="AA532" s="9"/>
      <c r="AB532" s="9"/>
      <c r="AC532" s="9"/>
      <c r="AD532" s="9"/>
    </row>
    <row r="533" spans="1:30" ht="43.5">
      <c r="A533" s="3" t="s">
        <v>2970</v>
      </c>
      <c r="B533" s="3" t="s">
        <v>8258</v>
      </c>
      <c r="C533" s="3" t="s">
        <v>8257</v>
      </c>
      <c r="G533" s="9" t="s">
        <v>25</v>
      </c>
      <c r="H533" s="9"/>
      <c r="I533" s="9">
        <v>1</v>
      </c>
      <c r="J533" s="9">
        <v>2</v>
      </c>
      <c r="K533" s="9" t="s">
        <v>12123</v>
      </c>
      <c r="L533" s="9" t="s">
        <v>12119</v>
      </c>
      <c r="M533" s="9"/>
      <c r="N533" s="10"/>
      <c r="O533" s="9"/>
      <c r="P533" s="9">
        <v>526</v>
      </c>
      <c r="Q533" s="9">
        <f t="shared" si="8"/>
        <v>63.205960105743813</v>
      </c>
      <c r="R533" s="9"/>
      <c r="S533" s="9" t="s">
        <v>12795</v>
      </c>
      <c r="T533" s="9" t="s">
        <v>12795</v>
      </c>
      <c r="U533" s="9"/>
      <c r="V533" s="9"/>
      <c r="W533" s="9"/>
      <c r="X533" s="9"/>
      <c r="Y533" s="9"/>
      <c r="Z533" s="9"/>
      <c r="AA533" s="9"/>
      <c r="AB533" s="9"/>
      <c r="AC533" s="9"/>
      <c r="AD533" s="9"/>
    </row>
    <row r="534" spans="1:30" ht="58">
      <c r="A534" s="3" t="s">
        <v>2971</v>
      </c>
      <c r="B534" s="3" t="s">
        <v>8260</v>
      </c>
      <c r="C534" s="3" t="s">
        <v>8259</v>
      </c>
      <c r="G534" s="9" t="s">
        <v>25</v>
      </c>
      <c r="H534" s="9"/>
      <c r="I534" s="9">
        <v>3</v>
      </c>
      <c r="J534" s="9">
        <v>9</v>
      </c>
      <c r="K534" s="9"/>
      <c r="L534" s="9" t="s">
        <v>12079</v>
      </c>
      <c r="M534" s="9"/>
      <c r="N534" s="10"/>
      <c r="O534" s="9"/>
      <c r="P534" s="9">
        <v>75</v>
      </c>
      <c r="Q534" s="9">
        <f t="shared" si="8"/>
        <v>9.0122566690699344</v>
      </c>
      <c r="R534" s="9"/>
      <c r="S534" s="9" t="s">
        <v>12795</v>
      </c>
      <c r="T534" s="9" t="s">
        <v>12795</v>
      </c>
      <c r="U534" s="9"/>
      <c r="V534" s="9"/>
      <c r="W534" s="9"/>
      <c r="X534" s="9"/>
      <c r="Y534" s="9"/>
      <c r="Z534" s="9"/>
      <c r="AA534" s="9"/>
      <c r="AB534" s="9"/>
      <c r="AC534" s="9"/>
      <c r="AD534" s="9"/>
    </row>
    <row r="535" spans="1:30" ht="43.5">
      <c r="A535" s="3" t="s">
        <v>2976</v>
      </c>
      <c r="B535" s="3" t="s">
        <v>8267</v>
      </c>
      <c r="C535" s="3" t="s">
        <v>8268</v>
      </c>
      <c r="G535" s="9" t="s">
        <v>24</v>
      </c>
      <c r="H535" s="9"/>
      <c r="I535" s="9">
        <v>1</v>
      </c>
      <c r="J535" s="9">
        <v>1</v>
      </c>
      <c r="K535" s="9" t="s">
        <v>12078</v>
      </c>
      <c r="L535" s="9" t="s">
        <v>12119</v>
      </c>
      <c r="M535" s="9"/>
      <c r="N535" s="10"/>
      <c r="O535" s="9"/>
      <c r="P535" s="9">
        <v>11843</v>
      </c>
      <c r="Q535" s="9">
        <f t="shared" si="8"/>
        <v>1423.0954097572699</v>
      </c>
      <c r="R535" s="9"/>
      <c r="S535" s="9" t="s">
        <v>12795</v>
      </c>
      <c r="T535" s="9" t="s">
        <v>12795</v>
      </c>
      <c r="U535" s="9"/>
      <c r="V535" s="9"/>
      <c r="W535" s="9"/>
      <c r="X535" s="9"/>
      <c r="Y535" s="9"/>
      <c r="Z535" s="9"/>
      <c r="AA535" s="9"/>
      <c r="AB535" s="9"/>
      <c r="AC535" s="9"/>
      <c r="AD535" s="9"/>
    </row>
    <row r="536" spans="1:30" ht="29">
      <c r="A536" s="3" t="s">
        <v>2978</v>
      </c>
      <c r="B536" s="3" t="s">
        <v>8272</v>
      </c>
      <c r="C536" s="3" t="s">
        <v>8271</v>
      </c>
      <c r="F536" t="s">
        <v>19</v>
      </c>
      <c r="G536" s="9" t="s">
        <v>25</v>
      </c>
      <c r="H536" s="9"/>
      <c r="I536" s="9">
        <v>1</v>
      </c>
      <c r="J536" s="9">
        <v>3</v>
      </c>
      <c r="K536" s="9" t="s">
        <v>12123</v>
      </c>
      <c r="L536" s="9" t="s">
        <v>12079</v>
      </c>
      <c r="M536" s="9"/>
      <c r="N536" s="10"/>
      <c r="O536" s="9"/>
      <c r="P536" s="9">
        <v>887</v>
      </c>
      <c r="Q536" s="9">
        <f t="shared" si="8"/>
        <v>106.58495553953377</v>
      </c>
      <c r="R536" s="9"/>
      <c r="S536" s="9" t="s">
        <v>12795</v>
      </c>
      <c r="T536" s="9" t="s">
        <v>12795</v>
      </c>
      <c r="U536" s="9"/>
      <c r="V536" s="9"/>
      <c r="W536" s="9"/>
      <c r="X536" s="9"/>
      <c r="Y536" s="9"/>
      <c r="Z536" s="9"/>
      <c r="AA536" s="9"/>
      <c r="AB536" s="9"/>
      <c r="AC536" s="9"/>
      <c r="AD536" s="9"/>
    </row>
    <row r="537" spans="1:30" ht="58">
      <c r="A537" s="3" t="s">
        <v>2985</v>
      </c>
      <c r="B537" s="3" t="s">
        <v>8285</v>
      </c>
      <c r="C537" s="3" t="s">
        <v>8284</v>
      </c>
      <c r="F537" t="s">
        <v>19</v>
      </c>
      <c r="G537" s="9" t="s">
        <v>25</v>
      </c>
      <c r="H537" s="9"/>
      <c r="I537" s="9">
        <v>1</v>
      </c>
      <c r="J537" s="9">
        <v>4</v>
      </c>
      <c r="K537" s="9" t="s">
        <v>12078</v>
      </c>
      <c r="L537" s="9" t="s">
        <v>12073</v>
      </c>
      <c r="M537" s="9" t="s">
        <v>12149</v>
      </c>
      <c r="N537" s="10" t="s">
        <v>12143</v>
      </c>
      <c r="O537" s="9"/>
      <c r="P537" s="9">
        <v>11843</v>
      </c>
      <c r="Q537" s="9">
        <f t="shared" si="8"/>
        <v>1423.0954097572699</v>
      </c>
      <c r="R537" s="9"/>
      <c r="S537" s="9" t="s">
        <v>12795</v>
      </c>
      <c r="T537" s="9" t="s">
        <v>12795</v>
      </c>
      <c r="U537" s="9"/>
      <c r="V537" s="9"/>
      <c r="W537" s="9"/>
      <c r="X537" s="9"/>
      <c r="Y537" s="9"/>
      <c r="Z537" s="9"/>
      <c r="AA537" s="9"/>
      <c r="AB537" s="9"/>
      <c r="AC537" s="9"/>
      <c r="AD537" s="9"/>
    </row>
    <row r="538" spans="1:30" ht="43.5">
      <c r="A538" s="3" t="s">
        <v>2986</v>
      </c>
      <c r="B538" s="3" t="s">
        <v>8287</v>
      </c>
      <c r="C538" s="3" t="s">
        <v>8286</v>
      </c>
      <c r="G538" s="9" t="s">
        <v>25</v>
      </c>
      <c r="H538" s="9"/>
      <c r="I538" s="9">
        <v>1</v>
      </c>
      <c r="J538" s="9">
        <v>2</v>
      </c>
      <c r="K538" s="9" t="s">
        <v>12094</v>
      </c>
      <c r="L538" s="9" t="s">
        <v>12119</v>
      </c>
      <c r="M538" s="9"/>
      <c r="N538" s="10"/>
      <c r="O538" s="9"/>
      <c r="P538" s="9">
        <v>1496</v>
      </c>
      <c r="Q538" s="9">
        <f t="shared" si="8"/>
        <v>179.76447969238166</v>
      </c>
      <c r="R538" s="9"/>
      <c r="S538" s="9" t="s">
        <v>12795</v>
      </c>
      <c r="T538" s="9" t="s">
        <v>12795</v>
      </c>
      <c r="U538" s="9"/>
      <c r="V538" s="9"/>
      <c r="W538" s="9"/>
      <c r="X538" s="9"/>
      <c r="Y538" s="9"/>
      <c r="Z538" s="9"/>
      <c r="AA538" s="9"/>
      <c r="AB538" s="9"/>
      <c r="AC538" s="9"/>
      <c r="AD538" s="9"/>
    </row>
    <row r="539" spans="1:30" ht="72.5">
      <c r="A539" s="3" t="s">
        <v>2992</v>
      </c>
      <c r="B539" s="3" t="s">
        <v>8291</v>
      </c>
      <c r="C539" s="3" t="s">
        <v>8290</v>
      </c>
      <c r="G539" s="9" t="s">
        <v>24</v>
      </c>
      <c r="H539" s="9"/>
      <c r="I539" s="9">
        <v>1</v>
      </c>
      <c r="J539" s="9">
        <v>5</v>
      </c>
      <c r="K539" s="9" t="s">
        <v>12094</v>
      </c>
      <c r="L539" s="9" t="s">
        <v>12079</v>
      </c>
      <c r="M539" s="9"/>
      <c r="N539" s="10"/>
      <c r="O539" s="9"/>
      <c r="P539" s="9">
        <v>4240</v>
      </c>
      <c r="Q539" s="9">
        <f t="shared" si="8"/>
        <v>509.49291035808699</v>
      </c>
      <c r="R539" s="9"/>
      <c r="S539" s="9" t="s">
        <v>12795</v>
      </c>
      <c r="T539" s="9" t="s">
        <v>12795</v>
      </c>
      <c r="U539" s="9"/>
      <c r="V539" s="9"/>
      <c r="W539" s="9"/>
      <c r="X539" s="9"/>
      <c r="Y539" s="9"/>
      <c r="Z539" s="9"/>
      <c r="AA539" s="9"/>
      <c r="AB539" s="9"/>
      <c r="AC539" s="9"/>
      <c r="AD539" s="9"/>
    </row>
    <row r="540" spans="1:30" ht="232">
      <c r="A540" s="3" t="s">
        <v>2993</v>
      </c>
      <c r="B540" s="3" t="s">
        <v>8292</v>
      </c>
      <c r="C540" s="3" t="s">
        <v>8295</v>
      </c>
      <c r="G540" s="9" t="s">
        <v>24</v>
      </c>
      <c r="H540" s="9"/>
      <c r="I540" s="9">
        <v>1</v>
      </c>
      <c r="J540" s="9">
        <v>4</v>
      </c>
      <c r="K540" s="9" t="s">
        <v>12087</v>
      </c>
      <c r="L540" s="9" t="s">
        <v>12079</v>
      </c>
      <c r="M540" s="9"/>
      <c r="N540" s="10"/>
      <c r="O540" s="9"/>
      <c r="P540" s="9">
        <v>25</v>
      </c>
      <c r="Q540" s="9">
        <f t="shared" si="8"/>
        <v>3.0040855563566451</v>
      </c>
      <c r="R540" s="9"/>
      <c r="S540" s="9" t="s">
        <v>12795</v>
      </c>
      <c r="T540" s="9" t="s">
        <v>12795</v>
      </c>
      <c r="U540" s="9"/>
      <c r="V540" s="9"/>
      <c r="W540" s="9"/>
      <c r="X540" s="9"/>
      <c r="Y540" s="9"/>
      <c r="Z540" s="9"/>
      <c r="AA540" s="9"/>
      <c r="AB540" s="9"/>
      <c r="AC540" s="9"/>
      <c r="AD540" s="9"/>
    </row>
    <row r="541" spans="1:30" ht="116">
      <c r="A541" s="3" t="s">
        <v>2994</v>
      </c>
      <c r="B541" s="3" t="s">
        <v>8296</v>
      </c>
      <c r="C541" s="3" t="s">
        <v>8297</v>
      </c>
      <c r="G541" s="9" t="s">
        <v>24</v>
      </c>
      <c r="H541" s="9"/>
      <c r="I541" s="9">
        <v>1</v>
      </c>
      <c r="J541" s="9">
        <v>11</v>
      </c>
      <c r="K541" s="9" t="s">
        <v>12098</v>
      </c>
      <c r="L541" s="9" t="s">
        <v>12073</v>
      </c>
      <c r="M541" s="9" t="s">
        <v>12142</v>
      </c>
      <c r="N541" s="10" t="s">
        <v>12434</v>
      </c>
      <c r="O541" s="9" t="s">
        <v>12074</v>
      </c>
      <c r="P541" s="9">
        <v>101</v>
      </c>
      <c r="Q541" s="9">
        <f t="shared" si="8"/>
        <v>12.136505647680847</v>
      </c>
      <c r="R541" s="9"/>
      <c r="S541" s="9" t="s">
        <v>12795</v>
      </c>
      <c r="T541" s="9" t="s">
        <v>12795</v>
      </c>
      <c r="U541" s="9"/>
      <c r="V541" s="9"/>
      <c r="W541" s="9"/>
      <c r="X541" s="9"/>
      <c r="Y541" s="9"/>
      <c r="Z541" s="9"/>
      <c r="AA541" s="9"/>
      <c r="AB541" s="9"/>
      <c r="AC541" s="9"/>
      <c r="AD541" s="9"/>
    </row>
    <row r="542" spans="1:30" ht="58">
      <c r="A542" s="3" t="s">
        <v>2997</v>
      </c>
      <c r="B542" s="3" t="s">
        <v>8310</v>
      </c>
      <c r="C542" s="3" t="s">
        <v>8313</v>
      </c>
      <c r="G542" s="9" t="s">
        <v>24</v>
      </c>
      <c r="H542" s="9"/>
      <c r="I542" s="9">
        <v>1</v>
      </c>
      <c r="J542" s="9">
        <v>2</v>
      </c>
      <c r="K542" s="9" t="s">
        <v>12078</v>
      </c>
      <c r="L542" s="9" t="s">
        <v>12119</v>
      </c>
      <c r="M542" s="9"/>
      <c r="N542" s="10"/>
      <c r="O542" s="9"/>
      <c r="P542" s="9">
        <v>11843</v>
      </c>
      <c r="Q542" s="9">
        <f t="shared" si="8"/>
        <v>1423.0954097572699</v>
      </c>
      <c r="R542" s="9"/>
      <c r="S542" s="9" t="s">
        <v>12795</v>
      </c>
      <c r="T542" s="9" t="s">
        <v>12795</v>
      </c>
      <c r="U542" s="9"/>
      <c r="V542" s="9"/>
      <c r="W542" s="9"/>
      <c r="X542" s="9"/>
      <c r="Y542" s="9"/>
      <c r="Z542" s="9"/>
      <c r="AA542" s="9"/>
      <c r="AB542" s="9"/>
      <c r="AC542" s="9"/>
      <c r="AD542" s="9"/>
    </row>
    <row r="543" spans="1:30" ht="43.5">
      <c r="A543" s="3" t="s">
        <v>2998</v>
      </c>
      <c r="B543" s="3" t="s">
        <v>8314</v>
      </c>
      <c r="C543" s="3" t="s">
        <v>8315</v>
      </c>
      <c r="G543" s="9" t="s">
        <v>25</v>
      </c>
      <c r="H543" s="9"/>
      <c r="I543" s="9">
        <v>1</v>
      </c>
      <c r="J543" s="9">
        <v>2</v>
      </c>
      <c r="K543" s="9" t="s">
        <v>12096</v>
      </c>
      <c r="L543" s="9" t="s">
        <v>12119</v>
      </c>
      <c r="M543" s="9"/>
      <c r="N543" s="10"/>
      <c r="O543" s="9" t="s">
        <v>12074</v>
      </c>
      <c r="P543" s="9">
        <v>1294</v>
      </c>
      <c r="Q543" s="9">
        <f t="shared" si="8"/>
        <v>155.49146839701996</v>
      </c>
      <c r="R543" s="9"/>
      <c r="S543" s="9" t="s">
        <v>12795</v>
      </c>
      <c r="T543" s="9" t="s">
        <v>12795</v>
      </c>
      <c r="U543" s="9"/>
      <c r="V543" s="9"/>
      <c r="W543" s="9"/>
      <c r="X543" s="9"/>
      <c r="Y543" s="9"/>
      <c r="Z543" s="9"/>
      <c r="AA543" s="9"/>
      <c r="AB543" s="9"/>
      <c r="AC543" s="9"/>
      <c r="AD543" s="9"/>
    </row>
    <row r="544" spans="1:30" ht="101.5">
      <c r="A544" s="3" t="s">
        <v>3001</v>
      </c>
      <c r="B544" s="3" t="s">
        <v>8321</v>
      </c>
      <c r="C544" s="3" t="s">
        <v>8322</v>
      </c>
      <c r="G544" s="9" t="s">
        <v>24</v>
      </c>
      <c r="H544" s="9"/>
      <c r="I544" s="9">
        <v>1</v>
      </c>
      <c r="J544" s="9">
        <v>1</v>
      </c>
      <c r="K544" s="9" t="s">
        <v>12078</v>
      </c>
      <c r="L544" s="9" t="s">
        <v>12119</v>
      </c>
      <c r="M544" s="9"/>
      <c r="N544" s="10"/>
      <c r="O544" s="9"/>
      <c r="P544" s="9">
        <v>11843</v>
      </c>
      <c r="Q544" s="9">
        <f t="shared" si="8"/>
        <v>1423.0954097572699</v>
      </c>
      <c r="R544" s="9"/>
      <c r="S544" s="9" t="s">
        <v>12795</v>
      </c>
      <c r="T544" s="9" t="s">
        <v>12795</v>
      </c>
      <c r="U544" s="9"/>
      <c r="V544" s="9"/>
      <c r="W544" s="9"/>
      <c r="X544" s="9"/>
      <c r="Y544" s="9"/>
      <c r="Z544" s="9"/>
      <c r="AA544" s="9"/>
      <c r="AB544" s="9"/>
      <c r="AC544" s="9"/>
      <c r="AD544" s="9"/>
    </row>
    <row r="545" spans="1:30" ht="101.5">
      <c r="A545" s="3" t="s">
        <v>3010</v>
      </c>
      <c r="B545" s="3" t="s">
        <v>8340</v>
      </c>
      <c r="C545" s="3" t="s">
        <v>8339</v>
      </c>
      <c r="G545" s="9" t="s">
        <v>25</v>
      </c>
      <c r="H545" s="9"/>
      <c r="I545" s="9">
        <v>4</v>
      </c>
      <c r="J545" s="9">
        <v>13</v>
      </c>
      <c r="K545" s="9"/>
      <c r="L545" s="9" t="s">
        <v>12079</v>
      </c>
      <c r="M545" s="9"/>
      <c r="N545" s="10"/>
      <c r="O545" s="9"/>
      <c r="P545" s="9">
        <v>173</v>
      </c>
      <c r="Q545" s="9">
        <f t="shared" si="8"/>
        <v>20.788272049987985</v>
      </c>
      <c r="R545" s="9"/>
      <c r="S545" s="9" t="s">
        <v>12795</v>
      </c>
      <c r="T545" s="9" t="s">
        <v>12795</v>
      </c>
      <c r="U545" s="9"/>
      <c r="V545" s="9"/>
      <c r="W545" s="9"/>
      <c r="X545" s="9"/>
      <c r="Y545" s="9"/>
      <c r="Z545" s="9"/>
      <c r="AA545" s="9"/>
      <c r="AB545" s="9"/>
      <c r="AC545" s="9"/>
      <c r="AD545" s="9"/>
    </row>
    <row r="546" spans="1:30" ht="72.5">
      <c r="A546" s="3" t="s">
        <v>3011</v>
      </c>
      <c r="B546" s="3" t="s">
        <v>8343</v>
      </c>
      <c r="C546" s="3" t="s">
        <v>8342</v>
      </c>
      <c r="F546" t="s">
        <v>19</v>
      </c>
      <c r="G546" s="9" t="s">
        <v>25</v>
      </c>
      <c r="H546" s="9"/>
      <c r="I546" s="9">
        <v>1</v>
      </c>
      <c r="J546" s="9">
        <v>2</v>
      </c>
      <c r="K546" s="9" t="s">
        <v>12087</v>
      </c>
      <c r="L546" s="9" t="s">
        <v>12119</v>
      </c>
      <c r="M546" s="9"/>
      <c r="N546" s="10"/>
      <c r="O546" s="9"/>
      <c r="P546" s="9">
        <v>207</v>
      </c>
      <c r="Q546" s="9">
        <f t="shared" si="8"/>
        <v>24.873828406633024</v>
      </c>
      <c r="R546" s="9"/>
      <c r="S546" s="9" t="s">
        <v>12795</v>
      </c>
      <c r="T546" s="9" t="s">
        <v>12795</v>
      </c>
      <c r="U546" s="9"/>
      <c r="V546" s="9"/>
      <c r="W546" s="9"/>
      <c r="X546" s="9"/>
      <c r="Y546" s="9"/>
      <c r="Z546" s="9"/>
      <c r="AA546" s="9"/>
      <c r="AB546" s="9"/>
      <c r="AC546" s="9"/>
      <c r="AD546" s="9"/>
    </row>
    <row r="547" spans="1:30" ht="58">
      <c r="A547" s="3" t="s">
        <v>3017</v>
      </c>
      <c r="B547" s="3" t="s">
        <v>8354</v>
      </c>
      <c r="C547" s="3" t="s">
        <v>8351</v>
      </c>
      <c r="G547" s="9" t="s">
        <v>25</v>
      </c>
      <c r="H547" s="9"/>
      <c r="I547" s="9">
        <v>1</v>
      </c>
      <c r="J547" s="9">
        <v>3</v>
      </c>
      <c r="K547" s="9" t="s">
        <v>12078</v>
      </c>
      <c r="L547" s="9" t="s">
        <v>12079</v>
      </c>
      <c r="M547" s="9"/>
      <c r="N547" s="10"/>
      <c r="O547" s="9"/>
      <c r="P547" s="9">
        <v>11843</v>
      </c>
      <c r="Q547" s="9">
        <f t="shared" si="8"/>
        <v>1423.0954097572699</v>
      </c>
      <c r="R547" s="9"/>
      <c r="S547" s="9" t="s">
        <v>12795</v>
      </c>
      <c r="T547" s="9" t="s">
        <v>12795</v>
      </c>
      <c r="U547" s="9"/>
      <c r="V547" s="9"/>
      <c r="W547" s="9"/>
      <c r="X547" s="9"/>
      <c r="Y547" s="9"/>
      <c r="Z547" s="9"/>
      <c r="AA547" s="9"/>
      <c r="AB547" s="9"/>
      <c r="AC547" s="9"/>
      <c r="AD547" s="9"/>
    </row>
    <row r="548" spans="1:30" ht="72.5">
      <c r="A548" s="3" t="s">
        <v>3017</v>
      </c>
      <c r="B548" s="3" t="s">
        <v>8356</v>
      </c>
      <c r="C548" s="3" t="s">
        <v>8355</v>
      </c>
      <c r="G548" s="9" t="s">
        <v>25</v>
      </c>
      <c r="H548" s="9"/>
      <c r="I548" s="9">
        <v>1</v>
      </c>
      <c r="J548" s="9">
        <v>3</v>
      </c>
      <c r="K548" s="9" t="s">
        <v>12078</v>
      </c>
      <c r="L548" s="9" t="s">
        <v>12079</v>
      </c>
      <c r="M548" s="9"/>
      <c r="N548" s="10"/>
      <c r="O548" s="9"/>
      <c r="P548" s="9">
        <v>11843</v>
      </c>
      <c r="Q548" s="9">
        <f t="shared" si="8"/>
        <v>1423.0954097572699</v>
      </c>
      <c r="R548" s="9"/>
      <c r="S548" s="9" t="s">
        <v>12795</v>
      </c>
      <c r="T548" s="9" t="s">
        <v>12795</v>
      </c>
      <c r="U548" s="9"/>
      <c r="V548" s="9"/>
      <c r="W548" s="9"/>
      <c r="X548" s="9"/>
      <c r="Y548" s="9"/>
      <c r="Z548" s="9"/>
      <c r="AA548" s="9"/>
      <c r="AB548" s="9"/>
      <c r="AC548" s="9"/>
      <c r="AD548" s="9"/>
    </row>
    <row r="549" spans="1:30" ht="72.5">
      <c r="A549" s="3" t="s">
        <v>3017</v>
      </c>
      <c r="B549" s="3" t="s">
        <v>8357</v>
      </c>
      <c r="C549" s="3" t="s">
        <v>8355</v>
      </c>
      <c r="G549" s="9" t="s">
        <v>25</v>
      </c>
      <c r="H549" s="9"/>
      <c r="I549" s="9">
        <v>1</v>
      </c>
      <c r="J549" s="9">
        <v>1</v>
      </c>
      <c r="K549" s="9" t="s">
        <v>12078</v>
      </c>
      <c r="L549" s="9" t="s">
        <v>12119</v>
      </c>
      <c r="M549" s="9"/>
      <c r="N549" s="10"/>
      <c r="O549" s="9"/>
      <c r="P549" s="9">
        <v>11843</v>
      </c>
      <c r="Q549" s="9">
        <f t="shared" si="8"/>
        <v>1423.0954097572699</v>
      </c>
      <c r="R549" s="9"/>
      <c r="S549" s="9" t="s">
        <v>12795</v>
      </c>
      <c r="T549" s="9" t="s">
        <v>12795</v>
      </c>
      <c r="U549" s="9"/>
      <c r="V549" s="9"/>
      <c r="W549" s="9"/>
      <c r="X549" s="9"/>
      <c r="Y549" s="9"/>
      <c r="Z549" s="9"/>
      <c r="AA549" s="9"/>
      <c r="AB549" s="9"/>
      <c r="AC549" s="9"/>
      <c r="AD549" s="9"/>
    </row>
    <row r="550" spans="1:30" ht="29">
      <c r="A550" s="3" t="s">
        <v>3022</v>
      </c>
      <c r="B550" s="3" t="s">
        <v>8364</v>
      </c>
      <c r="C550" s="3" t="s">
        <v>8363</v>
      </c>
      <c r="G550" s="9" t="s">
        <v>25</v>
      </c>
      <c r="H550" s="9"/>
      <c r="I550" s="9">
        <v>1</v>
      </c>
      <c r="J550" s="9">
        <v>1</v>
      </c>
      <c r="K550" s="9" t="s">
        <v>12078</v>
      </c>
      <c r="L550" s="9" t="s">
        <v>12119</v>
      </c>
      <c r="M550" s="9"/>
      <c r="N550" s="10"/>
      <c r="O550" s="9"/>
      <c r="P550" s="9">
        <v>11843</v>
      </c>
      <c r="Q550" s="9">
        <f t="shared" si="8"/>
        <v>1423.0954097572699</v>
      </c>
      <c r="R550" s="9"/>
      <c r="S550" s="9" t="s">
        <v>12795</v>
      </c>
      <c r="T550" s="9" t="s">
        <v>12795</v>
      </c>
      <c r="U550" s="9"/>
      <c r="V550" s="9"/>
      <c r="W550" s="9"/>
      <c r="X550" s="9"/>
      <c r="Y550" s="9"/>
      <c r="Z550" s="9"/>
      <c r="AA550" s="9"/>
      <c r="AB550" s="9"/>
      <c r="AC550" s="9"/>
      <c r="AD550" s="9"/>
    </row>
    <row r="551" spans="1:30" ht="43.5">
      <c r="A551" s="3" t="s">
        <v>3028</v>
      </c>
      <c r="B551" s="3" t="s">
        <v>8380</v>
      </c>
      <c r="C551" s="3" t="s">
        <v>8377</v>
      </c>
      <c r="G551" s="9" t="s">
        <v>25</v>
      </c>
      <c r="H551" s="9"/>
      <c r="I551" s="9">
        <v>1</v>
      </c>
      <c r="J551" s="9">
        <v>2</v>
      </c>
      <c r="K551" s="9" t="s">
        <v>12087</v>
      </c>
      <c r="L551" s="9" t="s">
        <v>12119</v>
      </c>
      <c r="M551" s="9"/>
      <c r="N551" s="10"/>
      <c r="O551" s="9"/>
      <c r="P551" s="9">
        <v>1966</v>
      </c>
      <c r="Q551" s="9">
        <f t="shared" si="8"/>
        <v>236.24128815188658</v>
      </c>
      <c r="R551" s="9"/>
      <c r="S551" s="9" t="s">
        <v>12795</v>
      </c>
      <c r="T551" s="9" t="s">
        <v>12795</v>
      </c>
      <c r="U551" s="9"/>
      <c r="V551" s="9"/>
      <c r="W551" s="9"/>
      <c r="X551" s="9"/>
      <c r="Y551" s="9"/>
      <c r="Z551" s="9"/>
      <c r="AA551" s="9"/>
      <c r="AB551" s="9"/>
      <c r="AC551" s="9"/>
      <c r="AD551" s="9"/>
    </row>
    <row r="552" spans="1:30" ht="29">
      <c r="A552" s="3" t="s">
        <v>3029</v>
      </c>
      <c r="B552" s="3" t="s">
        <v>6321</v>
      </c>
      <c r="C552" s="3" t="s">
        <v>6322</v>
      </c>
      <c r="G552" s="9" t="s">
        <v>24</v>
      </c>
      <c r="H552" s="9"/>
      <c r="I552" s="9">
        <v>1</v>
      </c>
      <c r="J552" s="9">
        <v>3</v>
      </c>
      <c r="K552" s="9" t="s">
        <v>12078</v>
      </c>
      <c r="L552" s="9" t="s">
        <v>12079</v>
      </c>
      <c r="M552" s="9"/>
      <c r="N552" s="10"/>
      <c r="O552" s="9"/>
      <c r="P552" s="9">
        <v>11843</v>
      </c>
      <c r="Q552" s="9">
        <f t="shared" si="8"/>
        <v>1423.0954097572699</v>
      </c>
      <c r="R552" s="9"/>
      <c r="S552" s="9" t="s">
        <v>12795</v>
      </c>
      <c r="T552" s="9" t="s">
        <v>12795</v>
      </c>
      <c r="U552" s="9" t="s">
        <v>12117</v>
      </c>
      <c r="V552" s="9"/>
      <c r="W552" s="9"/>
      <c r="X552" s="9"/>
      <c r="Y552" s="9"/>
      <c r="Z552" s="9"/>
      <c r="AA552" s="9"/>
      <c r="AB552" s="9"/>
      <c r="AC552" s="9"/>
      <c r="AD552" s="9"/>
    </row>
    <row r="553" spans="1:30" ht="43.5">
      <c r="A553" s="3" t="s">
        <v>3029</v>
      </c>
      <c r="B553" s="3" t="s">
        <v>8381</v>
      </c>
      <c r="C553" s="3" t="s">
        <v>12438</v>
      </c>
      <c r="G553" s="9" t="s">
        <v>25</v>
      </c>
      <c r="H553" s="9"/>
      <c r="I553" s="9">
        <v>1</v>
      </c>
      <c r="J553" s="9">
        <v>5</v>
      </c>
      <c r="K553" s="9" t="s">
        <v>12094</v>
      </c>
      <c r="L553" s="9" t="s">
        <v>12079</v>
      </c>
      <c r="M553" s="9"/>
      <c r="N553" s="10"/>
      <c r="O553" s="9"/>
      <c r="P553" s="9">
        <v>4240</v>
      </c>
      <c r="Q553" s="9">
        <f t="shared" si="8"/>
        <v>509.49291035808699</v>
      </c>
      <c r="R553" s="9"/>
      <c r="S553" s="9" t="s">
        <v>12795</v>
      </c>
      <c r="T553" s="9" t="s">
        <v>12795</v>
      </c>
      <c r="U553" s="9"/>
      <c r="V553" s="9"/>
      <c r="W553" s="9"/>
      <c r="X553" s="9"/>
      <c r="Y553" s="9"/>
      <c r="Z553" s="9"/>
      <c r="AA553" s="9"/>
      <c r="AB553" s="9"/>
      <c r="AC553" s="9"/>
      <c r="AD553" s="9"/>
    </row>
    <row r="554" spans="1:30" ht="29">
      <c r="A554" s="3" t="s">
        <v>3033</v>
      </c>
      <c r="B554" s="3" t="s">
        <v>8382</v>
      </c>
      <c r="C554" s="11" t="s">
        <v>8383</v>
      </c>
      <c r="G554" s="9" t="s">
        <v>25</v>
      </c>
      <c r="H554" s="9"/>
      <c r="I554" s="9">
        <v>1</v>
      </c>
      <c r="J554" s="9">
        <v>2</v>
      </c>
      <c r="K554" s="9" t="s">
        <v>12078</v>
      </c>
      <c r="L554" s="9" t="s">
        <v>12119</v>
      </c>
      <c r="M554" s="9"/>
      <c r="N554" s="10"/>
      <c r="O554" s="9"/>
      <c r="P554" s="9">
        <v>11843</v>
      </c>
      <c r="Q554" s="9">
        <f t="shared" si="8"/>
        <v>1423.0954097572699</v>
      </c>
      <c r="R554" s="9"/>
      <c r="S554" s="9" t="s">
        <v>12795</v>
      </c>
      <c r="T554" s="9" t="s">
        <v>12795</v>
      </c>
      <c r="U554" s="9"/>
      <c r="V554" s="9"/>
      <c r="W554" s="9"/>
      <c r="X554" s="9"/>
      <c r="Y554" s="9"/>
      <c r="Z554" s="9"/>
      <c r="AA554" s="9"/>
      <c r="AB554" s="9"/>
      <c r="AC554" s="9"/>
      <c r="AD554" s="9"/>
    </row>
    <row r="555" spans="1:30" ht="58">
      <c r="A555" s="3" t="s">
        <v>3033</v>
      </c>
      <c r="B555" s="3" t="s">
        <v>8385</v>
      </c>
      <c r="C555" s="3" t="s">
        <v>8384</v>
      </c>
      <c r="G555" s="9" t="s">
        <v>24</v>
      </c>
      <c r="H555" s="9"/>
      <c r="I555" s="9">
        <v>1</v>
      </c>
      <c r="J555" s="9">
        <v>5</v>
      </c>
      <c r="K555" s="9" t="s">
        <v>12094</v>
      </c>
      <c r="L555" s="9" t="s">
        <v>12079</v>
      </c>
      <c r="M555" s="9"/>
      <c r="N555" s="10"/>
      <c r="O555" s="9"/>
      <c r="P555" s="9">
        <v>4240</v>
      </c>
      <c r="Q555" s="9">
        <f t="shared" si="8"/>
        <v>509.49291035808699</v>
      </c>
      <c r="R555" s="9"/>
      <c r="S555" s="9" t="s">
        <v>12795</v>
      </c>
      <c r="T555" s="9" t="s">
        <v>12795</v>
      </c>
      <c r="U555" s="9"/>
      <c r="V555" s="9"/>
      <c r="W555" s="9"/>
      <c r="X555" s="9"/>
      <c r="Y555" s="9"/>
      <c r="Z555" s="9"/>
      <c r="AA555" s="9"/>
      <c r="AB555" s="9"/>
      <c r="AC555" s="9"/>
      <c r="AD555" s="9"/>
    </row>
    <row r="556" spans="1:30" ht="29">
      <c r="A556" s="3" t="s">
        <v>3036</v>
      </c>
      <c r="B556" s="3" t="s">
        <v>8388</v>
      </c>
      <c r="C556" s="3" t="s">
        <v>8389</v>
      </c>
      <c r="F556" t="s">
        <v>19</v>
      </c>
      <c r="G556" s="9" t="s">
        <v>24</v>
      </c>
      <c r="H556" s="9"/>
      <c r="I556" s="9">
        <v>1</v>
      </c>
      <c r="J556" s="9">
        <v>2</v>
      </c>
      <c r="K556" s="9" t="s">
        <v>12078</v>
      </c>
      <c r="L556" s="9" t="s">
        <v>12119</v>
      </c>
      <c r="M556" s="9"/>
      <c r="N556" s="10"/>
      <c r="O556" s="9"/>
      <c r="P556" s="9">
        <v>11843</v>
      </c>
      <c r="Q556" s="9">
        <f t="shared" si="8"/>
        <v>1423.0954097572699</v>
      </c>
      <c r="R556" s="9"/>
      <c r="S556" s="9" t="s">
        <v>12795</v>
      </c>
      <c r="T556" s="9" t="s">
        <v>12795</v>
      </c>
      <c r="U556" s="9"/>
      <c r="V556" s="9"/>
      <c r="W556" s="9"/>
      <c r="X556" s="9"/>
      <c r="Y556" s="9"/>
      <c r="Z556" s="9"/>
      <c r="AA556" s="9"/>
      <c r="AB556" s="9"/>
      <c r="AC556" s="9"/>
      <c r="AD556" s="9"/>
    </row>
    <row r="557" spans="1:30" ht="29">
      <c r="A557" s="3" t="s">
        <v>3045</v>
      </c>
      <c r="B557" s="3" t="s">
        <v>8404</v>
      </c>
      <c r="C557" s="3" t="s">
        <v>8403</v>
      </c>
      <c r="G557" s="9" t="s">
        <v>25</v>
      </c>
      <c r="H557" s="9"/>
      <c r="I557" s="9">
        <v>1</v>
      </c>
      <c r="J557" s="9">
        <v>3</v>
      </c>
      <c r="K557" s="9" t="s">
        <v>12123</v>
      </c>
      <c r="L557" s="9" t="s">
        <v>12079</v>
      </c>
      <c r="M557" s="9"/>
      <c r="N557" s="10"/>
      <c r="O557" s="9"/>
      <c r="P557" s="9">
        <v>92</v>
      </c>
      <c r="Q557" s="9">
        <f t="shared" si="8"/>
        <v>11.055034847392454</v>
      </c>
      <c r="R557" s="9"/>
      <c r="S557" s="9" t="s">
        <v>12795</v>
      </c>
      <c r="T557" s="9" t="s">
        <v>12795</v>
      </c>
      <c r="U557" s="9"/>
      <c r="V557" s="9"/>
      <c r="W557" s="9"/>
      <c r="X557" s="9"/>
      <c r="Y557" s="9"/>
      <c r="Z557" s="9"/>
      <c r="AA557" s="9"/>
      <c r="AB557" s="9"/>
      <c r="AC557" s="9"/>
      <c r="AD557" s="9"/>
    </row>
    <row r="558" spans="1:30" ht="43.5">
      <c r="A558" s="3" t="s">
        <v>3046</v>
      </c>
      <c r="B558" s="3" t="s">
        <v>5309</v>
      </c>
      <c r="C558" s="3" t="s">
        <v>5310</v>
      </c>
      <c r="G558" s="9" t="s">
        <v>25</v>
      </c>
      <c r="H558" s="9"/>
      <c r="I558" s="9">
        <v>1</v>
      </c>
      <c r="J558" s="9">
        <v>2</v>
      </c>
      <c r="K558" s="9" t="s">
        <v>12087</v>
      </c>
      <c r="L558" s="9" t="s">
        <v>12119</v>
      </c>
      <c r="M558" s="9"/>
      <c r="N558" s="10"/>
      <c r="O558" s="9"/>
      <c r="P558" s="9">
        <v>1966</v>
      </c>
      <c r="Q558" s="9">
        <f t="shared" si="8"/>
        <v>236.24128815188658</v>
      </c>
      <c r="R558" s="9"/>
      <c r="S558" s="9" t="s">
        <v>12795</v>
      </c>
      <c r="T558" s="9" t="s">
        <v>12795</v>
      </c>
      <c r="U558" s="9"/>
      <c r="V558" s="9"/>
      <c r="W558" s="9"/>
      <c r="X558" s="9"/>
      <c r="Y558" s="9"/>
      <c r="Z558" s="9"/>
      <c r="AA558" s="9"/>
      <c r="AB558" s="9"/>
      <c r="AC558" s="9"/>
      <c r="AD558" s="9"/>
    </row>
    <row r="559" spans="1:30" ht="43.5">
      <c r="A559" s="3" t="s">
        <v>3046</v>
      </c>
      <c r="B559" s="11" t="s">
        <v>8409</v>
      </c>
      <c r="C559" s="3" t="s">
        <v>8408</v>
      </c>
      <c r="G559" s="9" t="s">
        <v>25</v>
      </c>
      <c r="H559" s="9"/>
      <c r="I559" s="9">
        <v>1</v>
      </c>
      <c r="J559" s="9">
        <v>2</v>
      </c>
      <c r="K559" s="9" t="s">
        <v>12078</v>
      </c>
      <c r="L559" s="9" t="s">
        <v>12119</v>
      </c>
      <c r="M559" s="9"/>
      <c r="N559" s="10"/>
      <c r="O559" s="9"/>
      <c r="P559" s="9">
        <v>11843</v>
      </c>
      <c r="Q559" s="9">
        <f t="shared" si="8"/>
        <v>1423.0954097572699</v>
      </c>
      <c r="R559" s="9"/>
      <c r="S559" s="9" t="s">
        <v>12795</v>
      </c>
      <c r="T559" s="9" t="s">
        <v>12795</v>
      </c>
      <c r="U559" s="9"/>
      <c r="V559" s="9"/>
      <c r="W559" s="9"/>
      <c r="X559" s="9"/>
      <c r="Y559" s="9"/>
      <c r="Z559" s="9"/>
      <c r="AA559" s="9"/>
      <c r="AB559" s="9"/>
      <c r="AC559" s="9"/>
      <c r="AD559" s="9"/>
    </row>
    <row r="560" spans="1:30" ht="29">
      <c r="A560" s="3" t="s">
        <v>3063</v>
      </c>
      <c r="B560" s="3" t="s">
        <v>8420</v>
      </c>
      <c r="C560" s="3" t="s">
        <v>8421</v>
      </c>
      <c r="G560" s="9" t="s">
        <v>25</v>
      </c>
      <c r="H560" s="9"/>
      <c r="I560" s="9">
        <v>1</v>
      </c>
      <c r="J560" s="9">
        <v>1</v>
      </c>
      <c r="K560" s="9" t="s">
        <v>12078</v>
      </c>
      <c r="L560" s="9" t="s">
        <v>12119</v>
      </c>
      <c r="M560" s="9"/>
      <c r="N560" s="10"/>
      <c r="O560" s="9" t="s">
        <v>12074</v>
      </c>
      <c r="P560" s="9">
        <v>11843</v>
      </c>
      <c r="Q560" s="9">
        <f t="shared" si="8"/>
        <v>1423.0954097572699</v>
      </c>
      <c r="R560" s="9"/>
      <c r="S560" s="9" t="s">
        <v>12795</v>
      </c>
      <c r="T560" s="9" t="s">
        <v>12795</v>
      </c>
      <c r="U560" s="9"/>
      <c r="V560" s="9"/>
      <c r="W560" s="9"/>
      <c r="X560" s="9"/>
      <c r="Y560" s="9"/>
      <c r="Z560" s="9"/>
      <c r="AA560" s="9"/>
      <c r="AB560" s="9"/>
      <c r="AC560" s="9"/>
      <c r="AD560" s="9"/>
    </row>
    <row r="561" spans="1:30" ht="72.5">
      <c r="A561" s="3" t="s">
        <v>3064</v>
      </c>
      <c r="B561" s="3" t="s">
        <v>8422</v>
      </c>
      <c r="C561" s="3" t="s">
        <v>8423</v>
      </c>
      <c r="G561" s="9" t="s">
        <v>24</v>
      </c>
      <c r="H561" s="9"/>
      <c r="I561" s="9">
        <v>1</v>
      </c>
      <c r="J561" s="9">
        <v>4</v>
      </c>
      <c r="K561" s="9" t="s">
        <v>12094</v>
      </c>
      <c r="L561" s="9" t="s">
        <v>12079</v>
      </c>
      <c r="M561" s="9"/>
      <c r="N561" s="10"/>
      <c r="O561" s="9"/>
      <c r="P561" s="9">
        <v>4240</v>
      </c>
      <c r="Q561" s="9">
        <f t="shared" si="8"/>
        <v>509.49291035808699</v>
      </c>
      <c r="R561" s="9"/>
      <c r="S561" s="9" t="s">
        <v>12795</v>
      </c>
      <c r="T561" s="9" t="s">
        <v>12795</v>
      </c>
      <c r="U561" s="9"/>
      <c r="V561" s="9"/>
      <c r="W561" s="9"/>
      <c r="X561" s="9"/>
      <c r="Y561" s="9"/>
      <c r="Z561" s="9"/>
      <c r="AA561" s="9"/>
      <c r="AB561" s="9"/>
      <c r="AC561" s="9"/>
      <c r="AD561" s="9"/>
    </row>
    <row r="562" spans="1:30" ht="101.5">
      <c r="A562" s="3" t="s">
        <v>3069</v>
      </c>
      <c r="B562" s="3" t="s">
        <v>8427</v>
      </c>
      <c r="C562" s="3" t="s">
        <v>8428</v>
      </c>
      <c r="G562" s="9" t="s">
        <v>25</v>
      </c>
      <c r="H562" s="9"/>
      <c r="I562" s="9">
        <v>1</v>
      </c>
      <c r="J562" s="9">
        <v>3</v>
      </c>
      <c r="K562" s="9" t="s">
        <v>12072</v>
      </c>
      <c r="L562" s="9" t="s">
        <v>12079</v>
      </c>
      <c r="M562" s="9"/>
      <c r="N562" s="10"/>
      <c r="O562" s="9"/>
      <c r="P562" s="9">
        <v>214</v>
      </c>
      <c r="Q562" s="9">
        <f t="shared" si="8"/>
        <v>25.71497236241288</v>
      </c>
      <c r="R562" s="9"/>
      <c r="S562" s="9" t="s">
        <v>12795</v>
      </c>
      <c r="T562" s="9" t="s">
        <v>12795</v>
      </c>
      <c r="U562" s="9"/>
      <c r="V562" s="9"/>
      <c r="W562" s="9"/>
      <c r="X562" s="9"/>
      <c r="Y562" s="9"/>
      <c r="Z562" s="9"/>
      <c r="AA562" s="9"/>
      <c r="AB562" s="9"/>
      <c r="AC562" s="9"/>
      <c r="AD562" s="9"/>
    </row>
    <row r="563" spans="1:30" ht="43.5">
      <c r="A563" s="3" t="s">
        <v>3073</v>
      </c>
      <c r="B563" s="3" t="s">
        <v>8438</v>
      </c>
      <c r="C563" s="3" t="s">
        <v>8437</v>
      </c>
      <c r="G563" s="9" t="s">
        <v>25</v>
      </c>
      <c r="H563" s="9"/>
      <c r="I563" s="9">
        <v>1</v>
      </c>
      <c r="J563" s="9">
        <v>6</v>
      </c>
      <c r="K563" s="9" t="s">
        <v>12094</v>
      </c>
      <c r="L563" s="9" t="s">
        <v>12079</v>
      </c>
      <c r="M563" s="9"/>
      <c r="N563" s="10"/>
      <c r="O563" s="9"/>
      <c r="P563" s="9">
        <v>4240</v>
      </c>
      <c r="Q563" s="9">
        <f t="shared" si="8"/>
        <v>509.49291035808699</v>
      </c>
      <c r="R563" s="9"/>
      <c r="S563" s="9" t="s">
        <v>12795</v>
      </c>
      <c r="T563" s="9" t="s">
        <v>12795</v>
      </c>
      <c r="U563" s="9"/>
      <c r="V563" s="9"/>
      <c r="W563" s="9"/>
      <c r="X563" s="9"/>
      <c r="Y563" s="9"/>
      <c r="Z563" s="9"/>
      <c r="AA563" s="9"/>
      <c r="AB563" s="9"/>
      <c r="AC563" s="9"/>
      <c r="AD563" s="9"/>
    </row>
    <row r="564" spans="1:30" ht="58">
      <c r="A564" s="3" t="s">
        <v>3075</v>
      </c>
      <c r="B564" s="3" t="s">
        <v>5938</v>
      </c>
      <c r="C564" s="3" t="s">
        <v>8439</v>
      </c>
      <c r="G564" s="9" t="s">
        <v>24</v>
      </c>
      <c r="H564" s="9"/>
      <c r="I564" s="9">
        <v>1</v>
      </c>
      <c r="J564" s="9">
        <v>2</v>
      </c>
      <c r="K564" s="9" t="s">
        <v>12087</v>
      </c>
      <c r="L564" s="9" t="s">
        <v>12119</v>
      </c>
      <c r="M564" s="9"/>
      <c r="N564" s="10"/>
      <c r="O564" s="9"/>
      <c r="P564" s="9">
        <v>1966</v>
      </c>
      <c r="Q564" s="9">
        <f t="shared" si="8"/>
        <v>236.24128815188658</v>
      </c>
      <c r="R564" s="9"/>
      <c r="S564" s="9" t="s">
        <v>12795</v>
      </c>
      <c r="T564" s="9" t="s">
        <v>12795</v>
      </c>
      <c r="U564" s="9"/>
      <c r="V564" s="9"/>
      <c r="W564" s="9"/>
      <c r="X564" s="9"/>
      <c r="Y564" s="9"/>
      <c r="Z564" s="9"/>
      <c r="AA564" s="9"/>
      <c r="AB564" s="9"/>
      <c r="AC564" s="9"/>
      <c r="AD564" s="9"/>
    </row>
    <row r="565" spans="1:30" ht="58">
      <c r="A565" s="3" t="s">
        <v>3079</v>
      </c>
      <c r="B565" s="3" t="s">
        <v>8444</v>
      </c>
      <c r="C565" s="3" t="s">
        <v>8445</v>
      </c>
      <c r="G565" s="9" t="s">
        <v>24</v>
      </c>
      <c r="H565" s="9"/>
      <c r="I565" s="9">
        <v>1</v>
      </c>
      <c r="J565" s="9">
        <v>3</v>
      </c>
      <c r="K565" s="9" t="s">
        <v>12078</v>
      </c>
      <c r="L565" s="9" t="s">
        <v>12073</v>
      </c>
      <c r="M565" s="9" t="s">
        <v>12149</v>
      </c>
      <c r="N565" s="10" t="s">
        <v>12143</v>
      </c>
      <c r="O565" s="9"/>
      <c r="P565" s="9">
        <v>11843</v>
      </c>
      <c r="Q565" s="9">
        <f t="shared" si="8"/>
        <v>1423.0954097572699</v>
      </c>
      <c r="R565" s="9"/>
      <c r="S565" s="9" t="s">
        <v>12795</v>
      </c>
      <c r="T565" s="9" t="s">
        <v>12795</v>
      </c>
      <c r="U565" s="9"/>
      <c r="V565" s="9"/>
      <c r="W565" s="9"/>
      <c r="X565" s="9"/>
      <c r="Y565" s="9"/>
      <c r="Z565" s="9"/>
      <c r="AA565" s="9"/>
      <c r="AB565" s="9"/>
      <c r="AC565" s="9"/>
      <c r="AD565" s="9"/>
    </row>
    <row r="566" spans="1:30" ht="58">
      <c r="A566" s="3" t="s">
        <v>3080</v>
      </c>
      <c r="B566" s="3" t="s">
        <v>8449</v>
      </c>
      <c r="C566" s="3" t="s">
        <v>8448</v>
      </c>
      <c r="G566" s="9" t="s">
        <v>24</v>
      </c>
      <c r="H566" s="9"/>
      <c r="I566" s="9">
        <v>2</v>
      </c>
      <c r="J566" s="9">
        <v>10</v>
      </c>
      <c r="K566" s="9"/>
      <c r="L566" s="9" t="s">
        <v>12079</v>
      </c>
      <c r="M566" s="9"/>
      <c r="N566" s="10"/>
      <c r="O566" s="9"/>
      <c r="P566" s="9">
        <v>508</v>
      </c>
      <c r="Q566" s="9">
        <f t="shared" si="8"/>
        <v>61.043018505167026</v>
      </c>
      <c r="R566" s="9"/>
      <c r="S566" s="9" t="s">
        <v>12795</v>
      </c>
      <c r="T566" s="9" t="s">
        <v>12795</v>
      </c>
      <c r="U566" s="9"/>
      <c r="V566" s="9"/>
      <c r="W566" s="9"/>
      <c r="X566" s="9"/>
      <c r="Y566" s="9"/>
      <c r="Z566" s="9"/>
      <c r="AA566" s="9"/>
      <c r="AB566" s="9"/>
      <c r="AC566" s="9"/>
      <c r="AD566" s="9"/>
    </row>
    <row r="567" spans="1:30" ht="43.5">
      <c r="A567" s="3" t="s">
        <v>3097</v>
      </c>
      <c r="B567" s="3" t="s">
        <v>8462</v>
      </c>
      <c r="C567" s="3" t="s">
        <v>8463</v>
      </c>
      <c r="G567" s="9" t="s">
        <v>25</v>
      </c>
      <c r="H567" s="9"/>
      <c r="I567" s="9">
        <v>1</v>
      </c>
      <c r="J567" s="9">
        <v>3</v>
      </c>
      <c r="K567" s="9" t="s">
        <v>12078</v>
      </c>
      <c r="L567" s="9" t="s">
        <v>12073</v>
      </c>
      <c r="M567" s="9" t="s">
        <v>12149</v>
      </c>
      <c r="N567" s="10" t="s">
        <v>12143</v>
      </c>
      <c r="O567" s="9"/>
      <c r="P567" s="9">
        <v>11843</v>
      </c>
      <c r="Q567" s="9">
        <f t="shared" si="8"/>
        <v>1423.0954097572699</v>
      </c>
      <c r="R567" s="9"/>
      <c r="S567" s="9" t="s">
        <v>12795</v>
      </c>
      <c r="T567" s="9" t="s">
        <v>12795</v>
      </c>
      <c r="U567" s="9"/>
      <c r="V567" s="9"/>
      <c r="W567" s="9"/>
      <c r="X567" s="9"/>
      <c r="Y567" s="9"/>
      <c r="Z567" s="9"/>
      <c r="AA567" s="9"/>
      <c r="AB567" s="9"/>
      <c r="AC567" s="9"/>
      <c r="AD567" s="9"/>
    </row>
    <row r="568" spans="1:30" ht="29">
      <c r="A568" s="3" t="s">
        <v>3097</v>
      </c>
      <c r="B568" s="3" t="s">
        <v>8464</v>
      </c>
      <c r="C568" s="3" t="s">
        <v>8465</v>
      </c>
      <c r="G568" s="9" t="s">
        <v>25</v>
      </c>
      <c r="H568" s="9"/>
      <c r="I568" s="9">
        <v>1</v>
      </c>
      <c r="J568" s="9">
        <v>5</v>
      </c>
      <c r="K568" s="9" t="s">
        <v>12094</v>
      </c>
      <c r="L568" s="9" t="s">
        <v>12073</v>
      </c>
      <c r="M568" s="9" t="s">
        <v>12149</v>
      </c>
      <c r="N568" s="10" t="s">
        <v>12160</v>
      </c>
      <c r="O568" s="9"/>
      <c r="P568" s="9">
        <v>4240</v>
      </c>
      <c r="Q568" s="9">
        <f t="shared" si="8"/>
        <v>509.49291035808699</v>
      </c>
      <c r="R568" s="9"/>
      <c r="S568" s="9" t="s">
        <v>12795</v>
      </c>
      <c r="T568" s="9" t="s">
        <v>12795</v>
      </c>
      <c r="U568" s="9"/>
      <c r="V568" s="9"/>
      <c r="W568" s="9"/>
      <c r="X568" s="9"/>
      <c r="Y568" s="9"/>
      <c r="Z568" s="9"/>
      <c r="AA568" s="9"/>
      <c r="AB568" s="9"/>
      <c r="AC568" s="9"/>
      <c r="AD568" s="9"/>
    </row>
    <row r="569" spans="1:30" ht="43.5">
      <c r="A569" s="3" t="s">
        <v>3098</v>
      </c>
      <c r="B569" s="3" t="s">
        <v>8467</v>
      </c>
      <c r="C569" s="3" t="s">
        <v>8466</v>
      </c>
      <c r="G569" s="9" t="s">
        <v>24</v>
      </c>
      <c r="H569" s="9"/>
      <c r="I569" s="9">
        <v>1</v>
      </c>
      <c r="J569" s="9">
        <v>3</v>
      </c>
      <c r="K569" s="9" t="s">
        <v>12087</v>
      </c>
      <c r="L569" s="9" t="s">
        <v>12079</v>
      </c>
      <c r="M569" s="9"/>
      <c r="N569" s="10"/>
      <c r="O569" s="9"/>
      <c r="P569" s="9">
        <v>5676</v>
      </c>
      <c r="Q569" s="9">
        <f t="shared" si="8"/>
        <v>682.04758471521268</v>
      </c>
      <c r="R569" s="9"/>
      <c r="S569" s="9" t="s">
        <v>12795</v>
      </c>
      <c r="T569" s="9" t="s">
        <v>12795</v>
      </c>
      <c r="U569" s="9"/>
      <c r="V569" s="9"/>
      <c r="W569" s="9"/>
      <c r="X569" s="9"/>
      <c r="Y569" s="9"/>
      <c r="Z569" s="9"/>
      <c r="AA569" s="9"/>
      <c r="AB569" s="9"/>
      <c r="AC569" s="9"/>
      <c r="AD569" s="9"/>
    </row>
    <row r="570" spans="1:30" ht="29">
      <c r="A570" s="3" t="s">
        <v>3100</v>
      </c>
      <c r="B570" s="3" t="s">
        <v>8476</v>
      </c>
      <c r="C570" s="3" t="s">
        <v>8477</v>
      </c>
      <c r="G570" s="9" t="s">
        <v>24</v>
      </c>
      <c r="H570" s="9"/>
      <c r="I570" s="9">
        <v>1</v>
      </c>
      <c r="J570" s="9">
        <v>3</v>
      </c>
      <c r="K570" s="9" t="s">
        <v>12123</v>
      </c>
      <c r="L570" s="9" t="s">
        <v>12073</v>
      </c>
      <c r="M570" s="9" t="s">
        <v>12142</v>
      </c>
      <c r="N570" s="10" t="s">
        <v>12143</v>
      </c>
      <c r="O570" s="9" t="s">
        <v>12074</v>
      </c>
      <c r="P570" s="9">
        <v>887</v>
      </c>
      <c r="Q570" s="9">
        <f t="shared" si="8"/>
        <v>106.58495553953377</v>
      </c>
      <c r="R570" s="9"/>
      <c r="S570" s="9" t="s">
        <v>12795</v>
      </c>
      <c r="T570" s="9" t="s">
        <v>12795</v>
      </c>
      <c r="U570" s="9"/>
      <c r="V570" s="9"/>
      <c r="W570" s="9"/>
      <c r="X570" s="9"/>
      <c r="Y570" s="9"/>
      <c r="Z570" s="9"/>
      <c r="AA570" s="9"/>
      <c r="AB570" s="9"/>
      <c r="AC570" s="9"/>
      <c r="AD570" s="9"/>
    </row>
    <row r="571" spans="1:30" ht="72.5">
      <c r="A571" s="3" t="s">
        <v>3104</v>
      </c>
      <c r="B571" s="3" t="s">
        <v>8489</v>
      </c>
      <c r="C571" s="3" t="s">
        <v>8488</v>
      </c>
      <c r="G571" s="9" t="s">
        <v>25</v>
      </c>
      <c r="H571" s="9"/>
      <c r="I571" s="9">
        <v>1</v>
      </c>
      <c r="J571" s="9">
        <v>3</v>
      </c>
      <c r="K571" s="9" t="s">
        <v>12087</v>
      </c>
      <c r="L571" s="9" t="s">
        <v>12079</v>
      </c>
      <c r="M571" s="9"/>
      <c r="N571" s="10"/>
      <c r="O571" s="9"/>
      <c r="P571" s="9">
        <v>5676</v>
      </c>
      <c r="Q571" s="9">
        <f t="shared" si="8"/>
        <v>682.04758471521268</v>
      </c>
      <c r="R571" s="9"/>
      <c r="S571" s="9" t="s">
        <v>12795</v>
      </c>
      <c r="T571" s="9" t="s">
        <v>12795</v>
      </c>
      <c r="U571" s="9"/>
      <c r="V571" s="9"/>
      <c r="W571" s="9"/>
      <c r="X571" s="9"/>
      <c r="Y571" s="9"/>
      <c r="Z571" s="9"/>
      <c r="AA571" s="9"/>
      <c r="AB571" s="9"/>
      <c r="AC571" s="9"/>
      <c r="AD571" s="9"/>
    </row>
    <row r="572" spans="1:30" ht="29">
      <c r="A572" s="3" t="s">
        <v>3108</v>
      </c>
      <c r="B572" s="3" t="s">
        <v>8505</v>
      </c>
      <c r="C572" s="3" t="s">
        <v>8504</v>
      </c>
      <c r="G572" s="9" t="s">
        <v>24</v>
      </c>
      <c r="H572" s="9"/>
      <c r="I572" s="9">
        <v>1</v>
      </c>
      <c r="J572" s="9">
        <v>2</v>
      </c>
      <c r="K572" s="9" t="s">
        <v>12087</v>
      </c>
      <c r="L572" s="9" t="s">
        <v>12119</v>
      </c>
      <c r="M572" s="9"/>
      <c r="N572" s="10"/>
      <c r="O572" s="9"/>
      <c r="P572" s="9">
        <v>1966</v>
      </c>
      <c r="Q572" s="9">
        <f t="shared" si="8"/>
        <v>236.24128815188658</v>
      </c>
      <c r="R572" s="9"/>
      <c r="S572" s="9" t="s">
        <v>12795</v>
      </c>
      <c r="T572" s="9" t="s">
        <v>12795</v>
      </c>
      <c r="U572" s="9"/>
      <c r="V572" s="9"/>
      <c r="W572" s="9"/>
      <c r="X572" s="9"/>
      <c r="Y572" s="9"/>
      <c r="Z572" s="9"/>
      <c r="AA572" s="9"/>
      <c r="AB572" s="9"/>
      <c r="AC572" s="9"/>
      <c r="AD572" s="9"/>
    </row>
    <row r="573" spans="1:30" ht="87">
      <c r="A573" s="3" t="s">
        <v>3112</v>
      </c>
      <c r="B573" s="3" t="s">
        <v>8517</v>
      </c>
      <c r="C573" s="3" t="s">
        <v>8516</v>
      </c>
      <c r="G573" s="9" t="s">
        <v>25</v>
      </c>
      <c r="H573" s="9"/>
      <c r="I573" s="9">
        <v>3</v>
      </c>
      <c r="J573" s="9">
        <v>16</v>
      </c>
      <c r="K573" s="9"/>
      <c r="L573" s="9" t="s">
        <v>12073</v>
      </c>
      <c r="M573" s="9" t="s">
        <v>12140</v>
      </c>
      <c r="N573" s="10" t="s">
        <v>12137</v>
      </c>
      <c r="O573" s="9"/>
      <c r="P573" s="9">
        <v>591</v>
      </c>
      <c r="Q573" s="9">
        <f t="shared" si="8"/>
        <v>71.016582552271089</v>
      </c>
      <c r="R573" s="9"/>
      <c r="S573" s="9" t="s">
        <v>12795</v>
      </c>
      <c r="T573" s="9" t="s">
        <v>12795</v>
      </c>
      <c r="U573" s="9"/>
      <c r="V573" s="9"/>
      <c r="W573" s="9"/>
      <c r="X573" s="9"/>
      <c r="Y573" s="9"/>
      <c r="Z573" s="9"/>
      <c r="AA573" s="9"/>
      <c r="AB573" s="9"/>
      <c r="AC573" s="9"/>
      <c r="AD573" s="9"/>
    </row>
    <row r="574" spans="1:30" ht="101.5">
      <c r="A574" s="3" t="s">
        <v>3116</v>
      </c>
      <c r="B574" s="3" t="s">
        <v>8525</v>
      </c>
      <c r="C574" s="3" t="s">
        <v>8524</v>
      </c>
      <c r="G574" s="9" t="s">
        <v>25</v>
      </c>
      <c r="H574" s="9"/>
      <c r="I574" s="9">
        <v>1</v>
      </c>
      <c r="J574" s="9">
        <v>2</v>
      </c>
      <c r="K574" s="9" t="s">
        <v>12087</v>
      </c>
      <c r="L574" s="9" t="s">
        <v>12119</v>
      </c>
      <c r="M574" s="9"/>
      <c r="N574" s="10"/>
      <c r="O574" s="9"/>
      <c r="P574" s="9">
        <v>1966</v>
      </c>
      <c r="Q574" s="9">
        <f t="shared" si="8"/>
        <v>236.24128815188658</v>
      </c>
      <c r="R574" s="9"/>
      <c r="S574" s="9" t="s">
        <v>12795</v>
      </c>
      <c r="T574" s="9" t="s">
        <v>12795</v>
      </c>
      <c r="U574" s="9"/>
      <c r="V574" s="9"/>
      <c r="W574" s="9"/>
      <c r="X574" s="9"/>
      <c r="Y574" s="9"/>
      <c r="Z574" s="9"/>
      <c r="AA574" s="9"/>
      <c r="AB574" s="9"/>
      <c r="AC574" s="9"/>
      <c r="AD574" s="9"/>
    </row>
    <row r="575" spans="1:30" ht="101.5">
      <c r="A575" s="3" t="s">
        <v>3116</v>
      </c>
      <c r="B575" s="3" t="s">
        <v>12444</v>
      </c>
      <c r="C575" s="3" t="s">
        <v>8524</v>
      </c>
      <c r="G575" s="9" t="s">
        <v>25</v>
      </c>
      <c r="H575" s="9"/>
      <c r="I575" s="9">
        <v>5</v>
      </c>
      <c r="J575" s="9">
        <v>16</v>
      </c>
      <c r="K575" s="9"/>
      <c r="L575" s="9" t="s">
        <v>12073</v>
      </c>
      <c r="M575" s="9" t="s">
        <v>12140</v>
      </c>
      <c r="N575" s="10" t="s">
        <v>12417</v>
      </c>
      <c r="O575" s="9"/>
      <c r="P575" s="9">
        <v>133</v>
      </c>
      <c r="Q575" s="9">
        <f t="shared" si="8"/>
        <v>15.981735159817353</v>
      </c>
      <c r="R575" s="9"/>
      <c r="S575" s="9" t="s">
        <v>12795</v>
      </c>
      <c r="T575" s="9" t="s">
        <v>12795</v>
      </c>
      <c r="U575" s="9"/>
      <c r="V575" s="9"/>
      <c r="W575" s="9"/>
      <c r="X575" s="9"/>
      <c r="Y575" s="9"/>
      <c r="Z575" s="9"/>
      <c r="AA575" s="9"/>
      <c r="AB575" s="9"/>
      <c r="AC575" s="9"/>
      <c r="AD575" s="9"/>
    </row>
    <row r="576" spans="1:30" ht="29">
      <c r="A576" s="3" t="s">
        <v>3117</v>
      </c>
      <c r="B576" s="3" t="s">
        <v>8527</v>
      </c>
      <c r="C576" s="3" t="s">
        <v>8526</v>
      </c>
      <c r="G576" s="9" t="s">
        <v>24</v>
      </c>
      <c r="H576" s="9"/>
      <c r="I576" s="9">
        <v>1</v>
      </c>
      <c r="J576" s="9">
        <v>2</v>
      </c>
      <c r="K576" s="9" t="s">
        <v>12087</v>
      </c>
      <c r="L576" s="9" t="s">
        <v>12119</v>
      </c>
      <c r="M576" s="9"/>
      <c r="N576" s="10"/>
      <c r="O576" s="9"/>
      <c r="P576" s="9">
        <v>1966</v>
      </c>
      <c r="Q576" s="9">
        <f t="shared" si="8"/>
        <v>236.24128815188658</v>
      </c>
      <c r="R576" s="9"/>
      <c r="S576" s="9" t="s">
        <v>12795</v>
      </c>
      <c r="T576" s="9" t="s">
        <v>12795</v>
      </c>
      <c r="U576" s="9"/>
      <c r="V576" s="9"/>
      <c r="W576" s="9"/>
      <c r="X576" s="9"/>
      <c r="Y576" s="9"/>
      <c r="Z576" s="9"/>
      <c r="AA576" s="9"/>
      <c r="AB576" s="9"/>
      <c r="AC576" s="9"/>
      <c r="AD576" s="9"/>
    </row>
    <row r="577" spans="1:30" ht="58">
      <c r="A577" s="3" t="s">
        <v>3118</v>
      </c>
      <c r="B577" s="3" t="s">
        <v>8528</v>
      </c>
      <c r="C577" s="3" t="s">
        <v>8529</v>
      </c>
      <c r="G577" s="9" t="s">
        <v>25</v>
      </c>
      <c r="H577" s="9"/>
      <c r="I577" s="9">
        <v>1</v>
      </c>
      <c r="J577" s="9">
        <v>3</v>
      </c>
      <c r="K577" s="9" t="s">
        <v>12087</v>
      </c>
      <c r="L577" s="9" t="s">
        <v>12079</v>
      </c>
      <c r="M577" s="9"/>
      <c r="N577" s="10"/>
      <c r="O577" s="9"/>
      <c r="P577" s="9">
        <v>309</v>
      </c>
      <c r="Q577" s="9">
        <f t="shared" ref="Q577:Q640" si="9">IF(ISNUMBER(P577), (P577/$F$988)*10000, "")</f>
        <v>37.130497476568131</v>
      </c>
      <c r="R577" s="9"/>
      <c r="S577" s="9" t="s">
        <v>12795</v>
      </c>
      <c r="T577" s="9" t="s">
        <v>12795</v>
      </c>
      <c r="U577" s="9"/>
      <c r="V577" s="9"/>
      <c r="W577" s="9"/>
      <c r="X577" s="9"/>
      <c r="Y577" s="9"/>
      <c r="Z577" s="9"/>
      <c r="AA577" s="9"/>
      <c r="AB577" s="9"/>
      <c r="AC577" s="9"/>
      <c r="AD577" s="9"/>
    </row>
    <row r="578" spans="1:30" ht="43.5">
      <c r="A578" s="3" t="s">
        <v>3128</v>
      </c>
      <c r="B578" s="3" t="s">
        <v>8543</v>
      </c>
      <c r="C578" s="3" t="s">
        <v>8542</v>
      </c>
      <c r="G578" s="9" t="s">
        <v>24</v>
      </c>
      <c r="H578" s="9"/>
      <c r="I578" s="9">
        <v>1</v>
      </c>
      <c r="J578" s="9">
        <v>5</v>
      </c>
      <c r="K578" s="9" t="s">
        <v>12098</v>
      </c>
      <c r="L578" s="9" t="s">
        <v>12079</v>
      </c>
      <c r="M578" s="9"/>
      <c r="N578" s="10"/>
      <c r="O578" s="9"/>
      <c r="P578" s="9">
        <v>1565</v>
      </c>
      <c r="Q578" s="9">
        <f t="shared" si="9"/>
        <v>188.05575582792596</v>
      </c>
      <c r="R578" s="9"/>
      <c r="S578" s="9" t="s">
        <v>12795</v>
      </c>
      <c r="T578" s="9" t="s">
        <v>12795</v>
      </c>
      <c r="U578" s="9"/>
      <c r="V578" s="9"/>
      <c r="W578" s="9"/>
      <c r="X578" s="9"/>
      <c r="Y578" s="9"/>
      <c r="Z578" s="9"/>
      <c r="AA578" s="9"/>
      <c r="AB578" s="9"/>
      <c r="AC578" s="9"/>
      <c r="AD578" s="9"/>
    </row>
    <row r="579" spans="1:30" ht="43.5">
      <c r="A579" s="3" t="s">
        <v>3130</v>
      </c>
      <c r="B579" s="3" t="s">
        <v>8548</v>
      </c>
      <c r="C579" s="3" t="s">
        <v>8549</v>
      </c>
      <c r="G579" s="9" t="s">
        <v>24</v>
      </c>
      <c r="H579" s="9"/>
      <c r="I579" s="9">
        <v>1</v>
      </c>
      <c r="J579" s="9">
        <v>2</v>
      </c>
      <c r="K579" s="9" t="s">
        <v>12078</v>
      </c>
      <c r="L579" s="9" t="s">
        <v>12119</v>
      </c>
      <c r="M579" s="9"/>
      <c r="N579" s="10"/>
      <c r="O579" s="9"/>
      <c r="P579" s="9">
        <v>11843</v>
      </c>
      <c r="Q579" s="9">
        <f t="shared" si="9"/>
        <v>1423.0954097572699</v>
      </c>
      <c r="R579" s="9"/>
      <c r="S579" s="9" t="s">
        <v>12795</v>
      </c>
      <c r="T579" s="9" t="s">
        <v>12795</v>
      </c>
      <c r="U579" s="9"/>
      <c r="V579" s="9"/>
      <c r="W579" s="9"/>
      <c r="X579" s="9"/>
      <c r="Y579" s="9"/>
      <c r="Z579" s="9"/>
      <c r="AA579" s="9"/>
      <c r="AB579" s="9"/>
      <c r="AC579" s="9"/>
      <c r="AD579" s="9"/>
    </row>
    <row r="580" spans="1:30" ht="43.5">
      <c r="A580" s="3" t="s">
        <v>3130</v>
      </c>
      <c r="B580" s="3" t="s">
        <v>8548</v>
      </c>
      <c r="C580" s="3" t="s">
        <v>8550</v>
      </c>
      <c r="G580" s="9" t="s">
        <v>24</v>
      </c>
      <c r="H580" s="9"/>
      <c r="I580" s="9">
        <v>1</v>
      </c>
      <c r="J580" s="9">
        <v>2</v>
      </c>
      <c r="K580" s="9" t="s">
        <v>12078</v>
      </c>
      <c r="L580" s="9" t="s">
        <v>12119</v>
      </c>
      <c r="M580" s="9"/>
      <c r="N580" s="10"/>
      <c r="O580" s="9"/>
      <c r="P580" s="9">
        <v>11843</v>
      </c>
      <c r="Q580" s="9">
        <f t="shared" si="9"/>
        <v>1423.0954097572699</v>
      </c>
      <c r="R580" s="9"/>
      <c r="S580" s="9" t="s">
        <v>12795</v>
      </c>
      <c r="T580" s="9" t="s">
        <v>12795</v>
      </c>
      <c r="U580" s="9"/>
      <c r="V580" s="9"/>
      <c r="W580" s="9"/>
      <c r="X580" s="9"/>
      <c r="Y580" s="9"/>
      <c r="Z580" s="9"/>
      <c r="AA580" s="9"/>
      <c r="AB580" s="9"/>
      <c r="AC580" s="9"/>
      <c r="AD580" s="9"/>
    </row>
    <row r="581" spans="1:30" ht="29">
      <c r="A581" s="3" t="s">
        <v>3131</v>
      </c>
      <c r="B581" s="3" t="s">
        <v>8552</v>
      </c>
      <c r="C581" s="3" t="s">
        <v>8551</v>
      </c>
      <c r="G581" s="9" t="s">
        <v>24</v>
      </c>
      <c r="H581" s="9"/>
      <c r="I581" s="9">
        <v>1</v>
      </c>
      <c r="J581" s="9">
        <v>2</v>
      </c>
      <c r="K581" s="9" t="s">
        <v>12123</v>
      </c>
      <c r="L581" s="9" t="s">
        <v>12119</v>
      </c>
      <c r="M581" s="9"/>
      <c r="N581" s="10"/>
      <c r="O581" s="9"/>
      <c r="P581" s="9">
        <v>134</v>
      </c>
      <c r="Q581" s="9">
        <f t="shared" si="9"/>
        <v>16.101898582071616</v>
      </c>
      <c r="R581" s="9"/>
      <c r="S581" s="9" t="s">
        <v>12795</v>
      </c>
      <c r="T581" s="9" t="s">
        <v>12795</v>
      </c>
      <c r="U581" s="9"/>
      <c r="V581" s="9"/>
      <c r="W581" s="9"/>
      <c r="X581" s="9"/>
      <c r="Y581" s="9"/>
      <c r="Z581" s="9"/>
      <c r="AA581" s="9"/>
      <c r="AB581" s="9"/>
      <c r="AC581" s="9"/>
      <c r="AD581" s="9"/>
    </row>
    <row r="582" spans="1:30" ht="29">
      <c r="A582" s="3" t="s">
        <v>3131</v>
      </c>
      <c r="B582" s="3" t="s">
        <v>8554</v>
      </c>
      <c r="C582" s="3" t="s">
        <v>8553</v>
      </c>
      <c r="G582" s="9" t="s">
        <v>24</v>
      </c>
      <c r="H582" s="9"/>
      <c r="I582" s="9">
        <v>1</v>
      </c>
      <c r="J582" s="9">
        <v>2</v>
      </c>
      <c r="K582" s="9" t="s">
        <v>12123</v>
      </c>
      <c r="L582" s="9" t="s">
        <v>12119</v>
      </c>
      <c r="M582" s="9"/>
      <c r="N582" s="10"/>
      <c r="O582" s="9"/>
      <c r="P582" s="9">
        <v>526</v>
      </c>
      <c r="Q582" s="9">
        <f t="shared" si="9"/>
        <v>63.205960105743813</v>
      </c>
      <c r="R582" s="9"/>
      <c r="S582" s="9" t="s">
        <v>12795</v>
      </c>
      <c r="T582" s="9" t="s">
        <v>12795</v>
      </c>
      <c r="U582" s="9"/>
      <c r="V582" s="9"/>
      <c r="W582" s="9"/>
      <c r="X582" s="9"/>
      <c r="Y582" s="9"/>
      <c r="Z582" s="9"/>
      <c r="AA582" s="9"/>
      <c r="AB582" s="9"/>
      <c r="AC582" s="9"/>
      <c r="AD582" s="9"/>
    </row>
    <row r="583" spans="1:30" ht="58">
      <c r="A583" s="3" t="s">
        <v>3146</v>
      </c>
      <c r="B583" s="3" t="s">
        <v>8576</v>
      </c>
      <c r="C583" s="3" t="s">
        <v>8575</v>
      </c>
      <c r="G583" s="9" t="s">
        <v>25</v>
      </c>
      <c r="H583" s="9"/>
      <c r="I583" s="9">
        <v>2</v>
      </c>
      <c r="J583" s="9">
        <v>5</v>
      </c>
      <c r="K583" s="9"/>
      <c r="L583" s="9" t="s">
        <v>12073</v>
      </c>
      <c r="M583" s="9" t="s">
        <v>12142</v>
      </c>
      <c r="N583" s="10" t="s">
        <v>12160</v>
      </c>
      <c r="O583" s="9"/>
      <c r="P583" s="9">
        <v>301</v>
      </c>
      <c r="Q583" s="9">
        <f t="shared" si="9"/>
        <v>36.16919009853401</v>
      </c>
      <c r="R583" s="9"/>
      <c r="S583" s="9" t="s">
        <v>12795</v>
      </c>
      <c r="T583" s="9" t="s">
        <v>12795</v>
      </c>
      <c r="U583" s="9"/>
      <c r="V583" s="9"/>
      <c r="W583" s="9"/>
      <c r="X583" s="9"/>
      <c r="Y583" s="9"/>
      <c r="Z583" s="9"/>
      <c r="AA583" s="9"/>
      <c r="AB583" s="9"/>
      <c r="AC583" s="9"/>
      <c r="AD583" s="9"/>
    </row>
    <row r="584" spans="1:30" ht="58">
      <c r="A584" s="3" t="s">
        <v>3160</v>
      </c>
      <c r="B584" s="3" t="s">
        <v>8613</v>
      </c>
      <c r="C584" s="3" t="s">
        <v>8612</v>
      </c>
      <c r="F584" t="s">
        <v>19</v>
      </c>
      <c r="G584" s="9" t="s">
        <v>25</v>
      </c>
      <c r="H584" s="9"/>
      <c r="I584" s="9">
        <v>1</v>
      </c>
      <c r="J584" s="9">
        <v>3</v>
      </c>
      <c r="K584" s="9" t="s">
        <v>12087</v>
      </c>
      <c r="L584" s="9" t="s">
        <v>12079</v>
      </c>
      <c r="M584" s="9"/>
      <c r="N584" s="10"/>
      <c r="O584" s="9"/>
      <c r="P584" s="9">
        <v>356</v>
      </c>
      <c r="Q584" s="9">
        <f t="shared" si="9"/>
        <v>42.778178322518627</v>
      </c>
      <c r="R584" s="9"/>
      <c r="S584" s="9" t="s">
        <v>12795</v>
      </c>
      <c r="T584" s="9" t="s">
        <v>12795</v>
      </c>
      <c r="U584" s="9"/>
      <c r="V584" s="9"/>
      <c r="W584" s="9"/>
      <c r="X584" s="9"/>
      <c r="Y584" s="9"/>
      <c r="Z584" s="9"/>
      <c r="AA584" s="9"/>
      <c r="AB584" s="9"/>
      <c r="AC584" s="9"/>
      <c r="AD584" s="9"/>
    </row>
    <row r="585" spans="1:30" ht="29">
      <c r="A585" s="3" t="s">
        <v>3168</v>
      </c>
      <c r="B585" s="3" t="s">
        <v>8618</v>
      </c>
      <c r="C585" s="3" t="s">
        <v>8619</v>
      </c>
      <c r="G585" s="9" t="s">
        <v>25</v>
      </c>
      <c r="H585" s="9"/>
      <c r="I585" s="9">
        <v>1</v>
      </c>
      <c r="J585" s="9">
        <v>3</v>
      </c>
      <c r="K585" s="9" t="s">
        <v>12087</v>
      </c>
      <c r="L585" s="9" t="s">
        <v>12079</v>
      </c>
      <c r="M585" s="9"/>
      <c r="N585" s="10"/>
      <c r="O585" s="9"/>
      <c r="P585" s="9">
        <v>5676</v>
      </c>
      <c r="Q585" s="9">
        <f t="shared" si="9"/>
        <v>682.04758471521268</v>
      </c>
      <c r="R585" s="9"/>
      <c r="S585" s="9" t="s">
        <v>12795</v>
      </c>
      <c r="T585" s="9" t="s">
        <v>12795</v>
      </c>
      <c r="U585" s="9"/>
      <c r="V585" s="9"/>
      <c r="W585" s="9"/>
      <c r="X585" s="9"/>
      <c r="Y585" s="9"/>
      <c r="Z585" s="9"/>
      <c r="AA585" s="9"/>
      <c r="AB585" s="9"/>
      <c r="AC585" s="9"/>
      <c r="AD585" s="9"/>
    </row>
    <row r="586" spans="1:30" ht="319">
      <c r="A586" s="3" t="s">
        <v>3172</v>
      </c>
      <c r="B586" s="3" t="s">
        <v>12449</v>
      </c>
      <c r="C586" s="3" t="s">
        <v>12448</v>
      </c>
      <c r="G586" s="9" t="s">
        <v>25</v>
      </c>
      <c r="H586" s="9"/>
      <c r="I586" s="9">
        <v>15</v>
      </c>
      <c r="J586" s="9">
        <v>70</v>
      </c>
      <c r="K586" s="9"/>
      <c r="L586" s="9" t="s">
        <v>12073</v>
      </c>
      <c r="M586" s="9" t="s">
        <v>12140</v>
      </c>
      <c r="N586" s="10" t="s">
        <v>12450</v>
      </c>
      <c r="O586" s="9"/>
      <c r="P586" s="9">
        <v>11</v>
      </c>
      <c r="Q586" s="9">
        <f t="shared" si="9"/>
        <v>1.3217976447969237</v>
      </c>
      <c r="R586" s="9"/>
      <c r="S586" s="9" t="s">
        <v>12795</v>
      </c>
      <c r="T586" s="9" t="s">
        <v>12795</v>
      </c>
      <c r="U586" s="9"/>
      <c r="V586" s="9"/>
      <c r="W586" s="9"/>
      <c r="X586" s="9"/>
      <c r="Y586" s="9"/>
      <c r="Z586" s="9"/>
      <c r="AA586" s="9"/>
      <c r="AB586" s="9"/>
      <c r="AC586" s="9"/>
      <c r="AD586" s="9"/>
    </row>
    <row r="587" spans="1:30" ht="58">
      <c r="A587" s="3" t="s">
        <v>3183</v>
      </c>
      <c r="B587" s="3" t="s">
        <v>8639</v>
      </c>
      <c r="C587" s="3" t="s">
        <v>8636</v>
      </c>
      <c r="G587" s="9" t="s">
        <v>25</v>
      </c>
      <c r="H587" s="9"/>
      <c r="I587" s="9">
        <v>1</v>
      </c>
      <c r="J587" s="9">
        <v>1</v>
      </c>
      <c r="K587" s="9" t="s">
        <v>12078</v>
      </c>
      <c r="L587" s="9" t="s">
        <v>12119</v>
      </c>
      <c r="M587" s="9"/>
      <c r="N587" s="10"/>
      <c r="O587" s="9"/>
      <c r="P587" s="9">
        <v>11843</v>
      </c>
      <c r="Q587" s="9">
        <f t="shared" si="9"/>
        <v>1423.0954097572699</v>
      </c>
      <c r="R587" s="9"/>
      <c r="S587" s="9" t="s">
        <v>12795</v>
      </c>
      <c r="T587" s="9" t="s">
        <v>12795</v>
      </c>
      <c r="U587" s="9"/>
      <c r="V587" s="9"/>
      <c r="W587" s="9"/>
      <c r="X587" s="9"/>
      <c r="Y587" s="9"/>
      <c r="Z587" s="9"/>
      <c r="AA587" s="9"/>
      <c r="AB587" s="9"/>
      <c r="AC587" s="9"/>
      <c r="AD587" s="9"/>
    </row>
    <row r="588" spans="1:30" ht="29">
      <c r="A588" s="3" t="s">
        <v>3184</v>
      </c>
      <c r="B588" s="3" t="s">
        <v>8641</v>
      </c>
      <c r="C588" s="3" t="s">
        <v>8640</v>
      </c>
      <c r="G588" s="9" t="s">
        <v>24</v>
      </c>
      <c r="H588" s="9"/>
      <c r="I588" s="9">
        <v>1</v>
      </c>
      <c r="J588" s="9">
        <v>2</v>
      </c>
      <c r="K588" s="9" t="s">
        <v>12078</v>
      </c>
      <c r="L588" s="9" t="s">
        <v>12119</v>
      </c>
      <c r="M588" s="9"/>
      <c r="N588" s="10"/>
      <c r="O588" s="9"/>
      <c r="P588" s="9">
        <v>11843</v>
      </c>
      <c r="Q588" s="9">
        <f t="shared" si="9"/>
        <v>1423.0954097572699</v>
      </c>
      <c r="R588" s="9"/>
      <c r="S588" s="9" t="s">
        <v>12795</v>
      </c>
      <c r="T588" s="9" t="s">
        <v>12795</v>
      </c>
      <c r="U588" s="9"/>
      <c r="V588" s="9"/>
      <c r="W588" s="9"/>
      <c r="X588" s="9"/>
      <c r="Y588" s="9"/>
      <c r="Z588" s="9"/>
      <c r="AA588" s="9"/>
      <c r="AB588" s="9"/>
      <c r="AC588" s="9"/>
      <c r="AD588" s="9"/>
    </row>
    <row r="589" spans="1:30" ht="43.5">
      <c r="A589" s="3" t="s">
        <v>3195</v>
      </c>
      <c r="B589" s="3" t="s">
        <v>8657</v>
      </c>
      <c r="C589" s="3" t="s">
        <v>8656</v>
      </c>
      <c r="G589" s="9" t="s">
        <v>25</v>
      </c>
      <c r="H589" s="9"/>
      <c r="I589" s="9">
        <v>1</v>
      </c>
      <c r="J589" s="9">
        <v>5</v>
      </c>
      <c r="K589" s="9" t="s">
        <v>12094</v>
      </c>
      <c r="L589" s="9" t="s">
        <v>12079</v>
      </c>
      <c r="M589" s="9"/>
      <c r="N589" s="10"/>
      <c r="O589" s="9"/>
      <c r="P589" s="9">
        <v>4240</v>
      </c>
      <c r="Q589" s="9">
        <f t="shared" si="9"/>
        <v>509.49291035808699</v>
      </c>
      <c r="R589" s="9"/>
      <c r="S589" s="9" t="s">
        <v>12795</v>
      </c>
      <c r="T589" s="9" t="s">
        <v>12795</v>
      </c>
      <c r="U589" s="9"/>
      <c r="V589" s="9"/>
      <c r="W589" s="9"/>
      <c r="X589" s="9"/>
      <c r="Y589" s="9"/>
      <c r="Z589" s="9"/>
      <c r="AA589" s="9"/>
      <c r="AB589" s="9"/>
      <c r="AC589" s="9"/>
      <c r="AD589" s="9"/>
    </row>
    <row r="590" spans="1:30" ht="58">
      <c r="A590" s="3" t="s">
        <v>3202</v>
      </c>
      <c r="B590" s="3" t="s">
        <v>8677</v>
      </c>
      <c r="C590" s="3" t="s">
        <v>8680</v>
      </c>
      <c r="G590" s="9" t="s">
        <v>24</v>
      </c>
      <c r="H590" s="9"/>
      <c r="I590" s="9">
        <v>1</v>
      </c>
      <c r="J590" s="9">
        <v>5</v>
      </c>
      <c r="K590" s="9" t="s">
        <v>12094</v>
      </c>
      <c r="L590" s="9" t="s">
        <v>12079</v>
      </c>
      <c r="M590" s="9"/>
      <c r="N590" s="10"/>
      <c r="O590" s="9"/>
      <c r="P590" s="9">
        <v>4240</v>
      </c>
      <c r="Q590" s="9">
        <f t="shared" si="9"/>
        <v>509.49291035808699</v>
      </c>
      <c r="R590" s="9"/>
      <c r="S590" s="9" t="s">
        <v>12795</v>
      </c>
      <c r="T590" s="9" t="s">
        <v>12795</v>
      </c>
      <c r="U590" s="9"/>
      <c r="V590" s="9"/>
      <c r="W590" s="9"/>
      <c r="X590" s="9"/>
      <c r="Y590" s="9"/>
      <c r="Z590" s="9"/>
      <c r="AA590" s="9"/>
      <c r="AB590" s="9"/>
      <c r="AC590" s="9"/>
      <c r="AD590" s="9"/>
    </row>
    <row r="591" spans="1:30" ht="29">
      <c r="A591" s="3" t="s">
        <v>3209</v>
      </c>
      <c r="B591" s="3" t="s">
        <v>8684</v>
      </c>
      <c r="C591" s="3" t="s">
        <v>8683</v>
      </c>
      <c r="G591" s="9" t="s">
        <v>24</v>
      </c>
      <c r="H591" s="9"/>
      <c r="I591" s="9">
        <v>1</v>
      </c>
      <c r="J591" s="9">
        <v>2</v>
      </c>
      <c r="K591" s="9" t="s">
        <v>12094</v>
      </c>
      <c r="L591" s="9" t="s">
        <v>12119</v>
      </c>
      <c r="M591" s="9"/>
      <c r="N591" s="10"/>
      <c r="O591" s="9"/>
      <c r="P591" s="9">
        <v>301</v>
      </c>
      <c r="Q591" s="9">
        <f t="shared" si="9"/>
        <v>36.16919009853401</v>
      </c>
      <c r="R591" s="9"/>
      <c r="S591" s="9" t="s">
        <v>12795</v>
      </c>
      <c r="T591" s="9" t="s">
        <v>12795</v>
      </c>
      <c r="U591" s="9"/>
      <c r="V591" s="9"/>
      <c r="W591" s="9"/>
      <c r="X591" s="9"/>
      <c r="Y591" s="9"/>
      <c r="Z591" s="9"/>
      <c r="AA591" s="9"/>
      <c r="AB591" s="9"/>
      <c r="AC591" s="9"/>
      <c r="AD591" s="9"/>
    </row>
    <row r="592" spans="1:30" ht="29">
      <c r="A592" s="3" t="s">
        <v>3214</v>
      </c>
      <c r="B592" s="3" t="s">
        <v>8691</v>
      </c>
      <c r="C592" s="3" t="s">
        <v>8692</v>
      </c>
      <c r="G592" s="9" t="s">
        <v>25</v>
      </c>
      <c r="H592" s="9"/>
      <c r="I592" s="9">
        <v>1</v>
      </c>
      <c r="J592" s="9">
        <v>2</v>
      </c>
      <c r="K592" s="9" t="s">
        <v>12087</v>
      </c>
      <c r="L592" s="9" t="s">
        <v>12119</v>
      </c>
      <c r="M592" s="9"/>
      <c r="N592" s="10"/>
      <c r="O592" s="9"/>
      <c r="P592" s="9">
        <v>1966</v>
      </c>
      <c r="Q592" s="9">
        <f t="shared" si="9"/>
        <v>236.24128815188658</v>
      </c>
      <c r="R592" s="9"/>
      <c r="S592" s="9" t="s">
        <v>12795</v>
      </c>
      <c r="T592" s="9" t="s">
        <v>12795</v>
      </c>
      <c r="U592" s="9"/>
      <c r="V592" s="9"/>
      <c r="W592" s="9"/>
      <c r="X592" s="9"/>
      <c r="Y592" s="9"/>
      <c r="Z592" s="9"/>
      <c r="AA592" s="9"/>
      <c r="AB592" s="9"/>
      <c r="AC592" s="9"/>
      <c r="AD592" s="9"/>
    </row>
    <row r="593" spans="1:30" ht="29">
      <c r="A593" s="3" t="s">
        <v>3215</v>
      </c>
      <c r="B593" s="3" t="s">
        <v>8693</v>
      </c>
      <c r="C593" s="3" t="s">
        <v>8694</v>
      </c>
      <c r="G593" s="9" t="s">
        <v>25</v>
      </c>
      <c r="H593" s="9"/>
      <c r="I593" s="9">
        <v>1</v>
      </c>
      <c r="J593" s="9">
        <v>3</v>
      </c>
      <c r="K593" s="9" t="s">
        <v>12087</v>
      </c>
      <c r="L593" s="9" t="s">
        <v>12079</v>
      </c>
      <c r="M593" s="9"/>
      <c r="N593" s="10"/>
      <c r="O593" s="9"/>
      <c r="P593" s="9">
        <v>810</v>
      </c>
      <c r="Q593" s="9">
        <f t="shared" si="9"/>
        <v>97.332372025955294</v>
      </c>
      <c r="R593" s="9"/>
      <c r="S593" s="9" t="s">
        <v>12795</v>
      </c>
      <c r="T593" s="9" t="s">
        <v>12795</v>
      </c>
      <c r="U593" s="9"/>
      <c r="V593" s="9"/>
      <c r="W593" s="9"/>
      <c r="X593" s="9"/>
      <c r="Y593" s="9"/>
      <c r="Z593" s="9"/>
      <c r="AA593" s="9"/>
      <c r="AB593" s="9"/>
      <c r="AC593" s="9"/>
      <c r="AD593" s="9"/>
    </row>
    <row r="594" spans="1:30" ht="72.5">
      <c r="A594" s="3" t="s">
        <v>3216</v>
      </c>
      <c r="B594" s="3" t="s">
        <v>8695</v>
      </c>
      <c r="C594" s="3" t="s">
        <v>8696</v>
      </c>
      <c r="G594" s="9" t="s">
        <v>25</v>
      </c>
      <c r="H594" s="9"/>
      <c r="I594" s="9">
        <v>2</v>
      </c>
      <c r="J594" s="9">
        <v>15</v>
      </c>
      <c r="K594" s="9"/>
      <c r="L594" s="9" t="s">
        <v>12079</v>
      </c>
      <c r="M594" s="9"/>
      <c r="N594" s="10"/>
      <c r="O594" s="9"/>
      <c r="P594" s="9">
        <v>10</v>
      </c>
      <c r="Q594" s="9">
        <f t="shared" si="9"/>
        <v>1.2016342225426579</v>
      </c>
      <c r="R594" s="9"/>
      <c r="S594" s="9" t="s">
        <v>12795</v>
      </c>
      <c r="T594" s="9" t="s">
        <v>12795</v>
      </c>
      <c r="U594" s="9"/>
      <c r="V594" s="9"/>
      <c r="W594" s="9"/>
      <c r="X594" s="9"/>
      <c r="Y594" s="9"/>
      <c r="Z594" s="9"/>
      <c r="AA594" s="9"/>
      <c r="AB594" s="9"/>
      <c r="AC594" s="9"/>
      <c r="AD594" s="9"/>
    </row>
    <row r="595" spans="1:30" ht="87">
      <c r="A595" s="3" t="s">
        <v>3219</v>
      </c>
      <c r="B595" s="3" t="s">
        <v>8703</v>
      </c>
      <c r="C595" s="3" t="s">
        <v>8704</v>
      </c>
      <c r="G595" s="9" t="s">
        <v>24</v>
      </c>
      <c r="H595" s="9"/>
      <c r="I595" s="9">
        <v>2</v>
      </c>
      <c r="J595" s="9">
        <v>7</v>
      </c>
      <c r="K595" s="9"/>
      <c r="L595" s="9" t="s">
        <v>12073</v>
      </c>
      <c r="M595" s="9" t="s">
        <v>12142</v>
      </c>
      <c r="N595" s="10" t="s">
        <v>12156</v>
      </c>
      <c r="O595" s="9" t="s">
        <v>12074</v>
      </c>
      <c r="P595" s="9">
        <v>1496</v>
      </c>
      <c r="Q595" s="9">
        <f t="shared" si="9"/>
        <v>179.76447969238166</v>
      </c>
      <c r="R595" s="9"/>
      <c r="S595" s="9" t="s">
        <v>12795</v>
      </c>
      <c r="T595" s="9" t="s">
        <v>12795</v>
      </c>
      <c r="U595" s="9"/>
      <c r="V595" s="9"/>
      <c r="W595" s="9"/>
      <c r="X595" s="9"/>
      <c r="Y595" s="9"/>
      <c r="Z595" s="9"/>
      <c r="AA595" s="9"/>
      <c r="AB595" s="9"/>
      <c r="AC595" s="9"/>
      <c r="AD595" s="9"/>
    </row>
    <row r="596" spans="1:30" ht="58">
      <c r="A596" s="3" t="s">
        <v>3225</v>
      </c>
      <c r="B596" s="3" t="s">
        <v>8716</v>
      </c>
      <c r="C596" s="3" t="s">
        <v>8719</v>
      </c>
      <c r="G596" s="9" t="s">
        <v>24</v>
      </c>
      <c r="H596" s="9"/>
      <c r="I596" s="9">
        <v>2</v>
      </c>
      <c r="J596" s="9">
        <v>5</v>
      </c>
      <c r="K596" s="9"/>
      <c r="L596" s="9" t="s">
        <v>12079</v>
      </c>
      <c r="M596" s="9"/>
      <c r="N596" s="10"/>
      <c r="O596" s="9"/>
      <c r="P596" s="9">
        <v>1101</v>
      </c>
      <c r="Q596" s="9">
        <f t="shared" si="9"/>
        <v>132.29992790194663</v>
      </c>
      <c r="R596" s="9"/>
      <c r="S596" s="9" t="s">
        <v>12795</v>
      </c>
      <c r="T596" s="9" t="s">
        <v>12795</v>
      </c>
      <c r="U596" s="9"/>
      <c r="V596" s="9"/>
      <c r="W596" s="9"/>
      <c r="X596" s="9"/>
      <c r="Y596" s="9"/>
      <c r="Z596" s="9"/>
      <c r="AA596" s="9"/>
      <c r="AB596" s="9"/>
      <c r="AC596" s="9"/>
      <c r="AD596" s="9"/>
    </row>
    <row r="597" spans="1:30" ht="58">
      <c r="A597" s="3" t="s">
        <v>3229</v>
      </c>
      <c r="B597" s="3" t="s">
        <v>8721</v>
      </c>
      <c r="C597" s="3" t="s">
        <v>8720</v>
      </c>
      <c r="G597" s="9" t="s">
        <v>25</v>
      </c>
      <c r="H597" s="9"/>
      <c r="I597" s="9">
        <v>2</v>
      </c>
      <c r="J597" s="9">
        <v>9</v>
      </c>
      <c r="K597" s="9"/>
      <c r="L597" s="9" t="s">
        <v>12079</v>
      </c>
      <c r="M597" s="9"/>
      <c r="N597" s="10"/>
      <c r="O597" s="9"/>
      <c r="P597" s="9">
        <v>61</v>
      </c>
      <c r="Q597" s="9">
        <f t="shared" si="9"/>
        <v>7.3299687575102137</v>
      </c>
      <c r="R597" s="9"/>
      <c r="S597" s="9" t="s">
        <v>12795</v>
      </c>
      <c r="T597" s="9" t="s">
        <v>12795</v>
      </c>
      <c r="U597" s="9"/>
      <c r="V597" s="9"/>
      <c r="W597" s="9"/>
      <c r="X597" s="9"/>
      <c r="Y597" s="9"/>
      <c r="Z597" s="9"/>
      <c r="AA597" s="9"/>
      <c r="AB597" s="9"/>
      <c r="AC597" s="9"/>
      <c r="AD597" s="9"/>
    </row>
    <row r="598" spans="1:30" ht="43.5">
      <c r="A598" s="3" t="s">
        <v>3231</v>
      </c>
      <c r="B598" s="3" t="s">
        <v>8728</v>
      </c>
      <c r="C598" s="3" t="s">
        <v>8727</v>
      </c>
      <c r="G598" s="9" t="s">
        <v>25</v>
      </c>
      <c r="H598" s="9"/>
      <c r="I598" s="9">
        <v>2</v>
      </c>
      <c r="J598" s="9">
        <v>5</v>
      </c>
      <c r="K598" s="9"/>
      <c r="L598" s="9" t="s">
        <v>12079</v>
      </c>
      <c r="M598" s="9"/>
      <c r="N598" s="10"/>
      <c r="O598" s="9"/>
      <c r="P598" s="9">
        <v>472</v>
      </c>
      <c r="Q598" s="9">
        <f t="shared" si="9"/>
        <v>56.71713530401346</v>
      </c>
      <c r="R598" s="9"/>
      <c r="S598" s="9" t="s">
        <v>12795</v>
      </c>
      <c r="T598" s="9" t="s">
        <v>12795</v>
      </c>
      <c r="U598" s="9"/>
      <c r="V598" s="9"/>
      <c r="W598" s="9"/>
      <c r="X598" s="9"/>
      <c r="Y598" s="9"/>
      <c r="Z598" s="9"/>
      <c r="AA598" s="9"/>
      <c r="AB598" s="9"/>
      <c r="AC598" s="9"/>
      <c r="AD598" s="9"/>
    </row>
    <row r="599" spans="1:30" ht="43.5">
      <c r="A599" s="3" t="s">
        <v>3239</v>
      </c>
      <c r="B599" s="3" t="s">
        <v>8741</v>
      </c>
      <c r="C599" s="3" t="s">
        <v>8740</v>
      </c>
      <c r="G599" s="9" t="s">
        <v>24</v>
      </c>
      <c r="H599" s="9"/>
      <c r="I599" s="9">
        <v>1</v>
      </c>
      <c r="J599" s="9">
        <v>3</v>
      </c>
      <c r="K599" s="9" t="s">
        <v>12084</v>
      </c>
      <c r="L599" s="9" t="s">
        <v>12079</v>
      </c>
      <c r="M599" s="9"/>
      <c r="N599" s="10"/>
      <c r="O599" s="9"/>
      <c r="P599" s="9">
        <v>52</v>
      </c>
      <c r="Q599" s="9">
        <f t="shared" si="9"/>
        <v>6.2484979572218213</v>
      </c>
      <c r="R599" s="9"/>
      <c r="S599" s="9" t="s">
        <v>12795</v>
      </c>
      <c r="T599" s="9" t="s">
        <v>12795</v>
      </c>
      <c r="U599" s="9"/>
      <c r="V599" s="9"/>
      <c r="W599" s="9"/>
      <c r="X599" s="9"/>
      <c r="Y599" s="9"/>
      <c r="Z599" s="9"/>
      <c r="AA599" s="9"/>
      <c r="AB599" s="9"/>
      <c r="AC599" s="9"/>
      <c r="AD599" s="9"/>
    </row>
    <row r="600" spans="1:30" ht="58">
      <c r="A600" s="3" t="s">
        <v>3240</v>
      </c>
      <c r="B600" s="3" t="s">
        <v>8742</v>
      </c>
      <c r="C600" s="3" t="s">
        <v>8743</v>
      </c>
      <c r="G600" s="9" t="s">
        <v>25</v>
      </c>
      <c r="H600" s="9"/>
      <c r="I600" s="9">
        <v>1</v>
      </c>
      <c r="J600" s="9">
        <v>5</v>
      </c>
      <c r="K600" s="9" t="s">
        <v>12092</v>
      </c>
      <c r="L600" s="9" t="s">
        <v>12079</v>
      </c>
      <c r="M600" s="9"/>
      <c r="N600" s="10"/>
      <c r="O600" s="9"/>
      <c r="P600" s="9">
        <v>308</v>
      </c>
      <c r="Q600" s="9">
        <f t="shared" si="9"/>
        <v>37.010334054313866</v>
      </c>
      <c r="R600" s="9"/>
      <c r="S600" s="9" t="s">
        <v>12795</v>
      </c>
      <c r="T600" s="9" t="s">
        <v>12795</v>
      </c>
      <c r="U600" s="9" t="s">
        <v>12117</v>
      </c>
      <c r="V600" s="9"/>
      <c r="W600" s="9"/>
      <c r="X600" s="9"/>
      <c r="Y600" s="9"/>
      <c r="Z600" s="9"/>
      <c r="AA600" s="9"/>
      <c r="AB600" s="9"/>
      <c r="AC600" s="9"/>
      <c r="AD600" s="9"/>
    </row>
    <row r="601" spans="1:30" ht="58">
      <c r="A601" s="3" t="s">
        <v>3243</v>
      </c>
      <c r="B601" s="3" t="s">
        <v>8745</v>
      </c>
      <c r="C601" s="3" t="s">
        <v>8744</v>
      </c>
      <c r="G601" s="9" t="s">
        <v>24</v>
      </c>
      <c r="H601" s="9"/>
      <c r="I601" s="9">
        <v>1</v>
      </c>
      <c r="J601" s="9">
        <v>5</v>
      </c>
      <c r="K601" s="9" t="s">
        <v>12092</v>
      </c>
      <c r="L601" s="9" t="s">
        <v>12079</v>
      </c>
      <c r="M601" s="9"/>
      <c r="N601" s="10"/>
      <c r="O601" s="9"/>
      <c r="P601" s="9">
        <v>308</v>
      </c>
      <c r="Q601" s="9">
        <f t="shared" si="9"/>
        <v>37.010334054313866</v>
      </c>
      <c r="R601" s="9"/>
      <c r="S601" s="9" t="s">
        <v>12795</v>
      </c>
      <c r="T601" s="9" t="s">
        <v>12795</v>
      </c>
      <c r="U601" s="9"/>
      <c r="V601" s="9"/>
      <c r="W601" s="9"/>
      <c r="X601" s="9"/>
      <c r="Y601" s="9"/>
      <c r="Z601" s="9"/>
      <c r="AA601" s="9"/>
      <c r="AB601" s="9"/>
      <c r="AC601" s="9"/>
      <c r="AD601" s="9"/>
    </row>
    <row r="602" spans="1:30" ht="43.5">
      <c r="A602" s="3" t="s">
        <v>3244</v>
      </c>
      <c r="B602" s="3" t="s">
        <v>8749</v>
      </c>
      <c r="C602" s="3" t="s">
        <v>8748</v>
      </c>
      <c r="G602" s="9" t="s">
        <v>25</v>
      </c>
      <c r="H602" s="9"/>
      <c r="I602" s="9">
        <v>1</v>
      </c>
      <c r="J602" s="9">
        <v>2</v>
      </c>
      <c r="K602" s="9" t="s">
        <v>12096</v>
      </c>
      <c r="L602" s="9" t="s">
        <v>12119</v>
      </c>
      <c r="M602" s="9"/>
      <c r="N602" s="10"/>
      <c r="O602" s="9"/>
      <c r="P602" s="9">
        <v>1294</v>
      </c>
      <c r="Q602" s="9">
        <f t="shared" si="9"/>
        <v>155.49146839701996</v>
      </c>
      <c r="R602" s="9"/>
      <c r="S602" s="9" t="s">
        <v>12795</v>
      </c>
      <c r="T602" s="9" t="s">
        <v>12795</v>
      </c>
      <c r="U602" s="9" t="s">
        <v>12117</v>
      </c>
      <c r="V602" s="9"/>
      <c r="W602" s="9"/>
      <c r="X602" s="9"/>
      <c r="Y602" s="9"/>
      <c r="Z602" s="9"/>
      <c r="AA602" s="9"/>
      <c r="AB602" s="9"/>
      <c r="AC602" s="9"/>
      <c r="AD602" s="9"/>
    </row>
    <row r="603" spans="1:30" ht="29">
      <c r="A603" s="3" t="s">
        <v>3246</v>
      </c>
      <c r="B603" s="3" t="s">
        <v>8753</v>
      </c>
      <c r="C603" s="3" t="s">
        <v>8752</v>
      </c>
      <c r="G603" s="9" t="s">
        <v>25</v>
      </c>
      <c r="H603" s="9"/>
      <c r="I603" s="9">
        <v>1</v>
      </c>
      <c r="J603" s="9">
        <v>5</v>
      </c>
      <c r="K603" s="9" t="s">
        <v>12125</v>
      </c>
      <c r="L603" s="9" t="s">
        <v>12079</v>
      </c>
      <c r="M603" s="9"/>
      <c r="N603" s="10"/>
      <c r="O603" s="9"/>
      <c r="P603" s="9">
        <v>1565</v>
      </c>
      <c r="Q603" s="9">
        <f t="shared" si="9"/>
        <v>188.05575582792596</v>
      </c>
      <c r="R603" s="9"/>
      <c r="S603" s="9" t="s">
        <v>12795</v>
      </c>
      <c r="T603" s="9" t="s">
        <v>12795</v>
      </c>
      <c r="U603" s="9"/>
      <c r="V603" s="9"/>
      <c r="W603" s="9"/>
      <c r="X603" s="9"/>
      <c r="Y603" s="9"/>
      <c r="Z603" s="9"/>
      <c r="AA603" s="9"/>
      <c r="AB603" s="9"/>
      <c r="AC603" s="9"/>
      <c r="AD603" s="9"/>
    </row>
    <row r="604" spans="1:30" ht="87">
      <c r="A604" s="3" t="s">
        <v>3247</v>
      </c>
      <c r="B604" s="3" t="s">
        <v>8757</v>
      </c>
      <c r="C604" s="3" t="s">
        <v>8756</v>
      </c>
      <c r="G604" s="9" t="s">
        <v>25</v>
      </c>
      <c r="H604" s="9"/>
      <c r="I604" s="9">
        <v>1</v>
      </c>
      <c r="J604" s="9">
        <v>1</v>
      </c>
      <c r="K604" s="9" t="s">
        <v>12078</v>
      </c>
      <c r="L604" s="9" t="s">
        <v>12119</v>
      </c>
      <c r="M604" s="9"/>
      <c r="N604" s="10"/>
      <c r="O604" s="9"/>
      <c r="P604" s="9">
        <v>11843</v>
      </c>
      <c r="Q604" s="9">
        <f t="shared" si="9"/>
        <v>1423.0954097572699</v>
      </c>
      <c r="R604" s="9"/>
      <c r="S604" s="9" t="s">
        <v>12795</v>
      </c>
      <c r="T604" s="9" t="s">
        <v>12795</v>
      </c>
      <c r="U604" s="9" t="s">
        <v>12117</v>
      </c>
      <c r="V604" s="9"/>
      <c r="W604" s="9"/>
      <c r="X604" s="9"/>
      <c r="Y604" s="9"/>
      <c r="Z604" s="9"/>
      <c r="AA604" s="9"/>
      <c r="AB604" s="9"/>
      <c r="AC604" s="9"/>
      <c r="AD604" s="9"/>
    </row>
    <row r="605" spans="1:30" ht="116">
      <c r="A605" s="3" t="s">
        <v>3249</v>
      </c>
      <c r="B605" s="3" t="s">
        <v>8765</v>
      </c>
      <c r="C605" s="3" t="s">
        <v>8764</v>
      </c>
      <c r="G605" s="9" t="s">
        <v>24</v>
      </c>
      <c r="H605" s="9"/>
      <c r="I605" s="9">
        <v>2</v>
      </c>
      <c r="J605" s="9">
        <v>12</v>
      </c>
      <c r="K605" s="9"/>
      <c r="L605" s="9" t="s">
        <v>12079</v>
      </c>
      <c r="M605" s="9"/>
      <c r="N605" s="10"/>
      <c r="O605" s="9" t="s">
        <v>12080</v>
      </c>
      <c r="P605" s="9">
        <v>42</v>
      </c>
      <c r="Q605" s="9">
        <f t="shared" si="9"/>
        <v>5.0468637346791638</v>
      </c>
      <c r="R605" s="9"/>
      <c r="S605" s="9" t="s">
        <v>12795</v>
      </c>
      <c r="T605" s="9" t="s">
        <v>12795</v>
      </c>
      <c r="U605" s="9"/>
      <c r="V605" s="9"/>
      <c r="W605" s="9"/>
      <c r="X605" s="9"/>
      <c r="Y605" s="9"/>
      <c r="Z605" s="9"/>
      <c r="AA605" s="9"/>
      <c r="AB605" s="9"/>
      <c r="AC605" s="9"/>
      <c r="AD605" s="9"/>
    </row>
    <row r="606" spans="1:30" ht="43.5">
      <c r="A606" s="3" t="s">
        <v>3255</v>
      </c>
      <c r="B606" s="3" t="s">
        <v>8777</v>
      </c>
      <c r="C606" s="3" t="s">
        <v>8776</v>
      </c>
      <c r="F606" t="s">
        <v>19</v>
      </c>
      <c r="G606" s="9" t="s">
        <v>25</v>
      </c>
      <c r="H606" s="9"/>
      <c r="I606" s="9">
        <v>2</v>
      </c>
      <c r="J606" s="9">
        <v>4</v>
      </c>
      <c r="K606" s="9"/>
      <c r="L606" s="9" t="s">
        <v>12079</v>
      </c>
      <c r="M606" s="9"/>
      <c r="N606" s="10"/>
      <c r="O606" s="9"/>
      <c r="P606" s="9">
        <v>635</v>
      </c>
      <c r="Q606" s="9">
        <f t="shared" si="9"/>
        <v>76.303773131458783</v>
      </c>
      <c r="R606" s="9"/>
      <c r="S606" s="9" t="s">
        <v>12795</v>
      </c>
      <c r="T606" s="9" t="s">
        <v>12795</v>
      </c>
      <c r="U606" s="9"/>
      <c r="V606" s="9"/>
      <c r="W606" s="9"/>
      <c r="X606" s="9"/>
      <c r="Y606" s="9"/>
      <c r="Z606" s="9"/>
      <c r="AA606" s="9"/>
      <c r="AB606" s="9"/>
      <c r="AC606" s="9"/>
      <c r="AD606" s="9"/>
    </row>
    <row r="607" spans="1:30" ht="58">
      <c r="A607" s="3" t="s">
        <v>3256</v>
      </c>
      <c r="B607" s="3" t="s">
        <v>8780</v>
      </c>
      <c r="C607" s="3" t="s">
        <v>8779</v>
      </c>
      <c r="G607" s="9" t="s">
        <v>24</v>
      </c>
      <c r="H607" s="9"/>
      <c r="I607" s="9">
        <v>1</v>
      </c>
      <c r="J607" s="9">
        <v>3</v>
      </c>
      <c r="K607" s="9" t="s">
        <v>12094</v>
      </c>
      <c r="L607" s="9" t="s">
        <v>12079</v>
      </c>
      <c r="M607" s="9"/>
      <c r="N607" s="10"/>
      <c r="O607" s="9"/>
      <c r="P607" s="9">
        <v>1496</v>
      </c>
      <c r="Q607" s="9">
        <f t="shared" si="9"/>
        <v>179.76447969238166</v>
      </c>
      <c r="R607" s="9"/>
      <c r="S607" s="9" t="s">
        <v>12795</v>
      </c>
      <c r="T607" s="9" t="s">
        <v>12795</v>
      </c>
      <c r="U607" s="9"/>
      <c r="V607" s="9"/>
      <c r="W607" s="9"/>
      <c r="X607" s="9"/>
      <c r="Y607" s="9"/>
      <c r="Z607" s="9"/>
      <c r="AA607" s="9"/>
      <c r="AB607" s="9"/>
      <c r="AC607" s="9"/>
      <c r="AD607" s="9"/>
    </row>
    <row r="608" spans="1:30" ht="43.5">
      <c r="A608" s="3" t="s">
        <v>3258</v>
      </c>
      <c r="B608" s="3" t="s">
        <v>8783</v>
      </c>
      <c r="C608" s="3" t="s">
        <v>8784</v>
      </c>
      <c r="G608" s="9" t="s">
        <v>25</v>
      </c>
      <c r="H608" s="9"/>
      <c r="I608" s="9">
        <v>1</v>
      </c>
      <c r="J608" s="9">
        <v>4</v>
      </c>
      <c r="K608" s="9" t="s">
        <v>12094</v>
      </c>
      <c r="L608" s="9" t="s">
        <v>12079</v>
      </c>
      <c r="M608" s="9"/>
      <c r="N608" s="10"/>
      <c r="O608" s="9"/>
      <c r="P608" s="9">
        <v>4240</v>
      </c>
      <c r="Q608" s="9">
        <f t="shared" si="9"/>
        <v>509.49291035808699</v>
      </c>
      <c r="R608" s="9"/>
      <c r="S608" s="9" t="s">
        <v>12795</v>
      </c>
      <c r="T608" s="9" t="s">
        <v>12795</v>
      </c>
      <c r="U608" s="9"/>
      <c r="V608" s="9"/>
      <c r="W608" s="9"/>
      <c r="X608" s="9"/>
      <c r="Y608" s="9"/>
      <c r="Z608" s="9"/>
      <c r="AA608" s="9"/>
      <c r="AB608" s="9"/>
      <c r="AC608" s="9"/>
      <c r="AD608" s="9"/>
    </row>
    <row r="609" spans="1:30" ht="29">
      <c r="A609" s="3" t="s">
        <v>3259</v>
      </c>
      <c r="B609" s="3" t="s">
        <v>8786</v>
      </c>
      <c r="C609" s="3" t="s">
        <v>8785</v>
      </c>
      <c r="G609" s="9" t="s">
        <v>25</v>
      </c>
      <c r="H609" s="9"/>
      <c r="I609" s="9">
        <v>1</v>
      </c>
      <c r="J609" s="9">
        <v>2</v>
      </c>
      <c r="K609" s="9" t="s">
        <v>12094</v>
      </c>
      <c r="L609" s="9" t="s">
        <v>12119</v>
      </c>
      <c r="M609" s="9"/>
      <c r="N609" s="10"/>
      <c r="O609" s="9"/>
      <c r="P609" s="9">
        <v>1741</v>
      </c>
      <c r="Q609" s="9">
        <f t="shared" si="9"/>
        <v>209.20451814467677</v>
      </c>
      <c r="R609" s="9"/>
      <c r="S609" s="9" t="s">
        <v>12795</v>
      </c>
      <c r="T609" s="9" t="s">
        <v>12795</v>
      </c>
      <c r="U609" s="9"/>
      <c r="V609" s="9"/>
      <c r="W609" s="9"/>
      <c r="X609" s="9"/>
      <c r="Y609" s="9"/>
      <c r="Z609" s="9"/>
      <c r="AA609" s="9"/>
      <c r="AB609" s="9"/>
      <c r="AC609" s="9"/>
      <c r="AD609" s="9"/>
    </row>
    <row r="610" spans="1:30" ht="101.5">
      <c r="A610" s="3" t="s">
        <v>3259</v>
      </c>
      <c r="B610" s="3" t="s">
        <v>8787</v>
      </c>
      <c r="C610" s="3" t="s">
        <v>8789</v>
      </c>
      <c r="G610" s="9" t="s">
        <v>24</v>
      </c>
      <c r="H610" s="9"/>
      <c r="I610" s="9">
        <v>2</v>
      </c>
      <c r="J610" s="9">
        <v>9</v>
      </c>
      <c r="K610" s="9"/>
      <c r="L610" s="9" t="s">
        <v>12079</v>
      </c>
      <c r="M610" s="9"/>
      <c r="N610" s="10"/>
      <c r="O610" s="9"/>
      <c r="P610" s="9">
        <v>47</v>
      </c>
      <c r="Q610" s="9">
        <f t="shared" si="9"/>
        <v>5.647680845950493</v>
      </c>
      <c r="R610" s="9"/>
      <c r="S610" s="9" t="s">
        <v>12795</v>
      </c>
      <c r="T610" s="9" t="s">
        <v>12795</v>
      </c>
      <c r="U610" s="9"/>
      <c r="V610" s="9"/>
      <c r="W610" s="9"/>
      <c r="X610" s="9"/>
      <c r="Y610" s="9"/>
      <c r="Z610" s="9"/>
      <c r="AA610" s="9"/>
      <c r="AB610" s="9"/>
      <c r="AC610" s="9"/>
      <c r="AD610" s="9"/>
    </row>
    <row r="611" spans="1:30" ht="101.5">
      <c r="A611" s="3" t="s">
        <v>3260</v>
      </c>
      <c r="B611" s="3" t="s">
        <v>8790</v>
      </c>
      <c r="C611" s="3" t="s">
        <v>8788</v>
      </c>
      <c r="G611" s="9" t="s">
        <v>25</v>
      </c>
      <c r="H611" s="9"/>
      <c r="I611" s="9">
        <v>2</v>
      </c>
      <c r="J611" s="9">
        <v>4</v>
      </c>
      <c r="K611" s="9"/>
      <c r="L611" s="9" t="s">
        <v>12079</v>
      </c>
      <c r="M611" s="9"/>
      <c r="N611" s="10"/>
      <c r="O611" s="9"/>
      <c r="P611" s="9">
        <v>635</v>
      </c>
      <c r="Q611" s="9">
        <f t="shared" si="9"/>
        <v>76.303773131458783</v>
      </c>
      <c r="R611" s="9"/>
      <c r="S611" s="9" t="s">
        <v>12795</v>
      </c>
      <c r="T611" s="9" t="s">
        <v>12795</v>
      </c>
      <c r="U611" s="9"/>
      <c r="V611" s="9"/>
      <c r="W611" s="9"/>
      <c r="X611" s="9"/>
      <c r="Y611" s="9"/>
      <c r="Z611" s="9"/>
      <c r="AA611" s="9"/>
      <c r="AB611" s="9"/>
      <c r="AC611" s="9"/>
      <c r="AD611" s="9"/>
    </row>
    <row r="612" spans="1:30" ht="29">
      <c r="A612" s="3" t="s">
        <v>3262</v>
      </c>
      <c r="B612" s="3" t="s">
        <v>8800</v>
      </c>
      <c r="C612" s="3" t="s">
        <v>8799</v>
      </c>
      <c r="G612" s="9" t="s">
        <v>24</v>
      </c>
      <c r="H612" s="9"/>
      <c r="I612" s="9">
        <v>1</v>
      </c>
      <c r="J612" s="9">
        <v>3</v>
      </c>
      <c r="K612" s="9" t="s">
        <v>12094</v>
      </c>
      <c r="L612" s="9" t="s">
        <v>12079</v>
      </c>
      <c r="M612" s="9"/>
      <c r="N612" s="10"/>
      <c r="O612" s="9"/>
      <c r="P612" s="9">
        <v>1741</v>
      </c>
      <c r="Q612" s="9">
        <f t="shared" si="9"/>
        <v>209.20451814467677</v>
      </c>
      <c r="R612" s="9"/>
      <c r="S612" s="9" t="s">
        <v>12795</v>
      </c>
      <c r="T612" s="9" t="s">
        <v>12795</v>
      </c>
      <c r="U612" s="9"/>
      <c r="V612" s="9"/>
      <c r="W612" s="9"/>
      <c r="X612" s="9"/>
      <c r="Y612" s="9"/>
      <c r="Z612" s="9"/>
      <c r="AA612" s="9"/>
      <c r="AB612" s="9"/>
      <c r="AC612" s="9"/>
      <c r="AD612" s="9"/>
    </row>
    <row r="613" spans="1:30" ht="43.5">
      <c r="A613" s="3" t="s">
        <v>3268</v>
      </c>
      <c r="B613" s="3" t="s">
        <v>8808</v>
      </c>
      <c r="C613" s="3" t="s">
        <v>8807</v>
      </c>
      <c r="G613" s="9" t="s">
        <v>24</v>
      </c>
      <c r="H613" s="9"/>
      <c r="I613" s="9">
        <v>1</v>
      </c>
      <c r="J613" s="9">
        <v>2</v>
      </c>
      <c r="K613" s="9" t="s">
        <v>12087</v>
      </c>
      <c r="L613" s="9" t="s">
        <v>12119</v>
      </c>
      <c r="M613" s="9"/>
      <c r="N613" s="10"/>
      <c r="O613" s="9"/>
      <c r="P613" s="9">
        <v>1966</v>
      </c>
      <c r="Q613" s="9">
        <f t="shared" si="9"/>
        <v>236.24128815188658</v>
      </c>
      <c r="R613" s="9"/>
      <c r="S613" s="9" t="s">
        <v>12795</v>
      </c>
      <c r="T613" s="9" t="s">
        <v>12795</v>
      </c>
      <c r="U613" s="9"/>
      <c r="V613" s="9"/>
      <c r="W613" s="9"/>
      <c r="X613" s="9"/>
      <c r="Y613" s="9"/>
      <c r="Z613" s="9"/>
      <c r="AA613" s="9"/>
      <c r="AB613" s="9"/>
      <c r="AC613" s="9"/>
      <c r="AD613" s="9"/>
    </row>
    <row r="614" spans="1:30" ht="409.5">
      <c r="A614" s="3" t="s">
        <v>3269</v>
      </c>
      <c r="B614" s="3" t="s">
        <v>12913</v>
      </c>
      <c r="C614" s="3" t="s">
        <v>12454</v>
      </c>
      <c r="G614" s="9" t="s">
        <v>24</v>
      </c>
      <c r="H614" s="9"/>
      <c r="I614" s="9">
        <v>37</v>
      </c>
      <c r="J614" s="9">
        <v>151</v>
      </c>
      <c r="K614" s="9"/>
      <c r="L614" s="9" t="s">
        <v>12073</v>
      </c>
      <c r="M614" s="9" t="s">
        <v>12142</v>
      </c>
      <c r="N614" s="10" t="s">
        <v>12455</v>
      </c>
      <c r="O614" s="9" t="s">
        <v>12074</v>
      </c>
      <c r="P614" s="9">
        <v>1</v>
      </c>
      <c r="Q614" s="9">
        <f t="shared" si="9"/>
        <v>0.12016342225426581</v>
      </c>
      <c r="R614" s="9"/>
      <c r="S614" s="9" t="s">
        <v>12795</v>
      </c>
      <c r="T614" s="9" t="s">
        <v>12795</v>
      </c>
      <c r="U614" s="9"/>
      <c r="V614" s="9"/>
      <c r="W614" s="9"/>
      <c r="X614" s="9"/>
      <c r="Y614" s="9"/>
      <c r="Z614" s="9"/>
      <c r="AA614" s="9"/>
      <c r="AB614" s="9"/>
      <c r="AC614" s="9"/>
      <c r="AD614" s="9" t="s">
        <v>19</v>
      </c>
    </row>
    <row r="615" spans="1:30" ht="29">
      <c r="A615" s="3" t="s">
        <v>3272</v>
      </c>
      <c r="B615" s="3" t="s">
        <v>8815</v>
      </c>
      <c r="C615" s="3" t="s">
        <v>8816</v>
      </c>
      <c r="G615" s="9" t="s">
        <v>25</v>
      </c>
      <c r="H615" s="9"/>
      <c r="I615" s="9">
        <v>1</v>
      </c>
      <c r="J615" s="9">
        <v>1</v>
      </c>
      <c r="K615" s="9" t="s">
        <v>12078</v>
      </c>
      <c r="L615" s="9" t="s">
        <v>12119</v>
      </c>
      <c r="M615" s="9"/>
      <c r="N615" s="10"/>
      <c r="O615" s="9"/>
      <c r="P615" s="9">
        <v>11843</v>
      </c>
      <c r="Q615" s="9">
        <f t="shared" si="9"/>
        <v>1423.0954097572699</v>
      </c>
      <c r="R615" s="9"/>
      <c r="S615" s="9" t="s">
        <v>12795</v>
      </c>
      <c r="T615" s="9" t="s">
        <v>12795</v>
      </c>
      <c r="U615" s="9"/>
      <c r="V615" s="9"/>
      <c r="W615" s="9"/>
      <c r="X615" s="9"/>
      <c r="Y615" s="9"/>
      <c r="Z615" s="9"/>
      <c r="AA615" s="9"/>
      <c r="AB615" s="9"/>
      <c r="AC615" s="9"/>
      <c r="AD615" s="9"/>
    </row>
    <row r="616" spans="1:30" ht="29">
      <c r="A616" s="3" t="s">
        <v>3285</v>
      </c>
      <c r="B616" s="3" t="s">
        <v>8834</v>
      </c>
      <c r="C616" s="3" t="s">
        <v>8835</v>
      </c>
      <c r="G616" s="9" t="s">
        <v>25</v>
      </c>
      <c r="H616" s="9"/>
      <c r="I616" s="9">
        <v>1</v>
      </c>
      <c r="J616" s="9">
        <v>2</v>
      </c>
      <c r="K616" s="9" t="s">
        <v>12078</v>
      </c>
      <c r="L616" s="9" t="s">
        <v>12119</v>
      </c>
      <c r="M616" s="9"/>
      <c r="N616" s="10"/>
      <c r="O616" s="9"/>
      <c r="P616" s="9">
        <v>11843</v>
      </c>
      <c r="Q616" s="9">
        <f t="shared" si="9"/>
        <v>1423.0954097572699</v>
      </c>
      <c r="R616" s="9"/>
      <c r="S616" s="9" t="s">
        <v>12795</v>
      </c>
      <c r="T616" s="9" t="s">
        <v>12795</v>
      </c>
      <c r="U616" s="9"/>
      <c r="V616" s="9"/>
      <c r="W616" s="9"/>
      <c r="X616" s="9"/>
      <c r="Y616" s="9"/>
      <c r="Z616" s="9"/>
      <c r="AA616" s="9"/>
      <c r="AB616" s="9"/>
      <c r="AC616" s="9"/>
      <c r="AD616" s="9"/>
    </row>
    <row r="617" spans="1:30" ht="58">
      <c r="A617" s="3" t="s">
        <v>3285</v>
      </c>
      <c r="B617" s="3" t="s">
        <v>8839</v>
      </c>
      <c r="C617" s="3" t="s">
        <v>8836</v>
      </c>
      <c r="G617" s="9" t="s">
        <v>25</v>
      </c>
      <c r="H617" s="9"/>
      <c r="I617" s="9">
        <v>1</v>
      </c>
      <c r="J617" s="9">
        <v>3</v>
      </c>
      <c r="K617" s="9" t="s">
        <v>12078</v>
      </c>
      <c r="L617" s="9" t="s">
        <v>12079</v>
      </c>
      <c r="M617" s="9"/>
      <c r="N617" s="10"/>
      <c r="O617" s="9"/>
      <c r="P617" s="9">
        <v>11843</v>
      </c>
      <c r="Q617" s="9">
        <f t="shared" si="9"/>
        <v>1423.0954097572699</v>
      </c>
      <c r="R617" s="9"/>
      <c r="S617" s="9" t="s">
        <v>12795</v>
      </c>
      <c r="T617" s="9" t="s">
        <v>12795</v>
      </c>
      <c r="U617" s="9"/>
      <c r="V617" s="9"/>
      <c r="W617" s="9"/>
      <c r="X617" s="9"/>
      <c r="Y617" s="9"/>
      <c r="Z617" s="9"/>
      <c r="AA617" s="9"/>
      <c r="AB617" s="9"/>
      <c r="AC617" s="9"/>
      <c r="AD617" s="9"/>
    </row>
    <row r="618" spans="1:30" ht="101.5">
      <c r="A618" s="3" t="s">
        <v>3287</v>
      </c>
      <c r="B618" s="3" t="s">
        <v>8843</v>
      </c>
      <c r="C618" s="3" t="s">
        <v>8842</v>
      </c>
      <c r="G618" s="9" t="s">
        <v>25</v>
      </c>
      <c r="H618" s="9"/>
      <c r="I618" s="9">
        <v>1</v>
      </c>
      <c r="J618" s="9">
        <v>2</v>
      </c>
      <c r="K618" s="9" t="s">
        <v>12087</v>
      </c>
      <c r="L618" s="9" t="s">
        <v>12119</v>
      </c>
      <c r="M618" s="9"/>
      <c r="N618" s="10"/>
      <c r="O618" s="9"/>
      <c r="P618" s="9">
        <v>1966</v>
      </c>
      <c r="Q618" s="9">
        <f t="shared" si="9"/>
        <v>236.24128815188658</v>
      </c>
      <c r="R618" s="9"/>
      <c r="S618" s="9" t="s">
        <v>12795</v>
      </c>
      <c r="T618" s="9" t="s">
        <v>12795</v>
      </c>
      <c r="U618" s="9"/>
      <c r="V618" s="9"/>
      <c r="W618" s="9"/>
      <c r="X618" s="9"/>
      <c r="Y618" s="9"/>
      <c r="Z618" s="9"/>
      <c r="AA618" s="9"/>
      <c r="AB618" s="9"/>
      <c r="AC618" s="9"/>
      <c r="AD618" s="9"/>
    </row>
    <row r="619" spans="1:30" ht="101.5">
      <c r="A619" s="3" t="s">
        <v>3287</v>
      </c>
      <c r="B619" s="3" t="s">
        <v>8846</v>
      </c>
      <c r="C619" s="3" t="s">
        <v>8842</v>
      </c>
      <c r="G619" s="9" t="s">
        <v>25</v>
      </c>
      <c r="H619" s="9"/>
      <c r="I619" s="9">
        <v>1</v>
      </c>
      <c r="J619" s="9">
        <v>2</v>
      </c>
      <c r="K619" s="9" t="s">
        <v>12078</v>
      </c>
      <c r="L619" s="9" t="s">
        <v>12119</v>
      </c>
      <c r="M619" s="9"/>
      <c r="N619" s="10"/>
      <c r="O619" s="9"/>
      <c r="P619" s="9">
        <v>11843</v>
      </c>
      <c r="Q619" s="9">
        <f t="shared" si="9"/>
        <v>1423.0954097572699</v>
      </c>
      <c r="R619" s="9"/>
      <c r="S619" s="9" t="s">
        <v>12795</v>
      </c>
      <c r="T619" s="9" t="s">
        <v>12795</v>
      </c>
      <c r="U619" s="9"/>
      <c r="V619" s="9"/>
      <c r="W619" s="9"/>
      <c r="X619" s="9"/>
      <c r="Y619" s="9"/>
      <c r="Z619" s="9"/>
      <c r="AA619" s="9"/>
      <c r="AB619" s="9"/>
      <c r="AC619" s="9"/>
      <c r="AD619" s="9"/>
    </row>
    <row r="620" spans="1:30" ht="101.5">
      <c r="A620" s="3" t="s">
        <v>3287</v>
      </c>
      <c r="B620" s="3" t="s">
        <v>8847</v>
      </c>
      <c r="C620" s="3" t="s">
        <v>8842</v>
      </c>
      <c r="F620" t="s">
        <v>19</v>
      </c>
      <c r="G620" s="9" t="s">
        <v>25</v>
      </c>
      <c r="H620" s="9"/>
      <c r="I620" s="9">
        <v>1</v>
      </c>
      <c r="J620" s="9">
        <v>2</v>
      </c>
      <c r="K620" s="9" t="s">
        <v>12078</v>
      </c>
      <c r="L620" s="9" t="s">
        <v>12119</v>
      </c>
      <c r="M620" s="9"/>
      <c r="N620" s="10"/>
      <c r="O620" s="9"/>
      <c r="P620" s="9">
        <v>11843</v>
      </c>
      <c r="Q620" s="9">
        <f t="shared" si="9"/>
        <v>1423.0954097572699</v>
      </c>
      <c r="R620" s="9"/>
      <c r="S620" s="9" t="s">
        <v>12795</v>
      </c>
      <c r="T620" s="9" t="s">
        <v>12795</v>
      </c>
      <c r="U620" s="9"/>
      <c r="V620" s="9"/>
      <c r="W620" s="9"/>
      <c r="X620" s="9"/>
      <c r="Y620" s="9"/>
      <c r="Z620" s="9"/>
      <c r="AA620" s="9"/>
      <c r="AB620" s="9"/>
      <c r="AC620" s="9"/>
      <c r="AD620" s="9"/>
    </row>
    <row r="621" spans="1:30" ht="72.5">
      <c r="A621" s="3" t="s">
        <v>3290</v>
      </c>
      <c r="B621" s="3" t="s">
        <v>8855</v>
      </c>
      <c r="C621" s="3" t="s">
        <v>8854</v>
      </c>
      <c r="G621" s="9" t="s">
        <v>25</v>
      </c>
      <c r="H621" s="9"/>
      <c r="I621" s="9">
        <v>1</v>
      </c>
      <c r="J621" s="9">
        <v>5</v>
      </c>
      <c r="K621" s="9" t="s">
        <v>12094</v>
      </c>
      <c r="L621" s="9" t="s">
        <v>12073</v>
      </c>
      <c r="M621" s="9" t="s">
        <v>12142</v>
      </c>
      <c r="N621" s="10" t="s">
        <v>12143</v>
      </c>
      <c r="O621" s="9"/>
      <c r="P621" s="9">
        <v>4240</v>
      </c>
      <c r="Q621" s="9">
        <f t="shared" si="9"/>
        <v>509.49291035808699</v>
      </c>
      <c r="R621" s="9"/>
      <c r="S621" s="9" t="s">
        <v>12795</v>
      </c>
      <c r="T621" s="9" t="s">
        <v>12795</v>
      </c>
      <c r="U621" s="9"/>
      <c r="V621" s="9"/>
      <c r="W621" s="9"/>
      <c r="X621" s="9"/>
      <c r="Y621" s="9"/>
      <c r="Z621" s="9"/>
      <c r="AA621" s="9"/>
      <c r="AB621" s="9"/>
      <c r="AC621" s="9"/>
      <c r="AD621" s="9"/>
    </row>
    <row r="622" spans="1:30" ht="72.5">
      <c r="A622" s="3" t="s">
        <v>3290</v>
      </c>
      <c r="B622" s="3" t="s">
        <v>8856</v>
      </c>
      <c r="C622" s="3" t="s">
        <v>8857</v>
      </c>
      <c r="G622" s="9" t="s">
        <v>25</v>
      </c>
      <c r="H622" s="9"/>
      <c r="I622" s="9">
        <v>2</v>
      </c>
      <c r="J622" s="9">
        <v>11</v>
      </c>
      <c r="K622" s="9"/>
      <c r="L622" s="9" t="s">
        <v>12079</v>
      </c>
      <c r="M622" s="9"/>
      <c r="N622" s="10"/>
      <c r="O622" s="9"/>
      <c r="P622" s="9">
        <v>16</v>
      </c>
      <c r="Q622" s="9">
        <f t="shared" si="9"/>
        <v>1.9226147560682529</v>
      </c>
      <c r="R622" s="9"/>
      <c r="S622" s="9" t="s">
        <v>12795</v>
      </c>
      <c r="T622" s="9" t="s">
        <v>12795</v>
      </c>
      <c r="U622" s="9"/>
      <c r="V622" s="9"/>
      <c r="W622" s="9"/>
      <c r="X622" s="9"/>
      <c r="Y622" s="9"/>
      <c r="Z622" s="9"/>
      <c r="AA622" s="9"/>
      <c r="AB622" s="9"/>
      <c r="AC622" s="9"/>
      <c r="AD622" s="9"/>
    </row>
    <row r="623" spans="1:30" ht="29">
      <c r="A623" s="3" t="s">
        <v>3291</v>
      </c>
      <c r="B623" s="3" t="s">
        <v>8693</v>
      </c>
      <c r="C623" s="3" t="s">
        <v>8694</v>
      </c>
      <c r="G623" s="9" t="s">
        <v>25</v>
      </c>
      <c r="H623" s="9"/>
      <c r="I623" s="9">
        <v>1</v>
      </c>
      <c r="J623" s="9">
        <v>3</v>
      </c>
      <c r="K623" s="9" t="s">
        <v>12087</v>
      </c>
      <c r="L623" s="9" t="s">
        <v>12079</v>
      </c>
      <c r="M623" s="9"/>
      <c r="N623" s="10"/>
      <c r="O623" s="9"/>
      <c r="P623" s="9">
        <v>810</v>
      </c>
      <c r="Q623" s="9">
        <f t="shared" si="9"/>
        <v>97.332372025955294</v>
      </c>
      <c r="R623" s="9"/>
      <c r="S623" s="9" t="s">
        <v>12795</v>
      </c>
      <c r="T623" s="9" t="s">
        <v>12795</v>
      </c>
      <c r="U623" s="9" t="s">
        <v>12117</v>
      </c>
      <c r="V623" s="9"/>
      <c r="W623" s="9"/>
      <c r="X623" s="9"/>
      <c r="Y623" s="9"/>
      <c r="Z623" s="9"/>
      <c r="AA623" s="9"/>
      <c r="AB623" s="9"/>
      <c r="AC623" s="9"/>
      <c r="AD623" s="9"/>
    </row>
    <row r="624" spans="1:30" ht="72.5">
      <c r="A624" s="3" t="s">
        <v>3292</v>
      </c>
      <c r="B624" s="3" t="s">
        <v>8861</v>
      </c>
      <c r="C624" s="3" t="s">
        <v>8860</v>
      </c>
      <c r="G624" s="9" t="s">
        <v>25</v>
      </c>
      <c r="H624" s="9"/>
      <c r="I624" s="9">
        <v>2</v>
      </c>
      <c r="J624" s="9">
        <v>8</v>
      </c>
      <c r="K624" s="9"/>
      <c r="L624" s="9" t="s">
        <v>12079</v>
      </c>
      <c r="M624" s="9"/>
      <c r="N624" s="10"/>
      <c r="O624" s="9"/>
      <c r="P624" s="9">
        <v>27</v>
      </c>
      <c r="Q624" s="9">
        <f t="shared" si="9"/>
        <v>3.2444124008651767</v>
      </c>
      <c r="R624" s="9"/>
      <c r="S624" s="9" t="s">
        <v>12795</v>
      </c>
      <c r="T624" s="9" t="s">
        <v>12795</v>
      </c>
      <c r="U624" s="9"/>
      <c r="V624" s="9"/>
      <c r="W624" s="9"/>
      <c r="X624" s="9"/>
      <c r="Y624" s="9"/>
      <c r="Z624" s="9"/>
      <c r="AA624" s="9"/>
      <c r="AB624" s="9"/>
      <c r="AC624" s="9"/>
      <c r="AD624" s="9"/>
    </row>
    <row r="625" spans="1:30" ht="43.5">
      <c r="A625" s="3" t="s">
        <v>3296</v>
      </c>
      <c r="B625" s="3" t="s">
        <v>8863</v>
      </c>
      <c r="C625" s="3" t="s">
        <v>8862</v>
      </c>
      <c r="G625" s="9" t="s">
        <v>24</v>
      </c>
      <c r="H625" s="9"/>
      <c r="I625" s="9">
        <v>1</v>
      </c>
      <c r="J625" s="9">
        <v>3</v>
      </c>
      <c r="K625" s="9" t="s">
        <v>12087</v>
      </c>
      <c r="L625" s="9" t="s">
        <v>12079</v>
      </c>
      <c r="M625" s="9"/>
      <c r="N625" s="10"/>
      <c r="O625" s="9"/>
      <c r="P625" s="9">
        <v>356</v>
      </c>
      <c r="Q625" s="9">
        <f t="shared" si="9"/>
        <v>42.778178322518627</v>
      </c>
      <c r="R625" s="9"/>
      <c r="S625" s="9" t="s">
        <v>12795</v>
      </c>
      <c r="T625" s="9" t="s">
        <v>12795</v>
      </c>
      <c r="U625" s="9"/>
      <c r="V625" s="9"/>
      <c r="W625" s="9"/>
      <c r="X625" s="9"/>
      <c r="Y625" s="9"/>
      <c r="Z625" s="9"/>
      <c r="AA625" s="9"/>
      <c r="AB625" s="9"/>
      <c r="AC625" s="9"/>
      <c r="AD625" s="9"/>
    </row>
    <row r="626" spans="1:30" ht="29">
      <c r="A626" s="3" t="s">
        <v>3304</v>
      </c>
      <c r="B626" s="3" t="s">
        <v>8882</v>
      </c>
      <c r="C626" s="3" t="s">
        <v>8883</v>
      </c>
      <c r="G626" s="9" t="s">
        <v>25</v>
      </c>
      <c r="H626" s="9"/>
      <c r="I626" s="9">
        <v>2</v>
      </c>
      <c r="J626" s="9">
        <v>8</v>
      </c>
      <c r="K626" s="9"/>
      <c r="L626" s="9" t="s">
        <v>12079</v>
      </c>
      <c r="M626" s="9"/>
      <c r="N626" s="10"/>
      <c r="O626" s="9"/>
      <c r="P626" s="9">
        <v>14</v>
      </c>
      <c r="Q626" s="9">
        <f t="shared" si="9"/>
        <v>1.6822879115597211</v>
      </c>
      <c r="R626" s="9"/>
      <c r="S626" s="9" t="s">
        <v>12795</v>
      </c>
      <c r="T626" s="9" t="s">
        <v>12795</v>
      </c>
      <c r="U626" s="9"/>
      <c r="V626" s="9"/>
      <c r="W626" s="9"/>
      <c r="X626" s="9"/>
      <c r="Y626" s="9"/>
      <c r="Z626" s="9"/>
      <c r="AA626" s="9"/>
      <c r="AB626" s="9"/>
      <c r="AC626" s="9"/>
      <c r="AD626" s="9"/>
    </row>
    <row r="627" spans="1:30" ht="29">
      <c r="A627" s="3" t="s">
        <v>3305</v>
      </c>
      <c r="B627" s="3" t="s">
        <v>8884</v>
      </c>
      <c r="C627" s="3" t="s">
        <v>8886</v>
      </c>
      <c r="G627" s="9" t="s">
        <v>25</v>
      </c>
      <c r="H627" s="9"/>
      <c r="I627" s="9">
        <v>1</v>
      </c>
      <c r="J627" s="9">
        <v>2</v>
      </c>
      <c r="K627" s="9" t="s">
        <v>12087</v>
      </c>
      <c r="L627" s="9" t="s">
        <v>12119</v>
      </c>
      <c r="M627" s="9"/>
      <c r="N627" s="10"/>
      <c r="O627" s="9"/>
      <c r="P627" s="9">
        <v>1966</v>
      </c>
      <c r="Q627" s="9">
        <f t="shared" si="9"/>
        <v>236.24128815188658</v>
      </c>
      <c r="R627" s="9"/>
      <c r="S627" s="9" t="s">
        <v>12795</v>
      </c>
      <c r="T627" s="9" t="s">
        <v>12795</v>
      </c>
      <c r="U627" s="9"/>
      <c r="V627" s="9"/>
      <c r="W627" s="9"/>
      <c r="X627" s="9"/>
      <c r="Y627" s="9"/>
      <c r="Z627" s="9"/>
      <c r="AA627" s="9"/>
      <c r="AB627" s="9"/>
      <c r="AC627" s="9"/>
      <c r="AD627" s="9"/>
    </row>
    <row r="628" spans="1:30" ht="29">
      <c r="A628" s="3" t="s">
        <v>3305</v>
      </c>
      <c r="B628" s="3" t="s">
        <v>8885</v>
      </c>
      <c r="C628" s="3" t="s">
        <v>8887</v>
      </c>
      <c r="G628" s="9" t="s">
        <v>25</v>
      </c>
      <c r="H628" s="9"/>
      <c r="I628" s="9">
        <v>1</v>
      </c>
      <c r="J628" s="9">
        <v>2</v>
      </c>
      <c r="K628" s="9" t="s">
        <v>12087</v>
      </c>
      <c r="L628" s="9" t="s">
        <v>12119</v>
      </c>
      <c r="M628" s="9"/>
      <c r="N628" s="10"/>
      <c r="O628" s="9"/>
      <c r="P628" s="9">
        <v>1966</v>
      </c>
      <c r="Q628" s="9">
        <f t="shared" si="9"/>
        <v>236.24128815188658</v>
      </c>
      <c r="R628" s="9"/>
      <c r="S628" s="9" t="s">
        <v>12795</v>
      </c>
      <c r="T628" s="9" t="s">
        <v>12795</v>
      </c>
      <c r="U628" s="9"/>
      <c r="V628" s="9"/>
      <c r="W628" s="9"/>
      <c r="X628" s="9"/>
      <c r="Y628" s="9"/>
      <c r="Z628" s="9"/>
      <c r="AA628" s="9"/>
      <c r="AB628" s="9"/>
      <c r="AC628" s="9"/>
      <c r="AD628" s="9"/>
    </row>
    <row r="629" spans="1:30" ht="72.5">
      <c r="A629" s="3" t="s">
        <v>3307</v>
      </c>
      <c r="B629" s="3" t="s">
        <v>8891</v>
      </c>
      <c r="C629" s="3" t="s">
        <v>8890</v>
      </c>
      <c r="G629" s="9" t="s">
        <v>25</v>
      </c>
      <c r="H629" s="9"/>
      <c r="I629" s="9">
        <v>2</v>
      </c>
      <c r="J629" s="9">
        <v>9</v>
      </c>
      <c r="K629" s="9"/>
      <c r="L629" s="9" t="s">
        <v>12073</v>
      </c>
      <c r="M629" s="9" t="s">
        <v>12140</v>
      </c>
      <c r="N629" s="10" t="s">
        <v>12136</v>
      </c>
      <c r="O629" s="9"/>
      <c r="P629" s="9">
        <v>8</v>
      </c>
      <c r="Q629" s="9">
        <f t="shared" si="9"/>
        <v>0.96130737803412647</v>
      </c>
      <c r="R629" s="9"/>
      <c r="S629" s="9" t="s">
        <v>12795</v>
      </c>
      <c r="T629" s="9" t="s">
        <v>12795</v>
      </c>
      <c r="U629" s="9" t="s">
        <v>12117</v>
      </c>
      <c r="V629" s="9"/>
      <c r="W629" s="9"/>
      <c r="X629" s="9"/>
      <c r="Y629" s="9"/>
      <c r="Z629" s="9"/>
      <c r="AA629" s="9"/>
      <c r="AB629" s="9"/>
      <c r="AC629" s="9"/>
      <c r="AD629" s="9"/>
    </row>
    <row r="630" spans="1:30" ht="290">
      <c r="A630" s="3" t="s">
        <v>3308</v>
      </c>
      <c r="B630" s="3" t="s">
        <v>12460</v>
      </c>
      <c r="C630" s="3" t="s">
        <v>12463</v>
      </c>
      <c r="G630" s="9" t="s">
        <v>24</v>
      </c>
      <c r="H630" s="9"/>
      <c r="I630" s="9">
        <v>6</v>
      </c>
      <c r="J630" s="9">
        <v>30</v>
      </c>
      <c r="K630" s="9"/>
      <c r="L630" s="9" t="s">
        <v>12079</v>
      </c>
      <c r="M630" s="9"/>
      <c r="N630" s="10"/>
      <c r="O630" s="9"/>
      <c r="P630" s="9">
        <v>31</v>
      </c>
      <c r="Q630" s="9">
        <f t="shared" si="9"/>
        <v>3.7250660898822399</v>
      </c>
      <c r="R630" s="9"/>
      <c r="S630" s="9" t="s">
        <v>12795</v>
      </c>
      <c r="T630" s="9" t="s">
        <v>12795</v>
      </c>
      <c r="U630" s="9"/>
      <c r="V630" s="9"/>
      <c r="W630" s="9"/>
      <c r="X630" s="9"/>
      <c r="Y630" s="9"/>
      <c r="Z630" s="9"/>
      <c r="AA630" s="9"/>
      <c r="AB630" s="9"/>
      <c r="AC630" s="9"/>
      <c r="AD630" s="9"/>
    </row>
    <row r="631" spans="1:30" ht="43.5">
      <c r="A631" s="3" t="s">
        <v>3309</v>
      </c>
      <c r="B631" s="3" t="s">
        <v>8893</v>
      </c>
      <c r="C631" s="3" t="s">
        <v>8892</v>
      </c>
      <c r="G631" s="9" t="s">
        <v>25</v>
      </c>
      <c r="H631" s="9"/>
      <c r="I631" s="9">
        <v>2</v>
      </c>
      <c r="J631" s="9">
        <v>8</v>
      </c>
      <c r="K631" s="9"/>
      <c r="L631" s="9" t="s">
        <v>12079</v>
      </c>
      <c r="M631" s="9"/>
      <c r="N631" s="10"/>
      <c r="O631" s="9"/>
      <c r="P631" s="9">
        <v>33</v>
      </c>
      <c r="Q631" s="9">
        <f t="shared" si="9"/>
        <v>3.9653929343907715</v>
      </c>
      <c r="R631" s="9"/>
      <c r="S631" s="9" t="s">
        <v>12795</v>
      </c>
      <c r="T631" s="9" t="s">
        <v>12795</v>
      </c>
      <c r="U631" s="9"/>
      <c r="V631" s="9"/>
      <c r="W631" s="9"/>
      <c r="X631" s="9"/>
      <c r="Y631" s="9"/>
      <c r="Z631" s="9"/>
      <c r="AA631" s="9"/>
      <c r="AB631" s="9"/>
      <c r="AC631" s="9"/>
      <c r="AD631" s="9"/>
    </row>
    <row r="632" spans="1:30" ht="29">
      <c r="A632" s="3" t="s">
        <v>3321</v>
      </c>
      <c r="B632" s="3" t="s">
        <v>8908</v>
      </c>
      <c r="C632" s="3" t="s">
        <v>8911</v>
      </c>
      <c r="G632" s="9" t="s">
        <v>24</v>
      </c>
      <c r="H632" s="9"/>
      <c r="I632" s="9">
        <v>1</v>
      </c>
      <c r="J632" s="9">
        <v>1</v>
      </c>
      <c r="K632" s="9" t="s">
        <v>12078</v>
      </c>
      <c r="L632" s="9" t="s">
        <v>12119</v>
      </c>
      <c r="M632" s="9"/>
      <c r="N632" s="10"/>
      <c r="O632" s="9"/>
      <c r="P632" s="9">
        <v>11843</v>
      </c>
      <c r="Q632" s="9">
        <f t="shared" si="9"/>
        <v>1423.0954097572699</v>
      </c>
      <c r="R632" s="9"/>
      <c r="S632" s="9" t="s">
        <v>12795</v>
      </c>
      <c r="T632" s="9" t="s">
        <v>12795</v>
      </c>
      <c r="U632" s="9" t="s">
        <v>12117</v>
      </c>
      <c r="V632" s="9"/>
      <c r="W632" s="9"/>
      <c r="X632" s="9"/>
      <c r="Y632" s="9"/>
      <c r="Z632" s="9"/>
      <c r="AA632" s="9"/>
      <c r="AB632" s="9"/>
      <c r="AC632" s="9"/>
      <c r="AD632" s="9"/>
    </row>
    <row r="633" spans="1:30" ht="159.5">
      <c r="A633" s="3" t="s">
        <v>3321</v>
      </c>
      <c r="B633" s="3" t="s">
        <v>8912</v>
      </c>
      <c r="C633" s="3" t="s">
        <v>8913</v>
      </c>
      <c r="G633" s="9" t="s">
        <v>25</v>
      </c>
      <c r="H633" s="9"/>
      <c r="I633" s="9">
        <v>7</v>
      </c>
      <c r="J633" s="9">
        <v>26</v>
      </c>
      <c r="K633" s="9"/>
      <c r="L633" s="9" t="s">
        <v>12073</v>
      </c>
      <c r="M633" s="9" t="s">
        <v>12154</v>
      </c>
      <c r="N633" s="10" t="s">
        <v>12466</v>
      </c>
      <c r="O633" s="9"/>
      <c r="P633" s="9"/>
      <c r="Q633" s="9" t="str">
        <f t="shared" si="9"/>
        <v/>
      </c>
      <c r="R633" s="9"/>
      <c r="S633" s="9" t="s">
        <v>12795</v>
      </c>
      <c r="T633" s="9" t="s">
        <v>12795</v>
      </c>
      <c r="U633" s="9"/>
      <c r="V633" s="9"/>
      <c r="W633" s="9"/>
      <c r="X633" s="9"/>
      <c r="Y633" s="9"/>
      <c r="Z633" s="9"/>
      <c r="AA633" s="9"/>
      <c r="AB633" s="9"/>
      <c r="AC633" s="9"/>
      <c r="AD633" s="9"/>
    </row>
    <row r="634" spans="1:30" ht="43.5">
      <c r="A634" s="3" t="s">
        <v>3322</v>
      </c>
      <c r="B634" s="3" t="s">
        <v>8915</v>
      </c>
      <c r="C634" s="3" t="s">
        <v>8914</v>
      </c>
      <c r="G634" s="9" t="s">
        <v>24</v>
      </c>
      <c r="H634" s="9"/>
      <c r="I634" s="9">
        <v>2</v>
      </c>
      <c r="J634" s="9">
        <v>7</v>
      </c>
      <c r="K634" s="9"/>
      <c r="L634" s="9" t="s">
        <v>12079</v>
      </c>
      <c r="M634" s="9"/>
      <c r="N634" s="10"/>
      <c r="O634" s="9"/>
      <c r="P634" s="9">
        <v>635</v>
      </c>
      <c r="Q634" s="9">
        <f t="shared" si="9"/>
        <v>76.303773131458783</v>
      </c>
      <c r="R634" s="9"/>
      <c r="S634" s="9" t="s">
        <v>12795</v>
      </c>
      <c r="T634" s="9" t="s">
        <v>12795</v>
      </c>
      <c r="U634" s="9" t="s">
        <v>4</v>
      </c>
      <c r="V634" s="9"/>
      <c r="W634" s="9"/>
      <c r="X634" s="9"/>
      <c r="Y634" s="9"/>
      <c r="Z634" s="9"/>
      <c r="AA634" s="9"/>
      <c r="AB634" s="9"/>
      <c r="AC634" s="9"/>
      <c r="AD634" s="9"/>
    </row>
    <row r="635" spans="1:30" ht="43.5">
      <c r="A635" s="3" t="s">
        <v>3328</v>
      </c>
      <c r="B635" s="3" t="s">
        <v>8925</v>
      </c>
      <c r="C635" s="3" t="s">
        <v>8924</v>
      </c>
      <c r="G635" s="9" t="s">
        <v>24</v>
      </c>
      <c r="H635" s="9"/>
      <c r="I635" s="9">
        <v>1</v>
      </c>
      <c r="J635" s="9">
        <v>3</v>
      </c>
      <c r="K635" s="9" t="s">
        <v>12094</v>
      </c>
      <c r="L635" s="9" t="s">
        <v>12079</v>
      </c>
      <c r="M635" s="9"/>
      <c r="N635" s="10"/>
      <c r="O635" s="9"/>
      <c r="P635" s="9">
        <v>1496</v>
      </c>
      <c r="Q635" s="9">
        <f t="shared" si="9"/>
        <v>179.76447969238166</v>
      </c>
      <c r="R635" s="9"/>
      <c r="S635" s="9" t="s">
        <v>12795</v>
      </c>
      <c r="T635" s="9" t="s">
        <v>12795</v>
      </c>
      <c r="U635" s="9"/>
      <c r="V635" s="9"/>
      <c r="W635" s="9"/>
      <c r="X635" s="9"/>
      <c r="Y635" s="9"/>
      <c r="Z635" s="9"/>
      <c r="AA635" s="9"/>
      <c r="AB635" s="9"/>
      <c r="AC635" s="9"/>
      <c r="AD635" s="9"/>
    </row>
    <row r="636" spans="1:30" ht="58">
      <c r="A636" s="3" t="s">
        <v>3330</v>
      </c>
      <c r="B636" s="3" t="s">
        <v>8928</v>
      </c>
      <c r="C636" s="3" t="s">
        <v>8929</v>
      </c>
      <c r="G636" s="9" t="s">
        <v>25</v>
      </c>
      <c r="H636" s="9"/>
      <c r="I636" s="9">
        <v>1</v>
      </c>
      <c r="J636" s="9">
        <v>6</v>
      </c>
      <c r="K636" s="9" t="s">
        <v>12094</v>
      </c>
      <c r="L636" s="9" t="s">
        <v>12073</v>
      </c>
      <c r="M636" s="9" t="s">
        <v>12142</v>
      </c>
      <c r="N636" s="10" t="s">
        <v>12160</v>
      </c>
      <c r="O636" s="9"/>
      <c r="P636" s="9">
        <v>156</v>
      </c>
      <c r="Q636" s="9">
        <f t="shared" si="9"/>
        <v>18.745493871665467</v>
      </c>
      <c r="R636" s="9"/>
      <c r="S636" s="9" t="s">
        <v>12795</v>
      </c>
      <c r="T636" s="9" t="s">
        <v>12795</v>
      </c>
      <c r="U636" s="9"/>
      <c r="V636" s="9"/>
      <c r="W636" s="9"/>
      <c r="X636" s="9"/>
      <c r="Y636" s="9"/>
      <c r="Z636" s="9"/>
      <c r="AA636" s="9"/>
      <c r="AB636" s="9"/>
      <c r="AC636" s="9"/>
      <c r="AD636" s="9"/>
    </row>
    <row r="637" spans="1:30" ht="29">
      <c r="A637" s="3" t="s">
        <v>3340</v>
      </c>
      <c r="B637" s="3" t="s">
        <v>8939</v>
      </c>
      <c r="C637" s="3" t="s">
        <v>8940</v>
      </c>
      <c r="G637" s="9" t="s">
        <v>25</v>
      </c>
      <c r="H637" s="9"/>
      <c r="I637" s="9">
        <v>1</v>
      </c>
      <c r="J637" s="9">
        <v>3</v>
      </c>
      <c r="K637" s="9" t="s">
        <v>12087</v>
      </c>
      <c r="L637" s="9" t="s">
        <v>12079</v>
      </c>
      <c r="M637" s="9"/>
      <c r="N637" s="10"/>
      <c r="O637" s="9"/>
      <c r="P637" s="9">
        <v>356</v>
      </c>
      <c r="Q637" s="9">
        <f t="shared" si="9"/>
        <v>42.778178322518627</v>
      </c>
      <c r="R637" s="9"/>
      <c r="S637" s="9" t="s">
        <v>12795</v>
      </c>
      <c r="T637" s="9" t="s">
        <v>12795</v>
      </c>
      <c r="U637" s="9"/>
      <c r="V637" s="9"/>
      <c r="W637" s="9"/>
      <c r="X637" s="9"/>
      <c r="Y637" s="9"/>
      <c r="Z637" s="9"/>
      <c r="AA637" s="9"/>
      <c r="AB637" s="9"/>
      <c r="AC637" s="9"/>
      <c r="AD637" s="9"/>
    </row>
    <row r="638" spans="1:30" ht="29">
      <c r="A638" s="3" t="s">
        <v>3348</v>
      </c>
      <c r="B638" s="11" t="s">
        <v>8959</v>
      </c>
      <c r="C638" s="3" t="s">
        <v>8958</v>
      </c>
      <c r="G638" s="9" t="s">
        <v>24</v>
      </c>
      <c r="H638" s="9"/>
      <c r="I638" s="9">
        <v>1</v>
      </c>
      <c r="J638" s="9">
        <v>2</v>
      </c>
      <c r="K638" s="9" t="s">
        <v>12094</v>
      </c>
      <c r="L638" s="9" t="s">
        <v>12119</v>
      </c>
      <c r="M638" s="9"/>
      <c r="N638" s="10"/>
      <c r="O638" s="9"/>
      <c r="P638" s="9">
        <v>1741</v>
      </c>
      <c r="Q638" s="9">
        <f t="shared" si="9"/>
        <v>209.20451814467677</v>
      </c>
      <c r="R638" s="9"/>
      <c r="S638" s="9" t="s">
        <v>12795</v>
      </c>
      <c r="T638" s="9" t="s">
        <v>12795</v>
      </c>
      <c r="U638" s="9"/>
      <c r="V638" s="9"/>
      <c r="W638" s="9"/>
      <c r="X638" s="9"/>
      <c r="Y638" s="9"/>
      <c r="Z638" s="9"/>
      <c r="AA638" s="9"/>
      <c r="AB638" s="9"/>
      <c r="AC638" s="9"/>
      <c r="AD638" s="9"/>
    </row>
    <row r="639" spans="1:30" ht="29">
      <c r="A639" s="3" t="s">
        <v>3353</v>
      </c>
      <c r="B639" s="3" t="s">
        <v>8966</v>
      </c>
      <c r="C639" s="3" t="s">
        <v>8967</v>
      </c>
      <c r="G639" s="9" t="s">
        <v>25</v>
      </c>
      <c r="H639" s="9"/>
      <c r="I639" s="9">
        <v>1</v>
      </c>
      <c r="J639" s="9">
        <v>3</v>
      </c>
      <c r="K639" s="9" t="s">
        <v>12087</v>
      </c>
      <c r="L639" s="9" t="s">
        <v>12079</v>
      </c>
      <c r="M639" s="9"/>
      <c r="N639" s="10"/>
      <c r="O639" s="9"/>
      <c r="P639" s="9">
        <v>356</v>
      </c>
      <c r="Q639" s="9">
        <f t="shared" si="9"/>
        <v>42.778178322518627</v>
      </c>
      <c r="R639" s="9"/>
      <c r="S639" s="9" t="s">
        <v>12795</v>
      </c>
      <c r="T639" s="9" t="s">
        <v>12795</v>
      </c>
      <c r="U639" s="9"/>
      <c r="V639" s="9"/>
      <c r="W639" s="9"/>
      <c r="X639" s="9"/>
      <c r="Y639" s="9"/>
      <c r="Z639" s="9"/>
      <c r="AA639" s="9"/>
      <c r="AB639" s="9"/>
      <c r="AC639" s="9"/>
      <c r="AD639" s="9"/>
    </row>
    <row r="640" spans="1:30" ht="43.5">
      <c r="A640" s="3" t="s">
        <v>3353</v>
      </c>
      <c r="B640" s="3" t="s">
        <v>8969</v>
      </c>
      <c r="C640" s="3" t="s">
        <v>8968</v>
      </c>
      <c r="G640" s="9" t="s">
        <v>25</v>
      </c>
      <c r="H640" s="9"/>
      <c r="I640" s="9">
        <v>1</v>
      </c>
      <c r="J640" s="9">
        <v>4</v>
      </c>
      <c r="K640" s="9" t="s">
        <v>12084</v>
      </c>
      <c r="L640" s="9" t="s">
        <v>12079</v>
      </c>
      <c r="M640" s="9"/>
      <c r="N640" s="10"/>
      <c r="O640" s="9"/>
      <c r="P640" s="9">
        <v>13</v>
      </c>
      <c r="Q640" s="9">
        <f t="shared" si="9"/>
        <v>1.5621244893054553</v>
      </c>
      <c r="R640" s="9"/>
      <c r="S640" s="9" t="s">
        <v>12795</v>
      </c>
      <c r="T640" s="9" t="s">
        <v>12795</v>
      </c>
      <c r="U640" s="9"/>
      <c r="V640" s="9"/>
      <c r="W640" s="9"/>
      <c r="X640" s="9"/>
      <c r="Y640" s="9"/>
      <c r="Z640" s="9"/>
      <c r="AA640" s="9"/>
      <c r="AB640" s="9"/>
      <c r="AC640" s="9"/>
      <c r="AD640" s="9"/>
    </row>
    <row r="641" spans="1:30" ht="72.5">
      <c r="A641" s="3" t="s">
        <v>3354</v>
      </c>
      <c r="B641" s="3" t="s">
        <v>8975</v>
      </c>
      <c r="C641" s="3" t="s">
        <v>8974</v>
      </c>
      <c r="G641" s="9" t="s">
        <v>25</v>
      </c>
      <c r="H641" s="9"/>
      <c r="I641" s="9">
        <v>1</v>
      </c>
      <c r="J641" s="9">
        <v>9</v>
      </c>
      <c r="K641" s="9" t="s">
        <v>12098</v>
      </c>
      <c r="L641" s="9" t="s">
        <v>12073</v>
      </c>
      <c r="M641" s="9" t="s">
        <v>12149</v>
      </c>
      <c r="N641" s="10" t="s">
        <v>12160</v>
      </c>
      <c r="O641" s="9"/>
      <c r="P641" s="9">
        <v>35</v>
      </c>
      <c r="Q641" s="9">
        <f t="shared" ref="Q641:Q704" si="10">IF(ISNUMBER(P641), (P641/$F$988)*10000, "")</f>
        <v>4.2057197788993026</v>
      </c>
      <c r="R641" s="9"/>
      <c r="S641" s="9" t="s">
        <v>12795</v>
      </c>
      <c r="T641" s="9" t="s">
        <v>12795</v>
      </c>
      <c r="U641" s="9"/>
      <c r="V641" s="9"/>
      <c r="W641" s="9"/>
      <c r="X641" s="9"/>
      <c r="Y641" s="9"/>
      <c r="Z641" s="9"/>
      <c r="AA641" s="9"/>
      <c r="AB641" s="9"/>
      <c r="AC641" s="9"/>
      <c r="AD641" s="9"/>
    </row>
    <row r="642" spans="1:30" ht="58">
      <c r="A642" s="3" t="s">
        <v>3355</v>
      </c>
      <c r="B642" s="3" t="s">
        <v>8976</v>
      </c>
      <c r="C642" s="3" t="s">
        <v>8977</v>
      </c>
      <c r="G642" s="9" t="s">
        <v>24</v>
      </c>
      <c r="H642" s="9"/>
      <c r="I642" s="9">
        <v>2</v>
      </c>
      <c r="J642" s="9">
        <v>13</v>
      </c>
      <c r="K642" s="9"/>
      <c r="L642" s="9" t="s">
        <v>12079</v>
      </c>
      <c r="M642" s="9"/>
      <c r="N642" s="10"/>
      <c r="O642" s="9"/>
      <c r="P642" s="9">
        <v>1565</v>
      </c>
      <c r="Q642" s="9">
        <f t="shared" si="10"/>
        <v>188.05575582792596</v>
      </c>
      <c r="R642" s="9"/>
      <c r="S642" s="9" t="s">
        <v>12795</v>
      </c>
      <c r="T642" s="9" t="s">
        <v>12795</v>
      </c>
      <c r="U642" s="9"/>
      <c r="V642" s="9"/>
      <c r="W642" s="9"/>
      <c r="X642" s="9"/>
      <c r="Y642" s="9"/>
      <c r="Z642" s="9"/>
      <c r="AA642" s="9"/>
      <c r="AB642" s="9"/>
      <c r="AC642" s="9"/>
      <c r="AD642" s="9"/>
    </row>
    <row r="643" spans="1:30" ht="72.5">
      <c r="A643" s="3" t="s">
        <v>3356</v>
      </c>
      <c r="B643" s="3" t="s">
        <v>8984</v>
      </c>
      <c r="C643" s="3" t="s">
        <v>8981</v>
      </c>
      <c r="G643" s="9" t="s">
        <v>24</v>
      </c>
      <c r="H643" s="9"/>
      <c r="I643" s="9">
        <v>1</v>
      </c>
      <c r="J643" s="9">
        <v>3</v>
      </c>
      <c r="K643" s="9" t="s">
        <v>12094</v>
      </c>
      <c r="L643" s="9" t="s">
        <v>12079</v>
      </c>
      <c r="M643" s="9"/>
      <c r="N643" s="10"/>
      <c r="O643" s="9"/>
      <c r="P643" s="9">
        <v>1496</v>
      </c>
      <c r="Q643" s="9">
        <f t="shared" si="10"/>
        <v>179.76447969238166</v>
      </c>
      <c r="R643" s="9"/>
      <c r="S643" s="9" t="s">
        <v>12795</v>
      </c>
      <c r="T643" s="9" t="s">
        <v>12795</v>
      </c>
      <c r="U643" s="9"/>
      <c r="V643" s="9"/>
      <c r="W643" s="9"/>
      <c r="X643" s="9"/>
      <c r="Y643" s="9"/>
      <c r="Z643" s="9"/>
      <c r="AA643" s="9"/>
      <c r="AB643" s="9"/>
      <c r="AC643" s="9"/>
      <c r="AD643" s="9"/>
    </row>
    <row r="644" spans="1:30" ht="72.5">
      <c r="A644" s="3" t="s">
        <v>3357</v>
      </c>
      <c r="B644" s="3" t="s">
        <v>8985</v>
      </c>
      <c r="C644" s="3" t="s">
        <v>8980</v>
      </c>
      <c r="G644" s="9" t="s">
        <v>25</v>
      </c>
      <c r="H644" s="9"/>
      <c r="I644" s="9">
        <v>1</v>
      </c>
      <c r="J644" s="9">
        <v>4</v>
      </c>
      <c r="K644" s="9" t="s">
        <v>12094</v>
      </c>
      <c r="L644" s="9" t="s">
        <v>12079</v>
      </c>
      <c r="M644" s="9"/>
      <c r="N644" s="10"/>
      <c r="O644" s="9"/>
      <c r="P644" s="9">
        <v>1496</v>
      </c>
      <c r="Q644" s="9">
        <f t="shared" si="10"/>
        <v>179.76447969238166</v>
      </c>
      <c r="R644" s="9"/>
      <c r="S644" s="9" t="s">
        <v>12795</v>
      </c>
      <c r="T644" s="9" t="s">
        <v>12795</v>
      </c>
      <c r="U644" s="9"/>
      <c r="V644" s="9"/>
      <c r="W644" s="9"/>
      <c r="X644" s="9"/>
      <c r="Y644" s="9"/>
      <c r="Z644" s="9"/>
      <c r="AA644" s="9"/>
      <c r="AB644" s="9"/>
      <c r="AC644" s="9"/>
      <c r="AD644" s="9"/>
    </row>
    <row r="645" spans="1:30" ht="29">
      <c r="A645" s="3" t="s">
        <v>3359</v>
      </c>
      <c r="B645" s="3" t="s">
        <v>8988</v>
      </c>
      <c r="C645" s="3" t="s">
        <v>8989</v>
      </c>
      <c r="G645" s="9" t="s">
        <v>25</v>
      </c>
      <c r="H645" s="9"/>
      <c r="I645" s="9">
        <v>1</v>
      </c>
      <c r="J645" s="9">
        <v>3</v>
      </c>
      <c r="K645" s="9" t="s">
        <v>12078</v>
      </c>
      <c r="L645" s="9" t="s">
        <v>12079</v>
      </c>
      <c r="M645" s="9"/>
      <c r="N645" s="10"/>
      <c r="O645" s="9"/>
      <c r="P645" s="9">
        <v>11843</v>
      </c>
      <c r="Q645" s="9">
        <f t="shared" si="10"/>
        <v>1423.0954097572699</v>
      </c>
      <c r="R645" s="9"/>
      <c r="S645" s="9" t="s">
        <v>12795</v>
      </c>
      <c r="T645" s="9" t="s">
        <v>12795</v>
      </c>
      <c r="U645" s="9"/>
      <c r="V645" s="9"/>
      <c r="W645" s="9"/>
      <c r="X645" s="9"/>
      <c r="Y645" s="9"/>
      <c r="Z645" s="9"/>
      <c r="AA645" s="9"/>
      <c r="AB645" s="9"/>
      <c r="AC645" s="9"/>
      <c r="AD645" s="9"/>
    </row>
    <row r="646" spans="1:30" ht="43.5">
      <c r="A646" s="3" t="s">
        <v>3362</v>
      </c>
      <c r="B646" s="3" t="s">
        <v>8995</v>
      </c>
      <c r="C646" s="3" t="s">
        <v>8994</v>
      </c>
      <c r="G646" s="9" t="s">
        <v>25</v>
      </c>
      <c r="H646" s="9"/>
      <c r="I646" s="9">
        <v>1</v>
      </c>
      <c r="J646" s="9">
        <v>3</v>
      </c>
      <c r="K646" s="9" t="s">
        <v>12087</v>
      </c>
      <c r="L646" s="9" t="s">
        <v>12079</v>
      </c>
      <c r="M646" s="9"/>
      <c r="N646" s="10"/>
      <c r="O646" s="9"/>
      <c r="P646" s="9">
        <v>356</v>
      </c>
      <c r="Q646" s="9">
        <f t="shared" si="10"/>
        <v>42.778178322518627</v>
      </c>
      <c r="R646" s="9"/>
      <c r="S646" s="9" t="s">
        <v>12795</v>
      </c>
      <c r="T646" s="9" t="s">
        <v>12795</v>
      </c>
      <c r="U646" s="9"/>
      <c r="V646" s="9"/>
      <c r="W646" s="9"/>
      <c r="X646" s="9"/>
      <c r="Y646" s="9"/>
      <c r="Z646" s="9"/>
      <c r="AA646" s="9"/>
      <c r="AB646" s="9"/>
      <c r="AC646" s="9"/>
      <c r="AD646" s="9"/>
    </row>
    <row r="647" spans="1:30" ht="29">
      <c r="A647" s="3" t="s">
        <v>3363</v>
      </c>
      <c r="B647" s="3" t="s">
        <v>9001</v>
      </c>
      <c r="C647" s="3" t="s">
        <v>9000</v>
      </c>
      <c r="G647" s="9" t="s">
        <v>24</v>
      </c>
      <c r="H647" s="9"/>
      <c r="I647" s="9">
        <v>1</v>
      </c>
      <c r="J647" s="9">
        <v>3</v>
      </c>
      <c r="K647" s="9" t="s">
        <v>12087</v>
      </c>
      <c r="L647" s="9" t="s">
        <v>12079</v>
      </c>
      <c r="M647" s="9"/>
      <c r="N647" s="10"/>
      <c r="O647" s="9"/>
      <c r="P647" s="9">
        <v>5676</v>
      </c>
      <c r="Q647" s="9">
        <f t="shared" si="10"/>
        <v>682.04758471521268</v>
      </c>
      <c r="R647" s="9"/>
      <c r="S647" s="9" t="s">
        <v>12795</v>
      </c>
      <c r="T647" s="9" t="s">
        <v>12795</v>
      </c>
      <c r="U647" s="9"/>
      <c r="V647" s="9"/>
      <c r="W647" s="9"/>
      <c r="X647" s="9"/>
      <c r="Y647" s="9"/>
      <c r="Z647" s="9"/>
      <c r="AA647" s="9"/>
      <c r="AB647" s="9"/>
      <c r="AC647" s="9"/>
      <c r="AD647" s="9"/>
    </row>
    <row r="648" spans="1:30" ht="43.5">
      <c r="A648" s="3" t="s">
        <v>3368</v>
      </c>
      <c r="B648" s="3" t="s">
        <v>9002</v>
      </c>
      <c r="C648" s="3" t="s">
        <v>9003</v>
      </c>
      <c r="G648" s="9" t="s">
        <v>25</v>
      </c>
      <c r="H648" s="9"/>
      <c r="I648" s="9">
        <v>1</v>
      </c>
      <c r="J648" s="9">
        <v>6</v>
      </c>
      <c r="K648" s="9" t="s">
        <v>12094</v>
      </c>
      <c r="L648" s="9" t="s">
        <v>12079</v>
      </c>
      <c r="M648" s="9"/>
      <c r="N648" s="10"/>
      <c r="O648" s="9"/>
      <c r="P648" s="9">
        <v>4240</v>
      </c>
      <c r="Q648" s="9">
        <f t="shared" si="10"/>
        <v>509.49291035808699</v>
      </c>
      <c r="R648" s="9"/>
      <c r="S648" s="9" t="s">
        <v>12795</v>
      </c>
      <c r="T648" s="9" t="s">
        <v>12795</v>
      </c>
      <c r="U648" s="9"/>
      <c r="V648" s="9"/>
      <c r="W648" s="9"/>
      <c r="X648" s="9"/>
      <c r="Y648" s="9"/>
      <c r="Z648" s="9"/>
      <c r="AA648" s="9"/>
      <c r="AB648" s="9"/>
      <c r="AC648" s="9"/>
      <c r="AD648" s="9"/>
    </row>
    <row r="649" spans="1:30" ht="72.5">
      <c r="A649" s="3" t="s">
        <v>3369</v>
      </c>
      <c r="B649" s="3" t="s">
        <v>9004</v>
      </c>
      <c r="C649" s="3" t="s">
        <v>9007</v>
      </c>
      <c r="G649" s="9" t="s">
        <v>24</v>
      </c>
      <c r="H649" s="9"/>
      <c r="I649" s="9">
        <v>1</v>
      </c>
      <c r="J649" s="9">
        <v>3</v>
      </c>
      <c r="K649" s="9" t="s">
        <v>12078</v>
      </c>
      <c r="L649" s="9" t="s">
        <v>12079</v>
      </c>
      <c r="M649" s="9"/>
      <c r="N649" s="10"/>
      <c r="O649" s="9"/>
      <c r="P649" s="9">
        <v>11843</v>
      </c>
      <c r="Q649" s="9">
        <f t="shared" si="10"/>
        <v>1423.0954097572699</v>
      </c>
      <c r="R649" s="9"/>
      <c r="S649" s="9" t="s">
        <v>12795</v>
      </c>
      <c r="T649" s="9" t="s">
        <v>12795</v>
      </c>
      <c r="U649" s="9"/>
      <c r="V649" s="9"/>
      <c r="W649" s="9"/>
      <c r="X649" s="9"/>
      <c r="Y649" s="9"/>
      <c r="Z649" s="9"/>
      <c r="AA649" s="9"/>
      <c r="AB649" s="9"/>
      <c r="AC649" s="9"/>
      <c r="AD649" s="9"/>
    </row>
    <row r="650" spans="1:30" ht="29">
      <c r="A650" s="3" t="s">
        <v>3369</v>
      </c>
      <c r="B650" s="3" t="s">
        <v>9008</v>
      </c>
      <c r="C650" s="3" t="s">
        <v>9009</v>
      </c>
      <c r="G650" s="9" t="s">
        <v>25</v>
      </c>
      <c r="H650" s="9"/>
      <c r="I650" s="9">
        <v>1</v>
      </c>
      <c r="J650" s="9">
        <v>2</v>
      </c>
      <c r="K650" s="9" t="s">
        <v>12087</v>
      </c>
      <c r="L650" s="9" t="s">
        <v>12119</v>
      </c>
      <c r="M650" s="9"/>
      <c r="N650" s="10"/>
      <c r="O650" s="9"/>
      <c r="P650" s="9">
        <v>1966</v>
      </c>
      <c r="Q650" s="9">
        <f t="shared" si="10"/>
        <v>236.24128815188658</v>
      </c>
      <c r="R650" s="9"/>
      <c r="S650" s="9" t="s">
        <v>12795</v>
      </c>
      <c r="T650" s="9" t="s">
        <v>12795</v>
      </c>
      <c r="U650" s="9"/>
      <c r="V650" s="9"/>
      <c r="W650" s="9"/>
      <c r="X650" s="9"/>
      <c r="Y650" s="9"/>
      <c r="Z650" s="9"/>
      <c r="AA650" s="9"/>
      <c r="AB650" s="9"/>
      <c r="AC650" s="9"/>
      <c r="AD650" s="9"/>
    </row>
    <row r="651" spans="1:30" ht="203">
      <c r="A651" s="3" t="s">
        <v>3371</v>
      </c>
      <c r="B651" s="3" t="s">
        <v>12470</v>
      </c>
      <c r="C651" s="3" t="s">
        <v>12471</v>
      </c>
      <c r="G651" s="9" t="s">
        <v>25</v>
      </c>
      <c r="H651" s="9"/>
      <c r="I651" s="9">
        <v>9</v>
      </c>
      <c r="J651" s="9">
        <v>43</v>
      </c>
      <c r="K651" s="9"/>
      <c r="L651" s="9" t="s">
        <v>12073</v>
      </c>
      <c r="M651" s="9" t="s">
        <v>12140</v>
      </c>
      <c r="N651" s="10" t="s">
        <v>12472</v>
      </c>
      <c r="O651" s="9"/>
      <c r="P651" s="9">
        <v>45</v>
      </c>
      <c r="Q651" s="9">
        <f t="shared" si="10"/>
        <v>5.407354001441961</v>
      </c>
      <c r="R651" s="9"/>
      <c r="S651" s="9" t="s">
        <v>12795</v>
      </c>
      <c r="T651" s="9" t="s">
        <v>12795</v>
      </c>
      <c r="U651" s="9"/>
      <c r="V651" s="9"/>
      <c r="W651" s="9"/>
      <c r="X651" s="9"/>
      <c r="Y651" s="9"/>
      <c r="Z651" s="9"/>
      <c r="AA651" s="9"/>
      <c r="AB651" s="9"/>
      <c r="AC651" s="9"/>
      <c r="AD651" s="9"/>
    </row>
    <row r="652" spans="1:30" ht="87">
      <c r="A652" s="3" t="s">
        <v>3376</v>
      </c>
      <c r="B652" s="3" t="s">
        <v>9016</v>
      </c>
      <c r="C652" s="3" t="s">
        <v>9015</v>
      </c>
      <c r="G652" s="9" t="s">
        <v>25</v>
      </c>
      <c r="H652" s="9"/>
      <c r="I652" s="9">
        <v>1</v>
      </c>
      <c r="J652" s="9">
        <v>3</v>
      </c>
      <c r="K652" s="9" t="s">
        <v>12087</v>
      </c>
      <c r="L652" s="9" t="s">
        <v>12079</v>
      </c>
      <c r="M652" s="9"/>
      <c r="N652" s="10"/>
      <c r="O652" s="9"/>
      <c r="P652" s="9">
        <v>356</v>
      </c>
      <c r="Q652" s="9">
        <f t="shared" si="10"/>
        <v>42.778178322518627</v>
      </c>
      <c r="R652" s="9"/>
      <c r="S652" s="9" t="s">
        <v>12795</v>
      </c>
      <c r="T652" s="9" t="s">
        <v>12795</v>
      </c>
      <c r="U652" s="9"/>
      <c r="V652" s="9"/>
      <c r="W652" s="9"/>
      <c r="X652" s="9"/>
      <c r="Y652" s="9"/>
      <c r="Z652" s="9"/>
      <c r="AA652" s="9"/>
      <c r="AB652" s="9"/>
      <c r="AC652" s="9"/>
      <c r="AD652" s="9"/>
    </row>
    <row r="653" spans="1:30" ht="87">
      <c r="A653" s="3" t="s">
        <v>3376</v>
      </c>
      <c r="B653" s="3" t="s">
        <v>9014</v>
      </c>
      <c r="C653" s="3" t="s">
        <v>9017</v>
      </c>
      <c r="G653" s="9" t="s">
        <v>24</v>
      </c>
      <c r="H653" s="9"/>
      <c r="I653" s="9">
        <v>1</v>
      </c>
      <c r="J653" s="9">
        <v>8</v>
      </c>
      <c r="K653" s="9" t="s">
        <v>12092</v>
      </c>
      <c r="L653" s="9" t="s">
        <v>12073</v>
      </c>
      <c r="M653" s="9" t="s">
        <v>12142</v>
      </c>
      <c r="N653" s="10" t="s">
        <v>12143</v>
      </c>
      <c r="O653" s="9"/>
      <c r="P653" s="9">
        <v>371</v>
      </c>
      <c r="Q653" s="9">
        <f t="shared" si="10"/>
        <v>44.580629656332611</v>
      </c>
      <c r="R653" s="9"/>
      <c r="S653" s="9" t="s">
        <v>12795</v>
      </c>
      <c r="T653" s="9" t="s">
        <v>12795</v>
      </c>
      <c r="U653" s="9"/>
      <c r="V653" s="9"/>
      <c r="W653" s="9"/>
      <c r="X653" s="9"/>
      <c r="Y653" s="9"/>
      <c r="Z653" s="9"/>
      <c r="AA653" s="9"/>
      <c r="AB653" s="9"/>
      <c r="AC653" s="9"/>
      <c r="AD653" s="9"/>
    </row>
    <row r="654" spans="1:30" ht="43.5">
      <c r="A654" s="3" t="s">
        <v>3378</v>
      </c>
      <c r="B654" s="3" t="s">
        <v>9021</v>
      </c>
      <c r="C654" s="3" t="s">
        <v>9018</v>
      </c>
      <c r="G654" s="9" t="s">
        <v>25</v>
      </c>
      <c r="H654" s="9"/>
      <c r="I654" s="9">
        <v>1</v>
      </c>
      <c r="J654" s="9">
        <v>3</v>
      </c>
      <c r="K654" s="9" t="s">
        <v>12087</v>
      </c>
      <c r="L654" s="9" t="s">
        <v>12079</v>
      </c>
      <c r="M654" s="9"/>
      <c r="N654" s="10"/>
      <c r="O654" s="9"/>
      <c r="P654" s="9">
        <v>5676</v>
      </c>
      <c r="Q654" s="9">
        <f t="shared" si="10"/>
        <v>682.04758471521268</v>
      </c>
      <c r="R654" s="9"/>
      <c r="S654" s="9" t="s">
        <v>12795</v>
      </c>
      <c r="T654" s="9" t="s">
        <v>12795</v>
      </c>
      <c r="U654" s="9"/>
      <c r="V654" s="9"/>
      <c r="W654" s="9"/>
      <c r="X654" s="9"/>
      <c r="Y654" s="9"/>
      <c r="Z654" s="9"/>
      <c r="AA654" s="9"/>
      <c r="AB654" s="9"/>
      <c r="AC654" s="9"/>
      <c r="AD654" s="9"/>
    </row>
    <row r="655" spans="1:30" ht="43.5">
      <c r="A655" s="3" t="s">
        <v>3379</v>
      </c>
      <c r="B655" s="3" t="s">
        <v>9023</v>
      </c>
      <c r="C655" s="3" t="s">
        <v>9022</v>
      </c>
      <c r="G655" s="9" t="s">
        <v>24</v>
      </c>
      <c r="H655" s="9"/>
      <c r="I655" s="9">
        <v>1</v>
      </c>
      <c r="J655" s="9">
        <v>6</v>
      </c>
      <c r="K655" s="9" t="s">
        <v>12094</v>
      </c>
      <c r="L655" s="9" t="s">
        <v>12079</v>
      </c>
      <c r="M655" s="9"/>
      <c r="N655" s="10"/>
      <c r="O655" s="9"/>
      <c r="P655" s="9">
        <v>4240</v>
      </c>
      <c r="Q655" s="9">
        <f t="shared" si="10"/>
        <v>509.49291035808699</v>
      </c>
      <c r="R655" s="9"/>
      <c r="S655" s="9" t="s">
        <v>12795</v>
      </c>
      <c r="T655" s="9" t="s">
        <v>12795</v>
      </c>
      <c r="U655" s="9"/>
      <c r="V655" s="9"/>
      <c r="W655" s="9"/>
      <c r="X655" s="9"/>
      <c r="Y655" s="9"/>
      <c r="Z655" s="9"/>
      <c r="AA655" s="9"/>
      <c r="AB655" s="9"/>
      <c r="AC655" s="9"/>
      <c r="AD655" s="9"/>
    </row>
    <row r="656" spans="1:30" ht="43.5">
      <c r="A656" s="3" t="s">
        <v>3381</v>
      </c>
      <c r="B656" s="3" t="s">
        <v>9029</v>
      </c>
      <c r="C656" s="3" t="s">
        <v>9028</v>
      </c>
      <c r="G656" s="9" t="s">
        <v>24</v>
      </c>
      <c r="H656" s="9"/>
      <c r="I656" s="9">
        <v>1</v>
      </c>
      <c r="J656" s="9">
        <v>6</v>
      </c>
      <c r="K656" s="9" t="s">
        <v>12094</v>
      </c>
      <c r="L656" s="9" t="s">
        <v>12079</v>
      </c>
      <c r="M656" s="9"/>
      <c r="N656" s="10"/>
      <c r="O656" s="9"/>
      <c r="P656" s="9">
        <v>4240</v>
      </c>
      <c r="Q656" s="9">
        <f t="shared" si="10"/>
        <v>509.49291035808699</v>
      </c>
      <c r="R656" s="9"/>
      <c r="S656" s="9" t="s">
        <v>12795</v>
      </c>
      <c r="T656" s="9" t="s">
        <v>12795</v>
      </c>
      <c r="U656" s="9"/>
      <c r="V656" s="9"/>
      <c r="W656" s="9"/>
      <c r="X656" s="9"/>
      <c r="Y656" s="9"/>
      <c r="Z656" s="9"/>
      <c r="AA656" s="9"/>
      <c r="AB656" s="9"/>
      <c r="AC656" s="9"/>
      <c r="AD656" s="9"/>
    </row>
    <row r="657" spans="1:30" ht="43.5">
      <c r="A657" s="3" t="s">
        <v>3386</v>
      </c>
      <c r="B657" s="3" t="s">
        <v>9042</v>
      </c>
      <c r="C657" s="3" t="s">
        <v>9043</v>
      </c>
      <c r="G657" s="9" t="s">
        <v>24</v>
      </c>
      <c r="H657" s="9"/>
      <c r="I657" s="9">
        <v>1</v>
      </c>
      <c r="J657" s="9">
        <v>3</v>
      </c>
      <c r="K657" s="9" t="s">
        <v>12087</v>
      </c>
      <c r="L657" s="9" t="s">
        <v>12079</v>
      </c>
      <c r="M657" s="9"/>
      <c r="N657" s="10"/>
      <c r="O657" s="9"/>
      <c r="P657" s="9">
        <v>5676</v>
      </c>
      <c r="Q657" s="9">
        <f t="shared" si="10"/>
        <v>682.04758471521268</v>
      </c>
      <c r="R657" s="9"/>
      <c r="S657" s="9" t="s">
        <v>12795</v>
      </c>
      <c r="T657" s="9" t="s">
        <v>12795</v>
      </c>
      <c r="U657" s="9"/>
      <c r="V657" s="9"/>
      <c r="W657" s="9"/>
      <c r="X657" s="9"/>
      <c r="Y657" s="9"/>
      <c r="Z657" s="9"/>
      <c r="AA657" s="9"/>
      <c r="AB657" s="9"/>
      <c r="AC657" s="9"/>
      <c r="AD657" s="9"/>
    </row>
    <row r="658" spans="1:30" ht="72.5">
      <c r="A658" s="3" t="s">
        <v>3392</v>
      </c>
      <c r="B658" s="3" t="s">
        <v>9054</v>
      </c>
      <c r="C658" s="3" t="s">
        <v>9055</v>
      </c>
      <c r="G658" s="9" t="s">
        <v>25</v>
      </c>
      <c r="H658" s="9"/>
      <c r="I658" s="9">
        <v>1</v>
      </c>
      <c r="J658" s="9">
        <v>3</v>
      </c>
      <c r="K658" s="9" t="s">
        <v>12078</v>
      </c>
      <c r="L658" s="9" t="s">
        <v>12079</v>
      </c>
      <c r="M658" s="9"/>
      <c r="N658" s="10"/>
      <c r="O658" s="9"/>
      <c r="P658" s="9">
        <v>11843</v>
      </c>
      <c r="Q658" s="9">
        <f t="shared" si="10"/>
        <v>1423.0954097572699</v>
      </c>
      <c r="R658" s="9"/>
      <c r="S658" s="9" t="s">
        <v>12795</v>
      </c>
      <c r="T658" s="9" t="s">
        <v>12795</v>
      </c>
      <c r="U658" s="9"/>
      <c r="V658" s="9"/>
      <c r="W658" s="9"/>
      <c r="X658" s="9"/>
      <c r="Y658" s="9"/>
      <c r="Z658" s="9"/>
      <c r="AA658" s="9"/>
      <c r="AB658" s="9"/>
      <c r="AC658" s="9"/>
      <c r="AD658" s="9"/>
    </row>
    <row r="659" spans="1:30" ht="43.5">
      <c r="A659" s="3" t="s">
        <v>3393</v>
      </c>
      <c r="B659" s="3" t="s">
        <v>9057</v>
      </c>
      <c r="C659" s="3" t="s">
        <v>9056</v>
      </c>
      <c r="G659" s="9" t="s">
        <v>25</v>
      </c>
      <c r="H659" s="9"/>
      <c r="I659" s="9">
        <v>1</v>
      </c>
      <c r="J659" s="9">
        <v>2</v>
      </c>
      <c r="K659" s="9" t="s">
        <v>12078</v>
      </c>
      <c r="L659" s="9" t="s">
        <v>12119</v>
      </c>
      <c r="M659" s="9"/>
      <c r="N659" s="10"/>
      <c r="O659" s="9"/>
      <c r="P659" s="9">
        <v>11843</v>
      </c>
      <c r="Q659" s="9">
        <f t="shared" si="10"/>
        <v>1423.0954097572699</v>
      </c>
      <c r="R659" s="9"/>
      <c r="S659" s="9" t="s">
        <v>12795</v>
      </c>
      <c r="T659" s="9" t="s">
        <v>12795</v>
      </c>
      <c r="U659" s="9"/>
      <c r="V659" s="9"/>
      <c r="W659" s="9"/>
      <c r="X659" s="9"/>
      <c r="Y659" s="9"/>
      <c r="Z659" s="9"/>
      <c r="AA659" s="9"/>
      <c r="AB659" s="9"/>
      <c r="AC659" s="9"/>
      <c r="AD659" s="9"/>
    </row>
    <row r="660" spans="1:30" ht="43.5">
      <c r="A660" s="3" t="s">
        <v>3400</v>
      </c>
      <c r="B660" s="3" t="s">
        <v>9075</v>
      </c>
      <c r="C660" s="3" t="s">
        <v>9074</v>
      </c>
      <c r="G660" s="9" t="s">
        <v>24</v>
      </c>
      <c r="H660" s="9"/>
      <c r="I660" s="9">
        <v>1</v>
      </c>
      <c r="J660" s="9">
        <v>3</v>
      </c>
      <c r="K660" s="9" t="s">
        <v>12094</v>
      </c>
      <c r="L660" s="9" t="s">
        <v>12079</v>
      </c>
      <c r="M660" s="9"/>
      <c r="N660" s="10"/>
      <c r="O660" s="9"/>
      <c r="P660" s="9">
        <v>1496</v>
      </c>
      <c r="Q660" s="9">
        <f t="shared" si="10"/>
        <v>179.76447969238166</v>
      </c>
      <c r="R660" s="9"/>
      <c r="S660" s="9" t="s">
        <v>12795</v>
      </c>
      <c r="T660" s="9" t="s">
        <v>12795</v>
      </c>
      <c r="U660" s="9" t="s">
        <v>4</v>
      </c>
      <c r="V660" s="9"/>
      <c r="W660" s="9"/>
      <c r="X660" s="9"/>
      <c r="Y660" s="9"/>
      <c r="Z660" s="9"/>
      <c r="AA660" s="9"/>
      <c r="AB660" s="9"/>
      <c r="AC660" s="9"/>
      <c r="AD660" s="9"/>
    </row>
    <row r="661" spans="1:30" ht="43.5">
      <c r="A661" s="3" t="s">
        <v>3404</v>
      </c>
      <c r="B661" s="3" t="s">
        <v>9077</v>
      </c>
      <c r="C661" s="3" t="s">
        <v>9076</v>
      </c>
      <c r="G661" s="9" t="s">
        <v>24</v>
      </c>
      <c r="H661" s="9"/>
      <c r="I661" s="9">
        <v>1</v>
      </c>
      <c r="J661" s="9">
        <v>3</v>
      </c>
      <c r="K661" s="9" t="s">
        <v>12094</v>
      </c>
      <c r="L661" s="9" t="s">
        <v>12079</v>
      </c>
      <c r="M661" s="9"/>
      <c r="N661" s="10"/>
      <c r="O661" s="9"/>
      <c r="P661" s="9">
        <v>1496</v>
      </c>
      <c r="Q661" s="9">
        <f t="shared" si="10"/>
        <v>179.76447969238166</v>
      </c>
      <c r="R661" s="9"/>
      <c r="S661" s="9" t="s">
        <v>12795</v>
      </c>
      <c r="T661" s="9" t="s">
        <v>12795</v>
      </c>
      <c r="U661" s="9"/>
      <c r="V661" s="9"/>
      <c r="W661" s="9"/>
      <c r="X661" s="9"/>
      <c r="Y661" s="9"/>
      <c r="Z661" s="9"/>
      <c r="AA661" s="9"/>
      <c r="AB661" s="9"/>
      <c r="AC661" s="9"/>
      <c r="AD661" s="9"/>
    </row>
    <row r="662" spans="1:30" ht="58">
      <c r="A662" s="3" t="s">
        <v>3405</v>
      </c>
      <c r="B662" s="3" t="s">
        <v>9081</v>
      </c>
      <c r="C662" s="3" t="s">
        <v>9080</v>
      </c>
      <c r="G662" s="9" t="s">
        <v>24</v>
      </c>
      <c r="H662" s="9"/>
      <c r="I662" s="9">
        <v>1</v>
      </c>
      <c r="J662" s="9">
        <v>3</v>
      </c>
      <c r="K662" s="9" t="s">
        <v>12078</v>
      </c>
      <c r="L662" s="9" t="s">
        <v>12079</v>
      </c>
      <c r="M662" s="9"/>
      <c r="N662" s="10"/>
      <c r="O662" s="9"/>
      <c r="P662" s="9">
        <v>11843</v>
      </c>
      <c r="Q662" s="9">
        <f t="shared" si="10"/>
        <v>1423.0954097572699</v>
      </c>
      <c r="R662" s="9"/>
      <c r="S662" s="9" t="s">
        <v>12795</v>
      </c>
      <c r="T662" s="9" t="s">
        <v>12795</v>
      </c>
      <c r="U662" s="9"/>
      <c r="V662" s="9"/>
      <c r="W662" s="9"/>
      <c r="X662" s="9"/>
      <c r="Y662" s="9"/>
      <c r="Z662" s="9"/>
      <c r="AA662" s="9"/>
      <c r="AB662" s="9"/>
      <c r="AC662" s="9"/>
      <c r="AD662" s="9"/>
    </row>
    <row r="663" spans="1:30" ht="43.5">
      <c r="A663" s="3" t="s">
        <v>3409</v>
      </c>
      <c r="B663" s="3" t="s">
        <v>9083</v>
      </c>
      <c r="C663" s="3" t="s">
        <v>9082</v>
      </c>
      <c r="G663" s="9" t="s">
        <v>24</v>
      </c>
      <c r="H663" s="9"/>
      <c r="I663" s="9">
        <v>1</v>
      </c>
      <c r="J663" s="9">
        <v>6</v>
      </c>
      <c r="K663" s="9" t="s">
        <v>12094</v>
      </c>
      <c r="L663" s="9" t="s">
        <v>12079</v>
      </c>
      <c r="M663" s="9"/>
      <c r="N663" s="10"/>
      <c r="O663" s="9"/>
      <c r="P663" s="9">
        <v>4240</v>
      </c>
      <c r="Q663" s="9">
        <f t="shared" si="10"/>
        <v>509.49291035808699</v>
      </c>
      <c r="R663" s="9"/>
      <c r="S663" s="9" t="s">
        <v>12795</v>
      </c>
      <c r="T663" s="9" t="s">
        <v>12795</v>
      </c>
      <c r="U663" s="9"/>
      <c r="V663" s="9"/>
      <c r="W663" s="9"/>
      <c r="X663" s="9"/>
      <c r="Y663" s="9"/>
      <c r="Z663" s="9"/>
      <c r="AA663" s="9"/>
      <c r="AB663" s="9"/>
      <c r="AC663" s="9"/>
      <c r="AD663" s="9"/>
    </row>
    <row r="664" spans="1:30" ht="58">
      <c r="A664" s="3" t="s">
        <v>3414</v>
      </c>
      <c r="B664" s="3" t="s">
        <v>9089</v>
      </c>
      <c r="C664" s="3" t="s">
        <v>9086</v>
      </c>
      <c r="G664" s="9" t="s">
        <v>25</v>
      </c>
      <c r="H664" s="9"/>
      <c r="I664" s="9">
        <v>2</v>
      </c>
      <c r="J664" s="9">
        <v>10</v>
      </c>
      <c r="K664" s="9"/>
      <c r="L664" s="9" t="s">
        <v>12079</v>
      </c>
      <c r="M664" s="9"/>
      <c r="N664" s="10"/>
      <c r="O664" s="9"/>
      <c r="P664" s="9">
        <v>167</v>
      </c>
      <c r="Q664" s="9">
        <f t="shared" si="10"/>
        <v>20.06729151646239</v>
      </c>
      <c r="R664" s="9"/>
      <c r="S664" s="9" t="s">
        <v>12795</v>
      </c>
      <c r="T664" s="9" t="s">
        <v>12795</v>
      </c>
      <c r="U664" s="9"/>
      <c r="V664" s="9"/>
      <c r="W664" s="9"/>
      <c r="X664" s="9"/>
      <c r="Y664" s="9"/>
      <c r="Z664" s="9"/>
      <c r="AA664" s="9"/>
      <c r="AB664" s="9"/>
      <c r="AC664" s="9"/>
      <c r="AD664" s="9"/>
    </row>
    <row r="665" spans="1:30" ht="43.5">
      <c r="A665" s="3" t="s">
        <v>3414</v>
      </c>
      <c r="B665" s="3" t="s">
        <v>9091</v>
      </c>
      <c r="C665" s="3" t="s">
        <v>9090</v>
      </c>
      <c r="G665" s="9" t="s">
        <v>25</v>
      </c>
      <c r="H665" s="9"/>
      <c r="I665" s="9">
        <v>1</v>
      </c>
      <c r="J665" s="9">
        <v>3</v>
      </c>
      <c r="K665" s="9" t="s">
        <v>12087</v>
      </c>
      <c r="L665" s="9" t="s">
        <v>12079</v>
      </c>
      <c r="M665" s="9"/>
      <c r="N665" s="10"/>
      <c r="O665" s="9"/>
      <c r="P665" s="9">
        <v>5676</v>
      </c>
      <c r="Q665" s="9">
        <f t="shared" si="10"/>
        <v>682.04758471521268</v>
      </c>
      <c r="R665" s="9"/>
      <c r="S665" s="9" t="s">
        <v>12795</v>
      </c>
      <c r="T665" s="9" t="s">
        <v>12795</v>
      </c>
      <c r="U665" s="9"/>
      <c r="V665" s="9"/>
      <c r="W665" s="9"/>
      <c r="X665" s="9"/>
      <c r="Y665" s="9"/>
      <c r="Z665" s="9"/>
      <c r="AA665" s="9"/>
      <c r="AB665" s="9"/>
      <c r="AC665" s="9"/>
      <c r="AD665" s="9"/>
    </row>
    <row r="666" spans="1:30" ht="29">
      <c r="A666" s="3" t="s">
        <v>3415</v>
      </c>
      <c r="B666" s="3" t="s">
        <v>9097</v>
      </c>
      <c r="C666" s="3" t="s">
        <v>9096</v>
      </c>
      <c r="G666" s="9" t="s">
        <v>24</v>
      </c>
      <c r="H666" s="9"/>
      <c r="I666" s="9">
        <v>1</v>
      </c>
      <c r="J666" s="9">
        <v>3</v>
      </c>
      <c r="K666" s="9" t="s">
        <v>12078</v>
      </c>
      <c r="L666" s="9" t="s">
        <v>12079</v>
      </c>
      <c r="M666" s="9"/>
      <c r="N666" s="10"/>
      <c r="O666" s="9"/>
      <c r="P666" s="9">
        <v>11843</v>
      </c>
      <c r="Q666" s="9">
        <f t="shared" si="10"/>
        <v>1423.0954097572699</v>
      </c>
      <c r="R666" s="9"/>
      <c r="S666" s="9" t="s">
        <v>12795</v>
      </c>
      <c r="T666" s="9" t="s">
        <v>12795</v>
      </c>
      <c r="U666" s="9"/>
      <c r="V666" s="9"/>
      <c r="W666" s="9"/>
      <c r="X666" s="9"/>
      <c r="Y666" s="9"/>
      <c r="Z666" s="9"/>
      <c r="AA666" s="9"/>
      <c r="AB666" s="9"/>
      <c r="AC666" s="9"/>
      <c r="AD666" s="9"/>
    </row>
    <row r="667" spans="1:30" ht="43.5">
      <c r="A667" s="3" t="s">
        <v>3424</v>
      </c>
      <c r="B667" s="3" t="s">
        <v>9104</v>
      </c>
      <c r="C667" s="3" t="s">
        <v>9105</v>
      </c>
      <c r="G667" s="9" t="s">
        <v>25</v>
      </c>
      <c r="H667" s="9"/>
      <c r="I667" s="9">
        <v>1</v>
      </c>
      <c r="J667" s="9">
        <v>5</v>
      </c>
      <c r="K667" s="9" t="s">
        <v>12094</v>
      </c>
      <c r="L667" s="9" t="s">
        <v>12079</v>
      </c>
      <c r="M667" s="9"/>
      <c r="N667" s="10"/>
      <c r="O667" s="9"/>
      <c r="P667" s="9">
        <v>4240</v>
      </c>
      <c r="Q667" s="9">
        <f t="shared" si="10"/>
        <v>509.49291035808699</v>
      </c>
      <c r="R667" s="9"/>
      <c r="S667" s="9" t="s">
        <v>12795</v>
      </c>
      <c r="T667" s="9" t="s">
        <v>12795</v>
      </c>
      <c r="U667" s="9"/>
      <c r="V667" s="9"/>
      <c r="W667" s="9"/>
      <c r="X667" s="9"/>
      <c r="Y667" s="9"/>
      <c r="Z667" s="9"/>
      <c r="AA667" s="9"/>
      <c r="AB667" s="9"/>
      <c r="AC667" s="9"/>
      <c r="AD667" s="9"/>
    </row>
    <row r="668" spans="1:30" ht="87">
      <c r="A668" s="3" t="s">
        <v>3425</v>
      </c>
      <c r="B668" s="3" t="s">
        <v>9106</v>
      </c>
      <c r="C668" s="3" t="s">
        <v>9107</v>
      </c>
      <c r="G668" s="9" t="s">
        <v>25</v>
      </c>
      <c r="H668" s="9"/>
      <c r="I668" s="9">
        <v>6</v>
      </c>
      <c r="J668" s="9">
        <v>17</v>
      </c>
      <c r="K668" s="9"/>
      <c r="L668" s="9" t="s">
        <v>12079</v>
      </c>
      <c r="M668" s="9"/>
      <c r="N668" s="10"/>
      <c r="O668" s="9"/>
      <c r="P668" s="9">
        <v>277</v>
      </c>
      <c r="Q668" s="9">
        <f t="shared" si="10"/>
        <v>33.285267964431625</v>
      </c>
      <c r="R668" s="9"/>
      <c r="S668" s="9" t="s">
        <v>12795</v>
      </c>
      <c r="T668" s="9" t="s">
        <v>12795</v>
      </c>
      <c r="U668" s="9"/>
      <c r="V668" s="9"/>
      <c r="W668" s="9"/>
      <c r="X668" s="9"/>
      <c r="Y668" s="9"/>
      <c r="Z668" s="9"/>
      <c r="AA668" s="9"/>
      <c r="AB668" s="9"/>
      <c r="AC668" s="9"/>
      <c r="AD668" s="9"/>
    </row>
    <row r="669" spans="1:30" ht="43.5">
      <c r="A669" s="3" t="s">
        <v>3426</v>
      </c>
      <c r="B669" s="3" t="s">
        <v>9109</v>
      </c>
      <c r="C669" s="3" t="s">
        <v>9108</v>
      </c>
      <c r="G669" s="9" t="s">
        <v>25</v>
      </c>
      <c r="H669" s="9"/>
      <c r="I669" s="9">
        <v>2</v>
      </c>
      <c r="J669" s="9">
        <v>4</v>
      </c>
      <c r="K669" s="9"/>
      <c r="L669" s="9" t="s">
        <v>12079</v>
      </c>
      <c r="M669" s="9"/>
      <c r="N669" s="10"/>
      <c r="O669" s="9"/>
      <c r="P669" s="9">
        <v>635</v>
      </c>
      <c r="Q669" s="9">
        <f t="shared" si="10"/>
        <v>76.303773131458783</v>
      </c>
      <c r="R669" s="9"/>
      <c r="S669" s="9" t="s">
        <v>12795</v>
      </c>
      <c r="T669" s="9" t="s">
        <v>12795</v>
      </c>
      <c r="U669" s="9"/>
      <c r="V669" s="9"/>
      <c r="W669" s="9"/>
      <c r="X669" s="9"/>
      <c r="Y669" s="9"/>
      <c r="Z669" s="9"/>
      <c r="AA669" s="9"/>
      <c r="AB669" s="9"/>
      <c r="AC669" s="9"/>
      <c r="AD669" s="9"/>
    </row>
    <row r="670" spans="1:30" ht="58">
      <c r="A670" s="3" t="s">
        <v>3436</v>
      </c>
      <c r="B670" s="3" t="s">
        <v>9123</v>
      </c>
      <c r="C670" s="3" t="s">
        <v>9122</v>
      </c>
      <c r="G670" s="9" t="s">
        <v>25</v>
      </c>
      <c r="H670" s="9"/>
      <c r="I670" s="9">
        <v>1</v>
      </c>
      <c r="J670" s="9">
        <v>5</v>
      </c>
      <c r="K670" s="9" t="s">
        <v>12094</v>
      </c>
      <c r="L670" s="9" t="s">
        <v>12079</v>
      </c>
      <c r="M670" s="9"/>
      <c r="N670" s="10"/>
      <c r="O670" s="9"/>
      <c r="P670" s="9">
        <v>4240</v>
      </c>
      <c r="Q670" s="9">
        <f t="shared" si="10"/>
        <v>509.49291035808699</v>
      </c>
      <c r="R670" s="9"/>
      <c r="S670" s="9" t="s">
        <v>12795</v>
      </c>
      <c r="T670" s="9" t="s">
        <v>12795</v>
      </c>
      <c r="U670" s="9"/>
      <c r="V670" s="9"/>
      <c r="W670" s="9"/>
      <c r="X670" s="9"/>
      <c r="Y670" s="9"/>
      <c r="Z670" s="9"/>
      <c r="AA670" s="9"/>
      <c r="AB670" s="9"/>
      <c r="AC670" s="9"/>
      <c r="AD670" s="9"/>
    </row>
    <row r="671" spans="1:30" ht="43.5">
      <c r="A671" s="3" t="s">
        <v>3443</v>
      </c>
      <c r="B671" s="3" t="s">
        <v>9138</v>
      </c>
      <c r="C671" s="3" t="s">
        <v>9139</v>
      </c>
      <c r="G671" s="9" t="s">
        <v>25</v>
      </c>
      <c r="H671" s="9"/>
      <c r="I671" s="9">
        <v>1</v>
      </c>
      <c r="J671" s="9">
        <v>1</v>
      </c>
      <c r="K671" s="9" t="s">
        <v>12078</v>
      </c>
      <c r="L671" s="9" t="s">
        <v>12119</v>
      </c>
      <c r="M671" s="9"/>
      <c r="N671" s="10"/>
      <c r="O671" s="9"/>
      <c r="P671" s="9">
        <v>11843</v>
      </c>
      <c r="Q671" s="9">
        <f t="shared" si="10"/>
        <v>1423.0954097572699</v>
      </c>
      <c r="R671" s="9"/>
      <c r="S671" s="9" t="s">
        <v>12795</v>
      </c>
      <c r="T671" s="9" t="s">
        <v>12795</v>
      </c>
      <c r="U671" s="9"/>
      <c r="V671" s="9"/>
      <c r="W671" s="9"/>
      <c r="X671" s="9"/>
      <c r="Y671" s="9"/>
      <c r="Z671" s="9"/>
      <c r="AA671" s="9"/>
      <c r="AB671" s="9"/>
      <c r="AC671" s="9"/>
      <c r="AD671" s="9"/>
    </row>
    <row r="672" spans="1:30" ht="58">
      <c r="A672" s="3" t="s">
        <v>3445</v>
      </c>
      <c r="B672" s="3" t="s">
        <v>9142</v>
      </c>
      <c r="C672" s="3" t="s">
        <v>9145</v>
      </c>
      <c r="G672" s="9" t="s">
        <v>24</v>
      </c>
      <c r="H672" s="9"/>
      <c r="I672" s="9">
        <v>1</v>
      </c>
      <c r="J672" s="9">
        <v>1</v>
      </c>
      <c r="K672" s="9" t="s">
        <v>12078</v>
      </c>
      <c r="L672" s="9" t="s">
        <v>12119</v>
      </c>
      <c r="M672" s="9"/>
      <c r="N672" s="10"/>
      <c r="O672" s="9"/>
      <c r="P672" s="9">
        <v>11843</v>
      </c>
      <c r="Q672" s="9">
        <f t="shared" si="10"/>
        <v>1423.0954097572699</v>
      </c>
      <c r="R672" s="9"/>
      <c r="S672" s="9" t="s">
        <v>12795</v>
      </c>
      <c r="T672" s="9" t="s">
        <v>12795</v>
      </c>
      <c r="U672" s="9"/>
      <c r="V672" s="9"/>
      <c r="W672" s="9"/>
      <c r="X672" s="9"/>
      <c r="Y672" s="9"/>
      <c r="Z672" s="9"/>
      <c r="AA672" s="9"/>
      <c r="AB672" s="9"/>
      <c r="AC672" s="9"/>
      <c r="AD672" s="9"/>
    </row>
    <row r="673" spans="1:30" ht="43.5">
      <c r="A673" s="3" t="s">
        <v>3446</v>
      </c>
      <c r="B673" s="3" t="s">
        <v>9149</v>
      </c>
      <c r="C673" s="3" t="s">
        <v>9148</v>
      </c>
      <c r="G673" s="9" t="s">
        <v>24</v>
      </c>
      <c r="H673" s="9"/>
      <c r="I673" s="9">
        <v>1</v>
      </c>
      <c r="J673" s="9">
        <v>3</v>
      </c>
      <c r="K673" s="9" t="s">
        <v>12087</v>
      </c>
      <c r="L673" s="9" t="s">
        <v>12079</v>
      </c>
      <c r="M673" s="9"/>
      <c r="N673" s="10"/>
      <c r="O673" s="9"/>
      <c r="P673" s="9">
        <v>5676</v>
      </c>
      <c r="Q673" s="9">
        <f t="shared" si="10"/>
        <v>682.04758471521268</v>
      </c>
      <c r="R673" s="9"/>
      <c r="S673" s="9" t="s">
        <v>12795</v>
      </c>
      <c r="T673" s="9" t="s">
        <v>12795</v>
      </c>
      <c r="U673" s="9"/>
      <c r="V673" s="9"/>
      <c r="W673" s="9"/>
      <c r="X673" s="9"/>
      <c r="Y673" s="9"/>
      <c r="Z673" s="9"/>
      <c r="AA673" s="9"/>
      <c r="AB673" s="9"/>
      <c r="AC673" s="9"/>
      <c r="AD673" s="9"/>
    </row>
    <row r="674" spans="1:30" ht="72.5">
      <c r="A674" s="3" t="s">
        <v>3450</v>
      </c>
      <c r="B674" s="3" t="s">
        <v>9164</v>
      </c>
      <c r="C674" s="3" t="s">
        <v>9163</v>
      </c>
      <c r="G674" s="9" t="s">
        <v>25</v>
      </c>
      <c r="H674" s="9"/>
      <c r="I674" s="9">
        <v>1</v>
      </c>
      <c r="J674" s="9">
        <v>2</v>
      </c>
      <c r="K674" s="9" t="s">
        <v>12078</v>
      </c>
      <c r="L674" s="9" t="s">
        <v>12119</v>
      </c>
      <c r="M674" s="9"/>
      <c r="N674" s="10"/>
      <c r="O674" s="9"/>
      <c r="P674" s="9">
        <v>11843</v>
      </c>
      <c r="Q674" s="9">
        <f t="shared" si="10"/>
        <v>1423.0954097572699</v>
      </c>
      <c r="R674" s="9"/>
      <c r="S674" s="9" t="s">
        <v>12795</v>
      </c>
      <c r="T674" s="9" t="s">
        <v>12795</v>
      </c>
      <c r="U674" s="9"/>
      <c r="V674" s="9"/>
      <c r="W674" s="9"/>
      <c r="X674" s="9"/>
      <c r="Y674" s="9"/>
      <c r="Z674" s="9"/>
      <c r="AA674" s="9"/>
      <c r="AB674" s="9"/>
      <c r="AC674" s="9"/>
      <c r="AD674" s="9"/>
    </row>
    <row r="675" spans="1:30" ht="29">
      <c r="A675" s="3" t="s">
        <v>3459</v>
      </c>
      <c r="B675" s="3" t="s">
        <v>9176</v>
      </c>
      <c r="C675" s="3" t="s">
        <v>9175</v>
      </c>
      <c r="G675" s="9" t="s">
        <v>25</v>
      </c>
      <c r="H675" s="9"/>
      <c r="I675" s="9">
        <v>1</v>
      </c>
      <c r="J675" s="9">
        <v>1</v>
      </c>
      <c r="K675" s="9" t="s">
        <v>12078</v>
      </c>
      <c r="L675" s="9" t="s">
        <v>12119</v>
      </c>
      <c r="M675" s="9"/>
      <c r="N675" s="10"/>
      <c r="O675" s="9"/>
      <c r="P675" s="9">
        <v>11843</v>
      </c>
      <c r="Q675" s="9">
        <f t="shared" si="10"/>
        <v>1423.0954097572699</v>
      </c>
      <c r="R675" s="9"/>
      <c r="S675" s="9" t="s">
        <v>12795</v>
      </c>
      <c r="T675" s="9" t="s">
        <v>12795</v>
      </c>
      <c r="U675" s="9"/>
      <c r="V675" s="9"/>
      <c r="W675" s="9"/>
      <c r="X675" s="9"/>
      <c r="Y675" s="9"/>
      <c r="Z675" s="9"/>
      <c r="AA675" s="9"/>
      <c r="AB675" s="9"/>
      <c r="AC675" s="9"/>
      <c r="AD675" s="9"/>
    </row>
    <row r="676" spans="1:30" ht="43.5">
      <c r="A676" s="3" t="s">
        <v>3459</v>
      </c>
      <c r="B676" s="3" t="s">
        <v>9178</v>
      </c>
      <c r="C676" s="3" t="s">
        <v>9177</v>
      </c>
      <c r="G676" s="9" t="s">
        <v>24</v>
      </c>
      <c r="H676" s="9"/>
      <c r="I676" s="9">
        <v>1</v>
      </c>
      <c r="J676" s="9">
        <v>3</v>
      </c>
      <c r="K676" s="9" t="s">
        <v>12087</v>
      </c>
      <c r="L676" s="9" t="s">
        <v>12079</v>
      </c>
      <c r="M676" s="9"/>
      <c r="N676" s="10"/>
      <c r="O676" s="9"/>
      <c r="P676" s="9">
        <v>431</v>
      </c>
      <c r="Q676" s="9">
        <f t="shared" si="10"/>
        <v>51.790434991588562</v>
      </c>
      <c r="R676" s="9"/>
      <c r="S676" s="9" t="s">
        <v>12795</v>
      </c>
      <c r="T676" s="9" t="s">
        <v>12795</v>
      </c>
      <c r="U676" s="9"/>
      <c r="V676" s="9"/>
      <c r="W676" s="9"/>
      <c r="X676" s="9"/>
      <c r="Y676" s="9"/>
      <c r="Z676" s="9"/>
      <c r="AA676" s="9"/>
      <c r="AB676" s="9"/>
      <c r="AC676" s="9"/>
      <c r="AD676" s="9"/>
    </row>
    <row r="677" spans="1:30" ht="43.5">
      <c r="A677" s="3" t="s">
        <v>3460</v>
      </c>
      <c r="B677" s="3" t="s">
        <v>9181</v>
      </c>
      <c r="C677" s="3" t="s">
        <v>9182</v>
      </c>
      <c r="G677" s="9" t="s">
        <v>25</v>
      </c>
      <c r="H677" s="9"/>
      <c r="I677" s="9">
        <v>1</v>
      </c>
      <c r="J677" s="9">
        <v>3</v>
      </c>
      <c r="K677" s="9" t="s">
        <v>12084</v>
      </c>
      <c r="L677" s="9" t="s">
        <v>12079</v>
      </c>
      <c r="M677" s="9"/>
      <c r="N677" s="10"/>
      <c r="O677" s="9"/>
      <c r="P677" s="9">
        <v>4</v>
      </c>
      <c r="Q677" s="9">
        <f t="shared" si="10"/>
        <v>0.48065368901706323</v>
      </c>
      <c r="R677" s="9"/>
      <c r="S677" s="9" t="s">
        <v>12795</v>
      </c>
      <c r="T677" s="9" t="s">
        <v>12795</v>
      </c>
      <c r="U677" s="9"/>
      <c r="V677" s="9"/>
      <c r="W677" s="9"/>
      <c r="X677" s="9"/>
      <c r="Y677" s="9"/>
      <c r="Z677" s="9"/>
      <c r="AA677" s="9"/>
      <c r="AB677" s="9"/>
      <c r="AC677" s="9"/>
      <c r="AD677" s="9"/>
    </row>
    <row r="678" spans="1:30" ht="43.5">
      <c r="A678" s="3" t="s">
        <v>3471</v>
      </c>
      <c r="B678" s="3" t="s">
        <v>12919</v>
      </c>
      <c r="C678" s="3" t="s">
        <v>9189</v>
      </c>
      <c r="G678" s="9" t="s">
        <v>25</v>
      </c>
      <c r="H678" s="9"/>
      <c r="I678" s="9">
        <v>1</v>
      </c>
      <c r="J678" s="9">
        <v>2</v>
      </c>
      <c r="K678" s="9" t="s">
        <v>12078</v>
      </c>
      <c r="L678" s="9" t="s">
        <v>12119</v>
      </c>
      <c r="M678" s="9"/>
      <c r="N678" s="10"/>
      <c r="O678" s="9"/>
      <c r="P678" s="9">
        <v>11843</v>
      </c>
      <c r="Q678" s="9">
        <f t="shared" si="10"/>
        <v>1423.0954097572699</v>
      </c>
      <c r="R678" s="9"/>
      <c r="S678" s="9" t="s">
        <v>12795</v>
      </c>
      <c r="T678" s="9" t="s">
        <v>12795</v>
      </c>
      <c r="U678" s="9"/>
      <c r="V678" s="9"/>
      <c r="W678" s="9"/>
      <c r="X678" s="9"/>
      <c r="Y678" s="9"/>
      <c r="Z678" s="9"/>
      <c r="AA678" s="9"/>
      <c r="AB678" s="9"/>
      <c r="AC678" s="9"/>
      <c r="AD678" s="9"/>
    </row>
    <row r="679" spans="1:30" ht="72.5">
      <c r="A679" s="3" t="s">
        <v>3472</v>
      </c>
      <c r="B679" s="3" t="s">
        <v>9194</v>
      </c>
      <c r="C679" s="3" t="s">
        <v>9192</v>
      </c>
      <c r="G679" s="9" t="s">
        <v>25</v>
      </c>
      <c r="H679" s="9"/>
      <c r="I679" s="9">
        <v>1</v>
      </c>
      <c r="J679" s="9">
        <v>7</v>
      </c>
      <c r="K679" s="9" t="s">
        <v>12098</v>
      </c>
      <c r="L679" s="9" t="s">
        <v>12079</v>
      </c>
      <c r="M679" s="9"/>
      <c r="N679" s="10"/>
      <c r="O679" s="9"/>
      <c r="P679" s="9">
        <v>111</v>
      </c>
      <c r="Q679" s="9">
        <f t="shared" si="10"/>
        <v>13.338139870223504</v>
      </c>
      <c r="R679" s="9"/>
      <c r="S679" s="9" t="s">
        <v>12795</v>
      </c>
      <c r="T679" s="9" t="s">
        <v>12795</v>
      </c>
      <c r="U679" s="9"/>
      <c r="V679" s="9"/>
      <c r="W679" s="9"/>
      <c r="X679" s="9"/>
      <c r="Y679" s="9"/>
      <c r="Z679" s="9"/>
      <c r="AA679" s="9"/>
      <c r="AB679" s="9"/>
      <c r="AC679" s="9"/>
      <c r="AD679" s="9"/>
    </row>
    <row r="680" spans="1:30" ht="72.5">
      <c r="A680" s="3" t="s">
        <v>3472</v>
      </c>
      <c r="B680" s="3" t="s">
        <v>9193</v>
      </c>
      <c r="C680" s="3" t="s">
        <v>9196</v>
      </c>
      <c r="G680" s="9" t="s">
        <v>24</v>
      </c>
      <c r="H680" s="9"/>
      <c r="I680" s="9">
        <v>1</v>
      </c>
      <c r="J680" s="9">
        <v>5</v>
      </c>
      <c r="K680" s="9" t="s">
        <v>12094</v>
      </c>
      <c r="L680" s="9" t="s">
        <v>12079</v>
      </c>
      <c r="M680" s="9"/>
      <c r="N680" s="10"/>
      <c r="O680" s="9"/>
      <c r="P680" s="9">
        <v>1741</v>
      </c>
      <c r="Q680" s="9">
        <f t="shared" si="10"/>
        <v>209.20451814467677</v>
      </c>
      <c r="R680" s="9"/>
      <c r="S680" s="9" t="s">
        <v>12795</v>
      </c>
      <c r="T680" s="9" t="s">
        <v>12795</v>
      </c>
      <c r="U680" s="9"/>
      <c r="V680" s="9"/>
      <c r="W680" s="9"/>
      <c r="X680" s="9"/>
      <c r="Y680" s="9"/>
      <c r="Z680" s="9"/>
      <c r="AA680" s="9"/>
      <c r="AB680" s="9"/>
      <c r="AC680" s="9"/>
      <c r="AD680" s="9"/>
    </row>
    <row r="681" spans="1:30" ht="43.5">
      <c r="A681" s="3" t="s">
        <v>3480</v>
      </c>
      <c r="B681" s="3" t="s">
        <v>9205</v>
      </c>
      <c r="C681" s="3" t="s">
        <v>9206</v>
      </c>
      <c r="G681" s="9" t="s">
        <v>25</v>
      </c>
      <c r="H681" s="9"/>
      <c r="I681" s="9">
        <v>1</v>
      </c>
      <c r="J681" s="9">
        <v>4</v>
      </c>
      <c r="K681" s="9" t="s">
        <v>12078</v>
      </c>
      <c r="L681" s="9" t="s">
        <v>12073</v>
      </c>
      <c r="M681" s="9" t="s">
        <v>12149</v>
      </c>
      <c r="N681" s="10" t="s">
        <v>12143</v>
      </c>
      <c r="O681" s="9"/>
      <c r="P681" s="9">
        <v>11843</v>
      </c>
      <c r="Q681" s="9">
        <f t="shared" si="10"/>
        <v>1423.0954097572699</v>
      </c>
      <c r="R681" s="9"/>
      <c r="S681" s="9" t="s">
        <v>12795</v>
      </c>
      <c r="T681" s="9" t="s">
        <v>12795</v>
      </c>
      <c r="U681" s="9"/>
      <c r="V681" s="9"/>
      <c r="W681" s="9"/>
      <c r="X681" s="9"/>
      <c r="Y681" s="9"/>
      <c r="Z681" s="9"/>
      <c r="AA681" s="9"/>
      <c r="AB681" s="9"/>
      <c r="AC681" s="9"/>
      <c r="AD681" s="9"/>
    </row>
    <row r="682" spans="1:30" ht="29">
      <c r="A682" s="3" t="s">
        <v>3483</v>
      </c>
      <c r="B682" s="3" t="s">
        <v>9213</v>
      </c>
      <c r="C682" s="3" t="s">
        <v>9214</v>
      </c>
      <c r="G682" s="9" t="s">
        <v>25</v>
      </c>
      <c r="H682" s="9"/>
      <c r="I682" s="9">
        <v>1</v>
      </c>
      <c r="J682" s="9">
        <v>3</v>
      </c>
      <c r="K682" s="9" t="s">
        <v>12087</v>
      </c>
      <c r="L682" s="9" t="s">
        <v>12079</v>
      </c>
      <c r="M682" s="9"/>
      <c r="N682" s="10"/>
      <c r="O682" s="9"/>
      <c r="P682" s="9">
        <v>309</v>
      </c>
      <c r="Q682" s="9">
        <f t="shared" si="10"/>
        <v>37.130497476568131</v>
      </c>
      <c r="R682" s="9"/>
      <c r="S682" s="9" t="s">
        <v>12795</v>
      </c>
      <c r="T682" s="9" t="s">
        <v>12795</v>
      </c>
      <c r="U682" s="9"/>
      <c r="V682" s="9"/>
      <c r="W682" s="9"/>
      <c r="X682" s="9"/>
      <c r="Y682" s="9"/>
      <c r="Z682" s="9"/>
      <c r="AA682" s="9"/>
      <c r="AB682" s="9"/>
      <c r="AC682" s="9"/>
      <c r="AD682" s="9"/>
    </row>
    <row r="683" spans="1:30" ht="43.5">
      <c r="A683" s="3" t="s">
        <v>3483</v>
      </c>
      <c r="B683" s="3" t="s">
        <v>9216</v>
      </c>
      <c r="C683" s="3" t="s">
        <v>9215</v>
      </c>
      <c r="G683" s="9" t="s">
        <v>24</v>
      </c>
      <c r="H683" s="9"/>
      <c r="I683" s="9">
        <v>1</v>
      </c>
      <c r="J683" s="9">
        <v>3</v>
      </c>
      <c r="K683" s="9" t="s">
        <v>12094</v>
      </c>
      <c r="L683" s="9" t="s">
        <v>12073</v>
      </c>
      <c r="M683" s="9" t="s">
        <v>12149</v>
      </c>
      <c r="N683" s="10" t="s">
        <v>12143</v>
      </c>
      <c r="O683" s="9" t="s">
        <v>12074</v>
      </c>
      <c r="P683" s="9">
        <v>1496</v>
      </c>
      <c r="Q683" s="9">
        <f t="shared" si="10"/>
        <v>179.76447969238166</v>
      </c>
      <c r="R683" s="9"/>
      <c r="S683" s="9" t="s">
        <v>12795</v>
      </c>
      <c r="T683" s="9" t="s">
        <v>12795</v>
      </c>
      <c r="U683" s="9"/>
      <c r="V683" s="9"/>
      <c r="W683" s="9"/>
      <c r="X683" s="9"/>
      <c r="Y683" s="9"/>
      <c r="Z683" s="9"/>
      <c r="AA683" s="9"/>
      <c r="AB683" s="9"/>
      <c r="AC683" s="9"/>
      <c r="AD683" s="9"/>
    </row>
    <row r="684" spans="1:30" ht="87">
      <c r="A684" s="3" t="s">
        <v>3484</v>
      </c>
      <c r="B684" s="3" t="s">
        <v>13062</v>
      </c>
      <c r="C684" s="3" t="s">
        <v>13065</v>
      </c>
      <c r="G684" s="9" t="s">
        <v>25</v>
      </c>
      <c r="H684" s="9"/>
      <c r="I684" s="9">
        <v>1</v>
      </c>
      <c r="J684" s="9">
        <v>6</v>
      </c>
      <c r="K684" s="9" t="s">
        <v>12125</v>
      </c>
      <c r="L684" s="9" t="s">
        <v>12079</v>
      </c>
      <c r="M684" s="9"/>
      <c r="N684" s="10"/>
      <c r="O684" s="9"/>
      <c r="P684" s="9">
        <v>336</v>
      </c>
      <c r="Q684" s="9">
        <f t="shared" si="10"/>
        <v>40.374909877433311</v>
      </c>
      <c r="R684" s="9"/>
      <c r="S684" s="9" t="s">
        <v>12795</v>
      </c>
      <c r="T684" s="9" t="s">
        <v>12795</v>
      </c>
      <c r="U684" s="9"/>
      <c r="V684" s="9"/>
      <c r="W684" s="9"/>
      <c r="X684" s="9"/>
      <c r="Y684" s="9"/>
      <c r="Z684" s="9"/>
      <c r="AA684" s="9"/>
      <c r="AB684" s="9"/>
      <c r="AC684" s="9"/>
      <c r="AD684" s="9"/>
    </row>
    <row r="685" spans="1:30" ht="43.5">
      <c r="A685" s="3" t="s">
        <v>3486</v>
      </c>
      <c r="B685" s="3" t="s">
        <v>9218</v>
      </c>
      <c r="C685" s="3" t="s">
        <v>9217</v>
      </c>
      <c r="G685" s="9" t="s">
        <v>25</v>
      </c>
      <c r="H685" s="9"/>
      <c r="I685" s="9">
        <v>1</v>
      </c>
      <c r="J685" s="9">
        <v>3</v>
      </c>
      <c r="K685" s="9" t="s">
        <v>12087</v>
      </c>
      <c r="L685" s="9" t="s">
        <v>12079</v>
      </c>
      <c r="M685" s="9"/>
      <c r="N685" s="10"/>
      <c r="O685" s="9"/>
      <c r="P685" s="9">
        <v>5676</v>
      </c>
      <c r="Q685" s="9">
        <f t="shared" si="10"/>
        <v>682.04758471521268</v>
      </c>
      <c r="R685" s="9"/>
      <c r="S685" s="9" t="s">
        <v>12795</v>
      </c>
      <c r="T685" s="9" t="s">
        <v>12795</v>
      </c>
      <c r="U685" s="9"/>
      <c r="V685" s="9"/>
      <c r="W685" s="9"/>
      <c r="X685" s="9"/>
      <c r="Y685" s="9"/>
      <c r="Z685" s="9"/>
      <c r="AA685" s="9"/>
      <c r="AB685" s="9"/>
      <c r="AC685" s="9"/>
      <c r="AD685" s="9"/>
    </row>
    <row r="686" spans="1:30" ht="29">
      <c r="A686" s="3" t="s">
        <v>3487</v>
      </c>
      <c r="B686" s="3" t="s">
        <v>12920</v>
      </c>
      <c r="C686" s="3" t="s">
        <v>9221</v>
      </c>
      <c r="G686" s="9" t="s">
        <v>24</v>
      </c>
      <c r="H686" s="9"/>
      <c r="I686" s="9">
        <v>1</v>
      </c>
      <c r="J686" s="9">
        <v>1</v>
      </c>
      <c r="K686" s="9" t="s">
        <v>12078</v>
      </c>
      <c r="L686" s="9" t="s">
        <v>12119</v>
      </c>
      <c r="M686" s="9"/>
      <c r="N686" s="10"/>
      <c r="O686" s="9"/>
      <c r="P686" s="9">
        <v>11843</v>
      </c>
      <c r="Q686" s="9">
        <f t="shared" si="10"/>
        <v>1423.0954097572699</v>
      </c>
      <c r="R686" s="9"/>
      <c r="S686" s="9" t="s">
        <v>12795</v>
      </c>
      <c r="T686" s="9" t="s">
        <v>12795</v>
      </c>
      <c r="U686" s="9"/>
      <c r="V686" s="9"/>
      <c r="W686" s="9"/>
      <c r="X686" s="9"/>
      <c r="Y686" s="9"/>
      <c r="Z686" s="9"/>
      <c r="AA686" s="9"/>
      <c r="AB686" s="9"/>
      <c r="AC686" s="9"/>
      <c r="AD686" s="9"/>
    </row>
    <row r="687" spans="1:30" ht="29">
      <c r="A687" s="3" t="s">
        <v>3494</v>
      </c>
      <c r="B687" s="3" t="s">
        <v>9227</v>
      </c>
      <c r="C687" s="3" t="s">
        <v>9226</v>
      </c>
      <c r="G687" s="9" t="s">
        <v>24</v>
      </c>
      <c r="H687" s="9"/>
      <c r="I687" s="9">
        <v>1</v>
      </c>
      <c r="J687" s="9">
        <v>2</v>
      </c>
      <c r="K687" s="9" t="s">
        <v>12078</v>
      </c>
      <c r="L687" s="9" t="s">
        <v>12119</v>
      </c>
      <c r="M687" s="9"/>
      <c r="N687" s="10"/>
      <c r="O687" s="9"/>
      <c r="P687" s="9">
        <v>11843</v>
      </c>
      <c r="Q687" s="9">
        <f t="shared" si="10"/>
        <v>1423.0954097572699</v>
      </c>
      <c r="R687" s="9"/>
      <c r="S687" s="9" t="s">
        <v>12795</v>
      </c>
      <c r="T687" s="9" t="s">
        <v>12795</v>
      </c>
      <c r="U687" s="9"/>
      <c r="V687" s="9"/>
      <c r="W687" s="9"/>
      <c r="X687" s="9"/>
      <c r="Y687" s="9"/>
      <c r="Z687" s="9"/>
      <c r="AA687" s="9"/>
      <c r="AB687" s="9"/>
      <c r="AC687" s="9"/>
      <c r="AD687" s="9"/>
    </row>
    <row r="688" spans="1:30" ht="43.5">
      <c r="A688" s="3" t="s">
        <v>3494</v>
      </c>
      <c r="B688" s="3" t="s">
        <v>9228</v>
      </c>
      <c r="C688" s="3" t="s">
        <v>9229</v>
      </c>
      <c r="G688" s="9" t="s">
        <v>25</v>
      </c>
      <c r="H688" s="9"/>
      <c r="I688" s="9">
        <v>1</v>
      </c>
      <c r="J688" s="9">
        <v>7</v>
      </c>
      <c r="K688" s="9" t="s">
        <v>12125</v>
      </c>
      <c r="L688" s="9" t="s">
        <v>12079</v>
      </c>
      <c r="M688" s="9"/>
      <c r="N688" s="10"/>
      <c r="O688" s="9"/>
      <c r="P688" s="9">
        <v>320</v>
      </c>
      <c r="Q688" s="9">
        <f t="shared" si="10"/>
        <v>38.452295121365054</v>
      </c>
      <c r="R688" s="9"/>
      <c r="S688" s="9" t="s">
        <v>12795</v>
      </c>
      <c r="T688" s="9" t="s">
        <v>12795</v>
      </c>
      <c r="U688" s="9"/>
      <c r="V688" s="9"/>
      <c r="W688" s="9"/>
      <c r="X688" s="9"/>
      <c r="Y688" s="9"/>
      <c r="Z688" s="9"/>
      <c r="AA688" s="9"/>
      <c r="AB688" s="9"/>
      <c r="AC688" s="9"/>
      <c r="AD688" s="9"/>
    </row>
    <row r="689" spans="1:30" ht="29">
      <c r="A689" s="3" t="s">
        <v>3497</v>
      </c>
      <c r="B689" s="3" t="s">
        <v>9231</v>
      </c>
      <c r="C689" s="3" t="s">
        <v>9230</v>
      </c>
      <c r="G689" s="9" t="s">
        <v>24</v>
      </c>
      <c r="H689" s="9"/>
      <c r="I689" s="9">
        <v>1</v>
      </c>
      <c r="J689" s="9">
        <v>3</v>
      </c>
      <c r="K689" s="9" t="s">
        <v>12087</v>
      </c>
      <c r="L689" s="9" t="s">
        <v>12079</v>
      </c>
      <c r="M689" s="9"/>
      <c r="N689" s="10"/>
      <c r="O689" s="9"/>
      <c r="P689" s="9">
        <v>5676</v>
      </c>
      <c r="Q689" s="9">
        <f t="shared" si="10"/>
        <v>682.04758471521268</v>
      </c>
      <c r="R689" s="9"/>
      <c r="S689" s="9" t="s">
        <v>12795</v>
      </c>
      <c r="T689" s="9" t="s">
        <v>12795</v>
      </c>
      <c r="U689" s="9"/>
      <c r="V689" s="9"/>
      <c r="W689" s="9"/>
      <c r="X689" s="9"/>
      <c r="Y689" s="9"/>
      <c r="Z689" s="9"/>
      <c r="AA689" s="9"/>
      <c r="AB689" s="9"/>
      <c r="AC689" s="9"/>
      <c r="AD689" s="9"/>
    </row>
    <row r="690" spans="1:30" ht="29">
      <c r="A690" s="3" t="s">
        <v>3502</v>
      </c>
      <c r="B690" s="3" t="s">
        <v>9234</v>
      </c>
      <c r="C690" s="3" t="s">
        <v>9235</v>
      </c>
      <c r="G690" s="9" t="s">
        <v>25</v>
      </c>
      <c r="H690" s="9"/>
      <c r="I690" s="9">
        <v>1</v>
      </c>
      <c r="J690" s="9">
        <v>2</v>
      </c>
      <c r="K690" s="9" t="s">
        <v>12123</v>
      </c>
      <c r="L690" s="9" t="s">
        <v>12079</v>
      </c>
      <c r="M690" s="9"/>
      <c r="N690" s="10"/>
      <c r="O690" s="9"/>
      <c r="P690" s="9">
        <v>134</v>
      </c>
      <c r="Q690" s="9">
        <f t="shared" si="10"/>
        <v>16.101898582071616</v>
      </c>
      <c r="R690" s="9"/>
      <c r="S690" s="9" t="s">
        <v>12795</v>
      </c>
      <c r="T690" s="9" t="s">
        <v>12795</v>
      </c>
      <c r="U690" s="9"/>
      <c r="V690" s="9"/>
      <c r="W690" s="9"/>
      <c r="X690" s="9"/>
      <c r="Y690" s="9"/>
      <c r="Z690" s="9"/>
      <c r="AA690" s="9"/>
      <c r="AB690" s="9"/>
      <c r="AC690" s="9"/>
      <c r="AD690" s="9"/>
    </row>
    <row r="691" spans="1:30" ht="29">
      <c r="A691" s="3" t="s">
        <v>3503</v>
      </c>
      <c r="B691" s="3" t="s">
        <v>9241</v>
      </c>
      <c r="C691" s="3" t="s">
        <v>9240</v>
      </c>
      <c r="G691" s="9" t="s">
        <v>24</v>
      </c>
      <c r="H691" s="9"/>
      <c r="I691" s="9">
        <v>1</v>
      </c>
      <c r="J691" s="9">
        <v>2</v>
      </c>
      <c r="K691" s="9" t="s">
        <v>12087</v>
      </c>
      <c r="L691" s="9" t="s">
        <v>12119</v>
      </c>
      <c r="M691" s="9"/>
      <c r="N691" s="10"/>
      <c r="O691" s="9"/>
      <c r="P691" s="9">
        <v>1966</v>
      </c>
      <c r="Q691" s="9">
        <f t="shared" si="10"/>
        <v>236.24128815188658</v>
      </c>
      <c r="R691" s="9"/>
      <c r="S691" s="9" t="s">
        <v>12795</v>
      </c>
      <c r="T691" s="9" t="s">
        <v>12795</v>
      </c>
      <c r="U691" s="9"/>
      <c r="V691" s="9"/>
      <c r="W691" s="9"/>
      <c r="X691" s="9"/>
      <c r="Y691" s="9"/>
      <c r="Z691" s="9"/>
      <c r="AA691" s="9"/>
      <c r="AB691" s="9"/>
      <c r="AC691" s="9"/>
      <c r="AD691" s="9"/>
    </row>
    <row r="692" spans="1:30" ht="58">
      <c r="A692" s="3" t="s">
        <v>3504</v>
      </c>
      <c r="B692" s="3" t="s">
        <v>9246</v>
      </c>
      <c r="C692" s="3" t="s">
        <v>9247</v>
      </c>
      <c r="G692" s="9" t="s">
        <v>25</v>
      </c>
      <c r="H692" s="9"/>
      <c r="I692" s="9">
        <v>1</v>
      </c>
      <c r="J692" s="9">
        <v>7</v>
      </c>
      <c r="K692" s="9" t="s">
        <v>12098</v>
      </c>
      <c r="L692" s="9" t="s">
        <v>12073</v>
      </c>
      <c r="M692" s="9" t="s">
        <v>12142</v>
      </c>
      <c r="N692" s="10" t="s">
        <v>12143</v>
      </c>
      <c r="O692" s="9"/>
      <c r="P692" s="9">
        <v>2042</v>
      </c>
      <c r="Q692" s="9">
        <f t="shared" si="10"/>
        <v>245.37370824321076</v>
      </c>
      <c r="R692" s="9"/>
      <c r="S692" s="9" t="s">
        <v>12795</v>
      </c>
      <c r="T692" s="9" t="s">
        <v>12795</v>
      </c>
      <c r="U692" s="9"/>
      <c r="V692" s="9"/>
      <c r="W692" s="9"/>
      <c r="X692" s="9"/>
      <c r="Y692" s="9"/>
      <c r="Z692" s="9"/>
      <c r="AA692" s="9"/>
      <c r="AB692" s="9"/>
      <c r="AC692" s="9"/>
      <c r="AD692" s="9"/>
    </row>
    <row r="693" spans="1:30" ht="43.5">
      <c r="A693" s="3" t="s">
        <v>3505</v>
      </c>
      <c r="B693" s="3" t="s">
        <v>9249</v>
      </c>
      <c r="C693" s="3" t="s">
        <v>9248</v>
      </c>
      <c r="G693" s="9" t="s">
        <v>24</v>
      </c>
      <c r="H693" s="9"/>
      <c r="I693" s="9">
        <v>1</v>
      </c>
      <c r="J693" s="9">
        <v>3</v>
      </c>
      <c r="K693" s="9" t="s">
        <v>12087</v>
      </c>
      <c r="L693" s="9" t="s">
        <v>12079</v>
      </c>
      <c r="M693" s="9"/>
      <c r="N693" s="10"/>
      <c r="O693" s="9"/>
      <c r="P693" s="9">
        <v>5676</v>
      </c>
      <c r="Q693" s="9">
        <f t="shared" si="10"/>
        <v>682.04758471521268</v>
      </c>
      <c r="R693" s="9"/>
      <c r="S693" s="9" t="s">
        <v>12795</v>
      </c>
      <c r="T693" s="9" t="s">
        <v>12795</v>
      </c>
      <c r="U693" s="9"/>
      <c r="V693" s="9"/>
      <c r="W693" s="9"/>
      <c r="X693" s="9"/>
      <c r="Y693" s="9"/>
      <c r="Z693" s="9"/>
      <c r="AA693" s="9"/>
      <c r="AB693" s="9"/>
      <c r="AC693" s="9"/>
      <c r="AD693" s="9"/>
    </row>
    <row r="694" spans="1:30" ht="29">
      <c r="A694" s="3" t="s">
        <v>3506</v>
      </c>
      <c r="B694" s="3" t="s">
        <v>12922</v>
      </c>
      <c r="C694" s="3" t="s">
        <v>9254</v>
      </c>
      <c r="G694" s="9" t="s">
        <v>24</v>
      </c>
      <c r="H694" s="9"/>
      <c r="I694" s="9">
        <v>1</v>
      </c>
      <c r="J694" s="9">
        <v>1</v>
      </c>
      <c r="K694" s="9" t="s">
        <v>12078</v>
      </c>
      <c r="L694" s="9" t="s">
        <v>12119</v>
      </c>
      <c r="M694" s="9"/>
      <c r="N694" s="10"/>
      <c r="O694" s="9"/>
      <c r="P694" s="9">
        <v>11843</v>
      </c>
      <c r="Q694" s="9">
        <f t="shared" si="10"/>
        <v>1423.0954097572699</v>
      </c>
      <c r="R694" s="9"/>
      <c r="S694" s="9" t="s">
        <v>12795</v>
      </c>
      <c r="T694" s="9" t="s">
        <v>12795</v>
      </c>
      <c r="U694" s="9"/>
      <c r="V694" s="9"/>
      <c r="W694" s="9"/>
      <c r="X694" s="9"/>
      <c r="Y694" s="9"/>
      <c r="Z694" s="9"/>
      <c r="AA694" s="9"/>
      <c r="AB694" s="9"/>
      <c r="AC694" s="9"/>
      <c r="AD694" s="9"/>
    </row>
    <row r="695" spans="1:30" ht="43.5">
      <c r="A695" s="3" t="s">
        <v>3507</v>
      </c>
      <c r="B695" s="3" t="s">
        <v>9256</v>
      </c>
      <c r="C695" s="3" t="s">
        <v>9255</v>
      </c>
      <c r="G695" s="9" t="s">
        <v>24</v>
      </c>
      <c r="H695" s="9"/>
      <c r="I695" s="9">
        <v>1</v>
      </c>
      <c r="J695" s="9">
        <v>6</v>
      </c>
      <c r="K695" s="9" t="s">
        <v>12094</v>
      </c>
      <c r="L695" s="9" t="s">
        <v>12079</v>
      </c>
      <c r="M695" s="9"/>
      <c r="N695" s="10"/>
      <c r="O695" s="9"/>
      <c r="P695" s="9">
        <v>930</v>
      </c>
      <c r="Q695" s="9">
        <f t="shared" si="10"/>
        <v>111.75198269646719</v>
      </c>
      <c r="R695" s="9"/>
      <c r="S695" s="9" t="s">
        <v>12795</v>
      </c>
      <c r="T695" s="9" t="s">
        <v>12795</v>
      </c>
      <c r="U695" s="9"/>
      <c r="V695" s="9"/>
      <c r="W695" s="9"/>
      <c r="X695" s="9"/>
      <c r="Y695" s="9"/>
      <c r="Z695" s="9"/>
      <c r="AA695" s="9"/>
      <c r="AB695" s="9"/>
      <c r="AC695" s="9"/>
      <c r="AD695" s="9"/>
    </row>
    <row r="696" spans="1:30" ht="29">
      <c r="A696" s="3" t="s">
        <v>3510</v>
      </c>
      <c r="B696" s="3" t="s">
        <v>9262</v>
      </c>
      <c r="C696" s="3" t="s">
        <v>9261</v>
      </c>
      <c r="G696" s="9" t="s">
        <v>25</v>
      </c>
      <c r="H696" s="9"/>
      <c r="I696" s="9">
        <v>1</v>
      </c>
      <c r="J696" s="9">
        <v>3</v>
      </c>
      <c r="K696" s="9" t="s">
        <v>12087</v>
      </c>
      <c r="L696" s="9" t="s">
        <v>12079</v>
      </c>
      <c r="M696" s="9"/>
      <c r="N696" s="10"/>
      <c r="O696" s="9"/>
      <c r="P696" s="9">
        <v>356</v>
      </c>
      <c r="Q696" s="9">
        <f t="shared" si="10"/>
        <v>42.778178322518627</v>
      </c>
      <c r="R696" s="9"/>
      <c r="S696" s="9" t="s">
        <v>12795</v>
      </c>
      <c r="T696" s="9" t="s">
        <v>12795</v>
      </c>
      <c r="U696" s="9"/>
      <c r="V696" s="9"/>
      <c r="W696" s="9"/>
      <c r="X696" s="9"/>
      <c r="Y696" s="9"/>
      <c r="Z696" s="9"/>
      <c r="AA696" s="9"/>
      <c r="AB696" s="9"/>
      <c r="AC696" s="9"/>
      <c r="AD696" s="9"/>
    </row>
    <row r="697" spans="1:30" ht="29">
      <c r="A697" s="3" t="s">
        <v>3515</v>
      </c>
      <c r="B697" s="3" t="s">
        <v>9268</v>
      </c>
      <c r="C697" s="3" t="s">
        <v>9267</v>
      </c>
      <c r="G697" s="9" t="s">
        <v>25</v>
      </c>
      <c r="H697" s="9"/>
      <c r="I697" s="9">
        <v>1</v>
      </c>
      <c r="J697" s="9">
        <v>4</v>
      </c>
      <c r="K697" s="9" t="s">
        <v>12094</v>
      </c>
      <c r="L697" s="9" t="s">
        <v>12079</v>
      </c>
      <c r="M697" s="9"/>
      <c r="N697" s="10"/>
      <c r="O697" s="9"/>
      <c r="P697" s="9">
        <v>1496</v>
      </c>
      <c r="Q697" s="9">
        <f t="shared" si="10"/>
        <v>179.76447969238166</v>
      </c>
      <c r="R697" s="9"/>
      <c r="S697" s="9" t="s">
        <v>12795</v>
      </c>
      <c r="T697" s="9" t="s">
        <v>12795</v>
      </c>
      <c r="U697" s="9"/>
      <c r="V697" s="9"/>
      <c r="W697" s="9"/>
      <c r="X697" s="9"/>
      <c r="Y697" s="9"/>
      <c r="Z697" s="9"/>
      <c r="AA697" s="9"/>
      <c r="AB697" s="9"/>
      <c r="AC697" s="9"/>
      <c r="AD697" s="9"/>
    </row>
    <row r="698" spans="1:30" ht="43.5">
      <c r="A698" s="3" t="s">
        <v>3517</v>
      </c>
      <c r="B698" s="3" t="s">
        <v>9273</v>
      </c>
      <c r="C698" s="3" t="s">
        <v>9274</v>
      </c>
      <c r="G698" s="9" t="s">
        <v>25</v>
      </c>
      <c r="H698" s="9"/>
      <c r="I698" s="9">
        <v>1</v>
      </c>
      <c r="J698" s="9">
        <v>3</v>
      </c>
      <c r="K698" s="9" t="s">
        <v>12078</v>
      </c>
      <c r="L698" s="9" t="s">
        <v>12079</v>
      </c>
      <c r="M698" s="9"/>
      <c r="N698" s="10"/>
      <c r="O698" s="9"/>
      <c r="P698" s="9">
        <v>11843</v>
      </c>
      <c r="Q698" s="9">
        <f t="shared" si="10"/>
        <v>1423.0954097572699</v>
      </c>
      <c r="R698" s="9"/>
      <c r="S698" s="9" t="s">
        <v>12795</v>
      </c>
      <c r="T698" s="9" t="s">
        <v>12795</v>
      </c>
      <c r="U698" s="9"/>
      <c r="V698" s="9"/>
      <c r="W698" s="9"/>
      <c r="X698" s="9"/>
      <c r="Y698" s="9"/>
      <c r="Z698" s="9"/>
      <c r="AA698" s="9"/>
      <c r="AB698" s="9"/>
      <c r="AC698" s="9"/>
      <c r="AD698" s="9"/>
    </row>
    <row r="699" spans="1:30" ht="58">
      <c r="A699" s="3" t="s">
        <v>3520</v>
      </c>
      <c r="B699" s="3" t="s">
        <v>9282</v>
      </c>
      <c r="C699" s="3" t="s">
        <v>9281</v>
      </c>
      <c r="G699" s="9" t="s">
        <v>25</v>
      </c>
      <c r="H699" s="9"/>
      <c r="I699" s="9">
        <v>1</v>
      </c>
      <c r="J699" s="9">
        <v>3</v>
      </c>
      <c r="K699" s="9" t="s">
        <v>12078</v>
      </c>
      <c r="L699" s="9" t="s">
        <v>12079</v>
      </c>
      <c r="M699" s="9"/>
      <c r="N699" s="10"/>
      <c r="O699" s="9"/>
      <c r="P699" s="9">
        <v>11843</v>
      </c>
      <c r="Q699" s="9">
        <f t="shared" si="10"/>
        <v>1423.0954097572699</v>
      </c>
      <c r="R699" s="9"/>
      <c r="S699" s="9" t="s">
        <v>12795</v>
      </c>
      <c r="T699" s="9" t="s">
        <v>12795</v>
      </c>
      <c r="U699" s="9"/>
      <c r="V699" s="9"/>
      <c r="W699" s="9"/>
      <c r="X699" s="9"/>
      <c r="Y699" s="9"/>
      <c r="Z699" s="9"/>
      <c r="AA699" s="9"/>
      <c r="AB699" s="9"/>
      <c r="AC699" s="9"/>
      <c r="AD699" s="9"/>
    </row>
    <row r="700" spans="1:30" ht="58">
      <c r="A700" s="3" t="s">
        <v>3520</v>
      </c>
      <c r="B700" s="3" t="s">
        <v>9283</v>
      </c>
      <c r="C700" s="3" t="s">
        <v>9281</v>
      </c>
      <c r="G700" s="9" t="s">
        <v>25</v>
      </c>
      <c r="H700" s="9"/>
      <c r="I700" s="9">
        <v>1</v>
      </c>
      <c r="J700" s="9">
        <v>5</v>
      </c>
      <c r="K700" s="9" t="s">
        <v>12094</v>
      </c>
      <c r="L700" s="9" t="s">
        <v>12079</v>
      </c>
      <c r="M700" s="9"/>
      <c r="N700" s="10"/>
      <c r="O700" s="9"/>
      <c r="P700" s="9">
        <v>4240</v>
      </c>
      <c r="Q700" s="9">
        <f t="shared" si="10"/>
        <v>509.49291035808699</v>
      </c>
      <c r="R700" s="9"/>
      <c r="S700" s="9" t="s">
        <v>12795</v>
      </c>
      <c r="T700" s="9" t="s">
        <v>12795</v>
      </c>
      <c r="U700" s="9"/>
      <c r="V700" s="9"/>
      <c r="W700" s="9"/>
      <c r="X700" s="9"/>
      <c r="Y700" s="9"/>
      <c r="Z700" s="9"/>
      <c r="AA700" s="9"/>
      <c r="AB700" s="9"/>
      <c r="AC700" s="9"/>
      <c r="AD700" s="9"/>
    </row>
    <row r="701" spans="1:30" ht="72.5">
      <c r="A701" s="3" t="s">
        <v>3524</v>
      </c>
      <c r="B701" s="3" t="s">
        <v>9292</v>
      </c>
      <c r="C701" s="3" t="s">
        <v>9293</v>
      </c>
      <c r="G701" s="9" t="s">
        <v>24</v>
      </c>
      <c r="H701" s="9"/>
      <c r="I701" s="9">
        <v>1</v>
      </c>
      <c r="J701" s="9">
        <v>3</v>
      </c>
      <c r="K701" s="9" t="s">
        <v>12094</v>
      </c>
      <c r="L701" s="9" t="s">
        <v>12079</v>
      </c>
      <c r="M701" s="9"/>
      <c r="N701" s="10"/>
      <c r="O701" s="9"/>
      <c r="P701" s="9">
        <v>1496</v>
      </c>
      <c r="Q701" s="9">
        <f t="shared" si="10"/>
        <v>179.76447969238166</v>
      </c>
      <c r="R701" s="9"/>
      <c r="S701" s="9" t="s">
        <v>12795</v>
      </c>
      <c r="T701" s="9" t="s">
        <v>12795</v>
      </c>
      <c r="U701" s="9"/>
      <c r="V701" s="9"/>
      <c r="W701" s="9"/>
      <c r="X701" s="9"/>
      <c r="Y701" s="9"/>
      <c r="Z701" s="9"/>
      <c r="AA701" s="9"/>
      <c r="AB701" s="9"/>
      <c r="AC701" s="9"/>
      <c r="AD701" s="9"/>
    </row>
    <row r="702" spans="1:30" ht="43.5">
      <c r="A702" s="3" t="s">
        <v>3526</v>
      </c>
      <c r="B702" s="3" t="s">
        <v>12923</v>
      </c>
      <c r="C702" s="3" t="s">
        <v>9302</v>
      </c>
      <c r="G702" s="9" t="s">
        <v>25</v>
      </c>
      <c r="H702" s="9"/>
      <c r="I702" s="9">
        <v>1</v>
      </c>
      <c r="J702" s="9">
        <v>3</v>
      </c>
      <c r="K702" s="9" t="s">
        <v>12087</v>
      </c>
      <c r="L702" s="9" t="s">
        <v>12079</v>
      </c>
      <c r="M702" s="9"/>
      <c r="N702" s="10"/>
      <c r="O702" s="9"/>
      <c r="P702" s="9">
        <v>810</v>
      </c>
      <c r="Q702" s="9">
        <f t="shared" si="10"/>
        <v>97.332372025955294</v>
      </c>
      <c r="R702" s="9"/>
      <c r="S702" s="9" t="s">
        <v>12795</v>
      </c>
      <c r="T702" s="9" t="s">
        <v>12795</v>
      </c>
      <c r="U702" s="9"/>
      <c r="V702" s="9"/>
      <c r="W702" s="9"/>
      <c r="X702" s="9"/>
      <c r="Y702" s="9"/>
      <c r="Z702" s="9"/>
      <c r="AA702" s="9"/>
      <c r="AB702" s="9"/>
      <c r="AC702" s="9"/>
      <c r="AD702" s="9"/>
    </row>
    <row r="703" spans="1:30" ht="43.5">
      <c r="A703" s="3" t="s">
        <v>3530</v>
      </c>
      <c r="B703" s="3" t="s">
        <v>9305</v>
      </c>
      <c r="C703" s="3" t="s">
        <v>9306</v>
      </c>
      <c r="G703" s="9" t="s">
        <v>25</v>
      </c>
      <c r="H703" s="9"/>
      <c r="I703" s="9">
        <v>1</v>
      </c>
      <c r="J703" s="9">
        <v>6</v>
      </c>
      <c r="K703" s="9" t="s">
        <v>12125</v>
      </c>
      <c r="L703" s="9" t="s">
        <v>12079</v>
      </c>
      <c r="M703" s="9"/>
      <c r="N703" s="10"/>
      <c r="O703" s="9"/>
      <c r="P703" s="9">
        <v>92</v>
      </c>
      <c r="Q703" s="9">
        <f t="shared" si="10"/>
        <v>11.055034847392454</v>
      </c>
      <c r="R703" s="9"/>
      <c r="S703" s="9" t="s">
        <v>12795</v>
      </c>
      <c r="T703" s="9" t="s">
        <v>12795</v>
      </c>
      <c r="U703" s="9"/>
      <c r="V703" s="9"/>
      <c r="W703" s="9"/>
      <c r="X703" s="9"/>
      <c r="Y703" s="9"/>
      <c r="Z703" s="9"/>
      <c r="AA703" s="9"/>
      <c r="AB703" s="9"/>
      <c r="AC703" s="9"/>
      <c r="AD703" s="9"/>
    </row>
    <row r="704" spans="1:30" ht="58">
      <c r="A704" s="3" t="s">
        <v>3533</v>
      </c>
      <c r="B704" s="3" t="s">
        <v>9311</v>
      </c>
      <c r="C704" s="3" t="s">
        <v>9307</v>
      </c>
      <c r="G704" s="9" t="s">
        <v>25</v>
      </c>
      <c r="H704" s="9"/>
      <c r="I704" s="9">
        <v>1</v>
      </c>
      <c r="J704" s="9">
        <v>3</v>
      </c>
      <c r="K704" s="9" t="s">
        <v>12078</v>
      </c>
      <c r="L704" s="9" t="s">
        <v>12073</v>
      </c>
      <c r="M704" s="9" t="s">
        <v>12149</v>
      </c>
      <c r="N704" s="10" t="s">
        <v>12143</v>
      </c>
      <c r="O704" s="9"/>
      <c r="P704" s="9">
        <v>11843</v>
      </c>
      <c r="Q704" s="9">
        <f t="shared" si="10"/>
        <v>1423.0954097572699</v>
      </c>
      <c r="R704" s="9"/>
      <c r="S704" s="9" t="s">
        <v>12795</v>
      </c>
      <c r="T704" s="9" t="s">
        <v>12795</v>
      </c>
      <c r="U704" s="9"/>
      <c r="V704" s="9"/>
      <c r="W704" s="9"/>
      <c r="X704" s="9"/>
      <c r="Y704" s="9"/>
      <c r="Z704" s="9"/>
      <c r="AA704" s="9"/>
      <c r="AB704" s="9"/>
      <c r="AC704" s="9"/>
      <c r="AD704" s="9"/>
    </row>
    <row r="705" spans="1:30" ht="58">
      <c r="A705" s="3" t="s">
        <v>3533</v>
      </c>
      <c r="B705" s="3" t="s">
        <v>9308</v>
      </c>
      <c r="C705" s="3" t="s">
        <v>9312</v>
      </c>
      <c r="G705" s="9" t="s">
        <v>24</v>
      </c>
      <c r="H705" s="9"/>
      <c r="I705" s="9">
        <v>1</v>
      </c>
      <c r="J705" s="9">
        <v>3</v>
      </c>
      <c r="K705" s="9" t="s">
        <v>12087</v>
      </c>
      <c r="L705" s="9" t="s">
        <v>12079</v>
      </c>
      <c r="M705" s="9"/>
      <c r="N705" s="10"/>
      <c r="O705" s="9"/>
      <c r="P705" s="9">
        <v>5676</v>
      </c>
      <c r="Q705" s="9">
        <f t="shared" ref="Q705:Q768" si="11">IF(ISNUMBER(P705), (P705/$F$988)*10000, "")</f>
        <v>682.04758471521268</v>
      </c>
      <c r="R705" s="9"/>
      <c r="S705" s="9" t="s">
        <v>12795</v>
      </c>
      <c r="T705" s="9" t="s">
        <v>12795</v>
      </c>
      <c r="U705" s="9"/>
      <c r="V705" s="9"/>
      <c r="W705" s="9"/>
      <c r="X705" s="9"/>
      <c r="Y705" s="9"/>
      <c r="Z705" s="9"/>
      <c r="AA705" s="9"/>
      <c r="AB705" s="9"/>
      <c r="AC705" s="9"/>
      <c r="AD705" s="9"/>
    </row>
    <row r="706" spans="1:30" ht="58">
      <c r="A706" s="3" t="s">
        <v>3534</v>
      </c>
      <c r="B706" s="3" t="s">
        <v>9314</v>
      </c>
      <c r="C706" s="3" t="s">
        <v>9313</v>
      </c>
      <c r="G706" s="9" t="s">
        <v>25</v>
      </c>
      <c r="H706" s="9"/>
      <c r="I706" s="9">
        <v>1</v>
      </c>
      <c r="J706" s="9">
        <v>2</v>
      </c>
      <c r="K706" s="9" t="s">
        <v>12092</v>
      </c>
      <c r="L706" s="9" t="s">
        <v>12119</v>
      </c>
      <c r="M706" s="9"/>
      <c r="N706" s="10"/>
      <c r="O706" s="9"/>
      <c r="P706" s="9">
        <v>361</v>
      </c>
      <c r="Q706" s="9">
        <f t="shared" si="11"/>
        <v>43.378995433789953</v>
      </c>
      <c r="R706" s="9"/>
      <c r="S706" s="9" t="s">
        <v>12795</v>
      </c>
      <c r="T706" s="9" t="s">
        <v>12795</v>
      </c>
      <c r="U706" s="9"/>
      <c r="V706" s="9"/>
      <c r="W706" s="9"/>
      <c r="X706" s="9"/>
      <c r="Y706" s="9"/>
      <c r="Z706" s="9"/>
      <c r="AA706" s="9"/>
      <c r="AB706" s="9"/>
      <c r="AC706" s="9"/>
      <c r="AD706" s="9"/>
    </row>
    <row r="707" spans="1:30" ht="29">
      <c r="A707" s="3" t="s">
        <v>3534</v>
      </c>
      <c r="B707" s="3" t="s">
        <v>8908</v>
      </c>
      <c r="C707" s="3" t="s">
        <v>9252</v>
      </c>
      <c r="G707" s="9" t="s">
        <v>24</v>
      </c>
      <c r="H707" s="9"/>
      <c r="I707" s="9">
        <v>1</v>
      </c>
      <c r="J707" s="9">
        <v>1</v>
      </c>
      <c r="K707" s="9" t="s">
        <v>12078</v>
      </c>
      <c r="L707" s="9" t="s">
        <v>12119</v>
      </c>
      <c r="M707" s="9"/>
      <c r="N707" s="10"/>
      <c r="O707" s="9"/>
      <c r="P707" s="9">
        <v>11843</v>
      </c>
      <c r="Q707" s="9">
        <f t="shared" si="11"/>
        <v>1423.0954097572699</v>
      </c>
      <c r="R707" s="9"/>
      <c r="S707" s="9" t="s">
        <v>12795</v>
      </c>
      <c r="T707" s="9" t="s">
        <v>12795</v>
      </c>
      <c r="U707" s="9"/>
      <c r="V707" s="9"/>
      <c r="W707" s="9"/>
      <c r="X707" s="9"/>
      <c r="Y707" s="9"/>
      <c r="Z707" s="9"/>
      <c r="AA707" s="9"/>
      <c r="AB707" s="9"/>
      <c r="AC707" s="9"/>
      <c r="AD707" s="9"/>
    </row>
    <row r="708" spans="1:30" ht="43.5">
      <c r="A708" s="3" t="s">
        <v>3535</v>
      </c>
      <c r="B708" s="3" t="s">
        <v>9317</v>
      </c>
      <c r="C708" s="3" t="s">
        <v>9316</v>
      </c>
      <c r="F708" t="s">
        <v>19</v>
      </c>
      <c r="G708" s="9" t="s">
        <v>25</v>
      </c>
      <c r="H708" s="9"/>
      <c r="I708" s="9">
        <v>1</v>
      </c>
      <c r="J708" s="9">
        <v>2</v>
      </c>
      <c r="K708" s="9" t="s">
        <v>12092</v>
      </c>
      <c r="L708" s="9" t="s">
        <v>12119</v>
      </c>
      <c r="M708" s="9"/>
      <c r="N708" s="10"/>
      <c r="O708" s="9"/>
      <c r="P708" s="9">
        <v>361</v>
      </c>
      <c r="Q708" s="9">
        <f t="shared" si="11"/>
        <v>43.378995433789953</v>
      </c>
      <c r="R708" s="9"/>
      <c r="S708" s="9" t="s">
        <v>12795</v>
      </c>
      <c r="T708" s="9" t="s">
        <v>12795</v>
      </c>
      <c r="U708" s="9" t="s">
        <v>12117</v>
      </c>
      <c r="V708" s="9"/>
      <c r="W708" s="9"/>
      <c r="X708" s="9"/>
      <c r="Y708" s="9"/>
      <c r="Z708" s="9"/>
      <c r="AA708" s="9"/>
      <c r="AB708" s="9"/>
      <c r="AC708" s="9"/>
      <c r="AD708" s="9"/>
    </row>
    <row r="709" spans="1:30" ht="72.5">
      <c r="A709" s="3" t="s">
        <v>3537</v>
      </c>
      <c r="B709" s="3" t="s">
        <v>9329</v>
      </c>
      <c r="C709" s="3" t="s">
        <v>9332</v>
      </c>
      <c r="G709" s="9" t="s">
        <v>24</v>
      </c>
      <c r="H709" s="9"/>
      <c r="I709" s="9">
        <v>1</v>
      </c>
      <c r="J709" s="9">
        <v>5</v>
      </c>
      <c r="K709" s="9" t="s">
        <v>12094</v>
      </c>
      <c r="L709" s="9" t="s">
        <v>12079</v>
      </c>
      <c r="M709" s="9"/>
      <c r="N709" s="10"/>
      <c r="O709" s="9"/>
      <c r="P709" s="9">
        <v>4240</v>
      </c>
      <c r="Q709" s="9">
        <f t="shared" si="11"/>
        <v>509.49291035808699</v>
      </c>
      <c r="R709" s="9"/>
      <c r="S709" s="9" t="s">
        <v>12795</v>
      </c>
      <c r="T709" s="9" t="s">
        <v>12795</v>
      </c>
      <c r="U709" s="9"/>
      <c r="V709" s="9"/>
      <c r="W709" s="9"/>
      <c r="X709" s="9"/>
      <c r="Y709" s="9"/>
      <c r="Z709" s="9"/>
      <c r="AA709" s="9"/>
      <c r="AB709" s="9"/>
      <c r="AC709" s="9"/>
      <c r="AD709" s="9"/>
    </row>
    <row r="710" spans="1:30" ht="43.5">
      <c r="A710" s="3" t="s">
        <v>3538</v>
      </c>
      <c r="B710" s="3" t="s">
        <v>9336</v>
      </c>
      <c r="C710" s="3" t="s">
        <v>9335</v>
      </c>
      <c r="G710" s="9" t="s">
        <v>25</v>
      </c>
      <c r="H710" s="9"/>
      <c r="I710" s="9">
        <v>1</v>
      </c>
      <c r="J710" s="9">
        <v>8</v>
      </c>
      <c r="K710" s="9" t="s">
        <v>12125</v>
      </c>
      <c r="L710" s="9" t="s">
        <v>12079</v>
      </c>
      <c r="M710" s="9"/>
      <c r="N710" s="10"/>
      <c r="O710" s="9"/>
      <c r="P710" s="9">
        <v>14</v>
      </c>
      <c r="Q710" s="9">
        <f t="shared" si="11"/>
        <v>1.6822879115597211</v>
      </c>
      <c r="R710" s="9"/>
      <c r="S710" s="9" t="s">
        <v>12795</v>
      </c>
      <c r="T710" s="9" t="s">
        <v>12795</v>
      </c>
      <c r="U710" s="9"/>
      <c r="V710" s="9"/>
      <c r="W710" s="9"/>
      <c r="X710" s="9"/>
      <c r="Y710" s="9"/>
      <c r="Z710" s="9"/>
      <c r="AA710" s="9"/>
      <c r="AB710" s="9"/>
      <c r="AC710" s="9"/>
      <c r="AD710" s="9"/>
    </row>
    <row r="711" spans="1:30" ht="58">
      <c r="A711" s="3" t="s">
        <v>3542</v>
      </c>
      <c r="B711" s="3" t="s">
        <v>9337</v>
      </c>
      <c r="C711" s="3" t="s">
        <v>9338</v>
      </c>
      <c r="G711" s="9" t="s">
        <v>25</v>
      </c>
      <c r="H711" s="9"/>
      <c r="I711" s="9">
        <v>1</v>
      </c>
      <c r="J711" s="9">
        <v>3</v>
      </c>
      <c r="K711" s="9" t="s">
        <v>12087</v>
      </c>
      <c r="L711" s="9" t="s">
        <v>12079</v>
      </c>
      <c r="M711" s="9"/>
      <c r="N711" s="10"/>
      <c r="O711" s="9"/>
      <c r="P711" s="9">
        <v>5676</v>
      </c>
      <c r="Q711" s="9">
        <f t="shared" si="11"/>
        <v>682.04758471521268</v>
      </c>
      <c r="R711" s="9"/>
      <c r="S711" s="9" t="s">
        <v>12795</v>
      </c>
      <c r="T711" s="9" t="s">
        <v>12795</v>
      </c>
      <c r="U711" s="9"/>
      <c r="V711" s="9"/>
      <c r="W711" s="9"/>
      <c r="X711" s="9"/>
      <c r="Y711" s="9"/>
      <c r="Z711" s="9"/>
      <c r="AA711" s="9"/>
      <c r="AB711" s="9"/>
      <c r="AC711" s="9"/>
      <c r="AD711" s="9"/>
    </row>
    <row r="712" spans="1:30" ht="43.5">
      <c r="A712" s="3" t="s">
        <v>3543</v>
      </c>
      <c r="B712" s="3" t="s">
        <v>9339</v>
      </c>
      <c r="C712" s="3" t="s">
        <v>9340</v>
      </c>
      <c r="G712" s="9" t="s">
        <v>25</v>
      </c>
      <c r="H712" s="9"/>
      <c r="I712" s="9">
        <v>1</v>
      </c>
      <c r="J712" s="9">
        <v>2</v>
      </c>
      <c r="K712" s="9" t="s">
        <v>12096</v>
      </c>
      <c r="L712" s="9" t="s">
        <v>12119</v>
      </c>
      <c r="M712" s="9"/>
      <c r="N712" s="10"/>
      <c r="O712" s="9"/>
      <c r="P712" s="9">
        <v>485</v>
      </c>
      <c r="Q712" s="9">
        <f t="shared" si="11"/>
        <v>58.279259793318907</v>
      </c>
      <c r="R712" s="9"/>
      <c r="S712" s="9" t="s">
        <v>12795</v>
      </c>
      <c r="T712" s="9" t="s">
        <v>12795</v>
      </c>
      <c r="U712" s="9"/>
      <c r="V712" s="9"/>
      <c r="W712" s="9"/>
      <c r="X712" s="9"/>
      <c r="Y712" s="9"/>
      <c r="Z712" s="9"/>
      <c r="AA712" s="9"/>
      <c r="AB712" s="9"/>
      <c r="AC712" s="9"/>
      <c r="AD712" s="9"/>
    </row>
    <row r="713" spans="1:30" ht="29">
      <c r="A713" s="3" t="s">
        <v>3549</v>
      </c>
      <c r="B713" s="3" t="s">
        <v>9354</v>
      </c>
      <c r="C713" s="3" t="s">
        <v>9355</v>
      </c>
      <c r="G713" s="9" t="s">
        <v>25</v>
      </c>
      <c r="H713" s="9"/>
      <c r="I713" s="9">
        <v>1</v>
      </c>
      <c r="J713" s="9">
        <v>3</v>
      </c>
      <c r="K713" s="9" t="s">
        <v>12087</v>
      </c>
      <c r="L713" s="9" t="s">
        <v>12079</v>
      </c>
      <c r="M713" s="9"/>
      <c r="N713" s="10"/>
      <c r="O713" s="9"/>
      <c r="P713" s="9">
        <v>356</v>
      </c>
      <c r="Q713" s="9">
        <f t="shared" si="11"/>
        <v>42.778178322518627</v>
      </c>
      <c r="R713" s="9"/>
      <c r="S713" s="9" t="s">
        <v>12795</v>
      </c>
      <c r="T713" s="9" t="s">
        <v>12795</v>
      </c>
      <c r="U713" s="9"/>
      <c r="V713" s="9"/>
      <c r="W713" s="9"/>
      <c r="X713" s="9"/>
      <c r="Y713" s="9"/>
      <c r="Z713" s="9"/>
      <c r="AA713" s="9"/>
      <c r="AB713" s="9"/>
      <c r="AC713" s="9"/>
      <c r="AD713" s="9"/>
    </row>
    <row r="714" spans="1:30" ht="29">
      <c r="A714" s="3" t="s">
        <v>3563</v>
      </c>
      <c r="B714" s="3" t="s">
        <v>9386</v>
      </c>
      <c r="C714" s="3" t="s">
        <v>9387</v>
      </c>
      <c r="G714" s="9" t="s">
        <v>25</v>
      </c>
      <c r="H714" s="9"/>
      <c r="I714" s="9">
        <v>1</v>
      </c>
      <c r="J714" s="9">
        <v>3</v>
      </c>
      <c r="K714" s="9" t="s">
        <v>12094</v>
      </c>
      <c r="L714" s="9" t="s">
        <v>12079</v>
      </c>
      <c r="M714" s="9"/>
      <c r="N714" s="10"/>
      <c r="O714" s="9"/>
      <c r="P714" s="9">
        <v>1496</v>
      </c>
      <c r="Q714" s="9">
        <f t="shared" si="11"/>
        <v>179.76447969238166</v>
      </c>
      <c r="R714" s="9"/>
      <c r="S714" s="9" t="s">
        <v>12795</v>
      </c>
      <c r="T714" s="9" t="s">
        <v>12795</v>
      </c>
      <c r="U714" s="9"/>
      <c r="V714" s="9"/>
      <c r="W714" s="9"/>
      <c r="X714" s="9"/>
      <c r="Y714" s="9"/>
      <c r="Z714" s="9"/>
      <c r="AA714" s="9"/>
      <c r="AB714" s="9"/>
      <c r="AC714" s="9"/>
      <c r="AD714" s="9"/>
    </row>
    <row r="715" spans="1:30" ht="43.5">
      <c r="A715" s="3" t="s">
        <v>3564</v>
      </c>
      <c r="B715" s="3" t="s">
        <v>9390</v>
      </c>
      <c r="C715" s="3" t="s">
        <v>9389</v>
      </c>
      <c r="E715" t="s">
        <v>20</v>
      </c>
      <c r="G715" s="9" t="s">
        <v>25</v>
      </c>
      <c r="H715" s="9"/>
      <c r="I715" s="9">
        <v>1</v>
      </c>
      <c r="J715" s="9">
        <v>5</v>
      </c>
      <c r="K715" s="9" t="s">
        <v>12094</v>
      </c>
      <c r="L715" s="9" t="s">
        <v>12079</v>
      </c>
      <c r="M715" s="9"/>
      <c r="N715" s="10"/>
      <c r="O715" s="9"/>
      <c r="P715" s="9">
        <v>4240</v>
      </c>
      <c r="Q715" s="9">
        <f t="shared" si="11"/>
        <v>509.49291035808699</v>
      </c>
      <c r="R715" s="9"/>
      <c r="S715" s="9" t="s">
        <v>12795</v>
      </c>
      <c r="T715" s="9" t="s">
        <v>12795</v>
      </c>
      <c r="U715" s="9"/>
      <c r="V715" s="9"/>
      <c r="W715" s="9"/>
      <c r="X715" s="9"/>
      <c r="Y715" s="9"/>
      <c r="Z715" s="9"/>
      <c r="AA715" s="9"/>
      <c r="AB715" s="9"/>
      <c r="AC715" s="9"/>
      <c r="AD715" s="9"/>
    </row>
    <row r="716" spans="1:30" ht="29">
      <c r="A716" s="3" t="s">
        <v>3570</v>
      </c>
      <c r="B716" s="3" t="s">
        <v>8908</v>
      </c>
      <c r="C716" s="3" t="s">
        <v>9252</v>
      </c>
      <c r="G716" s="9" t="s">
        <v>24</v>
      </c>
      <c r="H716" s="9"/>
      <c r="I716" s="9">
        <v>1</v>
      </c>
      <c r="J716" s="9">
        <v>1</v>
      </c>
      <c r="K716" s="9" t="s">
        <v>12078</v>
      </c>
      <c r="L716" s="9" t="s">
        <v>12119</v>
      </c>
      <c r="M716" s="9"/>
      <c r="N716" s="10"/>
      <c r="O716" s="9" t="s">
        <v>12074</v>
      </c>
      <c r="P716" s="9">
        <v>11843</v>
      </c>
      <c r="Q716" s="9">
        <f t="shared" si="11"/>
        <v>1423.0954097572699</v>
      </c>
      <c r="R716" s="9"/>
      <c r="S716" s="9" t="s">
        <v>12795</v>
      </c>
      <c r="T716" s="9" t="s">
        <v>12795</v>
      </c>
      <c r="U716" s="9"/>
      <c r="V716" s="9"/>
      <c r="W716" s="9"/>
      <c r="X716" s="9"/>
      <c r="Y716" s="9"/>
      <c r="Z716" s="9"/>
      <c r="AA716" s="9"/>
      <c r="AB716" s="9"/>
      <c r="AC716" s="9"/>
      <c r="AD716" s="9"/>
    </row>
    <row r="717" spans="1:30" ht="58">
      <c r="A717" s="3" t="s">
        <v>3578</v>
      </c>
      <c r="B717" s="3" t="s">
        <v>9411</v>
      </c>
      <c r="C717" s="3" t="s">
        <v>9412</v>
      </c>
      <c r="G717" s="9" t="s">
        <v>25</v>
      </c>
      <c r="H717" s="9"/>
      <c r="I717" s="9">
        <v>1</v>
      </c>
      <c r="J717" s="9">
        <v>6</v>
      </c>
      <c r="K717" s="9" t="s">
        <v>12125</v>
      </c>
      <c r="L717" s="9" t="s">
        <v>12073</v>
      </c>
      <c r="M717" s="9" t="s">
        <v>12142</v>
      </c>
      <c r="N717" s="10" t="s">
        <v>12143</v>
      </c>
      <c r="O717" s="9"/>
      <c r="P717" s="9">
        <v>137</v>
      </c>
      <c r="Q717" s="9">
        <f t="shared" si="11"/>
        <v>16.462388848834415</v>
      </c>
      <c r="R717" s="9"/>
      <c r="S717" s="9" t="s">
        <v>12795</v>
      </c>
      <c r="T717" s="9" t="s">
        <v>12795</v>
      </c>
      <c r="U717" s="9"/>
      <c r="V717" s="9"/>
      <c r="W717" s="9"/>
      <c r="X717" s="9"/>
      <c r="Y717" s="9"/>
      <c r="Z717" s="9"/>
      <c r="AA717" s="9"/>
      <c r="AB717" s="9"/>
      <c r="AC717" s="9"/>
      <c r="AD717" s="9"/>
    </row>
    <row r="718" spans="1:30" ht="58">
      <c r="A718" s="3" t="s">
        <v>3579</v>
      </c>
      <c r="B718" s="3" t="s">
        <v>9415</v>
      </c>
      <c r="C718" s="3" t="s">
        <v>9416</v>
      </c>
      <c r="G718" s="9" t="s">
        <v>25</v>
      </c>
      <c r="H718" s="9"/>
      <c r="I718" s="9">
        <v>1</v>
      </c>
      <c r="J718" s="9">
        <v>8</v>
      </c>
      <c r="K718" s="9" t="s">
        <v>12084</v>
      </c>
      <c r="L718" s="9" t="s">
        <v>12079</v>
      </c>
      <c r="M718" s="9"/>
      <c r="N718" s="10"/>
      <c r="O718" s="9"/>
      <c r="P718" s="9">
        <v>8</v>
      </c>
      <c r="Q718" s="9">
        <f t="shared" si="11"/>
        <v>0.96130737803412647</v>
      </c>
      <c r="R718" s="9"/>
      <c r="S718" s="9" t="s">
        <v>12795</v>
      </c>
      <c r="T718" s="9" t="s">
        <v>12795</v>
      </c>
      <c r="U718" s="9"/>
      <c r="V718" s="9"/>
      <c r="W718" s="9"/>
      <c r="X718" s="9"/>
      <c r="Y718" s="9"/>
      <c r="Z718" s="9"/>
      <c r="AA718" s="9"/>
      <c r="AB718" s="9"/>
      <c r="AC718" s="9"/>
      <c r="AD718" s="9"/>
    </row>
    <row r="719" spans="1:30" ht="43.5">
      <c r="A719" s="3" t="s">
        <v>3610</v>
      </c>
      <c r="B719" s="3" t="s">
        <v>9470</v>
      </c>
      <c r="C719" s="3" t="s">
        <v>9469</v>
      </c>
      <c r="G719" s="9" t="s">
        <v>24</v>
      </c>
      <c r="H719" s="9"/>
      <c r="I719" s="9">
        <v>1</v>
      </c>
      <c r="J719" s="9">
        <v>3</v>
      </c>
      <c r="K719" s="9" t="s">
        <v>12094</v>
      </c>
      <c r="L719" s="9" t="s">
        <v>12079</v>
      </c>
      <c r="M719" s="9"/>
      <c r="N719" s="10"/>
      <c r="O719" s="9"/>
      <c r="P719" s="9">
        <v>1496</v>
      </c>
      <c r="Q719" s="9">
        <f t="shared" si="11"/>
        <v>179.76447969238166</v>
      </c>
      <c r="R719" s="9"/>
      <c r="S719" s="9" t="s">
        <v>12795</v>
      </c>
      <c r="T719" s="9" t="s">
        <v>12795</v>
      </c>
      <c r="U719" s="9"/>
      <c r="V719" s="9"/>
      <c r="W719" s="9"/>
      <c r="X719" s="9"/>
      <c r="Y719" s="9"/>
      <c r="Z719" s="9"/>
      <c r="AA719" s="9"/>
      <c r="AB719" s="9"/>
      <c r="AC719" s="9"/>
      <c r="AD719" s="9"/>
    </row>
    <row r="720" spans="1:30" ht="43.5">
      <c r="A720" s="3" t="s">
        <v>3611</v>
      </c>
      <c r="B720" s="3" t="s">
        <v>9471</v>
      </c>
      <c r="C720" s="3" t="s">
        <v>9474</v>
      </c>
      <c r="G720" s="9" t="s">
        <v>24</v>
      </c>
      <c r="H720" s="9"/>
      <c r="I720" s="9">
        <v>1</v>
      </c>
      <c r="J720" s="9">
        <v>2</v>
      </c>
      <c r="K720" s="9" t="s">
        <v>12123</v>
      </c>
      <c r="L720" s="9" t="s">
        <v>12119</v>
      </c>
      <c r="M720" s="9"/>
      <c r="N720" s="10"/>
      <c r="O720" s="9"/>
      <c r="P720" s="9">
        <v>134</v>
      </c>
      <c r="Q720" s="9">
        <f t="shared" si="11"/>
        <v>16.101898582071616</v>
      </c>
      <c r="R720" s="9"/>
      <c r="S720" s="9" t="s">
        <v>12795</v>
      </c>
      <c r="T720" s="9" t="s">
        <v>12795</v>
      </c>
      <c r="U720" s="9"/>
      <c r="V720" s="9"/>
      <c r="W720" s="9"/>
      <c r="X720" s="9"/>
      <c r="Y720" s="9"/>
      <c r="Z720" s="9"/>
      <c r="AA720" s="9"/>
      <c r="AB720" s="9"/>
      <c r="AC720" s="9"/>
      <c r="AD720" s="9"/>
    </row>
    <row r="721" spans="1:30" ht="29">
      <c r="A721" s="3" t="s">
        <v>3612</v>
      </c>
      <c r="B721" s="3" t="s">
        <v>9476</v>
      </c>
      <c r="C721" s="3" t="s">
        <v>9475</v>
      </c>
      <c r="G721" s="9" t="s">
        <v>25</v>
      </c>
      <c r="H721" s="9"/>
      <c r="I721" s="9">
        <v>1</v>
      </c>
      <c r="J721" s="9">
        <v>1</v>
      </c>
      <c r="K721" s="9" t="s">
        <v>12078</v>
      </c>
      <c r="L721" s="9" t="s">
        <v>12119</v>
      </c>
      <c r="M721" s="9"/>
      <c r="N721" s="10"/>
      <c r="O721" s="9"/>
      <c r="P721" s="9">
        <v>11843</v>
      </c>
      <c r="Q721" s="9">
        <f t="shared" si="11"/>
        <v>1423.0954097572699</v>
      </c>
      <c r="R721" s="9"/>
      <c r="S721" s="9" t="s">
        <v>12795</v>
      </c>
      <c r="T721" s="9" t="s">
        <v>12795</v>
      </c>
      <c r="U721" s="9"/>
      <c r="V721" s="9"/>
      <c r="W721" s="9"/>
      <c r="X721" s="9"/>
      <c r="Y721" s="9"/>
      <c r="Z721" s="9"/>
      <c r="AA721" s="9"/>
      <c r="AB721" s="9"/>
      <c r="AC721" s="9"/>
      <c r="AD721" s="9"/>
    </row>
    <row r="722" spans="1:30" ht="130.5">
      <c r="A722" s="3" t="s">
        <v>3613</v>
      </c>
      <c r="B722" s="3" t="s">
        <v>9479</v>
      </c>
      <c r="C722" s="3" t="s">
        <v>12491</v>
      </c>
      <c r="G722" s="9" t="s">
        <v>24</v>
      </c>
      <c r="H722" s="9"/>
      <c r="I722" s="9">
        <v>2</v>
      </c>
      <c r="J722" s="9">
        <v>6</v>
      </c>
      <c r="K722" s="9"/>
      <c r="L722" s="9" t="s">
        <v>12079</v>
      </c>
      <c r="M722" s="9"/>
      <c r="N722" s="10"/>
      <c r="O722" s="9"/>
      <c r="P722" s="9">
        <v>2042</v>
      </c>
      <c r="Q722" s="9">
        <f t="shared" si="11"/>
        <v>245.37370824321076</v>
      </c>
      <c r="R722" s="9"/>
      <c r="S722" s="9" t="s">
        <v>12795</v>
      </c>
      <c r="T722" s="9" t="s">
        <v>12795</v>
      </c>
      <c r="U722" s="9"/>
      <c r="V722" s="9"/>
      <c r="W722" s="9"/>
      <c r="X722" s="9"/>
      <c r="Y722" s="9"/>
      <c r="Z722" s="9"/>
      <c r="AA722" s="9"/>
      <c r="AB722" s="9"/>
      <c r="AC722" s="9"/>
      <c r="AD722" s="9"/>
    </row>
    <row r="723" spans="1:30" ht="58">
      <c r="A723" s="3" t="s">
        <v>3614</v>
      </c>
      <c r="B723" s="3" t="s">
        <v>9481</v>
      </c>
      <c r="C723" s="3" t="s">
        <v>9482</v>
      </c>
      <c r="G723" s="9" t="s">
        <v>24</v>
      </c>
      <c r="H723" s="9"/>
      <c r="I723" s="9">
        <v>1</v>
      </c>
      <c r="J723" s="9">
        <v>3</v>
      </c>
      <c r="K723" s="9" t="s">
        <v>12087</v>
      </c>
      <c r="L723" s="9" t="s">
        <v>12079</v>
      </c>
      <c r="M723" s="9"/>
      <c r="N723" s="10"/>
      <c r="O723" s="9"/>
      <c r="P723" s="9">
        <v>356</v>
      </c>
      <c r="Q723" s="9">
        <f t="shared" si="11"/>
        <v>42.778178322518627</v>
      </c>
      <c r="R723" s="9"/>
      <c r="S723" s="9" t="s">
        <v>12795</v>
      </c>
      <c r="T723" s="9" t="s">
        <v>12795</v>
      </c>
      <c r="U723" s="9"/>
      <c r="V723" s="9"/>
      <c r="W723" s="9"/>
      <c r="X723" s="9"/>
      <c r="Y723" s="9"/>
      <c r="Z723" s="9"/>
      <c r="AA723" s="9"/>
      <c r="AB723" s="9"/>
      <c r="AC723" s="9"/>
      <c r="AD723" s="9"/>
    </row>
    <row r="724" spans="1:30" ht="72.5">
      <c r="A724" s="3" t="s">
        <v>3624</v>
      </c>
      <c r="B724" s="3" t="s">
        <v>9499</v>
      </c>
      <c r="C724" s="3" t="s">
        <v>9498</v>
      </c>
      <c r="G724" s="9" t="s">
        <v>25</v>
      </c>
      <c r="H724" s="9"/>
      <c r="I724" s="9">
        <v>1</v>
      </c>
      <c r="J724" s="9">
        <v>3</v>
      </c>
      <c r="K724" s="9" t="s">
        <v>12092</v>
      </c>
      <c r="L724" s="9" t="s">
        <v>12079</v>
      </c>
      <c r="M724" s="9"/>
      <c r="N724" s="10"/>
      <c r="O724" s="9"/>
      <c r="P724" s="9">
        <v>60</v>
      </c>
      <c r="Q724" s="9">
        <f t="shared" si="11"/>
        <v>7.2098053352559477</v>
      </c>
      <c r="R724" s="9"/>
      <c r="S724" s="9" t="s">
        <v>12795</v>
      </c>
      <c r="T724" s="9" t="s">
        <v>12795</v>
      </c>
      <c r="U724" s="9"/>
      <c r="V724" s="9"/>
      <c r="W724" s="9"/>
      <c r="X724" s="9"/>
      <c r="Y724" s="9"/>
      <c r="Z724" s="9"/>
      <c r="AA724" s="9"/>
      <c r="AB724" s="9"/>
      <c r="AC724" s="9"/>
      <c r="AD724" s="9"/>
    </row>
    <row r="725" spans="1:30" ht="43.5">
      <c r="A725" s="3" t="s">
        <v>3625</v>
      </c>
      <c r="B725" s="3" t="s">
        <v>9506</v>
      </c>
      <c r="C725" s="3" t="s">
        <v>9505</v>
      </c>
      <c r="G725" s="9" t="s">
        <v>25</v>
      </c>
      <c r="H725" s="9"/>
      <c r="I725" s="9">
        <v>1</v>
      </c>
      <c r="J725" s="9">
        <v>3</v>
      </c>
      <c r="K725" s="9" t="s">
        <v>12087</v>
      </c>
      <c r="L725" s="9" t="s">
        <v>12079</v>
      </c>
      <c r="M725" s="9"/>
      <c r="N725" s="10"/>
      <c r="O725" s="9"/>
      <c r="P725" s="9">
        <v>5676</v>
      </c>
      <c r="Q725" s="9">
        <f t="shared" si="11"/>
        <v>682.04758471521268</v>
      </c>
      <c r="R725" s="9"/>
      <c r="S725" s="9" t="s">
        <v>12795</v>
      </c>
      <c r="T725" s="9" t="s">
        <v>12795</v>
      </c>
      <c r="U725" s="9"/>
      <c r="V725" s="9"/>
      <c r="W725" s="9"/>
      <c r="X725" s="9"/>
      <c r="Y725" s="9"/>
      <c r="Z725" s="9"/>
      <c r="AA725" s="9"/>
      <c r="AB725" s="9"/>
      <c r="AC725" s="9"/>
      <c r="AD725" s="9"/>
    </row>
    <row r="726" spans="1:30" ht="43.5">
      <c r="A726" s="3" t="s">
        <v>3627</v>
      </c>
      <c r="B726" s="3" t="s">
        <v>9516</v>
      </c>
      <c r="C726" s="3" t="s">
        <v>9517</v>
      </c>
      <c r="G726" s="9" t="s">
        <v>25</v>
      </c>
      <c r="H726" s="9"/>
      <c r="I726" s="9">
        <v>1</v>
      </c>
      <c r="J726" s="9">
        <v>3</v>
      </c>
      <c r="K726" s="9" t="s">
        <v>12094</v>
      </c>
      <c r="L726" s="9" t="s">
        <v>12079</v>
      </c>
      <c r="M726" s="9"/>
      <c r="N726" s="10"/>
      <c r="O726" s="9"/>
      <c r="P726" s="9">
        <v>1741</v>
      </c>
      <c r="Q726" s="9">
        <f t="shared" si="11"/>
        <v>209.20451814467677</v>
      </c>
      <c r="R726" s="9"/>
      <c r="S726" s="9" t="s">
        <v>12795</v>
      </c>
      <c r="T726" s="9" t="s">
        <v>12795</v>
      </c>
      <c r="U726" s="9"/>
      <c r="V726" s="9"/>
      <c r="W726" s="9"/>
      <c r="X726" s="9"/>
      <c r="Y726" s="9"/>
      <c r="Z726" s="9"/>
      <c r="AA726" s="9"/>
      <c r="AB726" s="9"/>
      <c r="AC726" s="9"/>
      <c r="AD726" s="9"/>
    </row>
    <row r="727" spans="1:30" ht="261">
      <c r="A727" s="3" t="s">
        <v>3631</v>
      </c>
      <c r="B727" s="3" t="s">
        <v>12495</v>
      </c>
      <c r="C727" s="3" t="s">
        <v>12496</v>
      </c>
      <c r="G727" s="9" t="s">
        <v>25</v>
      </c>
      <c r="H727" s="9"/>
      <c r="I727" s="9">
        <v>12</v>
      </c>
      <c r="J727" s="9">
        <v>48</v>
      </c>
      <c r="K727" s="9"/>
      <c r="L727" s="9" t="s">
        <v>12073</v>
      </c>
      <c r="M727" s="9" t="s">
        <v>12140</v>
      </c>
      <c r="N727" s="10" t="s">
        <v>12497</v>
      </c>
      <c r="O727" s="9"/>
      <c r="P727" s="9">
        <v>32</v>
      </c>
      <c r="Q727" s="9">
        <f t="shared" si="11"/>
        <v>3.8452295121365059</v>
      </c>
      <c r="R727" s="9"/>
      <c r="S727" s="9" t="s">
        <v>12795</v>
      </c>
      <c r="T727" s="9" t="s">
        <v>12795</v>
      </c>
      <c r="U727" s="9"/>
      <c r="V727" s="9"/>
      <c r="W727" s="9"/>
      <c r="X727" s="9"/>
      <c r="Y727" s="9"/>
      <c r="Z727" s="9"/>
      <c r="AA727" s="9"/>
      <c r="AB727" s="9"/>
      <c r="AC727" s="9"/>
      <c r="AD727" s="9"/>
    </row>
    <row r="728" spans="1:30" ht="87">
      <c r="A728" s="3" t="s">
        <v>3632</v>
      </c>
      <c r="B728" s="3" t="s">
        <v>12927</v>
      </c>
      <c r="C728" s="3" t="s">
        <v>12928</v>
      </c>
      <c r="G728" s="9" t="s">
        <v>24</v>
      </c>
      <c r="H728" s="9"/>
      <c r="I728" s="9">
        <v>3</v>
      </c>
      <c r="J728" s="9">
        <v>9</v>
      </c>
      <c r="K728" s="9"/>
      <c r="L728" s="9" t="s">
        <v>12079</v>
      </c>
      <c r="M728" s="9"/>
      <c r="N728" s="10"/>
      <c r="O728" s="9"/>
      <c r="P728" s="9">
        <v>94</v>
      </c>
      <c r="Q728" s="9">
        <f t="shared" si="11"/>
        <v>11.295361691900986</v>
      </c>
      <c r="R728" s="9"/>
      <c r="S728" s="9" t="s">
        <v>12795</v>
      </c>
      <c r="T728" s="9" t="s">
        <v>12795</v>
      </c>
      <c r="U728" s="9" t="s">
        <v>12117</v>
      </c>
      <c r="V728" s="9"/>
      <c r="W728" s="9"/>
      <c r="X728" s="9"/>
      <c r="Y728" s="9"/>
      <c r="Z728" s="9"/>
      <c r="AA728" s="9"/>
      <c r="AB728" s="9"/>
      <c r="AC728" s="9"/>
      <c r="AD728" s="9"/>
    </row>
    <row r="729" spans="1:30" ht="43.5">
      <c r="A729" s="3" t="s">
        <v>3640</v>
      </c>
      <c r="B729" s="3" t="s">
        <v>9541</v>
      </c>
      <c r="C729" s="3" t="s">
        <v>9540</v>
      </c>
      <c r="G729" s="9" t="s">
        <v>25</v>
      </c>
      <c r="H729" s="9"/>
      <c r="I729" s="9">
        <v>1</v>
      </c>
      <c r="J729" s="9">
        <v>2</v>
      </c>
      <c r="K729" s="9" t="s">
        <v>12094</v>
      </c>
      <c r="L729" s="9" t="s">
        <v>12119</v>
      </c>
      <c r="M729" s="9"/>
      <c r="N729" s="10"/>
      <c r="O729" s="9"/>
      <c r="P729" s="9">
        <v>1741</v>
      </c>
      <c r="Q729" s="9">
        <f t="shared" si="11"/>
        <v>209.20451814467677</v>
      </c>
      <c r="R729" s="9"/>
      <c r="S729" s="9" t="s">
        <v>12795</v>
      </c>
      <c r="T729" s="9" t="s">
        <v>12795</v>
      </c>
      <c r="U729" s="9"/>
      <c r="V729" s="9"/>
      <c r="W729" s="9"/>
      <c r="X729" s="9"/>
      <c r="Y729" s="9"/>
      <c r="Z729" s="9"/>
      <c r="AA729" s="9"/>
      <c r="AB729" s="9"/>
      <c r="AC729" s="9"/>
      <c r="AD729" s="9"/>
    </row>
    <row r="730" spans="1:30" ht="72.5">
      <c r="A730" s="3" t="s">
        <v>3641</v>
      </c>
      <c r="B730" s="3" t="s">
        <v>9542</v>
      </c>
      <c r="C730" s="3" t="s">
        <v>9543</v>
      </c>
      <c r="G730" s="9" t="s">
        <v>25</v>
      </c>
      <c r="H730" s="9"/>
      <c r="I730" s="9">
        <v>3</v>
      </c>
      <c r="J730" s="9">
        <v>12</v>
      </c>
      <c r="K730" s="9"/>
      <c r="L730" s="9" t="s">
        <v>12079</v>
      </c>
      <c r="M730" s="9"/>
      <c r="N730" s="10"/>
      <c r="O730" s="9"/>
      <c r="P730" s="9">
        <v>49</v>
      </c>
      <c r="Q730" s="9">
        <f t="shared" si="11"/>
        <v>5.8880076904590251</v>
      </c>
      <c r="R730" s="9"/>
      <c r="S730" s="9" t="s">
        <v>12795</v>
      </c>
      <c r="T730" s="9" t="s">
        <v>12795</v>
      </c>
      <c r="U730" s="9"/>
      <c r="V730" s="9"/>
      <c r="W730" s="9"/>
      <c r="X730" s="9"/>
      <c r="Y730" s="9"/>
      <c r="Z730" s="9"/>
      <c r="AA730" s="9"/>
      <c r="AB730" s="9"/>
      <c r="AC730" s="9"/>
      <c r="AD730" s="9"/>
    </row>
    <row r="731" spans="1:30" ht="29">
      <c r="A731" s="3" t="s">
        <v>3642</v>
      </c>
      <c r="B731" s="3" t="s">
        <v>9544</v>
      </c>
      <c r="C731" s="3" t="s">
        <v>9546</v>
      </c>
      <c r="F731" t="s">
        <v>19</v>
      </c>
      <c r="G731" s="9" t="s">
        <v>25</v>
      </c>
      <c r="H731" s="9"/>
      <c r="I731" s="9">
        <v>1</v>
      </c>
      <c r="J731" s="9">
        <v>3</v>
      </c>
      <c r="K731" s="9" t="s">
        <v>12087</v>
      </c>
      <c r="L731" s="9" t="s">
        <v>12079</v>
      </c>
      <c r="M731" s="9"/>
      <c r="N731" s="10"/>
      <c r="O731" s="9"/>
      <c r="P731" s="9">
        <v>5676</v>
      </c>
      <c r="Q731" s="9">
        <f t="shared" si="11"/>
        <v>682.04758471521268</v>
      </c>
      <c r="R731" s="9"/>
      <c r="S731" s="9" t="s">
        <v>12795</v>
      </c>
      <c r="T731" s="9" t="s">
        <v>12795</v>
      </c>
      <c r="U731" s="9"/>
      <c r="V731" s="9"/>
      <c r="W731" s="9"/>
      <c r="X731" s="9"/>
      <c r="Y731" s="9"/>
      <c r="Z731" s="9"/>
      <c r="AA731" s="9"/>
      <c r="AB731" s="9"/>
      <c r="AC731" s="9"/>
      <c r="AD731" s="9"/>
    </row>
    <row r="732" spans="1:30" ht="58">
      <c r="A732" s="3" t="s">
        <v>3645</v>
      </c>
      <c r="B732" s="3" t="s">
        <v>9549</v>
      </c>
      <c r="C732" s="3" t="s">
        <v>9550</v>
      </c>
      <c r="G732" s="9" t="s">
        <v>25</v>
      </c>
      <c r="H732" s="9"/>
      <c r="I732" s="9">
        <v>1</v>
      </c>
      <c r="J732" s="9">
        <v>5</v>
      </c>
      <c r="K732" s="9" t="s">
        <v>12098</v>
      </c>
      <c r="L732" s="9" t="s">
        <v>12073</v>
      </c>
      <c r="M732" s="9" t="s">
        <v>12142</v>
      </c>
      <c r="N732" s="10" t="s">
        <v>12143</v>
      </c>
      <c r="O732" s="9"/>
      <c r="P732" s="9">
        <v>2042</v>
      </c>
      <c r="Q732" s="9">
        <f t="shared" si="11"/>
        <v>245.37370824321076</v>
      </c>
      <c r="R732" s="9"/>
      <c r="S732" s="9" t="s">
        <v>12795</v>
      </c>
      <c r="T732" s="9" t="s">
        <v>12795</v>
      </c>
      <c r="U732" s="9"/>
      <c r="V732" s="9"/>
      <c r="W732" s="9"/>
      <c r="X732" s="9"/>
      <c r="Y732" s="9"/>
      <c r="Z732" s="9"/>
      <c r="AA732" s="9"/>
      <c r="AB732" s="9"/>
      <c r="AC732" s="9"/>
      <c r="AD732" s="9"/>
    </row>
    <row r="733" spans="1:30" ht="58">
      <c r="A733" s="3" t="s">
        <v>3649</v>
      </c>
      <c r="B733" s="3" t="s">
        <v>9556</v>
      </c>
      <c r="C733" s="3" t="s">
        <v>9557</v>
      </c>
      <c r="G733" s="9" t="s">
        <v>24</v>
      </c>
      <c r="H733" s="9"/>
      <c r="I733" s="9">
        <v>1</v>
      </c>
      <c r="J733" s="9">
        <v>5</v>
      </c>
      <c r="K733" s="9" t="s">
        <v>12094</v>
      </c>
      <c r="L733" s="9" t="s">
        <v>12073</v>
      </c>
      <c r="M733" s="9" t="s">
        <v>12142</v>
      </c>
      <c r="N733" s="10" t="s">
        <v>12143</v>
      </c>
      <c r="O733" s="9"/>
      <c r="P733" s="9">
        <v>4240</v>
      </c>
      <c r="Q733" s="9">
        <f t="shared" si="11"/>
        <v>509.49291035808699</v>
      </c>
      <c r="R733" s="9"/>
      <c r="S733" s="9" t="s">
        <v>12795</v>
      </c>
      <c r="T733" s="9" t="s">
        <v>12795</v>
      </c>
      <c r="U733" s="9"/>
      <c r="V733" s="9"/>
      <c r="W733" s="9"/>
      <c r="X733" s="9"/>
      <c r="Y733" s="9"/>
      <c r="Z733" s="9"/>
      <c r="AA733" s="9"/>
      <c r="AB733" s="9"/>
      <c r="AC733" s="9"/>
      <c r="AD733" s="9"/>
    </row>
    <row r="734" spans="1:30" ht="87">
      <c r="A734" s="3" t="s">
        <v>3659</v>
      </c>
      <c r="B734" s="3" t="s">
        <v>9566</v>
      </c>
      <c r="C734" s="3" t="s">
        <v>9567</v>
      </c>
      <c r="G734" s="9" t="s">
        <v>24</v>
      </c>
      <c r="H734" s="9"/>
      <c r="I734" s="9">
        <v>1</v>
      </c>
      <c r="J734" s="9">
        <v>1</v>
      </c>
      <c r="K734" s="9" t="s">
        <v>12078</v>
      </c>
      <c r="L734" s="9" t="s">
        <v>12119</v>
      </c>
      <c r="M734" s="9"/>
      <c r="N734" s="10"/>
      <c r="O734" s="9"/>
      <c r="P734" s="9">
        <v>11843</v>
      </c>
      <c r="Q734" s="9">
        <f t="shared" si="11"/>
        <v>1423.0954097572699</v>
      </c>
      <c r="R734" s="9"/>
      <c r="S734" s="9" t="s">
        <v>12795</v>
      </c>
      <c r="T734" s="9" t="s">
        <v>12795</v>
      </c>
      <c r="U734" s="9"/>
      <c r="V734" s="9"/>
      <c r="W734" s="9"/>
      <c r="X734" s="9"/>
      <c r="Y734" s="9"/>
      <c r="Z734" s="9"/>
      <c r="AA734" s="9"/>
      <c r="AB734" s="9"/>
      <c r="AC734" s="9"/>
      <c r="AD734" s="9"/>
    </row>
    <row r="735" spans="1:30" ht="29">
      <c r="A735" s="3" t="s">
        <v>3670</v>
      </c>
      <c r="B735" s="3" t="s">
        <v>9578</v>
      </c>
      <c r="C735" s="3" t="s">
        <v>9579</v>
      </c>
      <c r="G735" s="9" t="s">
        <v>24</v>
      </c>
      <c r="H735" s="9"/>
      <c r="I735" s="9">
        <v>1</v>
      </c>
      <c r="J735" s="9">
        <v>3</v>
      </c>
      <c r="K735" s="9" t="s">
        <v>12087</v>
      </c>
      <c r="L735" s="9" t="s">
        <v>12079</v>
      </c>
      <c r="M735" s="9"/>
      <c r="N735" s="10"/>
      <c r="O735" s="9"/>
      <c r="P735" s="9">
        <v>309</v>
      </c>
      <c r="Q735" s="9">
        <f t="shared" si="11"/>
        <v>37.130497476568131</v>
      </c>
      <c r="R735" s="9"/>
      <c r="S735" s="9" t="s">
        <v>12795</v>
      </c>
      <c r="T735" s="9" t="s">
        <v>12795</v>
      </c>
      <c r="U735" s="9"/>
      <c r="V735" s="9"/>
      <c r="W735" s="9"/>
      <c r="X735" s="9"/>
      <c r="Y735" s="9"/>
      <c r="Z735" s="9"/>
      <c r="AA735" s="9"/>
      <c r="AB735" s="9"/>
      <c r="AC735" s="9"/>
      <c r="AD735" s="9"/>
    </row>
    <row r="736" spans="1:30" ht="29">
      <c r="A736" s="3" t="s">
        <v>3674</v>
      </c>
      <c r="B736" s="3" t="s">
        <v>9581</v>
      </c>
      <c r="C736" s="3" t="s">
        <v>9580</v>
      </c>
      <c r="G736" s="9" t="s">
        <v>24</v>
      </c>
      <c r="H736" s="9"/>
      <c r="I736" s="9">
        <v>1</v>
      </c>
      <c r="J736" s="9">
        <v>2</v>
      </c>
      <c r="K736" s="9" t="s">
        <v>12078</v>
      </c>
      <c r="L736" s="9" t="s">
        <v>12119</v>
      </c>
      <c r="M736" s="9"/>
      <c r="N736" s="10"/>
      <c r="O736" s="9"/>
      <c r="P736" s="9">
        <v>11843</v>
      </c>
      <c r="Q736" s="9">
        <f t="shared" si="11"/>
        <v>1423.0954097572699</v>
      </c>
      <c r="R736" s="9"/>
      <c r="S736" s="9" t="s">
        <v>12795</v>
      </c>
      <c r="T736" s="9" t="s">
        <v>12795</v>
      </c>
      <c r="U736" s="9"/>
      <c r="V736" s="9"/>
      <c r="W736" s="9"/>
      <c r="X736" s="9"/>
      <c r="Y736" s="9"/>
      <c r="Z736" s="9"/>
      <c r="AA736" s="9"/>
      <c r="AB736" s="9"/>
      <c r="AC736" s="9"/>
      <c r="AD736" s="9"/>
    </row>
    <row r="737" spans="1:30" ht="29">
      <c r="A737" s="3" t="s">
        <v>3677</v>
      </c>
      <c r="B737" s="3" t="s">
        <v>9583</v>
      </c>
      <c r="C737" s="3" t="s">
        <v>9582</v>
      </c>
      <c r="G737" s="9" t="s">
        <v>24</v>
      </c>
      <c r="H737" s="9"/>
      <c r="I737" s="9">
        <v>1</v>
      </c>
      <c r="J737" s="9">
        <v>1</v>
      </c>
      <c r="K737" s="9" t="s">
        <v>12078</v>
      </c>
      <c r="L737" s="9" t="s">
        <v>12119</v>
      </c>
      <c r="M737" s="9"/>
      <c r="N737" s="10"/>
      <c r="O737" s="9"/>
      <c r="P737" s="9">
        <v>11843</v>
      </c>
      <c r="Q737" s="9">
        <f t="shared" si="11"/>
        <v>1423.0954097572699</v>
      </c>
      <c r="R737" s="9"/>
      <c r="S737" s="9" t="s">
        <v>12795</v>
      </c>
      <c r="T737" s="9" t="s">
        <v>12795</v>
      </c>
      <c r="U737" s="9"/>
      <c r="V737" s="9"/>
      <c r="W737" s="9"/>
      <c r="X737" s="9"/>
      <c r="Y737" s="9"/>
      <c r="Z737" s="9"/>
      <c r="AA737" s="9"/>
      <c r="AB737" s="9"/>
      <c r="AC737" s="9"/>
      <c r="AD737" s="9"/>
    </row>
    <row r="738" spans="1:30" ht="29">
      <c r="A738" s="3" t="s">
        <v>3690</v>
      </c>
      <c r="B738" s="3" t="s">
        <v>9599</v>
      </c>
      <c r="C738" s="3" t="s">
        <v>9598</v>
      </c>
      <c r="F738" t="s">
        <v>19</v>
      </c>
      <c r="G738" s="9" t="s">
        <v>25</v>
      </c>
      <c r="H738" s="9"/>
      <c r="I738" s="9">
        <v>1</v>
      </c>
      <c r="J738" s="9">
        <v>2</v>
      </c>
      <c r="K738" s="9" t="s">
        <v>12078</v>
      </c>
      <c r="L738" s="9" t="s">
        <v>12119</v>
      </c>
      <c r="M738" s="9"/>
      <c r="N738" s="10"/>
      <c r="O738" s="9"/>
      <c r="P738" s="9">
        <v>11843</v>
      </c>
      <c r="Q738" s="9">
        <f t="shared" si="11"/>
        <v>1423.0954097572699</v>
      </c>
      <c r="R738" s="9"/>
      <c r="S738" s="9" t="s">
        <v>12795</v>
      </c>
      <c r="T738" s="9" t="s">
        <v>12795</v>
      </c>
      <c r="U738" s="9"/>
      <c r="V738" s="9"/>
      <c r="W738" s="9"/>
      <c r="X738" s="9"/>
      <c r="Y738" s="9"/>
      <c r="Z738" s="9"/>
      <c r="AA738" s="9"/>
      <c r="AB738" s="9"/>
      <c r="AC738" s="9"/>
      <c r="AD738" s="9"/>
    </row>
    <row r="739" spans="1:30" ht="145">
      <c r="A739" s="3" t="s">
        <v>3692</v>
      </c>
      <c r="B739" s="3" t="s">
        <v>9603</v>
      </c>
      <c r="C739" s="3" t="s">
        <v>9602</v>
      </c>
      <c r="G739" s="9" t="s">
        <v>25</v>
      </c>
      <c r="H739" s="9"/>
      <c r="I739" s="9">
        <v>7</v>
      </c>
      <c r="J739" s="9">
        <v>36</v>
      </c>
      <c r="K739" s="9"/>
      <c r="L739" s="9" t="s">
        <v>12079</v>
      </c>
      <c r="M739" s="9"/>
      <c r="N739" s="10"/>
      <c r="O739" s="9"/>
      <c r="P739" s="9">
        <v>3</v>
      </c>
      <c r="Q739" s="9">
        <f t="shared" si="11"/>
        <v>0.36049026676279744</v>
      </c>
      <c r="R739" s="9"/>
      <c r="S739" s="9" t="s">
        <v>12795</v>
      </c>
      <c r="T739" s="9" t="s">
        <v>12795</v>
      </c>
      <c r="U739" s="9"/>
      <c r="V739" s="9"/>
      <c r="W739" s="9"/>
      <c r="X739" s="9"/>
      <c r="Y739" s="9"/>
      <c r="Z739" s="9"/>
      <c r="AA739" s="9"/>
      <c r="AB739" s="9"/>
      <c r="AC739" s="9"/>
      <c r="AD739" s="9"/>
    </row>
    <row r="740" spans="1:30" ht="29">
      <c r="A740" s="3" t="s">
        <v>3716</v>
      </c>
      <c r="B740" s="3" t="s">
        <v>9639</v>
      </c>
      <c r="C740" s="3" t="s">
        <v>9638</v>
      </c>
      <c r="G740" s="9" t="s">
        <v>25</v>
      </c>
      <c r="H740" s="9"/>
      <c r="I740" s="9">
        <v>1</v>
      </c>
      <c r="J740" s="9">
        <v>1</v>
      </c>
      <c r="K740" s="9" t="s">
        <v>12094</v>
      </c>
      <c r="L740" s="9" t="s">
        <v>12119</v>
      </c>
      <c r="M740" s="9"/>
      <c r="N740" s="10"/>
      <c r="O740" s="9"/>
      <c r="P740" s="9">
        <v>780</v>
      </c>
      <c r="Q740" s="9">
        <f t="shared" si="11"/>
        <v>93.727469358327326</v>
      </c>
      <c r="R740" s="9"/>
      <c r="S740" s="9" t="s">
        <v>12795</v>
      </c>
      <c r="T740" s="9" t="s">
        <v>12795</v>
      </c>
      <c r="U740" s="9"/>
      <c r="V740" s="9"/>
      <c r="W740" s="9"/>
      <c r="X740" s="9"/>
      <c r="Y740" s="9"/>
      <c r="Z740" s="9"/>
      <c r="AA740" s="9"/>
      <c r="AB740" s="9"/>
      <c r="AC740" s="9"/>
      <c r="AD740" s="9"/>
    </row>
    <row r="741" spans="1:30" ht="58">
      <c r="A741" s="3" t="s">
        <v>3717</v>
      </c>
      <c r="B741" s="3" t="s">
        <v>9642</v>
      </c>
      <c r="C741" s="3" t="s">
        <v>9643</v>
      </c>
      <c r="G741" s="9" t="s">
        <v>24</v>
      </c>
      <c r="H741" s="9"/>
      <c r="I741" s="9">
        <v>1</v>
      </c>
      <c r="J741" s="9">
        <v>7</v>
      </c>
      <c r="K741" s="9" t="s">
        <v>12125</v>
      </c>
      <c r="L741" s="9" t="s">
        <v>12073</v>
      </c>
      <c r="M741" s="9" t="s">
        <v>12142</v>
      </c>
      <c r="N741" s="10" t="s">
        <v>12156</v>
      </c>
      <c r="O741" s="9" t="s">
        <v>12074</v>
      </c>
      <c r="P741" s="9">
        <v>336</v>
      </c>
      <c r="Q741" s="9">
        <f t="shared" si="11"/>
        <v>40.374909877433311</v>
      </c>
      <c r="R741" s="9"/>
      <c r="S741" s="9" t="s">
        <v>12795</v>
      </c>
      <c r="T741" s="9" t="s">
        <v>12795</v>
      </c>
      <c r="U741" s="9"/>
      <c r="V741" s="9"/>
      <c r="W741" s="9"/>
      <c r="X741" s="9"/>
      <c r="Y741" s="9"/>
      <c r="Z741" s="9"/>
      <c r="AA741" s="9"/>
      <c r="AB741" s="9"/>
      <c r="AC741" s="9"/>
      <c r="AD741" s="9"/>
    </row>
    <row r="742" spans="1:30" ht="29">
      <c r="A742" s="3" t="s">
        <v>3718</v>
      </c>
      <c r="B742" s="3" t="s">
        <v>9647</v>
      </c>
      <c r="C742" s="3" t="s">
        <v>9646</v>
      </c>
      <c r="G742" s="9" t="s">
        <v>24</v>
      </c>
      <c r="H742" s="9"/>
      <c r="I742" s="9">
        <v>1</v>
      </c>
      <c r="J742" s="9">
        <v>1</v>
      </c>
      <c r="K742" s="9" t="s">
        <v>12078</v>
      </c>
      <c r="L742" s="9" t="s">
        <v>12119</v>
      </c>
      <c r="M742" s="9"/>
      <c r="N742" s="10"/>
      <c r="O742" s="9"/>
      <c r="P742" s="9">
        <v>11843</v>
      </c>
      <c r="Q742" s="9">
        <f t="shared" si="11"/>
        <v>1423.0954097572699</v>
      </c>
      <c r="R742" s="9"/>
      <c r="S742" s="9" t="s">
        <v>12795</v>
      </c>
      <c r="T742" s="9" t="s">
        <v>12795</v>
      </c>
      <c r="U742" s="9"/>
      <c r="V742" s="9"/>
      <c r="W742" s="9"/>
      <c r="X742" s="9"/>
      <c r="Y742" s="9"/>
      <c r="Z742" s="9"/>
      <c r="AA742" s="9"/>
      <c r="AB742" s="9"/>
      <c r="AC742" s="9"/>
      <c r="AD742" s="9"/>
    </row>
    <row r="743" spans="1:30" ht="29">
      <c r="A743" s="3" t="s">
        <v>3722</v>
      </c>
      <c r="B743" s="3" t="s">
        <v>9653</v>
      </c>
      <c r="C743" s="3" t="s">
        <v>9652</v>
      </c>
      <c r="G743" s="9" t="s">
        <v>24</v>
      </c>
      <c r="H743" s="9"/>
      <c r="I743" s="9">
        <v>1</v>
      </c>
      <c r="J743" s="9">
        <v>2</v>
      </c>
      <c r="K743" s="9" t="s">
        <v>12078</v>
      </c>
      <c r="L743" s="9" t="s">
        <v>12119</v>
      </c>
      <c r="M743" s="9"/>
      <c r="N743" s="10"/>
      <c r="O743" s="9"/>
      <c r="P743" s="9">
        <v>11843</v>
      </c>
      <c r="Q743" s="9">
        <f t="shared" si="11"/>
        <v>1423.0954097572699</v>
      </c>
      <c r="R743" s="9"/>
      <c r="S743" s="9" t="s">
        <v>12795</v>
      </c>
      <c r="T743" s="9" t="s">
        <v>12795</v>
      </c>
      <c r="U743" s="9"/>
      <c r="V743" s="9"/>
      <c r="W743" s="9"/>
      <c r="X743" s="9"/>
      <c r="Y743" s="9"/>
      <c r="Z743" s="9"/>
      <c r="AA743" s="9"/>
      <c r="AB743" s="9"/>
      <c r="AC743" s="9"/>
      <c r="AD743" s="9"/>
    </row>
    <row r="744" spans="1:30" ht="29">
      <c r="A744" s="3" t="s">
        <v>3739</v>
      </c>
      <c r="B744" s="3" t="s">
        <v>12929</v>
      </c>
      <c r="C744" s="3" t="s">
        <v>9670</v>
      </c>
      <c r="G744" s="9" t="s">
        <v>24</v>
      </c>
      <c r="H744" s="9"/>
      <c r="I744" s="9">
        <v>1</v>
      </c>
      <c r="J744" s="9">
        <v>1</v>
      </c>
      <c r="K744" s="9" t="s">
        <v>12078</v>
      </c>
      <c r="L744" s="9" t="s">
        <v>12119</v>
      </c>
      <c r="M744" s="9"/>
      <c r="N744" s="10"/>
      <c r="O744" s="9"/>
      <c r="P744" s="9">
        <v>11843</v>
      </c>
      <c r="Q744" s="9">
        <f t="shared" si="11"/>
        <v>1423.0954097572699</v>
      </c>
      <c r="R744" s="9"/>
      <c r="S744" s="9" t="s">
        <v>12795</v>
      </c>
      <c r="T744" s="9" t="s">
        <v>12795</v>
      </c>
      <c r="U744" s="9"/>
      <c r="V744" s="9"/>
      <c r="W744" s="9"/>
      <c r="X744" s="9"/>
      <c r="Y744" s="9"/>
      <c r="Z744" s="9"/>
      <c r="AA744" s="9"/>
      <c r="AB744" s="9"/>
      <c r="AC744" s="9"/>
      <c r="AD744" s="9"/>
    </row>
    <row r="745" spans="1:30" ht="58">
      <c r="A745" s="3" t="s">
        <v>3740</v>
      </c>
      <c r="B745" s="3" t="s">
        <v>9672</v>
      </c>
      <c r="C745" s="3" t="s">
        <v>9671</v>
      </c>
      <c r="G745" s="9" t="s">
        <v>24</v>
      </c>
      <c r="H745" s="9"/>
      <c r="I745" s="9">
        <v>1</v>
      </c>
      <c r="J745" s="9">
        <v>10</v>
      </c>
      <c r="K745" s="9" t="s">
        <v>12098</v>
      </c>
      <c r="L745" s="9" t="s">
        <v>12079</v>
      </c>
      <c r="M745" s="9"/>
      <c r="N745" s="10"/>
      <c r="O745" s="9"/>
      <c r="P745" s="9">
        <v>53</v>
      </c>
      <c r="Q745" s="9">
        <f t="shared" si="11"/>
        <v>6.3686613794760873</v>
      </c>
      <c r="R745" s="9"/>
      <c r="S745" s="9" t="s">
        <v>12795</v>
      </c>
      <c r="T745" s="9" t="s">
        <v>12795</v>
      </c>
      <c r="U745" s="9"/>
      <c r="V745" s="9"/>
      <c r="W745" s="9"/>
      <c r="X745" s="9"/>
      <c r="Y745" s="9"/>
      <c r="Z745" s="9"/>
      <c r="AA745" s="9"/>
      <c r="AB745" s="9"/>
      <c r="AC745" s="9"/>
      <c r="AD745" s="9"/>
    </row>
    <row r="746" spans="1:30" ht="29">
      <c r="A746" s="3" t="s">
        <v>3744</v>
      </c>
      <c r="B746" s="3" t="s">
        <v>9683</v>
      </c>
      <c r="C746" s="3" t="s">
        <v>9682</v>
      </c>
      <c r="G746" s="9" t="s">
        <v>25</v>
      </c>
      <c r="H746" s="9"/>
      <c r="I746" s="9">
        <v>1</v>
      </c>
      <c r="J746" s="9">
        <v>1</v>
      </c>
      <c r="K746" s="9" t="s">
        <v>12078</v>
      </c>
      <c r="L746" s="9" t="s">
        <v>12119</v>
      </c>
      <c r="M746" s="9"/>
      <c r="N746" s="10"/>
      <c r="O746" s="9"/>
      <c r="P746" s="9">
        <v>11843</v>
      </c>
      <c r="Q746" s="9">
        <f t="shared" si="11"/>
        <v>1423.0954097572699</v>
      </c>
      <c r="R746" s="9"/>
      <c r="S746" s="9" t="s">
        <v>12795</v>
      </c>
      <c r="T746" s="9" t="s">
        <v>12795</v>
      </c>
      <c r="U746" s="9"/>
      <c r="V746" s="9"/>
      <c r="W746" s="9"/>
      <c r="X746" s="9"/>
      <c r="Y746" s="9"/>
      <c r="Z746" s="9"/>
      <c r="AA746" s="9"/>
      <c r="AB746" s="9"/>
      <c r="AC746" s="9"/>
      <c r="AD746" s="9"/>
    </row>
    <row r="747" spans="1:30" ht="43.5">
      <c r="A747" s="3" t="s">
        <v>3745</v>
      </c>
      <c r="B747" s="3" t="s">
        <v>9687</v>
      </c>
      <c r="C747" s="3" t="s">
        <v>9684</v>
      </c>
      <c r="G747" s="9" t="s">
        <v>25</v>
      </c>
      <c r="H747" s="9"/>
      <c r="I747" s="9">
        <v>1</v>
      </c>
      <c r="J747" s="9">
        <v>1</v>
      </c>
      <c r="K747" s="9" t="s">
        <v>12078</v>
      </c>
      <c r="L747" s="9" t="s">
        <v>12119</v>
      </c>
      <c r="M747" s="9"/>
      <c r="N747" s="10"/>
      <c r="O747" s="9"/>
      <c r="P747" s="9">
        <v>11843</v>
      </c>
      <c r="Q747" s="9">
        <f t="shared" si="11"/>
        <v>1423.0954097572699</v>
      </c>
      <c r="R747" s="9"/>
      <c r="S747" s="9" t="s">
        <v>12795</v>
      </c>
      <c r="T747" s="9" t="s">
        <v>12795</v>
      </c>
      <c r="U747" s="9"/>
      <c r="V747" s="9"/>
      <c r="W747" s="9"/>
      <c r="X747" s="9"/>
      <c r="Y747" s="9"/>
      <c r="Z747" s="9"/>
      <c r="AA747" s="9"/>
      <c r="AB747" s="9"/>
      <c r="AC747" s="9"/>
      <c r="AD747" s="9"/>
    </row>
    <row r="748" spans="1:30" ht="29">
      <c r="A748" s="3" t="s">
        <v>3748</v>
      </c>
      <c r="B748" s="3" t="s">
        <v>9693</v>
      </c>
      <c r="C748" s="3" t="s">
        <v>9692</v>
      </c>
      <c r="G748" s="9" t="s">
        <v>24</v>
      </c>
      <c r="H748" s="9"/>
      <c r="I748" s="9">
        <v>1</v>
      </c>
      <c r="J748" s="9">
        <v>1</v>
      </c>
      <c r="K748" s="9" t="s">
        <v>12078</v>
      </c>
      <c r="L748" s="9" t="s">
        <v>12119</v>
      </c>
      <c r="M748" s="9"/>
      <c r="N748" s="10"/>
      <c r="O748" s="9"/>
      <c r="P748" s="9">
        <v>11843</v>
      </c>
      <c r="Q748" s="9">
        <f t="shared" si="11"/>
        <v>1423.0954097572699</v>
      </c>
      <c r="R748" s="9"/>
      <c r="S748" s="9" t="s">
        <v>12795</v>
      </c>
      <c r="T748" s="9" t="s">
        <v>12795</v>
      </c>
      <c r="U748" s="9"/>
      <c r="V748" s="9"/>
      <c r="W748" s="9"/>
      <c r="X748" s="9"/>
      <c r="Y748" s="9"/>
      <c r="Z748" s="9"/>
      <c r="AA748" s="9"/>
      <c r="AB748" s="9"/>
      <c r="AC748" s="9"/>
      <c r="AD748" s="9"/>
    </row>
    <row r="749" spans="1:30" ht="29">
      <c r="A749" s="3" t="s">
        <v>3750</v>
      </c>
      <c r="B749" s="3" t="s">
        <v>9697</v>
      </c>
      <c r="C749" s="3" t="s">
        <v>9696</v>
      </c>
      <c r="G749" s="9" t="s">
        <v>24</v>
      </c>
      <c r="H749" s="9"/>
      <c r="I749" s="9">
        <v>1</v>
      </c>
      <c r="J749" s="9">
        <v>1</v>
      </c>
      <c r="K749" s="9" t="s">
        <v>12078</v>
      </c>
      <c r="L749" s="9" t="s">
        <v>12119</v>
      </c>
      <c r="M749" s="9"/>
      <c r="N749" s="10"/>
      <c r="O749" s="9"/>
      <c r="P749" s="9">
        <v>11843</v>
      </c>
      <c r="Q749" s="9">
        <f t="shared" si="11"/>
        <v>1423.0954097572699</v>
      </c>
      <c r="R749" s="9"/>
      <c r="S749" s="9" t="s">
        <v>12795</v>
      </c>
      <c r="T749" s="9" t="s">
        <v>12795</v>
      </c>
      <c r="U749" s="9"/>
      <c r="V749" s="9"/>
      <c r="W749" s="9"/>
      <c r="X749" s="9"/>
      <c r="Y749" s="9"/>
      <c r="Z749" s="9"/>
      <c r="AA749" s="9"/>
      <c r="AB749" s="9"/>
      <c r="AC749" s="9"/>
      <c r="AD749" s="9"/>
    </row>
    <row r="750" spans="1:30" ht="43.5">
      <c r="A750" s="3" t="s">
        <v>3750</v>
      </c>
      <c r="B750" s="3" t="s">
        <v>9698</v>
      </c>
      <c r="C750" s="3" t="s">
        <v>9699</v>
      </c>
      <c r="G750" s="9" t="s">
        <v>25</v>
      </c>
      <c r="H750" s="9"/>
      <c r="I750" s="9">
        <v>1</v>
      </c>
      <c r="J750" s="9">
        <v>2</v>
      </c>
      <c r="K750" s="9" t="s">
        <v>12078</v>
      </c>
      <c r="L750" s="9" t="s">
        <v>12119</v>
      </c>
      <c r="M750" s="9"/>
      <c r="N750" s="10"/>
      <c r="O750" s="9"/>
      <c r="P750" s="9">
        <v>11843</v>
      </c>
      <c r="Q750" s="9">
        <f t="shared" si="11"/>
        <v>1423.0954097572699</v>
      </c>
      <c r="R750" s="9"/>
      <c r="S750" s="9" t="s">
        <v>12795</v>
      </c>
      <c r="T750" s="9" t="s">
        <v>12795</v>
      </c>
      <c r="U750" s="9"/>
      <c r="V750" s="9"/>
      <c r="W750" s="9"/>
      <c r="X750" s="9"/>
      <c r="Y750" s="9"/>
      <c r="Z750" s="9"/>
      <c r="AA750" s="9"/>
      <c r="AB750" s="9"/>
      <c r="AC750" s="9"/>
      <c r="AD750" s="9"/>
    </row>
    <row r="751" spans="1:30" ht="174">
      <c r="A751" s="3" t="s">
        <v>3754</v>
      </c>
      <c r="B751" s="3" t="s">
        <v>12503</v>
      </c>
      <c r="C751" s="3" t="s">
        <v>12504</v>
      </c>
      <c r="G751" s="9" t="s">
        <v>25</v>
      </c>
      <c r="H751" s="9"/>
      <c r="I751" s="9">
        <v>9</v>
      </c>
      <c r="J751" s="9">
        <v>36</v>
      </c>
      <c r="K751" s="9"/>
      <c r="L751" s="9" t="s">
        <v>12073</v>
      </c>
      <c r="M751" s="9" t="s">
        <v>12140</v>
      </c>
      <c r="N751" s="10" t="s">
        <v>12417</v>
      </c>
      <c r="O751" s="9"/>
      <c r="P751" s="9">
        <v>75</v>
      </c>
      <c r="Q751" s="9">
        <f t="shared" si="11"/>
        <v>9.0122566690699344</v>
      </c>
      <c r="R751" s="9"/>
      <c r="S751" s="9" t="s">
        <v>12795</v>
      </c>
      <c r="T751" s="9" t="s">
        <v>12795</v>
      </c>
      <c r="U751" s="9"/>
      <c r="V751" s="9"/>
      <c r="W751" s="9"/>
      <c r="X751" s="9"/>
      <c r="Y751" s="9"/>
      <c r="Z751" s="9"/>
      <c r="AA751" s="9"/>
      <c r="AB751" s="9"/>
      <c r="AC751" s="9"/>
      <c r="AD751" s="9"/>
    </row>
    <row r="752" spans="1:30" ht="29">
      <c r="A752" s="3" t="s">
        <v>3761</v>
      </c>
      <c r="B752" s="3" t="s">
        <v>5421</v>
      </c>
      <c r="C752" s="3" t="s">
        <v>5422</v>
      </c>
      <c r="G752" s="9" t="s">
        <v>25</v>
      </c>
      <c r="H752" s="9"/>
      <c r="I752" s="9">
        <v>1</v>
      </c>
      <c r="J752" s="9">
        <v>5</v>
      </c>
      <c r="K752" s="9" t="s">
        <v>12094</v>
      </c>
      <c r="L752" s="9" t="s">
        <v>12079</v>
      </c>
      <c r="M752" s="9"/>
      <c r="N752" s="10"/>
      <c r="O752" s="9"/>
      <c r="P752" s="9">
        <v>4240</v>
      </c>
      <c r="Q752" s="9">
        <f t="shared" si="11"/>
        <v>509.49291035808699</v>
      </c>
      <c r="R752" s="9"/>
      <c r="S752" s="9" t="s">
        <v>12795</v>
      </c>
      <c r="T752" s="9" t="s">
        <v>12795</v>
      </c>
      <c r="U752" s="9"/>
      <c r="V752" s="9"/>
      <c r="W752" s="9"/>
      <c r="X752" s="9"/>
      <c r="Y752" s="9"/>
      <c r="Z752" s="9"/>
      <c r="AA752" s="9"/>
      <c r="AB752" s="9"/>
      <c r="AC752" s="9"/>
      <c r="AD752" s="9"/>
    </row>
    <row r="753" spans="1:30" ht="43.5">
      <c r="A753" s="3" t="s">
        <v>3763</v>
      </c>
      <c r="B753" s="3" t="s">
        <v>9729</v>
      </c>
      <c r="C753" s="3" t="s">
        <v>9728</v>
      </c>
      <c r="G753" s="9" t="s">
        <v>24</v>
      </c>
      <c r="H753" s="9"/>
      <c r="I753" s="9">
        <v>1</v>
      </c>
      <c r="J753" s="9">
        <v>2</v>
      </c>
      <c r="K753" s="9" t="s">
        <v>12094</v>
      </c>
      <c r="L753" s="9" t="s">
        <v>12119</v>
      </c>
      <c r="M753" s="9"/>
      <c r="N753" s="10"/>
      <c r="O753" s="9"/>
      <c r="P753" s="9">
        <v>412</v>
      </c>
      <c r="Q753" s="9">
        <f t="shared" si="11"/>
        <v>49.507329968757517</v>
      </c>
      <c r="R753" s="9"/>
      <c r="S753" s="9" t="s">
        <v>12795</v>
      </c>
      <c r="T753" s="9" t="s">
        <v>12795</v>
      </c>
      <c r="U753" s="9" t="s">
        <v>4</v>
      </c>
      <c r="V753" s="9"/>
      <c r="W753" s="9"/>
      <c r="X753" s="9"/>
      <c r="Y753" s="9"/>
      <c r="Z753" s="9"/>
      <c r="AA753" s="9"/>
      <c r="AB753" s="9"/>
      <c r="AC753" s="9"/>
      <c r="AD753" s="9"/>
    </row>
    <row r="754" spans="1:30" ht="43.5">
      <c r="A754" s="3" t="s">
        <v>3765</v>
      </c>
      <c r="B754" s="11" t="s">
        <v>9733</v>
      </c>
      <c r="C754" s="11" t="s">
        <v>9732</v>
      </c>
      <c r="G754" s="9" t="s">
        <v>24</v>
      </c>
      <c r="H754" s="9"/>
      <c r="I754" s="9">
        <v>1</v>
      </c>
      <c r="J754" s="9">
        <v>4</v>
      </c>
      <c r="K754" s="9" t="s">
        <v>12099</v>
      </c>
      <c r="L754" s="9" t="s">
        <v>12079</v>
      </c>
      <c r="M754" s="9"/>
      <c r="N754" s="10"/>
      <c r="O754" s="9"/>
      <c r="P754" s="9">
        <v>101</v>
      </c>
      <c r="Q754" s="9">
        <f t="shared" si="11"/>
        <v>12.136505647680847</v>
      </c>
      <c r="R754" s="9"/>
      <c r="S754" s="9" t="s">
        <v>12795</v>
      </c>
      <c r="T754" s="9" t="s">
        <v>12795</v>
      </c>
      <c r="U754" s="9"/>
      <c r="V754" s="9"/>
      <c r="W754" s="9"/>
      <c r="X754" s="9"/>
      <c r="Y754" s="9"/>
      <c r="Z754" s="9"/>
      <c r="AA754" s="9"/>
      <c r="AB754" s="9"/>
      <c r="AC754" s="9"/>
      <c r="AD754" s="9"/>
    </row>
    <row r="755" spans="1:30" ht="43.5">
      <c r="A755" s="3" t="s">
        <v>3775</v>
      </c>
      <c r="B755" s="3" t="s">
        <v>9748</v>
      </c>
      <c r="C755" s="3" t="s">
        <v>9747</v>
      </c>
      <c r="G755" s="9" t="s">
        <v>24</v>
      </c>
      <c r="H755" s="9"/>
      <c r="I755" s="9">
        <v>1</v>
      </c>
      <c r="J755" s="9">
        <v>2</v>
      </c>
      <c r="K755" s="9" t="s">
        <v>12096</v>
      </c>
      <c r="L755" s="9" t="s">
        <v>12119</v>
      </c>
      <c r="M755" s="9"/>
      <c r="N755" s="10"/>
      <c r="O755" s="9" t="s">
        <v>12074</v>
      </c>
      <c r="P755" s="9">
        <v>1294</v>
      </c>
      <c r="Q755" s="9">
        <f t="shared" si="11"/>
        <v>155.49146839701996</v>
      </c>
      <c r="R755" s="9"/>
      <c r="S755" s="9" t="s">
        <v>12795</v>
      </c>
      <c r="T755" s="9" t="s">
        <v>12795</v>
      </c>
      <c r="U755" s="9"/>
      <c r="V755" s="9"/>
      <c r="W755" s="9"/>
      <c r="X755" s="9"/>
      <c r="Y755" s="9"/>
      <c r="Z755" s="9"/>
      <c r="AA755" s="9"/>
      <c r="AB755" s="9"/>
      <c r="AC755" s="9"/>
      <c r="AD755" s="9"/>
    </row>
    <row r="756" spans="1:30" ht="58">
      <c r="A756" s="3" t="s">
        <v>3782</v>
      </c>
      <c r="B756" s="3" t="s">
        <v>9765</v>
      </c>
      <c r="C756" s="3" t="s">
        <v>9764</v>
      </c>
      <c r="G756" s="9" t="s">
        <v>25</v>
      </c>
      <c r="H756" s="9"/>
      <c r="I756" s="9">
        <v>1</v>
      </c>
      <c r="J756" s="9">
        <v>5</v>
      </c>
      <c r="K756" s="9" t="s">
        <v>12094</v>
      </c>
      <c r="L756" s="9" t="s">
        <v>12073</v>
      </c>
      <c r="M756" s="9" t="s">
        <v>12142</v>
      </c>
      <c r="N756" s="10" t="s">
        <v>12143</v>
      </c>
      <c r="O756" s="9"/>
      <c r="P756" s="9">
        <v>4240</v>
      </c>
      <c r="Q756" s="9">
        <f t="shared" si="11"/>
        <v>509.49291035808699</v>
      </c>
      <c r="R756" s="9"/>
      <c r="S756" s="9" t="s">
        <v>12795</v>
      </c>
      <c r="T756" s="9" t="s">
        <v>12795</v>
      </c>
      <c r="U756" s="9"/>
      <c r="V756" s="9"/>
      <c r="W756" s="9"/>
      <c r="X756" s="9"/>
      <c r="Y756" s="9"/>
      <c r="Z756" s="9"/>
      <c r="AA756" s="9"/>
      <c r="AB756" s="9"/>
      <c r="AC756" s="9"/>
      <c r="AD756" s="9"/>
    </row>
    <row r="757" spans="1:30" ht="58">
      <c r="A757" s="3" t="s">
        <v>3788</v>
      </c>
      <c r="B757" s="3" t="s">
        <v>9772</v>
      </c>
      <c r="C757" s="3" t="s">
        <v>9773</v>
      </c>
      <c r="G757" s="9" t="s">
        <v>24</v>
      </c>
      <c r="H757" s="9"/>
      <c r="I757" s="9">
        <v>1</v>
      </c>
      <c r="J757" s="9">
        <v>3</v>
      </c>
      <c r="K757" s="9" t="s">
        <v>12087</v>
      </c>
      <c r="L757" s="9" t="s">
        <v>12079</v>
      </c>
      <c r="M757" s="9"/>
      <c r="N757" s="10"/>
      <c r="O757" s="9"/>
      <c r="P757" s="9">
        <v>5676</v>
      </c>
      <c r="Q757" s="9">
        <f t="shared" si="11"/>
        <v>682.04758471521268</v>
      </c>
      <c r="R757" s="9"/>
      <c r="S757" s="9" t="s">
        <v>12795</v>
      </c>
      <c r="T757" s="9" t="s">
        <v>12795</v>
      </c>
      <c r="U757" s="9"/>
      <c r="V757" s="9"/>
      <c r="W757" s="9"/>
      <c r="X757" s="9"/>
      <c r="Y757" s="9"/>
      <c r="Z757" s="9"/>
      <c r="AA757" s="9"/>
      <c r="AB757" s="9"/>
      <c r="AC757" s="9"/>
      <c r="AD757" s="9"/>
    </row>
    <row r="758" spans="1:30" ht="58">
      <c r="A758" s="3" t="s">
        <v>3799</v>
      </c>
      <c r="B758" s="3" t="s">
        <v>9802</v>
      </c>
      <c r="C758" s="3" t="s">
        <v>9801</v>
      </c>
      <c r="G758" s="9" t="s">
        <v>25</v>
      </c>
      <c r="H758" s="9"/>
      <c r="I758" s="9">
        <v>1</v>
      </c>
      <c r="J758" s="9">
        <v>3</v>
      </c>
      <c r="K758" s="9" t="s">
        <v>12092</v>
      </c>
      <c r="L758" s="9" t="s">
        <v>12079</v>
      </c>
      <c r="M758" s="9"/>
      <c r="N758" s="10"/>
      <c r="O758" s="9"/>
      <c r="P758" s="9">
        <v>79</v>
      </c>
      <c r="Q758" s="9">
        <f t="shared" si="11"/>
        <v>9.4929103580869985</v>
      </c>
      <c r="R758" s="9"/>
      <c r="S758" s="9" t="s">
        <v>12795</v>
      </c>
      <c r="T758" s="9" t="s">
        <v>12795</v>
      </c>
      <c r="U758" s="9"/>
      <c r="V758" s="9"/>
      <c r="W758" s="9"/>
      <c r="X758" s="9"/>
      <c r="Y758" s="9"/>
      <c r="Z758" s="9"/>
      <c r="AA758" s="9"/>
      <c r="AB758" s="9"/>
      <c r="AC758" s="9"/>
      <c r="AD758" s="9"/>
    </row>
    <row r="759" spans="1:30" ht="72.5">
      <c r="A759" s="3" t="s">
        <v>3805</v>
      </c>
      <c r="B759" s="3" t="s">
        <v>9808</v>
      </c>
      <c r="C759" s="3" t="s">
        <v>9807</v>
      </c>
      <c r="D759" t="s">
        <v>12</v>
      </c>
      <c r="G759" s="9" t="s">
        <v>25</v>
      </c>
      <c r="H759" s="9"/>
      <c r="I759" s="9">
        <v>2</v>
      </c>
      <c r="J759" s="9">
        <v>9</v>
      </c>
      <c r="K759" s="9"/>
      <c r="L759" s="9" t="s">
        <v>12079</v>
      </c>
      <c r="M759" s="9"/>
      <c r="N759" s="10"/>
      <c r="O759" s="9"/>
      <c r="P759" s="9">
        <v>17</v>
      </c>
      <c r="Q759" s="9">
        <f t="shared" si="11"/>
        <v>2.0427781783225187</v>
      </c>
      <c r="R759" s="9"/>
      <c r="S759" s="9" t="s">
        <v>12795</v>
      </c>
      <c r="T759" s="9" t="s">
        <v>12795</v>
      </c>
      <c r="U759" s="9"/>
      <c r="V759" s="9"/>
      <c r="W759" s="9"/>
      <c r="X759" s="9"/>
      <c r="Y759" s="9"/>
      <c r="Z759" s="9"/>
      <c r="AA759" s="9"/>
      <c r="AB759" s="9"/>
      <c r="AC759" s="9"/>
      <c r="AD759" s="9"/>
    </row>
    <row r="760" spans="1:30" ht="87">
      <c r="A760" s="3" t="s">
        <v>3820</v>
      </c>
      <c r="B760" s="3" t="s">
        <v>9842</v>
      </c>
      <c r="C760" s="3" t="s">
        <v>9843</v>
      </c>
      <c r="G760" s="9" t="s">
        <v>24</v>
      </c>
      <c r="H760" s="9"/>
      <c r="I760" s="9">
        <v>1</v>
      </c>
      <c r="J760" s="9">
        <v>2</v>
      </c>
      <c r="K760" s="9" t="s">
        <v>12087</v>
      </c>
      <c r="L760" s="9" t="s">
        <v>12119</v>
      </c>
      <c r="M760" s="9"/>
      <c r="N760" s="10"/>
      <c r="O760" s="9"/>
      <c r="P760" s="9">
        <v>166</v>
      </c>
      <c r="Q760" s="9">
        <f t="shared" si="11"/>
        <v>19.947128094208121</v>
      </c>
      <c r="R760" s="9"/>
      <c r="S760" s="9" t="s">
        <v>12795</v>
      </c>
      <c r="T760" s="9" t="s">
        <v>12795</v>
      </c>
      <c r="U760" s="9"/>
      <c r="V760" s="9"/>
      <c r="W760" s="9"/>
      <c r="X760" s="9"/>
      <c r="Y760" s="9"/>
      <c r="Z760" s="9"/>
      <c r="AA760" s="9"/>
      <c r="AB760" s="9"/>
      <c r="AC760" s="9"/>
      <c r="AD760" s="9"/>
    </row>
    <row r="761" spans="1:30" ht="43.5">
      <c r="A761" s="3" t="s">
        <v>3824</v>
      </c>
      <c r="B761" s="3" t="s">
        <v>9853</v>
      </c>
      <c r="C761" s="3" t="s">
        <v>9852</v>
      </c>
      <c r="G761" s="9" t="s">
        <v>25</v>
      </c>
      <c r="H761" s="9"/>
      <c r="I761" s="9">
        <v>1</v>
      </c>
      <c r="J761" s="9">
        <v>3</v>
      </c>
      <c r="K761" s="9" t="s">
        <v>12087</v>
      </c>
      <c r="L761" s="9" t="s">
        <v>12079</v>
      </c>
      <c r="M761" s="9"/>
      <c r="N761" s="10"/>
      <c r="O761" s="9"/>
      <c r="P761" s="9">
        <v>5676</v>
      </c>
      <c r="Q761" s="9">
        <f t="shared" si="11"/>
        <v>682.04758471521268</v>
      </c>
      <c r="R761" s="9"/>
      <c r="S761" s="9" t="s">
        <v>12795</v>
      </c>
      <c r="T761" s="9" t="s">
        <v>12795</v>
      </c>
      <c r="U761" s="9"/>
      <c r="V761" s="9"/>
      <c r="W761" s="9"/>
      <c r="X761" s="9"/>
      <c r="Y761" s="9"/>
      <c r="Z761" s="9"/>
      <c r="AA761" s="9"/>
      <c r="AB761" s="9"/>
      <c r="AC761" s="9"/>
      <c r="AD761" s="9"/>
    </row>
    <row r="762" spans="1:30" ht="101.5">
      <c r="A762" s="3" t="s">
        <v>3830</v>
      </c>
      <c r="B762" s="3" t="s">
        <v>12507</v>
      </c>
      <c r="C762" s="3" t="s">
        <v>12509</v>
      </c>
      <c r="G762" s="9" t="s">
        <v>24</v>
      </c>
      <c r="H762" s="9"/>
      <c r="I762" s="9">
        <v>1</v>
      </c>
      <c r="J762" s="9">
        <v>3</v>
      </c>
      <c r="K762" s="9" t="s">
        <v>12087</v>
      </c>
      <c r="L762" s="9" t="s">
        <v>12079</v>
      </c>
      <c r="M762" s="9"/>
      <c r="N762" s="10"/>
      <c r="O762" s="9"/>
      <c r="P762" s="9">
        <v>431</v>
      </c>
      <c r="Q762" s="9">
        <f t="shared" si="11"/>
        <v>51.790434991588562</v>
      </c>
      <c r="R762" s="9"/>
      <c r="S762" s="9" t="s">
        <v>12795</v>
      </c>
      <c r="T762" s="9" t="s">
        <v>12795</v>
      </c>
      <c r="U762" s="9"/>
      <c r="V762" s="9"/>
      <c r="W762" s="9"/>
      <c r="X762" s="9"/>
      <c r="Y762" s="9"/>
      <c r="Z762" s="9"/>
      <c r="AA762" s="9"/>
      <c r="AB762" s="9"/>
      <c r="AC762" s="9"/>
      <c r="AD762" s="9"/>
    </row>
    <row r="763" spans="1:30" ht="58">
      <c r="A763" s="3" t="s">
        <v>3831</v>
      </c>
      <c r="B763" s="3" t="s">
        <v>9871</v>
      </c>
      <c r="C763" s="3" t="s">
        <v>9870</v>
      </c>
      <c r="G763" s="9" t="s">
        <v>24</v>
      </c>
      <c r="H763" s="9"/>
      <c r="I763" s="9">
        <v>1</v>
      </c>
      <c r="J763" s="9">
        <v>4</v>
      </c>
      <c r="K763" s="9" t="s">
        <v>12092</v>
      </c>
      <c r="L763" s="9" t="s">
        <v>12079</v>
      </c>
      <c r="M763" s="9"/>
      <c r="N763" s="10"/>
      <c r="O763" s="9"/>
      <c r="P763" s="9">
        <v>1</v>
      </c>
      <c r="Q763" s="9">
        <f t="shared" si="11"/>
        <v>0.12016342225426581</v>
      </c>
      <c r="R763" s="9"/>
      <c r="S763" s="9" t="s">
        <v>12795</v>
      </c>
      <c r="T763" s="9" t="s">
        <v>12795</v>
      </c>
      <c r="U763" s="9"/>
      <c r="V763" s="9"/>
      <c r="W763" s="9"/>
      <c r="X763" s="9"/>
      <c r="Y763" s="9"/>
      <c r="Z763" s="9"/>
      <c r="AA763" s="9"/>
      <c r="AB763" s="9"/>
      <c r="AC763" s="9"/>
      <c r="AD763" s="9"/>
    </row>
    <row r="764" spans="1:30" ht="43.5">
      <c r="A764" s="3" t="s">
        <v>3832</v>
      </c>
      <c r="B764" s="3" t="s">
        <v>9872</v>
      </c>
      <c r="C764" s="3" t="s">
        <v>12512</v>
      </c>
      <c r="G764" s="9" t="s">
        <v>24</v>
      </c>
      <c r="H764" s="9"/>
      <c r="I764" s="9">
        <v>1</v>
      </c>
      <c r="J764" s="9">
        <v>1</v>
      </c>
      <c r="K764" s="9" t="s">
        <v>12078</v>
      </c>
      <c r="L764" s="9" t="s">
        <v>12119</v>
      </c>
      <c r="M764" s="9"/>
      <c r="N764" s="10"/>
      <c r="O764" s="9"/>
      <c r="P764" s="9">
        <v>11843</v>
      </c>
      <c r="Q764" s="9">
        <f t="shared" si="11"/>
        <v>1423.0954097572699</v>
      </c>
      <c r="R764" s="9"/>
      <c r="S764" s="9" t="s">
        <v>12795</v>
      </c>
      <c r="T764" s="9" t="s">
        <v>12795</v>
      </c>
      <c r="U764" s="9"/>
      <c r="V764" s="9"/>
      <c r="W764" s="9"/>
      <c r="X764" s="9"/>
      <c r="Y764" s="9"/>
      <c r="Z764" s="9"/>
      <c r="AA764" s="9"/>
      <c r="AB764" s="9"/>
      <c r="AC764" s="9"/>
      <c r="AD764" s="9"/>
    </row>
    <row r="765" spans="1:30" ht="43.5">
      <c r="A765" s="3" t="s">
        <v>3832</v>
      </c>
      <c r="B765" s="3" t="s">
        <v>9876</v>
      </c>
      <c r="C765" s="3" t="s">
        <v>9875</v>
      </c>
      <c r="G765" s="9" t="s">
        <v>24</v>
      </c>
      <c r="H765" s="9"/>
      <c r="I765" s="9">
        <v>1</v>
      </c>
      <c r="J765" s="9">
        <v>2</v>
      </c>
      <c r="K765" s="9" t="s">
        <v>12078</v>
      </c>
      <c r="L765" s="9" t="s">
        <v>12119</v>
      </c>
      <c r="M765" s="9"/>
      <c r="N765" s="10"/>
      <c r="O765" s="9" t="s">
        <v>12074</v>
      </c>
      <c r="P765" s="9">
        <v>11843</v>
      </c>
      <c r="Q765" s="9">
        <f t="shared" si="11"/>
        <v>1423.0954097572699</v>
      </c>
      <c r="R765" s="9"/>
      <c r="S765" s="9" t="s">
        <v>12795</v>
      </c>
      <c r="T765" s="9" t="s">
        <v>12795</v>
      </c>
      <c r="U765" s="9"/>
      <c r="V765" s="9"/>
      <c r="W765" s="9"/>
      <c r="X765" s="9"/>
      <c r="Y765" s="9"/>
      <c r="Z765" s="9"/>
      <c r="AA765" s="9"/>
      <c r="AB765" s="9"/>
      <c r="AC765" s="9"/>
      <c r="AD765" s="9"/>
    </row>
    <row r="766" spans="1:30" ht="29">
      <c r="A766" s="3" t="s">
        <v>3836</v>
      </c>
      <c r="B766" s="3" t="s">
        <v>9889</v>
      </c>
      <c r="C766" s="3" t="s">
        <v>9888</v>
      </c>
      <c r="G766" s="9" t="s">
        <v>24</v>
      </c>
      <c r="H766" s="9"/>
      <c r="I766" s="9">
        <v>1</v>
      </c>
      <c r="J766" s="9">
        <v>1</v>
      </c>
      <c r="K766" s="9" t="s">
        <v>12123</v>
      </c>
      <c r="L766" s="9" t="s">
        <v>12119</v>
      </c>
      <c r="M766" s="9"/>
      <c r="N766" s="10"/>
      <c r="O766" s="9"/>
      <c r="P766" s="9">
        <v>193</v>
      </c>
      <c r="Q766" s="9">
        <f t="shared" si="11"/>
        <v>23.191540495073301</v>
      </c>
      <c r="R766" s="9"/>
      <c r="S766" s="9" t="s">
        <v>12795</v>
      </c>
      <c r="T766" s="9" t="s">
        <v>12795</v>
      </c>
      <c r="U766" s="9"/>
      <c r="V766" s="9"/>
      <c r="W766" s="9"/>
      <c r="X766" s="9"/>
      <c r="Y766" s="9"/>
      <c r="Z766" s="9"/>
      <c r="AA766" s="9"/>
      <c r="AB766" s="9"/>
      <c r="AC766" s="9"/>
      <c r="AD766" s="9"/>
    </row>
    <row r="767" spans="1:30" ht="43.5">
      <c r="A767" s="3" t="s">
        <v>3842</v>
      </c>
      <c r="B767" s="3" t="s">
        <v>12931</v>
      </c>
      <c r="C767" s="3" t="s">
        <v>9900</v>
      </c>
      <c r="F767" t="s">
        <v>19</v>
      </c>
      <c r="G767" s="9" t="s">
        <v>24</v>
      </c>
      <c r="H767" s="9"/>
      <c r="I767" s="9">
        <v>1</v>
      </c>
      <c r="J767" s="9">
        <v>2</v>
      </c>
      <c r="K767" s="9" t="s">
        <v>12078</v>
      </c>
      <c r="L767" s="9" t="s">
        <v>12119</v>
      </c>
      <c r="M767" s="9"/>
      <c r="N767" s="10"/>
      <c r="O767" s="9"/>
      <c r="P767" s="9">
        <v>11843</v>
      </c>
      <c r="Q767" s="9">
        <f t="shared" si="11"/>
        <v>1423.0954097572699</v>
      </c>
      <c r="R767" s="9"/>
      <c r="S767" s="9" t="s">
        <v>12795</v>
      </c>
      <c r="T767" s="9" t="s">
        <v>12795</v>
      </c>
      <c r="U767" s="9"/>
      <c r="V767" s="9"/>
      <c r="W767" s="9"/>
      <c r="X767" s="9"/>
      <c r="Y767" s="9"/>
      <c r="Z767" s="9"/>
      <c r="AA767" s="9"/>
      <c r="AB767" s="9"/>
      <c r="AC767" s="9"/>
      <c r="AD767" s="9"/>
    </row>
    <row r="768" spans="1:30" ht="58">
      <c r="A768" s="3" t="s">
        <v>3846</v>
      </c>
      <c r="B768" s="3" t="s">
        <v>9908</v>
      </c>
      <c r="C768" s="3" t="s">
        <v>9907</v>
      </c>
      <c r="G768" s="9" t="s">
        <v>25</v>
      </c>
      <c r="H768" s="9"/>
      <c r="I768" s="9">
        <v>1</v>
      </c>
      <c r="J768" s="9">
        <v>2</v>
      </c>
      <c r="K768" s="9" t="s">
        <v>12125</v>
      </c>
      <c r="L768" s="9" t="s">
        <v>12079</v>
      </c>
      <c r="M768" s="9"/>
      <c r="N768" s="10"/>
      <c r="O768" s="9"/>
      <c r="P768" s="9">
        <v>4</v>
      </c>
      <c r="Q768" s="9">
        <f t="shared" si="11"/>
        <v>0.48065368901706323</v>
      </c>
      <c r="R768" s="9"/>
      <c r="S768" s="9" t="s">
        <v>12795</v>
      </c>
      <c r="T768" s="9" t="s">
        <v>12795</v>
      </c>
      <c r="U768" s="9"/>
      <c r="V768" s="9"/>
      <c r="W768" s="9"/>
      <c r="X768" s="9"/>
      <c r="Y768" s="9"/>
      <c r="Z768" s="9"/>
      <c r="AA768" s="9"/>
      <c r="AB768" s="9"/>
      <c r="AC768" s="9"/>
      <c r="AD768" s="9"/>
    </row>
    <row r="769" spans="1:30" ht="58">
      <c r="A769" s="3" t="s">
        <v>3859</v>
      </c>
      <c r="B769" s="3" t="s">
        <v>9946</v>
      </c>
      <c r="C769" s="3" t="s">
        <v>9945</v>
      </c>
      <c r="G769" s="9" t="s">
        <v>25</v>
      </c>
      <c r="H769" s="9"/>
      <c r="I769" s="9">
        <v>1</v>
      </c>
      <c r="J769" s="9">
        <v>3</v>
      </c>
      <c r="K769" s="9" t="s">
        <v>12087</v>
      </c>
      <c r="L769" s="9" t="s">
        <v>12079</v>
      </c>
      <c r="M769" s="9"/>
      <c r="N769" s="10"/>
      <c r="O769" s="9"/>
      <c r="P769" s="9">
        <v>356</v>
      </c>
      <c r="Q769" s="9">
        <f t="shared" ref="Q769:Q832" si="12">IF(ISNUMBER(P769), (P769/$F$988)*10000, "")</f>
        <v>42.778178322518627</v>
      </c>
      <c r="R769" s="9"/>
      <c r="S769" s="9" t="s">
        <v>12795</v>
      </c>
      <c r="T769" s="9" t="s">
        <v>12795</v>
      </c>
      <c r="U769" s="9"/>
      <c r="V769" s="9"/>
      <c r="W769" s="9"/>
      <c r="X769" s="9"/>
      <c r="Y769" s="9"/>
      <c r="Z769" s="9"/>
      <c r="AA769" s="9"/>
      <c r="AB769" s="9"/>
      <c r="AC769" s="9"/>
      <c r="AD769" s="9"/>
    </row>
    <row r="770" spans="1:30" ht="130.5">
      <c r="A770" s="3" t="s">
        <v>3860</v>
      </c>
      <c r="B770" s="3" t="s">
        <v>9954</v>
      </c>
      <c r="C770" s="3" t="s">
        <v>9953</v>
      </c>
      <c r="G770" s="9" t="s">
        <v>25</v>
      </c>
      <c r="H770" s="9"/>
      <c r="I770" s="9">
        <v>5</v>
      </c>
      <c r="J770" s="9">
        <v>26</v>
      </c>
      <c r="K770" s="9"/>
      <c r="L770" s="9" t="s">
        <v>12079</v>
      </c>
      <c r="M770" s="9"/>
      <c r="N770" s="10"/>
      <c r="O770" s="9"/>
      <c r="P770" s="9">
        <v>23</v>
      </c>
      <c r="Q770" s="9">
        <f t="shared" si="12"/>
        <v>2.7637587118481135</v>
      </c>
      <c r="R770" s="9"/>
      <c r="S770" s="9" t="s">
        <v>12795</v>
      </c>
      <c r="T770" s="9" t="s">
        <v>12795</v>
      </c>
      <c r="U770" s="9"/>
      <c r="V770" s="9"/>
      <c r="W770" s="9"/>
      <c r="X770" s="9"/>
      <c r="Y770" s="9"/>
      <c r="Z770" s="9"/>
      <c r="AA770" s="9"/>
      <c r="AB770" s="9"/>
      <c r="AC770" s="9"/>
      <c r="AD770" s="9"/>
    </row>
    <row r="771" spans="1:30" ht="87">
      <c r="A771" s="3" t="s">
        <v>3860</v>
      </c>
      <c r="B771" s="3" t="s">
        <v>9958</v>
      </c>
      <c r="C771" s="3" t="s">
        <v>9957</v>
      </c>
      <c r="G771" s="9" t="s">
        <v>25</v>
      </c>
      <c r="H771" s="9"/>
      <c r="I771" s="9">
        <v>4</v>
      </c>
      <c r="J771" s="9">
        <v>15</v>
      </c>
      <c r="K771" s="9"/>
      <c r="L771" s="9" t="s">
        <v>12079</v>
      </c>
      <c r="M771" s="9"/>
      <c r="N771" s="10"/>
      <c r="O771" s="9"/>
      <c r="P771" s="9">
        <v>301</v>
      </c>
      <c r="Q771" s="9">
        <f t="shared" si="12"/>
        <v>36.16919009853401</v>
      </c>
      <c r="R771" s="9"/>
      <c r="S771" s="9" t="s">
        <v>12795</v>
      </c>
      <c r="T771" s="9" t="s">
        <v>12795</v>
      </c>
      <c r="U771" s="9"/>
      <c r="V771" s="9"/>
      <c r="W771" s="9"/>
      <c r="X771" s="9"/>
      <c r="Y771" s="9"/>
      <c r="Z771" s="9"/>
      <c r="AA771" s="9"/>
      <c r="AB771" s="9"/>
      <c r="AC771" s="9"/>
      <c r="AD771" s="9"/>
    </row>
    <row r="772" spans="1:30" ht="87">
      <c r="A772" s="3" t="s">
        <v>3860</v>
      </c>
      <c r="B772" s="3" t="s">
        <v>9964</v>
      </c>
      <c r="C772" s="3" t="s">
        <v>9963</v>
      </c>
      <c r="G772" s="9" t="s">
        <v>25</v>
      </c>
      <c r="H772" s="9"/>
      <c r="I772" s="9">
        <v>2</v>
      </c>
      <c r="J772" s="9">
        <v>15</v>
      </c>
      <c r="K772" s="9"/>
      <c r="L772" s="9" t="s">
        <v>12079</v>
      </c>
      <c r="M772" s="9"/>
      <c r="N772" s="10"/>
      <c r="O772" s="9"/>
      <c r="P772" s="9">
        <v>6</v>
      </c>
      <c r="Q772" s="9">
        <f t="shared" si="12"/>
        <v>0.72098053352559488</v>
      </c>
      <c r="R772" s="9"/>
      <c r="S772" s="9" t="s">
        <v>12795</v>
      </c>
      <c r="T772" s="9" t="s">
        <v>12795</v>
      </c>
      <c r="U772" s="9"/>
      <c r="V772" s="9"/>
      <c r="W772" s="9"/>
      <c r="X772" s="9"/>
      <c r="Y772" s="9"/>
      <c r="Z772" s="9"/>
      <c r="AA772" s="9"/>
      <c r="AB772" s="9"/>
      <c r="AC772" s="9"/>
      <c r="AD772" s="9"/>
    </row>
    <row r="773" spans="1:30" ht="43.5">
      <c r="A773" s="3" t="s">
        <v>3870</v>
      </c>
      <c r="B773" s="3" t="s">
        <v>9970</v>
      </c>
      <c r="C773" s="3" t="s">
        <v>9969</v>
      </c>
      <c r="G773" s="9" t="s">
        <v>25</v>
      </c>
      <c r="H773" s="9"/>
      <c r="I773" s="9">
        <v>1</v>
      </c>
      <c r="J773" s="9">
        <v>3</v>
      </c>
      <c r="K773" s="9" t="s">
        <v>12087</v>
      </c>
      <c r="L773" s="9" t="s">
        <v>12079</v>
      </c>
      <c r="M773" s="9"/>
      <c r="N773" s="10"/>
      <c r="O773" s="9"/>
      <c r="P773" s="9">
        <v>5676</v>
      </c>
      <c r="Q773" s="9">
        <f t="shared" si="12"/>
        <v>682.04758471521268</v>
      </c>
      <c r="R773" s="9"/>
      <c r="S773" s="9" t="s">
        <v>12795</v>
      </c>
      <c r="T773" s="9" t="s">
        <v>12795</v>
      </c>
      <c r="U773" s="9"/>
      <c r="V773" s="9"/>
      <c r="W773" s="9"/>
      <c r="X773" s="9"/>
      <c r="Y773" s="9"/>
      <c r="Z773" s="9"/>
      <c r="AA773" s="9"/>
      <c r="AB773" s="9"/>
      <c r="AC773" s="9"/>
      <c r="AD773" s="9"/>
    </row>
    <row r="774" spans="1:30" ht="58">
      <c r="A774" s="3" t="s">
        <v>3874</v>
      </c>
      <c r="B774" s="3" t="s">
        <v>9975</v>
      </c>
      <c r="C774" s="3" t="s">
        <v>9976</v>
      </c>
      <c r="G774" s="9" t="s">
        <v>25</v>
      </c>
      <c r="H774" s="9"/>
      <c r="I774" s="9">
        <v>1</v>
      </c>
      <c r="J774" s="9">
        <v>4</v>
      </c>
      <c r="K774" s="9" t="s">
        <v>12094</v>
      </c>
      <c r="L774" s="9" t="s">
        <v>12079</v>
      </c>
      <c r="M774" s="9"/>
      <c r="N774" s="10"/>
      <c r="O774" s="9"/>
      <c r="P774" s="9">
        <v>4240</v>
      </c>
      <c r="Q774" s="9">
        <f t="shared" si="12"/>
        <v>509.49291035808699</v>
      </c>
      <c r="R774" s="9"/>
      <c r="S774" s="9" t="s">
        <v>12795</v>
      </c>
      <c r="T774" s="9" t="s">
        <v>12795</v>
      </c>
      <c r="U774" s="9"/>
      <c r="V774" s="9"/>
      <c r="W774" s="9"/>
      <c r="X774" s="9"/>
      <c r="Y774" s="9"/>
      <c r="Z774" s="9"/>
      <c r="AA774" s="9"/>
      <c r="AB774" s="9"/>
      <c r="AC774" s="9"/>
      <c r="AD774" s="9"/>
    </row>
    <row r="775" spans="1:30" ht="101.5">
      <c r="A775" s="3" t="s">
        <v>3883</v>
      </c>
      <c r="B775" s="3" t="s">
        <v>9998</v>
      </c>
      <c r="C775" s="3" t="s">
        <v>9997</v>
      </c>
      <c r="G775" s="9" t="s">
        <v>25</v>
      </c>
      <c r="H775" s="9"/>
      <c r="I775" s="9">
        <v>5</v>
      </c>
      <c r="J775" s="9">
        <v>31</v>
      </c>
      <c r="K775" s="9"/>
      <c r="L775" s="9" t="s">
        <v>12079</v>
      </c>
      <c r="M775" s="9"/>
      <c r="N775" s="10"/>
      <c r="O775" s="9"/>
      <c r="P775" s="9"/>
      <c r="Q775" s="9" t="str">
        <f t="shared" si="12"/>
        <v/>
      </c>
      <c r="R775" s="9"/>
      <c r="S775" s="9" t="s">
        <v>12795</v>
      </c>
      <c r="T775" s="9" t="s">
        <v>12795</v>
      </c>
      <c r="U775" s="9"/>
      <c r="V775" s="9"/>
      <c r="W775" s="9"/>
      <c r="X775" s="9"/>
      <c r="Y775" s="9"/>
      <c r="Z775" s="9"/>
      <c r="AA775" s="9"/>
      <c r="AB775" s="9"/>
      <c r="AC775" s="9"/>
      <c r="AD775" s="9"/>
    </row>
    <row r="776" spans="1:30" ht="87">
      <c r="A776" s="3" t="s">
        <v>3885</v>
      </c>
      <c r="B776" s="3" t="s">
        <v>10006</v>
      </c>
      <c r="C776" s="3" t="s">
        <v>10005</v>
      </c>
      <c r="G776" s="9" t="s">
        <v>25</v>
      </c>
      <c r="H776" s="9"/>
      <c r="I776" s="9">
        <v>2</v>
      </c>
      <c r="J776" s="9">
        <v>10</v>
      </c>
      <c r="K776" s="9"/>
      <c r="L776" s="9" t="s">
        <v>12079</v>
      </c>
      <c r="M776" s="9"/>
      <c r="N776" s="10"/>
      <c r="O776" s="9"/>
      <c r="P776" s="9">
        <v>12</v>
      </c>
      <c r="Q776" s="9">
        <f t="shared" si="12"/>
        <v>1.4419610670511898</v>
      </c>
      <c r="R776" s="9"/>
      <c r="S776" s="9" t="s">
        <v>12795</v>
      </c>
      <c r="T776" s="9" t="s">
        <v>12795</v>
      </c>
      <c r="U776" s="9"/>
      <c r="V776" s="9"/>
      <c r="W776" s="9"/>
      <c r="X776" s="9"/>
      <c r="Y776" s="9"/>
      <c r="Z776" s="9"/>
      <c r="AA776" s="9"/>
      <c r="AB776" s="9"/>
      <c r="AC776" s="9"/>
      <c r="AD776" s="9"/>
    </row>
    <row r="777" spans="1:30" ht="29">
      <c r="A777" s="3" t="s">
        <v>3888</v>
      </c>
      <c r="B777" s="3" t="s">
        <v>10017</v>
      </c>
      <c r="C777" s="3" t="s">
        <v>10016</v>
      </c>
      <c r="G777" s="9" t="s">
        <v>24</v>
      </c>
      <c r="H777" s="9"/>
      <c r="I777" s="9">
        <v>1</v>
      </c>
      <c r="J777" s="9">
        <v>3</v>
      </c>
      <c r="K777" s="9" t="s">
        <v>12094</v>
      </c>
      <c r="L777" s="9" t="s">
        <v>12079</v>
      </c>
      <c r="M777" s="9"/>
      <c r="N777" s="10"/>
      <c r="O777" s="9"/>
      <c r="P777" s="9">
        <v>1741</v>
      </c>
      <c r="Q777" s="9">
        <f t="shared" si="12"/>
        <v>209.20451814467677</v>
      </c>
      <c r="R777" s="9"/>
      <c r="S777" s="9" t="s">
        <v>12795</v>
      </c>
      <c r="T777" s="9" t="s">
        <v>12795</v>
      </c>
      <c r="U777" s="9"/>
      <c r="V777" s="9"/>
      <c r="W777" s="9"/>
      <c r="X777" s="9"/>
      <c r="Y777" s="9"/>
      <c r="Z777" s="9"/>
      <c r="AA777" s="9"/>
      <c r="AB777" s="9"/>
      <c r="AC777" s="9"/>
      <c r="AD777" s="9"/>
    </row>
    <row r="778" spans="1:30" ht="72.5">
      <c r="A778" s="3" t="s">
        <v>3888</v>
      </c>
      <c r="B778" s="3" t="s">
        <v>10018</v>
      </c>
      <c r="C778" s="3" t="s">
        <v>10019</v>
      </c>
      <c r="F778" t="s">
        <v>19</v>
      </c>
      <c r="G778" s="9" t="s">
        <v>24</v>
      </c>
      <c r="H778" s="9"/>
      <c r="I778" s="9">
        <v>2</v>
      </c>
      <c r="J778" s="9">
        <v>9</v>
      </c>
      <c r="K778" s="9"/>
      <c r="L778" s="9" t="s">
        <v>12073</v>
      </c>
      <c r="M778" s="9" t="s">
        <v>12135</v>
      </c>
      <c r="N778" s="10" t="s">
        <v>12136</v>
      </c>
      <c r="O778" s="9"/>
      <c r="P778" s="9">
        <v>111</v>
      </c>
      <c r="Q778" s="9">
        <f t="shared" si="12"/>
        <v>13.338139870223504</v>
      </c>
      <c r="R778" s="9"/>
      <c r="S778" s="9" t="s">
        <v>12795</v>
      </c>
      <c r="T778" s="9" t="s">
        <v>12795</v>
      </c>
      <c r="U778" s="9"/>
      <c r="V778" s="9"/>
      <c r="W778" s="9"/>
      <c r="X778" s="9"/>
      <c r="Y778" s="9"/>
      <c r="Z778" s="9"/>
      <c r="AA778" s="9"/>
      <c r="AB778" s="9"/>
      <c r="AC778" s="9"/>
      <c r="AD778" s="9"/>
    </row>
    <row r="779" spans="1:30" ht="72.5">
      <c r="A779" s="3" t="s">
        <v>3889</v>
      </c>
      <c r="B779" s="3" t="s">
        <v>10021</v>
      </c>
      <c r="C779" s="3" t="s">
        <v>10020</v>
      </c>
      <c r="G779" s="9" t="s">
        <v>25</v>
      </c>
      <c r="H779" s="9"/>
      <c r="I779" s="9">
        <v>1</v>
      </c>
      <c r="J779" s="9">
        <v>10</v>
      </c>
      <c r="K779" s="9" t="s">
        <v>12098</v>
      </c>
      <c r="L779" s="9" t="s">
        <v>12079</v>
      </c>
      <c r="M779" s="9"/>
      <c r="N779" s="10"/>
      <c r="O779" s="9"/>
      <c r="P779" s="9">
        <v>36</v>
      </c>
      <c r="Q779" s="9">
        <f t="shared" si="12"/>
        <v>4.3258832011535686</v>
      </c>
      <c r="R779" s="9"/>
      <c r="S779" s="9" t="s">
        <v>12795</v>
      </c>
      <c r="T779" s="9" t="s">
        <v>12795</v>
      </c>
      <c r="U779" s="9"/>
      <c r="V779" s="9"/>
      <c r="W779" s="9"/>
      <c r="X779" s="9"/>
      <c r="Y779" s="9"/>
      <c r="Z779" s="9"/>
      <c r="AA779" s="9"/>
      <c r="AB779" s="9"/>
      <c r="AC779" s="9"/>
      <c r="AD779" s="9"/>
    </row>
    <row r="780" spans="1:30" ht="130.5">
      <c r="A780" s="3" t="s">
        <v>3894</v>
      </c>
      <c r="B780" s="3" t="s">
        <v>10029</v>
      </c>
      <c r="C780" s="3" t="s">
        <v>10024</v>
      </c>
      <c r="G780" s="9" t="s">
        <v>25</v>
      </c>
      <c r="H780" s="9"/>
      <c r="I780" s="9">
        <v>1</v>
      </c>
      <c r="J780" s="9">
        <v>8</v>
      </c>
      <c r="K780" s="9" t="s">
        <v>12072</v>
      </c>
      <c r="L780" s="9" t="s">
        <v>12073</v>
      </c>
      <c r="M780" s="9" t="s">
        <v>12149</v>
      </c>
      <c r="N780" s="10" t="s">
        <v>12143</v>
      </c>
      <c r="O780" s="9"/>
      <c r="P780" s="9">
        <v>1</v>
      </c>
      <c r="Q780" s="9">
        <f t="shared" si="12"/>
        <v>0.12016342225426581</v>
      </c>
      <c r="R780" s="9"/>
      <c r="S780" s="9" t="s">
        <v>12795</v>
      </c>
      <c r="T780" s="9" t="s">
        <v>12795</v>
      </c>
      <c r="U780" s="9"/>
      <c r="V780" s="9"/>
      <c r="W780" s="9"/>
      <c r="X780" s="9"/>
      <c r="Y780" s="9"/>
      <c r="Z780" s="9"/>
      <c r="AA780" s="9"/>
      <c r="AB780" s="9"/>
      <c r="AC780" s="9"/>
      <c r="AD780" s="9"/>
    </row>
    <row r="781" spans="1:30" ht="43.5">
      <c r="A781" s="3" t="s">
        <v>3897</v>
      </c>
      <c r="B781" s="3" t="s">
        <v>10033</v>
      </c>
      <c r="C781" s="3" t="s">
        <v>10034</v>
      </c>
      <c r="G781" s="9" t="s">
        <v>24</v>
      </c>
      <c r="H781" s="9"/>
      <c r="I781" s="9">
        <v>2</v>
      </c>
      <c r="J781" s="9">
        <v>5</v>
      </c>
      <c r="K781" s="9"/>
      <c r="L781" s="9" t="s">
        <v>12073</v>
      </c>
      <c r="M781" s="9" t="s">
        <v>12142</v>
      </c>
      <c r="N781" s="10" t="s">
        <v>12170</v>
      </c>
      <c r="O781" s="9" t="s">
        <v>12074</v>
      </c>
      <c r="P781" s="9">
        <v>472</v>
      </c>
      <c r="Q781" s="9">
        <f t="shared" si="12"/>
        <v>56.71713530401346</v>
      </c>
      <c r="R781" s="9"/>
      <c r="S781" s="9" t="s">
        <v>12795</v>
      </c>
      <c r="T781" s="9" t="s">
        <v>12795</v>
      </c>
      <c r="U781" s="9"/>
      <c r="V781" s="9"/>
      <c r="W781" s="9"/>
      <c r="X781" s="9"/>
      <c r="Y781" s="9"/>
      <c r="Z781" s="9"/>
      <c r="AA781" s="9"/>
      <c r="AB781" s="9"/>
      <c r="AC781" s="9"/>
      <c r="AD781" s="9"/>
    </row>
    <row r="782" spans="1:30" ht="29">
      <c r="A782" s="3" t="s">
        <v>3897</v>
      </c>
      <c r="B782" s="3" t="s">
        <v>12934</v>
      </c>
      <c r="C782" s="3" t="s">
        <v>10035</v>
      </c>
      <c r="G782" s="9" t="s">
        <v>25</v>
      </c>
      <c r="H782" s="9"/>
      <c r="I782" s="9">
        <v>1</v>
      </c>
      <c r="J782" s="9">
        <v>2</v>
      </c>
      <c r="K782" s="9" t="s">
        <v>12092</v>
      </c>
      <c r="L782" s="9" t="s">
        <v>12119</v>
      </c>
      <c r="M782" s="9"/>
      <c r="N782" s="10"/>
      <c r="O782" s="9"/>
      <c r="P782" s="9">
        <v>472</v>
      </c>
      <c r="Q782" s="9">
        <f t="shared" si="12"/>
        <v>56.71713530401346</v>
      </c>
      <c r="R782" s="9"/>
      <c r="S782" s="9" t="s">
        <v>12795</v>
      </c>
      <c r="T782" s="9" t="s">
        <v>12795</v>
      </c>
      <c r="U782" s="9"/>
      <c r="V782" s="9"/>
      <c r="W782" s="9"/>
      <c r="X782" s="9"/>
      <c r="Y782" s="9"/>
      <c r="Z782" s="9"/>
      <c r="AA782" s="9"/>
      <c r="AB782" s="9"/>
      <c r="AC782" s="9"/>
      <c r="AD782" s="9"/>
    </row>
    <row r="783" spans="1:30" ht="43.5">
      <c r="A783" s="3" t="s">
        <v>3903</v>
      </c>
      <c r="B783" s="3" t="s">
        <v>10048</v>
      </c>
      <c r="C783" s="3" t="s">
        <v>10049</v>
      </c>
      <c r="G783" s="9" t="s">
        <v>25</v>
      </c>
      <c r="H783" s="9"/>
      <c r="I783" s="9">
        <v>1</v>
      </c>
      <c r="J783" s="9">
        <v>6</v>
      </c>
      <c r="K783" s="9" t="s">
        <v>12092</v>
      </c>
      <c r="L783" s="9" t="s">
        <v>12073</v>
      </c>
      <c r="M783" s="9" t="s">
        <v>12149</v>
      </c>
      <c r="N783" s="10" t="s">
        <v>12143</v>
      </c>
      <c r="O783" s="9"/>
      <c r="P783" s="9">
        <v>147</v>
      </c>
      <c r="Q783" s="9">
        <f t="shared" si="12"/>
        <v>17.664023071377073</v>
      </c>
      <c r="R783" s="9"/>
      <c r="S783" s="9" t="s">
        <v>12795</v>
      </c>
      <c r="T783" s="9" t="s">
        <v>12795</v>
      </c>
      <c r="U783" s="9"/>
      <c r="V783" s="9"/>
      <c r="W783" s="9"/>
      <c r="X783" s="9"/>
      <c r="Y783" s="9"/>
      <c r="Z783" s="9"/>
      <c r="AA783" s="9"/>
      <c r="AB783" s="9"/>
      <c r="AC783" s="9"/>
      <c r="AD783" s="9"/>
    </row>
    <row r="784" spans="1:30" ht="58">
      <c r="A784" s="3" t="s">
        <v>3903</v>
      </c>
      <c r="B784" s="3" t="s">
        <v>10053</v>
      </c>
      <c r="C784" s="3" t="s">
        <v>10051</v>
      </c>
      <c r="G784" s="9" t="s">
        <v>25</v>
      </c>
      <c r="H784" s="9"/>
      <c r="I784" s="9">
        <v>1</v>
      </c>
      <c r="J784" s="9">
        <v>5</v>
      </c>
      <c r="K784" s="9" t="s">
        <v>12084</v>
      </c>
      <c r="L784" s="9" t="s">
        <v>12079</v>
      </c>
      <c r="M784" s="9"/>
      <c r="N784" s="10"/>
      <c r="O784" s="9"/>
      <c r="P784" s="9">
        <v>17</v>
      </c>
      <c r="Q784" s="9">
        <f t="shared" si="12"/>
        <v>2.0427781783225187</v>
      </c>
      <c r="R784" s="9"/>
      <c r="S784" s="9" t="s">
        <v>12795</v>
      </c>
      <c r="T784" s="9" t="s">
        <v>12795</v>
      </c>
      <c r="U784" s="9"/>
      <c r="V784" s="9"/>
      <c r="W784" s="9"/>
      <c r="X784" s="9"/>
      <c r="Y784" s="9"/>
      <c r="Z784" s="9"/>
      <c r="AA784" s="9"/>
      <c r="AB784" s="9"/>
      <c r="AC784" s="9"/>
      <c r="AD784" s="9"/>
    </row>
    <row r="785" spans="1:30" ht="43.5">
      <c r="A785" s="3" t="s">
        <v>3928</v>
      </c>
      <c r="B785" s="3" t="s">
        <v>12720</v>
      </c>
      <c r="C785" s="3" t="s">
        <v>12723</v>
      </c>
      <c r="G785" s="9" t="s">
        <v>24</v>
      </c>
      <c r="H785" s="9"/>
      <c r="I785" s="9">
        <v>1</v>
      </c>
      <c r="J785" s="9">
        <v>2</v>
      </c>
      <c r="K785" s="9" t="s">
        <v>12087</v>
      </c>
      <c r="L785" s="9" t="s">
        <v>12119</v>
      </c>
      <c r="M785" s="9"/>
      <c r="N785" s="10"/>
      <c r="O785" s="9"/>
      <c r="P785" s="9">
        <v>1966</v>
      </c>
      <c r="Q785" s="9">
        <f t="shared" si="12"/>
        <v>236.24128815188658</v>
      </c>
      <c r="R785" s="9"/>
      <c r="S785" s="9" t="s">
        <v>12795</v>
      </c>
      <c r="T785" s="9" t="s">
        <v>12795</v>
      </c>
      <c r="U785" s="9"/>
      <c r="V785" s="9"/>
      <c r="W785" s="9"/>
      <c r="X785" s="9"/>
      <c r="Y785" s="9"/>
      <c r="Z785" s="9"/>
      <c r="AA785" s="9"/>
      <c r="AB785" s="9"/>
      <c r="AC785" s="9"/>
      <c r="AD785" s="9"/>
    </row>
    <row r="786" spans="1:30" ht="87">
      <c r="A786" s="3" t="s">
        <v>3933</v>
      </c>
      <c r="B786" s="3" t="s">
        <v>10113</v>
      </c>
      <c r="C786" s="3" t="s">
        <v>10115</v>
      </c>
      <c r="G786" s="9" t="s">
        <v>24</v>
      </c>
      <c r="H786" s="9"/>
      <c r="I786" s="9">
        <v>1</v>
      </c>
      <c r="J786" s="9">
        <v>6</v>
      </c>
      <c r="K786" s="9" t="s">
        <v>12125</v>
      </c>
      <c r="L786" s="9" t="s">
        <v>12073</v>
      </c>
      <c r="M786" s="9" t="s">
        <v>12149</v>
      </c>
      <c r="N786" s="10" t="s">
        <v>12158</v>
      </c>
      <c r="O786" s="9" t="s">
        <v>12074</v>
      </c>
      <c r="P786" s="9">
        <v>1</v>
      </c>
      <c r="Q786" s="9">
        <f t="shared" si="12"/>
        <v>0.12016342225426581</v>
      </c>
      <c r="R786" s="9"/>
      <c r="S786" s="9" t="s">
        <v>12795</v>
      </c>
      <c r="T786" s="9" t="s">
        <v>12795</v>
      </c>
      <c r="U786" s="9"/>
      <c r="V786" s="9"/>
      <c r="W786" s="9"/>
      <c r="X786" s="9"/>
      <c r="Y786" s="9"/>
      <c r="Z786" s="9"/>
      <c r="AA786" s="9"/>
      <c r="AB786" s="9"/>
      <c r="AC786" s="9"/>
      <c r="AD786" s="9"/>
    </row>
    <row r="787" spans="1:30" ht="87">
      <c r="A787" s="3" t="s">
        <v>3933</v>
      </c>
      <c r="B787" s="3" t="s">
        <v>10118</v>
      </c>
      <c r="C787" s="3" t="s">
        <v>10114</v>
      </c>
      <c r="G787" s="9" t="s">
        <v>25</v>
      </c>
      <c r="H787" s="9"/>
      <c r="I787" s="9">
        <v>1</v>
      </c>
      <c r="J787" s="9">
        <v>3</v>
      </c>
      <c r="K787" s="9" t="s">
        <v>12087</v>
      </c>
      <c r="L787" s="9" t="s">
        <v>12079</v>
      </c>
      <c r="M787" s="9"/>
      <c r="N787" s="10"/>
      <c r="O787" s="9"/>
      <c r="P787" s="9">
        <v>356</v>
      </c>
      <c r="Q787" s="9">
        <f t="shared" si="12"/>
        <v>42.778178322518627</v>
      </c>
      <c r="R787" s="9"/>
      <c r="S787" s="9" t="s">
        <v>12795</v>
      </c>
      <c r="T787" s="9" t="s">
        <v>12795</v>
      </c>
      <c r="U787" s="9"/>
      <c r="V787" s="9"/>
      <c r="W787" s="9"/>
      <c r="X787" s="9"/>
      <c r="Y787" s="9"/>
      <c r="Z787" s="9"/>
      <c r="AA787" s="9"/>
      <c r="AB787" s="9"/>
      <c r="AC787" s="9"/>
      <c r="AD787" s="9"/>
    </row>
    <row r="788" spans="1:30" ht="116">
      <c r="A788" s="3" t="s">
        <v>3936</v>
      </c>
      <c r="B788" s="3" t="s">
        <v>10122</v>
      </c>
      <c r="C788" s="3" t="s">
        <v>10125</v>
      </c>
      <c r="G788" s="9" t="s">
        <v>24</v>
      </c>
      <c r="H788" s="9"/>
      <c r="I788" s="9">
        <v>1</v>
      </c>
      <c r="J788" s="9">
        <v>6</v>
      </c>
      <c r="K788" s="9" t="s">
        <v>12094</v>
      </c>
      <c r="L788" s="9" t="s">
        <v>12073</v>
      </c>
      <c r="M788" s="9" t="s">
        <v>12203</v>
      </c>
      <c r="N788" s="10" t="s">
        <v>12204</v>
      </c>
      <c r="O788" s="9"/>
      <c r="P788" s="9">
        <v>4240</v>
      </c>
      <c r="Q788" s="9">
        <f t="shared" si="12"/>
        <v>509.49291035808699</v>
      </c>
      <c r="R788" s="9"/>
      <c r="S788" s="9" t="s">
        <v>12795</v>
      </c>
      <c r="T788" s="9" t="s">
        <v>12795</v>
      </c>
      <c r="U788" s="9"/>
      <c r="V788" s="9"/>
      <c r="W788" s="9"/>
      <c r="X788" s="9"/>
      <c r="Y788" s="9"/>
      <c r="Z788" s="9"/>
      <c r="AA788" s="9"/>
      <c r="AB788" s="9"/>
      <c r="AC788" s="9"/>
      <c r="AD788" s="9"/>
    </row>
    <row r="789" spans="1:30" ht="116">
      <c r="A789" s="3" t="s">
        <v>3936</v>
      </c>
      <c r="B789" s="3" t="s">
        <v>10126</v>
      </c>
      <c r="C789" s="3" t="s">
        <v>10121</v>
      </c>
      <c r="G789" s="9" t="s">
        <v>25</v>
      </c>
      <c r="H789" s="9"/>
      <c r="I789" s="9">
        <v>1</v>
      </c>
      <c r="J789" s="9">
        <v>4</v>
      </c>
      <c r="K789" s="9" t="s">
        <v>12096</v>
      </c>
      <c r="L789" s="9" t="s">
        <v>12079</v>
      </c>
      <c r="M789" s="9"/>
      <c r="N789" s="10"/>
      <c r="O789" s="9"/>
      <c r="P789" s="9">
        <v>207</v>
      </c>
      <c r="Q789" s="9">
        <f t="shared" si="12"/>
        <v>24.873828406633024</v>
      </c>
      <c r="R789" s="9"/>
      <c r="S789" s="9" t="s">
        <v>12795</v>
      </c>
      <c r="T789" s="9" t="s">
        <v>12795</v>
      </c>
      <c r="U789" s="9"/>
      <c r="V789" s="9"/>
      <c r="W789" s="9"/>
      <c r="X789" s="9"/>
      <c r="Y789" s="9"/>
      <c r="Z789" s="9"/>
      <c r="AA789" s="9"/>
      <c r="AB789" s="9"/>
      <c r="AC789" s="9"/>
      <c r="AD789" s="9"/>
    </row>
    <row r="790" spans="1:30" ht="87">
      <c r="A790" s="3" t="s">
        <v>3945</v>
      </c>
      <c r="B790" s="3" t="s">
        <v>12519</v>
      </c>
      <c r="C790" s="3" t="s">
        <v>10135</v>
      </c>
      <c r="G790" s="9" t="s">
        <v>25</v>
      </c>
      <c r="H790" s="9"/>
      <c r="I790" s="9">
        <v>1</v>
      </c>
      <c r="J790" s="9">
        <v>3</v>
      </c>
      <c r="K790" s="9" t="s">
        <v>12096</v>
      </c>
      <c r="L790" s="9" t="s">
        <v>12079</v>
      </c>
      <c r="M790" s="9"/>
      <c r="N790" s="10"/>
      <c r="O790" s="9"/>
      <c r="P790" s="9">
        <v>264</v>
      </c>
      <c r="Q790" s="9">
        <f t="shared" si="12"/>
        <v>31.723143475126172</v>
      </c>
      <c r="R790" s="9"/>
      <c r="S790" s="9" t="s">
        <v>12795</v>
      </c>
      <c r="T790" s="9" t="s">
        <v>12795</v>
      </c>
      <c r="U790" s="9"/>
      <c r="V790" s="9"/>
      <c r="W790" s="9"/>
      <c r="X790" s="9"/>
      <c r="Y790" s="9"/>
      <c r="Z790" s="9"/>
      <c r="AA790" s="9"/>
      <c r="AB790" s="9"/>
      <c r="AC790" s="9"/>
      <c r="AD790" s="9"/>
    </row>
    <row r="791" spans="1:30" ht="29">
      <c r="A791" s="3" t="s">
        <v>3956</v>
      </c>
      <c r="B791" s="3" t="s">
        <v>10151</v>
      </c>
      <c r="C791" s="3" t="s">
        <v>10150</v>
      </c>
      <c r="G791" s="9" t="s">
        <v>25</v>
      </c>
      <c r="H791" s="9"/>
      <c r="I791" s="9">
        <v>1</v>
      </c>
      <c r="J791" s="9">
        <v>3</v>
      </c>
      <c r="K791" s="9" t="s">
        <v>12123</v>
      </c>
      <c r="L791" s="9" t="s">
        <v>12079</v>
      </c>
      <c r="M791" s="9"/>
      <c r="N791" s="10"/>
      <c r="O791" s="9"/>
      <c r="P791" s="9">
        <v>887</v>
      </c>
      <c r="Q791" s="9">
        <f t="shared" si="12"/>
        <v>106.58495553953377</v>
      </c>
      <c r="R791" s="9"/>
      <c r="S791" s="9" t="s">
        <v>12795</v>
      </c>
      <c r="T791" s="9" t="s">
        <v>12795</v>
      </c>
      <c r="U791" s="9"/>
      <c r="V791" s="9"/>
      <c r="W791" s="9"/>
      <c r="X791" s="9"/>
      <c r="Y791" s="9"/>
      <c r="Z791" s="9"/>
      <c r="AA791" s="9"/>
      <c r="AB791" s="9"/>
      <c r="AC791" s="9"/>
      <c r="AD791" s="9"/>
    </row>
    <row r="792" spans="1:30" ht="29">
      <c r="A792" s="3" t="s">
        <v>3975</v>
      </c>
      <c r="B792" s="3" t="s">
        <v>10181</v>
      </c>
      <c r="C792" s="3" t="s">
        <v>10180</v>
      </c>
      <c r="G792" s="9" t="s">
        <v>24</v>
      </c>
      <c r="H792" s="9"/>
      <c r="I792" s="9">
        <v>1</v>
      </c>
      <c r="J792" s="9">
        <v>2</v>
      </c>
      <c r="K792" s="9" t="s">
        <v>12094</v>
      </c>
      <c r="L792" s="9" t="s">
        <v>12119</v>
      </c>
      <c r="M792" s="9"/>
      <c r="N792" s="10"/>
      <c r="O792" s="9"/>
      <c r="P792" s="9">
        <v>1741</v>
      </c>
      <c r="Q792" s="9">
        <f t="shared" si="12"/>
        <v>209.20451814467677</v>
      </c>
      <c r="R792" s="9"/>
      <c r="S792" s="9" t="s">
        <v>12795</v>
      </c>
      <c r="T792" s="9" t="s">
        <v>12795</v>
      </c>
      <c r="U792" s="9"/>
      <c r="V792" s="9"/>
      <c r="W792" s="9"/>
      <c r="X792" s="9"/>
      <c r="Y792" s="9"/>
      <c r="Z792" s="9"/>
      <c r="AA792" s="9"/>
      <c r="AB792" s="9"/>
      <c r="AC792" s="9"/>
      <c r="AD792" s="9"/>
    </row>
    <row r="793" spans="1:30" ht="58">
      <c r="A793" s="3" t="s">
        <v>3987</v>
      </c>
      <c r="B793" s="3" t="s">
        <v>10197</v>
      </c>
      <c r="C793" s="3" t="s">
        <v>10196</v>
      </c>
      <c r="G793" s="9" t="s">
        <v>25</v>
      </c>
      <c r="H793" s="9"/>
      <c r="I793" s="9">
        <v>1</v>
      </c>
      <c r="J793" s="9">
        <v>2</v>
      </c>
      <c r="K793" s="9" t="s">
        <v>12078</v>
      </c>
      <c r="L793" s="9" t="s">
        <v>12119</v>
      </c>
      <c r="M793" s="9"/>
      <c r="N793" s="10"/>
      <c r="O793" s="9"/>
      <c r="P793" s="9">
        <v>11843</v>
      </c>
      <c r="Q793" s="9">
        <f t="shared" si="12"/>
        <v>1423.0954097572699</v>
      </c>
      <c r="R793" s="9"/>
      <c r="S793" s="9" t="s">
        <v>12795</v>
      </c>
      <c r="T793" s="9" t="s">
        <v>12795</v>
      </c>
      <c r="U793" s="9"/>
      <c r="V793" s="9"/>
      <c r="W793" s="9"/>
      <c r="X793" s="9"/>
      <c r="Y793" s="9"/>
      <c r="Z793" s="9"/>
      <c r="AA793" s="9"/>
      <c r="AB793" s="9"/>
      <c r="AC793" s="9"/>
      <c r="AD793" s="9"/>
    </row>
    <row r="794" spans="1:30" ht="43.5">
      <c r="A794" s="3" t="s">
        <v>4002</v>
      </c>
      <c r="B794" s="3" t="s">
        <v>10227</v>
      </c>
      <c r="C794" s="3" t="s">
        <v>10226</v>
      </c>
      <c r="G794" s="9" t="s">
        <v>24</v>
      </c>
      <c r="H794" s="9"/>
      <c r="I794" s="9">
        <v>1</v>
      </c>
      <c r="J794" s="9">
        <v>3</v>
      </c>
      <c r="K794" s="9" t="s">
        <v>12123</v>
      </c>
      <c r="L794" s="9" t="s">
        <v>12079</v>
      </c>
      <c r="M794" s="9"/>
      <c r="N794" s="10"/>
      <c r="O794" s="9"/>
      <c r="P794" s="9">
        <v>92</v>
      </c>
      <c r="Q794" s="9">
        <f t="shared" si="12"/>
        <v>11.055034847392454</v>
      </c>
      <c r="R794" s="9"/>
      <c r="S794" s="9" t="s">
        <v>12795</v>
      </c>
      <c r="T794" s="9" t="s">
        <v>12795</v>
      </c>
      <c r="U794" s="9"/>
      <c r="V794" s="9"/>
      <c r="W794" s="9"/>
      <c r="X794" s="9"/>
      <c r="Y794" s="9"/>
      <c r="Z794" s="9"/>
      <c r="AA794" s="9"/>
      <c r="AB794" s="9"/>
      <c r="AC794" s="9"/>
      <c r="AD794" s="9"/>
    </row>
    <row r="795" spans="1:30" ht="43.5">
      <c r="A795" s="3" t="s">
        <v>4006</v>
      </c>
      <c r="B795" s="3" t="s">
        <v>10233</v>
      </c>
      <c r="C795" s="3" t="s">
        <v>10232</v>
      </c>
      <c r="G795" s="9" t="s">
        <v>24</v>
      </c>
      <c r="H795" s="9"/>
      <c r="I795" s="9">
        <v>1</v>
      </c>
      <c r="J795" s="9">
        <v>5</v>
      </c>
      <c r="K795" s="9" t="s">
        <v>12098</v>
      </c>
      <c r="L795" s="9" t="s">
        <v>12079</v>
      </c>
      <c r="M795" s="9"/>
      <c r="N795" s="10"/>
      <c r="O795" s="9"/>
      <c r="P795" s="9">
        <v>2042</v>
      </c>
      <c r="Q795" s="9">
        <f t="shared" si="12"/>
        <v>245.37370824321076</v>
      </c>
      <c r="R795" s="9"/>
      <c r="S795" s="9" t="s">
        <v>12795</v>
      </c>
      <c r="T795" s="9" t="s">
        <v>12795</v>
      </c>
      <c r="U795" s="9"/>
      <c r="V795" s="9"/>
      <c r="W795" s="9"/>
      <c r="X795" s="9"/>
      <c r="Y795" s="9"/>
      <c r="Z795" s="9"/>
      <c r="AA795" s="9"/>
      <c r="AB795" s="9"/>
      <c r="AC795" s="9"/>
      <c r="AD795" s="9"/>
    </row>
    <row r="796" spans="1:30" ht="87">
      <c r="A796" s="3" t="s">
        <v>4007</v>
      </c>
      <c r="B796" s="3" t="s">
        <v>10242</v>
      </c>
      <c r="C796" s="3" t="s">
        <v>10241</v>
      </c>
      <c r="G796" s="9" t="s">
        <v>25</v>
      </c>
      <c r="H796" s="9"/>
      <c r="I796" s="9">
        <v>1</v>
      </c>
      <c r="J796" s="9">
        <v>3</v>
      </c>
      <c r="K796" s="9" t="s">
        <v>12087</v>
      </c>
      <c r="L796" s="9" t="s">
        <v>12079</v>
      </c>
      <c r="M796" s="9"/>
      <c r="N796" s="10"/>
      <c r="O796" s="9"/>
      <c r="P796" s="9">
        <v>431</v>
      </c>
      <c r="Q796" s="9">
        <f t="shared" si="12"/>
        <v>51.790434991588562</v>
      </c>
      <c r="R796" s="9"/>
      <c r="S796" s="9" t="s">
        <v>12795</v>
      </c>
      <c r="T796" s="9" t="s">
        <v>12795</v>
      </c>
      <c r="U796" s="9"/>
      <c r="V796" s="9"/>
      <c r="W796" s="9"/>
      <c r="X796" s="9"/>
      <c r="Y796" s="9"/>
      <c r="Z796" s="9"/>
      <c r="AA796" s="9"/>
      <c r="AB796" s="9"/>
      <c r="AC796" s="9"/>
      <c r="AD796" s="9"/>
    </row>
    <row r="797" spans="1:30" ht="87">
      <c r="A797" s="3" t="s">
        <v>4007</v>
      </c>
      <c r="B797" s="3" t="s">
        <v>10240</v>
      </c>
      <c r="C797" s="3" t="s">
        <v>10243</v>
      </c>
      <c r="G797" s="9" t="s">
        <v>24</v>
      </c>
      <c r="H797" s="9"/>
      <c r="I797" s="9">
        <v>1</v>
      </c>
      <c r="J797" s="9">
        <v>3</v>
      </c>
      <c r="K797" s="9" t="s">
        <v>12087</v>
      </c>
      <c r="L797" s="9" t="s">
        <v>12079</v>
      </c>
      <c r="M797" s="9"/>
      <c r="N797" s="10"/>
      <c r="O797" s="9"/>
      <c r="P797" s="9">
        <v>309</v>
      </c>
      <c r="Q797" s="9">
        <f t="shared" si="12"/>
        <v>37.130497476568131</v>
      </c>
      <c r="R797" s="9"/>
      <c r="S797" s="9" t="s">
        <v>12795</v>
      </c>
      <c r="T797" s="9" t="s">
        <v>12795</v>
      </c>
      <c r="U797" s="9"/>
      <c r="V797" s="9"/>
      <c r="W797" s="9"/>
      <c r="X797" s="9"/>
      <c r="Y797" s="9"/>
      <c r="Z797" s="9"/>
      <c r="AA797" s="9"/>
      <c r="AB797" s="9"/>
      <c r="AC797" s="9"/>
      <c r="AD797" s="9"/>
    </row>
    <row r="798" spans="1:30" ht="87">
      <c r="A798" s="3" t="s">
        <v>4023</v>
      </c>
      <c r="B798" s="3" t="s">
        <v>10290</v>
      </c>
      <c r="C798" s="3" t="s">
        <v>10291</v>
      </c>
      <c r="G798" s="9" t="s">
        <v>25</v>
      </c>
      <c r="H798" s="9"/>
      <c r="I798" s="9">
        <v>1</v>
      </c>
      <c r="J798" s="9">
        <v>2</v>
      </c>
      <c r="K798" s="9" t="s">
        <v>12087</v>
      </c>
      <c r="L798" s="9" t="s">
        <v>12119</v>
      </c>
      <c r="M798" s="9"/>
      <c r="N798" s="10"/>
      <c r="O798" s="9"/>
      <c r="P798" s="9">
        <v>1966</v>
      </c>
      <c r="Q798" s="9">
        <f t="shared" si="12"/>
        <v>236.24128815188658</v>
      </c>
      <c r="R798" s="9"/>
      <c r="S798" s="9" t="s">
        <v>12795</v>
      </c>
      <c r="T798" s="9" t="s">
        <v>12795</v>
      </c>
      <c r="U798" s="9"/>
      <c r="V798" s="9"/>
      <c r="W798" s="9"/>
      <c r="X798" s="9"/>
      <c r="Y798" s="9"/>
      <c r="Z798" s="9"/>
      <c r="AA798" s="9"/>
      <c r="AB798" s="9"/>
      <c r="AC798" s="9"/>
      <c r="AD798" s="9"/>
    </row>
    <row r="799" spans="1:30" ht="87">
      <c r="A799" s="3" t="s">
        <v>4023</v>
      </c>
      <c r="B799" s="3" t="s">
        <v>10292</v>
      </c>
      <c r="C799" s="3" t="s">
        <v>10291</v>
      </c>
      <c r="G799" s="9" t="s">
        <v>25</v>
      </c>
      <c r="H799" s="9"/>
      <c r="I799" s="9">
        <v>1</v>
      </c>
      <c r="J799" s="9">
        <v>5</v>
      </c>
      <c r="K799" s="9" t="s">
        <v>12125</v>
      </c>
      <c r="L799" s="9" t="s">
        <v>12079</v>
      </c>
      <c r="M799" s="9"/>
      <c r="N799" s="10"/>
      <c r="O799" s="9"/>
      <c r="P799" s="9">
        <v>1565</v>
      </c>
      <c r="Q799" s="9">
        <f t="shared" si="12"/>
        <v>188.05575582792596</v>
      </c>
      <c r="R799" s="9"/>
      <c r="S799" s="9" t="s">
        <v>12795</v>
      </c>
      <c r="T799" s="9" t="s">
        <v>12795</v>
      </c>
      <c r="U799" s="9"/>
      <c r="V799" s="9"/>
      <c r="W799" s="9"/>
      <c r="X799" s="9"/>
      <c r="Y799" s="9"/>
      <c r="Z799" s="9"/>
      <c r="AA799" s="9"/>
      <c r="AB799" s="9"/>
      <c r="AC799" s="9"/>
      <c r="AD799" s="9"/>
    </row>
    <row r="800" spans="1:30" ht="101.5">
      <c r="A800" s="3" t="s">
        <v>4025</v>
      </c>
      <c r="B800" s="3" t="s">
        <v>10307</v>
      </c>
      <c r="C800" s="3" t="s">
        <v>10305</v>
      </c>
      <c r="G800" s="9" t="s">
        <v>25</v>
      </c>
      <c r="H800" s="9"/>
      <c r="I800" s="9">
        <v>2</v>
      </c>
      <c r="J800" s="9">
        <v>5</v>
      </c>
      <c r="K800" s="9"/>
      <c r="L800" s="9" t="s">
        <v>12079</v>
      </c>
      <c r="M800" s="9"/>
      <c r="N800" s="10"/>
      <c r="O800" s="9"/>
      <c r="P800" s="9">
        <v>361</v>
      </c>
      <c r="Q800" s="9">
        <f t="shared" si="12"/>
        <v>43.378995433789953</v>
      </c>
      <c r="R800" s="9"/>
      <c r="S800" s="9" t="s">
        <v>12795</v>
      </c>
      <c r="T800" s="9" t="s">
        <v>12795</v>
      </c>
      <c r="U800" s="9"/>
      <c r="V800" s="9"/>
      <c r="W800" s="9"/>
      <c r="X800" s="9"/>
      <c r="Y800" s="9"/>
      <c r="Z800" s="9"/>
      <c r="AA800" s="9"/>
      <c r="AB800" s="9"/>
      <c r="AC800" s="9"/>
      <c r="AD800" s="9"/>
    </row>
    <row r="801" spans="1:30" ht="101.5">
      <c r="A801" s="3" t="s">
        <v>4025</v>
      </c>
      <c r="B801" s="3" t="s">
        <v>10306</v>
      </c>
      <c r="C801" s="3" t="s">
        <v>10308</v>
      </c>
      <c r="G801" s="9" t="s">
        <v>24</v>
      </c>
      <c r="H801" s="9"/>
      <c r="I801" s="9">
        <v>1</v>
      </c>
      <c r="J801" s="9">
        <v>3</v>
      </c>
      <c r="K801" s="9" t="s">
        <v>12078</v>
      </c>
      <c r="L801" s="9" t="s">
        <v>12079</v>
      </c>
      <c r="M801" s="9"/>
      <c r="N801" s="10"/>
      <c r="O801" s="9"/>
      <c r="P801" s="9">
        <v>11843</v>
      </c>
      <c r="Q801" s="9">
        <f t="shared" si="12"/>
        <v>1423.0954097572699</v>
      </c>
      <c r="R801" s="9"/>
      <c r="S801" s="9" t="s">
        <v>12795</v>
      </c>
      <c r="T801" s="9" t="s">
        <v>12795</v>
      </c>
      <c r="U801" s="9"/>
      <c r="V801" s="9"/>
      <c r="W801" s="9"/>
      <c r="X801" s="9"/>
      <c r="Y801" s="9"/>
      <c r="Z801" s="9"/>
      <c r="AA801" s="9"/>
      <c r="AB801" s="9"/>
      <c r="AC801" s="9"/>
      <c r="AD801" s="9"/>
    </row>
    <row r="802" spans="1:30" ht="43.5">
      <c r="A802" s="3" t="s">
        <v>4026</v>
      </c>
      <c r="B802" s="3" t="s">
        <v>10310</v>
      </c>
      <c r="C802" s="3" t="s">
        <v>10309</v>
      </c>
      <c r="G802" s="9" t="s">
        <v>25</v>
      </c>
      <c r="H802" s="9"/>
      <c r="I802" s="9">
        <v>1</v>
      </c>
      <c r="J802" s="9">
        <v>4</v>
      </c>
      <c r="K802" s="9" t="s">
        <v>12078</v>
      </c>
      <c r="L802" s="9" t="s">
        <v>12073</v>
      </c>
      <c r="M802" s="9" t="s">
        <v>12142</v>
      </c>
      <c r="N802" s="10" t="s">
        <v>12160</v>
      </c>
      <c r="O802" s="9" t="s">
        <v>12074</v>
      </c>
      <c r="P802" s="9">
        <v>11843</v>
      </c>
      <c r="Q802" s="9">
        <f t="shared" si="12"/>
        <v>1423.0954097572699</v>
      </c>
      <c r="R802" s="9"/>
      <c r="S802" s="9" t="s">
        <v>12795</v>
      </c>
      <c r="T802" s="9" t="s">
        <v>12795</v>
      </c>
      <c r="U802" s="9"/>
      <c r="V802" s="9"/>
      <c r="W802" s="9"/>
      <c r="X802" s="9"/>
      <c r="Y802" s="9"/>
      <c r="Z802" s="9"/>
      <c r="AA802" s="9"/>
      <c r="AB802" s="9"/>
      <c r="AC802" s="9"/>
      <c r="AD802" s="9"/>
    </row>
    <row r="803" spans="1:30" ht="72.5">
      <c r="A803" s="3" t="s">
        <v>4037</v>
      </c>
      <c r="B803" s="3" t="s">
        <v>10329</v>
      </c>
      <c r="C803" s="3" t="s">
        <v>10330</v>
      </c>
      <c r="G803" s="9" t="s">
        <v>24</v>
      </c>
      <c r="H803" s="9"/>
      <c r="I803" s="9">
        <v>1</v>
      </c>
      <c r="J803" s="9">
        <v>3</v>
      </c>
      <c r="K803" s="9" t="s">
        <v>12078</v>
      </c>
      <c r="L803" s="9" t="s">
        <v>12079</v>
      </c>
      <c r="M803" s="9"/>
      <c r="N803" s="10"/>
      <c r="O803" s="9"/>
      <c r="P803" s="9">
        <v>11843</v>
      </c>
      <c r="Q803" s="9">
        <f t="shared" si="12"/>
        <v>1423.0954097572699</v>
      </c>
      <c r="R803" s="9"/>
      <c r="S803" s="9" t="s">
        <v>12795</v>
      </c>
      <c r="T803" s="9" t="s">
        <v>12795</v>
      </c>
      <c r="U803" s="9"/>
      <c r="V803" s="9"/>
      <c r="W803" s="9"/>
      <c r="X803" s="9"/>
      <c r="Y803" s="9"/>
      <c r="Z803" s="9"/>
      <c r="AA803" s="9"/>
      <c r="AB803" s="9"/>
      <c r="AC803" s="9"/>
      <c r="AD803" s="9"/>
    </row>
    <row r="804" spans="1:30" ht="246.5">
      <c r="A804" s="3" t="s">
        <v>4043</v>
      </c>
      <c r="B804" s="3" t="s">
        <v>10337</v>
      </c>
      <c r="C804" s="3" t="s">
        <v>10334</v>
      </c>
      <c r="G804" s="9" t="s">
        <v>25</v>
      </c>
      <c r="H804" s="9"/>
      <c r="I804" s="9">
        <v>9</v>
      </c>
      <c r="J804" s="9">
        <v>52</v>
      </c>
      <c r="K804" s="9"/>
      <c r="L804" s="9" t="s">
        <v>12079</v>
      </c>
      <c r="M804" s="9"/>
      <c r="N804" s="10"/>
      <c r="O804" s="9"/>
      <c r="P804" s="9">
        <v>0</v>
      </c>
      <c r="Q804" s="9">
        <f t="shared" si="12"/>
        <v>0</v>
      </c>
      <c r="R804" s="9"/>
      <c r="S804" s="9" t="s">
        <v>12795</v>
      </c>
      <c r="T804" s="9" t="s">
        <v>12795</v>
      </c>
      <c r="U804" s="9"/>
      <c r="V804" s="9"/>
      <c r="W804" s="9"/>
      <c r="X804" s="9"/>
      <c r="Y804" s="9"/>
      <c r="Z804" s="9"/>
      <c r="AA804" s="9"/>
      <c r="AB804" s="9"/>
      <c r="AC804" s="9"/>
      <c r="AD804" s="9"/>
    </row>
    <row r="805" spans="1:30" ht="43.5">
      <c r="A805" s="3" t="s">
        <v>4045</v>
      </c>
      <c r="B805" s="3" t="s">
        <v>10343</v>
      </c>
      <c r="C805" s="3" t="s">
        <v>10344</v>
      </c>
      <c r="G805" s="9" t="s">
        <v>24</v>
      </c>
      <c r="H805" s="9"/>
      <c r="I805" s="9">
        <v>1</v>
      </c>
      <c r="J805" s="9">
        <v>6</v>
      </c>
      <c r="K805" s="9" t="s">
        <v>12072</v>
      </c>
      <c r="L805" s="9" t="s">
        <v>12079</v>
      </c>
      <c r="M805" s="9"/>
      <c r="N805" s="10"/>
      <c r="O805" s="9"/>
      <c r="P805" s="9">
        <v>930</v>
      </c>
      <c r="Q805" s="9">
        <f t="shared" si="12"/>
        <v>111.75198269646719</v>
      </c>
      <c r="R805" s="9"/>
      <c r="S805" s="9" t="s">
        <v>12795</v>
      </c>
      <c r="T805" s="9" t="s">
        <v>12795</v>
      </c>
      <c r="U805" s="9"/>
      <c r="V805" s="9"/>
      <c r="W805" s="9"/>
      <c r="X805" s="9"/>
      <c r="Y805" s="9"/>
      <c r="Z805" s="9"/>
      <c r="AA805" s="9"/>
      <c r="AB805" s="9"/>
      <c r="AC805" s="9"/>
      <c r="AD805" s="9"/>
    </row>
    <row r="806" spans="1:30" ht="43.5">
      <c r="A806" s="3" t="s">
        <v>4047</v>
      </c>
      <c r="B806" s="3" t="s">
        <v>10354</v>
      </c>
      <c r="C806" s="3" t="s">
        <v>10353</v>
      </c>
      <c r="G806" s="9" t="s">
        <v>25</v>
      </c>
      <c r="H806" s="9"/>
      <c r="I806" s="9">
        <v>1</v>
      </c>
      <c r="J806" s="9">
        <v>3</v>
      </c>
      <c r="K806" s="9" t="s">
        <v>12087</v>
      </c>
      <c r="L806" s="9" t="s">
        <v>12079</v>
      </c>
      <c r="M806" s="9"/>
      <c r="N806" s="10"/>
      <c r="O806" s="9"/>
      <c r="P806" s="9">
        <v>5676</v>
      </c>
      <c r="Q806" s="9">
        <f t="shared" si="12"/>
        <v>682.04758471521268</v>
      </c>
      <c r="R806" s="9"/>
      <c r="S806" s="9" t="s">
        <v>12795</v>
      </c>
      <c r="T806" s="9" t="s">
        <v>12795</v>
      </c>
      <c r="U806" s="9"/>
      <c r="V806" s="9"/>
      <c r="W806" s="9"/>
      <c r="X806" s="9"/>
      <c r="Y806" s="9"/>
      <c r="Z806" s="9"/>
      <c r="AA806" s="9"/>
      <c r="AB806" s="9"/>
      <c r="AC806" s="9"/>
      <c r="AD806" s="9"/>
    </row>
    <row r="807" spans="1:30" ht="58">
      <c r="A807" s="3" t="s">
        <v>4052</v>
      </c>
      <c r="B807" s="3" t="s">
        <v>10365</v>
      </c>
      <c r="C807" s="3" t="s">
        <v>10366</v>
      </c>
      <c r="G807" s="9" t="s">
        <v>24</v>
      </c>
      <c r="H807" s="9"/>
      <c r="I807" s="9">
        <v>1</v>
      </c>
      <c r="J807" s="9">
        <v>2</v>
      </c>
      <c r="K807" s="9" t="s">
        <v>12096</v>
      </c>
      <c r="L807" s="9" t="s">
        <v>12079</v>
      </c>
      <c r="M807" s="9"/>
      <c r="N807" s="10"/>
      <c r="O807" s="9"/>
      <c r="P807" s="9">
        <v>485</v>
      </c>
      <c r="Q807" s="9">
        <f t="shared" si="12"/>
        <v>58.279259793318907</v>
      </c>
      <c r="R807" s="9"/>
      <c r="S807" s="9" t="s">
        <v>12795</v>
      </c>
      <c r="T807" s="9" t="s">
        <v>12795</v>
      </c>
      <c r="U807" s="9"/>
      <c r="V807" s="9"/>
      <c r="W807" s="9"/>
      <c r="X807" s="9"/>
      <c r="Y807" s="9"/>
      <c r="Z807" s="9"/>
      <c r="AA807" s="9"/>
      <c r="AB807" s="9"/>
      <c r="AC807" s="9"/>
      <c r="AD807" s="9"/>
    </row>
    <row r="808" spans="1:30" ht="43.5">
      <c r="A808" s="3" t="s">
        <v>4052</v>
      </c>
      <c r="B808" s="3" t="s">
        <v>12940</v>
      </c>
      <c r="C808" s="3" t="s">
        <v>10369</v>
      </c>
      <c r="G808" s="9" t="s">
        <v>25</v>
      </c>
      <c r="H808" s="9"/>
      <c r="I808" s="9">
        <v>1</v>
      </c>
      <c r="J808" s="9">
        <v>3</v>
      </c>
      <c r="K808" s="9" t="s">
        <v>12078</v>
      </c>
      <c r="L808" s="9" t="s">
        <v>12079</v>
      </c>
      <c r="M808" s="9"/>
      <c r="N808" s="10"/>
      <c r="O808" s="9"/>
      <c r="P808" s="9">
        <v>11843</v>
      </c>
      <c r="Q808" s="9">
        <f t="shared" si="12"/>
        <v>1423.0954097572699</v>
      </c>
      <c r="R808" s="9"/>
      <c r="S808" s="9" t="s">
        <v>12795</v>
      </c>
      <c r="T808" s="9" t="s">
        <v>12795</v>
      </c>
      <c r="U808" s="9"/>
      <c r="V808" s="9"/>
      <c r="W808" s="9"/>
      <c r="X808" s="9"/>
      <c r="Y808" s="9"/>
      <c r="Z808" s="9"/>
      <c r="AA808" s="9"/>
      <c r="AB808" s="9"/>
      <c r="AC808" s="9"/>
      <c r="AD808" s="9"/>
    </row>
    <row r="809" spans="1:30" ht="101.5">
      <c r="A809" s="3" t="s">
        <v>4074</v>
      </c>
      <c r="B809" s="3" t="s">
        <v>10416</v>
      </c>
      <c r="C809" s="3" t="s">
        <v>10415</v>
      </c>
      <c r="G809" s="9" t="s">
        <v>25</v>
      </c>
      <c r="H809" s="9"/>
      <c r="I809" s="9">
        <v>3</v>
      </c>
      <c r="J809" s="9">
        <v>19</v>
      </c>
      <c r="K809" s="9"/>
      <c r="L809" s="9" t="s">
        <v>12079</v>
      </c>
      <c r="M809" s="9"/>
      <c r="N809" s="10"/>
      <c r="O809" s="9"/>
      <c r="P809" s="9">
        <v>5</v>
      </c>
      <c r="Q809" s="9">
        <f t="shared" si="12"/>
        <v>0.60081711127132897</v>
      </c>
      <c r="R809" s="9"/>
      <c r="S809" s="9" t="s">
        <v>12795</v>
      </c>
      <c r="T809" s="9" t="s">
        <v>12795</v>
      </c>
      <c r="U809" s="9"/>
      <c r="V809" s="9"/>
      <c r="W809" s="9"/>
      <c r="X809" s="9"/>
      <c r="Y809" s="9"/>
      <c r="Z809" s="9"/>
      <c r="AA809" s="9"/>
      <c r="AB809" s="9"/>
      <c r="AC809" s="9"/>
      <c r="AD809" s="9"/>
    </row>
    <row r="810" spans="1:30" ht="87">
      <c r="A810" s="3" t="s">
        <v>4079</v>
      </c>
      <c r="B810" s="3" t="s">
        <v>12531</v>
      </c>
      <c r="C810" s="3" t="s">
        <v>10419</v>
      </c>
      <c r="G810" s="9" t="s">
        <v>25</v>
      </c>
      <c r="H810" s="9"/>
      <c r="I810" s="9">
        <v>1</v>
      </c>
      <c r="J810" s="9">
        <v>3</v>
      </c>
      <c r="K810" s="9" t="s">
        <v>12078</v>
      </c>
      <c r="L810" s="9" t="s">
        <v>12079</v>
      </c>
      <c r="M810" s="9"/>
      <c r="N810" s="10"/>
      <c r="O810" s="9"/>
      <c r="P810" s="9">
        <v>11843</v>
      </c>
      <c r="Q810" s="9">
        <f t="shared" si="12"/>
        <v>1423.0954097572699</v>
      </c>
      <c r="R810" s="9"/>
      <c r="S810" s="9" t="s">
        <v>12795</v>
      </c>
      <c r="T810" s="9" t="s">
        <v>12795</v>
      </c>
      <c r="U810" s="9"/>
      <c r="V810" s="9"/>
      <c r="W810" s="9"/>
      <c r="X810" s="9"/>
      <c r="Y810" s="9"/>
      <c r="Z810" s="9"/>
      <c r="AA810" s="9"/>
      <c r="AB810" s="9"/>
      <c r="AC810" s="9"/>
      <c r="AD810" s="9"/>
    </row>
    <row r="811" spans="1:30" ht="43.5">
      <c r="A811" s="3" t="s">
        <v>4080</v>
      </c>
      <c r="B811" s="3" t="s">
        <v>10423</v>
      </c>
      <c r="C811" s="3" t="s">
        <v>10422</v>
      </c>
      <c r="G811" s="9" t="s">
        <v>25</v>
      </c>
      <c r="H811" s="9"/>
      <c r="I811" s="9">
        <v>1</v>
      </c>
      <c r="J811" s="9">
        <v>1</v>
      </c>
      <c r="K811" s="9" t="s">
        <v>12072</v>
      </c>
      <c r="L811" s="9" t="s">
        <v>12119</v>
      </c>
      <c r="M811" s="9"/>
      <c r="N811" s="10"/>
      <c r="O811" s="9"/>
      <c r="P811" s="9">
        <v>13</v>
      </c>
      <c r="Q811" s="9">
        <f t="shared" si="12"/>
        <v>1.5621244893054553</v>
      </c>
      <c r="R811" s="9"/>
      <c r="S811" s="9" t="s">
        <v>12795</v>
      </c>
      <c r="T811" s="9" t="s">
        <v>12795</v>
      </c>
      <c r="U811" s="9"/>
      <c r="V811" s="9"/>
      <c r="W811" s="9"/>
      <c r="X811" s="9"/>
      <c r="Y811" s="9"/>
      <c r="Z811" s="9"/>
      <c r="AA811" s="9"/>
      <c r="AB811" s="9"/>
      <c r="AC811" s="9"/>
      <c r="AD811" s="9"/>
    </row>
    <row r="812" spans="1:30" ht="87">
      <c r="A812" s="3" t="s">
        <v>4082</v>
      </c>
      <c r="B812" s="3" t="s">
        <v>10429</v>
      </c>
      <c r="C812" s="3" t="s">
        <v>10428</v>
      </c>
      <c r="F812" t="s">
        <v>19</v>
      </c>
      <c r="G812" s="9" t="s">
        <v>25</v>
      </c>
      <c r="H812" s="9"/>
      <c r="I812" s="9">
        <v>2</v>
      </c>
      <c r="J812" s="9">
        <v>10</v>
      </c>
      <c r="K812" s="9"/>
      <c r="L812" s="9" t="s">
        <v>12073</v>
      </c>
      <c r="M812" s="9" t="s">
        <v>12135</v>
      </c>
      <c r="N812" s="10" t="s">
        <v>12136</v>
      </c>
      <c r="O812" s="9"/>
      <c r="P812" s="9">
        <v>12</v>
      </c>
      <c r="Q812" s="9">
        <f t="shared" si="12"/>
        <v>1.4419610670511898</v>
      </c>
      <c r="R812" s="9"/>
      <c r="S812" s="9" t="s">
        <v>12795</v>
      </c>
      <c r="T812" s="9" t="s">
        <v>12795</v>
      </c>
      <c r="U812" s="9"/>
      <c r="V812" s="9"/>
      <c r="W812" s="9"/>
      <c r="X812" s="9"/>
      <c r="Y812" s="9"/>
      <c r="Z812" s="9"/>
      <c r="AA812" s="9"/>
      <c r="AB812" s="9"/>
      <c r="AC812" s="9"/>
      <c r="AD812" s="9"/>
    </row>
    <row r="813" spans="1:30" ht="43.5">
      <c r="A813" s="3" t="s">
        <v>4092</v>
      </c>
      <c r="B813" s="3" t="s">
        <v>10463</v>
      </c>
      <c r="C813" s="3" t="s">
        <v>10464</v>
      </c>
      <c r="G813" s="9" t="s">
        <v>24</v>
      </c>
      <c r="H813" s="9"/>
      <c r="I813" s="9">
        <v>1</v>
      </c>
      <c r="J813" s="9">
        <v>1</v>
      </c>
      <c r="K813" s="9" t="s">
        <v>12078</v>
      </c>
      <c r="L813" s="9" t="s">
        <v>12119</v>
      </c>
      <c r="M813" s="9"/>
      <c r="N813" s="10"/>
      <c r="O813" s="9"/>
      <c r="P813" s="9">
        <v>11843</v>
      </c>
      <c r="Q813" s="9">
        <f t="shared" si="12"/>
        <v>1423.0954097572699</v>
      </c>
      <c r="R813" s="9"/>
      <c r="S813" s="9" t="s">
        <v>12795</v>
      </c>
      <c r="T813" s="9" t="s">
        <v>12795</v>
      </c>
      <c r="U813" s="9"/>
      <c r="V813" s="9"/>
      <c r="W813" s="9"/>
      <c r="X813" s="9"/>
      <c r="Y813" s="9"/>
      <c r="Z813" s="9"/>
      <c r="AA813" s="9"/>
      <c r="AB813" s="9"/>
      <c r="AC813" s="9"/>
      <c r="AD813" s="9"/>
    </row>
    <row r="814" spans="1:30" ht="43.5">
      <c r="A814" s="3" t="s">
        <v>4096</v>
      </c>
      <c r="B814" s="3" t="s">
        <v>10482</v>
      </c>
      <c r="C814" s="3" t="s">
        <v>10481</v>
      </c>
      <c r="G814" s="9" t="s">
        <v>25</v>
      </c>
      <c r="H814" s="9"/>
      <c r="I814" s="9">
        <v>2</v>
      </c>
      <c r="J814" s="9">
        <v>6</v>
      </c>
      <c r="K814" s="9"/>
      <c r="L814" s="9" t="s">
        <v>12079</v>
      </c>
      <c r="M814" s="9"/>
      <c r="N814" s="10"/>
      <c r="O814" s="9"/>
      <c r="P814" s="9">
        <v>560</v>
      </c>
      <c r="Q814" s="9">
        <f t="shared" si="12"/>
        <v>67.291516462388842</v>
      </c>
      <c r="R814" s="9"/>
      <c r="S814" s="9" t="s">
        <v>12795</v>
      </c>
      <c r="T814" s="9" t="s">
        <v>12795</v>
      </c>
      <c r="U814" s="9" t="s">
        <v>12117</v>
      </c>
      <c r="V814" s="9"/>
      <c r="W814" s="9"/>
      <c r="X814" s="9"/>
      <c r="Y814" s="9"/>
      <c r="Z814" s="9"/>
      <c r="AA814" s="9"/>
      <c r="AB814" s="9"/>
      <c r="AC814" s="9"/>
      <c r="AD814" s="9"/>
    </row>
    <row r="815" spans="1:30" ht="29">
      <c r="A815" s="3" t="s">
        <v>4097</v>
      </c>
      <c r="B815" s="3" t="s">
        <v>10487</v>
      </c>
      <c r="C815" s="3" t="s">
        <v>10488</v>
      </c>
      <c r="F815" t="s">
        <v>19</v>
      </c>
      <c r="G815" s="9" t="s">
        <v>25</v>
      </c>
      <c r="H815" s="9"/>
      <c r="I815" s="9">
        <v>1</v>
      </c>
      <c r="J815" s="9">
        <v>2</v>
      </c>
      <c r="K815" s="9" t="s">
        <v>12092</v>
      </c>
      <c r="L815" s="9" t="s">
        <v>12119</v>
      </c>
      <c r="M815" s="9"/>
      <c r="N815" s="10"/>
      <c r="O815" s="9"/>
      <c r="P815" s="9">
        <v>133</v>
      </c>
      <c r="Q815" s="9">
        <f t="shared" si="12"/>
        <v>15.981735159817353</v>
      </c>
      <c r="R815" s="9"/>
      <c r="S815" s="9" t="s">
        <v>12795</v>
      </c>
      <c r="T815" s="9" t="s">
        <v>12795</v>
      </c>
      <c r="U815" s="9"/>
      <c r="V815" s="9"/>
      <c r="W815" s="9"/>
      <c r="X815" s="9"/>
      <c r="Y815" s="9"/>
      <c r="Z815" s="9"/>
      <c r="AA815" s="9"/>
      <c r="AB815" s="9"/>
      <c r="AC815" s="9"/>
      <c r="AD815" s="9"/>
    </row>
    <row r="816" spans="1:30" ht="29">
      <c r="A816" s="3" t="s">
        <v>4100</v>
      </c>
      <c r="B816" s="3" t="s">
        <v>10490</v>
      </c>
      <c r="C816" s="3" t="s">
        <v>10489</v>
      </c>
      <c r="G816" s="9" t="s">
        <v>24</v>
      </c>
      <c r="H816" s="9"/>
      <c r="I816" s="9">
        <v>1</v>
      </c>
      <c r="J816" s="9">
        <v>1</v>
      </c>
      <c r="K816" s="9" t="s">
        <v>12078</v>
      </c>
      <c r="L816" s="9" t="s">
        <v>12119</v>
      </c>
      <c r="M816" s="9"/>
      <c r="N816" s="10"/>
      <c r="O816" s="9"/>
      <c r="P816" s="9">
        <v>11843</v>
      </c>
      <c r="Q816" s="9">
        <f t="shared" si="12"/>
        <v>1423.0954097572699</v>
      </c>
      <c r="R816" s="9"/>
      <c r="S816" s="9" t="s">
        <v>12795</v>
      </c>
      <c r="T816" s="9" t="s">
        <v>12795</v>
      </c>
      <c r="U816" s="9"/>
      <c r="V816" s="9"/>
      <c r="W816" s="9"/>
      <c r="X816" s="9"/>
      <c r="Y816" s="9"/>
      <c r="Z816" s="9"/>
      <c r="AA816" s="9"/>
      <c r="AB816" s="9"/>
      <c r="AC816" s="9"/>
      <c r="AD816" s="9"/>
    </row>
    <row r="817" spans="1:30" ht="72.5">
      <c r="A817" s="3" t="s">
        <v>4100</v>
      </c>
      <c r="B817" s="3" t="s">
        <v>10491</v>
      </c>
      <c r="C817" s="3" t="s">
        <v>10492</v>
      </c>
      <c r="G817" s="9" t="s">
        <v>24</v>
      </c>
      <c r="H817" s="9"/>
      <c r="I817" s="9">
        <v>1</v>
      </c>
      <c r="J817" s="9">
        <v>6</v>
      </c>
      <c r="K817" s="9" t="s">
        <v>12092</v>
      </c>
      <c r="L817" s="9" t="s">
        <v>12079</v>
      </c>
      <c r="M817" s="9"/>
      <c r="N817" s="10"/>
      <c r="O817" s="9"/>
      <c r="P817" s="9">
        <v>361</v>
      </c>
      <c r="Q817" s="9">
        <f t="shared" si="12"/>
        <v>43.378995433789953</v>
      </c>
      <c r="R817" s="9"/>
      <c r="S817" s="9" t="s">
        <v>12795</v>
      </c>
      <c r="T817" s="9" t="s">
        <v>12795</v>
      </c>
      <c r="U817" s="9"/>
      <c r="V817" s="9"/>
      <c r="W817" s="9"/>
      <c r="X817" s="9"/>
      <c r="Y817" s="9"/>
      <c r="Z817" s="9"/>
      <c r="AA817" s="9"/>
      <c r="AB817" s="9"/>
      <c r="AC817" s="9"/>
      <c r="AD817" s="9"/>
    </row>
    <row r="818" spans="1:30" ht="72.5">
      <c r="A818" s="3" t="s">
        <v>4100</v>
      </c>
      <c r="B818" s="3" t="s">
        <v>10491</v>
      </c>
      <c r="C818" s="3" t="s">
        <v>10493</v>
      </c>
      <c r="G818" s="9" t="s">
        <v>24</v>
      </c>
      <c r="H818" s="9"/>
      <c r="I818" s="9">
        <v>1</v>
      </c>
      <c r="J818" s="9">
        <v>4</v>
      </c>
      <c r="K818" s="9" t="s">
        <v>12094</v>
      </c>
      <c r="L818" s="9" t="s">
        <v>12079</v>
      </c>
      <c r="M818" s="9"/>
      <c r="N818" s="10"/>
      <c r="O818" s="9"/>
      <c r="P818" s="9">
        <v>1741</v>
      </c>
      <c r="Q818" s="9">
        <f t="shared" si="12"/>
        <v>209.20451814467677</v>
      </c>
      <c r="R818" s="9"/>
      <c r="S818" s="9" t="s">
        <v>12795</v>
      </c>
      <c r="T818" s="9" t="s">
        <v>12795</v>
      </c>
      <c r="U818" s="9"/>
      <c r="V818" s="9"/>
      <c r="W818" s="9"/>
      <c r="X818" s="9"/>
      <c r="Y818" s="9"/>
      <c r="Z818" s="9"/>
      <c r="AA818" s="9"/>
      <c r="AB818" s="9"/>
      <c r="AC818" s="9"/>
      <c r="AD818" s="9"/>
    </row>
    <row r="819" spans="1:30" ht="58">
      <c r="A819" s="3" t="s">
        <v>4106</v>
      </c>
      <c r="B819" s="3" t="s">
        <v>10508</v>
      </c>
      <c r="C819" s="3" t="s">
        <v>10509</v>
      </c>
      <c r="G819" s="9" t="s">
        <v>24</v>
      </c>
      <c r="H819" s="9"/>
      <c r="I819" s="9">
        <v>1</v>
      </c>
      <c r="J819" s="9">
        <v>3</v>
      </c>
      <c r="K819" s="9" t="s">
        <v>12078</v>
      </c>
      <c r="L819" s="9" t="s">
        <v>12073</v>
      </c>
      <c r="M819" s="9" t="s">
        <v>12149</v>
      </c>
      <c r="N819" s="10" t="s">
        <v>12143</v>
      </c>
      <c r="O819" s="9"/>
      <c r="P819" s="9">
        <v>11843</v>
      </c>
      <c r="Q819" s="9">
        <f t="shared" si="12"/>
        <v>1423.0954097572699</v>
      </c>
      <c r="R819" s="9"/>
      <c r="S819" s="9" t="s">
        <v>12795</v>
      </c>
      <c r="T819" s="9" t="s">
        <v>12795</v>
      </c>
      <c r="U819" s="9"/>
      <c r="V819" s="9"/>
      <c r="W819" s="9"/>
      <c r="X819" s="9"/>
      <c r="Y819" s="9"/>
      <c r="Z819" s="9"/>
      <c r="AA819" s="9"/>
      <c r="AB819" s="9"/>
      <c r="AC819" s="9"/>
      <c r="AD819" s="9"/>
    </row>
    <row r="820" spans="1:30" ht="29">
      <c r="A820" s="3" t="s">
        <v>4112</v>
      </c>
      <c r="B820" s="3" t="s">
        <v>10528</v>
      </c>
      <c r="C820" s="3" t="s">
        <v>12533</v>
      </c>
      <c r="G820" s="9" t="s">
        <v>25</v>
      </c>
      <c r="H820" s="9"/>
      <c r="I820" s="9">
        <v>1</v>
      </c>
      <c r="J820" s="9">
        <v>2</v>
      </c>
      <c r="K820" s="9" t="s">
        <v>12078</v>
      </c>
      <c r="L820" s="9" t="s">
        <v>12119</v>
      </c>
      <c r="M820" s="9"/>
      <c r="N820" s="10"/>
      <c r="O820" s="9"/>
      <c r="P820" s="9">
        <v>11843</v>
      </c>
      <c r="Q820" s="9">
        <f t="shared" si="12"/>
        <v>1423.0954097572699</v>
      </c>
      <c r="R820" s="9"/>
      <c r="S820" s="9" t="s">
        <v>12795</v>
      </c>
      <c r="T820" s="9" t="s">
        <v>12795</v>
      </c>
      <c r="U820" s="9"/>
      <c r="V820" s="9"/>
      <c r="W820" s="9"/>
      <c r="X820" s="9"/>
      <c r="Y820" s="9"/>
      <c r="Z820" s="9"/>
      <c r="AA820" s="9"/>
      <c r="AB820" s="9"/>
      <c r="AC820" s="9"/>
      <c r="AD820" s="9"/>
    </row>
    <row r="821" spans="1:30" ht="58">
      <c r="A821" s="3" t="s">
        <v>4114</v>
      </c>
      <c r="B821" s="3" t="s">
        <v>10533</v>
      </c>
      <c r="C821" s="3" t="s">
        <v>10534</v>
      </c>
      <c r="F821" t="s">
        <v>19</v>
      </c>
      <c r="G821" s="9" t="s">
        <v>25</v>
      </c>
      <c r="H821" s="9"/>
      <c r="I821" s="9">
        <v>1</v>
      </c>
      <c r="J821" s="9">
        <v>5</v>
      </c>
      <c r="K821" s="9" t="s">
        <v>12125</v>
      </c>
      <c r="L821" s="9" t="s">
        <v>12079</v>
      </c>
      <c r="M821" s="9"/>
      <c r="N821" s="10"/>
      <c r="O821" s="9"/>
      <c r="P821" s="9">
        <v>1565</v>
      </c>
      <c r="Q821" s="9">
        <f t="shared" si="12"/>
        <v>188.05575582792596</v>
      </c>
      <c r="R821" s="9"/>
      <c r="S821" s="9" t="s">
        <v>12795</v>
      </c>
      <c r="T821" s="9" t="s">
        <v>12795</v>
      </c>
      <c r="U821" s="9"/>
      <c r="V821" s="9"/>
      <c r="W821" s="9"/>
      <c r="X821" s="9"/>
      <c r="Y821" s="9"/>
      <c r="Z821" s="9"/>
      <c r="AA821" s="9"/>
      <c r="AB821" s="9"/>
      <c r="AC821" s="9"/>
      <c r="AD821" s="9"/>
    </row>
    <row r="822" spans="1:30" ht="174">
      <c r="A822" s="3" t="s">
        <v>4132</v>
      </c>
      <c r="B822" s="3" t="s">
        <v>12536</v>
      </c>
      <c r="C822" s="3" t="s">
        <v>12538</v>
      </c>
      <c r="G822" s="9" t="s">
        <v>24</v>
      </c>
      <c r="H822" s="9"/>
      <c r="I822" s="9">
        <v>1</v>
      </c>
      <c r="J822" s="9">
        <v>2</v>
      </c>
      <c r="K822" s="9" t="s">
        <v>12087</v>
      </c>
      <c r="L822" s="9" t="s">
        <v>12119</v>
      </c>
      <c r="M822" s="9"/>
      <c r="N822" s="10"/>
      <c r="O822" s="9"/>
      <c r="P822" s="9">
        <v>1966</v>
      </c>
      <c r="Q822" s="9">
        <f t="shared" si="12"/>
        <v>236.24128815188658</v>
      </c>
      <c r="R822" s="9"/>
      <c r="S822" s="9" t="s">
        <v>12795</v>
      </c>
      <c r="T822" s="9" t="s">
        <v>12795</v>
      </c>
      <c r="U822" s="9"/>
      <c r="V822" s="9"/>
      <c r="W822" s="9"/>
      <c r="X822" s="9"/>
      <c r="Y822" s="9"/>
      <c r="Z822" s="9"/>
      <c r="AA822" s="9"/>
      <c r="AB822" s="9"/>
      <c r="AC822" s="9"/>
      <c r="AD822" s="9"/>
    </row>
    <row r="823" spans="1:30" ht="130.5">
      <c r="A823" s="3" t="s">
        <v>4133</v>
      </c>
      <c r="B823" s="3" t="s">
        <v>10565</v>
      </c>
      <c r="C823" s="3" t="s">
        <v>10567</v>
      </c>
      <c r="G823" s="9" t="s">
        <v>24</v>
      </c>
      <c r="H823" s="9"/>
      <c r="I823" s="9">
        <v>1</v>
      </c>
      <c r="J823" s="9">
        <v>3</v>
      </c>
      <c r="K823" s="9" t="s">
        <v>12078</v>
      </c>
      <c r="L823" s="9" t="s">
        <v>12079</v>
      </c>
      <c r="M823" s="9"/>
      <c r="N823" s="10"/>
      <c r="O823" s="9"/>
      <c r="P823" s="9">
        <v>11843</v>
      </c>
      <c r="Q823" s="9">
        <f t="shared" si="12"/>
        <v>1423.0954097572699</v>
      </c>
      <c r="R823" s="9"/>
      <c r="S823" s="9" t="s">
        <v>12795</v>
      </c>
      <c r="T823" s="9" t="s">
        <v>12795</v>
      </c>
      <c r="U823" s="9"/>
      <c r="V823" s="9"/>
      <c r="W823" s="9"/>
      <c r="X823" s="9"/>
      <c r="Y823" s="9"/>
      <c r="Z823" s="9"/>
      <c r="AA823" s="9"/>
      <c r="AB823" s="9"/>
      <c r="AC823" s="9"/>
      <c r="AD823" s="9"/>
    </row>
    <row r="824" spans="1:30" ht="130.5">
      <c r="A824" s="3" t="s">
        <v>4134</v>
      </c>
      <c r="B824" s="3" t="s">
        <v>10565</v>
      </c>
      <c r="C824" s="3" t="s">
        <v>10569</v>
      </c>
      <c r="G824" s="9" t="s">
        <v>24</v>
      </c>
      <c r="H824" s="9"/>
      <c r="I824" s="9">
        <v>6</v>
      </c>
      <c r="J824" s="9">
        <v>20</v>
      </c>
      <c r="K824" s="9"/>
      <c r="L824" s="9" t="s">
        <v>12079</v>
      </c>
      <c r="M824" s="9"/>
      <c r="N824" s="10"/>
      <c r="O824" s="9"/>
      <c r="P824" s="9">
        <v>171</v>
      </c>
      <c r="Q824" s="9">
        <f t="shared" si="12"/>
        <v>20.547945205479451</v>
      </c>
      <c r="R824" s="9"/>
      <c r="S824" s="9" t="s">
        <v>12795</v>
      </c>
      <c r="T824" s="9" t="s">
        <v>12795</v>
      </c>
      <c r="U824" s="9"/>
      <c r="V824" s="9"/>
      <c r="W824" s="9"/>
      <c r="X824" s="9"/>
      <c r="Y824" s="9"/>
      <c r="Z824" s="9"/>
      <c r="AA824" s="9"/>
      <c r="AB824" s="9"/>
      <c r="AC824" s="9"/>
      <c r="AD824" s="9"/>
    </row>
    <row r="825" spans="1:30" ht="87">
      <c r="A825" s="3" t="s">
        <v>4153</v>
      </c>
      <c r="B825" s="3" t="s">
        <v>10598</v>
      </c>
      <c r="C825" s="3" t="s">
        <v>10597</v>
      </c>
      <c r="G825" s="9" t="s">
        <v>25</v>
      </c>
      <c r="H825" s="9"/>
      <c r="I825" s="9">
        <v>2</v>
      </c>
      <c r="J825" s="9">
        <v>12</v>
      </c>
      <c r="K825" s="9"/>
      <c r="L825" s="9" t="s">
        <v>12073</v>
      </c>
      <c r="M825" s="9" t="s">
        <v>12135</v>
      </c>
      <c r="N825" s="10" t="s">
        <v>12136</v>
      </c>
      <c r="O825" s="9"/>
      <c r="P825" s="9">
        <v>47</v>
      </c>
      <c r="Q825" s="9">
        <f t="shared" si="12"/>
        <v>5.647680845950493</v>
      </c>
      <c r="R825" s="9"/>
      <c r="S825" s="9" t="s">
        <v>12795</v>
      </c>
      <c r="T825" s="9" t="s">
        <v>12795</v>
      </c>
      <c r="U825" s="9"/>
      <c r="V825" s="9"/>
      <c r="W825" s="9"/>
      <c r="X825" s="9"/>
      <c r="Y825" s="9"/>
      <c r="Z825" s="9"/>
      <c r="AA825" s="9"/>
      <c r="AB825" s="9"/>
      <c r="AC825" s="9"/>
      <c r="AD825" s="9"/>
    </row>
    <row r="826" spans="1:30" ht="72.5">
      <c r="A826" s="3" t="s">
        <v>4154</v>
      </c>
      <c r="B826" s="3" t="s">
        <v>10599</v>
      </c>
      <c r="C826" s="3" t="s">
        <v>10600</v>
      </c>
      <c r="G826" s="9" t="s">
        <v>24</v>
      </c>
      <c r="H826" s="9"/>
      <c r="I826" s="9">
        <v>1</v>
      </c>
      <c r="J826" s="9">
        <v>2</v>
      </c>
      <c r="K826" s="9" t="s">
        <v>12078</v>
      </c>
      <c r="L826" s="9" t="s">
        <v>12119</v>
      </c>
      <c r="M826" s="9"/>
      <c r="N826" s="10"/>
      <c r="O826" s="9"/>
      <c r="P826" s="9">
        <v>11843</v>
      </c>
      <c r="Q826" s="9">
        <f t="shared" si="12"/>
        <v>1423.0954097572699</v>
      </c>
      <c r="R826" s="9"/>
      <c r="S826" s="9" t="s">
        <v>12795</v>
      </c>
      <c r="T826" s="9" t="s">
        <v>12795</v>
      </c>
      <c r="U826" s="9"/>
      <c r="V826" s="9"/>
      <c r="W826" s="9"/>
      <c r="X826" s="9"/>
      <c r="Y826" s="9"/>
      <c r="Z826" s="9"/>
      <c r="AA826" s="9"/>
      <c r="AB826" s="9"/>
      <c r="AC826" s="9"/>
      <c r="AD826" s="9"/>
    </row>
    <row r="827" spans="1:30" ht="72.5">
      <c r="A827" s="3" t="s">
        <v>4154</v>
      </c>
      <c r="B827" s="3" t="s">
        <v>10599</v>
      </c>
      <c r="C827" s="3" t="s">
        <v>10601</v>
      </c>
      <c r="G827" s="9" t="s">
        <v>24</v>
      </c>
      <c r="H827" s="9"/>
      <c r="I827" s="9">
        <v>1</v>
      </c>
      <c r="J827" s="9">
        <v>3</v>
      </c>
      <c r="K827" s="9" t="s">
        <v>12094</v>
      </c>
      <c r="L827" s="9" t="s">
        <v>12079</v>
      </c>
      <c r="M827" s="9"/>
      <c r="N827" s="10"/>
      <c r="O827" s="9"/>
      <c r="P827" s="9">
        <v>1741</v>
      </c>
      <c r="Q827" s="9">
        <f t="shared" si="12"/>
        <v>209.20451814467677</v>
      </c>
      <c r="R827" s="9"/>
      <c r="S827" s="9" t="s">
        <v>12795</v>
      </c>
      <c r="T827" s="9" t="s">
        <v>12795</v>
      </c>
      <c r="U827" s="9"/>
      <c r="V827" s="9"/>
      <c r="W827" s="9"/>
      <c r="X827" s="9"/>
      <c r="Y827" s="9"/>
      <c r="Z827" s="9"/>
      <c r="AA827" s="9"/>
      <c r="AB827" s="9"/>
      <c r="AC827" s="9"/>
      <c r="AD827" s="9"/>
    </row>
    <row r="828" spans="1:30" ht="72.5">
      <c r="A828" s="3" t="s">
        <v>4163</v>
      </c>
      <c r="B828" s="3" t="s">
        <v>10634</v>
      </c>
      <c r="C828" s="3" t="s">
        <v>10635</v>
      </c>
      <c r="G828" s="9" t="s">
        <v>24</v>
      </c>
      <c r="H828" s="9"/>
      <c r="I828" s="9">
        <v>1</v>
      </c>
      <c r="J828" s="9">
        <v>3</v>
      </c>
      <c r="K828" s="9" t="s">
        <v>12078</v>
      </c>
      <c r="L828" s="9" t="s">
        <v>12079</v>
      </c>
      <c r="M828" s="9"/>
      <c r="N828" s="10"/>
      <c r="O828" s="9"/>
      <c r="P828" s="9">
        <v>11843</v>
      </c>
      <c r="Q828" s="9">
        <f t="shared" si="12"/>
        <v>1423.0954097572699</v>
      </c>
      <c r="R828" s="9"/>
      <c r="S828" s="9" t="s">
        <v>12795</v>
      </c>
      <c r="T828" s="9" t="s">
        <v>12795</v>
      </c>
      <c r="U828" s="9"/>
      <c r="V828" s="9"/>
      <c r="W828" s="9"/>
      <c r="X828" s="9"/>
      <c r="Y828" s="9"/>
      <c r="Z828" s="9"/>
      <c r="AA828" s="9"/>
      <c r="AB828" s="9"/>
      <c r="AC828" s="9"/>
      <c r="AD828" s="9"/>
    </row>
    <row r="829" spans="1:30" ht="58">
      <c r="A829" s="3" t="s">
        <v>4163</v>
      </c>
      <c r="B829" s="3" t="s">
        <v>12732</v>
      </c>
      <c r="C829" s="3" t="s">
        <v>12733</v>
      </c>
      <c r="E829" t="s">
        <v>20</v>
      </c>
      <c r="G829" s="9" t="s">
        <v>24</v>
      </c>
      <c r="H829" s="9"/>
      <c r="I829" s="9">
        <v>1</v>
      </c>
      <c r="J829" s="9">
        <v>3</v>
      </c>
      <c r="K829" s="9" t="s">
        <v>12096</v>
      </c>
      <c r="L829" s="9" t="s">
        <v>12079</v>
      </c>
      <c r="M829" s="9"/>
      <c r="N829" s="10"/>
      <c r="O829" s="9"/>
      <c r="P829" s="9">
        <v>1101</v>
      </c>
      <c r="Q829" s="9">
        <f t="shared" si="12"/>
        <v>132.29992790194663</v>
      </c>
      <c r="R829" s="9"/>
      <c r="S829" s="9" t="s">
        <v>12795</v>
      </c>
      <c r="T829" s="9" t="s">
        <v>12795</v>
      </c>
      <c r="U829" s="9"/>
      <c r="V829" s="9"/>
      <c r="W829" s="9"/>
      <c r="X829" s="9"/>
      <c r="Y829" s="9"/>
      <c r="Z829" s="9"/>
      <c r="AA829" s="9"/>
      <c r="AB829" s="9"/>
      <c r="AC829" s="9"/>
      <c r="AD829" s="9"/>
    </row>
    <row r="830" spans="1:30" ht="29">
      <c r="A830" s="3" t="s">
        <v>4165</v>
      </c>
      <c r="B830" s="11" t="s">
        <v>10648</v>
      </c>
      <c r="C830" s="3" t="s">
        <v>10645</v>
      </c>
      <c r="F830" t="s">
        <v>19</v>
      </c>
      <c r="G830" s="9" t="s">
        <v>25</v>
      </c>
      <c r="H830" s="9"/>
      <c r="I830" s="9">
        <v>1</v>
      </c>
      <c r="J830" s="9">
        <v>2</v>
      </c>
      <c r="K830" s="9" t="s">
        <v>12078</v>
      </c>
      <c r="L830" s="9" t="s">
        <v>12119</v>
      </c>
      <c r="M830" s="9"/>
      <c r="N830" s="10"/>
      <c r="O830" s="9"/>
      <c r="P830" s="9">
        <v>11843</v>
      </c>
      <c r="Q830" s="9">
        <f t="shared" si="12"/>
        <v>1423.0954097572699</v>
      </c>
      <c r="R830" s="9"/>
      <c r="S830" s="9" t="s">
        <v>12795</v>
      </c>
      <c r="T830" s="9" t="s">
        <v>12795</v>
      </c>
      <c r="U830" s="9"/>
      <c r="V830" s="9"/>
      <c r="W830" s="9"/>
      <c r="X830" s="9"/>
      <c r="Y830" s="9"/>
      <c r="Z830" s="9"/>
      <c r="AA830" s="9"/>
      <c r="AB830" s="9"/>
      <c r="AC830" s="9"/>
      <c r="AD830" s="9"/>
    </row>
    <row r="831" spans="1:30" ht="43.5">
      <c r="A831" s="3" t="s">
        <v>4165</v>
      </c>
      <c r="B831" s="3" t="s">
        <v>10649</v>
      </c>
      <c r="C831" s="3" t="s">
        <v>10650</v>
      </c>
      <c r="G831" s="9" t="s">
        <v>25</v>
      </c>
      <c r="H831" s="9"/>
      <c r="I831" s="9">
        <v>1</v>
      </c>
      <c r="J831" s="9">
        <v>3</v>
      </c>
      <c r="K831" s="9" t="s">
        <v>12078</v>
      </c>
      <c r="L831" s="9" t="s">
        <v>12079</v>
      </c>
      <c r="M831" s="9"/>
      <c r="N831" s="10"/>
      <c r="O831" s="9"/>
      <c r="P831" s="9">
        <v>11843</v>
      </c>
      <c r="Q831" s="9">
        <f t="shared" si="12"/>
        <v>1423.0954097572699</v>
      </c>
      <c r="R831" s="9"/>
      <c r="S831" s="9" t="s">
        <v>12795</v>
      </c>
      <c r="T831" s="9" t="s">
        <v>12795</v>
      </c>
      <c r="U831" s="9"/>
      <c r="V831" s="9"/>
      <c r="W831" s="9"/>
      <c r="X831" s="9"/>
      <c r="Y831" s="9"/>
      <c r="Z831" s="9"/>
      <c r="AA831" s="9"/>
      <c r="AB831" s="9"/>
      <c r="AC831" s="9"/>
      <c r="AD831" s="9"/>
    </row>
    <row r="832" spans="1:30" ht="58">
      <c r="A832" s="3" t="s">
        <v>4167</v>
      </c>
      <c r="B832" s="3" t="s">
        <v>10654</v>
      </c>
      <c r="C832" s="3" t="s">
        <v>10653</v>
      </c>
      <c r="G832" s="9" t="s">
        <v>25</v>
      </c>
      <c r="H832" s="9"/>
      <c r="I832" s="9">
        <v>2</v>
      </c>
      <c r="J832" s="9">
        <v>7</v>
      </c>
      <c r="K832" s="9"/>
      <c r="L832" s="9" t="s">
        <v>12079</v>
      </c>
      <c r="M832" s="9"/>
      <c r="N832" s="10"/>
      <c r="O832" s="9"/>
      <c r="P832" s="9">
        <v>152</v>
      </c>
      <c r="Q832" s="9">
        <f t="shared" si="12"/>
        <v>18.264840182648403</v>
      </c>
      <c r="R832" s="9"/>
      <c r="S832" s="9" t="s">
        <v>12795</v>
      </c>
      <c r="T832" s="9" t="s">
        <v>12795</v>
      </c>
      <c r="U832" s="9"/>
      <c r="V832" s="9"/>
      <c r="W832" s="9"/>
      <c r="X832" s="9"/>
      <c r="Y832" s="9"/>
      <c r="Z832" s="9"/>
      <c r="AA832" s="9"/>
      <c r="AB832" s="9"/>
      <c r="AC832" s="9"/>
      <c r="AD832" s="9"/>
    </row>
    <row r="833" spans="1:30" ht="43.5">
      <c r="A833" s="3" t="s">
        <v>4168</v>
      </c>
      <c r="B833" s="3" t="s">
        <v>10657</v>
      </c>
      <c r="C833" s="3" t="s">
        <v>10658</v>
      </c>
      <c r="G833" s="9" t="s">
        <v>24</v>
      </c>
      <c r="H833" s="9"/>
      <c r="I833" s="9">
        <v>1</v>
      </c>
      <c r="J833" s="9">
        <v>3</v>
      </c>
      <c r="K833" s="9" t="s">
        <v>12078</v>
      </c>
      <c r="L833" s="9" t="s">
        <v>12079</v>
      </c>
      <c r="M833" s="9"/>
      <c r="N833" s="10"/>
      <c r="O833" s="9"/>
      <c r="P833" s="9">
        <v>11843</v>
      </c>
      <c r="Q833" s="9">
        <f t="shared" ref="Q833:Q896" si="13">IF(ISNUMBER(P833), (P833/$F$988)*10000, "")</f>
        <v>1423.0954097572699</v>
      </c>
      <c r="R833" s="9"/>
      <c r="S833" s="9" t="s">
        <v>12795</v>
      </c>
      <c r="T833" s="9" t="s">
        <v>12795</v>
      </c>
      <c r="U833" s="9"/>
      <c r="V833" s="9"/>
      <c r="W833" s="9"/>
      <c r="X833" s="9"/>
      <c r="Y833" s="9"/>
      <c r="Z833" s="9"/>
      <c r="AA833" s="9"/>
      <c r="AB833" s="9"/>
      <c r="AC833" s="9"/>
      <c r="AD833" s="9"/>
    </row>
    <row r="834" spans="1:30" ht="58">
      <c r="A834" s="3" t="s">
        <v>4168</v>
      </c>
      <c r="B834" s="3" t="s">
        <v>10662</v>
      </c>
      <c r="C834" s="3" t="s">
        <v>10661</v>
      </c>
      <c r="G834" s="9" t="s">
        <v>25</v>
      </c>
      <c r="H834" s="9"/>
      <c r="I834" s="9">
        <v>1</v>
      </c>
      <c r="J834" s="9">
        <v>3</v>
      </c>
      <c r="K834" s="9" t="s">
        <v>12087</v>
      </c>
      <c r="L834" s="9" t="s">
        <v>12079</v>
      </c>
      <c r="M834" s="9"/>
      <c r="N834" s="10"/>
      <c r="O834" s="9"/>
      <c r="P834" s="9">
        <v>5676</v>
      </c>
      <c r="Q834" s="9">
        <f t="shared" si="13"/>
        <v>682.04758471521268</v>
      </c>
      <c r="R834" s="9"/>
      <c r="S834" s="9" t="s">
        <v>12795</v>
      </c>
      <c r="T834" s="9" t="s">
        <v>12795</v>
      </c>
      <c r="U834" s="9"/>
      <c r="V834" s="9"/>
      <c r="W834" s="9"/>
      <c r="X834" s="9"/>
      <c r="Y834" s="9"/>
      <c r="Z834" s="9"/>
      <c r="AA834" s="9"/>
      <c r="AB834" s="9"/>
      <c r="AC834" s="9"/>
      <c r="AD834" s="9"/>
    </row>
    <row r="835" spans="1:30" ht="72.5">
      <c r="A835" s="3" t="s">
        <v>4168</v>
      </c>
      <c r="B835" s="3" t="s">
        <v>10666</v>
      </c>
      <c r="C835" s="3" t="s">
        <v>10665</v>
      </c>
      <c r="G835" s="9" t="s">
        <v>25</v>
      </c>
      <c r="H835" s="9"/>
      <c r="I835" s="9">
        <v>1</v>
      </c>
      <c r="J835" s="9">
        <v>11</v>
      </c>
      <c r="K835" s="9" t="s">
        <v>12125</v>
      </c>
      <c r="L835" s="9" t="s">
        <v>12073</v>
      </c>
      <c r="M835" s="9" t="s">
        <v>12149</v>
      </c>
      <c r="N835" s="10" t="s">
        <v>12170</v>
      </c>
      <c r="O835" s="9"/>
      <c r="P835" s="9">
        <v>1</v>
      </c>
      <c r="Q835" s="9">
        <f t="shared" si="13"/>
        <v>0.12016342225426581</v>
      </c>
      <c r="R835" s="9"/>
      <c r="S835" s="9" t="s">
        <v>12795</v>
      </c>
      <c r="T835" s="9" t="s">
        <v>12795</v>
      </c>
      <c r="U835" s="9"/>
      <c r="V835" s="9"/>
      <c r="W835" s="9"/>
      <c r="X835" s="9"/>
      <c r="Y835" s="9"/>
      <c r="Z835" s="9"/>
      <c r="AA835" s="9"/>
      <c r="AB835" s="9"/>
      <c r="AC835" s="9"/>
      <c r="AD835" s="9"/>
    </row>
    <row r="836" spans="1:30" ht="116">
      <c r="A836" s="3" t="s">
        <v>4171</v>
      </c>
      <c r="B836" s="3" t="s">
        <v>10668</v>
      </c>
      <c r="C836" s="3" t="s">
        <v>10667</v>
      </c>
      <c r="G836" s="9" t="s">
        <v>25</v>
      </c>
      <c r="H836" s="9"/>
      <c r="I836" s="9">
        <v>4</v>
      </c>
      <c r="J836" s="9">
        <v>21</v>
      </c>
      <c r="K836" s="9"/>
      <c r="L836" s="9" t="s">
        <v>12079</v>
      </c>
      <c r="M836" s="9"/>
      <c r="N836" s="10"/>
      <c r="O836" s="9"/>
      <c r="P836" s="9">
        <v>1</v>
      </c>
      <c r="Q836" s="9">
        <f t="shared" si="13"/>
        <v>0.12016342225426581</v>
      </c>
      <c r="R836" s="9"/>
      <c r="S836" s="9" t="s">
        <v>12795</v>
      </c>
      <c r="T836" s="9" t="s">
        <v>12795</v>
      </c>
      <c r="U836" s="9"/>
      <c r="V836" s="9"/>
      <c r="W836" s="9"/>
      <c r="X836" s="9"/>
      <c r="Y836" s="9"/>
      <c r="Z836" s="9"/>
      <c r="AA836" s="9"/>
      <c r="AB836" s="9"/>
      <c r="AC836" s="9"/>
      <c r="AD836" s="9"/>
    </row>
    <row r="837" spans="1:30" ht="58">
      <c r="A837" s="3" t="s">
        <v>4171</v>
      </c>
      <c r="B837" s="3" t="s">
        <v>10671</v>
      </c>
      <c r="C837" s="3" t="s">
        <v>10672</v>
      </c>
      <c r="E837" t="s">
        <v>20</v>
      </c>
      <c r="G837" s="9" t="s">
        <v>25</v>
      </c>
      <c r="H837" s="9"/>
      <c r="I837" s="9">
        <v>1</v>
      </c>
      <c r="J837" s="9">
        <v>5</v>
      </c>
      <c r="K837" s="9" t="s">
        <v>12094</v>
      </c>
      <c r="L837" s="9" t="s">
        <v>12079</v>
      </c>
      <c r="M837" s="9"/>
      <c r="N837" s="10"/>
      <c r="O837" s="9"/>
      <c r="P837" s="9">
        <v>4240</v>
      </c>
      <c r="Q837" s="9">
        <f t="shared" si="13"/>
        <v>509.49291035808699</v>
      </c>
      <c r="R837" s="9"/>
      <c r="S837" s="9" t="s">
        <v>12795</v>
      </c>
      <c r="T837" s="9" t="s">
        <v>12795</v>
      </c>
      <c r="U837" s="9"/>
      <c r="V837" s="9"/>
      <c r="W837" s="9"/>
      <c r="X837" s="9"/>
      <c r="Y837" s="9"/>
      <c r="Z837" s="9"/>
      <c r="AA837" s="9"/>
      <c r="AB837" s="9"/>
      <c r="AC837" s="9"/>
      <c r="AD837" s="9"/>
    </row>
    <row r="838" spans="1:30" ht="72.5">
      <c r="A838" s="3" t="s">
        <v>4174</v>
      </c>
      <c r="B838" s="3" t="s">
        <v>10687</v>
      </c>
      <c r="C838" s="3" t="s">
        <v>10686</v>
      </c>
      <c r="G838" s="9" t="s">
        <v>25</v>
      </c>
      <c r="H838" s="9"/>
      <c r="I838" s="9">
        <v>1</v>
      </c>
      <c r="J838" s="9">
        <v>5</v>
      </c>
      <c r="K838" s="9" t="s">
        <v>12092</v>
      </c>
      <c r="L838" s="9" t="s">
        <v>12079</v>
      </c>
      <c r="M838" s="9"/>
      <c r="N838" s="10"/>
      <c r="O838" s="9"/>
      <c r="P838" s="9">
        <v>147</v>
      </c>
      <c r="Q838" s="9">
        <f t="shared" si="13"/>
        <v>17.664023071377073</v>
      </c>
      <c r="R838" s="9"/>
      <c r="S838" s="9" t="s">
        <v>12795</v>
      </c>
      <c r="T838" s="9" t="s">
        <v>12795</v>
      </c>
      <c r="U838" s="9"/>
      <c r="V838" s="9"/>
      <c r="W838" s="9"/>
      <c r="X838" s="9"/>
      <c r="Y838" s="9"/>
      <c r="Z838" s="9"/>
      <c r="AA838" s="9"/>
      <c r="AB838" s="9"/>
      <c r="AC838" s="9"/>
      <c r="AD838" s="9"/>
    </row>
    <row r="839" spans="1:30" ht="43.5">
      <c r="A839" s="3" t="s">
        <v>4175</v>
      </c>
      <c r="B839" s="3" t="s">
        <v>10697</v>
      </c>
      <c r="C839" s="3" t="s">
        <v>10694</v>
      </c>
      <c r="G839" s="9" t="s">
        <v>25</v>
      </c>
      <c r="H839" s="9"/>
      <c r="I839" s="9">
        <v>1</v>
      </c>
      <c r="J839" s="9">
        <v>2</v>
      </c>
      <c r="K839" s="9" t="s">
        <v>12087</v>
      </c>
      <c r="L839" s="9" t="s">
        <v>12119</v>
      </c>
      <c r="M839" s="9"/>
      <c r="N839" s="10"/>
      <c r="O839" s="9"/>
      <c r="P839" s="9">
        <v>166</v>
      </c>
      <c r="Q839" s="9">
        <f t="shared" si="13"/>
        <v>19.947128094208121</v>
      </c>
      <c r="R839" s="9"/>
      <c r="S839" s="9" t="s">
        <v>12795</v>
      </c>
      <c r="T839" s="9" t="s">
        <v>12795</v>
      </c>
      <c r="U839" s="9"/>
      <c r="V839" s="9"/>
      <c r="W839" s="9"/>
      <c r="X839" s="9"/>
      <c r="Y839" s="9"/>
      <c r="Z839" s="9"/>
      <c r="AA839" s="9"/>
      <c r="AB839" s="9"/>
      <c r="AC839" s="9"/>
      <c r="AD839" s="9"/>
    </row>
    <row r="840" spans="1:30" ht="29">
      <c r="A840" s="3" t="s">
        <v>4179</v>
      </c>
      <c r="B840" s="3" t="s">
        <v>10723</v>
      </c>
      <c r="C840" s="3" t="s">
        <v>10722</v>
      </c>
      <c r="G840" s="9" t="s">
        <v>24</v>
      </c>
      <c r="H840" s="9"/>
      <c r="I840" s="9">
        <v>1</v>
      </c>
      <c r="J840" s="9">
        <v>3</v>
      </c>
      <c r="K840" s="9" t="s">
        <v>12078</v>
      </c>
      <c r="L840" s="9" t="s">
        <v>12079</v>
      </c>
      <c r="M840" s="9"/>
      <c r="N840" s="10"/>
      <c r="O840" s="9"/>
      <c r="P840" s="9">
        <v>11843</v>
      </c>
      <c r="Q840" s="9">
        <f t="shared" si="13"/>
        <v>1423.0954097572699</v>
      </c>
      <c r="R840" s="9"/>
      <c r="S840" s="9" t="s">
        <v>12795</v>
      </c>
      <c r="T840" s="9" t="s">
        <v>12795</v>
      </c>
      <c r="U840" s="9"/>
      <c r="V840" s="9"/>
      <c r="W840" s="9"/>
      <c r="X840" s="9"/>
      <c r="Y840" s="9"/>
      <c r="Z840" s="9"/>
      <c r="AA840" s="9"/>
      <c r="AB840" s="9"/>
      <c r="AC840" s="9"/>
      <c r="AD840" s="9"/>
    </row>
    <row r="841" spans="1:30" ht="43.5">
      <c r="A841" s="3" t="s">
        <v>4183</v>
      </c>
      <c r="B841" s="3" t="s">
        <v>10728</v>
      </c>
      <c r="C841" s="3" t="s">
        <v>10727</v>
      </c>
      <c r="G841" s="9" t="s">
        <v>24</v>
      </c>
      <c r="H841" s="9"/>
      <c r="I841" s="9">
        <v>1</v>
      </c>
      <c r="J841" s="9">
        <v>2</v>
      </c>
      <c r="K841" s="9" t="s">
        <v>12096</v>
      </c>
      <c r="L841" s="9" t="s">
        <v>12119</v>
      </c>
      <c r="M841" s="9"/>
      <c r="N841" s="10"/>
      <c r="O841" s="9"/>
      <c r="P841" s="9">
        <v>1294</v>
      </c>
      <c r="Q841" s="9">
        <f t="shared" si="13"/>
        <v>155.49146839701996</v>
      </c>
      <c r="R841" s="9"/>
      <c r="S841" s="9" t="s">
        <v>12795</v>
      </c>
      <c r="T841" s="9" t="s">
        <v>12795</v>
      </c>
      <c r="U841" s="9"/>
      <c r="V841" s="9"/>
      <c r="W841" s="9"/>
      <c r="X841" s="9"/>
      <c r="Y841" s="9"/>
      <c r="Z841" s="9"/>
      <c r="AA841" s="9"/>
      <c r="AB841" s="9"/>
      <c r="AC841" s="9"/>
      <c r="AD841" s="9"/>
    </row>
    <row r="842" spans="1:30" ht="116">
      <c r="A842" s="3" t="s">
        <v>4184</v>
      </c>
      <c r="B842" s="3" t="s">
        <v>12552</v>
      </c>
      <c r="C842" s="3" t="s">
        <v>12551</v>
      </c>
      <c r="G842" s="9" t="s">
        <v>25</v>
      </c>
      <c r="H842" s="9"/>
      <c r="I842" s="9">
        <v>1</v>
      </c>
      <c r="J842" s="9">
        <v>4</v>
      </c>
      <c r="K842" s="9" t="s">
        <v>12096</v>
      </c>
      <c r="L842" s="9" t="s">
        <v>12079</v>
      </c>
      <c r="M842" s="9"/>
      <c r="N842" s="10"/>
      <c r="O842" s="9"/>
      <c r="P842" s="9">
        <v>310</v>
      </c>
      <c r="Q842" s="9">
        <f t="shared" si="13"/>
        <v>37.250660898822396</v>
      </c>
      <c r="R842" s="9"/>
      <c r="S842" s="9" t="s">
        <v>12795</v>
      </c>
      <c r="T842" s="9" t="s">
        <v>12795</v>
      </c>
      <c r="U842" s="9"/>
      <c r="V842" s="9"/>
      <c r="W842" s="9"/>
      <c r="X842" s="9"/>
      <c r="Y842" s="9"/>
      <c r="Z842" s="9"/>
      <c r="AA842" s="9"/>
      <c r="AB842" s="9"/>
      <c r="AC842" s="9"/>
      <c r="AD842" s="9"/>
    </row>
    <row r="843" spans="1:30" ht="58">
      <c r="A843" s="3" t="s">
        <v>4185</v>
      </c>
      <c r="B843" s="3" t="s">
        <v>10734</v>
      </c>
      <c r="C843" s="3" t="s">
        <v>10733</v>
      </c>
      <c r="G843" s="9" t="s">
        <v>24</v>
      </c>
      <c r="H843" s="9"/>
      <c r="I843" s="9">
        <v>1</v>
      </c>
      <c r="J843" s="9">
        <v>5</v>
      </c>
      <c r="K843" s="9" t="s">
        <v>12094</v>
      </c>
      <c r="L843" s="9" t="s">
        <v>12073</v>
      </c>
      <c r="M843" s="9" t="s">
        <v>12142</v>
      </c>
      <c r="N843" s="10" t="s">
        <v>12143</v>
      </c>
      <c r="O843" s="9"/>
      <c r="P843" s="9">
        <v>4240</v>
      </c>
      <c r="Q843" s="9">
        <f t="shared" si="13"/>
        <v>509.49291035808699</v>
      </c>
      <c r="R843" s="9"/>
      <c r="S843" s="9" t="s">
        <v>12795</v>
      </c>
      <c r="T843" s="9" t="s">
        <v>12795</v>
      </c>
      <c r="U843" s="9"/>
      <c r="V843" s="9"/>
      <c r="W843" s="9"/>
      <c r="X843" s="9"/>
      <c r="Y843" s="9"/>
      <c r="Z843" s="9"/>
      <c r="AA843" s="9"/>
      <c r="AB843" s="9"/>
      <c r="AC843" s="9"/>
      <c r="AD843" s="9"/>
    </row>
    <row r="844" spans="1:30" ht="43.5">
      <c r="A844" s="3" t="s">
        <v>4188</v>
      </c>
      <c r="B844" s="3" t="s">
        <v>10739</v>
      </c>
      <c r="C844" s="3" t="s">
        <v>10740</v>
      </c>
      <c r="G844" s="9" t="s">
        <v>24</v>
      </c>
      <c r="H844" s="9"/>
      <c r="I844" s="9">
        <v>1</v>
      </c>
      <c r="J844" s="9">
        <v>5</v>
      </c>
      <c r="K844" s="9" t="s">
        <v>12125</v>
      </c>
      <c r="L844" s="9" t="s">
        <v>12073</v>
      </c>
      <c r="M844" s="9" t="s">
        <v>12142</v>
      </c>
      <c r="N844" s="10" t="s">
        <v>12170</v>
      </c>
      <c r="O844" s="9" t="s">
        <v>12074</v>
      </c>
      <c r="P844" s="9">
        <v>2042</v>
      </c>
      <c r="Q844" s="9">
        <f t="shared" si="13"/>
        <v>245.37370824321076</v>
      </c>
      <c r="R844" s="9"/>
      <c r="S844" s="9" t="s">
        <v>12795</v>
      </c>
      <c r="T844" s="9" t="s">
        <v>12795</v>
      </c>
      <c r="U844" s="9"/>
      <c r="V844" s="9"/>
      <c r="W844" s="9"/>
      <c r="X844" s="9"/>
      <c r="Y844" s="9"/>
      <c r="Z844" s="9"/>
      <c r="AA844" s="9"/>
      <c r="AB844" s="9"/>
      <c r="AC844" s="9"/>
      <c r="AD844" s="9"/>
    </row>
    <row r="845" spans="1:30" ht="43.5">
      <c r="A845" s="3" t="s">
        <v>4206</v>
      </c>
      <c r="B845" s="3" t="s">
        <v>10775</v>
      </c>
      <c r="C845" s="3" t="s">
        <v>10774</v>
      </c>
      <c r="G845" s="9" t="s">
        <v>25</v>
      </c>
      <c r="H845" s="9"/>
      <c r="I845" s="9">
        <v>1</v>
      </c>
      <c r="J845" s="9">
        <v>2</v>
      </c>
      <c r="K845" s="9" t="s">
        <v>12087</v>
      </c>
      <c r="L845" s="9" t="s">
        <v>12119</v>
      </c>
      <c r="M845" s="9"/>
      <c r="N845" s="10"/>
      <c r="O845" s="9"/>
      <c r="P845" s="9">
        <v>1966</v>
      </c>
      <c r="Q845" s="9">
        <f t="shared" si="13"/>
        <v>236.24128815188658</v>
      </c>
      <c r="R845" s="9"/>
      <c r="S845" s="9" t="s">
        <v>12795</v>
      </c>
      <c r="T845" s="9" t="s">
        <v>12795</v>
      </c>
      <c r="U845" s="9"/>
      <c r="V845" s="9"/>
      <c r="W845" s="9"/>
      <c r="X845" s="9"/>
      <c r="Y845" s="9"/>
      <c r="Z845" s="9"/>
      <c r="AA845" s="9"/>
      <c r="AB845" s="9"/>
      <c r="AC845" s="9"/>
      <c r="AD845" s="9"/>
    </row>
    <row r="846" spans="1:30" ht="43.5">
      <c r="A846" s="3" t="s">
        <v>4206</v>
      </c>
      <c r="B846" s="3" t="s">
        <v>10777</v>
      </c>
      <c r="C846" s="3" t="s">
        <v>10776</v>
      </c>
      <c r="G846" s="9" t="s">
        <v>24</v>
      </c>
      <c r="H846" s="9"/>
      <c r="I846" s="9">
        <v>1</v>
      </c>
      <c r="J846" s="9">
        <v>6</v>
      </c>
      <c r="K846" s="9" t="s">
        <v>12092</v>
      </c>
      <c r="L846" s="9" t="s">
        <v>12079</v>
      </c>
      <c r="M846" s="9"/>
      <c r="N846" s="10"/>
      <c r="O846" s="9"/>
      <c r="P846" s="9">
        <v>147</v>
      </c>
      <c r="Q846" s="9">
        <f t="shared" si="13"/>
        <v>17.664023071377073</v>
      </c>
      <c r="R846" s="9"/>
      <c r="S846" s="9" t="s">
        <v>12795</v>
      </c>
      <c r="T846" s="9" t="s">
        <v>12795</v>
      </c>
      <c r="U846" s="9"/>
      <c r="V846" s="9"/>
      <c r="W846" s="9"/>
      <c r="X846" s="9"/>
      <c r="Y846" s="9"/>
      <c r="Z846" s="9"/>
      <c r="AA846" s="9"/>
      <c r="AB846" s="9"/>
      <c r="AC846" s="9"/>
      <c r="AD846" s="9"/>
    </row>
    <row r="847" spans="1:30" ht="29">
      <c r="A847" s="3" t="s">
        <v>4209</v>
      </c>
      <c r="B847" s="3" t="s">
        <v>10785</v>
      </c>
      <c r="C847" s="3" t="s">
        <v>10784</v>
      </c>
      <c r="G847" s="9" t="s">
        <v>24</v>
      </c>
      <c r="H847" s="9"/>
      <c r="I847" s="9">
        <v>2</v>
      </c>
      <c r="J847" s="9">
        <v>5</v>
      </c>
      <c r="K847" s="9"/>
      <c r="L847" s="9" t="s">
        <v>12079</v>
      </c>
      <c r="M847" s="9"/>
      <c r="N847" s="10"/>
      <c r="O847" s="9"/>
      <c r="P847" s="9">
        <v>472</v>
      </c>
      <c r="Q847" s="9">
        <f t="shared" si="13"/>
        <v>56.71713530401346</v>
      </c>
      <c r="R847" s="9"/>
      <c r="S847" s="9" t="s">
        <v>12795</v>
      </c>
      <c r="T847" s="9" t="s">
        <v>12795</v>
      </c>
      <c r="U847" s="9"/>
      <c r="V847" s="9"/>
      <c r="W847" s="9"/>
      <c r="X847" s="9"/>
      <c r="Y847" s="9"/>
      <c r="Z847" s="9"/>
      <c r="AA847" s="9"/>
      <c r="AB847" s="9"/>
      <c r="AC847" s="9"/>
      <c r="AD847" s="9"/>
    </row>
    <row r="848" spans="1:30" ht="43.5">
      <c r="A848" s="3" t="s">
        <v>4238</v>
      </c>
      <c r="B848" s="3" t="s">
        <v>10833</v>
      </c>
      <c r="C848" s="3" t="s">
        <v>10832</v>
      </c>
      <c r="G848" s="9" t="s">
        <v>25</v>
      </c>
      <c r="H848" s="9"/>
      <c r="I848" s="9">
        <v>1</v>
      </c>
      <c r="J848" s="9">
        <v>5</v>
      </c>
      <c r="K848" s="9" t="s">
        <v>12094</v>
      </c>
      <c r="L848" s="9" t="s">
        <v>12079</v>
      </c>
      <c r="M848" s="9"/>
      <c r="N848" s="10"/>
      <c r="O848" s="9"/>
      <c r="P848" s="9">
        <v>4240</v>
      </c>
      <c r="Q848" s="9">
        <f t="shared" si="13"/>
        <v>509.49291035808699</v>
      </c>
      <c r="R848" s="9"/>
      <c r="S848" s="9" t="s">
        <v>12795</v>
      </c>
      <c r="T848" s="9" t="s">
        <v>12795</v>
      </c>
      <c r="U848" s="9"/>
      <c r="V848" s="9"/>
      <c r="W848" s="9"/>
      <c r="X848" s="9"/>
      <c r="Y848" s="9"/>
      <c r="Z848" s="9"/>
      <c r="AA848" s="9"/>
      <c r="AB848" s="9"/>
      <c r="AC848" s="9"/>
      <c r="AD848" s="9"/>
    </row>
    <row r="849" spans="1:30" ht="58">
      <c r="A849" s="3" t="s">
        <v>4242</v>
      </c>
      <c r="B849" s="3" t="s">
        <v>10836</v>
      </c>
      <c r="C849" s="3" t="s">
        <v>10835</v>
      </c>
      <c r="G849" s="9" t="s">
        <v>25</v>
      </c>
      <c r="H849" s="9"/>
      <c r="I849" s="9">
        <v>1</v>
      </c>
      <c r="J849" s="9">
        <v>3</v>
      </c>
      <c r="K849" s="9" t="s">
        <v>12087</v>
      </c>
      <c r="L849" s="9" t="s">
        <v>12079</v>
      </c>
      <c r="M849" s="9"/>
      <c r="N849" s="10"/>
      <c r="O849" s="9"/>
      <c r="P849" s="9">
        <v>5676</v>
      </c>
      <c r="Q849" s="9">
        <f t="shared" si="13"/>
        <v>682.04758471521268</v>
      </c>
      <c r="R849" s="9"/>
      <c r="S849" s="9" t="s">
        <v>12795</v>
      </c>
      <c r="T849" s="9" t="s">
        <v>12795</v>
      </c>
      <c r="U849" s="9"/>
      <c r="V849" s="9"/>
      <c r="W849" s="9"/>
      <c r="X849" s="9"/>
      <c r="Y849" s="9"/>
      <c r="Z849" s="9"/>
      <c r="AA849" s="9"/>
      <c r="AB849" s="9"/>
      <c r="AC849" s="9"/>
      <c r="AD849" s="9"/>
    </row>
    <row r="850" spans="1:30" ht="130.5">
      <c r="A850" s="3" t="s">
        <v>4264</v>
      </c>
      <c r="B850" s="3" t="s">
        <v>10868</v>
      </c>
      <c r="C850" s="3" t="s">
        <v>10869</v>
      </c>
      <c r="G850" s="9" t="s">
        <v>25</v>
      </c>
      <c r="H850" s="9"/>
      <c r="I850" s="9">
        <v>5</v>
      </c>
      <c r="J850" s="9">
        <v>31</v>
      </c>
      <c r="K850" s="9"/>
      <c r="L850" s="9" t="s">
        <v>12073</v>
      </c>
      <c r="M850" s="9" t="s">
        <v>12140</v>
      </c>
      <c r="N850" s="10" t="s">
        <v>12136</v>
      </c>
      <c r="O850" s="9"/>
      <c r="P850" s="9">
        <v>0</v>
      </c>
      <c r="Q850" s="9">
        <f t="shared" si="13"/>
        <v>0</v>
      </c>
      <c r="R850" s="9"/>
      <c r="S850" s="9" t="s">
        <v>12795</v>
      </c>
      <c r="T850" s="9" t="s">
        <v>12795</v>
      </c>
      <c r="U850" s="9"/>
      <c r="V850" s="9"/>
      <c r="W850" s="9"/>
      <c r="X850" s="9"/>
      <c r="Y850" s="9"/>
      <c r="Z850" s="9"/>
      <c r="AA850" s="9"/>
      <c r="AB850" s="9"/>
      <c r="AC850" s="9"/>
      <c r="AD850" s="9"/>
    </row>
    <row r="851" spans="1:30" ht="43.5">
      <c r="A851" s="3" t="s">
        <v>4265</v>
      </c>
      <c r="B851" s="3" t="s">
        <v>10872</v>
      </c>
      <c r="C851" s="3" t="s">
        <v>10875</v>
      </c>
      <c r="G851" s="9" t="s">
        <v>24</v>
      </c>
      <c r="H851" s="9"/>
      <c r="I851" s="9">
        <v>1</v>
      </c>
      <c r="J851" s="9">
        <v>3</v>
      </c>
      <c r="K851" s="9" t="s">
        <v>12078</v>
      </c>
      <c r="L851" s="9" t="s">
        <v>12079</v>
      </c>
      <c r="M851" s="9"/>
      <c r="N851" s="10"/>
      <c r="O851" s="9"/>
      <c r="P851" s="9">
        <v>11843</v>
      </c>
      <c r="Q851" s="9">
        <f t="shared" si="13"/>
        <v>1423.0954097572699</v>
      </c>
      <c r="R851" s="9"/>
      <c r="S851" s="9" t="s">
        <v>12795</v>
      </c>
      <c r="T851" s="9" t="s">
        <v>12795</v>
      </c>
      <c r="U851" s="9"/>
      <c r="V851" s="9"/>
      <c r="W851" s="9"/>
      <c r="X851" s="9"/>
      <c r="Y851" s="9"/>
      <c r="Z851" s="9"/>
      <c r="AA851" s="9"/>
      <c r="AB851" s="9"/>
      <c r="AC851" s="9"/>
      <c r="AD851" s="9"/>
    </row>
    <row r="852" spans="1:30" ht="58">
      <c r="A852" s="3" t="s">
        <v>4268</v>
      </c>
      <c r="B852" s="3" t="s">
        <v>10893</v>
      </c>
      <c r="C852" s="3" t="s">
        <v>10894</v>
      </c>
      <c r="G852" s="9" t="s">
        <v>24</v>
      </c>
      <c r="H852" s="9"/>
      <c r="I852" s="9">
        <v>1</v>
      </c>
      <c r="J852" s="9">
        <v>1</v>
      </c>
      <c r="K852" s="9" t="s">
        <v>12078</v>
      </c>
      <c r="L852" s="9" t="s">
        <v>12119</v>
      </c>
      <c r="M852" s="9"/>
      <c r="N852" s="10"/>
      <c r="O852" s="9"/>
      <c r="P852" s="9">
        <v>11843</v>
      </c>
      <c r="Q852" s="9">
        <f t="shared" si="13"/>
        <v>1423.0954097572699</v>
      </c>
      <c r="R852" s="9"/>
      <c r="S852" s="9" t="s">
        <v>12795</v>
      </c>
      <c r="T852" s="9" t="s">
        <v>12795</v>
      </c>
      <c r="U852" s="9"/>
      <c r="V852" s="9"/>
      <c r="W852" s="9"/>
      <c r="X852" s="9"/>
      <c r="Y852" s="9"/>
      <c r="Z852" s="9"/>
      <c r="AA852" s="9"/>
      <c r="AB852" s="9"/>
      <c r="AC852" s="9"/>
      <c r="AD852" s="9"/>
    </row>
    <row r="853" spans="1:30" ht="58">
      <c r="A853" s="3" t="s">
        <v>4270</v>
      </c>
      <c r="B853" s="3" t="s">
        <v>10902</v>
      </c>
      <c r="C853" s="3" t="s">
        <v>10903</v>
      </c>
      <c r="G853" s="9" t="s">
        <v>24</v>
      </c>
      <c r="H853" s="9"/>
      <c r="I853" s="9">
        <v>1</v>
      </c>
      <c r="J853" s="9">
        <v>2</v>
      </c>
      <c r="K853" s="9" t="s">
        <v>12087</v>
      </c>
      <c r="L853" s="9" t="s">
        <v>12119</v>
      </c>
      <c r="M853" s="9"/>
      <c r="N853" s="10"/>
      <c r="O853" s="9"/>
      <c r="P853" s="9">
        <v>166</v>
      </c>
      <c r="Q853" s="9">
        <f t="shared" si="13"/>
        <v>19.947128094208121</v>
      </c>
      <c r="R853" s="9"/>
      <c r="S853" s="9" t="s">
        <v>12795</v>
      </c>
      <c r="T853" s="9" t="s">
        <v>12795</v>
      </c>
      <c r="U853" s="9"/>
      <c r="V853" s="9"/>
      <c r="W853" s="9"/>
      <c r="X853" s="9"/>
      <c r="Y853" s="9"/>
      <c r="Z853" s="9"/>
      <c r="AA853" s="9"/>
      <c r="AB853" s="9"/>
      <c r="AC853" s="9"/>
      <c r="AD853" s="9"/>
    </row>
    <row r="854" spans="1:30" ht="29">
      <c r="A854" s="3" t="s">
        <v>4270</v>
      </c>
      <c r="B854" s="3" t="s">
        <v>10905</v>
      </c>
      <c r="C854" s="3" t="s">
        <v>10904</v>
      </c>
      <c r="G854" s="9" t="s">
        <v>24</v>
      </c>
      <c r="H854" s="9"/>
      <c r="I854" s="9">
        <v>1</v>
      </c>
      <c r="J854" s="9">
        <v>3</v>
      </c>
      <c r="K854" s="9" t="s">
        <v>12078</v>
      </c>
      <c r="L854" s="9" t="s">
        <v>12079</v>
      </c>
      <c r="M854" s="9"/>
      <c r="N854" s="10"/>
      <c r="O854" s="9"/>
      <c r="P854" s="9">
        <v>11843</v>
      </c>
      <c r="Q854" s="9">
        <f t="shared" si="13"/>
        <v>1423.0954097572699</v>
      </c>
      <c r="R854" s="9"/>
      <c r="S854" s="9" t="s">
        <v>12795</v>
      </c>
      <c r="T854" s="9" t="s">
        <v>12795</v>
      </c>
      <c r="U854" s="9"/>
      <c r="V854" s="9"/>
      <c r="W854" s="9"/>
      <c r="X854" s="9"/>
      <c r="Y854" s="9"/>
      <c r="Z854" s="9"/>
      <c r="AA854" s="9"/>
      <c r="AB854" s="9"/>
      <c r="AC854" s="9"/>
      <c r="AD854" s="9"/>
    </row>
    <row r="855" spans="1:30" ht="29">
      <c r="A855" s="3" t="s">
        <v>4293</v>
      </c>
      <c r="B855" s="3" t="s">
        <v>10936</v>
      </c>
      <c r="C855" s="3" t="s">
        <v>10935</v>
      </c>
      <c r="G855" s="9" t="s">
        <v>24</v>
      </c>
      <c r="H855" s="9"/>
      <c r="I855" s="9">
        <v>1</v>
      </c>
      <c r="J855" s="9">
        <v>3</v>
      </c>
      <c r="K855" s="9" t="s">
        <v>12078</v>
      </c>
      <c r="L855" s="9" t="s">
        <v>12079</v>
      </c>
      <c r="M855" s="9"/>
      <c r="N855" s="10"/>
      <c r="O855" s="9"/>
      <c r="P855" s="9">
        <v>11843</v>
      </c>
      <c r="Q855" s="9">
        <f t="shared" si="13"/>
        <v>1423.0954097572699</v>
      </c>
      <c r="R855" s="9"/>
      <c r="S855" s="9" t="s">
        <v>12795</v>
      </c>
      <c r="T855" s="9" t="s">
        <v>12795</v>
      </c>
      <c r="U855" s="9"/>
      <c r="V855" s="9"/>
      <c r="W855" s="9"/>
      <c r="X855" s="9"/>
      <c r="Y855" s="9"/>
      <c r="Z855" s="9"/>
      <c r="AA855" s="9"/>
      <c r="AB855" s="9"/>
      <c r="AC855" s="9"/>
      <c r="AD855" s="9"/>
    </row>
    <row r="856" spans="1:30" ht="29">
      <c r="A856" s="3" t="s">
        <v>4302</v>
      </c>
      <c r="B856" s="3" t="s">
        <v>10952</v>
      </c>
      <c r="C856" s="3" t="s">
        <v>10951</v>
      </c>
      <c r="G856" s="9" t="s">
        <v>24</v>
      </c>
      <c r="H856" s="9"/>
      <c r="I856" s="9">
        <v>1</v>
      </c>
      <c r="J856" s="9">
        <v>2</v>
      </c>
      <c r="K856" s="9" t="s">
        <v>12084</v>
      </c>
      <c r="L856" s="9" t="s">
        <v>12119</v>
      </c>
      <c r="M856" s="9"/>
      <c r="N856" s="10"/>
      <c r="O856" s="9"/>
      <c r="P856" s="9">
        <v>207</v>
      </c>
      <c r="Q856" s="9">
        <f t="shared" si="13"/>
        <v>24.873828406633024</v>
      </c>
      <c r="R856" s="9"/>
      <c r="S856" s="9" t="s">
        <v>12795</v>
      </c>
      <c r="T856" s="9" t="s">
        <v>12795</v>
      </c>
      <c r="U856" s="9"/>
      <c r="V856" s="9"/>
      <c r="W856" s="9"/>
      <c r="X856" s="9"/>
      <c r="Y856" s="9"/>
      <c r="Z856" s="9"/>
      <c r="AA856" s="9"/>
      <c r="AB856" s="9"/>
      <c r="AC856" s="9"/>
      <c r="AD856" s="9"/>
    </row>
    <row r="857" spans="1:30" ht="72.5">
      <c r="A857" s="3" t="s">
        <v>4309</v>
      </c>
      <c r="B857" s="3" t="s">
        <v>10962</v>
      </c>
      <c r="C857" s="3" t="s">
        <v>10961</v>
      </c>
      <c r="G857" s="9" t="s">
        <v>25</v>
      </c>
      <c r="H857" s="9"/>
      <c r="I857" s="9">
        <v>1</v>
      </c>
      <c r="J857" s="9">
        <v>5</v>
      </c>
      <c r="K857" s="9" t="s">
        <v>12094</v>
      </c>
      <c r="L857" s="9" t="s">
        <v>12073</v>
      </c>
      <c r="M857" s="9" t="s">
        <v>12142</v>
      </c>
      <c r="N857" s="10" t="s">
        <v>12143</v>
      </c>
      <c r="O857" s="9"/>
      <c r="P857" s="9">
        <v>4240</v>
      </c>
      <c r="Q857" s="9">
        <f t="shared" si="13"/>
        <v>509.49291035808699</v>
      </c>
      <c r="R857" s="9"/>
      <c r="S857" s="9" t="s">
        <v>12795</v>
      </c>
      <c r="T857" s="9" t="s">
        <v>12795</v>
      </c>
      <c r="U857" s="9"/>
      <c r="V857" s="9"/>
      <c r="W857" s="9"/>
      <c r="X857" s="9"/>
      <c r="Y857" s="9"/>
      <c r="Z857" s="9"/>
      <c r="AA857" s="9"/>
      <c r="AB857" s="9"/>
      <c r="AC857" s="9"/>
      <c r="AD857" s="9"/>
    </row>
    <row r="858" spans="1:30" ht="58">
      <c r="A858" s="3" t="s">
        <v>4317</v>
      </c>
      <c r="B858" s="3" t="s">
        <v>10983</v>
      </c>
      <c r="C858" s="3" t="s">
        <v>10982</v>
      </c>
      <c r="E858" t="s">
        <v>20</v>
      </c>
      <c r="G858" s="9" t="s">
        <v>25</v>
      </c>
      <c r="H858" s="9"/>
      <c r="I858" s="9">
        <v>1</v>
      </c>
      <c r="J858" s="9">
        <v>3</v>
      </c>
      <c r="K858" s="9" t="s">
        <v>12087</v>
      </c>
      <c r="L858" s="9" t="s">
        <v>12079</v>
      </c>
      <c r="M858" s="9"/>
      <c r="N858" s="10"/>
      <c r="O858" s="9"/>
      <c r="P858" s="9">
        <v>309</v>
      </c>
      <c r="Q858" s="9">
        <f t="shared" si="13"/>
        <v>37.130497476568131</v>
      </c>
      <c r="R858" s="9"/>
      <c r="S858" s="9" t="s">
        <v>12795</v>
      </c>
      <c r="T858" s="9" t="s">
        <v>12795</v>
      </c>
      <c r="U858" s="9"/>
      <c r="V858" s="9"/>
      <c r="W858" s="9"/>
      <c r="X858" s="9"/>
      <c r="Y858" s="9"/>
      <c r="Z858" s="9"/>
      <c r="AA858" s="9"/>
      <c r="AB858" s="9"/>
      <c r="AC858" s="9"/>
      <c r="AD858" s="9"/>
    </row>
    <row r="859" spans="1:30" ht="43.5">
      <c r="A859" s="3" t="s">
        <v>4321</v>
      </c>
      <c r="B859" s="3" t="s">
        <v>11002</v>
      </c>
      <c r="C859" s="3" t="s">
        <v>11001</v>
      </c>
      <c r="G859" s="9" t="s">
        <v>25</v>
      </c>
      <c r="H859" s="9"/>
      <c r="I859" s="9">
        <v>1</v>
      </c>
      <c r="J859" s="9">
        <v>3</v>
      </c>
      <c r="K859" s="9" t="s">
        <v>12094</v>
      </c>
      <c r="L859" s="9" t="s">
        <v>12079</v>
      </c>
      <c r="M859" s="9"/>
      <c r="N859" s="10"/>
      <c r="O859" s="9"/>
      <c r="P859" s="9">
        <v>1741</v>
      </c>
      <c r="Q859" s="9">
        <f t="shared" si="13"/>
        <v>209.20451814467677</v>
      </c>
      <c r="R859" s="9"/>
      <c r="S859" s="9" t="s">
        <v>12795</v>
      </c>
      <c r="T859" s="9" t="s">
        <v>12795</v>
      </c>
      <c r="U859" s="9"/>
      <c r="V859" s="9"/>
      <c r="W859" s="9"/>
      <c r="X859" s="9"/>
      <c r="Y859" s="9"/>
      <c r="Z859" s="9"/>
      <c r="AA859" s="9"/>
      <c r="AB859" s="9"/>
      <c r="AC859" s="9"/>
      <c r="AD859" s="9"/>
    </row>
    <row r="860" spans="1:30" ht="29">
      <c r="A860" s="3" t="s">
        <v>4323</v>
      </c>
      <c r="B860" s="3" t="s">
        <v>11006</v>
      </c>
      <c r="C860" s="3" t="s">
        <v>11005</v>
      </c>
      <c r="G860" s="9" t="s">
        <v>24</v>
      </c>
      <c r="H860" s="9"/>
      <c r="I860" s="9">
        <v>1</v>
      </c>
      <c r="J860" s="9">
        <v>3</v>
      </c>
      <c r="K860" s="9" t="s">
        <v>12078</v>
      </c>
      <c r="L860" s="9" t="s">
        <v>12079</v>
      </c>
      <c r="M860" s="9"/>
      <c r="N860" s="10"/>
      <c r="O860" s="9"/>
      <c r="P860" s="9">
        <v>11843</v>
      </c>
      <c r="Q860" s="9">
        <f t="shared" si="13"/>
        <v>1423.0954097572699</v>
      </c>
      <c r="R860" s="9"/>
      <c r="S860" s="9" t="s">
        <v>12795</v>
      </c>
      <c r="T860" s="9" t="s">
        <v>12795</v>
      </c>
      <c r="U860" s="9"/>
      <c r="V860" s="9"/>
      <c r="W860" s="9"/>
      <c r="X860" s="9"/>
      <c r="Y860" s="9"/>
      <c r="Z860" s="9"/>
      <c r="AA860" s="9"/>
      <c r="AB860" s="9"/>
      <c r="AC860" s="9"/>
      <c r="AD860" s="9"/>
    </row>
    <row r="861" spans="1:30" ht="145">
      <c r="A861" s="3" t="s">
        <v>4325</v>
      </c>
      <c r="B861" s="3" t="s">
        <v>12572</v>
      </c>
      <c r="C861" s="3" t="s">
        <v>12573</v>
      </c>
      <c r="G861" s="9" t="s">
        <v>25</v>
      </c>
      <c r="H861" s="9"/>
      <c r="I861" s="9">
        <v>8</v>
      </c>
      <c r="J861" s="9">
        <v>31</v>
      </c>
      <c r="K861" s="9"/>
      <c r="L861" s="9" t="s">
        <v>12073</v>
      </c>
      <c r="M861" s="9" t="s">
        <v>12140</v>
      </c>
      <c r="N861" s="10" t="s">
        <v>12278</v>
      </c>
      <c r="O861" s="9"/>
      <c r="P861" s="9">
        <v>6</v>
      </c>
      <c r="Q861" s="9">
        <f t="shared" si="13"/>
        <v>0.72098053352559488</v>
      </c>
      <c r="R861" s="9"/>
      <c r="S861" s="9" t="s">
        <v>12795</v>
      </c>
      <c r="T861" s="9" t="s">
        <v>12795</v>
      </c>
      <c r="U861" s="9"/>
      <c r="V861" s="9"/>
      <c r="W861" s="9"/>
      <c r="X861" s="9"/>
      <c r="Y861" s="9"/>
      <c r="Z861" s="9"/>
      <c r="AA861" s="9"/>
      <c r="AB861" s="9"/>
      <c r="AC861" s="9"/>
      <c r="AD861" s="9"/>
    </row>
    <row r="862" spans="1:30" ht="29">
      <c r="A862" s="3" t="s">
        <v>4327</v>
      </c>
      <c r="B862" s="3" t="s">
        <v>11010</v>
      </c>
      <c r="C862" s="3" t="s">
        <v>11011</v>
      </c>
      <c r="G862" s="9" t="s">
        <v>25</v>
      </c>
      <c r="H862" s="9"/>
      <c r="I862" s="9">
        <v>1</v>
      </c>
      <c r="J862" s="9">
        <v>3</v>
      </c>
      <c r="K862" s="9" t="s">
        <v>12087</v>
      </c>
      <c r="L862" s="9" t="s">
        <v>12079</v>
      </c>
      <c r="M862" s="9"/>
      <c r="N862" s="10"/>
      <c r="O862" s="9"/>
      <c r="P862" s="9">
        <v>356</v>
      </c>
      <c r="Q862" s="9">
        <f t="shared" si="13"/>
        <v>42.778178322518627</v>
      </c>
      <c r="R862" s="9"/>
      <c r="S862" s="9" t="s">
        <v>12795</v>
      </c>
      <c r="T862" s="9" t="s">
        <v>12795</v>
      </c>
      <c r="U862" s="9"/>
      <c r="V862" s="9"/>
      <c r="W862" s="9"/>
      <c r="X862" s="9"/>
      <c r="Y862" s="9"/>
      <c r="Z862" s="9"/>
      <c r="AA862" s="9"/>
      <c r="AB862" s="9"/>
      <c r="AC862" s="9"/>
      <c r="AD862" s="9"/>
    </row>
    <row r="863" spans="1:30" ht="58">
      <c r="A863" s="3" t="s">
        <v>4327</v>
      </c>
      <c r="B863" s="3" t="s">
        <v>11013</v>
      </c>
      <c r="C863" s="3" t="s">
        <v>11012</v>
      </c>
      <c r="G863" s="9" t="s">
        <v>25</v>
      </c>
      <c r="H863" s="9"/>
      <c r="I863" s="9">
        <v>2</v>
      </c>
      <c r="J863" s="9">
        <v>6</v>
      </c>
      <c r="K863" s="9"/>
      <c r="L863" s="9" t="s">
        <v>12079</v>
      </c>
      <c r="M863" s="9"/>
      <c r="N863" s="10"/>
      <c r="O863" s="9"/>
      <c r="P863" s="9">
        <v>128</v>
      </c>
      <c r="Q863" s="9">
        <f t="shared" si="13"/>
        <v>15.380918048546024</v>
      </c>
      <c r="R863" s="9"/>
      <c r="S863" s="9" t="s">
        <v>12795</v>
      </c>
      <c r="T863" s="9" t="s">
        <v>12795</v>
      </c>
      <c r="U863" s="9"/>
      <c r="V863" s="9"/>
      <c r="W863" s="9"/>
      <c r="X863" s="9"/>
      <c r="Y863" s="9"/>
      <c r="Z863" s="9"/>
      <c r="AA863" s="9"/>
      <c r="AB863" s="9"/>
      <c r="AC863" s="9"/>
      <c r="AD863" s="9"/>
    </row>
    <row r="864" spans="1:30" ht="43.5">
      <c r="A864" s="3" t="s">
        <v>4328</v>
      </c>
      <c r="B864" s="3" t="s">
        <v>11018</v>
      </c>
      <c r="C864" s="3" t="s">
        <v>11017</v>
      </c>
      <c r="G864" s="9" t="s">
        <v>25</v>
      </c>
      <c r="H864" s="9"/>
      <c r="I864" s="9">
        <v>1</v>
      </c>
      <c r="J864" s="9">
        <v>3</v>
      </c>
      <c r="K864" s="9" t="s">
        <v>12094</v>
      </c>
      <c r="L864" s="9" t="s">
        <v>12079</v>
      </c>
      <c r="M864" s="9"/>
      <c r="N864" s="10"/>
      <c r="O864" s="9"/>
      <c r="P864" s="9">
        <v>1496</v>
      </c>
      <c r="Q864" s="9">
        <f t="shared" si="13"/>
        <v>179.76447969238166</v>
      </c>
      <c r="R864" s="9"/>
      <c r="S864" s="9" t="s">
        <v>12795</v>
      </c>
      <c r="T864" s="9" t="s">
        <v>12795</v>
      </c>
      <c r="U864" s="9"/>
      <c r="V864" s="9"/>
      <c r="W864" s="9"/>
      <c r="X864" s="9"/>
      <c r="Y864" s="9"/>
      <c r="Z864" s="9"/>
      <c r="AA864" s="9"/>
      <c r="AB864" s="9"/>
      <c r="AC864" s="9"/>
      <c r="AD864" s="9"/>
    </row>
    <row r="865" spans="1:30" ht="43.5">
      <c r="A865" s="3" t="s">
        <v>4328</v>
      </c>
      <c r="B865" s="3" t="s">
        <v>11020</v>
      </c>
      <c r="C865" s="3" t="s">
        <v>11019</v>
      </c>
      <c r="G865" s="9" t="s">
        <v>24</v>
      </c>
      <c r="H865" s="9"/>
      <c r="I865" s="9">
        <v>1</v>
      </c>
      <c r="J865" s="9">
        <v>5</v>
      </c>
      <c r="K865" s="9" t="s">
        <v>12092</v>
      </c>
      <c r="L865" s="9" t="s">
        <v>12079</v>
      </c>
      <c r="M865" s="9"/>
      <c r="N865" s="10"/>
      <c r="O865" s="9"/>
      <c r="P865" s="9">
        <v>47</v>
      </c>
      <c r="Q865" s="9">
        <f t="shared" si="13"/>
        <v>5.647680845950493</v>
      </c>
      <c r="R865" s="9"/>
      <c r="S865" s="9" t="s">
        <v>12795</v>
      </c>
      <c r="T865" s="9" t="s">
        <v>12795</v>
      </c>
      <c r="U865" s="9"/>
      <c r="V865" s="9"/>
      <c r="W865" s="9"/>
      <c r="X865" s="9"/>
      <c r="Y865" s="9"/>
      <c r="Z865" s="9"/>
      <c r="AA865" s="9"/>
      <c r="AB865" s="9"/>
      <c r="AC865" s="9"/>
      <c r="AD865" s="9"/>
    </row>
    <row r="866" spans="1:30" ht="29">
      <c r="A866" s="3" t="s">
        <v>4331</v>
      </c>
      <c r="B866" s="3" t="s">
        <v>11025</v>
      </c>
      <c r="C866" s="3" t="s">
        <v>11024</v>
      </c>
      <c r="G866" s="9" t="s">
        <v>24</v>
      </c>
      <c r="H866" s="9"/>
      <c r="I866" s="9">
        <v>1</v>
      </c>
      <c r="J866" s="9">
        <v>2</v>
      </c>
      <c r="K866" s="9" t="s">
        <v>12078</v>
      </c>
      <c r="L866" s="9" t="s">
        <v>12119</v>
      </c>
      <c r="M866" s="9"/>
      <c r="N866" s="10"/>
      <c r="O866" s="9"/>
      <c r="P866" s="9">
        <v>11843</v>
      </c>
      <c r="Q866" s="9">
        <f t="shared" si="13"/>
        <v>1423.0954097572699</v>
      </c>
      <c r="R866" s="9"/>
      <c r="S866" s="9" t="s">
        <v>12795</v>
      </c>
      <c r="T866" s="9" t="s">
        <v>12795</v>
      </c>
      <c r="U866" s="9"/>
      <c r="V866" s="9"/>
      <c r="W866" s="9"/>
      <c r="X866" s="9"/>
      <c r="Y866" s="9"/>
      <c r="Z866" s="9"/>
      <c r="AA866" s="9"/>
      <c r="AB866" s="9"/>
      <c r="AC866" s="9"/>
      <c r="AD866" s="9"/>
    </row>
    <row r="867" spans="1:30" ht="43.5">
      <c r="A867" s="3" t="s">
        <v>4333</v>
      </c>
      <c r="B867" s="3" t="s">
        <v>11028</v>
      </c>
      <c r="C867" s="3" t="s">
        <v>11029</v>
      </c>
      <c r="G867" s="9" t="s">
        <v>25</v>
      </c>
      <c r="H867" s="9"/>
      <c r="I867" s="9">
        <v>1</v>
      </c>
      <c r="J867" s="9">
        <v>6</v>
      </c>
      <c r="K867" s="9" t="s">
        <v>12092</v>
      </c>
      <c r="L867" s="9" t="s">
        <v>12073</v>
      </c>
      <c r="M867" s="9" t="s">
        <v>12149</v>
      </c>
      <c r="N867" s="10" t="s">
        <v>12143</v>
      </c>
      <c r="O867" s="9"/>
      <c r="P867" s="9">
        <v>128</v>
      </c>
      <c r="Q867" s="9">
        <f t="shared" si="13"/>
        <v>15.380918048546024</v>
      </c>
      <c r="R867" s="9"/>
      <c r="S867" s="9" t="s">
        <v>12795</v>
      </c>
      <c r="T867" s="9" t="s">
        <v>12795</v>
      </c>
      <c r="U867" s="9"/>
      <c r="V867" s="9"/>
      <c r="W867" s="9"/>
      <c r="X867" s="9"/>
      <c r="Y867" s="9"/>
      <c r="Z867" s="9"/>
      <c r="AA867" s="9"/>
      <c r="AB867" s="9"/>
      <c r="AC867" s="9"/>
      <c r="AD867" s="9"/>
    </row>
    <row r="868" spans="1:30" ht="58">
      <c r="A868" s="3" t="s">
        <v>4335</v>
      </c>
      <c r="B868" s="3" t="s">
        <v>11032</v>
      </c>
      <c r="C868" s="3" t="s">
        <v>11031</v>
      </c>
      <c r="G868" s="9" t="s">
        <v>25</v>
      </c>
      <c r="H868" s="9"/>
      <c r="I868" s="9">
        <v>2</v>
      </c>
      <c r="J868" s="9">
        <v>10</v>
      </c>
      <c r="K868" s="9"/>
      <c r="L868" s="9" t="s">
        <v>12079</v>
      </c>
      <c r="M868" s="9"/>
      <c r="N868" s="10"/>
      <c r="O868" s="9"/>
      <c r="P868" s="9">
        <v>508</v>
      </c>
      <c r="Q868" s="9">
        <f t="shared" si="13"/>
        <v>61.043018505167026</v>
      </c>
      <c r="R868" s="9"/>
      <c r="S868" s="9" t="s">
        <v>12795</v>
      </c>
      <c r="T868" s="9" t="s">
        <v>12795</v>
      </c>
      <c r="U868" s="9"/>
      <c r="V868" s="9"/>
      <c r="W868" s="9"/>
      <c r="X868" s="9"/>
      <c r="Y868" s="9"/>
      <c r="Z868" s="9"/>
      <c r="AA868" s="9"/>
      <c r="AB868" s="9"/>
      <c r="AC868" s="9"/>
      <c r="AD868" s="9"/>
    </row>
    <row r="869" spans="1:30" ht="72.5">
      <c r="A869" s="3" t="s">
        <v>4335</v>
      </c>
      <c r="B869" s="3" t="s">
        <v>12946</v>
      </c>
      <c r="C869" s="3" t="s">
        <v>11033</v>
      </c>
      <c r="G869" s="9" t="s">
        <v>24</v>
      </c>
      <c r="H869" s="9"/>
      <c r="I869" s="9">
        <v>1</v>
      </c>
      <c r="J869" s="9">
        <v>6</v>
      </c>
      <c r="K869" s="9" t="s">
        <v>12072</v>
      </c>
      <c r="L869" s="9" t="s">
        <v>12073</v>
      </c>
      <c r="M869" s="9" t="s">
        <v>12142</v>
      </c>
      <c r="N869" s="10" t="s">
        <v>12143</v>
      </c>
      <c r="O869" s="9"/>
      <c r="P869" s="9">
        <v>92</v>
      </c>
      <c r="Q869" s="9">
        <f t="shared" si="13"/>
        <v>11.055034847392454</v>
      </c>
      <c r="R869" s="9"/>
      <c r="S869" s="9" t="s">
        <v>12795</v>
      </c>
      <c r="T869" s="9" t="s">
        <v>12795</v>
      </c>
      <c r="U869" s="9"/>
      <c r="V869" s="9"/>
      <c r="W869" s="9"/>
      <c r="X869" s="9"/>
      <c r="Y869" s="9"/>
      <c r="Z869" s="9"/>
      <c r="AA869" s="9"/>
      <c r="AB869" s="9"/>
      <c r="AC869" s="9"/>
      <c r="AD869" s="9"/>
    </row>
    <row r="870" spans="1:30" ht="101.5">
      <c r="A870" s="3" t="s">
        <v>4342</v>
      </c>
      <c r="B870" s="3" t="s">
        <v>11051</v>
      </c>
      <c r="C870" s="3" t="s">
        <v>11050</v>
      </c>
      <c r="G870" s="9" t="s">
        <v>25</v>
      </c>
      <c r="H870" s="9"/>
      <c r="I870" s="9">
        <v>6</v>
      </c>
      <c r="J870" s="9">
        <v>22</v>
      </c>
      <c r="K870" s="9"/>
      <c r="L870" s="9" t="s">
        <v>12079</v>
      </c>
      <c r="M870" s="9"/>
      <c r="N870" s="10"/>
      <c r="O870" s="9"/>
      <c r="P870" s="9">
        <v>6</v>
      </c>
      <c r="Q870" s="9">
        <f t="shared" si="13"/>
        <v>0.72098053352559488</v>
      </c>
      <c r="R870" s="9"/>
      <c r="S870" s="9" t="s">
        <v>12795</v>
      </c>
      <c r="T870" s="9" t="s">
        <v>12795</v>
      </c>
      <c r="U870" s="9"/>
      <c r="V870" s="9"/>
      <c r="W870" s="9"/>
      <c r="X870" s="9"/>
      <c r="Y870" s="9"/>
      <c r="Z870" s="9"/>
      <c r="AA870" s="9"/>
      <c r="AB870" s="9"/>
      <c r="AC870" s="9"/>
      <c r="AD870" s="9"/>
    </row>
    <row r="871" spans="1:30" ht="116">
      <c r="A871" s="3" t="s">
        <v>4345</v>
      </c>
      <c r="B871" s="3" t="s">
        <v>11058</v>
      </c>
      <c r="C871" s="3" t="s">
        <v>11057</v>
      </c>
      <c r="G871" s="9" t="s">
        <v>25</v>
      </c>
      <c r="H871" s="9"/>
      <c r="I871" s="9">
        <v>6</v>
      </c>
      <c r="J871" s="9">
        <v>26</v>
      </c>
      <c r="K871" s="9"/>
      <c r="L871" s="9" t="s">
        <v>12079</v>
      </c>
      <c r="M871" s="9"/>
      <c r="N871" s="10"/>
      <c r="O871" s="9"/>
      <c r="P871" s="9">
        <v>8</v>
      </c>
      <c r="Q871" s="9">
        <f t="shared" si="13"/>
        <v>0.96130737803412647</v>
      </c>
      <c r="R871" s="9"/>
      <c r="S871" s="9" t="s">
        <v>12795</v>
      </c>
      <c r="T871" s="9" t="s">
        <v>12795</v>
      </c>
      <c r="U871" s="9"/>
      <c r="V871" s="9"/>
      <c r="W871" s="9"/>
      <c r="X871" s="9"/>
      <c r="Y871" s="9"/>
      <c r="Z871" s="9"/>
      <c r="AA871" s="9"/>
      <c r="AB871" s="9"/>
      <c r="AC871" s="9"/>
      <c r="AD871" s="9"/>
    </row>
    <row r="872" spans="1:30" ht="58">
      <c r="A872" s="3" t="s">
        <v>4346</v>
      </c>
      <c r="B872" s="3" t="s">
        <v>11066</v>
      </c>
      <c r="C872" s="3" t="s">
        <v>11065</v>
      </c>
      <c r="G872" s="9" t="s">
        <v>25</v>
      </c>
      <c r="H872" s="9"/>
      <c r="I872" s="9">
        <v>1</v>
      </c>
      <c r="J872" s="9">
        <v>4</v>
      </c>
      <c r="K872" s="9" t="s">
        <v>12072</v>
      </c>
      <c r="L872" s="9" t="s">
        <v>12079</v>
      </c>
      <c r="M872" s="9"/>
      <c r="N872" s="10"/>
      <c r="O872" s="9"/>
      <c r="P872" s="9">
        <v>82</v>
      </c>
      <c r="Q872" s="9">
        <f t="shared" si="13"/>
        <v>9.8534006248497956</v>
      </c>
      <c r="R872" s="9"/>
      <c r="S872" s="9" t="s">
        <v>12795</v>
      </c>
      <c r="T872" s="9" t="s">
        <v>12795</v>
      </c>
      <c r="U872" s="9"/>
      <c r="V872" s="9"/>
      <c r="W872" s="9"/>
      <c r="X872" s="9"/>
      <c r="Y872" s="9"/>
      <c r="Z872" s="9"/>
      <c r="AA872" s="9"/>
      <c r="AB872" s="9"/>
      <c r="AC872" s="9"/>
      <c r="AD872" s="9"/>
    </row>
    <row r="873" spans="1:30" ht="43.5">
      <c r="A873" s="3" t="s">
        <v>4347</v>
      </c>
      <c r="B873" s="3" t="s">
        <v>11069</v>
      </c>
      <c r="C873" s="3" t="s">
        <v>11070</v>
      </c>
      <c r="G873" s="9" t="s">
        <v>25</v>
      </c>
      <c r="H873" s="9"/>
      <c r="I873" s="9">
        <v>1</v>
      </c>
      <c r="J873" s="9">
        <v>3</v>
      </c>
      <c r="K873" s="9" t="s">
        <v>12096</v>
      </c>
      <c r="L873" s="9" t="s">
        <v>12079</v>
      </c>
      <c r="M873" s="9"/>
      <c r="N873" s="10"/>
      <c r="O873" s="9"/>
      <c r="P873" s="9">
        <v>560</v>
      </c>
      <c r="Q873" s="9">
        <f t="shared" si="13"/>
        <v>67.291516462388842</v>
      </c>
      <c r="R873" s="9"/>
      <c r="S873" s="9" t="s">
        <v>12795</v>
      </c>
      <c r="T873" s="9" t="s">
        <v>12795</v>
      </c>
      <c r="U873" s="9"/>
      <c r="V873" s="9"/>
      <c r="W873" s="9"/>
      <c r="X873" s="9"/>
      <c r="Y873" s="9"/>
      <c r="Z873" s="9"/>
      <c r="AA873" s="9"/>
      <c r="AB873" s="9"/>
      <c r="AC873" s="9"/>
      <c r="AD873" s="9"/>
    </row>
    <row r="874" spans="1:30" ht="43.5">
      <c r="A874" s="3" t="s">
        <v>4359</v>
      </c>
      <c r="B874" s="3" t="s">
        <v>11091</v>
      </c>
      <c r="C874" s="3" t="s">
        <v>11094</v>
      </c>
      <c r="G874" s="9" t="s">
        <v>24</v>
      </c>
      <c r="H874" s="9"/>
      <c r="I874" s="9">
        <v>1</v>
      </c>
      <c r="J874" s="9">
        <v>3</v>
      </c>
      <c r="K874" s="9" t="s">
        <v>12078</v>
      </c>
      <c r="L874" s="9" t="s">
        <v>12079</v>
      </c>
      <c r="M874" s="9"/>
      <c r="N874" s="10"/>
      <c r="O874" s="9"/>
      <c r="P874" s="9">
        <v>11843</v>
      </c>
      <c r="Q874" s="9">
        <f t="shared" si="13"/>
        <v>1423.0954097572699</v>
      </c>
      <c r="R874" s="9"/>
      <c r="S874" s="9" t="s">
        <v>12795</v>
      </c>
      <c r="T874" s="9" t="s">
        <v>12795</v>
      </c>
      <c r="U874" s="9"/>
      <c r="V874" s="9"/>
      <c r="W874" s="9"/>
      <c r="X874" s="9"/>
      <c r="Y874" s="9"/>
      <c r="Z874" s="9"/>
      <c r="AA874" s="9"/>
      <c r="AB874" s="9"/>
      <c r="AC874" s="9"/>
      <c r="AD874" s="9"/>
    </row>
    <row r="875" spans="1:30" ht="43.5">
      <c r="A875" s="3" t="s">
        <v>4367</v>
      </c>
      <c r="B875" s="3" t="s">
        <v>11122</v>
      </c>
      <c r="C875" s="3" t="s">
        <v>11123</v>
      </c>
      <c r="G875" s="9" t="s">
        <v>25</v>
      </c>
      <c r="H875" s="9"/>
      <c r="I875" s="9">
        <v>1</v>
      </c>
      <c r="J875" s="9">
        <v>2</v>
      </c>
      <c r="K875" s="9" t="s">
        <v>12087</v>
      </c>
      <c r="L875" s="9" t="s">
        <v>12119</v>
      </c>
      <c r="M875" s="9"/>
      <c r="N875" s="10"/>
      <c r="O875" s="9"/>
      <c r="P875" s="9">
        <v>166</v>
      </c>
      <c r="Q875" s="9">
        <f t="shared" si="13"/>
        <v>19.947128094208121</v>
      </c>
      <c r="R875" s="9"/>
      <c r="S875" s="9" t="s">
        <v>12795</v>
      </c>
      <c r="T875" s="9" t="s">
        <v>12795</v>
      </c>
      <c r="U875" s="9"/>
      <c r="V875" s="9"/>
      <c r="W875" s="9"/>
      <c r="X875" s="9"/>
      <c r="Y875" s="9"/>
      <c r="Z875" s="9"/>
      <c r="AA875" s="9"/>
      <c r="AB875" s="9"/>
      <c r="AC875" s="9"/>
      <c r="AD875" s="9"/>
    </row>
    <row r="876" spans="1:30" ht="87">
      <c r="A876" s="3" t="s">
        <v>4370</v>
      </c>
      <c r="B876" s="3" t="s">
        <v>11133</v>
      </c>
      <c r="C876" s="3" t="s">
        <v>11134</v>
      </c>
      <c r="G876" s="9" t="s">
        <v>24</v>
      </c>
      <c r="H876" s="9"/>
      <c r="I876" s="9">
        <v>1</v>
      </c>
      <c r="J876" s="9">
        <v>2</v>
      </c>
      <c r="K876" s="9" t="s">
        <v>12096</v>
      </c>
      <c r="L876" s="9" t="s">
        <v>12119</v>
      </c>
      <c r="M876" s="9"/>
      <c r="N876" s="10"/>
      <c r="O876" s="9" t="s">
        <v>12074</v>
      </c>
      <c r="P876" s="9">
        <v>1294</v>
      </c>
      <c r="Q876" s="9">
        <f t="shared" si="13"/>
        <v>155.49146839701996</v>
      </c>
      <c r="R876" s="9"/>
      <c r="S876" s="9" t="s">
        <v>12795</v>
      </c>
      <c r="T876" s="9" t="s">
        <v>12795</v>
      </c>
      <c r="U876" s="9"/>
      <c r="V876" s="9"/>
      <c r="W876" s="9"/>
      <c r="X876" s="9"/>
      <c r="Y876" s="9"/>
      <c r="Z876" s="9"/>
      <c r="AA876" s="9"/>
      <c r="AB876" s="9"/>
      <c r="AC876" s="9"/>
      <c r="AD876" s="9"/>
    </row>
    <row r="877" spans="1:30" ht="87">
      <c r="A877" s="3" t="s">
        <v>4370</v>
      </c>
      <c r="B877" s="3" t="s">
        <v>11137</v>
      </c>
      <c r="C877" s="3" t="s">
        <v>11132</v>
      </c>
      <c r="G877" s="9" t="s">
        <v>25</v>
      </c>
      <c r="H877" s="9"/>
      <c r="I877" s="9">
        <v>4</v>
      </c>
      <c r="J877" s="9">
        <v>17</v>
      </c>
      <c r="K877" s="9"/>
      <c r="L877" s="9" t="s">
        <v>12073</v>
      </c>
      <c r="M877" s="9" t="s">
        <v>12140</v>
      </c>
      <c r="N877" s="10" t="s">
        <v>12136</v>
      </c>
      <c r="O877" s="9"/>
      <c r="P877" s="9">
        <v>63</v>
      </c>
      <c r="Q877" s="9">
        <f t="shared" si="13"/>
        <v>7.5702956020187457</v>
      </c>
      <c r="R877" s="9"/>
      <c r="S877" s="9" t="s">
        <v>12795</v>
      </c>
      <c r="T877" s="9" t="s">
        <v>12795</v>
      </c>
      <c r="U877" s="9"/>
      <c r="V877" s="9"/>
      <c r="W877" s="9"/>
      <c r="X877" s="9"/>
      <c r="Y877" s="9"/>
      <c r="Z877" s="9"/>
      <c r="AA877" s="9"/>
      <c r="AB877" s="9"/>
      <c r="AC877" s="9"/>
      <c r="AD877" s="9"/>
    </row>
    <row r="878" spans="1:30" ht="72.5">
      <c r="A878" s="3" t="s">
        <v>4372</v>
      </c>
      <c r="B878" s="3" t="s">
        <v>11143</v>
      </c>
      <c r="C878" s="3" t="s">
        <v>11142</v>
      </c>
      <c r="G878" s="9" t="s">
        <v>25</v>
      </c>
      <c r="H878" s="9"/>
      <c r="I878" s="9">
        <v>4</v>
      </c>
      <c r="J878" s="9">
        <v>20</v>
      </c>
      <c r="K878" s="9"/>
      <c r="L878" s="9" t="s">
        <v>12079</v>
      </c>
      <c r="M878" s="9"/>
      <c r="N878" s="10"/>
      <c r="O878" s="9"/>
      <c r="P878" s="9">
        <v>40</v>
      </c>
      <c r="Q878" s="9">
        <f t="shared" si="13"/>
        <v>4.8065368901706318</v>
      </c>
      <c r="R878" s="9"/>
      <c r="S878" s="9" t="s">
        <v>12795</v>
      </c>
      <c r="T878" s="9" t="s">
        <v>12795</v>
      </c>
      <c r="U878" s="9"/>
      <c r="V878" s="9"/>
      <c r="W878" s="9"/>
      <c r="X878" s="9"/>
      <c r="Y878" s="9"/>
      <c r="Z878" s="9"/>
      <c r="AA878" s="9"/>
      <c r="AB878" s="9"/>
      <c r="AC878" s="9"/>
      <c r="AD878" s="9"/>
    </row>
    <row r="879" spans="1:30" ht="188.5">
      <c r="A879" s="3" t="s">
        <v>4374</v>
      </c>
      <c r="B879" s="3" t="s">
        <v>11148</v>
      </c>
      <c r="C879" s="3" t="s">
        <v>11149</v>
      </c>
      <c r="G879" s="9" t="s">
        <v>25</v>
      </c>
      <c r="H879" s="9"/>
      <c r="I879" s="9">
        <v>8</v>
      </c>
      <c r="J879" s="9">
        <v>54</v>
      </c>
      <c r="K879" s="9"/>
      <c r="L879" s="9" t="s">
        <v>12079</v>
      </c>
      <c r="M879" s="9"/>
      <c r="N879" s="10"/>
      <c r="O879" s="9"/>
      <c r="P879" s="9">
        <v>3</v>
      </c>
      <c r="Q879" s="9">
        <f t="shared" si="13"/>
        <v>0.36049026676279744</v>
      </c>
      <c r="R879" s="9"/>
      <c r="S879" s="9" t="s">
        <v>12795</v>
      </c>
      <c r="T879" s="9" t="s">
        <v>12795</v>
      </c>
      <c r="U879" s="9"/>
      <c r="V879" s="9"/>
      <c r="W879" s="9"/>
      <c r="X879" s="9"/>
      <c r="Y879" s="9"/>
      <c r="Z879" s="9"/>
      <c r="AA879" s="9"/>
      <c r="AB879" s="9"/>
      <c r="AC879" s="9"/>
      <c r="AD879" s="9"/>
    </row>
    <row r="880" spans="1:30" ht="58">
      <c r="A880" s="3" t="s">
        <v>4376</v>
      </c>
      <c r="B880" s="3" t="s">
        <v>11155</v>
      </c>
      <c r="C880" s="3" t="s">
        <v>11154</v>
      </c>
      <c r="G880" s="9" t="s">
        <v>25</v>
      </c>
      <c r="H880" s="9"/>
      <c r="I880" s="9">
        <v>1</v>
      </c>
      <c r="J880" s="9">
        <v>2</v>
      </c>
      <c r="K880" s="9" t="s">
        <v>12087</v>
      </c>
      <c r="L880" s="9" t="s">
        <v>12119</v>
      </c>
      <c r="M880" s="9"/>
      <c r="N880" s="10"/>
      <c r="O880" s="9"/>
      <c r="P880" s="9">
        <v>1966</v>
      </c>
      <c r="Q880" s="9">
        <f t="shared" si="13"/>
        <v>236.24128815188658</v>
      </c>
      <c r="R880" s="9"/>
      <c r="S880" s="9" t="s">
        <v>12795</v>
      </c>
      <c r="T880" s="9" t="s">
        <v>12795</v>
      </c>
      <c r="U880" s="9"/>
      <c r="V880" s="9"/>
      <c r="W880" s="9"/>
      <c r="X880" s="9"/>
      <c r="Y880" s="9"/>
      <c r="Z880" s="9"/>
      <c r="AA880" s="9"/>
      <c r="AB880" s="9"/>
      <c r="AC880" s="9"/>
      <c r="AD880" s="9"/>
    </row>
    <row r="881" spans="1:30" ht="43.5">
      <c r="A881" s="3" t="s">
        <v>4377</v>
      </c>
      <c r="B881" s="3" t="s">
        <v>11166</v>
      </c>
      <c r="C881" s="3" t="s">
        <v>11165</v>
      </c>
      <c r="G881" s="9" t="s">
        <v>25</v>
      </c>
      <c r="H881" s="9"/>
      <c r="I881" s="9">
        <v>1</v>
      </c>
      <c r="J881" s="9">
        <v>1</v>
      </c>
      <c r="K881" s="9" t="s">
        <v>12078</v>
      </c>
      <c r="L881" s="9" t="s">
        <v>12119</v>
      </c>
      <c r="M881" s="9"/>
      <c r="N881" s="10"/>
      <c r="O881" s="9"/>
      <c r="P881" s="9">
        <v>11843</v>
      </c>
      <c r="Q881" s="9">
        <f t="shared" si="13"/>
        <v>1423.0954097572699</v>
      </c>
      <c r="R881" s="9"/>
      <c r="S881" s="9" t="s">
        <v>12795</v>
      </c>
      <c r="T881" s="9" t="s">
        <v>12795</v>
      </c>
      <c r="U881" s="9"/>
      <c r="V881" s="9"/>
      <c r="W881" s="9"/>
      <c r="X881" s="9"/>
      <c r="Y881" s="9"/>
      <c r="Z881" s="9"/>
      <c r="AA881" s="9"/>
      <c r="AB881" s="9"/>
      <c r="AC881" s="9"/>
      <c r="AD881" s="9"/>
    </row>
    <row r="882" spans="1:30" ht="43.5">
      <c r="A882" s="3" t="s">
        <v>4381</v>
      </c>
      <c r="B882" s="3" t="s">
        <v>11169</v>
      </c>
      <c r="C882" s="3" t="s">
        <v>11170</v>
      </c>
      <c r="F882" t="s">
        <v>19</v>
      </c>
      <c r="G882" s="9" t="s">
        <v>24</v>
      </c>
      <c r="H882" s="9"/>
      <c r="I882" s="9">
        <v>1</v>
      </c>
      <c r="J882" s="9">
        <v>5</v>
      </c>
      <c r="K882" s="9" t="s">
        <v>12094</v>
      </c>
      <c r="L882" s="9" t="s">
        <v>12073</v>
      </c>
      <c r="M882" s="9" t="s">
        <v>12149</v>
      </c>
      <c r="N882" s="10" t="s">
        <v>12143</v>
      </c>
      <c r="O882" s="9"/>
      <c r="P882" s="9">
        <v>4240</v>
      </c>
      <c r="Q882" s="9">
        <f t="shared" si="13"/>
        <v>509.49291035808699</v>
      </c>
      <c r="R882" s="9"/>
      <c r="S882" s="9" t="s">
        <v>12795</v>
      </c>
      <c r="T882" s="9" t="s">
        <v>12795</v>
      </c>
      <c r="U882" s="9"/>
      <c r="V882" s="9"/>
      <c r="W882" s="9"/>
      <c r="X882" s="9"/>
      <c r="Y882" s="9"/>
      <c r="Z882" s="9"/>
      <c r="AA882" s="9"/>
      <c r="AB882" s="9"/>
      <c r="AC882" s="9"/>
      <c r="AD882" s="9"/>
    </row>
    <row r="883" spans="1:30" ht="58">
      <c r="A883" s="3" t="s">
        <v>4412</v>
      </c>
      <c r="B883" s="3" t="s">
        <v>11231</v>
      </c>
      <c r="C883" s="3" t="s">
        <v>11232</v>
      </c>
      <c r="G883" s="9" t="s">
        <v>24</v>
      </c>
      <c r="H883" s="9"/>
      <c r="I883" s="9">
        <v>1</v>
      </c>
      <c r="J883" s="9">
        <v>3</v>
      </c>
      <c r="K883" s="9" t="s">
        <v>12078</v>
      </c>
      <c r="L883" s="9" t="s">
        <v>12079</v>
      </c>
      <c r="M883" s="9"/>
      <c r="N883" s="10"/>
      <c r="O883" s="9"/>
      <c r="P883" s="9">
        <v>11843</v>
      </c>
      <c r="Q883" s="9">
        <f t="shared" si="13"/>
        <v>1423.0954097572699</v>
      </c>
      <c r="R883" s="9"/>
      <c r="S883" s="9" t="s">
        <v>12795</v>
      </c>
      <c r="T883" s="9" t="s">
        <v>12795</v>
      </c>
      <c r="U883" s="9"/>
      <c r="V883" s="9"/>
      <c r="W883" s="9"/>
      <c r="X883" s="9"/>
      <c r="Y883" s="9"/>
      <c r="Z883" s="9"/>
      <c r="AA883" s="9"/>
      <c r="AB883" s="9"/>
      <c r="AC883" s="9"/>
      <c r="AD883" s="9"/>
    </row>
    <row r="884" spans="1:30" ht="29">
      <c r="A884" s="3" t="s">
        <v>4419</v>
      </c>
      <c r="B884" s="3" t="s">
        <v>11241</v>
      </c>
      <c r="C884" s="3" t="s">
        <v>11242</v>
      </c>
      <c r="G884" s="9" t="s">
        <v>25</v>
      </c>
      <c r="H884" s="9"/>
      <c r="I884" s="9">
        <v>1</v>
      </c>
      <c r="J884" s="9">
        <v>3</v>
      </c>
      <c r="K884" s="9" t="s">
        <v>12078</v>
      </c>
      <c r="L884" s="9" t="s">
        <v>12079</v>
      </c>
      <c r="M884" s="9"/>
      <c r="N884" s="10"/>
      <c r="O884" s="9"/>
      <c r="P884" s="9">
        <v>11843</v>
      </c>
      <c r="Q884" s="9">
        <f t="shared" si="13"/>
        <v>1423.0954097572699</v>
      </c>
      <c r="R884" s="9"/>
      <c r="S884" s="9" t="s">
        <v>12795</v>
      </c>
      <c r="T884" s="9" t="s">
        <v>12795</v>
      </c>
      <c r="U884" s="9"/>
      <c r="V884" s="9"/>
      <c r="W884" s="9"/>
      <c r="X884" s="9"/>
      <c r="Y884" s="9"/>
      <c r="Z884" s="9"/>
      <c r="AA884" s="9"/>
      <c r="AB884" s="9"/>
      <c r="AC884" s="9"/>
      <c r="AD884" s="9"/>
    </row>
    <row r="885" spans="1:30" ht="29">
      <c r="A885" s="3" t="s">
        <v>4423</v>
      </c>
      <c r="B885" s="3" t="s">
        <v>11251</v>
      </c>
      <c r="C885" s="3" t="s">
        <v>11252</v>
      </c>
      <c r="G885" s="9" t="s">
        <v>25</v>
      </c>
      <c r="H885" s="9"/>
      <c r="I885" s="9">
        <v>1</v>
      </c>
      <c r="J885" s="9">
        <v>3</v>
      </c>
      <c r="K885" s="9" t="s">
        <v>12078</v>
      </c>
      <c r="L885" s="9" t="s">
        <v>12079</v>
      </c>
      <c r="M885" s="9"/>
      <c r="N885" s="10"/>
      <c r="O885" s="9"/>
      <c r="P885" s="9">
        <v>11843</v>
      </c>
      <c r="Q885" s="9">
        <f t="shared" si="13"/>
        <v>1423.0954097572699</v>
      </c>
      <c r="R885" s="9"/>
      <c r="S885" s="9" t="s">
        <v>12795</v>
      </c>
      <c r="T885" s="9" t="s">
        <v>12795</v>
      </c>
      <c r="U885" s="9"/>
      <c r="V885" s="9"/>
      <c r="W885" s="9"/>
      <c r="X885" s="9"/>
      <c r="Y885" s="9"/>
      <c r="Z885" s="9"/>
      <c r="AA885" s="9"/>
      <c r="AB885" s="9"/>
      <c r="AC885" s="9"/>
      <c r="AD885" s="9"/>
    </row>
    <row r="886" spans="1:30" ht="58">
      <c r="A886" s="3" t="s">
        <v>4424</v>
      </c>
      <c r="B886" s="3" t="s">
        <v>11255</v>
      </c>
      <c r="C886" s="3" t="s">
        <v>11256</v>
      </c>
      <c r="F886" t="s">
        <v>19</v>
      </c>
      <c r="G886" s="9" t="s">
        <v>24</v>
      </c>
      <c r="H886" s="9"/>
      <c r="I886" s="9">
        <v>1</v>
      </c>
      <c r="J886" s="9">
        <v>3</v>
      </c>
      <c r="K886" s="9" t="s">
        <v>12094</v>
      </c>
      <c r="L886" s="9" t="s">
        <v>12079</v>
      </c>
      <c r="M886" s="9"/>
      <c r="N886" s="10"/>
      <c r="O886" s="9"/>
      <c r="P886" s="9">
        <v>301</v>
      </c>
      <c r="Q886" s="9">
        <f t="shared" si="13"/>
        <v>36.16919009853401</v>
      </c>
      <c r="R886" s="9"/>
      <c r="S886" s="9" t="s">
        <v>12795</v>
      </c>
      <c r="T886" s="9" t="s">
        <v>12795</v>
      </c>
      <c r="U886" s="9"/>
      <c r="V886" s="9"/>
      <c r="W886" s="9"/>
      <c r="X886" s="9"/>
      <c r="Y886" s="9"/>
      <c r="Z886" s="9"/>
      <c r="AA886" s="9"/>
      <c r="AB886" s="9"/>
      <c r="AC886" s="9"/>
      <c r="AD886" s="9"/>
    </row>
    <row r="887" spans="1:30" ht="101.5">
      <c r="A887" s="3" t="s">
        <v>4438</v>
      </c>
      <c r="B887" s="3" t="s">
        <v>11277</v>
      </c>
      <c r="C887" s="3" t="s">
        <v>11282</v>
      </c>
      <c r="G887" s="9" t="s">
        <v>24</v>
      </c>
      <c r="H887" s="9"/>
      <c r="I887" s="9">
        <v>1</v>
      </c>
      <c r="J887" s="9">
        <v>5</v>
      </c>
      <c r="K887" s="9" t="s">
        <v>12094</v>
      </c>
      <c r="L887" s="9" t="s">
        <v>12073</v>
      </c>
      <c r="M887" s="9" t="s">
        <v>12149</v>
      </c>
      <c r="N887" s="10" t="s">
        <v>12143</v>
      </c>
      <c r="O887" s="9"/>
      <c r="P887" s="9">
        <v>4240</v>
      </c>
      <c r="Q887" s="9">
        <f t="shared" si="13"/>
        <v>509.49291035808699</v>
      </c>
      <c r="R887" s="9"/>
      <c r="S887" s="9" t="s">
        <v>12795</v>
      </c>
      <c r="T887" s="9" t="s">
        <v>12795</v>
      </c>
      <c r="U887" s="9"/>
      <c r="V887" s="9"/>
      <c r="W887" s="9"/>
      <c r="X887" s="9"/>
      <c r="Y887" s="9"/>
      <c r="Z887" s="9"/>
      <c r="AA887" s="9"/>
      <c r="AB887" s="9"/>
      <c r="AC887" s="9"/>
      <c r="AD887" s="9"/>
    </row>
    <row r="888" spans="1:30" ht="58">
      <c r="A888" s="3" t="s">
        <v>4440</v>
      </c>
      <c r="B888" s="3" t="s">
        <v>11294</v>
      </c>
      <c r="C888" s="3" t="s">
        <v>11295</v>
      </c>
      <c r="G888" s="9" t="s">
        <v>25</v>
      </c>
      <c r="H888" s="9"/>
      <c r="I888" s="9">
        <v>2</v>
      </c>
      <c r="J888" s="9">
        <v>7</v>
      </c>
      <c r="K888" s="9"/>
      <c r="L888" s="9" t="s">
        <v>12079</v>
      </c>
      <c r="M888" s="9"/>
      <c r="N888" s="10"/>
      <c r="O888" s="9"/>
      <c r="P888" s="9">
        <v>444</v>
      </c>
      <c r="Q888" s="9">
        <f t="shared" si="13"/>
        <v>53.352559480894016</v>
      </c>
      <c r="R888" s="9"/>
      <c r="S888" s="9" t="s">
        <v>12795</v>
      </c>
      <c r="T888" s="9" t="s">
        <v>12795</v>
      </c>
      <c r="U888" s="9"/>
      <c r="V888" s="9"/>
      <c r="W888" s="9"/>
      <c r="X888" s="9"/>
      <c r="Y888" s="9"/>
      <c r="Z888" s="9"/>
      <c r="AA888" s="9"/>
      <c r="AB888" s="9"/>
      <c r="AC888" s="9"/>
      <c r="AD888" s="9"/>
    </row>
    <row r="889" spans="1:30" ht="29">
      <c r="A889" s="3" t="s">
        <v>4447</v>
      </c>
      <c r="B889" s="3" t="s">
        <v>11305</v>
      </c>
      <c r="C889" s="3" t="s">
        <v>11304</v>
      </c>
      <c r="G889" s="9" t="s">
        <v>24</v>
      </c>
      <c r="H889" s="9"/>
      <c r="I889" s="9">
        <v>1</v>
      </c>
      <c r="J889" s="9">
        <v>1</v>
      </c>
      <c r="K889" s="9" t="s">
        <v>12078</v>
      </c>
      <c r="L889" s="9" t="s">
        <v>12119</v>
      </c>
      <c r="M889" s="9"/>
      <c r="N889" s="10"/>
      <c r="O889" s="9"/>
      <c r="P889" s="9">
        <v>11843</v>
      </c>
      <c r="Q889" s="9">
        <f t="shared" si="13"/>
        <v>1423.0954097572699</v>
      </c>
      <c r="R889" s="9"/>
      <c r="S889" s="9" t="s">
        <v>12795</v>
      </c>
      <c r="T889" s="9" t="s">
        <v>12795</v>
      </c>
      <c r="U889" s="9"/>
      <c r="V889" s="9"/>
      <c r="W889" s="9"/>
      <c r="X889" s="9"/>
      <c r="Y889" s="9"/>
      <c r="Z889" s="9"/>
      <c r="AA889" s="9"/>
      <c r="AB889" s="9"/>
      <c r="AC889" s="9"/>
      <c r="AD889" s="9"/>
    </row>
    <row r="890" spans="1:30" ht="72.5">
      <c r="A890" s="3" t="s">
        <v>4460</v>
      </c>
      <c r="B890" s="3" t="s">
        <v>11329</v>
      </c>
      <c r="C890" s="3" t="s">
        <v>11328</v>
      </c>
      <c r="G890" s="9" t="s">
        <v>25</v>
      </c>
      <c r="H890" s="9"/>
      <c r="I890" s="9">
        <v>1</v>
      </c>
      <c r="J890" s="9">
        <v>3</v>
      </c>
      <c r="K890" s="9" t="s">
        <v>12087</v>
      </c>
      <c r="L890" s="9" t="s">
        <v>12079</v>
      </c>
      <c r="M890" s="9"/>
      <c r="N890" s="10"/>
      <c r="O890" s="9"/>
      <c r="P890" s="9">
        <v>5676</v>
      </c>
      <c r="Q890" s="9">
        <f t="shared" si="13"/>
        <v>682.04758471521268</v>
      </c>
      <c r="R890" s="9"/>
      <c r="S890" s="9" t="s">
        <v>12795</v>
      </c>
      <c r="T890" s="9" t="s">
        <v>12795</v>
      </c>
      <c r="U890" s="9"/>
      <c r="V890" s="9"/>
      <c r="W890" s="9"/>
      <c r="X890" s="9"/>
      <c r="Y890" s="9"/>
      <c r="Z890" s="9"/>
      <c r="AA890" s="9"/>
      <c r="AB890" s="9"/>
      <c r="AC890" s="9"/>
      <c r="AD890" s="9"/>
    </row>
    <row r="891" spans="1:30" ht="43.5">
      <c r="A891" s="3" t="s">
        <v>4475</v>
      </c>
      <c r="B891" s="3" t="s">
        <v>11341</v>
      </c>
      <c r="C891" s="3" t="s">
        <v>11340</v>
      </c>
      <c r="G891" s="9" t="s">
        <v>24</v>
      </c>
      <c r="H891" s="9"/>
      <c r="I891" s="9">
        <v>1</v>
      </c>
      <c r="J891" s="9">
        <v>1</v>
      </c>
      <c r="K891" s="9" t="s">
        <v>12078</v>
      </c>
      <c r="L891" s="9" t="s">
        <v>12119</v>
      </c>
      <c r="M891" s="9"/>
      <c r="N891" s="10"/>
      <c r="O891" s="9"/>
      <c r="P891" s="9">
        <v>11843</v>
      </c>
      <c r="Q891" s="9">
        <f t="shared" si="13"/>
        <v>1423.0954097572699</v>
      </c>
      <c r="R891" s="9"/>
      <c r="S891" s="9" t="s">
        <v>12795</v>
      </c>
      <c r="T891" s="9" t="s">
        <v>12795</v>
      </c>
      <c r="U891" s="9"/>
      <c r="V891" s="9"/>
      <c r="W891" s="9"/>
      <c r="X891" s="9"/>
      <c r="Y891" s="9"/>
      <c r="Z891" s="9"/>
      <c r="AA891" s="9"/>
      <c r="AB891" s="9"/>
      <c r="AC891" s="9"/>
      <c r="AD891" s="9"/>
    </row>
    <row r="892" spans="1:30" ht="43.5">
      <c r="A892" s="3" t="s">
        <v>4481</v>
      </c>
      <c r="B892" s="3" t="s">
        <v>11349</v>
      </c>
      <c r="C892" s="3" t="s">
        <v>11346</v>
      </c>
      <c r="G892" s="9" t="s">
        <v>25</v>
      </c>
      <c r="H892" s="9"/>
      <c r="I892" s="9">
        <v>2</v>
      </c>
      <c r="J892" s="9">
        <v>8</v>
      </c>
      <c r="K892" s="9"/>
      <c r="L892" s="9" t="s">
        <v>12079</v>
      </c>
      <c r="M892" s="9"/>
      <c r="N892" s="10"/>
      <c r="O892" s="9"/>
      <c r="P892" s="9">
        <v>16</v>
      </c>
      <c r="Q892" s="9">
        <f t="shared" si="13"/>
        <v>1.9226147560682529</v>
      </c>
      <c r="R892" s="9"/>
      <c r="S892" s="9" t="s">
        <v>12795</v>
      </c>
      <c r="T892" s="9" t="s">
        <v>12795</v>
      </c>
      <c r="U892" s="9"/>
      <c r="V892" s="9"/>
      <c r="W892" s="9"/>
      <c r="X892" s="9"/>
      <c r="Y892" s="9"/>
      <c r="Z892" s="9"/>
      <c r="AA892" s="9"/>
      <c r="AB892" s="9"/>
      <c r="AC892" s="9"/>
      <c r="AD892" s="9"/>
    </row>
    <row r="893" spans="1:30" ht="87">
      <c r="A893" s="3" t="s">
        <v>4483</v>
      </c>
      <c r="B893" s="3" t="s">
        <v>11356</v>
      </c>
      <c r="C893" s="3" t="s">
        <v>11357</v>
      </c>
      <c r="G893" s="9" t="s">
        <v>24</v>
      </c>
      <c r="H893" s="9"/>
      <c r="I893" s="9">
        <v>1</v>
      </c>
      <c r="J893" s="9">
        <v>3</v>
      </c>
      <c r="K893" s="9" t="s">
        <v>12078</v>
      </c>
      <c r="L893" s="9" t="s">
        <v>12079</v>
      </c>
      <c r="M893" s="9"/>
      <c r="N893" s="10"/>
      <c r="O893" s="9"/>
      <c r="P893" s="9">
        <v>11843</v>
      </c>
      <c r="Q893" s="9">
        <f t="shared" si="13"/>
        <v>1423.0954097572699</v>
      </c>
      <c r="R893" s="9"/>
      <c r="S893" s="9" t="s">
        <v>12795</v>
      </c>
      <c r="T893" s="9" t="s">
        <v>12795</v>
      </c>
      <c r="U893" s="9"/>
      <c r="V893" s="9"/>
      <c r="W893" s="9"/>
      <c r="X893" s="9"/>
      <c r="Y893" s="9"/>
      <c r="Z893" s="9"/>
      <c r="AA893" s="9"/>
      <c r="AB893" s="9"/>
      <c r="AC893" s="9"/>
      <c r="AD893" s="9"/>
    </row>
    <row r="894" spans="1:30" ht="29">
      <c r="A894" s="3" t="s">
        <v>4485</v>
      </c>
      <c r="B894" s="3" t="s">
        <v>11367</v>
      </c>
      <c r="C894" s="3" t="s">
        <v>11368</v>
      </c>
      <c r="F894" t="s">
        <v>19</v>
      </c>
      <c r="G894" s="9" t="s">
        <v>25</v>
      </c>
      <c r="H894" s="9"/>
      <c r="I894" s="9">
        <v>1</v>
      </c>
      <c r="J894" s="9">
        <v>3</v>
      </c>
      <c r="K894" s="9" t="s">
        <v>12078</v>
      </c>
      <c r="L894" s="9" t="s">
        <v>12079</v>
      </c>
      <c r="M894" s="9"/>
      <c r="N894" s="10"/>
      <c r="O894" s="9"/>
      <c r="P894" s="9">
        <v>11843</v>
      </c>
      <c r="Q894" s="9">
        <f t="shared" si="13"/>
        <v>1423.0954097572699</v>
      </c>
      <c r="R894" s="9"/>
      <c r="S894" s="9" t="s">
        <v>12795</v>
      </c>
      <c r="T894" s="9" t="s">
        <v>12795</v>
      </c>
      <c r="U894" s="9"/>
      <c r="V894" s="9"/>
      <c r="W894" s="9"/>
      <c r="X894" s="9"/>
      <c r="Y894" s="9"/>
      <c r="Z894" s="9"/>
      <c r="AA894" s="9"/>
      <c r="AB894" s="9"/>
      <c r="AC894" s="9"/>
      <c r="AD894" s="9"/>
    </row>
    <row r="895" spans="1:30" ht="43.5">
      <c r="A895" s="3" t="s">
        <v>4487</v>
      </c>
      <c r="B895" s="3" t="s">
        <v>11372</v>
      </c>
      <c r="C895" s="3" t="s">
        <v>11371</v>
      </c>
      <c r="G895" s="9" t="s">
        <v>25</v>
      </c>
      <c r="H895" s="9"/>
      <c r="I895" s="9">
        <v>1</v>
      </c>
      <c r="J895" s="9">
        <v>2</v>
      </c>
      <c r="K895" s="9" t="s">
        <v>12078</v>
      </c>
      <c r="L895" s="9" t="s">
        <v>12119</v>
      </c>
      <c r="M895" s="9"/>
      <c r="N895" s="10"/>
      <c r="O895" s="9"/>
      <c r="P895" s="9">
        <v>11843</v>
      </c>
      <c r="Q895" s="9">
        <f t="shared" si="13"/>
        <v>1423.0954097572699</v>
      </c>
      <c r="R895" s="9"/>
      <c r="S895" s="9" t="s">
        <v>12795</v>
      </c>
      <c r="T895" s="9" t="s">
        <v>12795</v>
      </c>
      <c r="U895" s="9"/>
      <c r="V895" s="9"/>
      <c r="W895" s="9"/>
      <c r="X895" s="9"/>
      <c r="Y895" s="9"/>
      <c r="Z895" s="9"/>
      <c r="AA895" s="9"/>
      <c r="AB895" s="9"/>
      <c r="AC895" s="9"/>
      <c r="AD895" s="9"/>
    </row>
    <row r="896" spans="1:30" ht="58">
      <c r="A896" s="3" t="s">
        <v>4497</v>
      </c>
      <c r="B896" s="3" t="s">
        <v>11401</v>
      </c>
      <c r="C896" s="3" t="s">
        <v>11400</v>
      </c>
      <c r="G896" s="9" t="s">
        <v>25</v>
      </c>
      <c r="H896" s="9"/>
      <c r="I896" s="9">
        <v>2</v>
      </c>
      <c r="J896" s="9">
        <v>10</v>
      </c>
      <c r="K896" s="9"/>
      <c r="L896" s="9" t="s">
        <v>12079</v>
      </c>
      <c r="M896" s="9"/>
      <c r="N896" s="10"/>
      <c r="O896" s="9"/>
      <c r="P896" s="9">
        <v>0</v>
      </c>
      <c r="Q896" s="9">
        <f t="shared" si="13"/>
        <v>0</v>
      </c>
      <c r="R896" s="9"/>
      <c r="S896" s="9" t="s">
        <v>12795</v>
      </c>
      <c r="T896" s="9" t="s">
        <v>12795</v>
      </c>
      <c r="U896" s="9"/>
      <c r="V896" s="9"/>
      <c r="W896" s="9"/>
      <c r="X896" s="9"/>
      <c r="Y896" s="9"/>
      <c r="Z896" s="9"/>
      <c r="AA896" s="9"/>
      <c r="AB896" s="9"/>
      <c r="AC896" s="9"/>
      <c r="AD896" s="9"/>
    </row>
    <row r="897" spans="1:30" ht="29">
      <c r="A897" s="3" t="s">
        <v>4509</v>
      </c>
      <c r="B897" s="3" t="s">
        <v>11440</v>
      </c>
      <c r="C897" s="3" t="s">
        <v>11441</v>
      </c>
      <c r="G897" s="9" t="s">
        <v>25</v>
      </c>
      <c r="H897" s="9"/>
      <c r="I897" s="9">
        <v>1</v>
      </c>
      <c r="J897" s="9">
        <v>2</v>
      </c>
      <c r="K897" s="9" t="s">
        <v>12078</v>
      </c>
      <c r="L897" s="9" t="s">
        <v>12119</v>
      </c>
      <c r="M897" s="9"/>
      <c r="N897" s="10"/>
      <c r="O897" s="9"/>
      <c r="P897" s="9">
        <v>11843</v>
      </c>
      <c r="Q897" s="9">
        <f t="shared" ref="Q897:Q936" si="14">IF(ISNUMBER(P897), (P897/$F$988)*10000, "")</f>
        <v>1423.0954097572699</v>
      </c>
      <c r="R897" s="9"/>
      <c r="S897" s="9" t="s">
        <v>12795</v>
      </c>
      <c r="T897" s="9" t="s">
        <v>12795</v>
      </c>
      <c r="U897" s="9"/>
      <c r="V897" s="9"/>
      <c r="W897" s="9"/>
      <c r="X897" s="9"/>
      <c r="Y897" s="9"/>
      <c r="Z897" s="9"/>
      <c r="AA897" s="9"/>
      <c r="AB897" s="9"/>
      <c r="AC897" s="9"/>
      <c r="AD897" s="9"/>
    </row>
    <row r="898" spans="1:30" ht="43.5">
      <c r="A898" s="3" t="s">
        <v>4511</v>
      </c>
      <c r="B898" s="3" t="s">
        <v>11455</v>
      </c>
      <c r="C898" s="3" t="s">
        <v>11454</v>
      </c>
      <c r="E898" t="s">
        <v>20</v>
      </c>
      <c r="G898" s="9" t="s">
        <v>25</v>
      </c>
      <c r="H898" s="9"/>
      <c r="I898" s="9">
        <v>1</v>
      </c>
      <c r="J898" s="9">
        <v>2</v>
      </c>
      <c r="K898" s="9" t="s">
        <v>12094</v>
      </c>
      <c r="L898" s="9" t="s">
        <v>12119</v>
      </c>
      <c r="M898" s="9"/>
      <c r="N898" s="10"/>
      <c r="O898" s="9"/>
      <c r="P898" s="9">
        <v>780</v>
      </c>
      <c r="Q898" s="9">
        <f t="shared" si="14"/>
        <v>93.727469358327326</v>
      </c>
      <c r="R898" s="9"/>
      <c r="S898" s="9" t="s">
        <v>12795</v>
      </c>
      <c r="T898" s="9" t="s">
        <v>12795</v>
      </c>
      <c r="U898" s="9"/>
      <c r="V898" s="9"/>
      <c r="W898" s="9"/>
      <c r="X898" s="9"/>
      <c r="Y898" s="9"/>
      <c r="Z898" s="9"/>
      <c r="AA898" s="9"/>
      <c r="AB898" s="9"/>
      <c r="AC898" s="9"/>
      <c r="AD898" s="9"/>
    </row>
    <row r="899" spans="1:30" ht="43.5">
      <c r="A899" s="3" t="s">
        <v>4512</v>
      </c>
      <c r="B899" s="3" t="s">
        <v>11464</v>
      </c>
      <c r="C899" s="3" t="s">
        <v>11463</v>
      </c>
      <c r="G899" s="9" t="s">
        <v>24</v>
      </c>
      <c r="H899" s="9"/>
      <c r="I899" s="9">
        <v>1</v>
      </c>
      <c r="J899" s="9">
        <v>7</v>
      </c>
      <c r="K899" s="9" t="s">
        <v>12092</v>
      </c>
      <c r="L899" s="9" t="s">
        <v>12079</v>
      </c>
      <c r="M899" s="9"/>
      <c r="N899" s="10"/>
      <c r="O899" s="9"/>
      <c r="P899" s="9">
        <v>1</v>
      </c>
      <c r="Q899" s="9">
        <f t="shared" si="14"/>
        <v>0.12016342225426581</v>
      </c>
      <c r="R899" s="9"/>
      <c r="S899" s="9" t="s">
        <v>12795</v>
      </c>
      <c r="T899" s="9" t="s">
        <v>12795</v>
      </c>
      <c r="U899" s="9"/>
      <c r="V899" s="9"/>
      <c r="W899" s="9"/>
      <c r="X899" s="9"/>
      <c r="Y899" s="9"/>
      <c r="Z899" s="9"/>
      <c r="AA899" s="9"/>
      <c r="AB899" s="9"/>
      <c r="AC899" s="9"/>
      <c r="AD899" s="9"/>
    </row>
    <row r="900" spans="1:30" ht="43.5">
      <c r="A900" s="3" t="s">
        <v>4525</v>
      </c>
      <c r="B900" s="3" t="s">
        <v>11501</v>
      </c>
      <c r="C900" s="3" t="s">
        <v>11500</v>
      </c>
      <c r="G900" s="9" t="s">
        <v>25</v>
      </c>
      <c r="H900" s="9"/>
      <c r="I900" s="9">
        <v>1</v>
      </c>
      <c r="J900" s="9">
        <v>5</v>
      </c>
      <c r="K900" s="9" t="s">
        <v>12125</v>
      </c>
      <c r="L900" s="9" t="s">
        <v>12073</v>
      </c>
      <c r="M900" s="9" t="s">
        <v>12142</v>
      </c>
      <c r="N900" s="10" t="s">
        <v>12143</v>
      </c>
      <c r="O900" s="9"/>
      <c r="P900" s="9">
        <v>1565</v>
      </c>
      <c r="Q900" s="9">
        <f t="shared" si="14"/>
        <v>188.05575582792596</v>
      </c>
      <c r="R900" s="9"/>
      <c r="S900" s="9" t="s">
        <v>12795</v>
      </c>
      <c r="T900" s="9" t="s">
        <v>12795</v>
      </c>
      <c r="U900" s="9"/>
      <c r="V900" s="9"/>
      <c r="W900" s="9"/>
      <c r="X900" s="9"/>
      <c r="Y900" s="9"/>
      <c r="Z900" s="9"/>
      <c r="AA900" s="9"/>
      <c r="AB900" s="9"/>
      <c r="AC900" s="9"/>
      <c r="AD900" s="9"/>
    </row>
    <row r="901" spans="1:30" ht="29">
      <c r="A901" s="3" t="s">
        <v>4535</v>
      </c>
      <c r="B901" s="3" t="s">
        <v>11527</v>
      </c>
      <c r="C901" s="3" t="s">
        <v>11526</v>
      </c>
      <c r="G901" s="9" t="s">
        <v>24</v>
      </c>
      <c r="H901" s="9"/>
      <c r="I901" s="9">
        <v>1</v>
      </c>
      <c r="J901" s="9">
        <v>1</v>
      </c>
      <c r="K901" s="9" t="s">
        <v>12078</v>
      </c>
      <c r="L901" s="9" t="s">
        <v>12119</v>
      </c>
      <c r="M901" s="9"/>
      <c r="N901" s="10"/>
      <c r="O901" s="9"/>
      <c r="P901" s="9">
        <v>11843</v>
      </c>
      <c r="Q901" s="9">
        <f t="shared" si="14"/>
        <v>1423.0954097572699</v>
      </c>
      <c r="R901" s="9"/>
      <c r="S901" s="9" t="s">
        <v>12795</v>
      </c>
      <c r="T901" s="9" t="s">
        <v>12795</v>
      </c>
      <c r="U901" s="9"/>
      <c r="V901" s="9"/>
      <c r="W901" s="9"/>
      <c r="X901" s="9"/>
      <c r="Y901" s="9"/>
      <c r="Z901" s="9"/>
      <c r="AA901" s="9"/>
      <c r="AB901" s="9"/>
      <c r="AC901" s="9"/>
      <c r="AD901" s="9"/>
    </row>
    <row r="902" spans="1:30" ht="29">
      <c r="A902" s="3" t="s">
        <v>4557</v>
      </c>
      <c r="B902" s="3" t="s">
        <v>11563</v>
      </c>
      <c r="C902" s="3" t="s">
        <v>11562</v>
      </c>
      <c r="G902" s="9" t="s">
        <v>24</v>
      </c>
      <c r="H902" s="9"/>
      <c r="I902" s="9">
        <v>1</v>
      </c>
      <c r="J902" s="9">
        <v>3</v>
      </c>
      <c r="K902" s="9" t="s">
        <v>12078</v>
      </c>
      <c r="L902" s="9" t="s">
        <v>12079</v>
      </c>
      <c r="M902" s="9"/>
      <c r="N902" s="10"/>
      <c r="O902" s="9"/>
      <c r="P902" s="9">
        <v>11843</v>
      </c>
      <c r="Q902" s="9">
        <f t="shared" si="14"/>
        <v>1423.0954097572699</v>
      </c>
      <c r="R902" s="9"/>
      <c r="S902" s="9" t="s">
        <v>12795</v>
      </c>
      <c r="T902" s="9" t="s">
        <v>12795</v>
      </c>
      <c r="U902" s="9"/>
      <c r="V902" s="9"/>
      <c r="W902" s="9"/>
      <c r="X902" s="9"/>
      <c r="Y902" s="9"/>
      <c r="Z902" s="9"/>
      <c r="AA902" s="9"/>
      <c r="AB902" s="9"/>
      <c r="AC902" s="9"/>
      <c r="AD902" s="9"/>
    </row>
    <row r="903" spans="1:30" ht="29">
      <c r="A903" s="3" t="s">
        <v>4558</v>
      </c>
      <c r="B903" s="3" t="s">
        <v>11564</v>
      </c>
      <c r="C903" s="3" t="s">
        <v>11567</v>
      </c>
      <c r="G903" s="9" t="s">
        <v>24</v>
      </c>
      <c r="H903" s="9"/>
      <c r="I903" s="9">
        <v>1</v>
      </c>
      <c r="J903" s="9">
        <v>2</v>
      </c>
      <c r="K903" s="9" t="s">
        <v>12087</v>
      </c>
      <c r="L903" s="9" t="s">
        <v>12119</v>
      </c>
      <c r="M903" s="9"/>
      <c r="N903" s="10"/>
      <c r="O903" s="9"/>
      <c r="P903" s="9">
        <v>166</v>
      </c>
      <c r="Q903" s="9">
        <f t="shared" si="14"/>
        <v>19.947128094208121</v>
      </c>
      <c r="R903" s="9"/>
      <c r="S903" s="9" t="s">
        <v>12795</v>
      </c>
      <c r="T903" s="9" t="s">
        <v>12795</v>
      </c>
      <c r="U903" s="9"/>
      <c r="V903" s="9"/>
      <c r="W903" s="9"/>
      <c r="X903" s="9"/>
      <c r="Y903" s="9"/>
      <c r="Z903" s="9"/>
      <c r="AA903" s="9"/>
      <c r="AB903" s="9"/>
      <c r="AC903" s="9"/>
      <c r="AD903" s="9"/>
    </row>
    <row r="904" spans="1:30" ht="58">
      <c r="A904" s="3" t="s">
        <v>4563</v>
      </c>
      <c r="B904" s="3" t="s">
        <v>11580</v>
      </c>
      <c r="C904" s="3" t="s">
        <v>11581</v>
      </c>
      <c r="G904" s="9" t="s">
        <v>24</v>
      </c>
      <c r="H904" s="9"/>
      <c r="I904" s="9">
        <v>1</v>
      </c>
      <c r="J904" s="9">
        <v>5</v>
      </c>
      <c r="K904" s="9" t="s">
        <v>12125</v>
      </c>
      <c r="L904" s="9" t="s">
        <v>12079</v>
      </c>
      <c r="M904" s="9"/>
      <c r="N904" s="10"/>
      <c r="O904" s="9"/>
      <c r="P904" s="9">
        <v>2042</v>
      </c>
      <c r="Q904" s="9">
        <f t="shared" si="14"/>
        <v>245.37370824321076</v>
      </c>
      <c r="R904" s="9"/>
      <c r="S904" s="9" t="s">
        <v>12795</v>
      </c>
      <c r="T904" s="9" t="s">
        <v>12795</v>
      </c>
      <c r="U904" s="9"/>
      <c r="V904" s="9"/>
      <c r="W904" s="9"/>
      <c r="X904" s="9"/>
      <c r="Y904" s="9"/>
      <c r="Z904" s="9"/>
      <c r="AA904" s="9"/>
      <c r="AB904" s="9"/>
      <c r="AC904" s="9"/>
      <c r="AD904" s="9"/>
    </row>
    <row r="905" spans="1:30" ht="116">
      <c r="A905" s="3" t="s">
        <v>4563</v>
      </c>
      <c r="B905" s="3" t="s">
        <v>12599</v>
      </c>
      <c r="C905" s="3" t="s">
        <v>12600</v>
      </c>
      <c r="G905" s="9" t="s">
        <v>24</v>
      </c>
      <c r="H905" s="9"/>
      <c r="I905" s="9">
        <v>1</v>
      </c>
      <c r="J905" s="9">
        <v>2</v>
      </c>
      <c r="K905" s="9" t="s">
        <v>12087</v>
      </c>
      <c r="L905" s="9" t="s">
        <v>12119</v>
      </c>
      <c r="M905" s="9"/>
      <c r="N905" s="10"/>
      <c r="O905" s="9"/>
      <c r="P905" s="9">
        <v>227</v>
      </c>
      <c r="Q905" s="9">
        <f t="shared" si="14"/>
        <v>27.277096851718337</v>
      </c>
      <c r="R905" s="9"/>
      <c r="S905" s="9" t="s">
        <v>12795</v>
      </c>
      <c r="T905" s="9" t="s">
        <v>12795</v>
      </c>
      <c r="U905" s="9"/>
      <c r="V905" s="9"/>
      <c r="W905" s="9"/>
      <c r="X905" s="9"/>
      <c r="Y905" s="9"/>
      <c r="Z905" s="9"/>
      <c r="AA905" s="9"/>
      <c r="AB905" s="9"/>
      <c r="AC905" s="9"/>
      <c r="AD905" s="9"/>
    </row>
    <row r="906" spans="1:30" ht="101.5">
      <c r="A906" s="3" t="s">
        <v>4565</v>
      </c>
      <c r="B906" s="3" t="s">
        <v>11589</v>
      </c>
      <c r="C906" s="3" t="s">
        <v>11591</v>
      </c>
      <c r="G906" s="9" t="s">
        <v>24</v>
      </c>
      <c r="H906" s="9"/>
      <c r="I906" s="9">
        <v>1</v>
      </c>
      <c r="J906" s="9">
        <v>6</v>
      </c>
      <c r="K906" s="9" t="s">
        <v>12092</v>
      </c>
      <c r="L906" s="9" t="s">
        <v>12079</v>
      </c>
      <c r="M906" s="9"/>
      <c r="N906" s="10"/>
      <c r="O906" s="9"/>
      <c r="P906" s="9">
        <v>635</v>
      </c>
      <c r="Q906" s="9">
        <f t="shared" si="14"/>
        <v>76.303773131458783</v>
      </c>
      <c r="R906" s="9"/>
      <c r="S906" s="9" t="s">
        <v>12795</v>
      </c>
      <c r="T906" s="9" t="s">
        <v>12795</v>
      </c>
      <c r="U906" s="9"/>
      <c r="V906" s="9"/>
      <c r="W906" s="9"/>
      <c r="X906" s="9"/>
      <c r="Y906" s="9"/>
      <c r="Z906" s="9"/>
      <c r="AA906" s="9"/>
      <c r="AB906" s="9"/>
      <c r="AC906" s="9"/>
      <c r="AD906" s="9"/>
    </row>
    <row r="907" spans="1:30" ht="58">
      <c r="A907" s="3" t="s">
        <v>4566</v>
      </c>
      <c r="B907" s="3" t="s">
        <v>11593</v>
      </c>
      <c r="C907" s="3" t="s">
        <v>13081</v>
      </c>
      <c r="G907" s="9" t="s">
        <v>25</v>
      </c>
      <c r="H907" s="9"/>
      <c r="I907" s="9">
        <v>1</v>
      </c>
      <c r="J907" s="9">
        <v>3</v>
      </c>
      <c r="K907" s="9" t="s">
        <v>12092</v>
      </c>
      <c r="L907" s="9" t="s">
        <v>12079</v>
      </c>
      <c r="M907" s="9"/>
      <c r="N907" s="10"/>
      <c r="O907" s="9"/>
      <c r="P907" s="9">
        <v>79</v>
      </c>
      <c r="Q907" s="9">
        <f t="shared" si="14"/>
        <v>9.4929103580869985</v>
      </c>
      <c r="R907" s="9"/>
      <c r="S907" s="9" t="s">
        <v>12795</v>
      </c>
      <c r="T907" s="9" t="s">
        <v>12795</v>
      </c>
      <c r="U907" s="9"/>
      <c r="V907" s="9"/>
      <c r="W907" s="9"/>
      <c r="X907" s="9"/>
      <c r="Y907" s="9"/>
      <c r="Z907" s="9"/>
      <c r="AA907" s="9"/>
      <c r="AB907" s="9"/>
      <c r="AC907" s="9"/>
      <c r="AD907" s="9"/>
    </row>
    <row r="908" spans="1:30" ht="87">
      <c r="A908" s="3" t="s">
        <v>4570</v>
      </c>
      <c r="B908" s="3" t="s">
        <v>11604</v>
      </c>
      <c r="C908" s="3" t="s">
        <v>11603</v>
      </c>
      <c r="G908" s="9" t="s">
        <v>25</v>
      </c>
      <c r="H908" s="9"/>
      <c r="I908" s="9">
        <v>5</v>
      </c>
      <c r="J908" s="9">
        <v>18</v>
      </c>
      <c r="K908" s="9"/>
      <c r="L908" s="9" t="s">
        <v>12079</v>
      </c>
      <c r="M908" s="9"/>
      <c r="N908" s="10"/>
      <c r="O908" s="9"/>
      <c r="P908" s="9">
        <v>1</v>
      </c>
      <c r="Q908" s="9">
        <f t="shared" si="14"/>
        <v>0.12016342225426581</v>
      </c>
      <c r="R908" s="9"/>
      <c r="S908" s="9" t="s">
        <v>12795</v>
      </c>
      <c r="T908" s="9" t="s">
        <v>12795</v>
      </c>
      <c r="U908" s="9"/>
      <c r="V908" s="9"/>
      <c r="W908" s="9"/>
      <c r="X908" s="9"/>
      <c r="Y908" s="9"/>
      <c r="Z908" s="9"/>
      <c r="AA908" s="9"/>
      <c r="AB908" s="9"/>
      <c r="AC908" s="9"/>
      <c r="AD908" s="9"/>
    </row>
    <row r="909" spans="1:30" ht="72.5">
      <c r="A909" s="3" t="s">
        <v>4579</v>
      </c>
      <c r="B909" s="3" t="s">
        <v>11632</v>
      </c>
      <c r="C909" s="3" t="s">
        <v>11635</v>
      </c>
      <c r="G909" s="9" t="s">
        <v>24</v>
      </c>
      <c r="H909" s="9"/>
      <c r="I909" s="9">
        <v>1</v>
      </c>
      <c r="J909" s="9">
        <v>2</v>
      </c>
      <c r="K909" s="9" t="s">
        <v>12087</v>
      </c>
      <c r="L909" s="9" t="s">
        <v>12119</v>
      </c>
      <c r="M909" s="9"/>
      <c r="N909" s="10"/>
      <c r="O909" s="9"/>
      <c r="P909" s="9">
        <v>166</v>
      </c>
      <c r="Q909" s="9">
        <f t="shared" si="14"/>
        <v>19.947128094208121</v>
      </c>
      <c r="R909" s="9"/>
      <c r="S909" s="9" t="s">
        <v>12795</v>
      </c>
      <c r="T909" s="9" t="s">
        <v>12795</v>
      </c>
      <c r="U909" s="9"/>
      <c r="V909" s="9"/>
      <c r="W909" s="9"/>
      <c r="X909" s="9"/>
      <c r="Y909" s="9"/>
      <c r="Z909" s="9"/>
      <c r="AA909" s="9"/>
      <c r="AB909" s="9"/>
      <c r="AC909" s="9"/>
      <c r="AD909" s="9"/>
    </row>
    <row r="910" spans="1:30" ht="29">
      <c r="A910" s="3" t="s">
        <v>4587</v>
      </c>
      <c r="B910" s="3" t="s">
        <v>11653</v>
      </c>
      <c r="C910" s="3" t="s">
        <v>11652</v>
      </c>
      <c r="G910" s="9" t="s">
        <v>24</v>
      </c>
      <c r="H910" s="9"/>
      <c r="I910" s="9">
        <v>1</v>
      </c>
      <c r="J910" s="9">
        <v>1</v>
      </c>
      <c r="K910" s="9" t="s">
        <v>12078</v>
      </c>
      <c r="L910" s="9" t="s">
        <v>12119</v>
      </c>
      <c r="M910" s="9"/>
      <c r="N910" s="10"/>
      <c r="O910" s="9"/>
      <c r="P910" s="9">
        <v>11843</v>
      </c>
      <c r="Q910" s="9">
        <f t="shared" si="14"/>
        <v>1423.0954097572699</v>
      </c>
      <c r="R910" s="9"/>
      <c r="S910" s="9" t="s">
        <v>12795</v>
      </c>
      <c r="T910" s="9" t="s">
        <v>12795</v>
      </c>
      <c r="U910" s="9"/>
      <c r="V910" s="9"/>
      <c r="W910" s="9"/>
      <c r="X910" s="9"/>
      <c r="Y910" s="9"/>
      <c r="Z910" s="9"/>
      <c r="AA910" s="9"/>
      <c r="AB910" s="9"/>
      <c r="AC910" s="9"/>
      <c r="AD910" s="9"/>
    </row>
    <row r="911" spans="1:30" ht="29">
      <c r="A911" s="3" t="s">
        <v>4587</v>
      </c>
      <c r="B911" s="3" t="s">
        <v>11654</v>
      </c>
      <c r="C911" s="3" t="s">
        <v>11655</v>
      </c>
      <c r="G911" s="9" t="s">
        <v>25</v>
      </c>
      <c r="H911" s="9"/>
      <c r="I911" s="9">
        <v>1</v>
      </c>
      <c r="J911" s="9">
        <v>3</v>
      </c>
      <c r="K911" s="9" t="s">
        <v>12078</v>
      </c>
      <c r="L911" s="9" t="s">
        <v>12079</v>
      </c>
      <c r="M911" s="9"/>
      <c r="N911" s="10"/>
      <c r="O911" s="9"/>
      <c r="P911" s="9">
        <v>11843</v>
      </c>
      <c r="Q911" s="9">
        <f t="shared" si="14"/>
        <v>1423.0954097572699</v>
      </c>
      <c r="R911" s="9"/>
      <c r="S911" s="9" t="s">
        <v>12795</v>
      </c>
      <c r="T911" s="9" t="s">
        <v>12795</v>
      </c>
      <c r="U911" s="9"/>
      <c r="V911" s="9"/>
      <c r="W911" s="9"/>
      <c r="X911" s="9"/>
      <c r="Y911" s="9"/>
      <c r="Z911" s="9"/>
      <c r="AA911" s="9"/>
      <c r="AB911" s="9"/>
      <c r="AC911" s="9"/>
      <c r="AD911" s="9"/>
    </row>
    <row r="912" spans="1:30" ht="43.5">
      <c r="A912" s="3" t="s">
        <v>4596</v>
      </c>
      <c r="B912" s="3" t="s">
        <v>11666</v>
      </c>
      <c r="C912" s="3" t="s">
        <v>11665</v>
      </c>
      <c r="G912" s="9" t="s">
        <v>24</v>
      </c>
      <c r="H912" s="9"/>
      <c r="I912" s="9">
        <v>1</v>
      </c>
      <c r="J912" s="9">
        <v>3</v>
      </c>
      <c r="K912" s="9" t="s">
        <v>12087</v>
      </c>
      <c r="L912" s="9" t="s">
        <v>12079</v>
      </c>
      <c r="M912" s="9"/>
      <c r="N912" s="10"/>
      <c r="O912" s="9"/>
      <c r="P912" s="9">
        <v>810</v>
      </c>
      <c r="Q912" s="9">
        <f t="shared" si="14"/>
        <v>97.332372025955294</v>
      </c>
      <c r="R912" s="9"/>
      <c r="S912" s="9" t="s">
        <v>12795</v>
      </c>
      <c r="T912" s="9" t="s">
        <v>12795</v>
      </c>
      <c r="U912" s="9"/>
      <c r="V912" s="9"/>
      <c r="W912" s="9"/>
      <c r="X912" s="9"/>
      <c r="Y912" s="9"/>
      <c r="Z912" s="9"/>
      <c r="AA912" s="9"/>
      <c r="AB912" s="9"/>
      <c r="AC912" s="9"/>
      <c r="AD912" s="9"/>
    </row>
    <row r="913" spans="1:30" ht="43.5">
      <c r="A913" s="3" t="s">
        <v>4600</v>
      </c>
      <c r="B913" s="3" t="s">
        <v>11676</v>
      </c>
      <c r="C913" s="3" t="s">
        <v>11675</v>
      </c>
      <c r="G913" s="9" t="s">
        <v>24</v>
      </c>
      <c r="H913" s="9"/>
      <c r="I913" s="9">
        <v>1</v>
      </c>
      <c r="J913" s="9">
        <v>3</v>
      </c>
      <c r="K913" s="9" t="s">
        <v>12087</v>
      </c>
      <c r="L913" s="9" t="s">
        <v>12073</v>
      </c>
      <c r="M913" s="9" t="s">
        <v>12149</v>
      </c>
      <c r="N913" s="10" t="s">
        <v>12143</v>
      </c>
      <c r="O913" s="9"/>
      <c r="P913" s="9">
        <v>5676</v>
      </c>
      <c r="Q913" s="9">
        <f t="shared" si="14"/>
        <v>682.04758471521268</v>
      </c>
      <c r="R913" s="9"/>
      <c r="S913" s="9" t="s">
        <v>12795</v>
      </c>
      <c r="T913" s="9" t="s">
        <v>12795</v>
      </c>
      <c r="U913" s="9"/>
      <c r="V913" s="9"/>
      <c r="W913" s="9"/>
      <c r="X913" s="9"/>
      <c r="Y913" s="9"/>
      <c r="Z913" s="9"/>
      <c r="AA913" s="9"/>
      <c r="AB913" s="9"/>
      <c r="AC913" s="9"/>
      <c r="AD913" s="9"/>
    </row>
    <row r="914" spans="1:30" ht="29">
      <c r="A914" s="3" t="s">
        <v>4600</v>
      </c>
      <c r="B914" s="3" t="s">
        <v>11680</v>
      </c>
      <c r="C914" s="3" t="s">
        <v>11679</v>
      </c>
      <c r="G914" s="9" t="s">
        <v>24</v>
      </c>
      <c r="H914" s="9"/>
      <c r="I914" s="9">
        <v>1</v>
      </c>
      <c r="J914" s="9">
        <v>1</v>
      </c>
      <c r="K914" s="9" t="s">
        <v>12078</v>
      </c>
      <c r="L914" s="9" t="s">
        <v>12119</v>
      </c>
      <c r="M914" s="9"/>
      <c r="N914" s="10"/>
      <c r="O914" s="9" t="s">
        <v>12074</v>
      </c>
      <c r="P914" s="9">
        <v>11843</v>
      </c>
      <c r="Q914" s="9">
        <f t="shared" si="14"/>
        <v>1423.0954097572699</v>
      </c>
      <c r="R914" s="9"/>
      <c r="S914" s="9" t="s">
        <v>12795</v>
      </c>
      <c r="T914" s="9" t="s">
        <v>12795</v>
      </c>
      <c r="U914" s="9"/>
      <c r="V914" s="9"/>
      <c r="W914" s="9"/>
      <c r="X914" s="9"/>
      <c r="Y914" s="9"/>
      <c r="Z914" s="9"/>
      <c r="AA914" s="9"/>
      <c r="AB914" s="9"/>
      <c r="AC914" s="9"/>
      <c r="AD914" s="9"/>
    </row>
    <row r="915" spans="1:30" ht="43.5">
      <c r="A915" s="3" t="s">
        <v>4603</v>
      </c>
      <c r="B915" s="3" t="s">
        <v>11693</v>
      </c>
      <c r="C915" s="3" t="s">
        <v>11694</v>
      </c>
      <c r="G915" s="9" t="s">
        <v>24</v>
      </c>
      <c r="H915" s="9"/>
      <c r="I915" s="9">
        <v>1</v>
      </c>
      <c r="J915" s="9">
        <v>3</v>
      </c>
      <c r="K915" s="9" t="s">
        <v>12078</v>
      </c>
      <c r="L915" s="9" t="s">
        <v>12079</v>
      </c>
      <c r="M915" s="9"/>
      <c r="N915" s="10"/>
      <c r="O915" s="9"/>
      <c r="P915" s="9">
        <v>11843</v>
      </c>
      <c r="Q915" s="9">
        <f t="shared" si="14"/>
        <v>1423.0954097572699</v>
      </c>
      <c r="R915" s="9"/>
      <c r="S915" s="9" t="s">
        <v>12795</v>
      </c>
      <c r="T915" s="9" t="s">
        <v>12795</v>
      </c>
      <c r="U915" s="9"/>
      <c r="V915" s="9"/>
      <c r="W915" s="9"/>
      <c r="X915" s="9"/>
      <c r="Y915" s="9"/>
      <c r="Z915" s="9"/>
      <c r="AA915" s="9"/>
      <c r="AB915" s="9"/>
      <c r="AC915" s="9"/>
      <c r="AD915" s="9"/>
    </row>
    <row r="916" spans="1:30" ht="58">
      <c r="A916" s="3" t="s">
        <v>4624</v>
      </c>
      <c r="B916" s="3" t="s">
        <v>11717</v>
      </c>
      <c r="C916" s="3" t="s">
        <v>11716</v>
      </c>
      <c r="G916" s="9" t="s">
        <v>25</v>
      </c>
      <c r="H916" s="9"/>
      <c r="I916" s="9">
        <v>1</v>
      </c>
      <c r="J916" s="9">
        <v>2</v>
      </c>
      <c r="K916" s="9" t="s">
        <v>12078</v>
      </c>
      <c r="L916" s="9" t="s">
        <v>12119</v>
      </c>
      <c r="M916" s="9"/>
      <c r="N916" s="10"/>
      <c r="O916" s="9"/>
      <c r="P916" s="9">
        <v>11843</v>
      </c>
      <c r="Q916" s="9">
        <f t="shared" si="14"/>
        <v>1423.0954097572699</v>
      </c>
      <c r="R916" s="9"/>
      <c r="S916" s="9" t="s">
        <v>12795</v>
      </c>
      <c r="T916" s="9" t="s">
        <v>12795</v>
      </c>
      <c r="U916" s="9"/>
      <c r="V916" s="9"/>
      <c r="W916" s="9"/>
      <c r="X916" s="9"/>
      <c r="Y916" s="9"/>
      <c r="Z916" s="9"/>
      <c r="AA916" s="9"/>
      <c r="AB916" s="9"/>
      <c r="AC916" s="9"/>
      <c r="AD916" s="9"/>
    </row>
    <row r="917" spans="1:30" ht="87">
      <c r="A917" s="3" t="s">
        <v>4624</v>
      </c>
      <c r="B917" s="3" t="s">
        <v>11718</v>
      </c>
      <c r="C917" s="3" t="s">
        <v>11721</v>
      </c>
      <c r="E917" t="s">
        <v>20</v>
      </c>
      <c r="G917" s="9" t="s">
        <v>24</v>
      </c>
      <c r="H917" s="9"/>
      <c r="I917" s="9">
        <v>1</v>
      </c>
      <c r="J917" s="9">
        <v>3</v>
      </c>
      <c r="K917" s="9" t="s">
        <v>12087</v>
      </c>
      <c r="L917" s="9" t="s">
        <v>12079</v>
      </c>
      <c r="M917" s="9"/>
      <c r="N917" s="10"/>
      <c r="O917" s="9"/>
      <c r="P917" s="9">
        <v>5676</v>
      </c>
      <c r="Q917" s="9">
        <f t="shared" si="14"/>
        <v>682.04758471521268</v>
      </c>
      <c r="R917" s="9"/>
      <c r="S917" s="9" t="s">
        <v>12795</v>
      </c>
      <c r="T917" s="9" t="s">
        <v>12795</v>
      </c>
      <c r="U917" s="9"/>
      <c r="V917" s="9"/>
      <c r="W917" s="9"/>
      <c r="X917" s="9"/>
      <c r="Y917" s="9"/>
      <c r="Z917" s="9"/>
      <c r="AA917" s="9"/>
      <c r="AB917" s="9"/>
      <c r="AC917" s="9"/>
      <c r="AD917" s="9"/>
    </row>
    <row r="918" spans="1:30" ht="43.5">
      <c r="A918" s="3" t="s">
        <v>4634</v>
      </c>
      <c r="B918" s="3" t="s">
        <v>11750</v>
      </c>
      <c r="C918" s="3" t="s">
        <v>11749</v>
      </c>
      <c r="G918" s="9" t="s">
        <v>24</v>
      </c>
      <c r="H918" s="9"/>
      <c r="I918" s="9">
        <v>1</v>
      </c>
      <c r="J918" s="9">
        <v>2</v>
      </c>
      <c r="K918" s="9" t="s">
        <v>12087</v>
      </c>
      <c r="L918" s="9" t="s">
        <v>12119</v>
      </c>
      <c r="M918" s="9"/>
      <c r="N918" s="10"/>
      <c r="O918" s="9"/>
      <c r="P918" s="9">
        <v>166</v>
      </c>
      <c r="Q918" s="9">
        <f t="shared" si="14"/>
        <v>19.947128094208121</v>
      </c>
      <c r="R918" s="9"/>
      <c r="S918" s="9" t="s">
        <v>12795</v>
      </c>
      <c r="T918" s="9" t="s">
        <v>12795</v>
      </c>
      <c r="U918" s="9"/>
      <c r="V918" s="9"/>
      <c r="W918" s="9"/>
      <c r="X918" s="9"/>
      <c r="Y918" s="9"/>
      <c r="Z918" s="9"/>
      <c r="AA918" s="9"/>
      <c r="AB918" s="9"/>
      <c r="AC918" s="9"/>
      <c r="AD918" s="9"/>
    </row>
    <row r="919" spans="1:30" ht="29">
      <c r="A919" s="3" t="s">
        <v>4641</v>
      </c>
      <c r="B919" s="3" t="s">
        <v>11765</v>
      </c>
      <c r="C919" s="3" t="s">
        <v>11766</v>
      </c>
      <c r="F919" t="s">
        <v>19</v>
      </c>
      <c r="G919" s="9" t="s">
        <v>25</v>
      </c>
      <c r="H919" s="9"/>
      <c r="I919" s="9">
        <v>1</v>
      </c>
      <c r="J919" s="9">
        <v>3</v>
      </c>
      <c r="K919" s="9" t="s">
        <v>12078</v>
      </c>
      <c r="L919" s="9" t="s">
        <v>12079</v>
      </c>
      <c r="M919" s="9"/>
      <c r="N919" s="10"/>
      <c r="O919" s="9"/>
      <c r="P919" s="9">
        <v>11843</v>
      </c>
      <c r="Q919" s="9">
        <f t="shared" si="14"/>
        <v>1423.0954097572699</v>
      </c>
      <c r="R919" s="9"/>
      <c r="S919" s="9" t="s">
        <v>12795</v>
      </c>
      <c r="T919" s="9" t="s">
        <v>12795</v>
      </c>
      <c r="U919" s="9"/>
      <c r="V919" s="9"/>
      <c r="W919" s="9"/>
      <c r="X919" s="9"/>
      <c r="Y919" s="9"/>
      <c r="Z919" s="9"/>
      <c r="AA919" s="9"/>
      <c r="AB919" s="9"/>
      <c r="AC919" s="9"/>
      <c r="AD919" s="9"/>
    </row>
    <row r="920" spans="1:30" ht="58">
      <c r="A920" s="3" t="s">
        <v>4644</v>
      </c>
      <c r="B920" s="3" t="s">
        <v>11777</v>
      </c>
      <c r="C920" s="3" t="s">
        <v>11776</v>
      </c>
      <c r="G920" s="9" t="s">
        <v>25</v>
      </c>
      <c r="H920" s="9"/>
      <c r="I920" s="9">
        <v>3</v>
      </c>
      <c r="J920" s="9">
        <v>8</v>
      </c>
      <c r="K920" s="9"/>
      <c r="L920" s="9" t="s">
        <v>12079</v>
      </c>
      <c r="M920" s="9"/>
      <c r="N920" s="10"/>
      <c r="O920" s="9"/>
      <c r="P920" s="9">
        <v>12</v>
      </c>
      <c r="Q920" s="9">
        <f t="shared" si="14"/>
        <v>1.4419610670511898</v>
      </c>
      <c r="R920" s="9"/>
      <c r="S920" s="9" t="s">
        <v>12795</v>
      </c>
      <c r="T920" s="9" t="s">
        <v>12795</v>
      </c>
      <c r="U920" s="9"/>
      <c r="V920" s="9"/>
      <c r="W920" s="9"/>
      <c r="X920" s="9"/>
      <c r="Y920" s="9"/>
      <c r="Z920" s="9"/>
      <c r="AA920" s="9"/>
      <c r="AB920" s="9"/>
      <c r="AC920" s="9"/>
      <c r="AD920" s="9"/>
    </row>
    <row r="921" spans="1:30" ht="58">
      <c r="A921" s="3" t="s">
        <v>4645</v>
      </c>
      <c r="B921" s="3" t="s">
        <v>11783</v>
      </c>
      <c r="C921" s="3" t="s">
        <v>11782</v>
      </c>
      <c r="G921" s="9" t="s">
        <v>25</v>
      </c>
      <c r="H921" s="9"/>
      <c r="I921" s="9">
        <v>1</v>
      </c>
      <c r="J921" s="9">
        <v>4</v>
      </c>
      <c r="K921" s="9" t="s">
        <v>12096</v>
      </c>
      <c r="L921" s="9" t="s">
        <v>12079</v>
      </c>
      <c r="M921" s="9"/>
      <c r="N921" s="10"/>
      <c r="O921" s="9"/>
      <c r="P921" s="9">
        <v>508</v>
      </c>
      <c r="Q921" s="9">
        <f t="shared" si="14"/>
        <v>61.043018505167026</v>
      </c>
      <c r="R921" s="9"/>
      <c r="S921" s="9" t="s">
        <v>12795</v>
      </c>
      <c r="T921" s="9" t="s">
        <v>12795</v>
      </c>
      <c r="U921" s="9"/>
      <c r="V921" s="9"/>
      <c r="W921" s="9"/>
      <c r="X921" s="9"/>
      <c r="Y921" s="9"/>
      <c r="Z921" s="9"/>
      <c r="AA921" s="9"/>
      <c r="AB921" s="9"/>
      <c r="AC921" s="9"/>
      <c r="AD921" s="9"/>
    </row>
    <row r="922" spans="1:30" ht="29">
      <c r="A922" s="3" t="s">
        <v>4653</v>
      </c>
      <c r="B922" s="3" t="s">
        <v>11815</v>
      </c>
      <c r="C922" s="3" t="s">
        <v>11814</v>
      </c>
      <c r="G922" s="9" t="s">
        <v>24</v>
      </c>
      <c r="H922" s="9"/>
      <c r="I922" s="9">
        <v>1</v>
      </c>
      <c r="J922" s="9">
        <v>2</v>
      </c>
      <c r="K922" s="9" t="s">
        <v>12087</v>
      </c>
      <c r="L922" s="9" t="s">
        <v>12119</v>
      </c>
      <c r="M922" s="9"/>
      <c r="N922" s="10"/>
      <c r="O922" s="9"/>
      <c r="P922" s="9">
        <v>166</v>
      </c>
      <c r="Q922" s="9">
        <f t="shared" si="14"/>
        <v>19.947128094208121</v>
      </c>
      <c r="R922" s="9"/>
      <c r="S922" s="9" t="s">
        <v>12795</v>
      </c>
      <c r="T922" s="9" t="s">
        <v>12795</v>
      </c>
      <c r="U922" s="9" t="s">
        <v>4</v>
      </c>
      <c r="V922" s="9"/>
      <c r="W922" s="9"/>
      <c r="X922" s="9"/>
      <c r="Y922" s="9"/>
      <c r="Z922" s="9"/>
      <c r="AA922" s="9"/>
      <c r="AB922" s="9"/>
      <c r="AC922" s="9"/>
      <c r="AD922" s="9"/>
    </row>
    <row r="923" spans="1:30" ht="29">
      <c r="A923" s="3" t="s">
        <v>4655</v>
      </c>
      <c r="B923" s="3" t="s">
        <v>11829</v>
      </c>
      <c r="C923" s="3" t="s">
        <v>11830</v>
      </c>
      <c r="F923" t="s">
        <v>19</v>
      </c>
      <c r="G923" s="9" t="s">
        <v>24</v>
      </c>
      <c r="H923" s="9"/>
      <c r="I923" s="9">
        <v>1</v>
      </c>
      <c r="J923" s="9">
        <v>3</v>
      </c>
      <c r="K923" s="9" t="s">
        <v>12094</v>
      </c>
      <c r="L923" s="9" t="s">
        <v>12079</v>
      </c>
      <c r="M923" s="9"/>
      <c r="N923" s="10"/>
      <c r="O923" s="9"/>
      <c r="P923" s="9">
        <v>1496</v>
      </c>
      <c r="Q923" s="9">
        <f t="shared" si="14"/>
        <v>179.76447969238166</v>
      </c>
      <c r="R923" s="9"/>
      <c r="S923" s="9" t="s">
        <v>12795</v>
      </c>
      <c r="T923" s="9" t="s">
        <v>12795</v>
      </c>
      <c r="U923" s="9"/>
      <c r="V923" s="9"/>
      <c r="W923" s="9"/>
      <c r="X923" s="9"/>
      <c r="Y923" s="9"/>
      <c r="Z923" s="9"/>
      <c r="AA923" s="9"/>
      <c r="AB923" s="9"/>
      <c r="AC923" s="9"/>
      <c r="AD923" s="9"/>
    </row>
    <row r="924" spans="1:30" ht="43.5">
      <c r="A924" s="3" t="s">
        <v>4667</v>
      </c>
      <c r="B924" s="3" t="s">
        <v>11842</v>
      </c>
      <c r="C924" s="3" t="s">
        <v>11843</v>
      </c>
      <c r="G924" s="9" t="s">
        <v>24</v>
      </c>
      <c r="H924" s="9"/>
      <c r="I924" s="9">
        <v>1</v>
      </c>
      <c r="J924" s="9">
        <v>2</v>
      </c>
      <c r="K924" s="9" t="s">
        <v>12087</v>
      </c>
      <c r="L924" s="9" t="s">
        <v>12119</v>
      </c>
      <c r="M924" s="9"/>
      <c r="N924" s="10"/>
      <c r="O924" s="9"/>
      <c r="P924" s="9">
        <v>1966</v>
      </c>
      <c r="Q924" s="9">
        <f t="shared" si="14"/>
        <v>236.24128815188658</v>
      </c>
      <c r="R924" s="9"/>
      <c r="S924" s="9" t="s">
        <v>12795</v>
      </c>
      <c r="T924" s="9" t="s">
        <v>12795</v>
      </c>
      <c r="U924" s="9"/>
      <c r="V924" s="9"/>
      <c r="W924" s="9"/>
      <c r="X924" s="9"/>
      <c r="Y924" s="9"/>
      <c r="Z924" s="9"/>
      <c r="AA924" s="9"/>
      <c r="AB924" s="9"/>
      <c r="AC924" s="9"/>
      <c r="AD924" s="9"/>
    </row>
    <row r="925" spans="1:30" ht="29">
      <c r="A925" s="3" t="s">
        <v>4708</v>
      </c>
      <c r="B925" s="3" t="s">
        <v>11966</v>
      </c>
      <c r="C925" s="3" t="s">
        <v>11965</v>
      </c>
      <c r="G925" s="9" t="s">
        <v>25</v>
      </c>
      <c r="H925" s="9"/>
      <c r="I925" s="9">
        <v>1</v>
      </c>
      <c r="J925" s="9">
        <v>2</v>
      </c>
      <c r="K925" s="9" t="s">
        <v>12087</v>
      </c>
      <c r="L925" s="9" t="s">
        <v>12119</v>
      </c>
      <c r="M925" s="9"/>
      <c r="N925" s="10"/>
      <c r="O925" s="9"/>
      <c r="P925" s="9">
        <v>1966</v>
      </c>
      <c r="Q925" s="9">
        <f t="shared" si="14"/>
        <v>236.24128815188658</v>
      </c>
      <c r="R925" s="9"/>
      <c r="S925" s="9" t="s">
        <v>12795</v>
      </c>
      <c r="T925" s="9" t="s">
        <v>12795</v>
      </c>
      <c r="U925" s="9"/>
      <c r="V925" s="9"/>
      <c r="W925" s="9"/>
      <c r="X925" s="9"/>
      <c r="Y925" s="9"/>
      <c r="Z925" s="9"/>
      <c r="AA925" s="9"/>
      <c r="AB925" s="9"/>
      <c r="AC925" s="9"/>
      <c r="AD925" s="9"/>
    </row>
    <row r="926" spans="1:30" ht="72.5">
      <c r="A926" s="3" t="s">
        <v>4711</v>
      </c>
      <c r="B926" s="3" t="s">
        <v>11971</v>
      </c>
      <c r="C926" s="3" t="s">
        <v>11969</v>
      </c>
      <c r="G926" s="9" t="s">
        <v>25</v>
      </c>
      <c r="H926" s="9"/>
      <c r="I926" s="9">
        <v>1</v>
      </c>
      <c r="J926" s="9">
        <v>3</v>
      </c>
      <c r="K926" s="9" t="s">
        <v>12087</v>
      </c>
      <c r="L926" s="9" t="s">
        <v>12079</v>
      </c>
      <c r="M926" s="9"/>
      <c r="N926" s="10"/>
      <c r="O926" s="9"/>
      <c r="P926" s="9">
        <v>5676</v>
      </c>
      <c r="Q926" s="9">
        <f t="shared" si="14"/>
        <v>682.04758471521268</v>
      </c>
      <c r="R926" s="9"/>
      <c r="S926" s="9" t="s">
        <v>12795</v>
      </c>
      <c r="T926" s="9" t="s">
        <v>12795</v>
      </c>
      <c r="U926" s="9"/>
      <c r="V926" s="9"/>
      <c r="W926" s="9"/>
      <c r="X926" s="9"/>
      <c r="Y926" s="9"/>
      <c r="Z926" s="9"/>
      <c r="AA926" s="9"/>
      <c r="AB926" s="9"/>
      <c r="AC926" s="9"/>
      <c r="AD926" s="9"/>
    </row>
    <row r="927" spans="1:30" ht="29">
      <c r="A927" s="3" t="s">
        <v>4724</v>
      </c>
      <c r="B927" s="3" t="s">
        <v>11988</v>
      </c>
      <c r="C927" s="3" t="s">
        <v>11987</v>
      </c>
      <c r="G927" s="9" t="s">
        <v>24</v>
      </c>
      <c r="H927" s="9"/>
      <c r="I927" s="9">
        <v>1</v>
      </c>
      <c r="J927" s="9">
        <v>2</v>
      </c>
      <c r="K927" s="9" t="s">
        <v>12087</v>
      </c>
      <c r="L927" s="9" t="s">
        <v>12119</v>
      </c>
      <c r="M927" s="9"/>
      <c r="N927" s="10"/>
      <c r="O927" s="9"/>
      <c r="P927" s="9">
        <v>1966</v>
      </c>
      <c r="Q927" s="9">
        <f t="shared" si="14"/>
        <v>236.24128815188658</v>
      </c>
      <c r="R927" s="9"/>
      <c r="S927" s="9" t="s">
        <v>12795</v>
      </c>
      <c r="T927" s="9" t="s">
        <v>12795</v>
      </c>
      <c r="U927" s="9"/>
      <c r="V927" s="9"/>
      <c r="W927" s="9"/>
      <c r="X927" s="9"/>
      <c r="Y927" s="9"/>
      <c r="Z927" s="9"/>
      <c r="AA927" s="9"/>
      <c r="AB927" s="9"/>
      <c r="AC927" s="9"/>
      <c r="AD927" s="9"/>
    </row>
    <row r="928" spans="1:30" ht="43.5">
      <c r="A928" s="3" t="s">
        <v>4727</v>
      </c>
      <c r="B928" s="3" t="s">
        <v>11999</v>
      </c>
      <c r="C928" s="3" t="s">
        <v>12000</v>
      </c>
      <c r="G928" s="9" t="s">
        <v>25</v>
      </c>
      <c r="H928" s="9"/>
      <c r="I928" s="9">
        <v>1</v>
      </c>
      <c r="J928" s="9">
        <v>2</v>
      </c>
      <c r="K928" s="9" t="s">
        <v>12123</v>
      </c>
      <c r="L928" s="9" t="s">
        <v>12119</v>
      </c>
      <c r="M928" s="9"/>
      <c r="N928" s="10"/>
      <c r="O928" s="9"/>
      <c r="P928" s="9">
        <v>887</v>
      </c>
      <c r="Q928" s="9">
        <f t="shared" si="14"/>
        <v>106.58495553953377</v>
      </c>
      <c r="R928" s="9"/>
      <c r="S928" s="9" t="s">
        <v>12795</v>
      </c>
      <c r="T928" s="9" t="s">
        <v>12795</v>
      </c>
      <c r="U928" s="9"/>
      <c r="V928" s="9"/>
      <c r="W928" s="9"/>
      <c r="X928" s="9"/>
      <c r="Y928" s="9"/>
      <c r="Z928" s="9"/>
      <c r="AA928" s="9"/>
      <c r="AB928" s="9"/>
      <c r="AC928" s="9"/>
      <c r="AD928" s="9"/>
    </row>
    <row r="929" spans="1:30" ht="58">
      <c r="A929" s="3" t="s">
        <v>4728</v>
      </c>
      <c r="B929" s="3" t="s">
        <v>12004</v>
      </c>
      <c r="C929" s="3" t="s">
        <v>12003</v>
      </c>
      <c r="G929" s="9" t="s">
        <v>24</v>
      </c>
      <c r="H929" s="9"/>
      <c r="I929" s="9">
        <v>1</v>
      </c>
      <c r="J929" s="9">
        <v>7</v>
      </c>
      <c r="K929" s="9" t="s">
        <v>12092</v>
      </c>
      <c r="L929" s="9" t="s">
        <v>12079</v>
      </c>
      <c r="M929" s="9"/>
      <c r="N929" s="10"/>
      <c r="O929" s="9"/>
      <c r="P929" s="9">
        <v>3</v>
      </c>
      <c r="Q929" s="9">
        <f t="shared" si="14"/>
        <v>0.36049026676279744</v>
      </c>
      <c r="R929" s="9"/>
      <c r="S929" s="9" t="s">
        <v>12795</v>
      </c>
      <c r="T929" s="9" t="s">
        <v>12795</v>
      </c>
      <c r="U929" s="9"/>
      <c r="V929" s="9"/>
      <c r="W929" s="9"/>
      <c r="X929" s="9"/>
      <c r="Y929" s="9"/>
      <c r="Z929" s="9"/>
      <c r="AA929" s="9"/>
      <c r="AB929" s="9"/>
      <c r="AC929" s="9"/>
      <c r="AD929" s="9"/>
    </row>
    <row r="930" spans="1:30" ht="43.5">
      <c r="A930" s="3" t="s">
        <v>4734</v>
      </c>
      <c r="B930" s="3" t="s">
        <v>12007</v>
      </c>
      <c r="C930" s="3" t="s">
        <v>12008</v>
      </c>
      <c r="G930" s="9" t="s">
        <v>24</v>
      </c>
      <c r="H930" s="9"/>
      <c r="I930" s="9">
        <v>1</v>
      </c>
      <c r="J930" s="9">
        <v>6</v>
      </c>
      <c r="K930" s="9" t="s">
        <v>12094</v>
      </c>
      <c r="L930" s="9" t="s">
        <v>12079</v>
      </c>
      <c r="M930" s="9"/>
      <c r="N930" s="10"/>
      <c r="O930" s="9"/>
      <c r="P930" s="9">
        <v>4240</v>
      </c>
      <c r="Q930" s="9">
        <f t="shared" si="14"/>
        <v>509.49291035808699</v>
      </c>
      <c r="R930" s="9"/>
      <c r="S930" s="9" t="s">
        <v>12795</v>
      </c>
      <c r="T930" s="9" t="s">
        <v>12795</v>
      </c>
      <c r="U930" s="9"/>
      <c r="V930" s="9"/>
      <c r="W930" s="9"/>
      <c r="X930" s="9"/>
      <c r="Y930" s="9"/>
      <c r="Z930" s="9"/>
      <c r="AA930" s="9"/>
      <c r="AB930" s="9"/>
      <c r="AC930" s="9"/>
      <c r="AD930" s="9"/>
    </row>
    <row r="931" spans="1:30" ht="58">
      <c r="A931" s="3" t="s">
        <v>4734</v>
      </c>
      <c r="B931" s="3" t="s">
        <v>12010</v>
      </c>
      <c r="C931" s="3" t="s">
        <v>12009</v>
      </c>
      <c r="G931" s="9" t="s">
        <v>24</v>
      </c>
      <c r="H931" s="9"/>
      <c r="I931" s="9">
        <v>1</v>
      </c>
      <c r="J931" s="9">
        <v>8</v>
      </c>
      <c r="K931" s="9" t="s">
        <v>12125</v>
      </c>
      <c r="L931" s="9" t="s">
        <v>12073</v>
      </c>
      <c r="M931" s="9" t="s">
        <v>12142</v>
      </c>
      <c r="N931" s="10" t="s">
        <v>12143</v>
      </c>
      <c r="O931" s="9"/>
      <c r="P931" s="9">
        <v>11</v>
      </c>
      <c r="Q931" s="9">
        <f t="shared" si="14"/>
        <v>1.3217976447969237</v>
      </c>
      <c r="R931" s="9"/>
      <c r="S931" s="9" t="s">
        <v>12795</v>
      </c>
      <c r="T931" s="9" t="s">
        <v>12795</v>
      </c>
      <c r="U931" s="9"/>
      <c r="V931" s="9"/>
      <c r="W931" s="9"/>
      <c r="X931" s="9"/>
      <c r="Y931" s="9"/>
      <c r="Z931" s="9"/>
      <c r="AA931" s="9"/>
      <c r="AB931" s="9"/>
      <c r="AC931" s="9"/>
      <c r="AD931" s="9"/>
    </row>
    <row r="932" spans="1:30" ht="29">
      <c r="A932" s="3" t="s">
        <v>4742</v>
      </c>
      <c r="B932" s="3" t="s">
        <v>12014</v>
      </c>
      <c r="C932" s="3" t="s">
        <v>12013</v>
      </c>
      <c r="G932" s="9" t="s">
        <v>24</v>
      </c>
      <c r="H932" s="9"/>
      <c r="I932" s="9">
        <v>1</v>
      </c>
      <c r="J932" s="9">
        <v>2</v>
      </c>
      <c r="K932" s="9" t="s">
        <v>12087</v>
      </c>
      <c r="L932" s="9" t="s">
        <v>12119</v>
      </c>
      <c r="M932" s="9"/>
      <c r="N932" s="10"/>
      <c r="O932" s="9"/>
      <c r="P932" s="9">
        <v>166</v>
      </c>
      <c r="Q932" s="9">
        <f t="shared" si="14"/>
        <v>19.947128094208121</v>
      </c>
      <c r="R932" s="9"/>
      <c r="S932" s="9" t="s">
        <v>12795</v>
      </c>
      <c r="T932" s="9" t="s">
        <v>12795</v>
      </c>
      <c r="U932" s="9"/>
      <c r="V932" s="9"/>
      <c r="W932" s="9"/>
      <c r="X932" s="9"/>
      <c r="Y932" s="9"/>
      <c r="Z932" s="9"/>
      <c r="AA932" s="9"/>
      <c r="AB932" s="9"/>
      <c r="AC932" s="9"/>
      <c r="AD932" s="9"/>
    </row>
    <row r="933" spans="1:30" ht="58">
      <c r="A933" s="3" t="s">
        <v>4760</v>
      </c>
      <c r="B933" s="3" t="s">
        <v>12034</v>
      </c>
      <c r="C933" s="3" t="s">
        <v>12033</v>
      </c>
      <c r="G933" s="9" t="s">
        <v>25</v>
      </c>
      <c r="H933" s="9"/>
      <c r="I933" s="9">
        <v>1</v>
      </c>
      <c r="J933" s="9">
        <v>3</v>
      </c>
      <c r="K933" s="9" t="s">
        <v>12087</v>
      </c>
      <c r="L933" s="9" t="s">
        <v>12079</v>
      </c>
      <c r="M933" s="9"/>
      <c r="N933" s="10"/>
      <c r="O933" s="9"/>
      <c r="P933" s="9">
        <v>5676</v>
      </c>
      <c r="Q933" s="9">
        <f t="shared" si="14"/>
        <v>682.04758471521268</v>
      </c>
      <c r="R933" s="9"/>
      <c r="S933" s="9" t="s">
        <v>12795</v>
      </c>
      <c r="T933" s="9" t="s">
        <v>12795</v>
      </c>
      <c r="U933" s="9"/>
      <c r="V933" s="9"/>
      <c r="W933" s="9"/>
      <c r="X933" s="9"/>
      <c r="Y933" s="9"/>
      <c r="Z933" s="9"/>
      <c r="AA933" s="9"/>
      <c r="AB933" s="9"/>
      <c r="AC933" s="9"/>
      <c r="AD933" s="9"/>
    </row>
    <row r="934" spans="1:30" ht="29">
      <c r="A934" s="3" t="s">
        <v>4767</v>
      </c>
      <c r="B934" s="3" t="s">
        <v>12048</v>
      </c>
      <c r="C934" s="3" t="s">
        <v>12047</v>
      </c>
      <c r="F934" t="s">
        <v>19</v>
      </c>
      <c r="G934" s="9" t="s">
        <v>25</v>
      </c>
      <c r="H934" s="9"/>
      <c r="I934" s="9">
        <v>1</v>
      </c>
      <c r="J934" s="9">
        <v>3</v>
      </c>
      <c r="K934" s="9" t="s">
        <v>12078</v>
      </c>
      <c r="L934" s="9" t="s">
        <v>12079</v>
      </c>
      <c r="M934" s="9"/>
      <c r="N934" s="10"/>
      <c r="O934" s="9"/>
      <c r="P934" s="9">
        <v>11843</v>
      </c>
      <c r="Q934" s="9">
        <f t="shared" si="14"/>
        <v>1423.0954097572699</v>
      </c>
      <c r="R934" s="9"/>
      <c r="S934" s="9" t="s">
        <v>12795</v>
      </c>
      <c r="T934" s="9" t="s">
        <v>12795</v>
      </c>
      <c r="U934" s="9"/>
      <c r="V934" s="9"/>
      <c r="W934" s="9"/>
      <c r="X934" s="9"/>
      <c r="Y934" s="9"/>
      <c r="Z934" s="9"/>
      <c r="AA934" s="9"/>
      <c r="AB934" s="9"/>
      <c r="AC934" s="9"/>
      <c r="AD934" s="9"/>
    </row>
    <row r="935" spans="1:30" ht="58">
      <c r="A935" s="3" t="s">
        <v>4767</v>
      </c>
      <c r="B935" s="3" t="s">
        <v>12049</v>
      </c>
      <c r="C935" s="3" t="s">
        <v>12052</v>
      </c>
      <c r="G935" s="9" t="s">
        <v>24</v>
      </c>
      <c r="H935" s="9"/>
      <c r="I935" s="9">
        <v>2</v>
      </c>
      <c r="J935" s="9">
        <v>7</v>
      </c>
      <c r="K935" s="9"/>
      <c r="L935" s="9" t="s">
        <v>12079</v>
      </c>
      <c r="M935" s="9"/>
      <c r="N935" s="10"/>
      <c r="O935" s="9"/>
      <c r="P935" s="9">
        <v>128</v>
      </c>
      <c r="Q935" s="9">
        <f t="shared" si="14"/>
        <v>15.380918048546024</v>
      </c>
      <c r="R935" s="9"/>
      <c r="S935" s="9" t="s">
        <v>12795</v>
      </c>
      <c r="T935" s="9" t="s">
        <v>12795</v>
      </c>
      <c r="U935" s="9"/>
      <c r="V935" s="9"/>
      <c r="W935" s="9"/>
      <c r="X935" s="9"/>
      <c r="Y935" s="9"/>
      <c r="Z935" s="9"/>
      <c r="AA935" s="9"/>
      <c r="AB935" s="9"/>
      <c r="AC935" s="9"/>
      <c r="AD935" s="9"/>
    </row>
    <row r="936" spans="1:30" ht="29">
      <c r="A936" s="3" t="s">
        <v>4768</v>
      </c>
      <c r="B936" s="3" t="s">
        <v>12054</v>
      </c>
      <c r="C936" s="3" t="s">
        <v>12053</v>
      </c>
      <c r="G936" s="9" t="s">
        <v>24</v>
      </c>
      <c r="H936" s="9"/>
      <c r="I936" s="9">
        <v>1</v>
      </c>
      <c r="J936" s="9">
        <v>2</v>
      </c>
      <c r="K936" s="9" t="s">
        <v>12087</v>
      </c>
      <c r="L936" s="9" t="s">
        <v>12119</v>
      </c>
      <c r="M936" s="9"/>
      <c r="N936" s="10"/>
      <c r="O936" s="9"/>
      <c r="P936" s="9">
        <v>1966</v>
      </c>
      <c r="Q936" s="9">
        <f t="shared" si="14"/>
        <v>236.24128815188658</v>
      </c>
      <c r="R936" s="9"/>
      <c r="S936" s="9" t="s">
        <v>12795</v>
      </c>
      <c r="T936" s="9" t="s">
        <v>12795</v>
      </c>
      <c r="U936" s="9"/>
      <c r="V936" s="9"/>
      <c r="W936" s="9"/>
      <c r="X936" s="9"/>
      <c r="Y936" s="9"/>
      <c r="Z936" s="9"/>
      <c r="AA936" s="9"/>
      <c r="AB936" s="9"/>
      <c r="AC936" s="9"/>
      <c r="AD936" s="9"/>
    </row>
    <row r="939" spans="1:30">
      <c r="E939" t="s">
        <v>12764</v>
      </c>
      <c r="F939">
        <f>COUNTIF(G:G,"Addition")</f>
        <v>401</v>
      </c>
    </row>
    <row r="940" spans="1:30">
      <c r="B940" t="s">
        <v>12767</v>
      </c>
      <c r="C940" t="s">
        <v>12768</v>
      </c>
      <c r="E940" t="s">
        <v>12765</v>
      </c>
      <c r="F940">
        <f>COUNTIF(G:G,"Omission")</f>
        <v>534</v>
      </c>
    </row>
    <row r="941" spans="1:30">
      <c r="B941" t="s">
        <v>12078</v>
      </c>
      <c r="C941" t="s">
        <v>12072</v>
      </c>
      <c r="E941" t="s">
        <v>12766</v>
      </c>
      <c r="F941">
        <f>F939/(F939+F940)</f>
        <v>0.4288770053475936</v>
      </c>
    </row>
    <row r="942" spans="1:30">
      <c r="B942" t="s">
        <v>12087</v>
      </c>
      <c r="C942" t="s">
        <v>12084</v>
      </c>
    </row>
    <row r="943" spans="1:30">
      <c r="B943" t="s">
        <v>12094</v>
      </c>
      <c r="C943" t="s">
        <v>12092</v>
      </c>
    </row>
    <row r="944" spans="1:30">
      <c r="B944" t="s">
        <v>12096</v>
      </c>
      <c r="C944" t="s">
        <v>12098</v>
      </c>
      <c r="E944" t="s">
        <v>12769</v>
      </c>
      <c r="F944">
        <f>COUNTIFS(G:G,"Addition", K:K,"Article")+COUNTIFS(G:G,"Addition", K:K,"Conjunction")+COUNTIFS(G:G,"Addition", K:K,"Pronoun")+COUNTIFS(G:G,"Addition", K:K,"Preposition")+COUNTIFS(G:G,"Addition", K:K,"Particle")+COUNTIFS(G:G,"Addition", K:K,"Vocative")</f>
        <v>317</v>
      </c>
    </row>
    <row r="945" spans="2:6">
      <c r="B945" t="s">
        <v>12123</v>
      </c>
      <c r="C945" t="s">
        <v>12125</v>
      </c>
      <c r="E945" t="s">
        <v>12770</v>
      </c>
      <c r="F945">
        <f>COUNTIFS(G:G,"Omission", K:K,"Article")+COUNTIFS(G:G,"Omission", K:K,"Conjunction")+COUNTIFS(G:G,"Omission", K:K,"Pronoun")+COUNTIFS(G:G,"Omission", K:K,"Preposition")+COUNTIFS(G:G,"Omission", K:K,"Particle")+COUNTIFS(G:G,"Omission", K:K,"Vocative")</f>
        <v>350</v>
      </c>
    </row>
    <row r="946" spans="2:6">
      <c r="B946" t="s">
        <v>12099</v>
      </c>
      <c r="E946" t="s">
        <v>12771</v>
      </c>
      <c r="F946">
        <f>F944/(F944+F945)</f>
        <v>0.4752623688155922</v>
      </c>
    </row>
    <row r="949" spans="2:6">
      <c r="E949" t="s">
        <v>12776</v>
      </c>
      <c r="F949">
        <f>COUNTIFS(G:G,"Addition", K:K,"Adjective")+COUNTIFS(G:G,"Addition", K:K,"Adverb")+COUNTIFS(G:G,"Addition", K:K,"Noun")+COUNTIFS(G:G,"Addition", K:K,"Participle")+COUNTIFS(G:G,"Addition", K:K,"Verb")</f>
        <v>45</v>
      </c>
    </row>
    <row r="950" spans="2:6">
      <c r="E950" t="s">
        <v>12777</v>
      </c>
      <c r="F950">
        <f>COUNTIFS(G:G,"Omission", K:K,"Adjective")+COUNTIFS(G:G,"Omission", K:K,"Adverb")+COUNTIFS(G:G,"Omission", K:K,"Noun")+COUNTIFS(G:G,"Omission", K:K,"Participle")+COUNTIFS(G:G,"Omission", K:K,"Verb")</f>
        <v>80</v>
      </c>
    </row>
    <row r="951" spans="2:6">
      <c r="E951" t="s">
        <v>12778</v>
      </c>
      <c r="F951">
        <f>F949/(F949+F950)</f>
        <v>0.36</v>
      </c>
    </row>
    <row r="952" spans="2:6">
      <c r="E952" t="s">
        <v>12783</v>
      </c>
      <c r="F952">
        <f>F951-F946</f>
        <v>-0.11526236881559221</v>
      </c>
    </row>
    <row r="955" spans="2:6">
      <c r="D955" s="22" t="s">
        <v>12779</v>
      </c>
      <c r="E955" s="22"/>
      <c r="F955" s="22"/>
    </row>
    <row r="956" spans="2:6">
      <c r="D956" t="s">
        <v>12073</v>
      </c>
      <c r="E956" t="s">
        <v>12780</v>
      </c>
      <c r="F956" t="s">
        <v>12781</v>
      </c>
    </row>
    <row r="957" spans="2:6">
      <c r="C957" t="s">
        <v>12773</v>
      </c>
      <c r="D957">
        <f>COUNTIFS(G:G,"Addition", L:L, "Present")</f>
        <v>49</v>
      </c>
      <c r="E957">
        <f>COUNTIFS(G:G,"Addition", L:L, "Absent")</f>
        <v>215</v>
      </c>
      <c r="F957">
        <f>D957/(D957+E957)</f>
        <v>0.18560606060606061</v>
      </c>
    </row>
    <row r="958" spans="2:6">
      <c r="C958" t="s">
        <v>12774</v>
      </c>
      <c r="D958">
        <f>COUNTIFS(G:G,"Omission", L:L, "Present")</f>
        <v>99</v>
      </c>
      <c r="E958">
        <f>COUNTIFS(G:G,"Omission", L:L, "Absent")</f>
        <v>275</v>
      </c>
      <c r="F958">
        <f>D958/(D958+E958)</f>
        <v>0.26470588235294118</v>
      </c>
    </row>
    <row r="959" spans="2:6">
      <c r="C959" t="s">
        <v>12782</v>
      </c>
      <c r="D959">
        <f>SUM(D957+D958)</f>
        <v>148</v>
      </c>
      <c r="E959">
        <f>SUM(E957+E958)</f>
        <v>490</v>
      </c>
      <c r="F959">
        <f>D959/(D959+E959)</f>
        <v>0.23197492163009403</v>
      </c>
    </row>
    <row r="962" spans="3:6">
      <c r="D962" t="s">
        <v>12773</v>
      </c>
      <c r="E962" t="s">
        <v>12774</v>
      </c>
      <c r="F962" t="s">
        <v>12784</v>
      </c>
    </row>
    <row r="963" spans="3:6">
      <c r="C963" t="s">
        <v>12785</v>
      </c>
      <c r="D963">
        <f>COUNTIFS(G:G,"Addition", L:L, "Absent")</f>
        <v>215</v>
      </c>
      <c r="E963">
        <f>COUNTIFS(G:G,"Omission", L:L, "Absent")</f>
        <v>275</v>
      </c>
      <c r="F963">
        <f>D963/(D963+E963)</f>
        <v>0.43877551020408162</v>
      </c>
    </row>
    <row r="964" spans="3:6">
      <c r="C964" t="s">
        <v>12786</v>
      </c>
      <c r="D964">
        <f>COUNTIFS(G:G,"Addition", L:L, "Present")</f>
        <v>49</v>
      </c>
      <c r="E964">
        <f>COUNTIFS(G:G,"Omission", L:L, "Present")</f>
        <v>99</v>
      </c>
      <c r="F964">
        <f>D964/(D964+E964)</f>
        <v>0.33108108108108109</v>
      </c>
    </row>
    <row r="965" spans="3:6">
      <c r="E965" t="s">
        <v>12852</v>
      </c>
      <c r="F965">
        <f>F964-F963</f>
        <v>-0.10769442912300053</v>
      </c>
    </row>
    <row r="968" spans="3:6">
      <c r="D968" t="s">
        <v>12773</v>
      </c>
      <c r="E968" t="s">
        <v>12774</v>
      </c>
      <c r="F968" t="s">
        <v>12784</v>
      </c>
    </row>
    <row r="969" spans="3:6">
      <c r="C969" t="s">
        <v>12787</v>
      </c>
      <c r="D969">
        <f>COUNTIFS(G:G,"Addition", O:O, "")</f>
        <v>371</v>
      </c>
      <c r="E969">
        <f>COUNTIFS(G:G,"Omission", O:O, "")</f>
        <v>520</v>
      </c>
      <c r="F969">
        <f>D969/(D969+E969)</f>
        <v>0.41638608305274971</v>
      </c>
    </row>
    <row r="970" spans="3:6">
      <c r="C970" t="s">
        <v>12788</v>
      </c>
      <c r="D970">
        <f>COUNTIFS(G:G,"Addition", O:O, "Dittography")</f>
        <v>29</v>
      </c>
      <c r="E970">
        <f>COUNTIFS(G:G,"Omission", O:O, "Dittography")</f>
        <v>14</v>
      </c>
      <c r="F970">
        <f>D970/(D970+E970)</f>
        <v>0.67441860465116277</v>
      </c>
    </row>
    <row r="971" spans="3:6">
      <c r="E971" t="s">
        <v>12852</v>
      </c>
      <c r="F971">
        <f>F970-F969</f>
        <v>0.25803252159841306</v>
      </c>
    </row>
    <row r="974" spans="3:6">
      <c r="C974" t="s">
        <v>12772</v>
      </c>
      <c r="D974" t="s">
        <v>12773</v>
      </c>
      <c r="E974" t="s">
        <v>12774</v>
      </c>
      <c r="F974" t="s">
        <v>12784</v>
      </c>
    </row>
    <row r="975" spans="3:6">
      <c r="C975" s="12">
        <v>1</v>
      </c>
      <c r="D975">
        <f>COUNTIFS(G:G,"Addition", I:I, 1)</f>
        <v>362</v>
      </c>
      <c r="E975">
        <f>COUNTIFS(G:G,"Omission", I:I, 1)</f>
        <v>430</v>
      </c>
      <c r="F975">
        <f>D975/(D975+E975)</f>
        <v>0.45707070707070707</v>
      </c>
    </row>
    <row r="976" spans="3:6">
      <c r="C976" s="12" t="s">
        <v>12789</v>
      </c>
      <c r="D976">
        <f>COUNTIFS(G:G,"Addition", I:I, "&gt;=2", I:I, "&lt;=3")</f>
        <v>33</v>
      </c>
      <c r="E976">
        <f>COUNTIFS(G:G,"Omission", I:I, "&gt;=2", I:I, "&lt;=3")</f>
        <v>67</v>
      </c>
      <c r="F976">
        <f>D976/(D976+E976)</f>
        <v>0.33</v>
      </c>
    </row>
    <row r="977" spans="3:6">
      <c r="C977" s="12" t="s">
        <v>12790</v>
      </c>
      <c r="D977">
        <f>COUNTIFS(G:G,"Addition", I:I, "&gt;=4")</f>
        <v>6</v>
      </c>
      <c r="E977">
        <f>COUNTIFS(G:G,"Omission", I:I, "&gt;=4")</f>
        <v>37</v>
      </c>
      <c r="F977">
        <f>D977/(D977+E977)</f>
        <v>0.13953488372093023</v>
      </c>
    </row>
    <row r="980" spans="3:6">
      <c r="C980" t="s">
        <v>12772</v>
      </c>
      <c r="D980" t="s">
        <v>12773</v>
      </c>
      <c r="E980" t="s">
        <v>12774</v>
      </c>
      <c r="F980" t="s">
        <v>12775</v>
      </c>
    </row>
    <row r="981" spans="3:6">
      <c r="C981">
        <v>1</v>
      </c>
      <c r="D981" s="12">
        <f>COUNTIFS(G:G,"Addition", I:I, C981)</f>
        <v>362</v>
      </c>
      <c r="E981">
        <f>COUNTIFS(G:G,"Omission", I:I, C981)</f>
        <v>430</v>
      </c>
      <c r="F981">
        <f>D981/(D981+E981)</f>
        <v>0.45707070707070707</v>
      </c>
    </row>
    <row r="982" spans="3:6">
      <c r="C982">
        <v>2</v>
      </c>
      <c r="D982" s="12">
        <f>COUNTIFS(G:G,"Addition", I:I, C982)</f>
        <v>27</v>
      </c>
      <c r="E982">
        <f>COUNTIFS(G:G,"Omission", I:I, C982)</f>
        <v>49</v>
      </c>
      <c r="F982">
        <f>D982/(D982+E982)</f>
        <v>0.35526315789473684</v>
      </c>
    </row>
    <row r="983" spans="3:6">
      <c r="C983">
        <v>3</v>
      </c>
      <c r="D983" s="12">
        <f>COUNTIFS(G:G,"Addition", I:I, C983)</f>
        <v>6</v>
      </c>
      <c r="E983">
        <f>COUNTIFS(G:G,"Omission", I:I, C983)</f>
        <v>18</v>
      </c>
      <c r="F983">
        <f>D983/(D983+E983)</f>
        <v>0.25</v>
      </c>
    </row>
    <row r="984" spans="3:6">
      <c r="C984">
        <v>4</v>
      </c>
      <c r="D984" s="12">
        <f>COUNTIFS(G:G,"Addition", I:I, C984)</f>
        <v>2</v>
      </c>
      <c r="E984">
        <f>COUNTIFS(G:G,"Omission", I:I, C984)</f>
        <v>10</v>
      </c>
      <c r="F984">
        <f>D984/(D984+E984)</f>
        <v>0.16666666666666666</v>
      </c>
    </row>
    <row r="985" spans="3:6">
      <c r="C985" t="s">
        <v>12791</v>
      </c>
      <c r="D985" s="12">
        <f>COUNTIFS(G:G,"Addition", I:I, C985)</f>
        <v>4</v>
      </c>
      <c r="E985">
        <f>COUNTIFS(G:G,"Omission", I:I, C985)</f>
        <v>27</v>
      </c>
      <c r="F985">
        <f>D985/(D985+E985)</f>
        <v>0.12903225806451613</v>
      </c>
    </row>
    <row r="986" spans="3:6">
      <c r="D986" s="12"/>
    </row>
    <row r="988" spans="3:6">
      <c r="E988" t="s">
        <v>12792</v>
      </c>
      <c r="F988">
        <v>83220</v>
      </c>
    </row>
  </sheetData>
  <mergeCells count="1">
    <mergeCell ref="D955:F955"/>
  </mergeCells>
  <conditionalFormatting sqref="G2:G936">
    <cfRule type="expression" dxfId="311" priority="15">
      <formula>$I2&lt;&gt;""</formula>
    </cfRule>
    <cfRule type="expression" dxfId="310" priority="16">
      <formula>$I2=""</formula>
    </cfRule>
  </conditionalFormatting>
  <conditionalFormatting sqref="H2:P531 H532:O532 H533:P936">
    <cfRule type="expression" dxfId="309" priority="34">
      <formula>AND(OR($I2="Addition",$I2="Omission"), H2&lt;&gt;"")</formula>
    </cfRule>
  </conditionalFormatting>
  <conditionalFormatting sqref="K2:K936">
    <cfRule type="expression" dxfId="308" priority="21">
      <formula>AND($K2&lt;&gt;"",$K2&gt;1)</formula>
    </cfRule>
  </conditionalFormatting>
  <conditionalFormatting sqref="M2:N936">
    <cfRule type="expression" dxfId="307" priority="19">
      <formula>AND(OR($I2="Addition",$I2="Omission"), M2="")</formula>
    </cfRule>
    <cfRule type="expression" dxfId="306" priority="20">
      <formula>AND($I2&lt;&gt;"Addition",$I2&lt;&gt;"Omission")</formula>
    </cfRule>
    <cfRule type="expression" dxfId="305" priority="17">
      <formula>$N2="Absent"</formula>
    </cfRule>
    <cfRule type="expression" dxfId="304" priority="18">
      <formula>$N2="NA"</formula>
    </cfRule>
  </conditionalFormatting>
  <conditionalFormatting sqref="O2:O936">
    <cfRule type="expression" dxfId="303" priority="22">
      <formula>OR($I2="Addition",$I2="Omission",$I2 = "Substitution - Word")</formula>
    </cfRule>
  </conditionalFormatting>
  <conditionalFormatting sqref="O532">
    <cfRule type="expression" dxfId="302" priority="10">
      <formula>AND(OR($I532="Addition",$I532="Omission"), O532="")</formula>
    </cfRule>
    <cfRule type="expression" dxfId="301" priority="11">
      <formula>AND($I532&lt;&gt;"Addition",$I532&lt;&gt;"Omission",$I532&lt;&gt;"Substitution - Word")</formula>
    </cfRule>
  </conditionalFormatting>
  <conditionalFormatting sqref="O2:P531 H2:L936 O533:P936">
    <cfRule type="expression" dxfId="300" priority="24">
      <formula>AND($I2&lt;&gt;"Addition",$I2&lt;&gt;"Omission",$I2&lt;&gt;"Substitution - Word")</formula>
    </cfRule>
  </conditionalFormatting>
  <conditionalFormatting sqref="O2:P531 O533:P936 H2:L936">
    <cfRule type="expression" dxfId="299" priority="23">
      <formula>AND(OR($I2="Addition",$I2="Omission"), H2="")</formula>
    </cfRule>
  </conditionalFormatting>
  <conditionalFormatting sqref="P532">
    <cfRule type="expression" dxfId="298" priority="4">
      <formula>AND(AND(LEFT($I532,3)="Sub", RIGHT($I532,4)&lt;&gt;"Form"),$T532&lt;&gt;"")</formula>
    </cfRule>
    <cfRule type="expression" dxfId="297" priority="5">
      <formula>AND(AND(LEFT($I532,3)="Sub", RIGHT($I532,4)&lt;&gt;"Form"),$T532="")</formula>
    </cfRule>
    <cfRule type="expression" dxfId="296" priority="6">
      <formula>"&lt;&gt;AND(LEFT($J2,3)=""Sub"", RIGHT($J2,4)&lt;&gt;""Form"")"</formula>
    </cfRule>
    <cfRule type="expression" dxfId="295" priority="7">
      <formula>AND(AND(LEFT($I532,3)="Sub", RIGHT($I532,4)&lt;&gt;"Form"),$T532&lt;&gt;"")</formula>
    </cfRule>
    <cfRule type="expression" dxfId="294" priority="8">
      <formula>AND(AND(LEFT($I532,3)="Sub", RIGHT($I532,4)&lt;&gt;"Form"),$T532="")</formula>
    </cfRule>
    <cfRule type="expression" dxfId="293" priority="9">
      <formula>"&lt;&gt;AND(LEFT($J2,3)=""Sub"", RIGHT($J2,4)&lt;&gt;""Form"")"</formula>
    </cfRule>
  </conditionalFormatting>
  <conditionalFormatting sqref="Q2:Q936">
    <cfRule type="expression" dxfId="292" priority="3">
      <formula>AND($I2&lt;&gt;"Addition",$I2&lt;&gt;"Omission",$I2&lt;&gt;"Substitution - Word")</formula>
    </cfRule>
    <cfRule type="expression" dxfId="291" priority="1">
      <formula>AND(OR($I2="Addition",$I2="Omission"), Q2&lt;&gt;"")</formula>
    </cfRule>
    <cfRule type="expression" dxfId="290" priority="2">
      <formula>AND(OR($I2="Addition",$I2="Omission"), Q2="")</formula>
    </cfRule>
  </conditionalFormatting>
  <conditionalFormatting sqref="R2:T936">
    <cfRule type="expression" dxfId="289" priority="31">
      <formula>AND(AND(LEFT($I2,3)="Sub", RIGHT($I2,4)&lt;&gt;"Form"),$T2&lt;&gt;"")</formula>
    </cfRule>
    <cfRule type="expression" dxfId="288" priority="32">
      <formula>AND(AND(LEFT($I2,3)="Sub", RIGHT($I2,4)&lt;&gt;"Form"),$T2="")</formula>
    </cfRule>
    <cfRule type="expression" dxfId="287" priority="33">
      <formula>"&lt;&gt;AND(LEFT($J2,3)=""Sub"", RIGHT($J2,4)&lt;&gt;""Form"")"</formula>
    </cfRule>
  </conditionalFormatting>
  <conditionalFormatting sqref="U2:U936">
    <cfRule type="expression" dxfId="286" priority="26">
      <formula>AND($W2&lt;&gt;"",OR($AD2="Yes",$AE2&lt;&gt;""))</formula>
    </cfRule>
    <cfRule type="expression" dxfId="285" priority="27">
      <formula>OR($AD2="Yes",$AE2&lt;&gt;"")</formula>
    </cfRule>
    <cfRule type="expression" dxfId="284" priority="37">
      <formula>AND($AD2&lt;&gt;"Yes",$AE2="")</formula>
    </cfRule>
  </conditionalFormatting>
  <conditionalFormatting sqref="U2:AD936">
    <cfRule type="expression" dxfId="283" priority="35">
      <formula>AND($I2&lt;&gt;"",$I2&lt;&gt;"Unclear due to correction")</formula>
    </cfRule>
    <cfRule type="expression" dxfId="282" priority="36">
      <formula>OR($I2="",$I2="Unclear due to correction")</formula>
    </cfRule>
  </conditionalFormatting>
  <conditionalFormatting sqref="V2:V936">
    <cfRule type="expression" dxfId="281" priority="25">
      <formula>AND($I2&lt;&gt;"",$I2&lt;&gt;"Unclear due to correction",$X2="")</formula>
    </cfRule>
  </conditionalFormatting>
  <conditionalFormatting sqref="W2:W936">
    <cfRule type="expression" dxfId="280" priority="28">
      <formula>AND($X2="Yes",$Y2="")</formula>
    </cfRule>
    <cfRule type="expression" dxfId="279" priority="29">
      <formula>$X2=""</formula>
    </cfRule>
  </conditionalFormatting>
  <conditionalFormatting sqref="AB2:AB936">
    <cfRule type="expression" dxfId="278" priority="30">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7B55112E-7744-4543-B75E-B854EACC33CF}">
          <x14:formula1>
            <xm:f>'Data Regularization'!$H$2:$H$1048576</xm:f>
          </x14:formula1>
          <xm:sqref>U2:U936</xm:sqref>
        </x14:dataValidation>
        <x14:dataValidation type="list" allowBlank="1" showInputMessage="1" showErrorMessage="1" xr:uid="{E86B2E00-4955-4D00-B123-F34BAAD0B2D3}">
          <x14:formula1>
            <xm:f>'Data Regularization'!$C$2:$C$29</xm:f>
          </x14:formula1>
          <xm:sqref>F2:F936</xm:sqref>
        </x14:dataValidation>
        <x14:dataValidation type="list" allowBlank="1" showInputMessage="1" showErrorMessage="1" xr:uid="{D9334402-ED47-406A-AEDB-CC0C9C995191}">
          <x14:formula1>
            <xm:f>'Data Regularization'!$D$2:$D$1048576</xm:f>
          </x14:formula1>
          <xm:sqref>G1:G936</xm:sqref>
        </x14:dataValidation>
        <x14:dataValidation type="list" allowBlank="1" showInputMessage="1" showErrorMessage="1" xr:uid="{A581631A-AB35-4FB8-9FB6-C6A8DC164DAB}">
          <x14:formula1>
            <xm:f>'Data Regularization'!$B$2:$B$1048576</xm:f>
          </x14:formula1>
          <xm:sqref>E2:E936</xm:sqref>
        </x14:dataValidation>
        <x14:dataValidation type="list" allowBlank="1" showInputMessage="1" showErrorMessage="1" xr:uid="{D82B4FC7-DBF9-4516-A83C-61CCCF6E12EB}">
          <x14:formula1>
            <xm:f>'Data Regularization'!$A$2:$A$1048576</xm:f>
          </x14:formula1>
          <xm:sqref>D2:D936</xm:sqref>
        </x14:dataValidation>
        <x14:dataValidation type="list" allowBlank="1" showInputMessage="1" showErrorMessage="1" xr:uid="{25347871-3A39-4E3D-806A-2C1D13EFD1D6}">
          <x14:formula1>
            <xm:f>'Data Regularization'!$E$2:$E$1048576</xm:f>
          </x14:formula1>
          <xm:sqref>K2:K936</xm:sqref>
        </x14:dataValidation>
        <x14:dataValidation type="list" allowBlank="1" showInputMessage="1" showErrorMessage="1" xr:uid="{27CAA36E-0703-4C7A-A991-C0DCB174D62C}">
          <x14:formula1>
            <xm:f>'Data Regularization'!$F$2:$F$1048576</xm:f>
          </x14:formula1>
          <xm:sqref>L2:L936</xm:sqref>
        </x14:dataValidation>
        <x14:dataValidation type="list" allowBlank="1" showInputMessage="1" showErrorMessage="1" xr:uid="{4DEDF138-B364-486D-8B2E-E3CACA0F2709}">
          <x14:formula1>
            <xm:f>'Data Regularization'!$G$2:$G$1048576</xm:f>
          </x14:formula1>
          <xm:sqref>O2:O936</xm:sqref>
        </x14:dataValidation>
        <x14:dataValidation type="list" allowBlank="1" showInputMessage="1" showErrorMessage="1" xr:uid="{5352A3D8-D32A-47D4-BC75-831F02ACA3BE}">
          <x14:formula1>
            <xm:f>'Data Regularization'!$K$2:$K$1048576</xm:f>
          </x14:formula1>
          <xm:sqref>W2:W936</xm:sqref>
        </x14:dataValidation>
        <x14:dataValidation type="list" allowBlank="1" showInputMessage="1" showErrorMessage="1" xr:uid="{BEFD98E8-EAA0-4CDC-A6C7-A9448B8B1418}">
          <x14:formula1>
            <xm:f>'Data Regularization'!$L$2:$L$1048576</xm:f>
          </x14:formula1>
          <xm:sqref>X2:X936</xm:sqref>
        </x14:dataValidation>
        <x14:dataValidation type="list" allowBlank="1" showInputMessage="1" showErrorMessage="1" xr:uid="{C1E7C281-F36F-4CD8-B065-59827B0617A1}">
          <x14:formula1>
            <xm:f>'Data Regularization'!$N$2:$N$1048576</xm:f>
          </x14:formula1>
          <xm:sqref>Y2:Y936</xm:sqref>
        </x14:dataValidation>
        <x14:dataValidation type="list" allowBlank="1" showInputMessage="1" showErrorMessage="1" xr:uid="{C8770932-AFF6-478C-A3CD-36F127B236B1}">
          <x14:formula1>
            <xm:f>'Data Regularization'!$O$2:$O$1048576</xm:f>
          </x14:formula1>
          <xm:sqref>Z2:Z936</xm:sqref>
        </x14:dataValidation>
        <x14:dataValidation type="list" allowBlank="1" showInputMessage="1" showErrorMessage="1" xr:uid="{D4E34B60-9EF4-407F-80FE-A44FC67DB7E9}">
          <x14:formula1>
            <xm:f>'Data Regularization'!$P$2:$P$1048576</xm:f>
          </x14:formula1>
          <xm:sqref>AB2:AB936</xm:sqref>
        </x14:dataValidation>
        <x14:dataValidation type="list" allowBlank="1" showInputMessage="1" showErrorMessage="1" xr:uid="{5D94D3B1-00CF-40D5-A3F9-D16A54032529}">
          <x14:formula1>
            <xm:f>'Data Regularization'!$Q$2:$Q$1048576</xm:f>
          </x14:formula1>
          <xm:sqref>AC2:AC936</xm:sqref>
        </x14:dataValidation>
        <x14:dataValidation type="list" allowBlank="1" showInputMessage="1" xr:uid="{B3D7ED26-48B0-4C1F-89AC-1CA332D28C52}">
          <x14:formula1>
            <xm:f>'Data Regularization'!$J$2:$J$1048576</xm:f>
          </x14:formula1>
          <xm:sqref>V2:V936</xm:sqref>
        </x14:dataValidation>
        <x14:dataValidation type="list" allowBlank="1" showInputMessage="1" showErrorMessage="1" xr:uid="{CE6F8493-C05C-43B2-91FA-BEE964642976}">
          <x14:formula1>
            <xm:f>'Data Regularization'!$R$2:$R$1048576</xm:f>
          </x14:formula1>
          <xm:sqref>AD2:AD936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F275-3AC3-442E-987B-063BCD32DBC5}">
  <dimension ref="A1:XFB685"/>
  <sheetViews>
    <sheetView topLeftCell="A664" workbookViewId="0">
      <selection activeCell="E680" sqref="E680"/>
    </sheetView>
  </sheetViews>
  <sheetFormatPr defaultRowHeight="14.5"/>
  <sheetData>
    <row r="1" spans="1:16382">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12796</v>
      </c>
      <c r="R1" s="1" t="s">
        <v>12110</v>
      </c>
      <c r="S1" s="1" t="s">
        <v>12112</v>
      </c>
      <c r="T1" s="1" t="s">
        <v>12113</v>
      </c>
      <c r="U1" s="1" t="s">
        <v>12114</v>
      </c>
      <c r="V1" s="1" t="s">
        <v>12068</v>
      </c>
      <c r="W1" s="1" t="s">
        <v>12069</v>
      </c>
      <c r="X1" s="1" t="s">
        <v>12070</v>
      </c>
      <c r="Y1" s="1" t="s">
        <v>12111</v>
      </c>
      <c r="Z1" s="1" t="s">
        <v>12115</v>
      </c>
      <c r="AA1" s="1" t="s">
        <v>12071</v>
      </c>
      <c r="AB1" s="1" t="s">
        <v>12116</v>
      </c>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row>
    <row r="2" spans="1:16382" ht="43.5">
      <c r="A2" s="3" t="s">
        <v>108</v>
      </c>
      <c r="B2" s="3" t="s">
        <v>4804</v>
      </c>
      <c r="C2" s="3" t="s">
        <v>4805</v>
      </c>
      <c r="F2" t="s">
        <v>19</v>
      </c>
      <c r="G2" s="9" t="s">
        <v>25</v>
      </c>
      <c r="H2" s="9"/>
      <c r="I2" s="9">
        <v>1</v>
      </c>
      <c r="J2" s="9">
        <v>2</v>
      </c>
      <c r="K2" s="9" t="s">
        <v>12078</v>
      </c>
      <c r="L2" s="9" t="s">
        <v>12119</v>
      </c>
      <c r="M2" s="9"/>
      <c r="N2" s="10"/>
      <c r="O2" s="9"/>
      <c r="P2" s="9">
        <v>11843</v>
      </c>
      <c r="Q2" s="9">
        <v>1423.0954097572699</v>
      </c>
      <c r="R2" s="9"/>
      <c r="S2" s="9" t="s">
        <v>12795</v>
      </c>
      <c r="T2" s="9" t="s">
        <v>12795</v>
      </c>
      <c r="U2" s="9"/>
      <c r="V2" s="9"/>
      <c r="W2" s="9"/>
      <c r="X2" s="9"/>
      <c r="Y2" s="9"/>
      <c r="Z2" s="9"/>
      <c r="AA2" s="9"/>
      <c r="AB2" s="9"/>
      <c r="AC2" s="9"/>
      <c r="AD2" s="9"/>
    </row>
    <row r="3" spans="1:16382" ht="43.5">
      <c r="A3" s="3" t="s">
        <v>114</v>
      </c>
      <c r="B3" s="3" t="s">
        <v>4810</v>
      </c>
      <c r="C3" s="3" t="s">
        <v>4811</v>
      </c>
      <c r="G3" s="9" t="s">
        <v>24</v>
      </c>
      <c r="H3" s="9"/>
      <c r="I3" s="9">
        <v>1</v>
      </c>
      <c r="J3" s="9">
        <v>2</v>
      </c>
      <c r="K3" s="9" t="s">
        <v>12087</v>
      </c>
      <c r="L3" s="9" t="s">
        <v>12119</v>
      </c>
      <c r="M3" s="9"/>
      <c r="N3" s="10"/>
      <c r="O3" s="9"/>
      <c r="P3" s="9">
        <v>1966</v>
      </c>
      <c r="Q3" s="9">
        <v>236.24128815188658</v>
      </c>
      <c r="R3" s="9"/>
      <c r="S3" s="9" t="s">
        <v>12795</v>
      </c>
      <c r="T3" s="9" t="s">
        <v>12795</v>
      </c>
      <c r="U3" s="9"/>
      <c r="V3" s="9"/>
      <c r="W3" s="9"/>
      <c r="X3" s="9"/>
      <c r="Y3" s="9"/>
      <c r="Z3" s="9"/>
      <c r="AA3" s="9"/>
      <c r="AB3" s="9"/>
      <c r="AC3" s="9"/>
      <c r="AD3" s="9"/>
    </row>
    <row r="4" spans="1:16382" ht="29">
      <c r="A4" s="3" t="s">
        <v>147</v>
      </c>
      <c r="B4" s="3" t="s">
        <v>4829</v>
      </c>
      <c r="C4" s="3" t="s">
        <v>4830</v>
      </c>
      <c r="G4" s="9" t="s">
        <v>25</v>
      </c>
      <c r="H4" s="9"/>
      <c r="I4" s="9">
        <v>1</v>
      </c>
      <c r="J4" s="9">
        <v>1</v>
      </c>
      <c r="K4" s="9" t="s">
        <v>12078</v>
      </c>
      <c r="L4" s="9" t="s">
        <v>12119</v>
      </c>
      <c r="M4" s="9"/>
      <c r="N4" s="10"/>
      <c r="O4" s="9"/>
      <c r="P4" s="9">
        <v>11843</v>
      </c>
      <c r="Q4" s="9">
        <v>1423.0954097572699</v>
      </c>
      <c r="R4" s="9"/>
      <c r="S4" s="9" t="s">
        <v>12795</v>
      </c>
      <c r="T4" s="9" t="s">
        <v>12795</v>
      </c>
      <c r="U4" s="9"/>
      <c r="V4" s="9"/>
      <c r="W4" s="9"/>
      <c r="X4" s="9"/>
      <c r="Y4" s="9"/>
      <c r="Z4" s="9"/>
      <c r="AA4" s="9"/>
      <c r="AB4" s="9"/>
      <c r="AC4" s="9"/>
      <c r="AD4" s="9"/>
    </row>
    <row r="5" spans="1:16382" ht="43.5">
      <c r="A5" s="3" t="s">
        <v>148</v>
      </c>
      <c r="B5" s="3" t="s">
        <v>4831</v>
      </c>
      <c r="C5" s="3" t="s">
        <v>4832</v>
      </c>
      <c r="G5" s="9" t="s">
        <v>25</v>
      </c>
      <c r="H5" s="9"/>
      <c r="I5" s="9">
        <v>1</v>
      </c>
      <c r="J5" s="9">
        <v>3</v>
      </c>
      <c r="K5" s="9" t="s">
        <v>12078</v>
      </c>
      <c r="L5" s="9" t="s">
        <v>12079</v>
      </c>
      <c r="M5" s="9"/>
      <c r="N5" s="10"/>
      <c r="O5" s="9"/>
      <c r="P5" s="9">
        <v>11843</v>
      </c>
      <c r="Q5" s="9">
        <v>1423.0954097572699</v>
      </c>
      <c r="R5" s="9"/>
      <c r="S5" s="9" t="s">
        <v>12795</v>
      </c>
      <c r="T5" s="9" t="s">
        <v>12795</v>
      </c>
      <c r="U5" s="9"/>
      <c r="V5" s="9"/>
      <c r="W5" s="9"/>
      <c r="X5" s="9"/>
      <c r="Y5" s="9"/>
      <c r="Z5" s="9"/>
      <c r="AA5" s="9"/>
      <c r="AB5" s="9"/>
      <c r="AC5" s="9"/>
      <c r="AD5" s="9"/>
    </row>
    <row r="6" spans="1:16382" ht="43.5">
      <c r="A6" s="3" t="s">
        <v>152</v>
      </c>
      <c r="B6" s="3" t="s">
        <v>4833</v>
      </c>
      <c r="C6" s="3" t="s">
        <v>4834</v>
      </c>
      <c r="G6" s="9" t="s">
        <v>25</v>
      </c>
      <c r="H6" s="9"/>
      <c r="I6" s="9">
        <v>1</v>
      </c>
      <c r="J6" s="9">
        <v>4</v>
      </c>
      <c r="K6" s="9" t="s">
        <v>12094</v>
      </c>
      <c r="L6" s="9" t="s">
        <v>12079</v>
      </c>
      <c r="M6" s="9"/>
      <c r="N6" s="10"/>
      <c r="O6" s="9"/>
      <c r="P6" s="9">
        <v>4240</v>
      </c>
      <c r="Q6" s="9">
        <v>509.49291035808699</v>
      </c>
      <c r="R6" s="9"/>
      <c r="S6" s="9" t="s">
        <v>12795</v>
      </c>
      <c r="T6" s="9" t="s">
        <v>12795</v>
      </c>
      <c r="U6" s="9" t="s">
        <v>4</v>
      </c>
      <c r="V6" s="9"/>
      <c r="W6" s="9"/>
      <c r="X6" s="9"/>
      <c r="Y6" s="9"/>
      <c r="Z6" s="9"/>
      <c r="AA6" s="9"/>
      <c r="AB6" s="9"/>
      <c r="AC6" s="9"/>
      <c r="AD6" s="9"/>
    </row>
    <row r="7" spans="1:16382" ht="58">
      <c r="A7" s="3" t="s">
        <v>188</v>
      </c>
      <c r="B7" s="3" t="s">
        <v>4857</v>
      </c>
      <c r="C7" s="3" t="s">
        <v>4858</v>
      </c>
      <c r="F7" t="s">
        <v>19</v>
      </c>
      <c r="G7" s="9" t="s">
        <v>25</v>
      </c>
      <c r="H7" s="9"/>
      <c r="I7" s="9">
        <v>1</v>
      </c>
      <c r="J7" s="9">
        <v>4</v>
      </c>
      <c r="K7" s="9" t="s">
        <v>12078</v>
      </c>
      <c r="L7" s="9" t="s">
        <v>12079</v>
      </c>
      <c r="M7" s="9"/>
      <c r="N7" s="10"/>
      <c r="O7" s="9"/>
      <c r="P7" s="9">
        <v>11843</v>
      </c>
      <c r="Q7" s="9">
        <v>1423.0954097572699</v>
      </c>
      <c r="R7" s="9"/>
      <c r="S7" s="9" t="s">
        <v>12795</v>
      </c>
      <c r="T7" s="9" t="s">
        <v>12795</v>
      </c>
      <c r="U7" s="9"/>
      <c r="V7" s="9"/>
      <c r="W7" s="9"/>
      <c r="X7" s="9"/>
      <c r="Y7" s="9"/>
      <c r="Z7" s="9"/>
      <c r="AA7" s="9"/>
      <c r="AB7" s="9"/>
      <c r="AC7" s="9"/>
      <c r="AD7" s="9"/>
    </row>
    <row r="8" spans="1:16382" ht="29">
      <c r="A8" s="3" t="s">
        <v>201</v>
      </c>
      <c r="B8" s="3" t="s">
        <v>4871</v>
      </c>
      <c r="C8" s="3" t="s">
        <v>4872</v>
      </c>
      <c r="E8" t="s">
        <v>20</v>
      </c>
      <c r="G8" s="9" t="s">
        <v>24</v>
      </c>
      <c r="H8" s="9"/>
      <c r="I8" s="9">
        <v>1</v>
      </c>
      <c r="J8" s="9">
        <v>2</v>
      </c>
      <c r="K8" s="9" t="s">
        <v>12087</v>
      </c>
      <c r="L8" s="9" t="s">
        <v>12119</v>
      </c>
      <c r="M8" s="9"/>
      <c r="N8" s="10"/>
      <c r="O8" s="9"/>
      <c r="P8" s="9">
        <v>1966</v>
      </c>
      <c r="Q8" s="9">
        <v>236.24128815188658</v>
      </c>
      <c r="R8" s="9"/>
      <c r="S8" s="9" t="s">
        <v>12795</v>
      </c>
      <c r="T8" s="9" t="s">
        <v>12795</v>
      </c>
      <c r="U8" s="9"/>
      <c r="V8" s="9"/>
      <c r="W8" s="9"/>
      <c r="X8" s="9"/>
      <c r="Y8" s="9"/>
      <c r="Z8" s="9"/>
      <c r="AA8" s="9"/>
      <c r="AB8" s="9"/>
      <c r="AC8" s="9"/>
      <c r="AD8" s="9"/>
    </row>
    <row r="9" spans="1:16382" ht="43.5">
      <c r="A9" s="3" t="s">
        <v>246</v>
      </c>
      <c r="B9" s="3" t="s">
        <v>4898</v>
      </c>
      <c r="C9" s="3" t="s">
        <v>4899</v>
      </c>
      <c r="G9" s="9" t="s">
        <v>25</v>
      </c>
      <c r="H9" s="9"/>
      <c r="I9" s="9">
        <v>1</v>
      </c>
      <c r="J9" s="9">
        <v>1</v>
      </c>
      <c r="K9" s="9" t="s">
        <v>12078</v>
      </c>
      <c r="L9" s="9" t="s">
        <v>12119</v>
      </c>
      <c r="M9" s="9"/>
      <c r="N9" s="10"/>
      <c r="O9" s="9"/>
      <c r="P9" s="9">
        <v>11843</v>
      </c>
      <c r="Q9" s="9">
        <v>1423.0954097572699</v>
      </c>
      <c r="R9" s="9"/>
      <c r="S9" s="9" t="s">
        <v>12795</v>
      </c>
      <c r="T9" s="9" t="s">
        <v>12795</v>
      </c>
      <c r="U9" s="9"/>
      <c r="V9" s="9"/>
      <c r="W9" s="9"/>
      <c r="X9" s="9"/>
      <c r="Y9" s="9"/>
      <c r="Z9" s="9"/>
      <c r="AA9" s="9"/>
      <c r="AB9" s="9"/>
      <c r="AC9" s="9"/>
      <c r="AD9" s="9"/>
    </row>
    <row r="10" spans="1:16382" ht="43.5">
      <c r="A10" s="3" t="s">
        <v>247</v>
      </c>
      <c r="B10" s="3" t="s">
        <v>4900</v>
      </c>
      <c r="C10" s="3" t="s">
        <v>4901</v>
      </c>
      <c r="G10" s="9" t="s">
        <v>25</v>
      </c>
      <c r="H10" s="9"/>
      <c r="I10" s="9">
        <v>1</v>
      </c>
      <c r="J10" s="9">
        <v>2</v>
      </c>
      <c r="K10" s="9" t="s">
        <v>12078</v>
      </c>
      <c r="L10" s="9" t="s">
        <v>12119</v>
      </c>
      <c r="M10" s="9"/>
      <c r="N10" s="10"/>
      <c r="O10" s="9"/>
      <c r="P10" s="9">
        <v>11843</v>
      </c>
      <c r="Q10" s="9">
        <v>1423.0954097572699</v>
      </c>
      <c r="R10" s="9"/>
      <c r="S10" s="9" t="s">
        <v>12795</v>
      </c>
      <c r="T10" s="9" t="s">
        <v>12795</v>
      </c>
      <c r="U10" s="9" t="s">
        <v>12117</v>
      </c>
      <c r="V10" s="9"/>
      <c r="W10" s="9"/>
      <c r="X10" s="9"/>
      <c r="Y10" s="9"/>
      <c r="Z10" s="9"/>
      <c r="AA10" s="9"/>
      <c r="AB10" s="9"/>
      <c r="AC10" s="9"/>
      <c r="AD10" s="9"/>
    </row>
    <row r="11" spans="1:16382" ht="43.5">
      <c r="A11" s="3" t="s">
        <v>268</v>
      </c>
      <c r="B11" s="3" t="s">
        <v>4917</v>
      </c>
      <c r="C11" s="3" t="s">
        <v>4918</v>
      </c>
      <c r="G11" s="9" t="s">
        <v>25</v>
      </c>
      <c r="H11" s="9"/>
      <c r="I11" s="9">
        <v>1</v>
      </c>
      <c r="J11" s="9">
        <v>2</v>
      </c>
      <c r="K11" s="9" t="s">
        <v>12078</v>
      </c>
      <c r="L11" s="9" t="s">
        <v>12119</v>
      </c>
      <c r="M11" s="9"/>
      <c r="N11" s="10"/>
      <c r="O11" s="9"/>
      <c r="P11" s="9">
        <v>11843</v>
      </c>
      <c r="Q11" s="9">
        <v>1423.0954097572699</v>
      </c>
      <c r="R11" s="9"/>
      <c r="S11" s="9" t="s">
        <v>12795</v>
      </c>
      <c r="T11" s="9" t="s">
        <v>12795</v>
      </c>
      <c r="U11" s="9"/>
      <c r="V11" s="9"/>
      <c r="W11" s="9"/>
      <c r="X11" s="9"/>
      <c r="Y11" s="9"/>
      <c r="Z11" s="9"/>
      <c r="AA11" s="9"/>
      <c r="AB11" s="9"/>
      <c r="AC11" s="9"/>
      <c r="AD11" s="9"/>
    </row>
    <row r="12" spans="1:16382" ht="29">
      <c r="A12" s="3" t="s">
        <v>327</v>
      </c>
      <c r="B12" s="3" t="s">
        <v>4966</v>
      </c>
      <c r="C12" s="3" t="s">
        <v>4967</v>
      </c>
      <c r="G12" s="9" t="s">
        <v>24</v>
      </c>
      <c r="H12" s="9"/>
      <c r="I12" s="9">
        <v>1</v>
      </c>
      <c r="J12" s="9">
        <v>1</v>
      </c>
      <c r="K12" s="9" t="s">
        <v>12078</v>
      </c>
      <c r="L12" s="9" t="s">
        <v>12119</v>
      </c>
      <c r="M12" s="9"/>
      <c r="N12" s="10"/>
      <c r="O12" s="9"/>
      <c r="P12" s="9">
        <v>11843</v>
      </c>
      <c r="Q12" s="9">
        <v>1423.0954097572699</v>
      </c>
      <c r="R12" s="9"/>
      <c r="S12" s="9" t="s">
        <v>12795</v>
      </c>
      <c r="T12" s="9" t="s">
        <v>12795</v>
      </c>
      <c r="U12" s="9"/>
      <c r="V12" s="9"/>
      <c r="W12" s="9"/>
      <c r="X12" s="9"/>
      <c r="Y12" s="9"/>
      <c r="Z12" s="9"/>
      <c r="AA12" s="9"/>
      <c r="AB12" s="9"/>
      <c r="AC12" s="9"/>
      <c r="AD12" s="9"/>
    </row>
    <row r="13" spans="1:16382" ht="43.5">
      <c r="A13" s="3" t="s">
        <v>332</v>
      </c>
      <c r="B13" s="3" t="s">
        <v>4970</v>
      </c>
      <c r="C13" s="3" t="s">
        <v>4971</v>
      </c>
      <c r="F13" t="s">
        <v>19</v>
      </c>
      <c r="G13" s="9" t="s">
        <v>25</v>
      </c>
      <c r="H13" s="9"/>
      <c r="I13" s="9">
        <v>1</v>
      </c>
      <c r="J13" s="9">
        <v>4</v>
      </c>
      <c r="K13" s="9" t="s">
        <v>12078</v>
      </c>
      <c r="L13" s="9" t="s">
        <v>12073</v>
      </c>
      <c r="M13" s="9" t="s">
        <v>12149</v>
      </c>
      <c r="N13" s="10" t="s">
        <v>12143</v>
      </c>
      <c r="O13" s="9"/>
      <c r="P13" s="9">
        <v>11843</v>
      </c>
      <c r="Q13" s="9">
        <v>1423.0954097572699</v>
      </c>
      <c r="R13" s="9"/>
      <c r="S13" s="9" t="s">
        <v>12795</v>
      </c>
      <c r="T13" s="9" t="s">
        <v>12795</v>
      </c>
      <c r="U13" s="9"/>
      <c r="V13" s="9"/>
      <c r="W13" s="9"/>
      <c r="X13" s="9"/>
      <c r="Y13" s="9"/>
      <c r="Z13" s="9"/>
      <c r="AA13" s="9"/>
      <c r="AB13" s="9"/>
      <c r="AC13" s="9"/>
      <c r="AD13" s="9"/>
    </row>
    <row r="14" spans="1:16382" ht="29">
      <c r="A14" s="3" t="s">
        <v>335</v>
      </c>
      <c r="B14" s="3" t="s">
        <v>4974</v>
      </c>
      <c r="C14" s="3" t="s">
        <v>4975</v>
      </c>
      <c r="G14" s="9" t="s">
        <v>25</v>
      </c>
      <c r="H14" s="9"/>
      <c r="I14" s="9">
        <v>1</v>
      </c>
      <c r="J14" s="9">
        <v>2</v>
      </c>
      <c r="K14" s="9" t="s">
        <v>12087</v>
      </c>
      <c r="L14" s="9" t="s">
        <v>12119</v>
      </c>
      <c r="M14" s="9"/>
      <c r="N14" s="10"/>
      <c r="O14" s="9"/>
      <c r="P14" s="9">
        <v>1966</v>
      </c>
      <c r="Q14" s="9">
        <v>236.24128815188658</v>
      </c>
      <c r="R14" s="9"/>
      <c r="S14" s="9" t="s">
        <v>12795</v>
      </c>
      <c r="T14" s="9" t="s">
        <v>12795</v>
      </c>
      <c r="U14" s="9"/>
      <c r="V14" s="9"/>
      <c r="W14" s="9"/>
      <c r="X14" s="9"/>
      <c r="Y14" s="9"/>
      <c r="Z14" s="9"/>
      <c r="AA14" s="9"/>
      <c r="AB14" s="9"/>
      <c r="AC14" s="9"/>
      <c r="AD14" s="9"/>
    </row>
    <row r="15" spans="1:16382" ht="29">
      <c r="A15" s="3" t="s">
        <v>338</v>
      </c>
      <c r="B15" s="3" t="s">
        <v>4979</v>
      </c>
      <c r="C15" s="3" t="s">
        <v>4980</v>
      </c>
      <c r="G15" s="9" t="s">
        <v>24</v>
      </c>
      <c r="H15" s="9"/>
      <c r="I15" s="9">
        <v>1</v>
      </c>
      <c r="J15" s="9">
        <v>2</v>
      </c>
      <c r="K15" s="9" t="s">
        <v>12087</v>
      </c>
      <c r="L15" s="9" t="s">
        <v>12119</v>
      </c>
      <c r="M15" s="9"/>
      <c r="N15" s="10"/>
      <c r="O15" s="9"/>
      <c r="P15" s="9">
        <v>1966</v>
      </c>
      <c r="Q15" s="9">
        <v>236.24128815188658</v>
      </c>
      <c r="R15" s="9"/>
      <c r="S15" s="9" t="s">
        <v>12795</v>
      </c>
      <c r="T15" s="9" t="s">
        <v>12795</v>
      </c>
      <c r="U15" s="9"/>
      <c r="V15" s="9"/>
      <c r="W15" s="9"/>
      <c r="X15" s="9"/>
      <c r="Y15" s="9"/>
      <c r="Z15" s="9"/>
      <c r="AA15" s="9"/>
      <c r="AB15" s="9"/>
      <c r="AC15" s="9"/>
      <c r="AD15" s="9"/>
    </row>
    <row r="16" spans="1:16382" ht="58">
      <c r="A16" s="3" t="s">
        <v>350</v>
      </c>
      <c r="B16" s="3" t="s">
        <v>4993</v>
      </c>
      <c r="C16" s="3" t="s">
        <v>4990</v>
      </c>
      <c r="G16" s="9" t="s">
        <v>25</v>
      </c>
      <c r="H16" s="9"/>
      <c r="I16" s="9">
        <v>1</v>
      </c>
      <c r="J16" s="9">
        <v>3</v>
      </c>
      <c r="K16" s="9" t="s">
        <v>12087</v>
      </c>
      <c r="L16" s="9" t="s">
        <v>12073</v>
      </c>
      <c r="M16" s="9" t="s">
        <v>12142</v>
      </c>
      <c r="N16" s="10" t="s">
        <v>12143</v>
      </c>
      <c r="O16" s="9"/>
      <c r="P16" s="9">
        <v>5676</v>
      </c>
      <c r="Q16" s="9">
        <v>682.04758471521268</v>
      </c>
      <c r="R16" s="9"/>
      <c r="S16" s="9" t="s">
        <v>12795</v>
      </c>
      <c r="T16" s="9" t="s">
        <v>12795</v>
      </c>
      <c r="U16" s="9"/>
      <c r="V16" s="9"/>
      <c r="W16" s="9"/>
      <c r="X16" s="9"/>
      <c r="Y16" s="9"/>
      <c r="Z16" s="9"/>
      <c r="AA16" s="9"/>
      <c r="AB16" s="9"/>
      <c r="AC16" s="9"/>
      <c r="AD16" s="9"/>
    </row>
    <row r="17" spans="1:30" ht="43.5">
      <c r="A17" s="3" t="s">
        <v>365</v>
      </c>
      <c r="B17" s="3" t="s">
        <v>5003</v>
      </c>
      <c r="C17" s="3" t="s">
        <v>5004</v>
      </c>
      <c r="G17" s="9" t="s">
        <v>25</v>
      </c>
      <c r="H17" s="9"/>
      <c r="I17" s="9">
        <v>1</v>
      </c>
      <c r="J17" s="9">
        <v>2</v>
      </c>
      <c r="K17" s="9" t="s">
        <v>12078</v>
      </c>
      <c r="L17" s="9" t="s">
        <v>12119</v>
      </c>
      <c r="M17" s="9"/>
      <c r="N17" s="10"/>
      <c r="O17" s="9"/>
      <c r="P17" s="9">
        <v>11843</v>
      </c>
      <c r="Q17" s="9">
        <v>1423.0954097572699</v>
      </c>
      <c r="R17" s="9"/>
      <c r="S17" s="9" t="s">
        <v>12795</v>
      </c>
      <c r="T17" s="9" t="s">
        <v>12795</v>
      </c>
      <c r="U17" s="9"/>
      <c r="V17" s="9"/>
      <c r="W17" s="9"/>
      <c r="X17" s="9"/>
      <c r="Y17" s="9"/>
      <c r="Z17" s="9"/>
      <c r="AA17" s="9"/>
      <c r="AB17" s="9"/>
      <c r="AC17" s="9"/>
      <c r="AD17" s="9"/>
    </row>
    <row r="18" spans="1:30" ht="29">
      <c r="A18" s="3" t="s">
        <v>366</v>
      </c>
      <c r="B18" s="3" t="s">
        <v>5006</v>
      </c>
      <c r="C18" s="3" t="s">
        <v>5005</v>
      </c>
      <c r="G18" s="9" t="s">
        <v>24</v>
      </c>
      <c r="H18" s="9"/>
      <c r="I18" s="9">
        <v>1</v>
      </c>
      <c r="J18" s="9">
        <v>2</v>
      </c>
      <c r="K18" s="9" t="s">
        <v>12087</v>
      </c>
      <c r="L18" s="9" t="s">
        <v>12119</v>
      </c>
      <c r="M18" s="9"/>
      <c r="N18" s="10"/>
      <c r="O18" s="9"/>
      <c r="P18" s="9">
        <v>1966</v>
      </c>
      <c r="Q18" s="9">
        <v>236.24128815188658</v>
      </c>
      <c r="R18" s="9"/>
      <c r="S18" s="9" t="s">
        <v>12795</v>
      </c>
      <c r="T18" s="9" t="s">
        <v>12795</v>
      </c>
      <c r="U18" s="9"/>
      <c r="V18" s="9"/>
      <c r="W18" s="9"/>
      <c r="X18" s="9"/>
      <c r="Y18" s="9"/>
      <c r="Z18" s="9"/>
      <c r="AA18" s="9"/>
      <c r="AB18" s="9"/>
      <c r="AC18" s="9"/>
      <c r="AD18" s="9"/>
    </row>
    <row r="19" spans="1:30" ht="43.5">
      <c r="A19" s="3" t="s">
        <v>377</v>
      </c>
      <c r="B19" s="3" t="s">
        <v>5007</v>
      </c>
      <c r="C19" s="3" t="s">
        <v>5008</v>
      </c>
      <c r="G19" s="9" t="s">
        <v>24</v>
      </c>
      <c r="H19" s="9"/>
      <c r="I19" s="9">
        <v>1</v>
      </c>
      <c r="J19" s="9">
        <v>2</v>
      </c>
      <c r="K19" s="9" t="s">
        <v>12087</v>
      </c>
      <c r="L19" s="9" t="s">
        <v>12119</v>
      </c>
      <c r="M19" s="9"/>
      <c r="N19" s="10"/>
      <c r="O19" s="9"/>
      <c r="P19" s="9">
        <v>1966</v>
      </c>
      <c r="Q19" s="9">
        <v>236.24128815188658</v>
      </c>
      <c r="R19" s="9"/>
      <c r="S19" s="9" t="s">
        <v>12795</v>
      </c>
      <c r="T19" s="9" t="s">
        <v>12795</v>
      </c>
      <c r="U19" s="9"/>
      <c r="V19" s="9"/>
      <c r="W19" s="9"/>
      <c r="X19" s="9"/>
      <c r="Y19" s="9"/>
      <c r="Z19" s="9"/>
      <c r="AA19" s="9"/>
      <c r="AB19" s="9"/>
      <c r="AC19" s="9"/>
      <c r="AD19" s="9"/>
    </row>
    <row r="20" spans="1:30" ht="58">
      <c r="A20" s="3" t="s">
        <v>381</v>
      </c>
      <c r="B20" s="3" t="s">
        <v>5011</v>
      </c>
      <c r="C20" s="3" t="s">
        <v>5012</v>
      </c>
      <c r="G20" s="9" t="s">
        <v>25</v>
      </c>
      <c r="H20" s="9"/>
      <c r="I20" s="9">
        <v>1</v>
      </c>
      <c r="J20" s="9">
        <v>3</v>
      </c>
      <c r="K20" s="9" t="s">
        <v>12078</v>
      </c>
      <c r="L20" s="9" t="s">
        <v>12073</v>
      </c>
      <c r="M20" s="9" t="s">
        <v>12142</v>
      </c>
      <c r="N20" s="10" t="s">
        <v>12143</v>
      </c>
      <c r="O20" s="9"/>
      <c r="P20" s="9">
        <v>11843</v>
      </c>
      <c r="Q20" s="9">
        <v>1423.0954097572699</v>
      </c>
      <c r="R20" s="9"/>
      <c r="S20" s="9" t="s">
        <v>12795</v>
      </c>
      <c r="T20" s="9" t="s">
        <v>12795</v>
      </c>
      <c r="U20" s="9"/>
      <c r="V20" s="9"/>
      <c r="W20" s="9"/>
      <c r="X20" s="9"/>
      <c r="Y20" s="9"/>
      <c r="Z20" s="9"/>
      <c r="AA20" s="9"/>
      <c r="AB20" s="9"/>
      <c r="AC20" s="9"/>
      <c r="AD20" s="9"/>
    </row>
    <row r="21" spans="1:30" ht="58">
      <c r="A21" s="3" t="s">
        <v>386</v>
      </c>
      <c r="B21" s="3" t="s">
        <v>5017</v>
      </c>
      <c r="C21" s="3" t="s">
        <v>5018</v>
      </c>
      <c r="F21" t="s">
        <v>19</v>
      </c>
      <c r="G21" s="9" t="s">
        <v>25</v>
      </c>
      <c r="H21" s="9"/>
      <c r="I21" s="9">
        <v>1</v>
      </c>
      <c r="J21" s="9">
        <v>2</v>
      </c>
      <c r="K21" s="9" t="s">
        <v>12123</v>
      </c>
      <c r="L21" s="9" t="s">
        <v>12119</v>
      </c>
      <c r="M21" s="9"/>
      <c r="N21" s="10"/>
      <c r="O21" s="9"/>
      <c r="P21" s="9">
        <v>134</v>
      </c>
      <c r="Q21" s="9">
        <v>16.101898582071616</v>
      </c>
      <c r="R21" s="9"/>
      <c r="S21" s="9" t="s">
        <v>12795</v>
      </c>
      <c r="T21" s="9" t="s">
        <v>12795</v>
      </c>
      <c r="U21" s="9"/>
      <c r="V21" s="9"/>
      <c r="W21" s="9"/>
      <c r="X21" s="9"/>
      <c r="Y21" s="9"/>
      <c r="Z21" s="9"/>
      <c r="AA21" s="9"/>
      <c r="AB21" s="9"/>
      <c r="AC21" s="9"/>
      <c r="AD21" s="9"/>
    </row>
    <row r="22" spans="1:30" ht="29">
      <c r="A22" s="3" t="s">
        <v>388</v>
      </c>
      <c r="B22" s="3" t="s">
        <v>5022</v>
      </c>
      <c r="C22" s="3" t="s">
        <v>5023</v>
      </c>
      <c r="G22" s="9" t="s">
        <v>24</v>
      </c>
      <c r="H22" s="9"/>
      <c r="I22" s="9">
        <v>1</v>
      </c>
      <c r="J22" s="9">
        <v>3</v>
      </c>
      <c r="K22" s="9" t="s">
        <v>12078</v>
      </c>
      <c r="L22" s="9" t="s">
        <v>12079</v>
      </c>
      <c r="M22" s="9"/>
      <c r="N22" s="10"/>
      <c r="O22" s="9"/>
      <c r="P22" s="9">
        <v>11843</v>
      </c>
      <c r="Q22" s="9">
        <v>1423.0954097572699</v>
      </c>
      <c r="R22" s="9"/>
      <c r="S22" s="9" t="s">
        <v>12795</v>
      </c>
      <c r="T22" s="9" t="s">
        <v>12795</v>
      </c>
      <c r="U22" s="9" t="s">
        <v>4</v>
      </c>
      <c r="V22" s="9"/>
      <c r="W22" s="9"/>
      <c r="X22" s="9"/>
      <c r="Y22" s="9"/>
      <c r="Z22" s="9"/>
      <c r="AA22" s="9"/>
      <c r="AB22" s="9"/>
      <c r="AC22" s="9"/>
      <c r="AD22" s="9"/>
    </row>
    <row r="23" spans="1:30" ht="43.5">
      <c r="A23" s="3" t="s">
        <v>398</v>
      </c>
      <c r="B23" s="3" t="s">
        <v>5028</v>
      </c>
      <c r="C23" s="3" t="s">
        <v>5029</v>
      </c>
      <c r="F23" t="s">
        <v>19</v>
      </c>
      <c r="G23" s="9" t="s">
        <v>25</v>
      </c>
      <c r="H23" s="9"/>
      <c r="I23" s="9">
        <v>1</v>
      </c>
      <c r="J23" s="9">
        <v>4</v>
      </c>
      <c r="K23" s="9" t="s">
        <v>12078</v>
      </c>
      <c r="L23" s="9" t="s">
        <v>12079</v>
      </c>
      <c r="M23" s="9"/>
      <c r="N23" s="10"/>
      <c r="O23" s="9"/>
      <c r="P23" s="9">
        <v>11843</v>
      </c>
      <c r="Q23" s="9">
        <v>1423.0954097572699</v>
      </c>
      <c r="R23" s="9"/>
      <c r="S23" s="9" t="s">
        <v>12795</v>
      </c>
      <c r="T23" s="9" t="s">
        <v>12795</v>
      </c>
      <c r="U23" s="9"/>
      <c r="V23" s="9"/>
      <c r="W23" s="9"/>
      <c r="X23" s="9"/>
      <c r="Y23" s="9"/>
      <c r="Z23" s="9"/>
      <c r="AA23" s="9"/>
      <c r="AB23" s="9"/>
      <c r="AC23" s="9"/>
      <c r="AD23" s="9"/>
    </row>
    <row r="24" spans="1:30" ht="43.5">
      <c r="A24" s="3" t="s">
        <v>400</v>
      </c>
      <c r="B24" s="3" t="s">
        <v>5032</v>
      </c>
      <c r="C24" s="3" t="s">
        <v>5033</v>
      </c>
      <c r="G24" s="9" t="s">
        <v>24</v>
      </c>
      <c r="H24" s="9"/>
      <c r="I24" s="9">
        <v>1</v>
      </c>
      <c r="J24" s="9">
        <v>2</v>
      </c>
      <c r="K24" s="9" t="s">
        <v>12078</v>
      </c>
      <c r="L24" s="9" t="s">
        <v>12119</v>
      </c>
      <c r="M24" s="9"/>
      <c r="N24" s="10"/>
      <c r="O24" s="9"/>
      <c r="P24" s="9">
        <v>11843</v>
      </c>
      <c r="Q24" s="9">
        <v>1423.0954097572699</v>
      </c>
      <c r="R24" s="9"/>
      <c r="S24" s="9" t="s">
        <v>12795</v>
      </c>
      <c r="T24" s="9" t="s">
        <v>12795</v>
      </c>
      <c r="U24" s="9"/>
      <c r="V24" s="9"/>
      <c r="W24" s="9"/>
      <c r="X24" s="9"/>
      <c r="Y24" s="9"/>
      <c r="Z24" s="9"/>
      <c r="AA24" s="9"/>
      <c r="AB24" s="9"/>
      <c r="AC24" s="9"/>
      <c r="AD24" s="9"/>
    </row>
    <row r="25" spans="1:30" ht="29">
      <c r="A25" s="3" t="s">
        <v>405</v>
      </c>
      <c r="B25" s="3" t="s">
        <v>5036</v>
      </c>
      <c r="C25" s="3" t="s">
        <v>5037</v>
      </c>
      <c r="G25" s="9" t="s">
        <v>24</v>
      </c>
      <c r="H25" s="9"/>
      <c r="I25" s="9">
        <v>1</v>
      </c>
      <c r="J25" s="9">
        <v>1</v>
      </c>
      <c r="K25" s="9" t="s">
        <v>12078</v>
      </c>
      <c r="L25" s="9" t="s">
        <v>12119</v>
      </c>
      <c r="M25" s="9"/>
      <c r="N25" s="10"/>
      <c r="O25" s="9"/>
      <c r="P25" s="9">
        <v>11843</v>
      </c>
      <c r="Q25" s="9">
        <v>1423.0954097572699</v>
      </c>
      <c r="R25" s="9"/>
      <c r="S25" s="9" t="s">
        <v>12795</v>
      </c>
      <c r="T25" s="9" t="s">
        <v>12795</v>
      </c>
      <c r="U25" s="9"/>
      <c r="V25" s="9"/>
      <c r="W25" s="9"/>
      <c r="X25" s="9"/>
      <c r="Y25" s="9"/>
      <c r="Z25" s="9"/>
      <c r="AA25" s="9"/>
      <c r="AB25" s="9"/>
      <c r="AC25" s="9"/>
      <c r="AD25" s="9"/>
    </row>
    <row r="26" spans="1:30" ht="58">
      <c r="A26" s="3" t="s">
        <v>414</v>
      </c>
      <c r="B26" s="3" t="s">
        <v>5054</v>
      </c>
      <c r="C26" s="3" t="s">
        <v>12159</v>
      </c>
      <c r="G26" s="9" t="s">
        <v>25</v>
      </c>
      <c r="H26" s="9"/>
      <c r="I26" s="9">
        <v>1</v>
      </c>
      <c r="J26" s="9">
        <v>4</v>
      </c>
      <c r="K26" s="9" t="s">
        <v>12078</v>
      </c>
      <c r="L26" s="9" t="s">
        <v>12073</v>
      </c>
      <c r="M26" s="9" t="s">
        <v>12149</v>
      </c>
      <c r="N26" s="10" t="s">
        <v>12160</v>
      </c>
      <c r="O26" s="9"/>
      <c r="P26" s="9">
        <v>11843</v>
      </c>
      <c r="Q26" s="9">
        <v>1423.0954097572699</v>
      </c>
      <c r="R26" s="9"/>
      <c r="S26" s="9" t="s">
        <v>12795</v>
      </c>
      <c r="T26" s="9" t="s">
        <v>12795</v>
      </c>
      <c r="U26" s="9"/>
      <c r="V26" s="9"/>
      <c r="W26" s="9"/>
      <c r="X26" s="9"/>
      <c r="Y26" s="9"/>
      <c r="Z26" s="9"/>
      <c r="AA26" s="9"/>
      <c r="AB26" s="9"/>
      <c r="AC26" s="9"/>
      <c r="AD26" s="9"/>
    </row>
    <row r="27" spans="1:30" ht="72.5">
      <c r="A27" s="3" t="s">
        <v>435</v>
      </c>
      <c r="B27" s="3" t="s">
        <v>5075</v>
      </c>
      <c r="C27" s="3" t="s">
        <v>5074</v>
      </c>
      <c r="G27" s="9" t="s">
        <v>25</v>
      </c>
      <c r="H27" s="9"/>
      <c r="I27" s="9">
        <v>1</v>
      </c>
      <c r="J27" s="9">
        <v>3</v>
      </c>
      <c r="K27" s="9" t="s">
        <v>12094</v>
      </c>
      <c r="L27" s="9" t="s">
        <v>12079</v>
      </c>
      <c r="M27" s="9"/>
      <c r="N27" s="10"/>
      <c r="O27" s="9"/>
      <c r="P27" s="9">
        <v>301</v>
      </c>
      <c r="Q27" s="9">
        <v>36.16919009853401</v>
      </c>
      <c r="R27" s="9"/>
      <c r="S27" s="9" t="s">
        <v>12795</v>
      </c>
      <c r="T27" s="9" t="s">
        <v>12795</v>
      </c>
      <c r="U27" s="9"/>
      <c r="V27" s="9"/>
      <c r="W27" s="9"/>
      <c r="X27" s="9"/>
      <c r="Y27" s="9"/>
      <c r="Z27" s="9"/>
      <c r="AA27" s="9"/>
      <c r="AB27" s="9"/>
      <c r="AC27" s="9"/>
      <c r="AD27" s="9"/>
    </row>
    <row r="28" spans="1:30" ht="58">
      <c r="A28" s="3" t="s">
        <v>441</v>
      </c>
      <c r="B28" s="3" t="s">
        <v>12164</v>
      </c>
      <c r="C28" s="3" t="s">
        <v>12165</v>
      </c>
      <c r="G28" s="9" t="s">
        <v>25</v>
      </c>
      <c r="H28" s="9"/>
      <c r="I28" s="9">
        <v>1</v>
      </c>
      <c r="J28" s="9">
        <v>3</v>
      </c>
      <c r="K28" s="9" t="s">
        <v>12078</v>
      </c>
      <c r="L28" s="9" t="s">
        <v>12079</v>
      </c>
      <c r="M28" s="9"/>
      <c r="N28" s="10"/>
      <c r="O28" s="9"/>
      <c r="P28" s="9">
        <v>11843</v>
      </c>
      <c r="Q28" s="9">
        <v>1423.0954097572699</v>
      </c>
      <c r="R28" s="9"/>
      <c r="S28" s="9" t="s">
        <v>12795</v>
      </c>
      <c r="T28" s="9" t="s">
        <v>12795</v>
      </c>
      <c r="U28" s="9"/>
      <c r="V28" s="9"/>
      <c r="W28" s="9"/>
      <c r="X28" s="9"/>
      <c r="Y28" s="9"/>
      <c r="Z28" s="9"/>
      <c r="AA28" s="9"/>
      <c r="AB28" s="9"/>
      <c r="AC28" s="9"/>
      <c r="AD28" s="9"/>
    </row>
    <row r="29" spans="1:30" ht="43.5">
      <c r="A29" s="3" t="s">
        <v>448</v>
      </c>
      <c r="B29" s="3" t="s">
        <v>5084</v>
      </c>
      <c r="C29" s="3" t="s">
        <v>5085</v>
      </c>
      <c r="G29" s="9" t="s">
        <v>24</v>
      </c>
      <c r="H29" s="9"/>
      <c r="I29" s="9">
        <v>1</v>
      </c>
      <c r="J29" s="9">
        <v>3</v>
      </c>
      <c r="K29" s="9" t="s">
        <v>12123</v>
      </c>
      <c r="L29" s="9" t="s">
        <v>12079</v>
      </c>
      <c r="M29" s="9"/>
      <c r="N29" s="10"/>
      <c r="O29" s="9"/>
      <c r="P29" s="9">
        <v>92</v>
      </c>
      <c r="Q29" s="9">
        <v>11.055034847392454</v>
      </c>
      <c r="R29" s="9"/>
      <c r="S29" s="9" t="s">
        <v>12795</v>
      </c>
      <c r="T29" s="9" t="s">
        <v>12795</v>
      </c>
      <c r="U29" s="9"/>
      <c r="V29" s="9"/>
      <c r="W29" s="9"/>
      <c r="X29" s="9"/>
      <c r="Y29" s="9"/>
      <c r="Z29" s="9"/>
      <c r="AA29" s="9"/>
      <c r="AB29" s="9"/>
      <c r="AC29" s="9"/>
      <c r="AD29" s="9"/>
    </row>
    <row r="30" spans="1:30" ht="43.5">
      <c r="A30" s="3" t="s">
        <v>451</v>
      </c>
      <c r="B30" s="3" t="s">
        <v>5088</v>
      </c>
      <c r="C30" s="3" t="s">
        <v>5089</v>
      </c>
      <c r="G30" s="9" t="s">
        <v>24</v>
      </c>
      <c r="H30" s="9"/>
      <c r="I30" s="9">
        <v>1</v>
      </c>
      <c r="J30" s="9">
        <v>1</v>
      </c>
      <c r="K30" s="9" t="s">
        <v>12078</v>
      </c>
      <c r="L30" s="9" t="s">
        <v>12119</v>
      </c>
      <c r="M30" s="9"/>
      <c r="N30" s="10"/>
      <c r="O30" s="9"/>
      <c r="P30" s="9">
        <v>11843</v>
      </c>
      <c r="Q30" s="9">
        <v>1423.0954097572699</v>
      </c>
      <c r="R30" s="9"/>
      <c r="S30" s="9" t="s">
        <v>12795</v>
      </c>
      <c r="T30" s="9" t="s">
        <v>12795</v>
      </c>
      <c r="U30" s="9"/>
      <c r="V30" s="9"/>
      <c r="W30" s="9"/>
      <c r="X30" s="9"/>
      <c r="Y30" s="9"/>
      <c r="Z30" s="9"/>
      <c r="AA30" s="9"/>
      <c r="AB30" s="9"/>
      <c r="AC30" s="9"/>
      <c r="AD30" s="9"/>
    </row>
    <row r="31" spans="1:30" ht="29">
      <c r="A31" s="3" t="s">
        <v>485</v>
      </c>
      <c r="B31" s="3" t="s">
        <v>5110</v>
      </c>
      <c r="C31" s="3" t="s">
        <v>5111</v>
      </c>
      <c r="G31" s="9" t="s">
        <v>25</v>
      </c>
      <c r="H31" s="9"/>
      <c r="I31" s="9">
        <v>1</v>
      </c>
      <c r="J31" s="9">
        <v>3</v>
      </c>
      <c r="K31" s="9" t="s">
        <v>12078</v>
      </c>
      <c r="L31" s="9" t="s">
        <v>12079</v>
      </c>
      <c r="M31" s="9"/>
      <c r="N31" s="10"/>
      <c r="O31" s="9"/>
      <c r="P31" s="9">
        <v>11843</v>
      </c>
      <c r="Q31" s="9">
        <v>1423.0954097572699</v>
      </c>
      <c r="R31" s="9"/>
      <c r="S31" s="9" t="s">
        <v>12795</v>
      </c>
      <c r="T31" s="9" t="s">
        <v>12795</v>
      </c>
      <c r="U31" s="9"/>
      <c r="V31" s="9"/>
      <c r="W31" s="9"/>
      <c r="X31" s="9"/>
      <c r="Y31" s="9"/>
      <c r="Z31" s="9"/>
      <c r="AA31" s="9"/>
      <c r="AB31" s="9"/>
      <c r="AC31" s="9"/>
      <c r="AD31" s="9"/>
    </row>
    <row r="32" spans="1:30" ht="29">
      <c r="A32" s="3" t="s">
        <v>486</v>
      </c>
      <c r="B32" s="3" t="s">
        <v>5112</v>
      </c>
      <c r="C32" s="3" t="s">
        <v>5113</v>
      </c>
      <c r="G32" s="9" t="s">
        <v>25</v>
      </c>
      <c r="H32" s="9"/>
      <c r="I32" s="9">
        <v>1</v>
      </c>
      <c r="J32" s="9">
        <v>3</v>
      </c>
      <c r="K32" s="9" t="s">
        <v>12087</v>
      </c>
      <c r="L32" s="9" t="s">
        <v>12079</v>
      </c>
      <c r="M32" s="9"/>
      <c r="N32" s="10"/>
      <c r="O32" s="9"/>
      <c r="P32" s="9">
        <v>810</v>
      </c>
      <c r="Q32" s="9">
        <v>97.332372025955294</v>
      </c>
      <c r="R32" s="9"/>
      <c r="S32" s="9" t="s">
        <v>12795</v>
      </c>
      <c r="T32" s="9" t="s">
        <v>12795</v>
      </c>
      <c r="U32" s="9"/>
      <c r="V32" s="9"/>
      <c r="W32" s="9"/>
      <c r="X32" s="9"/>
      <c r="Y32" s="9"/>
      <c r="Z32" s="9"/>
      <c r="AA32" s="9"/>
      <c r="AB32" s="9"/>
      <c r="AC32" s="9"/>
      <c r="AD32" s="9"/>
    </row>
    <row r="33" spans="1:30" ht="29">
      <c r="A33" s="3" t="s">
        <v>486</v>
      </c>
      <c r="B33" s="3" t="s">
        <v>5114</v>
      </c>
      <c r="C33" s="3" t="s">
        <v>12167</v>
      </c>
      <c r="G33" s="9" t="s">
        <v>24</v>
      </c>
      <c r="H33" s="9"/>
      <c r="I33" s="9">
        <v>1</v>
      </c>
      <c r="J33" s="9">
        <v>3</v>
      </c>
      <c r="K33" s="9" t="s">
        <v>12078</v>
      </c>
      <c r="L33" s="9" t="s">
        <v>12079</v>
      </c>
      <c r="M33" s="9"/>
      <c r="N33" s="10"/>
      <c r="O33" s="9"/>
      <c r="P33" s="9">
        <v>11843</v>
      </c>
      <c r="Q33" s="9">
        <v>1423.0954097572699</v>
      </c>
      <c r="R33" s="9"/>
      <c r="S33" s="9" t="s">
        <v>12795</v>
      </c>
      <c r="T33" s="9" t="s">
        <v>12795</v>
      </c>
      <c r="U33" s="9"/>
      <c r="V33" s="9"/>
      <c r="W33" s="9"/>
      <c r="X33" s="9"/>
      <c r="Y33" s="9"/>
      <c r="Z33" s="9"/>
      <c r="AA33" s="9"/>
      <c r="AB33" s="9"/>
      <c r="AC33" s="9"/>
      <c r="AD33" s="9"/>
    </row>
    <row r="34" spans="1:30" ht="29">
      <c r="A34" s="3" t="s">
        <v>510</v>
      </c>
      <c r="B34" s="3" t="s">
        <v>5147</v>
      </c>
      <c r="C34" s="3" t="s">
        <v>5148</v>
      </c>
      <c r="F34" t="s">
        <v>19</v>
      </c>
      <c r="G34" s="9" t="s">
        <v>24</v>
      </c>
      <c r="H34" s="9"/>
      <c r="I34" s="9">
        <v>1</v>
      </c>
      <c r="J34" s="9">
        <v>3</v>
      </c>
      <c r="K34" s="9" t="s">
        <v>12078</v>
      </c>
      <c r="L34" s="9" t="s">
        <v>12079</v>
      </c>
      <c r="M34" s="9"/>
      <c r="N34" s="10"/>
      <c r="O34" s="9"/>
      <c r="P34" s="9">
        <v>11843</v>
      </c>
      <c r="Q34" s="9">
        <v>1423.0954097572699</v>
      </c>
      <c r="R34" s="9"/>
      <c r="S34" s="9" t="s">
        <v>12795</v>
      </c>
      <c r="T34" s="9" t="s">
        <v>12795</v>
      </c>
      <c r="U34" s="9"/>
      <c r="V34" s="9"/>
      <c r="W34" s="9"/>
      <c r="X34" s="9"/>
      <c r="Y34" s="9"/>
      <c r="Z34" s="9"/>
      <c r="AA34" s="9"/>
      <c r="AB34" s="9"/>
      <c r="AC34" s="9"/>
      <c r="AD34" s="9"/>
    </row>
    <row r="35" spans="1:30" ht="29">
      <c r="A35" s="3" t="s">
        <v>530</v>
      </c>
      <c r="B35" s="3" t="s">
        <v>5165</v>
      </c>
      <c r="C35" s="3" t="s">
        <v>5166</v>
      </c>
      <c r="G35" s="9" t="s">
        <v>24</v>
      </c>
      <c r="H35" s="9"/>
      <c r="I35" s="9">
        <v>1</v>
      </c>
      <c r="J35" s="9">
        <v>2</v>
      </c>
      <c r="K35" s="9" t="s">
        <v>12123</v>
      </c>
      <c r="L35" s="9" t="s">
        <v>12119</v>
      </c>
      <c r="M35" s="9"/>
      <c r="N35" s="10"/>
      <c r="O35" s="9"/>
      <c r="P35" s="9">
        <v>134</v>
      </c>
      <c r="Q35" s="9">
        <v>16.101898582071616</v>
      </c>
      <c r="R35" s="9"/>
      <c r="S35" s="9" t="s">
        <v>12795</v>
      </c>
      <c r="T35" s="9" t="s">
        <v>12795</v>
      </c>
      <c r="U35" s="9"/>
      <c r="V35" s="9"/>
      <c r="W35" s="9"/>
      <c r="X35" s="9"/>
      <c r="Y35" s="9"/>
      <c r="Z35" s="9"/>
      <c r="AA35" s="9"/>
      <c r="AB35" s="9"/>
      <c r="AC35" s="9"/>
      <c r="AD35" s="9"/>
    </row>
    <row r="36" spans="1:30" ht="43.5">
      <c r="A36" s="3" t="s">
        <v>537</v>
      </c>
      <c r="B36" s="3" t="s">
        <v>5169</v>
      </c>
      <c r="C36" s="3" t="s">
        <v>5170</v>
      </c>
      <c r="G36" s="9" t="s">
        <v>24</v>
      </c>
      <c r="H36" s="9"/>
      <c r="I36" s="9">
        <v>1</v>
      </c>
      <c r="J36" s="9">
        <v>3</v>
      </c>
      <c r="K36" s="9" t="s">
        <v>12078</v>
      </c>
      <c r="L36" s="9" t="s">
        <v>12079</v>
      </c>
      <c r="M36" s="9"/>
      <c r="N36" s="10"/>
      <c r="O36" s="9"/>
      <c r="P36" s="9">
        <v>11843</v>
      </c>
      <c r="Q36" s="9">
        <v>1423.0954097572699</v>
      </c>
      <c r="R36" s="9"/>
      <c r="S36" s="9" t="s">
        <v>12795</v>
      </c>
      <c r="T36" s="9" t="s">
        <v>12795</v>
      </c>
      <c r="U36" s="9"/>
      <c r="V36" s="9"/>
      <c r="W36" s="9"/>
      <c r="X36" s="9"/>
      <c r="Y36" s="9"/>
      <c r="Z36" s="9"/>
      <c r="AA36" s="9"/>
      <c r="AB36" s="9"/>
      <c r="AC36" s="9"/>
      <c r="AD36" s="9"/>
    </row>
    <row r="37" spans="1:30" ht="29">
      <c r="A37" s="3" t="s">
        <v>547</v>
      </c>
      <c r="B37" s="3" t="s">
        <v>5177</v>
      </c>
      <c r="C37" s="3" t="s">
        <v>5178</v>
      </c>
      <c r="G37" s="9" t="s">
        <v>25</v>
      </c>
      <c r="H37" s="9"/>
      <c r="I37" s="9">
        <v>1</v>
      </c>
      <c r="J37" s="9">
        <v>2</v>
      </c>
      <c r="K37" s="9" t="s">
        <v>12123</v>
      </c>
      <c r="L37" s="9" t="s">
        <v>12119</v>
      </c>
      <c r="M37" s="9"/>
      <c r="N37" s="10"/>
      <c r="O37" s="9"/>
      <c r="P37" s="9">
        <v>887</v>
      </c>
      <c r="Q37" s="9">
        <v>106.58495553953377</v>
      </c>
      <c r="R37" s="9"/>
      <c r="S37" s="9" t="s">
        <v>12795</v>
      </c>
      <c r="T37" s="9" t="s">
        <v>12795</v>
      </c>
      <c r="U37" s="9"/>
      <c r="V37" s="9"/>
      <c r="W37" s="9"/>
      <c r="X37" s="9"/>
      <c r="Y37" s="9"/>
      <c r="Z37" s="9"/>
      <c r="AA37" s="9"/>
      <c r="AB37" s="9"/>
      <c r="AC37" s="9"/>
      <c r="AD37" s="9"/>
    </row>
    <row r="38" spans="1:30" ht="43.5">
      <c r="A38" s="3" t="s">
        <v>554</v>
      </c>
      <c r="B38" s="3" t="s">
        <v>5179</v>
      </c>
      <c r="C38" s="3" t="s">
        <v>5180</v>
      </c>
      <c r="G38" s="9" t="s">
        <v>24</v>
      </c>
      <c r="H38" s="9"/>
      <c r="I38" s="9">
        <v>1</v>
      </c>
      <c r="J38" s="9">
        <v>2</v>
      </c>
      <c r="K38" s="9" t="s">
        <v>12078</v>
      </c>
      <c r="L38" s="9" t="s">
        <v>12119</v>
      </c>
      <c r="M38" s="9"/>
      <c r="N38" s="10"/>
      <c r="O38" s="9"/>
      <c r="P38" s="9">
        <v>11843</v>
      </c>
      <c r="Q38" s="9">
        <v>1423.0954097572699</v>
      </c>
      <c r="R38" s="9"/>
      <c r="S38" s="9" t="s">
        <v>12795</v>
      </c>
      <c r="T38" s="9" t="s">
        <v>12795</v>
      </c>
      <c r="U38" s="9"/>
      <c r="V38" s="9"/>
      <c r="W38" s="9"/>
      <c r="X38" s="9"/>
      <c r="Y38" s="9"/>
      <c r="Z38" s="9"/>
      <c r="AA38" s="9"/>
      <c r="AB38" s="9"/>
      <c r="AC38" s="9"/>
      <c r="AD38" s="9"/>
    </row>
    <row r="39" spans="1:30" ht="58">
      <c r="A39" s="3" t="s">
        <v>564</v>
      </c>
      <c r="B39" s="3" t="s">
        <v>5191</v>
      </c>
      <c r="C39" s="3" t="s">
        <v>5192</v>
      </c>
      <c r="G39" s="9" t="s">
        <v>24</v>
      </c>
      <c r="H39" s="9"/>
      <c r="I39" s="9">
        <v>1</v>
      </c>
      <c r="J39" s="9">
        <v>6</v>
      </c>
      <c r="K39" s="9" t="s">
        <v>12096</v>
      </c>
      <c r="L39" s="9" t="s">
        <v>12079</v>
      </c>
      <c r="M39" s="9"/>
      <c r="N39" s="10"/>
      <c r="O39" s="9"/>
      <c r="P39" s="9">
        <v>930</v>
      </c>
      <c r="Q39" s="9">
        <v>111.75198269646719</v>
      </c>
      <c r="R39" s="9"/>
      <c r="S39" s="9" t="s">
        <v>12795</v>
      </c>
      <c r="T39" s="9" t="s">
        <v>12795</v>
      </c>
      <c r="U39" s="9"/>
      <c r="V39" s="9"/>
      <c r="W39" s="9"/>
      <c r="X39" s="9"/>
      <c r="Y39" s="9"/>
      <c r="Z39" s="9"/>
      <c r="AA39" s="9"/>
      <c r="AB39" s="9"/>
      <c r="AC39" s="9"/>
      <c r="AD39" s="9"/>
    </row>
    <row r="40" spans="1:30" ht="87">
      <c r="A40" s="3" t="s">
        <v>593</v>
      </c>
      <c r="B40" s="3" t="s">
        <v>5209</v>
      </c>
      <c r="C40" s="3" t="s">
        <v>5210</v>
      </c>
      <c r="G40" s="9" t="s">
        <v>24</v>
      </c>
      <c r="H40" s="9"/>
      <c r="I40" s="9">
        <v>1</v>
      </c>
      <c r="J40" s="9">
        <v>6</v>
      </c>
      <c r="K40" s="9" t="s">
        <v>12094</v>
      </c>
      <c r="L40" s="9" t="s">
        <v>12079</v>
      </c>
      <c r="M40" s="9"/>
      <c r="N40" s="10"/>
      <c r="O40" s="9"/>
      <c r="P40" s="9">
        <v>930</v>
      </c>
      <c r="Q40" s="9">
        <v>111.75198269646719</v>
      </c>
      <c r="R40" s="9"/>
      <c r="S40" s="9" t="s">
        <v>12795</v>
      </c>
      <c r="T40" s="9" t="s">
        <v>12795</v>
      </c>
      <c r="U40" s="9"/>
      <c r="V40" s="9"/>
      <c r="W40" s="9"/>
      <c r="X40" s="9"/>
      <c r="Y40" s="9"/>
      <c r="Z40" s="9"/>
      <c r="AA40" s="9"/>
      <c r="AB40" s="9"/>
      <c r="AC40" s="9"/>
      <c r="AD40" s="9"/>
    </row>
    <row r="41" spans="1:30" ht="29">
      <c r="A41" s="3" t="s">
        <v>611</v>
      </c>
      <c r="B41" s="3" t="s">
        <v>5213</v>
      </c>
      <c r="C41" s="3" t="s">
        <v>5212</v>
      </c>
      <c r="G41" s="9" t="s">
        <v>25</v>
      </c>
      <c r="H41" s="9"/>
      <c r="I41" s="9">
        <v>1</v>
      </c>
      <c r="J41" s="9">
        <v>2</v>
      </c>
      <c r="K41" s="9" t="s">
        <v>12078</v>
      </c>
      <c r="L41" s="9" t="s">
        <v>12119</v>
      </c>
      <c r="M41" s="9"/>
      <c r="N41" s="10"/>
      <c r="O41" s="9"/>
      <c r="P41" s="9">
        <v>11843</v>
      </c>
      <c r="Q41" s="9">
        <v>1423.0954097572699</v>
      </c>
      <c r="R41" s="9"/>
      <c r="S41" s="9" t="s">
        <v>12795</v>
      </c>
      <c r="T41" s="9" t="s">
        <v>12795</v>
      </c>
      <c r="U41" s="9"/>
      <c r="V41" s="9"/>
      <c r="W41" s="9"/>
      <c r="X41" s="9"/>
      <c r="Y41" s="9"/>
      <c r="Z41" s="9"/>
      <c r="AA41" s="9"/>
      <c r="AB41" s="9"/>
      <c r="AC41" s="9"/>
      <c r="AD41" s="9"/>
    </row>
    <row r="42" spans="1:30" ht="29">
      <c r="A42" s="3" t="s">
        <v>627</v>
      </c>
      <c r="B42" s="3" t="s">
        <v>5221</v>
      </c>
      <c r="C42" s="3" t="s">
        <v>5222</v>
      </c>
      <c r="G42" s="9" t="s">
        <v>24</v>
      </c>
      <c r="H42" s="9"/>
      <c r="I42" s="9">
        <v>1</v>
      </c>
      <c r="J42" s="9">
        <v>1</v>
      </c>
      <c r="K42" s="9" t="s">
        <v>12078</v>
      </c>
      <c r="L42" s="9" t="s">
        <v>12119</v>
      </c>
      <c r="M42" s="9"/>
      <c r="N42" s="10"/>
      <c r="O42" s="9"/>
      <c r="P42" s="9">
        <v>11843</v>
      </c>
      <c r="Q42" s="9">
        <v>1423.0954097572699</v>
      </c>
      <c r="R42" s="9"/>
      <c r="S42" s="9" t="s">
        <v>12795</v>
      </c>
      <c r="T42" s="9" t="s">
        <v>12795</v>
      </c>
      <c r="U42" s="9"/>
      <c r="V42" s="9"/>
      <c r="W42" s="9"/>
      <c r="X42" s="9"/>
      <c r="Y42" s="9"/>
      <c r="Z42" s="9"/>
      <c r="AA42" s="9"/>
      <c r="AB42" s="9"/>
      <c r="AC42" s="9"/>
      <c r="AD42" s="9"/>
    </row>
    <row r="43" spans="1:30" ht="58">
      <c r="A43" s="3" t="s">
        <v>635</v>
      </c>
      <c r="B43" s="3" t="s">
        <v>5229</v>
      </c>
      <c r="C43" s="3" t="s">
        <v>5230</v>
      </c>
      <c r="G43" s="9" t="s">
        <v>25</v>
      </c>
      <c r="H43" s="9"/>
      <c r="I43" s="9">
        <v>1</v>
      </c>
      <c r="J43" s="9">
        <v>3</v>
      </c>
      <c r="K43" s="9" t="s">
        <v>12087</v>
      </c>
      <c r="L43" s="9" t="s">
        <v>12079</v>
      </c>
      <c r="M43" s="9"/>
      <c r="N43" s="10"/>
      <c r="O43" s="9"/>
      <c r="P43" s="9">
        <v>5676</v>
      </c>
      <c r="Q43" s="9">
        <v>682.04758471521268</v>
      </c>
      <c r="R43" s="9"/>
      <c r="S43" s="9" t="s">
        <v>12795</v>
      </c>
      <c r="T43" s="9" t="s">
        <v>12795</v>
      </c>
      <c r="U43" s="9"/>
      <c r="V43" s="9"/>
      <c r="W43" s="9"/>
      <c r="X43" s="9"/>
      <c r="Y43" s="9"/>
      <c r="Z43" s="9"/>
      <c r="AA43" s="9"/>
      <c r="AB43" s="9"/>
      <c r="AC43" s="9"/>
      <c r="AD43" s="9"/>
    </row>
    <row r="44" spans="1:30" ht="29">
      <c r="A44" s="3" t="s">
        <v>651</v>
      </c>
      <c r="B44" s="3" t="s">
        <v>5241</v>
      </c>
      <c r="C44" s="3" t="s">
        <v>5242</v>
      </c>
      <c r="G44" s="9" t="s">
        <v>25</v>
      </c>
      <c r="H44" s="9"/>
      <c r="I44" s="9">
        <v>1</v>
      </c>
      <c r="J44" s="9">
        <v>2</v>
      </c>
      <c r="K44" s="9" t="s">
        <v>12078</v>
      </c>
      <c r="L44" s="9" t="s">
        <v>12119</v>
      </c>
      <c r="M44" s="9"/>
      <c r="N44" s="10"/>
      <c r="O44" s="9"/>
      <c r="P44" s="9">
        <v>11843</v>
      </c>
      <c r="Q44" s="9">
        <v>1423.0954097572699</v>
      </c>
      <c r="R44" s="9"/>
      <c r="S44" s="9" t="s">
        <v>12795</v>
      </c>
      <c r="T44" s="9" t="s">
        <v>12795</v>
      </c>
      <c r="U44" s="9"/>
      <c r="V44" s="9"/>
      <c r="W44" s="9"/>
      <c r="X44" s="9"/>
      <c r="Y44" s="9"/>
      <c r="Z44" s="9"/>
      <c r="AA44" s="9"/>
      <c r="AB44" s="9"/>
      <c r="AC44" s="9"/>
      <c r="AD44" s="9"/>
    </row>
    <row r="45" spans="1:30" ht="58">
      <c r="A45" s="3" t="s">
        <v>666</v>
      </c>
      <c r="B45" s="3" t="s">
        <v>5252</v>
      </c>
      <c r="C45" s="3" t="s">
        <v>5253</v>
      </c>
      <c r="G45" s="9" t="s">
        <v>24</v>
      </c>
      <c r="H45" s="9"/>
      <c r="I45" s="9">
        <v>1</v>
      </c>
      <c r="J45" s="9">
        <v>3</v>
      </c>
      <c r="K45" s="9" t="s">
        <v>12087</v>
      </c>
      <c r="L45" s="9" t="s">
        <v>12079</v>
      </c>
      <c r="M45" s="9"/>
      <c r="N45" s="10"/>
      <c r="O45" s="9"/>
      <c r="P45" s="9">
        <v>5676</v>
      </c>
      <c r="Q45" s="9">
        <v>682.04758471521268</v>
      </c>
      <c r="R45" s="9"/>
      <c r="S45" s="9" t="s">
        <v>12795</v>
      </c>
      <c r="T45" s="9" t="s">
        <v>12795</v>
      </c>
      <c r="U45" s="9"/>
      <c r="V45" s="9"/>
      <c r="W45" s="9"/>
      <c r="X45" s="9"/>
      <c r="Y45" s="9"/>
      <c r="Z45" s="9"/>
      <c r="AA45" s="9"/>
      <c r="AB45" s="9"/>
      <c r="AC45" s="9"/>
      <c r="AD45" s="9"/>
    </row>
    <row r="46" spans="1:30" ht="72.5">
      <c r="A46" s="3" t="s">
        <v>673</v>
      </c>
      <c r="B46" s="3" t="s">
        <v>5262</v>
      </c>
      <c r="C46" s="3" t="s">
        <v>5263</v>
      </c>
      <c r="G46" s="9" t="s">
        <v>25</v>
      </c>
      <c r="H46" s="9"/>
      <c r="I46" s="9">
        <v>1</v>
      </c>
      <c r="J46" s="9">
        <v>3</v>
      </c>
      <c r="K46" s="9" t="s">
        <v>12078</v>
      </c>
      <c r="L46" s="9" t="s">
        <v>12079</v>
      </c>
      <c r="M46" s="9"/>
      <c r="N46" s="10"/>
      <c r="O46" s="9"/>
      <c r="P46" s="9">
        <v>11843</v>
      </c>
      <c r="Q46" s="9">
        <v>1423.0954097572699</v>
      </c>
      <c r="R46" s="9"/>
      <c r="S46" s="9" t="s">
        <v>12795</v>
      </c>
      <c r="T46" s="9" t="s">
        <v>12795</v>
      </c>
      <c r="U46" s="9" t="s">
        <v>12117</v>
      </c>
      <c r="V46" s="9"/>
      <c r="W46" s="9"/>
      <c r="X46" s="9"/>
      <c r="Y46" s="9"/>
      <c r="Z46" s="9"/>
      <c r="AA46" s="9"/>
      <c r="AB46" s="9"/>
      <c r="AC46" s="9"/>
      <c r="AD46" s="9"/>
    </row>
    <row r="47" spans="1:30" ht="58">
      <c r="A47" s="3" t="s">
        <v>693</v>
      </c>
      <c r="B47" s="3" t="s">
        <v>5271</v>
      </c>
      <c r="C47" s="3" t="s">
        <v>5270</v>
      </c>
      <c r="G47" s="9" t="s">
        <v>25</v>
      </c>
      <c r="H47" s="9"/>
      <c r="I47" s="9">
        <v>1</v>
      </c>
      <c r="J47" s="9">
        <v>3</v>
      </c>
      <c r="K47" s="9" t="s">
        <v>12078</v>
      </c>
      <c r="L47" s="9" t="s">
        <v>12079</v>
      </c>
      <c r="M47" s="9"/>
      <c r="N47" s="10"/>
      <c r="O47" s="9"/>
      <c r="P47" s="9">
        <v>11843</v>
      </c>
      <c r="Q47" s="9">
        <v>1423.0954097572699</v>
      </c>
      <c r="R47" s="9"/>
      <c r="S47" s="9" t="s">
        <v>12795</v>
      </c>
      <c r="T47" s="9" t="s">
        <v>12795</v>
      </c>
      <c r="U47" s="9"/>
      <c r="V47" s="9"/>
      <c r="W47" s="9"/>
      <c r="X47" s="9"/>
      <c r="Y47" s="9"/>
      <c r="Z47" s="9"/>
      <c r="AA47" s="9"/>
      <c r="AB47" s="9"/>
      <c r="AC47" s="9"/>
      <c r="AD47" s="9"/>
    </row>
    <row r="48" spans="1:30" ht="43.5">
      <c r="A48" s="3" t="s">
        <v>703</v>
      </c>
      <c r="B48" s="3" t="s">
        <v>12854</v>
      </c>
      <c r="C48" s="3" t="s">
        <v>12855</v>
      </c>
      <c r="G48" s="9" t="s">
        <v>25</v>
      </c>
      <c r="H48" s="9"/>
      <c r="I48" s="9">
        <v>1</v>
      </c>
      <c r="J48" s="9">
        <v>3</v>
      </c>
      <c r="K48" s="9" t="s">
        <v>12087</v>
      </c>
      <c r="L48" s="9" t="s">
        <v>12079</v>
      </c>
      <c r="M48" s="9"/>
      <c r="N48" s="10"/>
      <c r="O48" s="9"/>
      <c r="P48" s="9">
        <v>5676</v>
      </c>
      <c r="Q48" s="9">
        <v>682.04758471521268</v>
      </c>
      <c r="R48" s="9"/>
      <c r="S48" s="9" t="s">
        <v>12795</v>
      </c>
      <c r="T48" s="9" t="s">
        <v>12795</v>
      </c>
      <c r="U48" s="9"/>
      <c r="V48" s="9"/>
      <c r="W48" s="9"/>
      <c r="X48" s="9"/>
      <c r="Y48" s="9"/>
      <c r="Z48" s="9"/>
      <c r="AA48" s="9"/>
      <c r="AB48" s="9"/>
      <c r="AC48" s="9"/>
      <c r="AD48" s="9"/>
    </row>
    <row r="49" spans="1:30" ht="58">
      <c r="A49" s="3" t="s">
        <v>713</v>
      </c>
      <c r="B49" s="3" t="s">
        <v>5282</v>
      </c>
      <c r="C49" s="3" t="s">
        <v>12181</v>
      </c>
      <c r="G49" s="9" t="s">
        <v>25</v>
      </c>
      <c r="H49" s="9"/>
      <c r="I49" s="9">
        <v>1</v>
      </c>
      <c r="J49" s="9">
        <v>3</v>
      </c>
      <c r="K49" s="9" t="s">
        <v>12087</v>
      </c>
      <c r="L49" s="9" t="s">
        <v>12079</v>
      </c>
      <c r="M49" s="9"/>
      <c r="N49" s="10"/>
      <c r="O49" s="9"/>
      <c r="P49" s="9">
        <v>5676</v>
      </c>
      <c r="Q49" s="9">
        <v>682.04758471521268</v>
      </c>
      <c r="R49" s="9"/>
      <c r="S49" s="9" t="s">
        <v>12795</v>
      </c>
      <c r="T49" s="9" t="s">
        <v>12795</v>
      </c>
      <c r="U49" s="9"/>
      <c r="V49" s="9"/>
      <c r="W49" s="9"/>
      <c r="X49" s="9"/>
      <c r="Y49" s="9"/>
      <c r="Z49" s="9"/>
      <c r="AA49" s="9"/>
      <c r="AB49" s="9"/>
      <c r="AC49" s="9"/>
      <c r="AD49" s="9"/>
    </row>
    <row r="50" spans="1:30" ht="29">
      <c r="A50" s="3" t="s">
        <v>715</v>
      </c>
      <c r="B50" s="3" t="s">
        <v>5288</v>
      </c>
      <c r="C50" s="3" t="s">
        <v>12182</v>
      </c>
      <c r="G50" s="9" t="s">
        <v>25</v>
      </c>
      <c r="H50" s="9"/>
      <c r="I50" s="9">
        <v>1</v>
      </c>
      <c r="J50" s="9">
        <v>3</v>
      </c>
      <c r="K50" s="9" t="s">
        <v>12078</v>
      </c>
      <c r="L50" s="9" t="s">
        <v>12079</v>
      </c>
      <c r="M50" s="9"/>
      <c r="N50" s="10"/>
      <c r="O50" s="9"/>
      <c r="P50" s="9">
        <v>11843</v>
      </c>
      <c r="Q50" s="9">
        <v>1423.0954097572699</v>
      </c>
      <c r="R50" s="9"/>
      <c r="S50" s="9" t="s">
        <v>12795</v>
      </c>
      <c r="T50" s="9" t="s">
        <v>12795</v>
      </c>
      <c r="U50" s="9"/>
      <c r="V50" s="9"/>
      <c r="W50" s="9"/>
      <c r="X50" s="9"/>
      <c r="Y50" s="9"/>
      <c r="Z50" s="9"/>
      <c r="AA50" s="9"/>
      <c r="AB50" s="9"/>
      <c r="AC50" s="9"/>
      <c r="AD50" s="9"/>
    </row>
    <row r="51" spans="1:30" ht="43.5">
      <c r="A51" s="3" t="s">
        <v>725</v>
      </c>
      <c r="B51" s="3" t="s">
        <v>5297</v>
      </c>
      <c r="C51" s="3" t="s">
        <v>5298</v>
      </c>
      <c r="G51" s="9" t="s">
        <v>24</v>
      </c>
      <c r="H51" s="9"/>
      <c r="I51" s="9">
        <v>1</v>
      </c>
      <c r="J51" s="9">
        <v>2</v>
      </c>
      <c r="K51" s="9" t="s">
        <v>12087</v>
      </c>
      <c r="L51" s="9" t="s">
        <v>12119</v>
      </c>
      <c r="M51" s="9"/>
      <c r="N51" s="10"/>
      <c r="O51" s="9"/>
      <c r="P51" s="9">
        <v>1966</v>
      </c>
      <c r="Q51" s="9">
        <v>236.24128815188658</v>
      </c>
      <c r="R51" s="9"/>
      <c r="S51" s="9" t="s">
        <v>12795</v>
      </c>
      <c r="T51" s="9" t="s">
        <v>12795</v>
      </c>
      <c r="U51" s="9"/>
      <c r="V51" s="9"/>
      <c r="W51" s="9"/>
      <c r="X51" s="9"/>
      <c r="Y51" s="9"/>
      <c r="Z51" s="9"/>
      <c r="AA51" s="9"/>
      <c r="AB51" s="9"/>
      <c r="AC51" s="9"/>
      <c r="AD51" s="9"/>
    </row>
    <row r="52" spans="1:30" ht="43.5">
      <c r="A52" s="3" t="s">
        <v>733</v>
      </c>
      <c r="B52" s="3" t="s">
        <v>5304</v>
      </c>
      <c r="C52" s="3" t="s">
        <v>5303</v>
      </c>
      <c r="G52" s="9" t="s">
        <v>24</v>
      </c>
      <c r="H52" s="9"/>
      <c r="I52" s="9">
        <v>1</v>
      </c>
      <c r="J52" s="9">
        <v>5</v>
      </c>
      <c r="K52" s="9" t="s">
        <v>12094</v>
      </c>
      <c r="L52" s="9" t="s">
        <v>12079</v>
      </c>
      <c r="M52" s="9"/>
      <c r="N52" s="10"/>
      <c r="O52" s="9"/>
      <c r="P52" s="9">
        <v>4240</v>
      </c>
      <c r="Q52" s="9">
        <v>509.49291035808699</v>
      </c>
      <c r="R52" s="9"/>
      <c r="S52" s="9" t="s">
        <v>12795</v>
      </c>
      <c r="T52" s="9" t="s">
        <v>12795</v>
      </c>
      <c r="U52" s="9"/>
      <c r="V52" s="9"/>
      <c r="W52" s="9"/>
      <c r="X52" s="9"/>
      <c r="Y52" s="9"/>
      <c r="Z52" s="9"/>
      <c r="AA52" s="9"/>
      <c r="AB52" s="9"/>
      <c r="AC52" s="9"/>
      <c r="AD52" s="9"/>
    </row>
    <row r="53" spans="1:30" ht="43.5">
      <c r="A53" s="3" t="s">
        <v>743</v>
      </c>
      <c r="B53" s="3" t="s">
        <v>5309</v>
      </c>
      <c r="C53" s="3" t="s">
        <v>12982</v>
      </c>
      <c r="G53" s="9" t="s">
        <v>25</v>
      </c>
      <c r="H53" s="9"/>
      <c r="I53" s="9">
        <v>1</v>
      </c>
      <c r="J53" s="9">
        <v>2</v>
      </c>
      <c r="K53" s="9" t="s">
        <v>12087</v>
      </c>
      <c r="L53" s="9" t="s">
        <v>12119</v>
      </c>
      <c r="M53" s="9"/>
      <c r="N53" s="10"/>
      <c r="O53" s="9"/>
      <c r="P53" s="9">
        <v>1966</v>
      </c>
      <c r="Q53" s="9">
        <v>236.24128815188658</v>
      </c>
      <c r="R53" s="9"/>
      <c r="S53" s="9" t="s">
        <v>12795</v>
      </c>
      <c r="T53" s="9" t="s">
        <v>12795</v>
      </c>
      <c r="U53" s="9"/>
      <c r="V53" s="9"/>
      <c r="W53" s="9"/>
      <c r="X53" s="9"/>
      <c r="Y53" s="9"/>
      <c r="Z53" s="9"/>
      <c r="AA53" s="9"/>
      <c r="AB53" s="9"/>
      <c r="AC53" s="9"/>
      <c r="AD53" s="9"/>
    </row>
    <row r="54" spans="1:30" ht="58">
      <c r="A54" s="3" t="s">
        <v>746</v>
      </c>
      <c r="B54" s="3" t="s">
        <v>5316</v>
      </c>
      <c r="C54" s="3" t="s">
        <v>5315</v>
      </c>
      <c r="G54" s="9" t="s">
        <v>25</v>
      </c>
      <c r="H54" s="9"/>
      <c r="I54" s="9">
        <v>1</v>
      </c>
      <c r="J54" s="9">
        <v>5</v>
      </c>
      <c r="K54" s="9" t="s">
        <v>12094</v>
      </c>
      <c r="L54" s="9" t="s">
        <v>12079</v>
      </c>
      <c r="M54" s="9"/>
      <c r="N54" s="10"/>
      <c r="O54" s="9"/>
      <c r="P54" s="9">
        <v>930</v>
      </c>
      <c r="Q54" s="9">
        <v>111.75198269646719</v>
      </c>
      <c r="R54" s="9"/>
      <c r="S54" s="9" t="s">
        <v>12795</v>
      </c>
      <c r="T54" s="9" t="s">
        <v>12795</v>
      </c>
      <c r="U54" s="9"/>
      <c r="V54" s="9"/>
      <c r="W54" s="9"/>
      <c r="X54" s="9"/>
      <c r="Y54" s="9"/>
      <c r="Z54" s="9"/>
      <c r="AA54" s="9"/>
      <c r="AB54" s="9"/>
      <c r="AC54" s="9"/>
      <c r="AD54" s="9"/>
    </row>
    <row r="55" spans="1:30" ht="116">
      <c r="A55" s="3" t="s">
        <v>749</v>
      </c>
      <c r="B55" s="3" t="s">
        <v>5319</v>
      </c>
      <c r="C55" s="3" t="s">
        <v>5320</v>
      </c>
      <c r="G55" s="9" t="s">
        <v>24</v>
      </c>
      <c r="H55" s="9"/>
      <c r="I55" s="9">
        <v>1</v>
      </c>
      <c r="J55" s="9">
        <v>1</v>
      </c>
      <c r="K55" s="9" t="s">
        <v>12078</v>
      </c>
      <c r="L55" s="9" t="s">
        <v>12119</v>
      </c>
      <c r="M55" s="9"/>
      <c r="N55" s="10"/>
      <c r="O55" s="9"/>
      <c r="P55" s="9">
        <v>11843</v>
      </c>
      <c r="Q55" s="9">
        <v>1423.0954097572699</v>
      </c>
      <c r="R55" s="9"/>
      <c r="S55" s="9" t="s">
        <v>12795</v>
      </c>
      <c r="T55" s="9" t="s">
        <v>12795</v>
      </c>
      <c r="U55" s="9"/>
      <c r="V55" s="9"/>
      <c r="W55" s="9"/>
      <c r="X55" s="9"/>
      <c r="Y55" s="9"/>
      <c r="Z55" s="9"/>
      <c r="AA55" s="9"/>
      <c r="AB55" s="9"/>
      <c r="AC55" s="9"/>
      <c r="AD55" s="9"/>
    </row>
    <row r="56" spans="1:30" ht="58">
      <c r="A56" s="3" t="s">
        <v>756</v>
      </c>
      <c r="B56" s="3" t="s">
        <v>5330</v>
      </c>
      <c r="C56" s="3" t="s">
        <v>5331</v>
      </c>
      <c r="G56" s="9" t="s">
        <v>24</v>
      </c>
      <c r="H56" s="9"/>
      <c r="I56" s="9">
        <v>1</v>
      </c>
      <c r="J56" s="9">
        <v>2</v>
      </c>
      <c r="K56" s="9" t="s">
        <v>12078</v>
      </c>
      <c r="L56" s="9" t="s">
        <v>12119</v>
      </c>
      <c r="M56" s="9"/>
      <c r="N56" s="10"/>
      <c r="O56" s="9"/>
      <c r="P56" s="9">
        <v>11843</v>
      </c>
      <c r="Q56" s="9">
        <v>1423.0954097572699</v>
      </c>
      <c r="R56" s="9"/>
      <c r="S56" s="9" t="s">
        <v>12795</v>
      </c>
      <c r="T56" s="9" t="s">
        <v>12795</v>
      </c>
      <c r="U56" s="9"/>
      <c r="V56" s="9"/>
      <c r="W56" s="9"/>
      <c r="X56" s="9"/>
      <c r="Y56" s="9"/>
      <c r="Z56" s="9"/>
      <c r="AA56" s="9"/>
      <c r="AB56" s="9"/>
      <c r="AC56" s="9"/>
      <c r="AD56" s="9"/>
    </row>
    <row r="57" spans="1:30" ht="29">
      <c r="A57" s="3" t="s">
        <v>765</v>
      </c>
      <c r="B57" s="3" t="s">
        <v>5338</v>
      </c>
      <c r="C57" s="3" t="s">
        <v>5339</v>
      </c>
      <c r="G57" s="9" t="s">
        <v>25</v>
      </c>
      <c r="H57" s="9"/>
      <c r="I57" s="9">
        <v>1</v>
      </c>
      <c r="J57" s="9">
        <v>3</v>
      </c>
      <c r="K57" s="9" t="s">
        <v>12078</v>
      </c>
      <c r="L57" s="9" t="s">
        <v>12119</v>
      </c>
      <c r="M57" s="9"/>
      <c r="N57" s="10"/>
      <c r="O57" s="9"/>
      <c r="P57" s="9">
        <v>11843</v>
      </c>
      <c r="Q57" s="9">
        <v>1423.0954097572699</v>
      </c>
      <c r="R57" s="9"/>
      <c r="S57" s="9" t="s">
        <v>12795</v>
      </c>
      <c r="T57" s="9" t="s">
        <v>12795</v>
      </c>
      <c r="U57" s="9"/>
      <c r="V57" s="9"/>
      <c r="W57" s="9"/>
      <c r="X57" s="9"/>
      <c r="Y57" s="9"/>
      <c r="Z57" s="9"/>
      <c r="AA57" s="9"/>
      <c r="AB57" s="9"/>
      <c r="AC57" s="9"/>
      <c r="AD57" s="9"/>
    </row>
    <row r="58" spans="1:30" ht="29">
      <c r="A58" s="3" t="s">
        <v>774</v>
      </c>
      <c r="B58" s="3" t="s">
        <v>5355</v>
      </c>
      <c r="C58" s="3" t="s">
        <v>5356</v>
      </c>
      <c r="F58" t="s">
        <v>19</v>
      </c>
      <c r="G58" s="9" t="s">
        <v>25</v>
      </c>
      <c r="H58" s="9"/>
      <c r="I58" s="9">
        <v>1</v>
      </c>
      <c r="J58" s="9">
        <v>2</v>
      </c>
      <c r="K58" s="9" t="s">
        <v>12123</v>
      </c>
      <c r="L58" s="9" t="s">
        <v>12119</v>
      </c>
      <c r="M58" s="9"/>
      <c r="N58" s="10"/>
      <c r="O58" s="9"/>
      <c r="P58" s="9">
        <v>526</v>
      </c>
      <c r="Q58" s="9">
        <v>63.205960105743813</v>
      </c>
      <c r="R58" s="9"/>
      <c r="S58" s="9" t="s">
        <v>12795</v>
      </c>
      <c r="T58" s="9" t="s">
        <v>12795</v>
      </c>
      <c r="U58" s="9"/>
      <c r="V58" s="9"/>
      <c r="W58" s="9"/>
      <c r="X58" s="9"/>
      <c r="Y58" s="9"/>
      <c r="Z58" s="9"/>
      <c r="AA58" s="9"/>
      <c r="AB58" s="9"/>
      <c r="AC58" s="9"/>
      <c r="AD58" s="9"/>
    </row>
    <row r="59" spans="1:30" ht="58">
      <c r="A59" s="3" t="s">
        <v>798</v>
      </c>
      <c r="B59" s="3" t="s">
        <v>12986</v>
      </c>
      <c r="C59" s="3" t="s">
        <v>12983</v>
      </c>
      <c r="G59" s="9" t="s">
        <v>25</v>
      </c>
      <c r="H59" s="9"/>
      <c r="I59" s="9">
        <v>1</v>
      </c>
      <c r="J59" s="9">
        <v>5</v>
      </c>
      <c r="K59" s="9" t="s">
        <v>12094</v>
      </c>
      <c r="L59" s="9" t="s">
        <v>12073</v>
      </c>
      <c r="M59" s="9" t="s">
        <v>12142</v>
      </c>
      <c r="N59" s="10" t="s">
        <v>12160</v>
      </c>
      <c r="O59" s="9"/>
      <c r="P59" s="9">
        <v>4240</v>
      </c>
      <c r="Q59" s="9">
        <v>509.49291035808699</v>
      </c>
      <c r="R59" s="9"/>
      <c r="S59" s="9" t="s">
        <v>12795</v>
      </c>
      <c r="T59" s="9" t="s">
        <v>12795</v>
      </c>
      <c r="U59" s="9"/>
      <c r="V59" s="9"/>
      <c r="W59" s="9"/>
      <c r="X59" s="9"/>
      <c r="Y59" s="9"/>
      <c r="Z59" s="9"/>
      <c r="AA59" s="9"/>
      <c r="AB59" s="9"/>
      <c r="AC59" s="9"/>
      <c r="AD59" s="9"/>
    </row>
    <row r="60" spans="1:30" ht="43.5">
      <c r="A60" s="3" t="s">
        <v>801</v>
      </c>
      <c r="B60" s="3" t="s">
        <v>5367</v>
      </c>
      <c r="C60" s="3" t="s">
        <v>5368</v>
      </c>
      <c r="G60" s="9" t="s">
        <v>24</v>
      </c>
      <c r="H60" s="9"/>
      <c r="I60" s="9">
        <v>1</v>
      </c>
      <c r="J60" s="9">
        <v>2</v>
      </c>
      <c r="K60" s="9" t="s">
        <v>12078</v>
      </c>
      <c r="L60" s="9" t="s">
        <v>12119</v>
      </c>
      <c r="M60" s="9"/>
      <c r="N60" s="10"/>
      <c r="O60" s="9"/>
      <c r="P60" s="9">
        <v>11843</v>
      </c>
      <c r="Q60" s="9">
        <v>1423.0954097572699</v>
      </c>
      <c r="R60" s="9"/>
      <c r="S60" s="9" t="s">
        <v>12795</v>
      </c>
      <c r="T60" s="9" t="s">
        <v>12795</v>
      </c>
      <c r="U60" s="9"/>
      <c r="V60" s="9"/>
      <c r="W60" s="9"/>
      <c r="X60" s="9"/>
      <c r="Y60" s="9"/>
      <c r="Z60" s="9"/>
      <c r="AA60" s="9"/>
      <c r="AB60" s="9"/>
      <c r="AC60" s="9"/>
      <c r="AD60" s="9"/>
    </row>
    <row r="61" spans="1:30" ht="29">
      <c r="A61" s="3" t="s">
        <v>817</v>
      </c>
      <c r="B61" s="3" t="s">
        <v>5381</v>
      </c>
      <c r="C61" s="3" t="s">
        <v>5382</v>
      </c>
      <c r="G61" s="9" t="s">
        <v>25</v>
      </c>
      <c r="H61" s="9"/>
      <c r="I61" s="9">
        <v>1</v>
      </c>
      <c r="J61" s="9">
        <v>2</v>
      </c>
      <c r="K61" s="9" t="s">
        <v>12087</v>
      </c>
      <c r="L61" s="9" t="s">
        <v>12119</v>
      </c>
      <c r="M61" s="9"/>
      <c r="N61" s="10"/>
      <c r="O61" s="9"/>
      <c r="P61" s="9">
        <v>1966</v>
      </c>
      <c r="Q61" s="9">
        <v>236.24128815188658</v>
      </c>
      <c r="R61" s="9"/>
      <c r="S61" s="9" t="s">
        <v>12795</v>
      </c>
      <c r="T61" s="9" t="s">
        <v>12795</v>
      </c>
      <c r="U61" s="9"/>
      <c r="V61" s="9"/>
      <c r="W61" s="9"/>
      <c r="X61" s="9"/>
      <c r="Y61" s="9"/>
      <c r="Z61" s="9"/>
      <c r="AA61" s="9"/>
      <c r="AB61" s="9"/>
      <c r="AC61" s="9"/>
      <c r="AD61" s="9"/>
    </row>
    <row r="62" spans="1:30" ht="29">
      <c r="A62" s="3" t="s">
        <v>826</v>
      </c>
      <c r="B62" s="3" t="s">
        <v>5392</v>
      </c>
      <c r="C62" s="3" t="s">
        <v>5393</v>
      </c>
      <c r="G62" s="9" t="s">
        <v>25</v>
      </c>
      <c r="H62" s="9"/>
      <c r="I62" s="9">
        <v>1</v>
      </c>
      <c r="J62" s="9">
        <v>2</v>
      </c>
      <c r="K62" s="9" t="s">
        <v>12087</v>
      </c>
      <c r="L62" s="9" t="s">
        <v>12119</v>
      </c>
      <c r="M62" s="9"/>
      <c r="N62" s="10"/>
      <c r="O62" s="9"/>
      <c r="P62" s="9">
        <v>1966</v>
      </c>
      <c r="Q62" s="9">
        <v>236.24128815188658</v>
      </c>
      <c r="R62" s="9"/>
      <c r="S62" s="9" t="s">
        <v>12795</v>
      </c>
      <c r="T62" s="9" t="s">
        <v>12795</v>
      </c>
      <c r="U62" s="9"/>
      <c r="V62" s="9"/>
      <c r="W62" s="9"/>
      <c r="X62" s="9"/>
      <c r="Y62" s="9"/>
      <c r="Z62" s="9"/>
      <c r="AA62" s="9"/>
      <c r="AB62" s="9"/>
      <c r="AC62" s="9"/>
      <c r="AD62" s="9"/>
    </row>
    <row r="63" spans="1:30" ht="58">
      <c r="A63" s="3" t="s">
        <v>831</v>
      </c>
      <c r="B63" s="3" t="s">
        <v>5397</v>
      </c>
      <c r="C63" s="3" t="s">
        <v>5398</v>
      </c>
      <c r="G63" s="9" t="s">
        <v>24</v>
      </c>
      <c r="H63" s="9"/>
      <c r="I63" s="9">
        <v>1</v>
      </c>
      <c r="J63" s="9">
        <v>3</v>
      </c>
      <c r="K63" s="9" t="s">
        <v>12087</v>
      </c>
      <c r="L63" s="9" t="s">
        <v>12079</v>
      </c>
      <c r="M63" s="9"/>
      <c r="N63" s="10"/>
      <c r="O63" s="9"/>
      <c r="P63" s="9">
        <v>5676</v>
      </c>
      <c r="Q63" s="9">
        <v>682.04758471521268</v>
      </c>
      <c r="R63" s="9"/>
      <c r="S63" s="9" t="s">
        <v>12795</v>
      </c>
      <c r="T63" s="9" t="s">
        <v>12795</v>
      </c>
      <c r="U63" s="9"/>
      <c r="V63" s="9"/>
      <c r="W63" s="9"/>
      <c r="X63" s="9"/>
      <c r="Y63" s="9"/>
      <c r="Z63" s="9"/>
      <c r="AA63" s="9"/>
      <c r="AB63" s="9"/>
      <c r="AC63" s="9"/>
      <c r="AD63" s="9"/>
    </row>
    <row r="64" spans="1:30" ht="58">
      <c r="A64" s="3" t="s">
        <v>834</v>
      </c>
      <c r="B64" s="3" t="s">
        <v>5402</v>
      </c>
      <c r="C64" s="3" t="s">
        <v>5401</v>
      </c>
      <c r="G64" s="9" t="s">
        <v>24</v>
      </c>
      <c r="H64" s="9"/>
      <c r="I64" s="9">
        <v>1</v>
      </c>
      <c r="J64" s="9">
        <v>2</v>
      </c>
      <c r="K64" s="9" t="s">
        <v>12123</v>
      </c>
      <c r="L64" s="9" t="s">
        <v>12119</v>
      </c>
      <c r="M64" s="9"/>
      <c r="N64" s="10"/>
      <c r="O64" s="9"/>
      <c r="P64" s="9">
        <v>526</v>
      </c>
      <c r="Q64" s="9">
        <v>63.205960105743813</v>
      </c>
      <c r="R64" s="9"/>
      <c r="S64" s="9" t="s">
        <v>12795</v>
      </c>
      <c r="T64" s="9" t="s">
        <v>12795</v>
      </c>
      <c r="U64" s="9"/>
      <c r="V64" s="9"/>
      <c r="W64" s="9"/>
      <c r="X64" s="9"/>
      <c r="Y64" s="9"/>
      <c r="Z64" s="9"/>
      <c r="AA64" s="9"/>
      <c r="AB64" s="9"/>
      <c r="AC64" s="9"/>
      <c r="AD64" s="9"/>
    </row>
    <row r="65" spans="1:30" ht="43.5">
      <c r="A65" s="3" t="s">
        <v>838</v>
      </c>
      <c r="B65" s="3" t="s">
        <v>5419</v>
      </c>
      <c r="C65" s="3" t="s">
        <v>5420</v>
      </c>
      <c r="G65" s="9" t="s">
        <v>24</v>
      </c>
      <c r="H65" s="9"/>
      <c r="I65" s="9">
        <v>1</v>
      </c>
      <c r="J65" s="9">
        <v>1</v>
      </c>
      <c r="K65" s="9" t="s">
        <v>12078</v>
      </c>
      <c r="L65" s="9" t="s">
        <v>12119</v>
      </c>
      <c r="M65" s="9"/>
      <c r="N65" s="10"/>
      <c r="O65" s="9"/>
      <c r="P65" s="9">
        <v>11843</v>
      </c>
      <c r="Q65" s="9">
        <v>1423.0954097572699</v>
      </c>
      <c r="R65" s="9"/>
      <c r="S65" s="9" t="s">
        <v>12795</v>
      </c>
      <c r="T65" s="9" t="s">
        <v>12795</v>
      </c>
      <c r="U65" s="9"/>
      <c r="V65" s="9"/>
      <c r="W65" s="9"/>
      <c r="X65" s="9"/>
      <c r="Y65" s="9"/>
      <c r="Z65" s="9"/>
      <c r="AA65" s="9"/>
      <c r="AB65" s="9"/>
      <c r="AC65" s="9"/>
      <c r="AD65" s="9"/>
    </row>
    <row r="66" spans="1:30" ht="29">
      <c r="A66" s="3" t="s">
        <v>838</v>
      </c>
      <c r="B66" s="3" t="s">
        <v>5421</v>
      </c>
      <c r="C66" s="3" t="s">
        <v>5422</v>
      </c>
      <c r="G66" s="9" t="s">
        <v>25</v>
      </c>
      <c r="H66" s="9"/>
      <c r="I66" s="9">
        <v>1</v>
      </c>
      <c r="J66" s="9">
        <v>4</v>
      </c>
      <c r="K66" s="9" t="s">
        <v>12094</v>
      </c>
      <c r="L66" s="9" t="s">
        <v>12079</v>
      </c>
      <c r="M66" s="9"/>
      <c r="N66" s="10"/>
      <c r="O66" s="9"/>
      <c r="P66" s="9">
        <v>4240</v>
      </c>
      <c r="Q66" s="9">
        <v>509.49291035808699</v>
      </c>
      <c r="R66" s="9"/>
      <c r="S66" s="9" t="s">
        <v>12795</v>
      </c>
      <c r="T66" s="9" t="s">
        <v>12795</v>
      </c>
      <c r="U66" s="9"/>
      <c r="V66" s="9"/>
      <c r="W66" s="9"/>
      <c r="X66" s="9"/>
      <c r="Y66" s="9"/>
      <c r="Z66" s="9"/>
      <c r="AA66" s="9"/>
      <c r="AB66" s="9"/>
      <c r="AC66" s="9"/>
      <c r="AD66" s="9"/>
    </row>
    <row r="67" spans="1:30" ht="29">
      <c r="A67" s="3" t="s">
        <v>851</v>
      </c>
      <c r="B67" s="3" t="s">
        <v>5440</v>
      </c>
      <c r="C67" s="3" t="s">
        <v>5439</v>
      </c>
      <c r="G67" s="9" t="s">
        <v>24</v>
      </c>
      <c r="H67" s="9"/>
      <c r="I67" s="9">
        <v>1</v>
      </c>
      <c r="J67" s="9">
        <v>3</v>
      </c>
      <c r="K67" s="9" t="s">
        <v>12094</v>
      </c>
      <c r="L67" s="9" t="s">
        <v>12079</v>
      </c>
      <c r="M67" s="9"/>
      <c r="N67" s="10"/>
      <c r="O67" s="9"/>
      <c r="P67" s="9">
        <v>1496</v>
      </c>
      <c r="Q67" s="9">
        <v>179.76447969238166</v>
      </c>
      <c r="R67" s="9"/>
      <c r="S67" s="9" t="s">
        <v>12795</v>
      </c>
      <c r="T67" s="9" t="s">
        <v>12795</v>
      </c>
      <c r="U67" s="9"/>
      <c r="V67" s="9"/>
      <c r="W67" s="9"/>
      <c r="X67" s="9"/>
      <c r="Y67" s="9"/>
      <c r="Z67" s="9"/>
      <c r="AA67" s="9"/>
      <c r="AB67" s="9"/>
      <c r="AC67" s="9"/>
      <c r="AD67" s="9"/>
    </row>
    <row r="68" spans="1:30" ht="29">
      <c r="A68" s="3" t="s">
        <v>868</v>
      </c>
      <c r="B68" s="3" t="s">
        <v>5459</v>
      </c>
      <c r="C68" s="3" t="s">
        <v>5460</v>
      </c>
      <c r="G68" s="9" t="s">
        <v>25</v>
      </c>
      <c r="H68" s="9"/>
      <c r="I68" s="9">
        <v>1</v>
      </c>
      <c r="J68" s="9">
        <v>1</v>
      </c>
      <c r="K68" s="9" t="s">
        <v>12078</v>
      </c>
      <c r="L68" s="9" t="s">
        <v>12119</v>
      </c>
      <c r="M68" s="9"/>
      <c r="N68" s="10"/>
      <c r="O68" s="9"/>
      <c r="P68" s="9">
        <v>11843</v>
      </c>
      <c r="Q68" s="9">
        <v>1423.0954097572699</v>
      </c>
      <c r="R68" s="9"/>
      <c r="S68" s="9" t="s">
        <v>12795</v>
      </c>
      <c r="T68" s="9" t="s">
        <v>12795</v>
      </c>
      <c r="U68" s="9"/>
      <c r="V68" s="9"/>
      <c r="W68" s="9"/>
      <c r="X68" s="9"/>
      <c r="Y68" s="9"/>
      <c r="Z68" s="9"/>
      <c r="AA68" s="9"/>
      <c r="AB68" s="9"/>
      <c r="AC68" s="9"/>
      <c r="AD68" s="9"/>
    </row>
    <row r="69" spans="1:30" ht="58">
      <c r="A69" s="3" t="s">
        <v>876</v>
      </c>
      <c r="B69" s="3" t="s">
        <v>5465</v>
      </c>
      <c r="C69" s="3" t="s">
        <v>5466</v>
      </c>
      <c r="G69" s="9" t="s">
        <v>24</v>
      </c>
      <c r="H69" s="9"/>
      <c r="I69" s="9">
        <v>1</v>
      </c>
      <c r="J69" s="9">
        <v>2</v>
      </c>
      <c r="K69" s="9" t="s">
        <v>12078</v>
      </c>
      <c r="L69" s="9" t="s">
        <v>12119</v>
      </c>
      <c r="M69" s="9"/>
      <c r="N69" s="10"/>
      <c r="O69" s="9"/>
      <c r="P69" s="9">
        <v>11843</v>
      </c>
      <c r="Q69" s="9">
        <v>1423.0954097572699</v>
      </c>
      <c r="R69" s="9"/>
      <c r="S69" s="9" t="s">
        <v>12795</v>
      </c>
      <c r="T69" s="9" t="s">
        <v>12795</v>
      </c>
      <c r="U69" s="9"/>
      <c r="V69" s="9"/>
      <c r="W69" s="9"/>
      <c r="X69" s="9"/>
      <c r="Y69" s="9"/>
      <c r="Z69" s="9"/>
      <c r="AA69" s="9"/>
      <c r="AB69" s="9"/>
      <c r="AC69" s="9"/>
      <c r="AD69" s="9"/>
    </row>
    <row r="70" spans="1:30" ht="29">
      <c r="A70" s="3" t="s">
        <v>895</v>
      </c>
      <c r="B70" s="3" t="s">
        <v>5488</v>
      </c>
      <c r="C70" s="3" t="s">
        <v>5489</v>
      </c>
      <c r="G70" s="9" t="s">
        <v>24</v>
      </c>
      <c r="H70" s="9"/>
      <c r="I70" s="9">
        <v>1</v>
      </c>
      <c r="J70" s="9">
        <v>3</v>
      </c>
      <c r="K70" s="9" t="s">
        <v>12078</v>
      </c>
      <c r="L70" s="9" t="s">
        <v>12079</v>
      </c>
      <c r="M70" s="9"/>
      <c r="N70" s="10"/>
      <c r="O70" s="9"/>
      <c r="P70" s="9">
        <v>11843</v>
      </c>
      <c r="Q70" s="9">
        <v>1423.0954097572699</v>
      </c>
      <c r="R70" s="9"/>
      <c r="S70" s="9" t="s">
        <v>12795</v>
      </c>
      <c r="T70" s="9" t="s">
        <v>12795</v>
      </c>
      <c r="U70" s="9" t="s">
        <v>12117</v>
      </c>
      <c r="V70" s="9"/>
      <c r="W70" s="9"/>
      <c r="X70" s="9"/>
      <c r="Y70" s="9"/>
      <c r="Z70" s="9"/>
      <c r="AA70" s="9"/>
      <c r="AB70" s="9"/>
      <c r="AC70" s="9"/>
      <c r="AD70" s="9"/>
    </row>
    <row r="71" spans="1:30" ht="29">
      <c r="A71" s="3" t="s">
        <v>899</v>
      </c>
      <c r="B71" s="3" t="s">
        <v>5490</v>
      </c>
      <c r="C71" s="3" t="s">
        <v>5491</v>
      </c>
      <c r="G71" s="9" t="s">
        <v>25</v>
      </c>
      <c r="H71" s="9"/>
      <c r="I71" s="9">
        <v>1</v>
      </c>
      <c r="J71" s="9">
        <v>2</v>
      </c>
      <c r="K71" s="9" t="s">
        <v>12087</v>
      </c>
      <c r="L71" s="9" t="s">
        <v>12119</v>
      </c>
      <c r="M71" s="9"/>
      <c r="N71" s="10"/>
      <c r="O71" s="9"/>
      <c r="P71" s="9">
        <v>1966</v>
      </c>
      <c r="Q71" s="9">
        <v>236.24128815188658</v>
      </c>
      <c r="R71" s="9"/>
      <c r="S71" s="9" t="s">
        <v>12795</v>
      </c>
      <c r="T71" s="9" t="s">
        <v>12795</v>
      </c>
      <c r="U71" s="9"/>
      <c r="V71" s="9"/>
      <c r="W71" s="9"/>
      <c r="X71" s="9"/>
      <c r="Y71" s="9"/>
      <c r="Z71" s="9"/>
      <c r="AA71" s="9"/>
      <c r="AB71" s="9"/>
      <c r="AC71" s="9"/>
      <c r="AD71" s="9"/>
    </row>
    <row r="72" spans="1:30" ht="43.5">
      <c r="A72" s="3" t="s">
        <v>904</v>
      </c>
      <c r="B72" s="3" t="s">
        <v>5494</v>
      </c>
      <c r="C72" s="3" t="s">
        <v>12846</v>
      </c>
      <c r="G72" s="9" t="s">
        <v>24</v>
      </c>
      <c r="H72" s="9"/>
      <c r="I72" s="9">
        <v>1</v>
      </c>
      <c r="J72" s="9">
        <v>3</v>
      </c>
      <c r="K72" s="9" t="s">
        <v>12087</v>
      </c>
      <c r="L72" s="9" t="s">
        <v>12079</v>
      </c>
      <c r="M72" s="9"/>
      <c r="N72" s="10"/>
      <c r="O72" s="9"/>
      <c r="P72" s="9">
        <v>5776</v>
      </c>
      <c r="Q72" s="9">
        <v>694.06392694063925</v>
      </c>
      <c r="R72" s="9"/>
      <c r="S72" s="9"/>
      <c r="T72" s="9"/>
      <c r="U72" s="9"/>
      <c r="V72" s="9"/>
      <c r="W72" s="9"/>
      <c r="X72" s="9"/>
      <c r="Y72" s="9"/>
      <c r="Z72" s="9"/>
      <c r="AA72" s="9"/>
      <c r="AB72" s="9"/>
      <c r="AC72" s="9"/>
      <c r="AD72" s="9"/>
    </row>
    <row r="73" spans="1:30" ht="145">
      <c r="A73" s="3" t="s">
        <v>919</v>
      </c>
      <c r="B73" s="3" t="s">
        <v>5508</v>
      </c>
      <c r="C73" s="3" t="s">
        <v>5509</v>
      </c>
      <c r="G73" s="9" t="s">
        <v>25</v>
      </c>
      <c r="H73" s="9"/>
      <c r="I73" s="9">
        <v>1</v>
      </c>
      <c r="J73" s="9">
        <v>4</v>
      </c>
      <c r="K73" s="9" t="s">
        <v>12094</v>
      </c>
      <c r="L73" s="9" t="s">
        <v>12079</v>
      </c>
      <c r="M73" s="9"/>
      <c r="N73" s="10"/>
      <c r="O73" s="9"/>
      <c r="P73" s="9">
        <v>50</v>
      </c>
      <c r="Q73" s="9">
        <v>6.0081711127132902</v>
      </c>
      <c r="R73" s="9"/>
      <c r="S73" s="9" t="s">
        <v>12795</v>
      </c>
      <c r="T73" s="9" t="s">
        <v>12795</v>
      </c>
      <c r="U73" s="9"/>
      <c r="V73" s="9"/>
      <c r="W73" s="9"/>
      <c r="X73" s="9"/>
      <c r="Y73" s="9"/>
      <c r="Z73" s="9"/>
      <c r="AA73" s="9"/>
      <c r="AB73" s="9"/>
      <c r="AC73" s="9"/>
      <c r="AD73" s="9"/>
    </row>
    <row r="74" spans="1:30" ht="72.5">
      <c r="A74" s="3" t="s">
        <v>929</v>
      </c>
      <c r="B74" s="3" t="s">
        <v>5528</v>
      </c>
      <c r="C74" s="3" t="s">
        <v>5527</v>
      </c>
      <c r="G74" s="9" t="s">
        <v>25</v>
      </c>
      <c r="H74" s="9"/>
      <c r="I74" s="9">
        <v>1</v>
      </c>
      <c r="J74" s="9">
        <v>2</v>
      </c>
      <c r="K74" s="9" t="s">
        <v>12078</v>
      </c>
      <c r="L74" s="9" t="s">
        <v>12119</v>
      </c>
      <c r="M74" s="9"/>
      <c r="N74" s="10"/>
      <c r="O74" s="9"/>
      <c r="P74" s="9">
        <v>11843</v>
      </c>
      <c r="Q74" s="9">
        <v>1423.0954097572699</v>
      </c>
      <c r="R74" s="9"/>
      <c r="S74" s="9" t="s">
        <v>12795</v>
      </c>
      <c r="T74" s="9" t="s">
        <v>12795</v>
      </c>
      <c r="U74" s="9"/>
      <c r="V74" s="9"/>
      <c r="W74" s="9"/>
      <c r="X74" s="9"/>
      <c r="Y74" s="9"/>
      <c r="Z74" s="9"/>
      <c r="AA74" s="9"/>
      <c r="AB74" s="9"/>
      <c r="AC74" s="9"/>
      <c r="AD74" s="9"/>
    </row>
    <row r="75" spans="1:30" ht="43.5">
      <c r="A75" s="3" t="s">
        <v>940</v>
      </c>
      <c r="B75" s="3" t="s">
        <v>5538</v>
      </c>
      <c r="C75" s="3" t="s">
        <v>5539</v>
      </c>
      <c r="G75" s="9" t="s">
        <v>25</v>
      </c>
      <c r="H75" s="9"/>
      <c r="I75" s="9">
        <v>1</v>
      </c>
      <c r="J75" s="9">
        <v>3</v>
      </c>
      <c r="K75" s="9" t="s">
        <v>12087</v>
      </c>
      <c r="L75" s="9" t="s">
        <v>12079</v>
      </c>
      <c r="M75" s="9"/>
      <c r="N75" s="10"/>
      <c r="O75" s="9"/>
      <c r="P75" s="9">
        <v>5676</v>
      </c>
      <c r="Q75" s="9">
        <v>682.04758471521268</v>
      </c>
      <c r="R75" s="9"/>
      <c r="S75" s="9" t="s">
        <v>12795</v>
      </c>
      <c r="T75" s="9" t="s">
        <v>12795</v>
      </c>
      <c r="U75" s="9"/>
      <c r="V75" s="9"/>
      <c r="W75" s="9"/>
      <c r="X75" s="9"/>
      <c r="Y75" s="9"/>
      <c r="Z75" s="9"/>
      <c r="AA75" s="9"/>
      <c r="AB75" s="9"/>
      <c r="AC75" s="9"/>
      <c r="AD75" s="9"/>
    </row>
    <row r="76" spans="1:30" ht="58">
      <c r="A76" s="3" t="s">
        <v>940</v>
      </c>
      <c r="B76" s="3" t="s">
        <v>5540</v>
      </c>
      <c r="C76" s="3" t="s">
        <v>5541</v>
      </c>
      <c r="G76" s="9" t="s">
        <v>25</v>
      </c>
      <c r="H76" s="9"/>
      <c r="I76" s="9">
        <v>1</v>
      </c>
      <c r="J76" s="9">
        <v>2</v>
      </c>
      <c r="K76" s="9" t="s">
        <v>12096</v>
      </c>
      <c r="L76" s="9" t="s">
        <v>12119</v>
      </c>
      <c r="M76" s="9"/>
      <c r="N76" s="10"/>
      <c r="O76" s="9"/>
      <c r="P76" s="9">
        <v>560</v>
      </c>
      <c r="Q76" s="9">
        <v>67.291516462388842</v>
      </c>
      <c r="R76" s="9"/>
      <c r="S76" s="9" t="s">
        <v>12795</v>
      </c>
      <c r="T76" s="9" t="s">
        <v>12795</v>
      </c>
      <c r="U76" s="9"/>
      <c r="V76" s="9"/>
      <c r="W76" s="9"/>
      <c r="X76" s="9"/>
      <c r="Y76" s="9"/>
      <c r="Z76" s="9"/>
      <c r="AA76" s="9"/>
      <c r="AB76" s="9"/>
      <c r="AC76" s="9"/>
      <c r="AD76" s="9"/>
    </row>
    <row r="77" spans="1:30" ht="72.5">
      <c r="A77" s="3" t="s">
        <v>949</v>
      </c>
      <c r="B77" s="3" t="s">
        <v>5561</v>
      </c>
      <c r="C77" s="3" t="s">
        <v>5562</v>
      </c>
      <c r="G77" s="9" t="s">
        <v>24</v>
      </c>
      <c r="H77" s="9"/>
      <c r="I77" s="9">
        <v>1</v>
      </c>
      <c r="J77" s="9">
        <v>3</v>
      </c>
      <c r="K77" s="9" t="s">
        <v>12087</v>
      </c>
      <c r="L77" s="9" t="s">
        <v>12079</v>
      </c>
      <c r="M77" s="9"/>
      <c r="N77" s="10"/>
      <c r="O77" s="9"/>
      <c r="P77" s="9">
        <v>810</v>
      </c>
      <c r="Q77" s="9">
        <v>97.332372025955294</v>
      </c>
      <c r="R77" s="9"/>
      <c r="S77" s="9" t="s">
        <v>12795</v>
      </c>
      <c r="T77" s="9" t="s">
        <v>12795</v>
      </c>
      <c r="U77" s="9"/>
      <c r="V77" s="9"/>
      <c r="W77" s="9"/>
      <c r="X77" s="9"/>
      <c r="Y77" s="9"/>
      <c r="Z77" s="9"/>
      <c r="AA77" s="9"/>
      <c r="AB77" s="9"/>
      <c r="AC77" s="9"/>
      <c r="AD77" s="9"/>
    </row>
    <row r="78" spans="1:30" ht="72.5">
      <c r="A78" s="3" t="s">
        <v>949</v>
      </c>
      <c r="B78" s="3" t="s">
        <v>5561</v>
      </c>
      <c r="C78" s="3" t="s">
        <v>5563</v>
      </c>
      <c r="G78" s="9" t="s">
        <v>24</v>
      </c>
      <c r="H78" s="9"/>
      <c r="I78" s="9">
        <v>1</v>
      </c>
      <c r="J78" s="9">
        <v>3</v>
      </c>
      <c r="K78" s="9" t="s">
        <v>12078</v>
      </c>
      <c r="L78" s="9" t="s">
        <v>12079</v>
      </c>
      <c r="M78" s="9"/>
      <c r="N78" s="10"/>
      <c r="O78" s="9"/>
      <c r="P78" s="9">
        <v>11843</v>
      </c>
      <c r="Q78" s="9">
        <v>1423.0954097572699</v>
      </c>
      <c r="R78" s="9"/>
      <c r="S78" s="9" t="s">
        <v>12795</v>
      </c>
      <c r="T78" s="9" t="s">
        <v>12795</v>
      </c>
      <c r="U78" s="9"/>
      <c r="V78" s="9"/>
      <c r="W78" s="9"/>
      <c r="X78" s="9"/>
      <c r="Y78" s="9"/>
      <c r="Z78" s="9"/>
      <c r="AA78" s="9"/>
      <c r="AB78" s="9"/>
      <c r="AC78" s="9"/>
      <c r="AD78" s="9"/>
    </row>
    <row r="79" spans="1:30" ht="29">
      <c r="A79" s="3" t="s">
        <v>961</v>
      </c>
      <c r="B79" s="3" t="s">
        <v>5568</v>
      </c>
      <c r="C79" s="3" t="s">
        <v>5569</v>
      </c>
      <c r="G79" s="9" t="s">
        <v>24</v>
      </c>
      <c r="H79" s="9"/>
      <c r="I79" s="9">
        <v>1</v>
      </c>
      <c r="J79" s="9">
        <v>2</v>
      </c>
      <c r="K79" s="9" t="s">
        <v>12123</v>
      </c>
      <c r="L79" s="9" t="s">
        <v>12119</v>
      </c>
      <c r="M79" s="9"/>
      <c r="N79" s="10"/>
      <c r="O79" s="9"/>
      <c r="P79" s="9">
        <v>134</v>
      </c>
      <c r="Q79" s="9">
        <v>16.101898582071616</v>
      </c>
      <c r="R79" s="9"/>
      <c r="S79" s="9" t="s">
        <v>12795</v>
      </c>
      <c r="T79" s="9" t="s">
        <v>12795</v>
      </c>
      <c r="U79" s="9"/>
      <c r="V79" s="9"/>
      <c r="W79" s="9"/>
      <c r="X79" s="9"/>
      <c r="Y79" s="9"/>
      <c r="Z79" s="9"/>
      <c r="AA79" s="9"/>
      <c r="AB79" s="9"/>
      <c r="AC79" s="9"/>
      <c r="AD79" s="9"/>
    </row>
    <row r="80" spans="1:30" ht="58">
      <c r="A80" s="3" t="s">
        <v>967</v>
      </c>
      <c r="B80" s="3" t="s">
        <v>5575</v>
      </c>
      <c r="C80" s="3" t="s">
        <v>5576</v>
      </c>
      <c r="G80" s="9" t="s">
        <v>24</v>
      </c>
      <c r="H80" s="9"/>
      <c r="I80" s="9">
        <v>1</v>
      </c>
      <c r="J80" s="9">
        <v>3</v>
      </c>
      <c r="K80" s="9" t="s">
        <v>12087</v>
      </c>
      <c r="L80" s="9" t="s">
        <v>12079</v>
      </c>
      <c r="M80" s="9"/>
      <c r="N80" s="10"/>
      <c r="O80" s="9"/>
      <c r="P80" s="9">
        <v>356</v>
      </c>
      <c r="Q80" s="9">
        <v>42.778178322518627</v>
      </c>
      <c r="R80" s="9"/>
      <c r="S80" s="9" t="s">
        <v>12795</v>
      </c>
      <c r="T80" s="9" t="s">
        <v>12795</v>
      </c>
      <c r="U80" s="9"/>
      <c r="V80" s="9"/>
      <c r="W80" s="9"/>
      <c r="X80" s="9"/>
      <c r="Y80" s="9"/>
      <c r="Z80" s="9"/>
      <c r="AA80" s="9"/>
      <c r="AB80" s="9"/>
      <c r="AC80" s="9"/>
      <c r="AD80" s="9"/>
    </row>
    <row r="81" spans="1:30" ht="58">
      <c r="A81" s="3" t="s">
        <v>971</v>
      </c>
      <c r="B81" s="3" t="s">
        <v>5579</v>
      </c>
      <c r="C81" s="3" t="s">
        <v>5582</v>
      </c>
      <c r="G81" s="9" t="s">
        <v>24</v>
      </c>
      <c r="H81" s="9"/>
      <c r="I81" s="9">
        <v>1</v>
      </c>
      <c r="J81" s="9">
        <v>3</v>
      </c>
      <c r="K81" s="9" t="s">
        <v>12094</v>
      </c>
      <c r="L81" s="9" t="s">
        <v>12079</v>
      </c>
      <c r="M81" s="9"/>
      <c r="N81" s="10"/>
      <c r="O81" s="9"/>
      <c r="P81" s="9">
        <v>1496</v>
      </c>
      <c r="Q81" s="9">
        <v>179.76447969238166</v>
      </c>
      <c r="R81" s="9"/>
      <c r="S81" s="9" t="s">
        <v>12795</v>
      </c>
      <c r="T81" s="9" t="s">
        <v>12795</v>
      </c>
      <c r="U81" s="9"/>
      <c r="V81" s="9"/>
      <c r="W81" s="9"/>
      <c r="X81" s="9"/>
      <c r="Y81" s="9"/>
      <c r="Z81" s="9"/>
      <c r="AA81" s="9"/>
      <c r="AB81" s="9"/>
      <c r="AC81" s="9"/>
      <c r="AD81" s="9"/>
    </row>
    <row r="82" spans="1:30" ht="43.5">
      <c r="A82" s="3" t="s">
        <v>973</v>
      </c>
      <c r="B82" s="3" t="s">
        <v>5586</v>
      </c>
      <c r="C82" s="3" t="s">
        <v>5587</v>
      </c>
      <c r="G82" s="9" t="s">
        <v>25</v>
      </c>
      <c r="H82" s="9"/>
      <c r="I82" s="9">
        <v>1</v>
      </c>
      <c r="J82" s="9">
        <v>2</v>
      </c>
      <c r="K82" s="9" t="s">
        <v>12087</v>
      </c>
      <c r="L82" s="9" t="s">
        <v>12119</v>
      </c>
      <c r="M82" s="9"/>
      <c r="N82" s="10"/>
      <c r="O82" s="9"/>
      <c r="P82" s="9">
        <v>1966</v>
      </c>
      <c r="Q82" s="9">
        <v>236.24128815188658</v>
      </c>
      <c r="R82" s="9"/>
      <c r="S82" s="9" t="s">
        <v>12795</v>
      </c>
      <c r="T82" s="9" t="s">
        <v>12795</v>
      </c>
      <c r="U82" s="9"/>
      <c r="V82" s="9"/>
      <c r="W82" s="9"/>
      <c r="X82" s="9"/>
      <c r="Y82" s="9"/>
      <c r="Z82" s="9"/>
      <c r="AA82" s="9"/>
      <c r="AB82" s="9"/>
      <c r="AC82" s="9"/>
      <c r="AD82" s="9"/>
    </row>
    <row r="83" spans="1:30" ht="58">
      <c r="A83" s="3" t="s">
        <v>1006</v>
      </c>
      <c r="B83" s="3" t="s">
        <v>5610</v>
      </c>
      <c r="C83" s="3" t="s">
        <v>5611</v>
      </c>
      <c r="G83" s="9" t="s">
        <v>24</v>
      </c>
      <c r="H83" s="9"/>
      <c r="I83" s="9">
        <v>1</v>
      </c>
      <c r="J83" s="9">
        <v>3</v>
      </c>
      <c r="K83" s="9" t="s">
        <v>12087</v>
      </c>
      <c r="L83" s="9" t="s">
        <v>12079</v>
      </c>
      <c r="M83" s="9"/>
      <c r="N83" s="10"/>
      <c r="O83" s="9"/>
      <c r="P83" s="9">
        <v>5676</v>
      </c>
      <c r="Q83" s="9">
        <v>682.04758471521268</v>
      </c>
      <c r="R83" s="9"/>
      <c r="S83" s="9" t="s">
        <v>12795</v>
      </c>
      <c r="T83" s="9" t="s">
        <v>12795</v>
      </c>
      <c r="U83" s="9"/>
      <c r="V83" s="9"/>
      <c r="W83" s="9"/>
      <c r="X83" s="9"/>
      <c r="Y83" s="9"/>
      <c r="Z83" s="9"/>
      <c r="AA83" s="9"/>
      <c r="AB83" s="9"/>
      <c r="AC83" s="9"/>
      <c r="AD83" s="9"/>
    </row>
    <row r="84" spans="1:30" ht="29">
      <c r="A84" s="3" t="s">
        <v>1032</v>
      </c>
      <c r="B84" s="3" t="s">
        <v>5624</v>
      </c>
      <c r="C84" s="3" t="s">
        <v>5625</v>
      </c>
      <c r="G84" s="9" t="s">
        <v>25</v>
      </c>
      <c r="H84" s="9"/>
      <c r="I84" s="9">
        <v>1</v>
      </c>
      <c r="J84" s="9">
        <v>1</v>
      </c>
      <c r="K84" s="9" t="s">
        <v>12078</v>
      </c>
      <c r="L84" s="9" t="s">
        <v>12119</v>
      </c>
      <c r="M84" s="9"/>
      <c r="N84" s="10"/>
      <c r="O84" s="9"/>
      <c r="P84" s="9">
        <v>11843</v>
      </c>
      <c r="Q84" s="9">
        <v>1423.0954097572699</v>
      </c>
      <c r="R84" s="9"/>
      <c r="S84" s="9" t="s">
        <v>12795</v>
      </c>
      <c r="T84" s="9" t="s">
        <v>12795</v>
      </c>
      <c r="U84" s="9"/>
      <c r="V84" s="9"/>
      <c r="W84" s="9"/>
      <c r="X84" s="9"/>
      <c r="Y84" s="9"/>
      <c r="Z84" s="9"/>
      <c r="AA84" s="9"/>
      <c r="AB84" s="9"/>
      <c r="AC84" s="9"/>
      <c r="AD84" s="9"/>
    </row>
    <row r="85" spans="1:30" ht="43.5">
      <c r="A85" s="3" t="s">
        <v>1037</v>
      </c>
      <c r="B85" s="3" t="s">
        <v>5635</v>
      </c>
      <c r="C85" s="3" t="s">
        <v>5636</v>
      </c>
      <c r="G85" s="9" t="s">
        <v>25</v>
      </c>
      <c r="H85" s="9"/>
      <c r="I85" s="9">
        <v>1</v>
      </c>
      <c r="J85" s="9">
        <v>4</v>
      </c>
      <c r="K85" s="9" t="s">
        <v>12078</v>
      </c>
      <c r="L85" s="9" t="s">
        <v>12073</v>
      </c>
      <c r="M85" s="9" t="s">
        <v>12149</v>
      </c>
      <c r="N85" s="10" t="s">
        <v>12143</v>
      </c>
      <c r="O85" s="9"/>
      <c r="P85" s="9">
        <v>11843</v>
      </c>
      <c r="Q85" s="9">
        <v>1423.0954097572699</v>
      </c>
      <c r="R85" s="9"/>
      <c r="S85" s="9" t="s">
        <v>12795</v>
      </c>
      <c r="T85" s="9" t="s">
        <v>12795</v>
      </c>
      <c r="U85" s="9"/>
      <c r="V85" s="9"/>
      <c r="W85" s="9"/>
      <c r="X85" s="9"/>
      <c r="Y85" s="9"/>
      <c r="Z85" s="9"/>
      <c r="AA85" s="9"/>
      <c r="AB85" s="9"/>
      <c r="AC85" s="9"/>
      <c r="AD85" s="9"/>
    </row>
    <row r="86" spans="1:30" ht="29">
      <c r="A86" s="3" t="s">
        <v>1039</v>
      </c>
      <c r="B86" s="3" t="s">
        <v>5637</v>
      </c>
      <c r="C86" s="3" t="s">
        <v>5638</v>
      </c>
      <c r="G86" s="9" t="s">
        <v>24</v>
      </c>
      <c r="H86" s="9"/>
      <c r="I86" s="9">
        <v>1</v>
      </c>
      <c r="J86" s="9">
        <v>4</v>
      </c>
      <c r="K86" s="9" t="s">
        <v>12078</v>
      </c>
      <c r="L86" s="9" t="s">
        <v>12073</v>
      </c>
      <c r="M86" s="9" t="s">
        <v>12149</v>
      </c>
      <c r="N86" s="10" t="s">
        <v>12143</v>
      </c>
      <c r="O86" s="9"/>
      <c r="P86" s="9">
        <v>11843</v>
      </c>
      <c r="Q86" s="9">
        <v>1423.0954097572699</v>
      </c>
      <c r="R86" s="9"/>
      <c r="S86" s="9" t="s">
        <v>12795</v>
      </c>
      <c r="T86" s="9" t="s">
        <v>12795</v>
      </c>
      <c r="U86" s="9"/>
      <c r="V86" s="9"/>
      <c r="W86" s="9"/>
      <c r="X86" s="9"/>
      <c r="Y86" s="9"/>
      <c r="Z86" s="9"/>
      <c r="AA86" s="9"/>
      <c r="AB86" s="9"/>
      <c r="AC86" s="9"/>
      <c r="AD86" s="9"/>
    </row>
    <row r="87" spans="1:30" ht="43.5">
      <c r="A87" s="3" t="s">
        <v>1081</v>
      </c>
      <c r="B87" s="3" t="s">
        <v>5661</v>
      </c>
      <c r="C87" s="3" t="s">
        <v>5662</v>
      </c>
      <c r="G87" s="9" t="s">
        <v>24</v>
      </c>
      <c r="H87" s="9"/>
      <c r="I87" s="9">
        <v>1</v>
      </c>
      <c r="J87" s="9">
        <v>1</v>
      </c>
      <c r="K87" s="9" t="s">
        <v>12078</v>
      </c>
      <c r="L87" s="9" t="s">
        <v>12119</v>
      </c>
      <c r="M87" s="9"/>
      <c r="N87" s="10"/>
      <c r="O87" s="9"/>
      <c r="P87" s="9">
        <v>11843</v>
      </c>
      <c r="Q87" s="9">
        <v>1423.0954097572699</v>
      </c>
      <c r="R87" s="9"/>
      <c r="S87" s="9" t="s">
        <v>12795</v>
      </c>
      <c r="T87" s="9" t="s">
        <v>12795</v>
      </c>
      <c r="U87" s="9"/>
      <c r="V87" s="9"/>
      <c r="W87" s="9"/>
      <c r="X87" s="9"/>
      <c r="Y87" s="9"/>
      <c r="Z87" s="9"/>
      <c r="AA87" s="9"/>
      <c r="AB87" s="9"/>
      <c r="AC87" s="9"/>
      <c r="AD87" s="9"/>
    </row>
    <row r="88" spans="1:30" ht="29">
      <c r="A88" s="3" t="s">
        <v>1082</v>
      </c>
      <c r="B88" s="3" t="s">
        <v>5663</v>
      </c>
      <c r="C88" s="3" t="s">
        <v>5664</v>
      </c>
      <c r="G88" s="9" t="s">
        <v>25</v>
      </c>
      <c r="H88" s="9"/>
      <c r="I88" s="9">
        <v>1</v>
      </c>
      <c r="J88" s="9">
        <v>3</v>
      </c>
      <c r="K88" s="9" t="s">
        <v>12087</v>
      </c>
      <c r="L88" s="9" t="s">
        <v>12079</v>
      </c>
      <c r="M88" s="9"/>
      <c r="N88" s="10"/>
      <c r="O88" s="9"/>
      <c r="P88" s="9">
        <v>810</v>
      </c>
      <c r="Q88" s="9">
        <v>97.332372025955294</v>
      </c>
      <c r="R88" s="9"/>
      <c r="S88" s="9" t="s">
        <v>12795</v>
      </c>
      <c r="T88" s="9" t="s">
        <v>12795</v>
      </c>
      <c r="U88" s="9"/>
      <c r="V88" s="9"/>
      <c r="W88" s="9"/>
      <c r="X88" s="9"/>
      <c r="Y88" s="9"/>
      <c r="Z88" s="9"/>
      <c r="AA88" s="9"/>
      <c r="AB88" s="9"/>
      <c r="AC88" s="9"/>
      <c r="AD88" s="9"/>
    </row>
    <row r="89" spans="1:30" ht="29">
      <c r="A89" s="3" t="s">
        <v>1083</v>
      </c>
      <c r="B89" s="3" t="s">
        <v>5663</v>
      </c>
      <c r="C89" s="3" t="s">
        <v>5664</v>
      </c>
      <c r="G89" s="9" t="s">
        <v>25</v>
      </c>
      <c r="H89" s="9"/>
      <c r="I89" s="9">
        <v>1</v>
      </c>
      <c r="J89" s="9">
        <v>3</v>
      </c>
      <c r="K89" s="9" t="s">
        <v>12087</v>
      </c>
      <c r="L89" s="9" t="s">
        <v>12079</v>
      </c>
      <c r="M89" s="9"/>
      <c r="N89" s="10"/>
      <c r="O89" s="9"/>
      <c r="P89" s="9">
        <v>810</v>
      </c>
      <c r="Q89" s="9">
        <v>97.332372025955294</v>
      </c>
      <c r="R89" s="9"/>
      <c r="S89" s="9" t="s">
        <v>12795</v>
      </c>
      <c r="T89" s="9" t="s">
        <v>12795</v>
      </c>
      <c r="U89" s="9"/>
      <c r="V89" s="9"/>
      <c r="W89" s="9"/>
      <c r="X89" s="9"/>
      <c r="Y89" s="9"/>
      <c r="Z89" s="9"/>
      <c r="AA89" s="9"/>
      <c r="AB89" s="9"/>
      <c r="AC89" s="9"/>
      <c r="AD89" s="9"/>
    </row>
    <row r="90" spans="1:30" ht="43.5">
      <c r="A90" s="3" t="s">
        <v>1084</v>
      </c>
      <c r="B90" s="3" t="s">
        <v>5665</v>
      </c>
      <c r="C90" s="3" t="s">
        <v>5666</v>
      </c>
      <c r="G90" s="9" t="s">
        <v>24</v>
      </c>
      <c r="H90" s="9"/>
      <c r="I90" s="9">
        <v>1</v>
      </c>
      <c r="J90" s="9">
        <v>2</v>
      </c>
      <c r="K90" s="9" t="s">
        <v>12094</v>
      </c>
      <c r="L90" s="9" t="s">
        <v>12119</v>
      </c>
      <c r="M90" s="9"/>
      <c r="N90" s="10"/>
      <c r="O90" s="9" t="s">
        <v>12074</v>
      </c>
      <c r="P90" s="9">
        <v>412</v>
      </c>
      <c r="Q90" s="9">
        <v>49.507329968757517</v>
      </c>
      <c r="R90" s="9"/>
      <c r="S90" s="9" t="s">
        <v>12795</v>
      </c>
      <c r="T90" s="9" t="s">
        <v>12795</v>
      </c>
      <c r="U90" s="9"/>
      <c r="V90" s="9"/>
      <c r="W90" s="9"/>
      <c r="X90" s="9"/>
      <c r="Y90" s="9"/>
      <c r="Z90" s="9"/>
      <c r="AA90" s="9"/>
      <c r="AB90" s="9"/>
      <c r="AC90" s="9"/>
      <c r="AD90" s="9"/>
    </row>
    <row r="91" spans="1:30" ht="43.5">
      <c r="A91" s="3" t="s">
        <v>1085</v>
      </c>
      <c r="B91" s="3" t="s">
        <v>5668</v>
      </c>
      <c r="C91" s="3" t="s">
        <v>5667</v>
      </c>
      <c r="G91" s="9" t="s">
        <v>24</v>
      </c>
      <c r="H91" s="9"/>
      <c r="I91" s="9">
        <v>1</v>
      </c>
      <c r="J91" s="9">
        <v>3</v>
      </c>
      <c r="K91" s="9" t="s">
        <v>12078</v>
      </c>
      <c r="L91" s="9" t="s">
        <v>12079</v>
      </c>
      <c r="M91" s="9"/>
      <c r="N91" s="10"/>
      <c r="O91" s="9"/>
      <c r="P91" s="9">
        <v>11843</v>
      </c>
      <c r="Q91" s="9">
        <v>1423.0954097572699</v>
      </c>
      <c r="R91" s="9"/>
      <c r="S91" s="9" t="s">
        <v>12795</v>
      </c>
      <c r="T91" s="9" t="s">
        <v>12795</v>
      </c>
      <c r="U91" s="9"/>
      <c r="V91" s="9"/>
      <c r="W91" s="9"/>
      <c r="X91" s="9"/>
      <c r="Y91" s="9"/>
      <c r="Z91" s="9"/>
      <c r="AA91" s="9"/>
      <c r="AB91" s="9"/>
      <c r="AC91" s="9"/>
      <c r="AD91" s="9"/>
    </row>
    <row r="92" spans="1:30" ht="29">
      <c r="A92" s="3" t="s">
        <v>1096</v>
      </c>
      <c r="B92" s="3" t="s">
        <v>5677</v>
      </c>
      <c r="C92" s="3" t="s">
        <v>5680</v>
      </c>
      <c r="G92" s="9" t="s">
        <v>24</v>
      </c>
      <c r="H92" s="9"/>
      <c r="I92" s="9">
        <v>1</v>
      </c>
      <c r="J92" s="9">
        <v>2</v>
      </c>
      <c r="K92" s="9" t="s">
        <v>12078</v>
      </c>
      <c r="L92" s="9" t="s">
        <v>12119</v>
      </c>
      <c r="M92" s="9"/>
      <c r="N92" s="10"/>
      <c r="O92" s="9"/>
      <c r="P92" s="9">
        <v>11843</v>
      </c>
      <c r="Q92" s="9">
        <v>1423.0954097572699</v>
      </c>
      <c r="R92" s="9"/>
      <c r="S92" s="9" t="s">
        <v>12795</v>
      </c>
      <c r="T92" s="9" t="s">
        <v>12795</v>
      </c>
      <c r="U92" s="9"/>
      <c r="V92" s="9"/>
      <c r="W92" s="9"/>
      <c r="X92" s="9"/>
      <c r="Y92" s="9"/>
      <c r="Z92" s="9"/>
      <c r="AA92" s="9"/>
      <c r="AB92" s="9"/>
      <c r="AC92" s="9"/>
      <c r="AD92" s="9"/>
    </row>
    <row r="93" spans="1:30" ht="29">
      <c r="A93" s="3" t="s">
        <v>1100</v>
      </c>
      <c r="B93" s="3" t="s">
        <v>5681</v>
      </c>
      <c r="C93" s="3" t="s">
        <v>5682</v>
      </c>
      <c r="G93" s="9" t="s">
        <v>25</v>
      </c>
      <c r="H93" s="9"/>
      <c r="I93" s="9">
        <v>1</v>
      </c>
      <c r="J93" s="9">
        <v>2</v>
      </c>
      <c r="K93" s="9" t="s">
        <v>12087</v>
      </c>
      <c r="L93" s="9" t="s">
        <v>12119</v>
      </c>
      <c r="M93" s="9"/>
      <c r="N93" s="10"/>
      <c r="O93" s="9"/>
      <c r="P93" s="9">
        <v>1966</v>
      </c>
      <c r="Q93" s="9">
        <v>236.24128815188658</v>
      </c>
      <c r="R93" s="9"/>
      <c r="S93" s="9" t="s">
        <v>12795</v>
      </c>
      <c r="T93" s="9" t="s">
        <v>12795</v>
      </c>
      <c r="U93" s="9"/>
      <c r="V93" s="9"/>
      <c r="W93" s="9"/>
      <c r="X93" s="9"/>
      <c r="Y93" s="9"/>
      <c r="Z93" s="9"/>
      <c r="AA93" s="9"/>
      <c r="AB93" s="9"/>
      <c r="AC93" s="9"/>
      <c r="AD93" s="9"/>
    </row>
    <row r="94" spans="1:30" ht="58">
      <c r="A94" s="3" t="s">
        <v>1106</v>
      </c>
      <c r="B94" s="3" t="s">
        <v>5687</v>
      </c>
      <c r="C94" s="3" t="s">
        <v>5688</v>
      </c>
      <c r="G94" s="9" t="s">
        <v>25</v>
      </c>
      <c r="H94" s="9"/>
      <c r="I94" s="9">
        <v>1</v>
      </c>
      <c r="J94" s="9">
        <v>3</v>
      </c>
      <c r="K94" s="9" t="s">
        <v>12087</v>
      </c>
      <c r="L94" s="9" t="s">
        <v>12079</v>
      </c>
      <c r="M94" s="9"/>
      <c r="N94" s="10"/>
      <c r="O94" s="9"/>
      <c r="P94" s="9">
        <v>5676</v>
      </c>
      <c r="Q94" s="9">
        <v>682.04758471521268</v>
      </c>
      <c r="R94" s="9"/>
      <c r="S94" s="9" t="s">
        <v>12795</v>
      </c>
      <c r="T94" s="9" t="s">
        <v>12795</v>
      </c>
      <c r="U94" s="9"/>
      <c r="V94" s="9"/>
      <c r="W94" s="9"/>
      <c r="X94" s="9"/>
      <c r="Y94" s="9"/>
      <c r="Z94" s="9"/>
      <c r="AA94" s="9"/>
      <c r="AB94" s="9"/>
      <c r="AC94" s="9"/>
      <c r="AD94" s="9"/>
    </row>
    <row r="95" spans="1:30" ht="43.5">
      <c r="A95" s="3" t="s">
        <v>1115</v>
      </c>
      <c r="B95" s="3" t="s">
        <v>5695</v>
      </c>
      <c r="C95" s="3" t="s">
        <v>5694</v>
      </c>
      <c r="G95" s="9" t="s">
        <v>25</v>
      </c>
      <c r="H95" s="9"/>
      <c r="I95" s="9">
        <v>1</v>
      </c>
      <c r="J95" s="9">
        <v>3</v>
      </c>
      <c r="K95" s="9" t="s">
        <v>12078</v>
      </c>
      <c r="L95" s="9" t="s">
        <v>12079</v>
      </c>
      <c r="M95" s="9"/>
      <c r="N95" s="10"/>
      <c r="O95" s="9"/>
      <c r="P95" s="9">
        <v>11843</v>
      </c>
      <c r="Q95" s="9">
        <v>1423.0954097572699</v>
      </c>
      <c r="R95" s="9"/>
      <c r="S95" s="9" t="s">
        <v>12795</v>
      </c>
      <c r="T95" s="9" t="s">
        <v>12795</v>
      </c>
      <c r="U95" s="9"/>
      <c r="V95" s="9"/>
      <c r="W95" s="9"/>
      <c r="X95" s="9"/>
      <c r="Y95" s="9"/>
      <c r="Z95" s="9"/>
      <c r="AA95" s="9"/>
      <c r="AB95" s="9"/>
      <c r="AC95" s="9"/>
      <c r="AD95" s="9"/>
    </row>
    <row r="96" spans="1:30" ht="43.5">
      <c r="A96" s="3" t="s">
        <v>1115</v>
      </c>
      <c r="B96" s="3" t="s">
        <v>5693</v>
      </c>
      <c r="C96" s="3" t="s">
        <v>5696</v>
      </c>
      <c r="G96" s="9" t="s">
        <v>24</v>
      </c>
      <c r="H96" s="9"/>
      <c r="I96" s="9">
        <v>1</v>
      </c>
      <c r="J96" s="9">
        <v>4</v>
      </c>
      <c r="K96" s="9" t="s">
        <v>12078</v>
      </c>
      <c r="L96" s="9" t="s">
        <v>12073</v>
      </c>
      <c r="M96" s="9" t="s">
        <v>12149</v>
      </c>
      <c r="N96" s="10" t="s">
        <v>12143</v>
      </c>
      <c r="O96" s="9"/>
      <c r="P96" s="9">
        <v>11843</v>
      </c>
      <c r="Q96" s="9">
        <v>1423.0954097572699</v>
      </c>
      <c r="R96" s="9"/>
      <c r="S96" s="9" t="s">
        <v>12795</v>
      </c>
      <c r="T96" s="9" t="s">
        <v>12795</v>
      </c>
      <c r="U96" s="9"/>
      <c r="V96" s="9"/>
      <c r="W96" s="9"/>
      <c r="X96" s="9"/>
      <c r="Y96" s="9"/>
      <c r="Z96" s="9"/>
      <c r="AA96" s="9"/>
      <c r="AB96" s="9"/>
      <c r="AC96" s="9"/>
      <c r="AD96" s="9"/>
    </row>
    <row r="97" spans="1:30" ht="43.5">
      <c r="A97" s="3" t="s">
        <v>1142</v>
      </c>
      <c r="B97" s="11" t="s">
        <v>5728</v>
      </c>
      <c r="C97" s="11" t="s">
        <v>5727</v>
      </c>
      <c r="G97" s="9" t="s">
        <v>24</v>
      </c>
      <c r="H97" s="9"/>
      <c r="I97" s="9">
        <v>1</v>
      </c>
      <c r="J97" s="9">
        <v>7</v>
      </c>
      <c r="K97" s="9" t="s">
        <v>12094</v>
      </c>
      <c r="L97" s="9" t="s">
        <v>12073</v>
      </c>
      <c r="M97" s="9" t="s">
        <v>12203</v>
      </c>
      <c r="N97" s="10" t="s">
        <v>12204</v>
      </c>
      <c r="O97" s="9"/>
      <c r="P97" s="9">
        <v>202</v>
      </c>
      <c r="Q97" s="9">
        <v>24.273011295361695</v>
      </c>
      <c r="R97" s="9"/>
      <c r="S97" s="9" t="s">
        <v>12795</v>
      </c>
      <c r="T97" s="9" t="s">
        <v>12795</v>
      </c>
      <c r="U97" s="9"/>
      <c r="V97" s="9"/>
      <c r="W97" s="9"/>
      <c r="X97" s="9"/>
      <c r="Y97" s="9"/>
      <c r="Z97" s="9"/>
      <c r="AA97" s="9"/>
      <c r="AB97" s="9"/>
      <c r="AC97" s="9"/>
      <c r="AD97" s="9"/>
    </row>
    <row r="98" spans="1:30" ht="58">
      <c r="A98" s="3" t="s">
        <v>1156</v>
      </c>
      <c r="B98" s="3" t="s">
        <v>5744</v>
      </c>
      <c r="C98" s="3" t="s">
        <v>5746</v>
      </c>
      <c r="G98" s="9" t="s">
        <v>24</v>
      </c>
      <c r="H98" s="9"/>
      <c r="I98" s="9">
        <v>1</v>
      </c>
      <c r="J98" s="9">
        <v>3</v>
      </c>
      <c r="K98" s="9" t="s">
        <v>12087</v>
      </c>
      <c r="L98" s="9" t="s">
        <v>12079</v>
      </c>
      <c r="M98" s="9"/>
      <c r="N98" s="10"/>
      <c r="O98" s="9"/>
      <c r="P98" s="9">
        <v>5676</v>
      </c>
      <c r="Q98" s="9">
        <v>682.04758471521268</v>
      </c>
      <c r="R98" s="9"/>
      <c r="S98" s="9" t="s">
        <v>12795</v>
      </c>
      <c r="T98" s="9" t="s">
        <v>12795</v>
      </c>
      <c r="U98" s="9"/>
      <c r="V98" s="9"/>
      <c r="W98" s="9"/>
      <c r="X98" s="9"/>
      <c r="Y98" s="9"/>
      <c r="Z98" s="9"/>
      <c r="AA98" s="9"/>
      <c r="AB98" s="9"/>
      <c r="AC98" s="9"/>
      <c r="AD98" s="9"/>
    </row>
    <row r="99" spans="1:30" ht="58">
      <c r="A99" s="3" t="s">
        <v>1156</v>
      </c>
      <c r="B99" s="3" t="s">
        <v>5747</v>
      </c>
      <c r="C99" s="3" t="s">
        <v>5745</v>
      </c>
      <c r="G99" s="9" t="s">
        <v>25</v>
      </c>
      <c r="H99" s="9"/>
      <c r="I99" s="9">
        <v>1</v>
      </c>
      <c r="J99" s="9">
        <v>2</v>
      </c>
      <c r="K99" s="9" t="s">
        <v>12078</v>
      </c>
      <c r="L99" s="9" t="s">
        <v>12119</v>
      </c>
      <c r="M99" s="9"/>
      <c r="N99" s="10"/>
      <c r="O99" s="9"/>
      <c r="P99" s="9">
        <v>11843</v>
      </c>
      <c r="Q99" s="9">
        <v>1423.0954097572699</v>
      </c>
      <c r="R99" s="9"/>
      <c r="S99" s="9" t="s">
        <v>12795</v>
      </c>
      <c r="T99" s="9" t="s">
        <v>12795</v>
      </c>
      <c r="U99" s="9"/>
      <c r="V99" s="9"/>
      <c r="W99" s="9"/>
      <c r="X99" s="9"/>
      <c r="Y99" s="9"/>
      <c r="Z99" s="9"/>
      <c r="AA99" s="9"/>
      <c r="AB99" s="9"/>
      <c r="AC99" s="9"/>
      <c r="AD99" s="9"/>
    </row>
    <row r="100" spans="1:30" ht="43.5">
      <c r="A100" s="3" t="s">
        <v>1158</v>
      </c>
      <c r="B100" s="3" t="s">
        <v>5754</v>
      </c>
      <c r="C100" s="3" t="s">
        <v>5755</v>
      </c>
      <c r="G100" s="9" t="s">
        <v>25</v>
      </c>
      <c r="H100" s="9"/>
      <c r="I100" s="9">
        <v>1</v>
      </c>
      <c r="J100" s="9">
        <v>2</v>
      </c>
      <c r="K100" s="9" t="s">
        <v>12123</v>
      </c>
      <c r="L100" s="9" t="s">
        <v>12119</v>
      </c>
      <c r="M100" s="9"/>
      <c r="N100" s="10"/>
      <c r="O100" s="9"/>
      <c r="P100" s="9">
        <v>134</v>
      </c>
      <c r="Q100" s="9">
        <v>16.101898582071616</v>
      </c>
      <c r="R100" s="9"/>
      <c r="S100" s="9" t="s">
        <v>12795</v>
      </c>
      <c r="T100" s="9" t="s">
        <v>12795</v>
      </c>
      <c r="U100" s="9"/>
      <c r="V100" s="9"/>
      <c r="W100" s="9"/>
      <c r="X100" s="9"/>
      <c r="Y100" s="9"/>
      <c r="Z100" s="9"/>
      <c r="AA100" s="9"/>
      <c r="AB100" s="9"/>
      <c r="AC100" s="9"/>
      <c r="AD100" s="9"/>
    </row>
    <row r="101" spans="1:30" ht="43.5">
      <c r="A101" s="3" t="s">
        <v>1162</v>
      </c>
      <c r="B101" s="3" t="s">
        <v>5758</v>
      </c>
      <c r="C101" s="3" t="s">
        <v>5759</v>
      </c>
      <c r="G101" s="9" t="s">
        <v>25</v>
      </c>
      <c r="H101" s="9"/>
      <c r="I101" s="9">
        <v>1</v>
      </c>
      <c r="J101" s="9">
        <v>2</v>
      </c>
      <c r="K101" s="9" t="s">
        <v>12087</v>
      </c>
      <c r="L101" s="9" t="s">
        <v>12119</v>
      </c>
      <c r="M101" s="9"/>
      <c r="N101" s="10"/>
      <c r="O101" s="9"/>
      <c r="P101" s="9">
        <v>1966</v>
      </c>
      <c r="Q101" s="9">
        <v>236.24128815188658</v>
      </c>
      <c r="R101" s="9"/>
      <c r="S101" s="9" t="s">
        <v>12795</v>
      </c>
      <c r="T101" s="9" t="s">
        <v>12795</v>
      </c>
      <c r="U101" s="9"/>
      <c r="V101" s="9"/>
      <c r="W101" s="9"/>
      <c r="X101" s="9"/>
      <c r="Y101" s="9"/>
      <c r="Z101" s="9"/>
      <c r="AA101" s="9"/>
      <c r="AB101" s="9"/>
      <c r="AC101" s="9"/>
      <c r="AD101" s="9"/>
    </row>
    <row r="102" spans="1:30" ht="29">
      <c r="A102" s="3" t="s">
        <v>1164</v>
      </c>
      <c r="B102" s="3" t="s">
        <v>5766</v>
      </c>
      <c r="C102" s="3" t="s">
        <v>5767</v>
      </c>
      <c r="G102" s="9" t="s">
        <v>24</v>
      </c>
      <c r="H102" s="9"/>
      <c r="I102" s="9">
        <v>1</v>
      </c>
      <c r="J102" s="9">
        <v>3</v>
      </c>
      <c r="K102" s="9" t="s">
        <v>12123</v>
      </c>
      <c r="L102" s="9" t="s">
        <v>12079</v>
      </c>
      <c r="M102" s="9"/>
      <c r="N102" s="10"/>
      <c r="O102" s="9"/>
      <c r="P102" s="9">
        <v>92</v>
      </c>
      <c r="Q102" s="9">
        <v>11.055034847392454</v>
      </c>
      <c r="R102" s="9"/>
      <c r="S102" s="9" t="s">
        <v>12795</v>
      </c>
      <c r="T102" s="9" t="s">
        <v>12795</v>
      </c>
      <c r="U102" s="9"/>
      <c r="V102" s="9"/>
      <c r="W102" s="9"/>
      <c r="X102" s="9"/>
      <c r="Y102" s="9"/>
      <c r="Z102" s="9"/>
      <c r="AA102" s="9"/>
      <c r="AB102" s="9"/>
      <c r="AC102" s="9"/>
      <c r="AD102" s="9"/>
    </row>
    <row r="103" spans="1:30" ht="43.5">
      <c r="A103" s="3" t="s">
        <v>1181</v>
      </c>
      <c r="B103" s="3" t="s">
        <v>5778</v>
      </c>
      <c r="C103" s="3" t="s">
        <v>5779</v>
      </c>
      <c r="G103" s="9" t="s">
        <v>25</v>
      </c>
      <c r="H103" s="9"/>
      <c r="I103" s="9">
        <v>1</v>
      </c>
      <c r="J103" s="9">
        <v>3</v>
      </c>
      <c r="K103" s="9" t="s">
        <v>12087</v>
      </c>
      <c r="L103" s="9" t="s">
        <v>12073</v>
      </c>
      <c r="M103" s="9" t="s">
        <v>12142</v>
      </c>
      <c r="N103" s="10" t="s">
        <v>12143</v>
      </c>
      <c r="O103" s="9"/>
      <c r="P103" s="9">
        <v>5676</v>
      </c>
      <c r="Q103" s="9">
        <v>682.04758471521268</v>
      </c>
      <c r="R103" s="9"/>
      <c r="S103" s="9" t="s">
        <v>12795</v>
      </c>
      <c r="T103" s="9" t="s">
        <v>12795</v>
      </c>
      <c r="U103" s="9"/>
      <c r="V103" s="9"/>
      <c r="W103" s="9"/>
      <c r="X103" s="9"/>
      <c r="Y103" s="9"/>
      <c r="Z103" s="9"/>
      <c r="AA103" s="9"/>
      <c r="AB103" s="9"/>
      <c r="AC103" s="9"/>
      <c r="AD103" s="9"/>
    </row>
    <row r="104" spans="1:30" ht="72.5">
      <c r="A104" s="3" t="s">
        <v>1191</v>
      </c>
      <c r="B104" s="3" t="s">
        <v>5799</v>
      </c>
      <c r="C104" s="3" t="s">
        <v>5796</v>
      </c>
      <c r="G104" s="9" t="s">
        <v>25</v>
      </c>
      <c r="H104" s="9"/>
      <c r="I104" s="9">
        <v>1</v>
      </c>
      <c r="J104" s="9">
        <v>5</v>
      </c>
      <c r="K104" s="9" t="s">
        <v>12094</v>
      </c>
      <c r="L104" s="9" t="s">
        <v>12073</v>
      </c>
      <c r="M104" s="9" t="s">
        <v>12149</v>
      </c>
      <c r="N104" s="10" t="s">
        <v>12143</v>
      </c>
      <c r="O104" s="9"/>
      <c r="P104" s="9">
        <v>4240</v>
      </c>
      <c r="Q104" s="9">
        <v>509.49291035808699</v>
      </c>
      <c r="R104" s="9"/>
      <c r="S104" s="9" t="s">
        <v>12795</v>
      </c>
      <c r="T104" s="9" t="s">
        <v>12795</v>
      </c>
      <c r="U104" s="9"/>
      <c r="V104" s="9"/>
      <c r="W104" s="9"/>
      <c r="X104" s="9"/>
      <c r="Y104" s="9"/>
      <c r="Z104" s="9"/>
      <c r="AA104" s="9"/>
      <c r="AB104" s="9"/>
      <c r="AC104" s="9"/>
      <c r="AD104" s="9"/>
    </row>
    <row r="105" spans="1:30" ht="58">
      <c r="A105" s="3" t="s">
        <v>1192</v>
      </c>
      <c r="B105" s="3" t="s">
        <v>5800</v>
      </c>
      <c r="C105" s="3" t="s">
        <v>5801</v>
      </c>
      <c r="G105" s="9" t="s">
        <v>24</v>
      </c>
      <c r="H105" s="9"/>
      <c r="I105" s="9">
        <v>1</v>
      </c>
      <c r="J105" s="9">
        <v>5</v>
      </c>
      <c r="K105" s="9" t="s">
        <v>12094</v>
      </c>
      <c r="L105" s="9" t="s">
        <v>12079</v>
      </c>
      <c r="M105" s="9"/>
      <c r="N105" s="10"/>
      <c r="O105" s="9"/>
      <c r="P105" s="9">
        <v>4240</v>
      </c>
      <c r="Q105" s="9">
        <v>509.49291035808699</v>
      </c>
      <c r="R105" s="9"/>
      <c r="S105" s="9" t="s">
        <v>12795</v>
      </c>
      <c r="T105" s="9" t="s">
        <v>12795</v>
      </c>
      <c r="U105" s="9"/>
      <c r="V105" s="9"/>
      <c r="W105" s="9"/>
      <c r="X105" s="9"/>
      <c r="Y105" s="9"/>
      <c r="Z105" s="9"/>
      <c r="AA105" s="9"/>
      <c r="AB105" s="9"/>
      <c r="AC105" s="9"/>
      <c r="AD105" s="9"/>
    </row>
    <row r="106" spans="1:30" ht="43.5">
      <c r="A106" s="3" t="s">
        <v>1193</v>
      </c>
      <c r="B106" s="3" t="s">
        <v>5802</v>
      </c>
      <c r="C106" s="3" t="s">
        <v>5803</v>
      </c>
      <c r="G106" s="9" t="s">
        <v>25</v>
      </c>
      <c r="H106" s="9"/>
      <c r="I106" s="9">
        <v>1</v>
      </c>
      <c r="J106" s="9">
        <v>5</v>
      </c>
      <c r="K106" s="9" t="s">
        <v>12094</v>
      </c>
      <c r="L106" s="9" t="s">
        <v>12079</v>
      </c>
      <c r="M106" s="9"/>
      <c r="N106" s="10"/>
      <c r="O106" s="9"/>
      <c r="P106" s="9">
        <v>930</v>
      </c>
      <c r="Q106" s="9">
        <v>111.75198269646719</v>
      </c>
      <c r="R106" s="9"/>
      <c r="S106" s="9" t="s">
        <v>12795</v>
      </c>
      <c r="T106" s="9" t="s">
        <v>12795</v>
      </c>
      <c r="U106" s="9"/>
      <c r="V106" s="9"/>
      <c r="W106" s="9"/>
      <c r="X106" s="9"/>
      <c r="Y106" s="9"/>
      <c r="Z106" s="9"/>
      <c r="AA106" s="9"/>
      <c r="AB106" s="9"/>
      <c r="AC106" s="9"/>
      <c r="AD106" s="9"/>
    </row>
    <row r="107" spans="1:30" ht="29">
      <c r="A107" s="3" t="s">
        <v>1204</v>
      </c>
      <c r="B107" s="3" t="s">
        <v>5817</v>
      </c>
      <c r="C107" s="3" t="s">
        <v>5818</v>
      </c>
      <c r="G107" s="9" t="s">
        <v>25</v>
      </c>
      <c r="H107" s="9"/>
      <c r="I107" s="9">
        <v>1</v>
      </c>
      <c r="J107" s="9">
        <v>3</v>
      </c>
      <c r="K107" s="9" t="s">
        <v>12087</v>
      </c>
      <c r="L107" s="9" t="s">
        <v>12079</v>
      </c>
      <c r="M107" s="9"/>
      <c r="N107" s="10"/>
      <c r="O107" s="9"/>
      <c r="P107" s="9">
        <v>356</v>
      </c>
      <c r="Q107" s="9">
        <v>42.778178322518627</v>
      </c>
      <c r="R107" s="9"/>
      <c r="S107" s="9" t="s">
        <v>12795</v>
      </c>
      <c r="T107" s="9" t="s">
        <v>12795</v>
      </c>
      <c r="U107" s="9"/>
      <c r="V107" s="9"/>
      <c r="W107" s="9"/>
      <c r="X107" s="9"/>
      <c r="Y107" s="9"/>
      <c r="Z107" s="9"/>
      <c r="AA107" s="9"/>
      <c r="AB107" s="9"/>
      <c r="AC107" s="9"/>
      <c r="AD107" s="9"/>
    </row>
    <row r="108" spans="1:30" ht="29">
      <c r="A108" s="3" t="s">
        <v>1213</v>
      </c>
      <c r="B108" s="3" t="s">
        <v>5664</v>
      </c>
      <c r="C108" s="3" t="s">
        <v>5823</v>
      </c>
      <c r="G108" s="9" t="s">
        <v>24</v>
      </c>
      <c r="H108" s="9"/>
      <c r="I108" s="9">
        <v>1</v>
      </c>
      <c r="J108" s="9">
        <v>3</v>
      </c>
      <c r="K108" s="9" t="s">
        <v>12087</v>
      </c>
      <c r="L108" s="9" t="s">
        <v>12079</v>
      </c>
      <c r="M108" s="9"/>
      <c r="N108" s="10"/>
      <c r="O108" s="9"/>
      <c r="P108" s="9">
        <v>810</v>
      </c>
      <c r="Q108" s="9">
        <v>97.332372025955294</v>
      </c>
      <c r="R108" s="9"/>
      <c r="S108" s="9" t="s">
        <v>12795</v>
      </c>
      <c r="T108" s="9" t="s">
        <v>12795</v>
      </c>
      <c r="U108" s="9"/>
      <c r="V108" s="9"/>
      <c r="W108" s="9"/>
      <c r="X108" s="9"/>
      <c r="Y108" s="9"/>
      <c r="Z108" s="9"/>
      <c r="AA108" s="9"/>
      <c r="AB108" s="9"/>
      <c r="AC108" s="9"/>
      <c r="AD108" s="9"/>
    </row>
    <row r="109" spans="1:30" ht="29">
      <c r="A109" s="3" t="s">
        <v>1216</v>
      </c>
      <c r="B109" s="3" t="s">
        <v>5829</v>
      </c>
      <c r="C109" s="3" t="s">
        <v>5830</v>
      </c>
      <c r="G109" s="9" t="s">
        <v>24</v>
      </c>
      <c r="H109" s="9"/>
      <c r="I109" s="9">
        <v>1</v>
      </c>
      <c r="J109" s="9">
        <v>3</v>
      </c>
      <c r="K109" s="9" t="s">
        <v>12087</v>
      </c>
      <c r="L109" s="9" t="s">
        <v>12079</v>
      </c>
      <c r="M109" s="9"/>
      <c r="N109" s="10"/>
      <c r="O109" s="9"/>
      <c r="P109" s="9">
        <v>5676</v>
      </c>
      <c r="Q109" s="9">
        <v>682.04758471521268</v>
      </c>
      <c r="R109" s="9"/>
      <c r="S109" s="9" t="s">
        <v>12795</v>
      </c>
      <c r="T109" s="9" t="s">
        <v>12795</v>
      </c>
      <c r="U109" s="9"/>
      <c r="V109" s="9"/>
      <c r="W109" s="9"/>
      <c r="X109" s="9"/>
      <c r="Y109" s="9"/>
      <c r="Z109" s="9"/>
      <c r="AA109" s="9"/>
      <c r="AB109" s="9"/>
      <c r="AC109" s="9"/>
      <c r="AD109" s="9"/>
    </row>
    <row r="110" spans="1:30" ht="43.5">
      <c r="A110" s="3" t="s">
        <v>1222</v>
      </c>
      <c r="B110" s="3" t="s">
        <v>5831</v>
      </c>
      <c r="C110" s="3" t="s">
        <v>5832</v>
      </c>
      <c r="G110" s="9" t="s">
        <v>24</v>
      </c>
      <c r="H110" s="9"/>
      <c r="I110" s="9">
        <v>1</v>
      </c>
      <c r="J110" s="9">
        <v>2</v>
      </c>
      <c r="K110" s="9" t="s">
        <v>12087</v>
      </c>
      <c r="L110" s="9" t="s">
        <v>12119</v>
      </c>
      <c r="M110" s="9"/>
      <c r="N110" s="10"/>
      <c r="O110" s="9"/>
      <c r="P110" s="9">
        <v>1966</v>
      </c>
      <c r="Q110" s="9">
        <v>236.24128815188658</v>
      </c>
      <c r="R110" s="9"/>
      <c r="S110" s="9" t="s">
        <v>12795</v>
      </c>
      <c r="T110" s="9" t="s">
        <v>12795</v>
      </c>
      <c r="U110" s="9"/>
      <c r="V110" s="9"/>
      <c r="W110" s="9"/>
      <c r="X110" s="9"/>
      <c r="Y110" s="9"/>
      <c r="Z110" s="9"/>
      <c r="AA110" s="9"/>
      <c r="AB110" s="9"/>
      <c r="AC110" s="9"/>
      <c r="AD110" s="9"/>
    </row>
    <row r="111" spans="1:30" ht="29">
      <c r="A111" s="3" t="s">
        <v>1237</v>
      </c>
      <c r="B111" s="3" t="s">
        <v>5842</v>
      </c>
      <c r="C111" s="3" t="s">
        <v>5843</v>
      </c>
      <c r="G111" s="9" t="s">
        <v>25</v>
      </c>
      <c r="H111" s="9"/>
      <c r="I111" s="9">
        <v>1</v>
      </c>
      <c r="J111" s="9">
        <v>2</v>
      </c>
      <c r="K111" s="9" t="s">
        <v>12087</v>
      </c>
      <c r="L111" s="9" t="s">
        <v>12119</v>
      </c>
      <c r="M111" s="9"/>
      <c r="N111" s="10"/>
      <c r="O111" s="9"/>
      <c r="P111" s="9">
        <v>1966</v>
      </c>
      <c r="Q111" s="9">
        <v>236.24128815188658</v>
      </c>
      <c r="R111" s="9"/>
      <c r="S111" s="9" t="s">
        <v>12795</v>
      </c>
      <c r="T111" s="9" t="s">
        <v>12795</v>
      </c>
      <c r="U111" s="9"/>
      <c r="V111" s="9"/>
      <c r="W111" s="9"/>
      <c r="X111" s="9"/>
      <c r="Y111" s="9"/>
      <c r="Z111" s="9"/>
      <c r="AA111" s="9"/>
      <c r="AB111" s="9"/>
      <c r="AC111" s="9"/>
      <c r="AD111" s="9"/>
    </row>
    <row r="112" spans="1:30" ht="43.5">
      <c r="A112" s="3" t="s">
        <v>1238</v>
      </c>
      <c r="B112" s="3" t="s">
        <v>5846</v>
      </c>
      <c r="C112" s="3" t="s">
        <v>5847</v>
      </c>
      <c r="G112" s="9" t="s">
        <v>25</v>
      </c>
      <c r="H112" s="9"/>
      <c r="I112" s="9">
        <v>1</v>
      </c>
      <c r="J112" s="9">
        <v>3</v>
      </c>
      <c r="K112" s="9" t="s">
        <v>12087</v>
      </c>
      <c r="L112" s="9" t="s">
        <v>12079</v>
      </c>
      <c r="M112" s="9"/>
      <c r="N112" s="10"/>
      <c r="O112" s="9"/>
      <c r="P112" s="9">
        <v>5676</v>
      </c>
      <c r="Q112" s="9">
        <v>682.04758471521268</v>
      </c>
      <c r="R112" s="9"/>
      <c r="S112" s="9" t="s">
        <v>12795</v>
      </c>
      <c r="T112" s="9" t="s">
        <v>12795</v>
      </c>
      <c r="U112" s="9"/>
      <c r="V112" s="9"/>
      <c r="W112" s="9"/>
      <c r="X112" s="9"/>
      <c r="Y112" s="9"/>
      <c r="Z112" s="9"/>
      <c r="AA112" s="9"/>
      <c r="AB112" s="9"/>
      <c r="AC112" s="9"/>
      <c r="AD112" s="9"/>
    </row>
    <row r="113" spans="1:30" ht="116">
      <c r="A113" s="3" t="s">
        <v>1239</v>
      </c>
      <c r="B113" s="3" t="s">
        <v>5848</v>
      </c>
      <c r="C113" s="3" t="s">
        <v>5851</v>
      </c>
      <c r="G113" s="9" t="s">
        <v>24</v>
      </c>
      <c r="H113" s="9"/>
      <c r="I113" s="9">
        <v>1</v>
      </c>
      <c r="J113" s="9">
        <v>1</v>
      </c>
      <c r="K113" s="9" t="s">
        <v>12123</v>
      </c>
      <c r="L113" s="9" t="s">
        <v>12119</v>
      </c>
      <c r="M113" s="9"/>
      <c r="N113" s="10"/>
      <c r="O113" s="9"/>
      <c r="P113" s="9">
        <v>193</v>
      </c>
      <c r="Q113" s="9">
        <v>23.191540495073301</v>
      </c>
      <c r="R113" s="9"/>
      <c r="S113" s="9" t="s">
        <v>12795</v>
      </c>
      <c r="T113" s="9" t="s">
        <v>12795</v>
      </c>
      <c r="U113" s="9"/>
      <c r="V113" s="9"/>
      <c r="W113" s="9"/>
      <c r="X113" s="9"/>
      <c r="Y113" s="9"/>
      <c r="Z113" s="9"/>
      <c r="AA113" s="9"/>
      <c r="AB113" s="9"/>
      <c r="AC113" s="9"/>
      <c r="AD113" s="9"/>
    </row>
    <row r="114" spans="1:30" ht="319">
      <c r="A114" s="3" t="s">
        <v>1246</v>
      </c>
      <c r="B114" s="3" t="s">
        <v>13002</v>
      </c>
      <c r="C114" s="3" t="s">
        <v>12997</v>
      </c>
      <c r="G114" s="9" t="s">
        <v>25</v>
      </c>
      <c r="H114" s="9"/>
      <c r="I114" s="9">
        <v>1</v>
      </c>
      <c r="J114" s="9">
        <v>2</v>
      </c>
      <c r="K114" s="9" t="s">
        <v>12078</v>
      </c>
      <c r="L114" s="9" t="s">
        <v>12119</v>
      </c>
      <c r="M114" s="9"/>
      <c r="N114" s="10"/>
      <c r="O114" s="9"/>
      <c r="P114" s="9">
        <v>11843</v>
      </c>
      <c r="Q114" s="9">
        <v>1423.0954097572699</v>
      </c>
      <c r="R114" s="9"/>
      <c r="S114" s="9" t="s">
        <v>12795</v>
      </c>
      <c r="T114" s="9" t="s">
        <v>12795</v>
      </c>
      <c r="U114" s="9"/>
      <c r="V114" s="9"/>
      <c r="W114" s="9"/>
      <c r="X114" s="9"/>
      <c r="Y114" s="9"/>
      <c r="Z114" s="9"/>
      <c r="AA114" s="9"/>
      <c r="AB114" s="9"/>
      <c r="AC114" s="9"/>
      <c r="AD114" s="9"/>
    </row>
    <row r="115" spans="1:30" ht="72.5">
      <c r="A115" s="3" t="s">
        <v>1251</v>
      </c>
      <c r="B115" s="3" t="s">
        <v>5861</v>
      </c>
      <c r="C115" s="3" t="s">
        <v>5864</v>
      </c>
      <c r="G115" s="9" t="s">
        <v>24</v>
      </c>
      <c r="H115" s="9"/>
      <c r="I115" s="9">
        <v>1</v>
      </c>
      <c r="J115" s="9">
        <v>5</v>
      </c>
      <c r="K115" s="9" t="s">
        <v>12094</v>
      </c>
      <c r="L115" s="9" t="s">
        <v>12079</v>
      </c>
      <c r="M115" s="9"/>
      <c r="N115" s="10"/>
      <c r="O115" s="9"/>
      <c r="P115" s="9">
        <v>4240</v>
      </c>
      <c r="Q115" s="9">
        <v>509.49291035808699</v>
      </c>
      <c r="R115" s="9"/>
      <c r="S115" s="9" t="s">
        <v>12795</v>
      </c>
      <c r="T115" s="9" t="s">
        <v>12795</v>
      </c>
      <c r="U115" s="9"/>
      <c r="V115" s="9"/>
      <c r="W115" s="9"/>
      <c r="X115" s="9"/>
      <c r="Y115" s="9"/>
      <c r="Z115" s="9"/>
      <c r="AA115" s="9"/>
      <c r="AB115" s="9"/>
      <c r="AC115" s="9"/>
      <c r="AD115" s="9"/>
    </row>
    <row r="116" spans="1:30" ht="43.5">
      <c r="A116" s="3" t="s">
        <v>1260</v>
      </c>
      <c r="B116" s="3" t="s">
        <v>5870</v>
      </c>
      <c r="C116" s="3" t="s">
        <v>5869</v>
      </c>
      <c r="G116" s="9" t="s">
        <v>24</v>
      </c>
      <c r="H116" s="9"/>
      <c r="I116" s="9">
        <v>1</v>
      </c>
      <c r="J116" s="9">
        <v>4</v>
      </c>
      <c r="K116" s="9" t="s">
        <v>12094</v>
      </c>
      <c r="L116" s="9" t="s">
        <v>12079</v>
      </c>
      <c r="M116" s="9"/>
      <c r="N116" s="10"/>
      <c r="O116" s="9"/>
      <c r="P116" s="9">
        <v>4240</v>
      </c>
      <c r="Q116" s="9">
        <v>509.49291035808699</v>
      </c>
      <c r="R116" s="9"/>
      <c r="S116" s="9" t="s">
        <v>12795</v>
      </c>
      <c r="T116" s="9" t="s">
        <v>12795</v>
      </c>
      <c r="U116" s="9"/>
      <c r="V116" s="9"/>
      <c r="W116" s="9"/>
      <c r="X116" s="9"/>
      <c r="Y116" s="9"/>
      <c r="Z116" s="9"/>
      <c r="AA116" s="9"/>
      <c r="AB116" s="9"/>
      <c r="AC116" s="9"/>
      <c r="AD116" s="9"/>
    </row>
    <row r="117" spans="1:30" ht="101.5">
      <c r="A117" s="3" t="s">
        <v>1262</v>
      </c>
      <c r="B117" s="3" t="s">
        <v>5875</v>
      </c>
      <c r="C117" s="3" t="s">
        <v>12220</v>
      </c>
      <c r="G117" s="9" t="s">
        <v>24</v>
      </c>
      <c r="H117" s="9"/>
      <c r="I117" s="9">
        <v>1</v>
      </c>
      <c r="J117" s="9">
        <v>3</v>
      </c>
      <c r="K117" s="9" t="s">
        <v>12094</v>
      </c>
      <c r="L117" s="9" t="s">
        <v>12079</v>
      </c>
      <c r="M117" s="9"/>
      <c r="N117" s="10"/>
      <c r="O117" s="9"/>
      <c r="P117" s="9">
        <v>1741</v>
      </c>
      <c r="Q117" s="9">
        <v>209.20451814467677</v>
      </c>
      <c r="R117" s="9"/>
      <c r="S117" s="9" t="s">
        <v>12795</v>
      </c>
      <c r="T117" s="9" t="s">
        <v>12795</v>
      </c>
      <c r="U117" s="9"/>
      <c r="V117" s="9"/>
      <c r="W117" s="9"/>
      <c r="X117" s="9"/>
      <c r="Y117" s="9"/>
      <c r="Z117" s="9"/>
      <c r="AA117" s="9"/>
      <c r="AB117" s="9"/>
      <c r="AC117" s="9"/>
      <c r="AD117" s="9"/>
    </row>
    <row r="118" spans="1:30" ht="58">
      <c r="A118" s="3" t="s">
        <v>1265</v>
      </c>
      <c r="B118" s="3" t="s">
        <v>5878</v>
      </c>
      <c r="C118" s="3" t="s">
        <v>5879</v>
      </c>
      <c r="G118" s="9" t="s">
        <v>25</v>
      </c>
      <c r="H118" s="9"/>
      <c r="I118" s="9">
        <v>1</v>
      </c>
      <c r="J118" s="9">
        <v>3</v>
      </c>
      <c r="K118" s="9" t="s">
        <v>12078</v>
      </c>
      <c r="L118" s="9" t="s">
        <v>12079</v>
      </c>
      <c r="M118" s="9"/>
      <c r="N118" s="10"/>
      <c r="O118" s="9"/>
      <c r="P118" s="9">
        <v>11843</v>
      </c>
      <c r="Q118" s="9">
        <v>1423.0954097572699</v>
      </c>
      <c r="R118" s="9"/>
      <c r="S118" s="9" t="s">
        <v>12795</v>
      </c>
      <c r="T118" s="9" t="s">
        <v>12795</v>
      </c>
      <c r="U118" s="9"/>
      <c r="V118" s="9"/>
      <c r="W118" s="9"/>
      <c r="X118" s="9"/>
      <c r="Y118" s="9"/>
      <c r="Z118" s="9"/>
      <c r="AA118" s="9"/>
      <c r="AB118" s="9"/>
      <c r="AC118" s="9"/>
      <c r="AD118" s="9"/>
    </row>
    <row r="119" spans="1:30" ht="72.5">
      <c r="A119" s="3" t="s">
        <v>1267</v>
      </c>
      <c r="B119" s="3" t="s">
        <v>5882</v>
      </c>
      <c r="C119" s="3" t="s">
        <v>5885</v>
      </c>
      <c r="G119" s="9" t="s">
        <v>24</v>
      </c>
      <c r="H119" s="9"/>
      <c r="I119" s="9">
        <v>1</v>
      </c>
      <c r="J119" s="9">
        <v>3</v>
      </c>
      <c r="K119" s="9" t="s">
        <v>12087</v>
      </c>
      <c r="L119" s="9" t="s">
        <v>12079</v>
      </c>
      <c r="M119" s="9"/>
      <c r="N119" s="10"/>
      <c r="O119" s="9"/>
      <c r="P119" s="9">
        <v>5676</v>
      </c>
      <c r="Q119" s="9">
        <v>682.04758471521268</v>
      </c>
      <c r="R119" s="9"/>
      <c r="S119" s="9" t="s">
        <v>12795</v>
      </c>
      <c r="T119" s="9" t="s">
        <v>12795</v>
      </c>
      <c r="U119" s="9"/>
      <c r="V119" s="9"/>
      <c r="W119" s="9"/>
      <c r="X119" s="9"/>
      <c r="Y119" s="9"/>
      <c r="Z119" s="9"/>
      <c r="AA119" s="9"/>
      <c r="AB119" s="9"/>
      <c r="AC119" s="9"/>
      <c r="AD119" s="9"/>
    </row>
    <row r="120" spans="1:30" ht="43.5">
      <c r="A120" s="3" t="s">
        <v>1273</v>
      </c>
      <c r="B120" s="3" t="s">
        <v>5890</v>
      </c>
      <c r="C120" s="3" t="s">
        <v>5891</v>
      </c>
      <c r="F120" t="s">
        <v>19</v>
      </c>
      <c r="G120" s="9" t="s">
        <v>25</v>
      </c>
      <c r="H120" s="9"/>
      <c r="I120" s="9">
        <v>1</v>
      </c>
      <c r="J120" s="9">
        <v>3</v>
      </c>
      <c r="K120" s="9" t="s">
        <v>12078</v>
      </c>
      <c r="L120" s="9" t="s">
        <v>12079</v>
      </c>
      <c r="M120" s="9"/>
      <c r="N120" s="10"/>
      <c r="O120" s="9"/>
      <c r="P120" s="9">
        <v>11843</v>
      </c>
      <c r="Q120" s="9">
        <v>1423.0954097572699</v>
      </c>
      <c r="R120" s="9"/>
      <c r="S120" s="9" t="s">
        <v>12795</v>
      </c>
      <c r="T120" s="9" t="s">
        <v>12795</v>
      </c>
      <c r="U120" s="9"/>
      <c r="V120" s="9"/>
      <c r="W120" s="9"/>
      <c r="X120" s="9"/>
      <c r="Y120" s="9"/>
      <c r="Z120" s="9"/>
      <c r="AA120" s="9"/>
      <c r="AB120" s="9"/>
      <c r="AC120" s="9"/>
      <c r="AD120" s="9"/>
    </row>
    <row r="121" spans="1:30" ht="72.5">
      <c r="A121" s="3" t="s">
        <v>1277</v>
      </c>
      <c r="B121" s="3" t="s">
        <v>5896</v>
      </c>
      <c r="C121" s="3" t="s">
        <v>5895</v>
      </c>
      <c r="G121" s="9" t="s">
        <v>25</v>
      </c>
      <c r="H121" s="9"/>
      <c r="I121" s="9">
        <v>1</v>
      </c>
      <c r="J121" s="9">
        <v>3</v>
      </c>
      <c r="K121" s="9" t="s">
        <v>12087</v>
      </c>
      <c r="L121" s="9" t="s">
        <v>12079</v>
      </c>
      <c r="M121" s="9"/>
      <c r="N121" s="10"/>
      <c r="O121" s="9"/>
      <c r="P121" s="9">
        <v>5676</v>
      </c>
      <c r="Q121" s="9">
        <v>682.04758471521268</v>
      </c>
      <c r="R121" s="9"/>
      <c r="S121" s="9" t="s">
        <v>12795</v>
      </c>
      <c r="T121" s="9" t="s">
        <v>12795</v>
      </c>
      <c r="U121" s="9"/>
      <c r="V121" s="9"/>
      <c r="W121" s="9"/>
      <c r="X121" s="9"/>
      <c r="Y121" s="9"/>
      <c r="Z121" s="9"/>
      <c r="AA121" s="9"/>
      <c r="AB121" s="9"/>
      <c r="AC121" s="9"/>
      <c r="AD121" s="9"/>
    </row>
    <row r="122" spans="1:30" ht="43.5">
      <c r="A122" s="3" t="s">
        <v>1278</v>
      </c>
      <c r="B122" s="3" t="s">
        <v>5901</v>
      </c>
      <c r="C122" s="3" t="s">
        <v>5900</v>
      </c>
      <c r="G122" s="9" t="s">
        <v>25</v>
      </c>
      <c r="H122" s="9"/>
      <c r="I122" s="9">
        <v>1</v>
      </c>
      <c r="J122" s="9">
        <v>2</v>
      </c>
      <c r="K122" s="9" t="s">
        <v>12078</v>
      </c>
      <c r="L122" s="9" t="s">
        <v>12119</v>
      </c>
      <c r="M122" s="9"/>
      <c r="N122" s="10"/>
      <c r="O122" s="9"/>
      <c r="P122" s="9">
        <v>11843</v>
      </c>
      <c r="Q122" s="9">
        <v>1423.0954097572699</v>
      </c>
      <c r="R122" s="9"/>
      <c r="S122" s="9" t="s">
        <v>12795</v>
      </c>
      <c r="T122" s="9" t="s">
        <v>12795</v>
      </c>
      <c r="U122" s="9"/>
      <c r="V122" s="9"/>
      <c r="W122" s="9"/>
      <c r="X122" s="9"/>
      <c r="Y122" s="9"/>
      <c r="Z122" s="9"/>
      <c r="AA122" s="9"/>
      <c r="AB122" s="9"/>
      <c r="AC122" s="9"/>
      <c r="AD122" s="9"/>
    </row>
    <row r="123" spans="1:30" ht="43.5">
      <c r="A123" s="3" t="s">
        <v>1298</v>
      </c>
      <c r="B123" s="3" t="s">
        <v>5916</v>
      </c>
      <c r="C123" s="3" t="s">
        <v>5917</v>
      </c>
      <c r="G123" s="9" t="s">
        <v>25</v>
      </c>
      <c r="H123" s="9"/>
      <c r="I123" s="9">
        <v>1</v>
      </c>
      <c r="J123" s="9">
        <v>3</v>
      </c>
      <c r="K123" s="9" t="s">
        <v>12087</v>
      </c>
      <c r="L123" s="9" t="s">
        <v>12073</v>
      </c>
      <c r="M123" s="9" t="s">
        <v>12149</v>
      </c>
      <c r="N123" s="10" t="s">
        <v>12143</v>
      </c>
      <c r="O123" s="9"/>
      <c r="P123" s="9">
        <v>5676</v>
      </c>
      <c r="Q123" s="9">
        <v>682.04758471521268</v>
      </c>
      <c r="R123" s="9"/>
      <c r="S123" s="9" t="s">
        <v>12795</v>
      </c>
      <c r="T123" s="9" t="s">
        <v>12795</v>
      </c>
      <c r="U123" s="9"/>
      <c r="V123" s="9"/>
      <c r="W123" s="9"/>
      <c r="X123" s="9"/>
      <c r="Y123" s="9"/>
      <c r="Z123" s="9"/>
      <c r="AA123" s="9"/>
      <c r="AB123" s="9"/>
      <c r="AC123" s="9"/>
      <c r="AD123" s="9"/>
    </row>
    <row r="124" spans="1:30" ht="43.5">
      <c r="A124" s="3" t="s">
        <v>1299</v>
      </c>
      <c r="B124" s="3" t="s">
        <v>5918</v>
      </c>
      <c r="C124" s="3" t="s">
        <v>5919</v>
      </c>
      <c r="G124" s="9" t="s">
        <v>25</v>
      </c>
      <c r="H124" s="9"/>
      <c r="I124" s="9">
        <v>1</v>
      </c>
      <c r="J124" s="9">
        <v>3</v>
      </c>
      <c r="K124" s="9" t="s">
        <v>12078</v>
      </c>
      <c r="L124" s="9" t="s">
        <v>12073</v>
      </c>
      <c r="M124" s="9" t="s">
        <v>12149</v>
      </c>
      <c r="N124" s="10" t="s">
        <v>12143</v>
      </c>
      <c r="O124" s="9"/>
      <c r="P124" s="9">
        <v>11843</v>
      </c>
      <c r="Q124" s="9">
        <v>1423.0954097572699</v>
      </c>
      <c r="R124" s="9"/>
      <c r="S124" s="9" t="s">
        <v>12795</v>
      </c>
      <c r="T124" s="9" t="s">
        <v>12795</v>
      </c>
      <c r="U124" s="9"/>
      <c r="V124" s="9"/>
      <c r="W124" s="9"/>
      <c r="X124" s="9"/>
      <c r="Y124" s="9"/>
      <c r="Z124" s="9"/>
      <c r="AA124" s="9"/>
      <c r="AB124" s="9"/>
      <c r="AC124" s="9"/>
      <c r="AD124" s="9"/>
    </row>
    <row r="125" spans="1:30" ht="29">
      <c r="A125" s="3" t="s">
        <v>1300</v>
      </c>
      <c r="B125" s="3" t="s">
        <v>5921</v>
      </c>
      <c r="C125" s="11" t="s">
        <v>5920</v>
      </c>
      <c r="G125" s="9" t="s">
        <v>24</v>
      </c>
      <c r="H125" s="9"/>
      <c r="I125" s="9">
        <v>1</v>
      </c>
      <c r="J125" s="9">
        <v>2</v>
      </c>
      <c r="K125" s="9" t="s">
        <v>12087</v>
      </c>
      <c r="L125" s="9" t="s">
        <v>12119</v>
      </c>
      <c r="M125" s="9"/>
      <c r="N125" s="10"/>
      <c r="O125" s="9"/>
      <c r="P125" s="9">
        <v>227</v>
      </c>
      <c r="Q125" s="9">
        <v>27.277096851718337</v>
      </c>
      <c r="R125" s="9"/>
      <c r="S125" s="9" t="s">
        <v>12795</v>
      </c>
      <c r="T125" s="9" t="s">
        <v>12795</v>
      </c>
      <c r="U125" s="9"/>
      <c r="V125" s="9"/>
      <c r="W125" s="9"/>
      <c r="X125" s="9"/>
      <c r="Y125" s="9"/>
      <c r="Z125" s="9"/>
      <c r="AA125" s="9"/>
      <c r="AB125" s="9"/>
      <c r="AC125" s="9"/>
      <c r="AD125" s="9"/>
    </row>
    <row r="126" spans="1:30" ht="29">
      <c r="A126" s="3" t="s">
        <v>1302</v>
      </c>
      <c r="B126" s="3" t="s">
        <v>5922</v>
      </c>
      <c r="C126" s="3" t="s">
        <v>5923</v>
      </c>
      <c r="F126" t="s">
        <v>19</v>
      </c>
      <c r="G126" s="9" t="s">
        <v>24</v>
      </c>
      <c r="H126" s="9"/>
      <c r="I126" s="9">
        <v>1</v>
      </c>
      <c r="J126" s="9">
        <v>1</v>
      </c>
      <c r="K126" s="9" t="s">
        <v>12078</v>
      </c>
      <c r="L126" s="9" t="s">
        <v>12119</v>
      </c>
      <c r="M126" s="9"/>
      <c r="N126" s="10"/>
      <c r="O126" s="9"/>
      <c r="P126" s="9">
        <v>11843</v>
      </c>
      <c r="Q126" s="9">
        <v>1423.0954097572699</v>
      </c>
      <c r="R126" s="9"/>
      <c r="S126" s="9" t="s">
        <v>12795</v>
      </c>
      <c r="T126" s="9" t="s">
        <v>12795</v>
      </c>
      <c r="U126" s="9"/>
      <c r="V126" s="9"/>
      <c r="W126" s="9"/>
      <c r="X126" s="9"/>
      <c r="Y126" s="9"/>
      <c r="Z126" s="9"/>
      <c r="AA126" s="9"/>
      <c r="AB126" s="9"/>
      <c r="AC126" s="9"/>
      <c r="AD126" s="9"/>
    </row>
    <row r="127" spans="1:30" ht="29">
      <c r="A127" s="3" t="s">
        <v>1317</v>
      </c>
      <c r="B127" s="3" t="s">
        <v>5943</v>
      </c>
      <c r="C127" s="3" t="s">
        <v>5944</v>
      </c>
      <c r="F127" t="s">
        <v>19</v>
      </c>
      <c r="G127" s="9" t="s">
        <v>25</v>
      </c>
      <c r="H127" s="9"/>
      <c r="I127" s="9">
        <v>1</v>
      </c>
      <c r="J127" s="9">
        <v>2</v>
      </c>
      <c r="K127" s="9" t="s">
        <v>12096</v>
      </c>
      <c r="L127" s="9" t="s">
        <v>12119</v>
      </c>
      <c r="M127" s="9"/>
      <c r="N127" s="10"/>
      <c r="O127" s="9"/>
      <c r="P127" s="9">
        <v>1294</v>
      </c>
      <c r="Q127" s="9">
        <v>155.49146839701996</v>
      </c>
      <c r="R127" s="9"/>
      <c r="S127" s="9" t="s">
        <v>12795</v>
      </c>
      <c r="T127" s="9" t="s">
        <v>12795</v>
      </c>
      <c r="U127" s="9"/>
      <c r="V127" s="9"/>
      <c r="W127" s="9"/>
      <c r="X127" s="9"/>
      <c r="Y127" s="9"/>
      <c r="Z127" s="9"/>
      <c r="AA127" s="9"/>
      <c r="AB127" s="9"/>
      <c r="AC127" s="9"/>
      <c r="AD127" s="9"/>
    </row>
    <row r="128" spans="1:30" ht="43.5">
      <c r="A128" s="3" t="s">
        <v>1322</v>
      </c>
      <c r="B128" s="3" t="s">
        <v>5948</v>
      </c>
      <c r="C128" s="3" t="s">
        <v>5947</v>
      </c>
      <c r="F128" t="s">
        <v>19</v>
      </c>
      <c r="G128" s="9" t="s">
        <v>24</v>
      </c>
      <c r="H128" s="9"/>
      <c r="I128" s="9">
        <v>1</v>
      </c>
      <c r="J128" s="9">
        <v>1</v>
      </c>
      <c r="K128" s="9" t="s">
        <v>12078</v>
      </c>
      <c r="L128" s="9" t="s">
        <v>12119</v>
      </c>
      <c r="M128" s="9"/>
      <c r="N128" s="10"/>
      <c r="O128" s="9"/>
      <c r="P128" s="9">
        <v>11843</v>
      </c>
      <c r="Q128" s="9">
        <v>1423.0954097572699</v>
      </c>
      <c r="R128" s="9"/>
      <c r="S128" s="9" t="s">
        <v>12795</v>
      </c>
      <c r="T128" s="9" t="s">
        <v>12795</v>
      </c>
      <c r="U128" s="9"/>
      <c r="V128" s="9"/>
      <c r="W128" s="9"/>
      <c r="X128" s="9"/>
      <c r="Y128" s="9"/>
      <c r="Z128" s="9"/>
      <c r="AA128" s="9"/>
      <c r="AB128" s="9"/>
      <c r="AC128" s="9"/>
      <c r="AD128" s="9"/>
    </row>
    <row r="129" spans="1:30" ht="29">
      <c r="A129" s="3" t="s">
        <v>1326</v>
      </c>
      <c r="B129" s="3" t="s">
        <v>5952</v>
      </c>
      <c r="C129" s="3" t="s">
        <v>5951</v>
      </c>
      <c r="F129" t="s">
        <v>19</v>
      </c>
      <c r="G129" s="9" t="s">
        <v>24</v>
      </c>
      <c r="H129" s="9"/>
      <c r="I129" s="9">
        <v>1</v>
      </c>
      <c r="J129" s="9">
        <v>3</v>
      </c>
      <c r="K129" s="9" t="s">
        <v>12078</v>
      </c>
      <c r="L129" s="9" t="s">
        <v>12079</v>
      </c>
      <c r="M129" s="9"/>
      <c r="N129" s="10"/>
      <c r="O129" s="9"/>
      <c r="P129" s="9">
        <v>11843</v>
      </c>
      <c r="Q129" s="9">
        <v>1423.0954097572699</v>
      </c>
      <c r="R129" s="9"/>
      <c r="S129" s="9" t="s">
        <v>12795</v>
      </c>
      <c r="T129" s="9" t="s">
        <v>12795</v>
      </c>
      <c r="U129" s="9"/>
      <c r="V129" s="9"/>
      <c r="W129" s="9"/>
      <c r="X129" s="9"/>
      <c r="Y129" s="9"/>
      <c r="Z129" s="9"/>
      <c r="AA129" s="9"/>
      <c r="AB129" s="9"/>
      <c r="AC129" s="9"/>
      <c r="AD129" s="9"/>
    </row>
    <row r="130" spans="1:30" ht="72.5">
      <c r="A130" s="3" t="s">
        <v>1336</v>
      </c>
      <c r="B130" s="3" t="s">
        <v>5969</v>
      </c>
      <c r="C130" s="3" t="s">
        <v>5971</v>
      </c>
      <c r="F130" t="s">
        <v>19</v>
      </c>
      <c r="G130" s="9" t="s">
        <v>24</v>
      </c>
      <c r="H130" s="9"/>
      <c r="I130" s="9">
        <v>1</v>
      </c>
      <c r="J130" s="9">
        <v>4</v>
      </c>
      <c r="K130" s="9" t="s">
        <v>12099</v>
      </c>
      <c r="L130" s="9" t="s">
        <v>12079</v>
      </c>
      <c r="M130" s="9"/>
      <c r="N130" s="10"/>
      <c r="O130" s="9"/>
      <c r="P130" s="9">
        <v>153</v>
      </c>
      <c r="Q130" s="9">
        <v>18.385003604902668</v>
      </c>
      <c r="R130" s="9"/>
      <c r="S130" s="9" t="s">
        <v>12795</v>
      </c>
      <c r="T130" s="9" t="s">
        <v>12795</v>
      </c>
      <c r="U130" s="9"/>
      <c r="V130" s="9"/>
      <c r="W130" s="9"/>
      <c r="X130" s="9"/>
      <c r="Y130" s="9"/>
      <c r="Z130" s="9"/>
      <c r="AA130" s="9"/>
      <c r="AB130" s="9"/>
      <c r="AC130" s="9"/>
      <c r="AD130" s="9"/>
    </row>
    <row r="131" spans="1:30" ht="58">
      <c r="A131" s="3" t="s">
        <v>1337</v>
      </c>
      <c r="B131" s="3" t="s">
        <v>5975</v>
      </c>
      <c r="C131" s="3" t="s">
        <v>5974</v>
      </c>
      <c r="F131" t="s">
        <v>19</v>
      </c>
      <c r="G131" s="9" t="s">
        <v>25</v>
      </c>
      <c r="H131" s="9"/>
      <c r="I131" s="9">
        <v>1</v>
      </c>
      <c r="J131" s="9">
        <v>3</v>
      </c>
      <c r="K131" s="9" t="s">
        <v>12087</v>
      </c>
      <c r="L131" s="9" t="s">
        <v>12079</v>
      </c>
      <c r="M131" s="9"/>
      <c r="N131" s="10"/>
      <c r="O131" s="9"/>
      <c r="P131" s="9">
        <v>5676</v>
      </c>
      <c r="Q131" s="9">
        <v>682.04758471521268</v>
      </c>
      <c r="R131" s="9"/>
      <c r="S131" s="9" t="s">
        <v>12795</v>
      </c>
      <c r="T131" s="9" t="s">
        <v>12795</v>
      </c>
      <c r="U131" s="9"/>
      <c r="V131" s="9"/>
      <c r="W131" s="9"/>
      <c r="X131" s="9"/>
      <c r="Y131" s="9"/>
      <c r="Z131" s="9"/>
      <c r="AA131" s="9"/>
      <c r="AB131" s="9"/>
      <c r="AC131" s="9"/>
      <c r="AD131" s="9"/>
    </row>
    <row r="132" spans="1:30" ht="58">
      <c r="A132" s="3" t="s">
        <v>1337</v>
      </c>
      <c r="B132" s="3" t="s">
        <v>5976</v>
      </c>
      <c r="C132" s="3" t="s">
        <v>5974</v>
      </c>
      <c r="G132" s="9" t="s">
        <v>25</v>
      </c>
      <c r="H132" s="9"/>
      <c r="I132" s="9">
        <v>1</v>
      </c>
      <c r="J132" s="9">
        <v>1</v>
      </c>
      <c r="K132" s="9" t="s">
        <v>12078</v>
      </c>
      <c r="L132" s="9" t="s">
        <v>12119</v>
      </c>
      <c r="M132" s="9"/>
      <c r="N132" s="10"/>
      <c r="O132" s="9"/>
      <c r="P132" s="9">
        <v>11843</v>
      </c>
      <c r="Q132" s="9">
        <v>1423.0954097572699</v>
      </c>
      <c r="R132" s="9"/>
      <c r="S132" s="9" t="s">
        <v>12795</v>
      </c>
      <c r="T132" s="9" t="s">
        <v>12795</v>
      </c>
      <c r="U132" s="9"/>
      <c r="V132" s="9"/>
      <c r="W132" s="9"/>
      <c r="X132" s="9"/>
      <c r="Y132" s="9"/>
      <c r="Z132" s="9"/>
      <c r="AA132" s="9"/>
      <c r="AB132" s="9"/>
      <c r="AC132" s="9"/>
      <c r="AD132" s="9"/>
    </row>
    <row r="133" spans="1:30" ht="72.5">
      <c r="A133" s="3" t="s">
        <v>1343</v>
      </c>
      <c r="B133" s="3" t="s">
        <v>5982</v>
      </c>
      <c r="C133" s="3" t="s">
        <v>5981</v>
      </c>
      <c r="G133" s="9" t="s">
        <v>25</v>
      </c>
      <c r="H133" s="9"/>
      <c r="I133" s="9">
        <v>1</v>
      </c>
      <c r="J133" s="9">
        <v>3</v>
      </c>
      <c r="K133" s="9" t="s">
        <v>12078</v>
      </c>
      <c r="L133" s="9" t="s">
        <v>12073</v>
      </c>
      <c r="M133" s="9" t="s">
        <v>12149</v>
      </c>
      <c r="N133" s="10" t="s">
        <v>12143</v>
      </c>
      <c r="O133" s="9"/>
      <c r="P133" s="9">
        <v>11843</v>
      </c>
      <c r="Q133" s="9">
        <v>1423.0954097572699</v>
      </c>
      <c r="R133" s="9"/>
      <c r="S133" s="9" t="s">
        <v>12795</v>
      </c>
      <c r="T133" s="9" t="s">
        <v>12795</v>
      </c>
      <c r="U133" s="9"/>
      <c r="V133" s="9"/>
      <c r="W133" s="9"/>
      <c r="X133" s="9"/>
      <c r="Y133" s="9"/>
      <c r="Z133" s="9"/>
      <c r="AA133" s="9"/>
      <c r="AB133" s="9"/>
      <c r="AC133" s="9"/>
      <c r="AD133" s="9"/>
    </row>
    <row r="134" spans="1:30" ht="29">
      <c r="A134" s="3" t="s">
        <v>1345</v>
      </c>
      <c r="B134" s="3" t="s">
        <v>4966</v>
      </c>
      <c r="C134" s="3" t="s">
        <v>4967</v>
      </c>
      <c r="G134" s="9" t="s">
        <v>24</v>
      </c>
      <c r="H134" s="9"/>
      <c r="I134" s="9">
        <v>1</v>
      </c>
      <c r="J134" s="9">
        <v>1</v>
      </c>
      <c r="K134" s="9" t="s">
        <v>12078</v>
      </c>
      <c r="L134" s="9" t="s">
        <v>12119</v>
      </c>
      <c r="M134" s="9"/>
      <c r="N134" s="10"/>
      <c r="O134" s="9"/>
      <c r="P134" s="9">
        <v>11843</v>
      </c>
      <c r="Q134" s="9">
        <v>1423.0954097572699</v>
      </c>
      <c r="R134" s="9"/>
      <c r="S134" s="9" t="s">
        <v>12795</v>
      </c>
      <c r="T134" s="9" t="s">
        <v>12795</v>
      </c>
      <c r="U134" s="9"/>
      <c r="V134" s="9"/>
      <c r="W134" s="9"/>
      <c r="X134" s="9"/>
      <c r="Y134" s="9"/>
      <c r="Z134" s="9"/>
      <c r="AA134" s="9"/>
      <c r="AB134" s="9"/>
      <c r="AC134" s="9"/>
      <c r="AD134" s="9"/>
    </row>
    <row r="135" spans="1:30" ht="29">
      <c r="A135" s="3" t="s">
        <v>1346</v>
      </c>
      <c r="B135" s="3" t="s">
        <v>5985</v>
      </c>
      <c r="C135" s="3" t="s">
        <v>5986</v>
      </c>
      <c r="G135" s="9" t="s">
        <v>25</v>
      </c>
      <c r="H135" s="9"/>
      <c r="I135" s="9">
        <v>1</v>
      </c>
      <c r="J135" s="9">
        <v>3</v>
      </c>
      <c r="K135" s="9" t="s">
        <v>12078</v>
      </c>
      <c r="L135" s="9" t="s">
        <v>12079</v>
      </c>
      <c r="M135" s="9"/>
      <c r="N135" s="10"/>
      <c r="O135" s="9"/>
      <c r="P135" s="9">
        <v>11843</v>
      </c>
      <c r="Q135" s="9">
        <v>1423.0954097572699</v>
      </c>
      <c r="R135" s="9"/>
      <c r="S135" s="9" t="s">
        <v>12795</v>
      </c>
      <c r="T135" s="9" t="s">
        <v>12795</v>
      </c>
      <c r="U135" s="9"/>
      <c r="V135" s="9"/>
      <c r="W135" s="9"/>
      <c r="X135" s="9"/>
      <c r="Y135" s="9"/>
      <c r="Z135" s="9"/>
      <c r="AA135" s="9"/>
      <c r="AB135" s="9"/>
      <c r="AC135" s="9"/>
      <c r="AD135" s="9"/>
    </row>
    <row r="136" spans="1:30" ht="43.5">
      <c r="A136" s="3" t="s">
        <v>1356</v>
      </c>
      <c r="B136" s="11" t="s">
        <v>5990</v>
      </c>
      <c r="C136" s="11" t="s">
        <v>5989</v>
      </c>
      <c r="F136" t="s">
        <v>19</v>
      </c>
      <c r="G136" s="9" t="s">
        <v>24</v>
      </c>
      <c r="H136" s="9"/>
      <c r="I136" s="9">
        <v>1</v>
      </c>
      <c r="J136" s="9">
        <v>2</v>
      </c>
      <c r="K136" s="9" t="s">
        <v>12078</v>
      </c>
      <c r="L136" s="9" t="s">
        <v>12119</v>
      </c>
      <c r="M136" s="9"/>
      <c r="N136" s="10"/>
      <c r="O136" s="9"/>
      <c r="P136" s="9">
        <v>11843</v>
      </c>
      <c r="Q136" s="9">
        <v>1423.0954097572699</v>
      </c>
      <c r="R136" s="9"/>
      <c r="S136" s="9" t="s">
        <v>12795</v>
      </c>
      <c r="T136" s="9" t="s">
        <v>12795</v>
      </c>
      <c r="U136" s="9"/>
      <c r="V136" s="9"/>
      <c r="W136" s="9"/>
      <c r="X136" s="9"/>
      <c r="Y136" s="9"/>
      <c r="Z136" s="9"/>
      <c r="AA136" s="9"/>
      <c r="AB136" s="9"/>
      <c r="AC136" s="9"/>
      <c r="AD136" s="9"/>
    </row>
    <row r="137" spans="1:30" ht="29">
      <c r="A137" s="3" t="s">
        <v>1356</v>
      </c>
      <c r="B137" s="3" t="s">
        <v>5991</v>
      </c>
      <c r="C137" s="3" t="s">
        <v>5992</v>
      </c>
      <c r="G137" s="9" t="s">
        <v>24</v>
      </c>
      <c r="H137" s="9"/>
      <c r="I137" s="9">
        <v>1</v>
      </c>
      <c r="J137" s="9">
        <v>2</v>
      </c>
      <c r="K137" s="9" t="s">
        <v>12078</v>
      </c>
      <c r="L137" s="9" t="s">
        <v>12119</v>
      </c>
      <c r="M137" s="9"/>
      <c r="N137" s="10"/>
      <c r="O137" s="9"/>
      <c r="P137" s="9">
        <v>11843</v>
      </c>
      <c r="Q137" s="9">
        <v>1423.0954097572699</v>
      </c>
      <c r="R137" s="9"/>
      <c r="S137" s="9" t="s">
        <v>12795</v>
      </c>
      <c r="T137" s="9" t="s">
        <v>12795</v>
      </c>
      <c r="U137" s="9"/>
      <c r="V137" s="9"/>
      <c r="W137" s="9"/>
      <c r="X137" s="9"/>
      <c r="Y137" s="9"/>
      <c r="Z137" s="9"/>
      <c r="AA137" s="9"/>
      <c r="AB137" s="9"/>
      <c r="AC137" s="9"/>
      <c r="AD137" s="9"/>
    </row>
    <row r="138" spans="1:30" ht="29">
      <c r="A138" s="3" t="s">
        <v>1357</v>
      </c>
      <c r="B138" s="3" t="s">
        <v>5995</v>
      </c>
      <c r="C138" s="3" t="s">
        <v>5996</v>
      </c>
      <c r="F138" t="s">
        <v>19</v>
      </c>
      <c r="G138" s="9" t="s">
        <v>24</v>
      </c>
      <c r="H138" s="9"/>
      <c r="I138" s="9">
        <v>1</v>
      </c>
      <c r="J138" s="9">
        <v>1</v>
      </c>
      <c r="K138" s="9" t="s">
        <v>12078</v>
      </c>
      <c r="L138" s="9" t="s">
        <v>12119</v>
      </c>
      <c r="M138" s="9"/>
      <c r="N138" s="10"/>
      <c r="O138" s="9"/>
      <c r="P138" s="9">
        <v>11843</v>
      </c>
      <c r="Q138" s="9">
        <v>1423.0954097572699</v>
      </c>
      <c r="R138" s="9"/>
      <c r="S138" s="9" t="s">
        <v>12795</v>
      </c>
      <c r="T138" s="9" t="s">
        <v>12795</v>
      </c>
      <c r="U138" s="9"/>
      <c r="V138" s="9"/>
      <c r="W138" s="9"/>
      <c r="X138" s="9"/>
      <c r="Y138" s="9"/>
      <c r="Z138" s="9"/>
      <c r="AA138" s="9"/>
      <c r="AB138" s="9"/>
      <c r="AC138" s="9"/>
      <c r="AD138" s="9"/>
    </row>
    <row r="139" spans="1:30" ht="101.5">
      <c r="A139" s="3" t="s">
        <v>1365</v>
      </c>
      <c r="B139" s="3" t="s">
        <v>6014</v>
      </c>
      <c r="C139" s="3" t="s">
        <v>6011</v>
      </c>
      <c r="F139" t="s">
        <v>19</v>
      </c>
      <c r="G139" s="9" t="s">
        <v>25</v>
      </c>
      <c r="H139" s="9"/>
      <c r="I139" s="9">
        <v>1</v>
      </c>
      <c r="J139" s="9">
        <v>3</v>
      </c>
      <c r="K139" s="9" t="s">
        <v>12078</v>
      </c>
      <c r="L139" s="9" t="s">
        <v>12079</v>
      </c>
      <c r="M139" s="9"/>
      <c r="N139" s="10"/>
      <c r="O139" s="9"/>
      <c r="P139" s="9">
        <v>11843</v>
      </c>
      <c r="Q139" s="9">
        <v>1423.0954097572699</v>
      </c>
      <c r="R139" s="9"/>
      <c r="S139" s="9" t="s">
        <v>12795</v>
      </c>
      <c r="T139" s="9" t="s">
        <v>12795</v>
      </c>
      <c r="U139" s="9"/>
      <c r="V139" s="9"/>
      <c r="W139" s="9"/>
      <c r="X139" s="9"/>
      <c r="Y139" s="9"/>
      <c r="Z139" s="9"/>
      <c r="AA139" s="9"/>
      <c r="AB139" s="9"/>
      <c r="AC139" s="9"/>
      <c r="AD139" s="9"/>
    </row>
    <row r="140" spans="1:30" ht="130.5">
      <c r="A140" s="3" t="s">
        <v>1373</v>
      </c>
      <c r="B140" s="3" t="s">
        <v>6021</v>
      </c>
      <c r="C140" s="3" t="s">
        <v>6022</v>
      </c>
      <c r="F140" t="s">
        <v>19</v>
      </c>
      <c r="G140" s="9" t="s">
        <v>24</v>
      </c>
      <c r="H140" s="9"/>
      <c r="I140" s="9">
        <v>1</v>
      </c>
      <c r="J140" s="9">
        <v>5</v>
      </c>
      <c r="K140" s="9" t="s">
        <v>12096</v>
      </c>
      <c r="L140" s="9" t="s">
        <v>12079</v>
      </c>
      <c r="M140" s="9"/>
      <c r="N140" s="10"/>
      <c r="O140" s="9"/>
      <c r="P140" s="9">
        <v>28</v>
      </c>
      <c r="Q140" s="9">
        <v>3.3645758231194423</v>
      </c>
      <c r="R140" s="9"/>
      <c r="S140" s="9" t="s">
        <v>12795</v>
      </c>
      <c r="T140" s="9" t="s">
        <v>12795</v>
      </c>
      <c r="U140" s="9"/>
      <c r="V140" s="9"/>
      <c r="W140" s="9"/>
      <c r="X140" s="9"/>
      <c r="Y140" s="9"/>
      <c r="Z140" s="9"/>
      <c r="AA140" s="9"/>
      <c r="AB140" s="9"/>
      <c r="AC140" s="9"/>
      <c r="AD140" s="9"/>
    </row>
    <row r="141" spans="1:30" ht="116">
      <c r="A141" s="3" t="s">
        <v>1384</v>
      </c>
      <c r="B141" s="3" t="s">
        <v>6038</v>
      </c>
      <c r="C141" s="3" t="s">
        <v>6036</v>
      </c>
      <c r="F141" t="s">
        <v>19</v>
      </c>
      <c r="G141" s="9" t="s">
        <v>25</v>
      </c>
      <c r="H141" s="9"/>
      <c r="I141" s="9">
        <v>1</v>
      </c>
      <c r="J141" s="9">
        <v>5</v>
      </c>
      <c r="K141" s="9" t="s">
        <v>12094</v>
      </c>
      <c r="L141" s="9" t="s">
        <v>12079</v>
      </c>
      <c r="M141" s="9"/>
      <c r="N141" s="10"/>
      <c r="O141" s="9"/>
      <c r="P141" s="9">
        <v>4240</v>
      </c>
      <c r="Q141" s="9">
        <v>509.49291035808699</v>
      </c>
      <c r="R141" s="9"/>
      <c r="S141" s="9" t="s">
        <v>12795</v>
      </c>
      <c r="T141" s="9" t="s">
        <v>12795</v>
      </c>
      <c r="U141" s="9"/>
      <c r="V141" s="9"/>
      <c r="W141" s="9"/>
      <c r="X141" s="9"/>
      <c r="Y141" s="9"/>
      <c r="Z141" s="9"/>
      <c r="AA141" s="9"/>
      <c r="AB141" s="9"/>
      <c r="AC141" s="9"/>
      <c r="AD141" s="9"/>
    </row>
    <row r="142" spans="1:30" ht="29">
      <c r="A142" s="3" t="s">
        <v>1387</v>
      </c>
      <c r="B142" s="3" t="s">
        <v>6041</v>
      </c>
      <c r="C142" s="3" t="s">
        <v>6042</v>
      </c>
      <c r="G142" s="9" t="s">
        <v>25</v>
      </c>
      <c r="H142" s="9"/>
      <c r="I142" s="9">
        <v>1</v>
      </c>
      <c r="J142" s="9">
        <v>3</v>
      </c>
      <c r="K142" s="9" t="s">
        <v>12078</v>
      </c>
      <c r="L142" s="9" t="s">
        <v>12079</v>
      </c>
      <c r="M142" s="9"/>
      <c r="N142" s="10"/>
      <c r="O142" s="9"/>
      <c r="P142" s="9">
        <v>11843</v>
      </c>
      <c r="Q142" s="9">
        <v>1423.0954097572699</v>
      </c>
      <c r="R142" s="9"/>
      <c r="S142" s="9" t="s">
        <v>12795</v>
      </c>
      <c r="T142" s="9" t="s">
        <v>12795</v>
      </c>
      <c r="U142" s="9"/>
      <c r="V142" s="9"/>
      <c r="W142" s="9"/>
      <c r="X142" s="9"/>
      <c r="Y142" s="9"/>
      <c r="Z142" s="9"/>
      <c r="AA142" s="9"/>
      <c r="AB142" s="9"/>
      <c r="AC142" s="9"/>
      <c r="AD142" s="9"/>
    </row>
    <row r="143" spans="1:30" ht="43.5">
      <c r="A143" s="3" t="s">
        <v>1391</v>
      </c>
      <c r="B143" s="3" t="s">
        <v>12847</v>
      </c>
      <c r="C143" s="3" t="s">
        <v>6046</v>
      </c>
      <c r="G143" s="9" t="s">
        <v>25</v>
      </c>
      <c r="H143" s="9"/>
      <c r="I143" s="9">
        <v>1</v>
      </c>
      <c r="J143" s="9">
        <v>3</v>
      </c>
      <c r="K143" s="9" t="s">
        <v>12087</v>
      </c>
      <c r="L143" s="9" t="s">
        <v>12079</v>
      </c>
      <c r="M143" s="9"/>
      <c r="N143" s="10"/>
      <c r="O143" s="9"/>
      <c r="P143" s="9">
        <v>1942</v>
      </c>
      <c r="Q143" s="9">
        <v>233.35736601778419</v>
      </c>
      <c r="R143" s="9"/>
      <c r="S143" s="9"/>
      <c r="T143" s="9"/>
      <c r="U143" s="9"/>
      <c r="V143" s="9"/>
      <c r="W143" s="9"/>
      <c r="X143" s="9"/>
      <c r="Y143" s="9"/>
      <c r="Z143" s="9"/>
      <c r="AA143" s="9"/>
      <c r="AB143" s="9"/>
      <c r="AC143" s="9"/>
      <c r="AD143" s="9"/>
    </row>
    <row r="144" spans="1:30" ht="29">
      <c r="A144" s="3" t="s">
        <v>1402</v>
      </c>
      <c r="B144" s="3" t="s">
        <v>6053</v>
      </c>
      <c r="C144" s="3" t="s">
        <v>6052</v>
      </c>
      <c r="G144" s="9" t="s">
        <v>24</v>
      </c>
      <c r="H144" s="9"/>
      <c r="I144" s="9">
        <v>1</v>
      </c>
      <c r="J144" s="9">
        <v>3</v>
      </c>
      <c r="K144" s="9" t="s">
        <v>12078</v>
      </c>
      <c r="L144" s="9" t="s">
        <v>12079</v>
      </c>
      <c r="M144" s="9"/>
      <c r="N144" s="10"/>
      <c r="O144" s="9"/>
      <c r="P144" s="9">
        <v>11843</v>
      </c>
      <c r="Q144" s="9">
        <v>1423.0954097572699</v>
      </c>
      <c r="R144" s="9"/>
      <c r="S144" s="9" t="s">
        <v>12795</v>
      </c>
      <c r="T144" s="9" t="s">
        <v>12795</v>
      </c>
      <c r="U144" s="9"/>
      <c r="V144" s="9"/>
      <c r="W144" s="9"/>
      <c r="X144" s="9"/>
      <c r="Y144" s="9"/>
      <c r="Z144" s="9"/>
      <c r="AA144" s="9"/>
      <c r="AB144" s="9"/>
      <c r="AC144" s="9"/>
      <c r="AD144" s="9"/>
    </row>
    <row r="145" spans="1:30" ht="58">
      <c r="A145" s="3" t="s">
        <v>1409</v>
      </c>
      <c r="B145" s="3" t="s">
        <v>6056</v>
      </c>
      <c r="C145" s="3" t="s">
        <v>6059</v>
      </c>
      <c r="G145" s="9" t="s">
        <v>24</v>
      </c>
      <c r="H145" s="9"/>
      <c r="I145" s="9">
        <v>1</v>
      </c>
      <c r="J145" s="9">
        <v>4</v>
      </c>
      <c r="K145" s="9" t="s">
        <v>12094</v>
      </c>
      <c r="L145" s="9" t="s">
        <v>12079</v>
      </c>
      <c r="M145" s="9"/>
      <c r="N145" s="10"/>
      <c r="O145" s="9"/>
      <c r="P145" s="9">
        <v>4240</v>
      </c>
      <c r="Q145" s="9">
        <v>509.49291035808699</v>
      </c>
      <c r="R145" s="9"/>
      <c r="S145" s="9" t="s">
        <v>12795</v>
      </c>
      <c r="T145" s="9" t="s">
        <v>12795</v>
      </c>
      <c r="U145" s="9"/>
      <c r="V145" s="9"/>
      <c r="W145" s="9"/>
      <c r="X145" s="9"/>
      <c r="Y145" s="9"/>
      <c r="Z145" s="9"/>
      <c r="AA145" s="9"/>
      <c r="AB145" s="9"/>
      <c r="AC145" s="9"/>
      <c r="AD145" s="9"/>
    </row>
    <row r="146" spans="1:30" ht="58">
      <c r="A146" s="3" t="s">
        <v>1419</v>
      </c>
      <c r="B146" s="3" t="s">
        <v>6078</v>
      </c>
      <c r="C146" s="3" t="s">
        <v>6079</v>
      </c>
      <c r="G146" s="9" t="s">
        <v>25</v>
      </c>
      <c r="H146" s="9"/>
      <c r="I146" s="9">
        <v>1</v>
      </c>
      <c r="J146" s="9">
        <v>6</v>
      </c>
      <c r="K146" s="9" t="s">
        <v>12094</v>
      </c>
      <c r="L146" s="9" t="s">
        <v>12079</v>
      </c>
      <c r="M146" s="9"/>
      <c r="N146" s="10"/>
      <c r="O146" s="9"/>
      <c r="P146" s="9">
        <v>4240</v>
      </c>
      <c r="Q146" s="9">
        <v>509.49291035808699</v>
      </c>
      <c r="R146" s="9"/>
      <c r="S146" s="9" t="s">
        <v>12795</v>
      </c>
      <c r="T146" s="9" t="s">
        <v>12795</v>
      </c>
      <c r="U146" s="9"/>
      <c r="V146" s="9"/>
      <c r="W146" s="9"/>
      <c r="X146" s="9"/>
      <c r="Y146" s="9"/>
      <c r="Z146" s="9"/>
      <c r="AA146" s="9"/>
      <c r="AB146" s="9"/>
      <c r="AC146" s="9"/>
      <c r="AD146" s="9"/>
    </row>
    <row r="147" spans="1:30" ht="29">
      <c r="A147" s="3" t="s">
        <v>1420</v>
      </c>
      <c r="B147" s="3" t="s">
        <v>6080</v>
      </c>
      <c r="C147" s="3" t="s">
        <v>6081</v>
      </c>
      <c r="G147" s="9" t="s">
        <v>25</v>
      </c>
      <c r="H147" s="9"/>
      <c r="I147" s="9">
        <v>1</v>
      </c>
      <c r="J147" s="9">
        <v>2</v>
      </c>
      <c r="K147" s="9" t="s">
        <v>12078</v>
      </c>
      <c r="L147" s="9" t="s">
        <v>12119</v>
      </c>
      <c r="M147" s="9"/>
      <c r="N147" s="10"/>
      <c r="O147" s="9" t="s">
        <v>12074</v>
      </c>
      <c r="P147" s="9">
        <v>11843</v>
      </c>
      <c r="Q147" s="9">
        <v>1423.0954097572699</v>
      </c>
      <c r="R147" s="9"/>
      <c r="S147" s="9" t="s">
        <v>12795</v>
      </c>
      <c r="T147" s="9" t="s">
        <v>12795</v>
      </c>
      <c r="U147" s="9"/>
      <c r="V147" s="9"/>
      <c r="W147" s="9"/>
      <c r="X147" s="9"/>
      <c r="Y147" s="9"/>
      <c r="Z147" s="9"/>
      <c r="AA147" s="9"/>
      <c r="AB147" s="9"/>
      <c r="AC147" s="9"/>
      <c r="AD147" s="9"/>
    </row>
    <row r="148" spans="1:30" ht="43.5">
      <c r="A148" s="3" t="s">
        <v>1421</v>
      </c>
      <c r="B148" s="3" t="s">
        <v>6082</v>
      </c>
      <c r="C148" s="3" t="s">
        <v>6083</v>
      </c>
      <c r="G148" s="9" t="s">
        <v>25</v>
      </c>
      <c r="H148" s="9"/>
      <c r="I148" s="9">
        <v>1</v>
      </c>
      <c r="J148" s="9">
        <v>3</v>
      </c>
      <c r="K148" s="9" t="s">
        <v>12078</v>
      </c>
      <c r="L148" s="9" t="s">
        <v>12073</v>
      </c>
      <c r="M148" s="9" t="s">
        <v>12149</v>
      </c>
      <c r="N148" s="10" t="s">
        <v>12143</v>
      </c>
      <c r="O148" s="9"/>
      <c r="P148" s="9">
        <v>11843</v>
      </c>
      <c r="Q148" s="9">
        <v>1423.0954097572699</v>
      </c>
      <c r="R148" s="9"/>
      <c r="S148" s="9" t="s">
        <v>12795</v>
      </c>
      <c r="T148" s="9" t="s">
        <v>12795</v>
      </c>
      <c r="U148" s="9"/>
      <c r="V148" s="9"/>
      <c r="W148" s="9"/>
      <c r="X148" s="9"/>
      <c r="Y148" s="9"/>
      <c r="Z148" s="9"/>
      <c r="AA148" s="9"/>
      <c r="AB148" s="9"/>
      <c r="AC148" s="9"/>
      <c r="AD148" s="9"/>
    </row>
    <row r="149" spans="1:30" ht="43.5">
      <c r="A149" s="3" t="s">
        <v>1421</v>
      </c>
      <c r="B149" s="3" t="s">
        <v>6084</v>
      </c>
      <c r="C149" s="3" t="s">
        <v>6085</v>
      </c>
      <c r="G149" s="9" t="s">
        <v>25</v>
      </c>
      <c r="H149" s="9"/>
      <c r="I149" s="9">
        <v>1</v>
      </c>
      <c r="J149" s="9">
        <v>3</v>
      </c>
      <c r="K149" s="9" t="s">
        <v>12078</v>
      </c>
      <c r="L149" s="9" t="s">
        <v>12073</v>
      </c>
      <c r="M149" s="9" t="s">
        <v>12149</v>
      </c>
      <c r="N149" s="10" t="s">
        <v>12143</v>
      </c>
      <c r="O149" s="9"/>
      <c r="P149" s="9">
        <v>11843</v>
      </c>
      <c r="Q149" s="9">
        <v>1423.0954097572699</v>
      </c>
      <c r="R149" s="9"/>
      <c r="S149" s="9" t="s">
        <v>12795</v>
      </c>
      <c r="T149" s="9" t="s">
        <v>12795</v>
      </c>
      <c r="U149" s="9"/>
      <c r="V149" s="9"/>
      <c r="W149" s="9"/>
      <c r="X149" s="9"/>
      <c r="Y149" s="9"/>
      <c r="Z149" s="9"/>
      <c r="AA149" s="9"/>
      <c r="AB149" s="9"/>
      <c r="AC149" s="9"/>
      <c r="AD149" s="9"/>
    </row>
    <row r="150" spans="1:30" ht="72.5">
      <c r="A150" s="3" t="s">
        <v>1432</v>
      </c>
      <c r="B150" s="3" t="s">
        <v>6088</v>
      </c>
      <c r="C150" s="3" t="s">
        <v>6089</v>
      </c>
      <c r="G150" s="9" t="s">
        <v>24</v>
      </c>
      <c r="H150" s="9"/>
      <c r="I150" s="9">
        <v>1</v>
      </c>
      <c r="J150" s="9">
        <v>3</v>
      </c>
      <c r="K150" s="9" t="s">
        <v>12078</v>
      </c>
      <c r="L150" s="9" t="s">
        <v>12073</v>
      </c>
      <c r="M150" s="9" t="s">
        <v>12142</v>
      </c>
      <c r="N150" s="10" t="s">
        <v>12143</v>
      </c>
      <c r="O150" s="9" t="s">
        <v>12074</v>
      </c>
      <c r="P150" s="9">
        <v>11843</v>
      </c>
      <c r="Q150" s="9">
        <v>1423.0954097572699</v>
      </c>
      <c r="R150" s="9"/>
      <c r="S150" s="9" t="s">
        <v>12795</v>
      </c>
      <c r="T150" s="9" t="s">
        <v>12795</v>
      </c>
      <c r="U150" s="9"/>
      <c r="V150" s="9"/>
      <c r="W150" s="9"/>
      <c r="X150" s="9"/>
      <c r="Y150" s="9"/>
      <c r="Z150" s="9"/>
      <c r="AA150" s="9"/>
      <c r="AB150" s="9"/>
      <c r="AC150" s="9"/>
      <c r="AD150" s="9"/>
    </row>
    <row r="151" spans="1:30" ht="130.5">
      <c r="A151" s="3" t="s">
        <v>1435</v>
      </c>
      <c r="B151" s="3" t="s">
        <v>6099</v>
      </c>
      <c r="C151" s="3" t="s">
        <v>6098</v>
      </c>
      <c r="G151" s="9" t="s">
        <v>25</v>
      </c>
      <c r="H151" s="9"/>
      <c r="I151" s="9">
        <v>1</v>
      </c>
      <c r="J151" s="9">
        <v>2</v>
      </c>
      <c r="K151" s="9" t="s">
        <v>12096</v>
      </c>
      <c r="L151" s="9" t="s">
        <v>12119</v>
      </c>
      <c r="M151" s="9"/>
      <c r="N151" s="10"/>
      <c r="O151" s="9"/>
      <c r="P151" s="9">
        <v>1294</v>
      </c>
      <c r="Q151" s="9">
        <v>155.49146839701996</v>
      </c>
      <c r="R151" s="9"/>
      <c r="S151" s="9" t="s">
        <v>12795</v>
      </c>
      <c r="T151" s="9" t="s">
        <v>12795</v>
      </c>
      <c r="U151" s="9"/>
      <c r="V151" s="9"/>
      <c r="W151" s="9"/>
      <c r="X151" s="9"/>
      <c r="Y151" s="9"/>
      <c r="Z151" s="9"/>
      <c r="AA151" s="9"/>
      <c r="AB151" s="9"/>
      <c r="AC151" s="9"/>
      <c r="AD151" s="9"/>
    </row>
    <row r="152" spans="1:30" ht="130.5">
      <c r="A152" s="3" t="s">
        <v>1435</v>
      </c>
      <c r="B152" s="3" t="s">
        <v>6100</v>
      </c>
      <c r="C152" s="3" t="s">
        <v>6098</v>
      </c>
      <c r="G152" s="9" t="s">
        <v>25</v>
      </c>
      <c r="H152" s="9"/>
      <c r="I152" s="9">
        <v>1</v>
      </c>
      <c r="J152" s="9">
        <v>2</v>
      </c>
      <c r="K152" s="9" t="s">
        <v>12094</v>
      </c>
      <c r="L152" s="9" t="s">
        <v>12119</v>
      </c>
      <c r="M152" s="9"/>
      <c r="N152" s="10"/>
      <c r="O152" s="9"/>
      <c r="P152" s="9">
        <v>301</v>
      </c>
      <c r="Q152" s="9">
        <v>36.16919009853401</v>
      </c>
      <c r="R152" s="9"/>
      <c r="S152" s="9" t="s">
        <v>12795</v>
      </c>
      <c r="T152" s="9" t="s">
        <v>12795</v>
      </c>
      <c r="U152" s="9"/>
      <c r="V152" s="9"/>
      <c r="W152" s="9"/>
      <c r="X152" s="9"/>
      <c r="Y152" s="9"/>
      <c r="Z152" s="9"/>
      <c r="AA152" s="9"/>
      <c r="AB152" s="9"/>
      <c r="AC152" s="9"/>
      <c r="AD152" s="9"/>
    </row>
    <row r="153" spans="1:30" ht="130.5">
      <c r="A153" s="3" t="s">
        <v>1441</v>
      </c>
      <c r="B153" s="3" t="s">
        <v>6116</v>
      </c>
      <c r="C153" s="3" t="s">
        <v>6115</v>
      </c>
      <c r="G153" s="9" t="s">
        <v>25</v>
      </c>
      <c r="H153" s="9"/>
      <c r="I153" s="9">
        <v>1</v>
      </c>
      <c r="J153" s="9">
        <v>2</v>
      </c>
      <c r="K153" s="9" t="s">
        <v>12078</v>
      </c>
      <c r="L153" s="9" t="s">
        <v>12119</v>
      </c>
      <c r="M153" s="9"/>
      <c r="N153" s="10"/>
      <c r="O153" s="9"/>
      <c r="P153" s="9">
        <v>11843</v>
      </c>
      <c r="Q153" s="9">
        <v>1423.0954097572699</v>
      </c>
      <c r="R153" s="9"/>
      <c r="S153" s="9" t="s">
        <v>12795</v>
      </c>
      <c r="T153" s="9" t="s">
        <v>12795</v>
      </c>
      <c r="U153" s="9"/>
      <c r="V153" s="9"/>
      <c r="W153" s="9"/>
      <c r="X153" s="9"/>
      <c r="Y153" s="9"/>
      <c r="Z153" s="9"/>
      <c r="AA153" s="9"/>
      <c r="AB153" s="9"/>
      <c r="AC153" s="9"/>
      <c r="AD153" s="9"/>
    </row>
    <row r="154" spans="1:30" ht="43.5">
      <c r="A154" s="3" t="s">
        <v>1443</v>
      </c>
      <c r="B154" s="3" t="s">
        <v>6120</v>
      </c>
      <c r="C154" s="3" t="s">
        <v>6121</v>
      </c>
      <c r="G154" s="9" t="s">
        <v>25</v>
      </c>
      <c r="H154" s="9"/>
      <c r="I154" s="9">
        <v>1</v>
      </c>
      <c r="J154" s="9">
        <v>2</v>
      </c>
      <c r="K154" s="9" t="s">
        <v>12096</v>
      </c>
      <c r="L154" s="9" t="s">
        <v>12119</v>
      </c>
      <c r="M154" s="9"/>
      <c r="N154" s="10"/>
      <c r="O154" s="9" t="s">
        <v>12074</v>
      </c>
      <c r="P154" s="9">
        <v>1294</v>
      </c>
      <c r="Q154" s="9">
        <v>155.49146839701996</v>
      </c>
      <c r="R154" s="9"/>
      <c r="S154" s="9" t="s">
        <v>12795</v>
      </c>
      <c r="T154" s="9" t="s">
        <v>12795</v>
      </c>
      <c r="U154" s="9"/>
      <c r="V154" s="9"/>
      <c r="W154" s="9"/>
      <c r="X154" s="9"/>
      <c r="Y154" s="9"/>
      <c r="Z154" s="9"/>
      <c r="AA154" s="9"/>
      <c r="AB154" s="9"/>
      <c r="AC154" s="9"/>
      <c r="AD154" s="9"/>
    </row>
    <row r="155" spans="1:30" ht="72.5">
      <c r="A155" s="3" t="s">
        <v>1444</v>
      </c>
      <c r="B155" s="3" t="s">
        <v>6122</v>
      </c>
      <c r="C155" s="3" t="s">
        <v>6123</v>
      </c>
      <c r="G155" s="9" t="s">
        <v>24</v>
      </c>
      <c r="H155" s="9"/>
      <c r="I155" s="9">
        <v>1</v>
      </c>
      <c r="J155" s="9">
        <v>2</v>
      </c>
      <c r="K155" s="9" t="s">
        <v>12078</v>
      </c>
      <c r="L155" s="9" t="s">
        <v>12119</v>
      </c>
      <c r="M155" s="9"/>
      <c r="N155" s="10"/>
      <c r="O155" s="9"/>
      <c r="P155" s="9">
        <v>11843</v>
      </c>
      <c r="Q155" s="9">
        <v>1423.0954097572699</v>
      </c>
      <c r="R155" s="9"/>
      <c r="S155" s="9" t="s">
        <v>12795</v>
      </c>
      <c r="T155" s="9" t="s">
        <v>12795</v>
      </c>
      <c r="U155" s="9"/>
      <c r="V155" s="9"/>
      <c r="W155" s="9"/>
      <c r="X155" s="9"/>
      <c r="Y155" s="9"/>
      <c r="Z155" s="9"/>
      <c r="AA155" s="9"/>
      <c r="AB155" s="9"/>
      <c r="AC155" s="9"/>
      <c r="AD155" s="9"/>
    </row>
    <row r="156" spans="1:30" ht="72.5">
      <c r="A156" s="3" t="s">
        <v>1444</v>
      </c>
      <c r="B156" s="3" t="s">
        <v>6122</v>
      </c>
      <c r="C156" s="3" t="s">
        <v>6126</v>
      </c>
      <c r="G156" s="9" t="s">
        <v>24</v>
      </c>
      <c r="H156" s="9"/>
      <c r="I156" s="9">
        <v>1</v>
      </c>
      <c r="J156" s="9">
        <v>2</v>
      </c>
      <c r="K156" s="9" t="s">
        <v>12078</v>
      </c>
      <c r="L156" s="9" t="s">
        <v>12119</v>
      </c>
      <c r="M156" s="9"/>
      <c r="N156" s="10"/>
      <c r="O156" s="9" t="s">
        <v>12074</v>
      </c>
      <c r="P156" s="9">
        <v>11843</v>
      </c>
      <c r="Q156" s="9">
        <v>1423.0954097572699</v>
      </c>
      <c r="R156" s="9"/>
      <c r="S156" s="9" t="s">
        <v>12795</v>
      </c>
      <c r="T156" s="9" t="s">
        <v>12795</v>
      </c>
      <c r="U156" s="9"/>
      <c r="V156" s="9"/>
      <c r="W156" s="9"/>
      <c r="X156" s="9"/>
      <c r="Y156" s="9"/>
      <c r="Z156" s="9"/>
      <c r="AA156" s="9"/>
      <c r="AB156" s="9"/>
      <c r="AC156" s="9"/>
      <c r="AD156" s="9"/>
    </row>
    <row r="157" spans="1:30" ht="29">
      <c r="A157" s="3" t="s">
        <v>1444</v>
      </c>
      <c r="B157" s="3" t="s">
        <v>6127</v>
      </c>
      <c r="C157" s="3" t="s">
        <v>6128</v>
      </c>
      <c r="G157" s="9" t="s">
        <v>24</v>
      </c>
      <c r="H157" s="9"/>
      <c r="I157" s="9">
        <v>1</v>
      </c>
      <c r="J157" s="9">
        <v>3</v>
      </c>
      <c r="K157" s="9" t="s">
        <v>12087</v>
      </c>
      <c r="L157" s="9" t="s">
        <v>12079</v>
      </c>
      <c r="M157" s="9"/>
      <c r="N157" s="10"/>
      <c r="O157" s="9"/>
      <c r="P157" s="9">
        <v>810</v>
      </c>
      <c r="Q157" s="9">
        <v>97.332372025955294</v>
      </c>
      <c r="R157" s="9"/>
      <c r="S157" s="9" t="s">
        <v>12795</v>
      </c>
      <c r="T157" s="9" t="s">
        <v>12795</v>
      </c>
      <c r="U157" s="9"/>
      <c r="V157" s="9"/>
      <c r="W157" s="9"/>
      <c r="X157" s="9"/>
      <c r="Y157" s="9"/>
      <c r="Z157" s="9"/>
      <c r="AA157" s="9"/>
      <c r="AB157" s="9"/>
      <c r="AC157" s="9"/>
      <c r="AD157" s="9"/>
    </row>
    <row r="158" spans="1:30" ht="29">
      <c r="A158" s="3" t="s">
        <v>1450</v>
      </c>
      <c r="B158" s="3" t="s">
        <v>6131</v>
      </c>
      <c r="C158" s="3" t="s">
        <v>6130</v>
      </c>
      <c r="G158" s="9" t="s">
        <v>25</v>
      </c>
      <c r="H158" s="9"/>
      <c r="I158" s="9">
        <v>1</v>
      </c>
      <c r="J158" s="9">
        <v>3</v>
      </c>
      <c r="K158" s="9" t="s">
        <v>12078</v>
      </c>
      <c r="L158" s="9" t="s">
        <v>12079</v>
      </c>
      <c r="M158" s="9"/>
      <c r="N158" s="10"/>
      <c r="O158" s="9"/>
      <c r="P158" s="9">
        <v>11843</v>
      </c>
      <c r="Q158" s="9">
        <v>1423.0954097572699</v>
      </c>
      <c r="R158" s="9"/>
      <c r="S158" s="9" t="s">
        <v>12795</v>
      </c>
      <c r="T158" s="9" t="s">
        <v>12795</v>
      </c>
      <c r="U158" s="9"/>
      <c r="V158" s="9"/>
      <c r="W158" s="9"/>
      <c r="X158" s="9"/>
      <c r="Y158" s="9"/>
      <c r="Z158" s="9"/>
      <c r="AA158" s="9"/>
      <c r="AB158" s="9"/>
      <c r="AC158" s="9"/>
      <c r="AD158" s="9"/>
    </row>
    <row r="159" spans="1:30" ht="58">
      <c r="A159" s="3" t="s">
        <v>1454</v>
      </c>
      <c r="B159" s="3" t="s">
        <v>6151</v>
      </c>
      <c r="C159" s="3" t="s">
        <v>6148</v>
      </c>
      <c r="G159" s="9" t="s">
        <v>25</v>
      </c>
      <c r="H159" s="9"/>
      <c r="I159" s="9">
        <v>1</v>
      </c>
      <c r="J159" s="9">
        <v>6</v>
      </c>
      <c r="K159" s="9" t="s">
        <v>12094</v>
      </c>
      <c r="L159" s="9" t="s">
        <v>12079</v>
      </c>
      <c r="M159" s="9"/>
      <c r="N159" s="10"/>
      <c r="O159" s="9"/>
      <c r="P159" s="9">
        <v>4240</v>
      </c>
      <c r="Q159" s="9">
        <v>509.49291035808699</v>
      </c>
      <c r="R159" s="9"/>
      <c r="S159" s="9" t="s">
        <v>12795</v>
      </c>
      <c r="T159" s="9" t="s">
        <v>12795</v>
      </c>
      <c r="U159" s="9"/>
      <c r="V159" s="9"/>
      <c r="W159" s="9"/>
      <c r="X159" s="9"/>
      <c r="Y159" s="9"/>
      <c r="Z159" s="9"/>
      <c r="AA159" s="9"/>
      <c r="AB159" s="9"/>
      <c r="AC159" s="9"/>
      <c r="AD159" s="9"/>
    </row>
    <row r="160" spans="1:30" ht="43.5">
      <c r="A160" s="3" t="s">
        <v>1458</v>
      </c>
      <c r="B160" s="3" t="s">
        <v>6152</v>
      </c>
      <c r="C160" s="3" t="s">
        <v>6153</v>
      </c>
      <c r="G160" s="9" t="s">
        <v>24</v>
      </c>
      <c r="H160" s="9"/>
      <c r="I160" s="9">
        <v>1</v>
      </c>
      <c r="J160" s="9">
        <v>2</v>
      </c>
      <c r="K160" s="9" t="s">
        <v>12123</v>
      </c>
      <c r="L160" s="9" t="s">
        <v>12119</v>
      </c>
      <c r="M160" s="9"/>
      <c r="N160" s="10"/>
      <c r="O160" s="9" t="s">
        <v>12074</v>
      </c>
      <c r="P160" s="9">
        <v>887</v>
      </c>
      <c r="Q160" s="9">
        <v>106.58495553953377</v>
      </c>
      <c r="R160" s="9"/>
      <c r="S160" s="9" t="s">
        <v>12795</v>
      </c>
      <c r="T160" s="9" t="s">
        <v>12795</v>
      </c>
      <c r="U160" s="9" t="s">
        <v>12117</v>
      </c>
      <c r="V160" s="9"/>
      <c r="W160" s="9"/>
      <c r="X160" s="9"/>
      <c r="Y160" s="9"/>
      <c r="Z160" s="9"/>
      <c r="AA160" s="9"/>
      <c r="AB160" s="9"/>
      <c r="AC160" s="9"/>
      <c r="AD160" s="9"/>
    </row>
    <row r="161" spans="1:30" ht="116">
      <c r="A161" s="3" t="s">
        <v>1471</v>
      </c>
      <c r="B161" s="3" t="s">
        <v>12870</v>
      </c>
      <c r="C161" s="3" t="s">
        <v>12868</v>
      </c>
      <c r="G161" s="9" t="s">
        <v>25</v>
      </c>
      <c r="H161" s="9"/>
      <c r="I161" s="9">
        <v>1</v>
      </c>
      <c r="J161" s="9">
        <v>1</v>
      </c>
      <c r="K161" s="9" t="s">
        <v>12087</v>
      </c>
      <c r="L161" s="9" t="s">
        <v>12119</v>
      </c>
      <c r="M161" s="9"/>
      <c r="N161" s="10"/>
      <c r="O161" s="9"/>
      <c r="P161" s="9">
        <v>166</v>
      </c>
      <c r="Q161" s="9">
        <v>19.947128094208121</v>
      </c>
      <c r="R161" s="9"/>
      <c r="S161" s="9" t="s">
        <v>12795</v>
      </c>
      <c r="T161" s="9" t="s">
        <v>12795</v>
      </c>
      <c r="U161" s="9"/>
      <c r="V161" s="9"/>
      <c r="W161" s="9"/>
      <c r="X161" s="9"/>
      <c r="Y161" s="9"/>
      <c r="Z161" s="9"/>
      <c r="AA161" s="9"/>
      <c r="AB161" s="9"/>
      <c r="AC161" s="9"/>
      <c r="AD161" s="9"/>
    </row>
    <row r="162" spans="1:30" ht="87">
      <c r="A162" s="3" t="s">
        <v>1488</v>
      </c>
      <c r="B162" s="3" t="s">
        <v>6190</v>
      </c>
      <c r="C162" s="3" t="s">
        <v>6195</v>
      </c>
      <c r="G162" s="9" t="s">
        <v>24</v>
      </c>
      <c r="H162" s="9"/>
      <c r="I162" s="9">
        <v>1</v>
      </c>
      <c r="J162" s="9">
        <v>2</v>
      </c>
      <c r="K162" s="9" t="s">
        <v>12078</v>
      </c>
      <c r="L162" s="9" t="s">
        <v>12119</v>
      </c>
      <c r="M162" s="9"/>
      <c r="N162" s="10"/>
      <c r="O162" s="9"/>
      <c r="P162" s="9">
        <v>11843</v>
      </c>
      <c r="Q162" s="9">
        <v>1423.0954097572699</v>
      </c>
      <c r="R162" s="9"/>
      <c r="S162" s="9" t="s">
        <v>12795</v>
      </c>
      <c r="T162" s="9" t="s">
        <v>12795</v>
      </c>
      <c r="U162" s="9"/>
      <c r="V162" s="9"/>
      <c r="W162" s="9"/>
      <c r="X162" s="9"/>
      <c r="Y162" s="9"/>
      <c r="Z162" s="9"/>
      <c r="AA162" s="9"/>
      <c r="AB162" s="9"/>
      <c r="AC162" s="9"/>
      <c r="AD162" s="9"/>
    </row>
    <row r="163" spans="1:30" ht="130.5">
      <c r="A163" s="3" t="s">
        <v>1509</v>
      </c>
      <c r="B163" s="3" t="s">
        <v>6218</v>
      </c>
      <c r="C163" s="3" t="s">
        <v>6223</v>
      </c>
      <c r="G163" s="9" t="s">
        <v>24</v>
      </c>
      <c r="H163" s="9"/>
      <c r="I163" s="9">
        <v>1</v>
      </c>
      <c r="J163" s="9">
        <v>4</v>
      </c>
      <c r="K163" s="9" t="s">
        <v>12094</v>
      </c>
      <c r="L163" s="9" t="s">
        <v>12079</v>
      </c>
      <c r="M163" s="9"/>
      <c r="N163" s="10"/>
      <c r="O163" s="9"/>
      <c r="P163" s="9">
        <v>4240</v>
      </c>
      <c r="Q163" s="9">
        <v>509.49291035808699</v>
      </c>
      <c r="R163" s="9"/>
      <c r="S163" s="9" t="s">
        <v>12795</v>
      </c>
      <c r="T163" s="9" t="s">
        <v>12795</v>
      </c>
      <c r="U163" s="9"/>
      <c r="V163" s="9"/>
      <c r="W163" s="9"/>
      <c r="X163" s="9"/>
      <c r="Y163" s="9"/>
      <c r="Z163" s="9"/>
      <c r="AA163" s="9"/>
      <c r="AB163" s="9"/>
      <c r="AC163" s="9"/>
      <c r="AD163" s="9"/>
    </row>
    <row r="164" spans="1:30" ht="43.5">
      <c r="A164" s="3" t="s">
        <v>1517</v>
      </c>
      <c r="B164" s="3" t="s">
        <v>6226</v>
      </c>
      <c r="C164" s="3" t="s">
        <v>6227</v>
      </c>
      <c r="G164" s="9" t="s">
        <v>25</v>
      </c>
      <c r="H164" s="9"/>
      <c r="I164" s="9">
        <v>1</v>
      </c>
      <c r="J164" s="9">
        <v>3</v>
      </c>
      <c r="K164" s="9" t="s">
        <v>12078</v>
      </c>
      <c r="L164" s="9" t="s">
        <v>12073</v>
      </c>
      <c r="M164" s="9" t="s">
        <v>12149</v>
      </c>
      <c r="N164" s="10" t="s">
        <v>12136</v>
      </c>
      <c r="O164" s="9"/>
      <c r="P164" s="9">
        <v>11843</v>
      </c>
      <c r="Q164" s="9">
        <v>1423.0954097572699</v>
      </c>
      <c r="R164" s="9"/>
      <c r="S164" s="9" t="s">
        <v>12795</v>
      </c>
      <c r="T164" s="9" t="s">
        <v>12795</v>
      </c>
      <c r="U164" s="9"/>
      <c r="V164" s="9"/>
      <c r="W164" s="9"/>
      <c r="X164" s="9"/>
      <c r="Y164" s="9"/>
      <c r="Z164" s="9"/>
      <c r="AA164" s="9"/>
      <c r="AB164" s="9"/>
      <c r="AC164" s="9"/>
      <c r="AD164" s="9"/>
    </row>
    <row r="165" spans="1:30" ht="72.5">
      <c r="A165" s="3" t="s">
        <v>1529</v>
      </c>
      <c r="B165" s="3" t="s">
        <v>6256</v>
      </c>
      <c r="C165" s="3" t="s">
        <v>6257</v>
      </c>
      <c r="G165" s="9" t="s">
        <v>25</v>
      </c>
      <c r="H165" s="9"/>
      <c r="I165" s="9">
        <v>1</v>
      </c>
      <c r="J165" s="9">
        <v>5</v>
      </c>
      <c r="K165" s="9" t="s">
        <v>12094</v>
      </c>
      <c r="L165" s="9" t="s">
        <v>12073</v>
      </c>
      <c r="M165" s="9" t="s">
        <v>12149</v>
      </c>
      <c r="N165" s="10" t="s">
        <v>12143</v>
      </c>
      <c r="O165" s="9"/>
      <c r="P165" s="9">
        <v>4240</v>
      </c>
      <c r="Q165" s="9">
        <v>509.49291035808699</v>
      </c>
      <c r="R165" s="9"/>
      <c r="S165" s="9" t="s">
        <v>12795</v>
      </c>
      <c r="T165" s="9" t="s">
        <v>12795</v>
      </c>
      <c r="U165" s="9"/>
      <c r="V165" s="9"/>
      <c r="W165" s="9"/>
      <c r="X165" s="9"/>
      <c r="Y165" s="9"/>
      <c r="Z165" s="9"/>
      <c r="AA165" s="9"/>
      <c r="AB165" s="9"/>
      <c r="AC165" s="9"/>
      <c r="AD165" s="9"/>
    </row>
    <row r="166" spans="1:30" ht="58">
      <c r="A166" s="3" t="s">
        <v>1530</v>
      </c>
      <c r="B166" s="3" t="s">
        <v>6258</v>
      </c>
      <c r="C166" s="3" t="s">
        <v>6259</v>
      </c>
      <c r="G166" s="9" t="s">
        <v>25</v>
      </c>
      <c r="H166" s="9"/>
      <c r="I166" s="9">
        <v>1</v>
      </c>
      <c r="J166" s="9">
        <v>5</v>
      </c>
      <c r="K166" s="9" t="s">
        <v>12094</v>
      </c>
      <c r="L166" s="9" t="s">
        <v>12079</v>
      </c>
      <c r="M166" s="9"/>
      <c r="N166" s="10"/>
      <c r="O166" s="9"/>
      <c r="P166" s="9">
        <v>4240</v>
      </c>
      <c r="Q166" s="9">
        <v>509.49291035808699</v>
      </c>
      <c r="R166" s="9"/>
      <c r="S166" s="9" t="s">
        <v>12795</v>
      </c>
      <c r="T166" s="9" t="s">
        <v>12795</v>
      </c>
      <c r="U166" s="9"/>
      <c r="V166" s="9"/>
      <c r="W166" s="9"/>
      <c r="X166" s="9"/>
      <c r="Y166" s="9"/>
      <c r="Z166" s="9"/>
      <c r="AA166" s="9"/>
      <c r="AB166" s="9"/>
      <c r="AC166" s="9"/>
      <c r="AD166" s="9"/>
    </row>
    <row r="167" spans="1:30" ht="43.5">
      <c r="A167" s="3" t="s">
        <v>1531</v>
      </c>
      <c r="B167" s="3" t="s">
        <v>6262</v>
      </c>
      <c r="C167" s="3" t="s">
        <v>6263</v>
      </c>
      <c r="G167" s="9" t="s">
        <v>25</v>
      </c>
      <c r="H167" s="9"/>
      <c r="I167" s="9">
        <v>1</v>
      </c>
      <c r="J167" s="9">
        <v>2</v>
      </c>
      <c r="K167" s="9" t="s">
        <v>12094</v>
      </c>
      <c r="L167" s="9" t="s">
        <v>12119</v>
      </c>
      <c r="M167" s="9"/>
      <c r="N167" s="10"/>
      <c r="O167" s="9"/>
      <c r="P167" s="9">
        <v>1741</v>
      </c>
      <c r="Q167" s="9">
        <v>209.20451814467677</v>
      </c>
      <c r="R167" s="9"/>
      <c r="S167" s="9" t="s">
        <v>12795</v>
      </c>
      <c r="T167" s="9" t="s">
        <v>12795</v>
      </c>
      <c r="U167" s="9"/>
      <c r="V167" s="9"/>
      <c r="W167" s="9"/>
      <c r="X167" s="9"/>
      <c r="Y167" s="9"/>
      <c r="Z167" s="9"/>
      <c r="AA167" s="9"/>
      <c r="AB167" s="9"/>
      <c r="AC167" s="9"/>
      <c r="AD167" s="9"/>
    </row>
    <row r="168" spans="1:30" ht="72.5">
      <c r="A168" s="3" t="s">
        <v>1532</v>
      </c>
      <c r="B168" s="3" t="s">
        <v>6264</v>
      </c>
      <c r="C168" s="3" t="s">
        <v>6265</v>
      </c>
      <c r="G168" s="9" t="s">
        <v>24</v>
      </c>
      <c r="H168" s="9"/>
      <c r="I168" s="9">
        <v>1</v>
      </c>
      <c r="J168" s="9">
        <v>3</v>
      </c>
      <c r="K168" s="9" t="s">
        <v>12087</v>
      </c>
      <c r="L168" s="9" t="s">
        <v>12079</v>
      </c>
      <c r="M168" s="9"/>
      <c r="N168" s="10"/>
      <c r="O168" s="9"/>
      <c r="P168" s="9">
        <v>5676</v>
      </c>
      <c r="Q168" s="9">
        <v>682.04758471521268</v>
      </c>
      <c r="R168" s="9"/>
      <c r="S168" s="9" t="s">
        <v>12795</v>
      </c>
      <c r="T168" s="9" t="s">
        <v>12795</v>
      </c>
      <c r="U168" s="9"/>
      <c r="V168" s="9"/>
      <c r="W168" s="9"/>
      <c r="X168" s="9"/>
      <c r="Y168" s="9"/>
      <c r="Z168" s="9"/>
      <c r="AA168" s="9"/>
      <c r="AB168" s="9"/>
      <c r="AC168" s="9"/>
      <c r="AD168" s="9"/>
    </row>
    <row r="169" spans="1:30" ht="29">
      <c r="A169" s="3" t="s">
        <v>1536</v>
      </c>
      <c r="B169" s="3" t="s">
        <v>6273</v>
      </c>
      <c r="C169" s="3" t="s">
        <v>6275</v>
      </c>
      <c r="G169" s="9" t="s">
        <v>25</v>
      </c>
      <c r="H169" s="9"/>
      <c r="I169" s="9">
        <v>1</v>
      </c>
      <c r="J169" s="9">
        <v>5</v>
      </c>
      <c r="K169" s="9" t="s">
        <v>12094</v>
      </c>
      <c r="L169" s="9" t="s">
        <v>12073</v>
      </c>
      <c r="M169" s="9" t="s">
        <v>12142</v>
      </c>
      <c r="N169" s="10" t="s">
        <v>12160</v>
      </c>
      <c r="O169" s="9"/>
      <c r="P169" s="9">
        <v>4240</v>
      </c>
      <c r="Q169" s="9">
        <v>509.49291035808699</v>
      </c>
      <c r="R169" s="9"/>
      <c r="S169" s="9" t="s">
        <v>12795</v>
      </c>
      <c r="T169" s="9" t="s">
        <v>12795</v>
      </c>
      <c r="U169" s="9" t="s">
        <v>4</v>
      </c>
      <c r="V169" s="9"/>
      <c r="W169" s="9"/>
      <c r="X169" s="9"/>
      <c r="Y169" s="9"/>
      <c r="Z169" s="9"/>
      <c r="AA169" s="9"/>
      <c r="AB169" s="9"/>
      <c r="AC169" s="9"/>
      <c r="AD169" s="9"/>
    </row>
    <row r="170" spans="1:30" ht="29">
      <c r="A170" s="3" t="s">
        <v>1538</v>
      </c>
      <c r="B170" s="11" t="s">
        <v>6285</v>
      </c>
      <c r="C170" s="11" t="s">
        <v>6284</v>
      </c>
      <c r="G170" s="9" t="s">
        <v>24</v>
      </c>
      <c r="H170" s="9"/>
      <c r="I170" s="9">
        <v>1</v>
      </c>
      <c r="J170" s="9">
        <v>2</v>
      </c>
      <c r="K170" s="9" t="s">
        <v>12096</v>
      </c>
      <c r="L170" s="9" t="s">
        <v>12119</v>
      </c>
      <c r="M170" s="9"/>
      <c r="N170" s="10"/>
      <c r="O170" s="9"/>
      <c r="P170" s="9">
        <v>560</v>
      </c>
      <c r="Q170" s="9">
        <v>67.291516462388842</v>
      </c>
      <c r="R170" s="9"/>
      <c r="S170" s="9" t="s">
        <v>12795</v>
      </c>
      <c r="T170" s="9" t="s">
        <v>12795</v>
      </c>
      <c r="U170" s="9"/>
      <c r="V170" s="9"/>
      <c r="W170" s="9"/>
      <c r="X170" s="9"/>
      <c r="Y170" s="9"/>
      <c r="Z170" s="9"/>
      <c r="AA170" s="9"/>
      <c r="AB170" s="9"/>
      <c r="AC170" s="9"/>
      <c r="AD170" s="9"/>
    </row>
    <row r="171" spans="1:30" ht="29">
      <c r="A171" s="3" t="s">
        <v>1541</v>
      </c>
      <c r="B171" s="3" t="s">
        <v>6290</v>
      </c>
      <c r="C171" s="3" t="s">
        <v>6291</v>
      </c>
      <c r="G171" s="9" t="s">
        <v>25</v>
      </c>
      <c r="H171" s="9"/>
      <c r="I171" s="9">
        <v>1</v>
      </c>
      <c r="J171" s="9">
        <v>4</v>
      </c>
      <c r="K171" s="9" t="s">
        <v>12094</v>
      </c>
      <c r="L171" s="9" t="s">
        <v>12079</v>
      </c>
      <c r="M171" s="9"/>
      <c r="N171" s="10"/>
      <c r="O171" s="9"/>
      <c r="P171" s="9">
        <v>4240</v>
      </c>
      <c r="Q171" s="9">
        <v>509.49291035808699</v>
      </c>
      <c r="R171" s="9"/>
      <c r="S171" s="9" t="s">
        <v>12795</v>
      </c>
      <c r="T171" s="9" t="s">
        <v>12795</v>
      </c>
      <c r="U171" s="9"/>
      <c r="V171" s="9"/>
      <c r="W171" s="9"/>
      <c r="X171" s="9"/>
      <c r="Y171" s="9"/>
      <c r="Z171" s="9"/>
      <c r="AA171" s="9"/>
      <c r="AB171" s="9"/>
      <c r="AC171" s="9"/>
      <c r="AD171" s="9"/>
    </row>
    <row r="172" spans="1:30" ht="29">
      <c r="A172" s="3" t="s">
        <v>1542</v>
      </c>
      <c r="B172" s="3" t="s">
        <v>6292</v>
      </c>
      <c r="C172" s="3" t="s">
        <v>6293</v>
      </c>
      <c r="F172" t="s">
        <v>19</v>
      </c>
      <c r="G172" s="9" t="s">
        <v>24</v>
      </c>
      <c r="H172" s="9"/>
      <c r="I172" s="9">
        <v>1</v>
      </c>
      <c r="J172" s="9">
        <v>5</v>
      </c>
      <c r="K172" s="9" t="s">
        <v>12094</v>
      </c>
      <c r="L172" s="9" t="s">
        <v>12073</v>
      </c>
      <c r="M172" s="9" t="s">
        <v>12149</v>
      </c>
      <c r="N172" s="10" t="s">
        <v>12143</v>
      </c>
      <c r="O172" s="9"/>
      <c r="P172" s="9">
        <v>930</v>
      </c>
      <c r="Q172" s="9">
        <v>111.75198269646719</v>
      </c>
      <c r="R172" s="9"/>
      <c r="S172" s="9" t="s">
        <v>12795</v>
      </c>
      <c r="T172" s="9" t="s">
        <v>12795</v>
      </c>
      <c r="U172" s="9"/>
      <c r="V172" s="9"/>
      <c r="W172" s="9"/>
      <c r="X172" s="9"/>
      <c r="Y172" s="9"/>
      <c r="Z172" s="9"/>
      <c r="AA172" s="9"/>
      <c r="AB172" s="9"/>
      <c r="AC172" s="9"/>
      <c r="AD172" s="9"/>
    </row>
    <row r="173" spans="1:30" ht="29">
      <c r="A173" s="3" t="s">
        <v>1558</v>
      </c>
      <c r="B173" s="3" t="s">
        <v>6306</v>
      </c>
      <c r="C173" s="3" t="s">
        <v>6307</v>
      </c>
      <c r="G173" s="9" t="s">
        <v>25</v>
      </c>
      <c r="H173" s="9"/>
      <c r="I173" s="9">
        <v>1</v>
      </c>
      <c r="J173" s="9">
        <v>2</v>
      </c>
      <c r="K173" s="9" t="s">
        <v>12078</v>
      </c>
      <c r="L173" s="9" t="s">
        <v>12119</v>
      </c>
      <c r="M173" s="9"/>
      <c r="N173" s="10"/>
      <c r="O173" s="9" t="s">
        <v>12074</v>
      </c>
      <c r="P173" s="9">
        <v>11843</v>
      </c>
      <c r="Q173" s="9">
        <v>1423.0954097572699</v>
      </c>
      <c r="R173" s="9"/>
      <c r="S173" s="9" t="s">
        <v>12795</v>
      </c>
      <c r="T173" s="9" t="s">
        <v>12795</v>
      </c>
      <c r="U173" s="9"/>
      <c r="V173" s="9"/>
      <c r="W173" s="9"/>
      <c r="X173" s="9"/>
      <c r="Y173" s="9"/>
      <c r="Z173" s="9"/>
      <c r="AA173" s="9"/>
      <c r="AB173" s="9"/>
      <c r="AC173" s="9"/>
      <c r="AD173" s="9"/>
    </row>
    <row r="174" spans="1:30" ht="87">
      <c r="A174" s="3" t="s">
        <v>1569</v>
      </c>
      <c r="B174" s="3" t="s">
        <v>6318</v>
      </c>
      <c r="C174" s="3" t="s">
        <v>6317</v>
      </c>
      <c r="G174" s="9" t="s">
        <v>25</v>
      </c>
      <c r="H174" s="9"/>
      <c r="I174" s="9">
        <v>1</v>
      </c>
      <c r="J174" s="9">
        <v>1</v>
      </c>
      <c r="K174" s="9" t="s">
        <v>12078</v>
      </c>
      <c r="L174" s="9" t="s">
        <v>12119</v>
      </c>
      <c r="M174" s="9"/>
      <c r="N174" s="10"/>
      <c r="O174" s="9"/>
      <c r="P174" s="9">
        <v>11843</v>
      </c>
      <c r="Q174" s="9">
        <v>1423.0954097572699</v>
      </c>
      <c r="R174" s="9"/>
      <c r="S174" s="9" t="s">
        <v>12795</v>
      </c>
      <c r="T174" s="9" t="s">
        <v>12795</v>
      </c>
      <c r="U174" s="9"/>
      <c r="V174" s="9"/>
      <c r="W174" s="9"/>
      <c r="X174" s="9"/>
      <c r="Y174" s="9"/>
      <c r="Z174" s="9"/>
      <c r="AA174" s="9"/>
      <c r="AB174" s="9"/>
      <c r="AC174" s="9"/>
      <c r="AD174" s="9"/>
    </row>
    <row r="175" spans="1:30" ht="29">
      <c r="A175" s="3" t="s">
        <v>1570</v>
      </c>
      <c r="B175" s="3" t="s">
        <v>6321</v>
      </c>
      <c r="C175" s="3" t="s">
        <v>6322</v>
      </c>
      <c r="G175" s="9" t="s">
        <v>24</v>
      </c>
      <c r="H175" s="9"/>
      <c r="I175" s="9">
        <v>1</v>
      </c>
      <c r="J175" s="9">
        <v>3</v>
      </c>
      <c r="K175" s="9" t="s">
        <v>12078</v>
      </c>
      <c r="L175" s="9" t="s">
        <v>12079</v>
      </c>
      <c r="M175" s="9"/>
      <c r="N175" s="10"/>
      <c r="O175" s="9"/>
      <c r="P175" s="9">
        <v>11843</v>
      </c>
      <c r="Q175" s="9">
        <v>1423.0954097572699</v>
      </c>
      <c r="R175" s="9"/>
      <c r="S175" s="9" t="s">
        <v>12795</v>
      </c>
      <c r="T175" s="9" t="s">
        <v>12795</v>
      </c>
      <c r="U175" s="9"/>
      <c r="V175" s="9"/>
      <c r="W175" s="9"/>
      <c r="X175" s="9"/>
      <c r="Y175" s="9"/>
      <c r="Z175" s="9"/>
      <c r="AA175" s="9"/>
      <c r="AB175" s="9"/>
      <c r="AC175" s="9"/>
      <c r="AD175" s="9"/>
    </row>
    <row r="176" spans="1:30" ht="29">
      <c r="A176" s="3" t="s">
        <v>1571</v>
      </c>
      <c r="B176" s="3" t="s">
        <v>6323</v>
      </c>
      <c r="C176" s="3" t="s">
        <v>6324</v>
      </c>
      <c r="G176" s="9" t="s">
        <v>24</v>
      </c>
      <c r="H176" s="9"/>
      <c r="I176" s="9">
        <v>1</v>
      </c>
      <c r="J176" s="9">
        <v>1</v>
      </c>
      <c r="K176" s="9" t="s">
        <v>12078</v>
      </c>
      <c r="L176" s="9" t="s">
        <v>12119</v>
      </c>
      <c r="M176" s="9"/>
      <c r="N176" s="10"/>
      <c r="O176" s="9"/>
      <c r="P176" s="9">
        <v>11843</v>
      </c>
      <c r="Q176" s="9">
        <v>1423.0954097572699</v>
      </c>
      <c r="R176" s="9"/>
      <c r="S176" s="9" t="s">
        <v>12795</v>
      </c>
      <c r="T176" s="9" t="s">
        <v>12795</v>
      </c>
      <c r="U176" s="9"/>
      <c r="V176" s="9"/>
      <c r="W176" s="9"/>
      <c r="X176" s="9"/>
      <c r="Y176" s="9"/>
      <c r="Z176" s="9"/>
      <c r="AA176" s="9"/>
      <c r="AB176" s="9"/>
      <c r="AC176" s="9"/>
      <c r="AD176" s="9"/>
    </row>
    <row r="177" spans="1:30" ht="43.5">
      <c r="A177" s="3" t="s">
        <v>1571</v>
      </c>
      <c r="B177" s="3" t="s">
        <v>6325</v>
      </c>
      <c r="C177" s="3" t="s">
        <v>6326</v>
      </c>
      <c r="G177" s="9" t="s">
        <v>24</v>
      </c>
      <c r="H177" s="9"/>
      <c r="I177" s="9">
        <v>1</v>
      </c>
      <c r="J177" s="9">
        <v>3</v>
      </c>
      <c r="K177" s="9" t="s">
        <v>12087</v>
      </c>
      <c r="L177" s="9" t="s">
        <v>12079</v>
      </c>
      <c r="M177" s="9"/>
      <c r="N177" s="10"/>
      <c r="O177" s="9"/>
      <c r="P177" s="9">
        <v>810</v>
      </c>
      <c r="Q177" s="9">
        <v>97.332372025955294</v>
      </c>
      <c r="R177" s="9"/>
      <c r="S177" s="9" t="s">
        <v>12795</v>
      </c>
      <c r="T177" s="9" t="s">
        <v>12795</v>
      </c>
      <c r="U177" s="9"/>
      <c r="V177" s="9"/>
      <c r="W177" s="9"/>
      <c r="X177" s="9"/>
      <c r="Y177" s="9"/>
      <c r="Z177" s="9"/>
      <c r="AA177" s="9"/>
      <c r="AB177" s="9"/>
      <c r="AC177" s="9"/>
      <c r="AD177" s="9"/>
    </row>
    <row r="178" spans="1:30" ht="43.5">
      <c r="A178" s="3" t="s">
        <v>1573</v>
      </c>
      <c r="B178" s="3" t="s">
        <v>6340</v>
      </c>
      <c r="C178" s="3" t="s">
        <v>6339</v>
      </c>
      <c r="G178" s="9" t="s">
        <v>24</v>
      </c>
      <c r="H178" s="9"/>
      <c r="I178" s="9">
        <v>1</v>
      </c>
      <c r="J178" s="9">
        <v>3</v>
      </c>
      <c r="K178" s="9" t="s">
        <v>12087</v>
      </c>
      <c r="L178" s="9" t="s">
        <v>12079</v>
      </c>
      <c r="M178" s="9"/>
      <c r="N178" s="10"/>
      <c r="O178" s="9"/>
      <c r="P178" s="9">
        <v>67</v>
      </c>
      <c r="Q178" s="9">
        <v>8.050949291035808</v>
      </c>
      <c r="R178" s="9"/>
      <c r="S178" s="9" t="s">
        <v>12795</v>
      </c>
      <c r="T178" s="9" t="s">
        <v>12795</v>
      </c>
      <c r="U178" s="9"/>
      <c r="V178" s="9"/>
      <c r="W178" s="9"/>
      <c r="X178" s="9"/>
      <c r="Y178" s="9"/>
      <c r="Z178" s="9"/>
      <c r="AA178" s="9"/>
      <c r="AB178" s="9"/>
      <c r="AC178" s="9"/>
      <c r="AD178" s="9"/>
    </row>
    <row r="179" spans="1:30" ht="29">
      <c r="A179" s="3" t="s">
        <v>1578</v>
      </c>
      <c r="B179" s="3" t="s">
        <v>6344</v>
      </c>
      <c r="C179" s="3" t="s">
        <v>6347</v>
      </c>
      <c r="G179" s="9" t="s">
        <v>24</v>
      </c>
      <c r="H179" s="9"/>
      <c r="I179" s="9">
        <v>1</v>
      </c>
      <c r="J179" s="9">
        <v>1</v>
      </c>
      <c r="K179" s="9" t="s">
        <v>12078</v>
      </c>
      <c r="L179" s="9" t="s">
        <v>12119</v>
      </c>
      <c r="M179" s="9"/>
      <c r="N179" s="10"/>
      <c r="O179" s="9"/>
      <c r="P179" s="9">
        <v>11843</v>
      </c>
      <c r="Q179" s="9">
        <v>1423.0954097572699</v>
      </c>
      <c r="R179" s="9"/>
      <c r="S179" s="9" t="s">
        <v>12795</v>
      </c>
      <c r="T179" s="9" t="s">
        <v>12795</v>
      </c>
      <c r="U179" s="9"/>
      <c r="V179" s="9"/>
      <c r="W179" s="9"/>
      <c r="X179" s="9"/>
      <c r="Y179" s="9"/>
      <c r="Z179" s="9"/>
      <c r="AA179" s="9"/>
      <c r="AB179" s="9"/>
      <c r="AC179" s="9"/>
      <c r="AD179" s="9"/>
    </row>
    <row r="180" spans="1:30" ht="87">
      <c r="A180" s="3" t="s">
        <v>1587</v>
      </c>
      <c r="B180" s="3" t="s">
        <v>6357</v>
      </c>
      <c r="C180" s="3" t="s">
        <v>6356</v>
      </c>
      <c r="G180" s="9" t="s">
        <v>25</v>
      </c>
      <c r="H180" s="9"/>
      <c r="I180" s="9">
        <v>1</v>
      </c>
      <c r="J180" s="9">
        <v>1</v>
      </c>
      <c r="K180" s="9" t="s">
        <v>12078</v>
      </c>
      <c r="L180" s="9" t="s">
        <v>12119</v>
      </c>
      <c r="M180" s="9"/>
      <c r="N180" s="10"/>
      <c r="O180" s="9"/>
      <c r="P180" s="9">
        <v>11843</v>
      </c>
      <c r="Q180" s="9">
        <v>1423.0954097572699</v>
      </c>
      <c r="R180" s="9"/>
      <c r="S180" s="9" t="s">
        <v>12795</v>
      </c>
      <c r="T180" s="9" t="s">
        <v>12795</v>
      </c>
      <c r="U180" s="9"/>
      <c r="V180" s="9"/>
      <c r="W180" s="9"/>
      <c r="X180" s="9"/>
      <c r="Y180" s="9"/>
      <c r="Z180" s="9"/>
      <c r="AA180" s="9"/>
      <c r="AB180" s="9"/>
      <c r="AC180" s="9"/>
      <c r="AD180" s="9"/>
    </row>
    <row r="181" spans="1:30" ht="58">
      <c r="A181" s="3" t="s">
        <v>1590</v>
      </c>
      <c r="B181" s="3" t="s">
        <v>6368</v>
      </c>
      <c r="C181" s="3" t="s">
        <v>6369</v>
      </c>
      <c r="G181" s="9" t="s">
        <v>25</v>
      </c>
      <c r="H181" s="9"/>
      <c r="I181" s="9">
        <v>1</v>
      </c>
      <c r="J181" s="9">
        <v>3</v>
      </c>
      <c r="K181" s="9" t="s">
        <v>12087</v>
      </c>
      <c r="L181" s="9" t="s">
        <v>12079</v>
      </c>
      <c r="M181" s="9"/>
      <c r="N181" s="10"/>
      <c r="O181" s="9"/>
      <c r="P181" s="9">
        <v>309</v>
      </c>
      <c r="Q181" s="9">
        <v>37.130497476568131</v>
      </c>
      <c r="R181" s="9"/>
      <c r="S181" s="9" t="s">
        <v>12795</v>
      </c>
      <c r="T181" s="9" t="s">
        <v>12795</v>
      </c>
      <c r="U181" s="9"/>
      <c r="V181" s="9"/>
      <c r="W181" s="9"/>
      <c r="X181" s="9"/>
      <c r="Y181" s="9"/>
      <c r="Z181" s="9"/>
      <c r="AA181" s="9"/>
      <c r="AB181" s="9"/>
      <c r="AC181" s="9"/>
      <c r="AD181" s="9"/>
    </row>
    <row r="182" spans="1:30" ht="29">
      <c r="A182" s="3" t="s">
        <v>1619</v>
      </c>
      <c r="B182" s="3" t="s">
        <v>6392</v>
      </c>
      <c r="C182" s="3" t="s">
        <v>6393</v>
      </c>
      <c r="G182" s="9" t="s">
        <v>24</v>
      </c>
      <c r="H182" s="9"/>
      <c r="I182" s="9">
        <v>1</v>
      </c>
      <c r="J182" s="9">
        <v>3</v>
      </c>
      <c r="K182" s="9" t="s">
        <v>12094</v>
      </c>
      <c r="L182" s="9" t="s">
        <v>12079</v>
      </c>
      <c r="M182" s="9"/>
      <c r="N182" s="10"/>
      <c r="O182" s="9"/>
      <c r="P182" s="9">
        <v>1741</v>
      </c>
      <c r="Q182" s="9">
        <v>209.20451814467677</v>
      </c>
      <c r="R182" s="9"/>
      <c r="S182" s="9" t="s">
        <v>12795</v>
      </c>
      <c r="T182" s="9" t="s">
        <v>12795</v>
      </c>
      <c r="U182" s="9"/>
      <c r="V182" s="9"/>
      <c r="W182" s="9"/>
      <c r="X182" s="9"/>
      <c r="Y182" s="9"/>
      <c r="Z182" s="9"/>
      <c r="AA182" s="9"/>
      <c r="AB182" s="9"/>
      <c r="AC182" s="9"/>
      <c r="AD182" s="9"/>
    </row>
    <row r="183" spans="1:30" ht="58">
      <c r="A183" s="3" t="s">
        <v>1620</v>
      </c>
      <c r="B183" s="3" t="s">
        <v>6394</v>
      </c>
      <c r="C183" s="3" t="s">
        <v>12267</v>
      </c>
      <c r="G183" s="9" t="s">
        <v>24</v>
      </c>
      <c r="H183" s="9"/>
      <c r="I183" s="9">
        <v>1</v>
      </c>
      <c r="J183" s="9">
        <v>2</v>
      </c>
      <c r="K183" s="9" t="s">
        <v>12096</v>
      </c>
      <c r="L183" s="9" t="s">
        <v>12119</v>
      </c>
      <c r="M183" s="9"/>
      <c r="N183" s="10"/>
      <c r="O183" s="9"/>
      <c r="P183" s="9">
        <v>485</v>
      </c>
      <c r="Q183" s="9">
        <v>58.279259793318907</v>
      </c>
      <c r="R183" s="9"/>
      <c r="S183" s="9" t="s">
        <v>12795</v>
      </c>
      <c r="T183" s="9" t="s">
        <v>12795</v>
      </c>
      <c r="U183" s="9"/>
      <c r="V183" s="9"/>
      <c r="W183" s="9"/>
      <c r="X183" s="9"/>
      <c r="Y183" s="9"/>
      <c r="Z183" s="9"/>
      <c r="AA183" s="9"/>
      <c r="AB183" s="9"/>
      <c r="AC183" s="9"/>
      <c r="AD183" s="9"/>
    </row>
    <row r="184" spans="1:30" ht="43.5">
      <c r="A184" s="3" t="s">
        <v>1638</v>
      </c>
      <c r="B184" s="3" t="s">
        <v>6418</v>
      </c>
      <c r="C184" s="3" t="s">
        <v>6419</v>
      </c>
      <c r="G184" s="9" t="s">
        <v>25</v>
      </c>
      <c r="H184" s="9"/>
      <c r="I184" s="9">
        <v>1</v>
      </c>
      <c r="J184" s="9">
        <v>2</v>
      </c>
      <c r="K184" s="9" t="s">
        <v>12078</v>
      </c>
      <c r="L184" s="9" t="s">
        <v>12119</v>
      </c>
      <c r="M184" s="9"/>
      <c r="N184" s="10"/>
      <c r="O184" s="9"/>
      <c r="P184" s="9">
        <v>11843</v>
      </c>
      <c r="Q184" s="9">
        <v>1423.0954097572699</v>
      </c>
      <c r="R184" s="9"/>
      <c r="S184" s="9" t="s">
        <v>12795</v>
      </c>
      <c r="T184" s="9" t="s">
        <v>12795</v>
      </c>
      <c r="U184" s="9"/>
      <c r="V184" s="9"/>
      <c r="W184" s="9"/>
      <c r="X184" s="9"/>
      <c r="Y184" s="9"/>
      <c r="Z184" s="9"/>
      <c r="AA184" s="9"/>
      <c r="AB184" s="9"/>
      <c r="AC184" s="9"/>
      <c r="AD184" s="9"/>
    </row>
    <row r="185" spans="1:30" ht="43.5">
      <c r="A185" s="3" t="s">
        <v>1644</v>
      </c>
      <c r="B185" s="3" t="s">
        <v>6430</v>
      </c>
      <c r="C185" s="3" t="s">
        <v>6429</v>
      </c>
      <c r="G185" s="9" t="s">
        <v>24</v>
      </c>
      <c r="H185" s="9"/>
      <c r="I185" s="9">
        <v>1</v>
      </c>
      <c r="J185" s="9">
        <v>3</v>
      </c>
      <c r="K185" s="9" t="s">
        <v>12078</v>
      </c>
      <c r="L185" s="9" t="s">
        <v>12073</v>
      </c>
      <c r="M185" s="9" t="s">
        <v>12142</v>
      </c>
      <c r="N185" s="10" t="s">
        <v>12143</v>
      </c>
      <c r="O185" s="9" t="s">
        <v>12074</v>
      </c>
      <c r="P185" s="9">
        <v>11843</v>
      </c>
      <c r="Q185" s="9">
        <v>1423.0954097572699</v>
      </c>
      <c r="R185" s="9"/>
      <c r="S185" s="9" t="s">
        <v>12795</v>
      </c>
      <c r="T185" s="9" t="s">
        <v>12795</v>
      </c>
      <c r="U185" s="9"/>
      <c r="V185" s="9"/>
      <c r="W185" s="9"/>
      <c r="X185" s="9"/>
      <c r="Y185" s="9"/>
      <c r="Z185" s="9"/>
      <c r="AA185" s="9"/>
      <c r="AB185" s="9"/>
      <c r="AC185" s="9"/>
      <c r="AD185" s="9"/>
    </row>
    <row r="186" spans="1:30" ht="29">
      <c r="A186" s="3" t="s">
        <v>1645</v>
      </c>
      <c r="B186" s="3" t="s">
        <v>6431</v>
      </c>
      <c r="C186" s="3" t="s">
        <v>6432</v>
      </c>
      <c r="G186" s="9" t="s">
        <v>24</v>
      </c>
      <c r="H186" s="9"/>
      <c r="I186" s="9">
        <v>1</v>
      </c>
      <c r="J186" s="9">
        <v>3</v>
      </c>
      <c r="K186" s="9" t="s">
        <v>12078</v>
      </c>
      <c r="L186" s="9" t="s">
        <v>12079</v>
      </c>
      <c r="M186" s="9"/>
      <c r="N186" s="10"/>
      <c r="O186" s="9"/>
      <c r="P186" s="9">
        <v>11843</v>
      </c>
      <c r="Q186" s="9">
        <v>1423.0954097572699</v>
      </c>
      <c r="R186" s="9"/>
      <c r="S186" s="9" t="s">
        <v>12795</v>
      </c>
      <c r="T186" s="9" t="s">
        <v>12795</v>
      </c>
      <c r="U186" s="9"/>
      <c r="V186" s="9"/>
      <c r="W186" s="9"/>
      <c r="X186" s="9"/>
      <c r="Y186" s="9"/>
      <c r="Z186" s="9"/>
      <c r="AA186" s="9"/>
      <c r="AB186" s="9"/>
      <c r="AC186" s="9"/>
      <c r="AD186" s="9"/>
    </row>
    <row r="187" spans="1:30" ht="58">
      <c r="A187" s="3" t="s">
        <v>1648</v>
      </c>
      <c r="B187" s="3" t="s">
        <v>6435</v>
      </c>
      <c r="C187" s="3" t="s">
        <v>6436</v>
      </c>
      <c r="G187" s="9" t="s">
        <v>25</v>
      </c>
      <c r="H187" s="9"/>
      <c r="I187" s="9">
        <v>1</v>
      </c>
      <c r="J187" s="9">
        <v>3</v>
      </c>
      <c r="K187" s="9" t="s">
        <v>12078</v>
      </c>
      <c r="L187" s="9" t="s">
        <v>12079</v>
      </c>
      <c r="M187" s="9"/>
      <c r="N187" s="10"/>
      <c r="O187" s="9"/>
      <c r="P187" s="9">
        <v>11843</v>
      </c>
      <c r="Q187" s="9">
        <v>1423.0954097572699</v>
      </c>
      <c r="R187" s="9"/>
      <c r="S187" s="9" t="s">
        <v>12795</v>
      </c>
      <c r="T187" s="9" t="s">
        <v>12795</v>
      </c>
      <c r="U187" s="9"/>
      <c r="V187" s="9"/>
      <c r="W187" s="9"/>
      <c r="X187" s="9"/>
      <c r="Y187" s="9"/>
      <c r="Z187" s="9"/>
      <c r="AA187" s="9"/>
      <c r="AB187" s="9"/>
      <c r="AC187" s="9"/>
      <c r="AD187" s="9"/>
    </row>
    <row r="188" spans="1:30" ht="58">
      <c r="A188" s="3" t="s">
        <v>1649</v>
      </c>
      <c r="B188" s="3" t="s">
        <v>6440</v>
      </c>
      <c r="C188" s="3" t="s">
        <v>6437</v>
      </c>
      <c r="G188" s="9" t="s">
        <v>25</v>
      </c>
      <c r="H188" s="9"/>
      <c r="I188" s="9">
        <v>1</v>
      </c>
      <c r="J188" s="9">
        <v>5</v>
      </c>
      <c r="K188" s="9" t="s">
        <v>12094</v>
      </c>
      <c r="L188" s="9" t="s">
        <v>12073</v>
      </c>
      <c r="M188" s="9" t="s">
        <v>12142</v>
      </c>
      <c r="N188" s="10" t="s">
        <v>12143</v>
      </c>
      <c r="O188" s="9"/>
      <c r="P188" s="9">
        <v>4240</v>
      </c>
      <c r="Q188" s="9">
        <v>509.49291035808699</v>
      </c>
      <c r="R188" s="9"/>
      <c r="S188" s="9" t="s">
        <v>12795</v>
      </c>
      <c r="T188" s="9" t="s">
        <v>12795</v>
      </c>
      <c r="U188" s="9"/>
      <c r="V188" s="9"/>
      <c r="W188" s="9"/>
      <c r="X188" s="9"/>
      <c r="Y188" s="9"/>
      <c r="Z188" s="9"/>
      <c r="AA188" s="9"/>
      <c r="AB188" s="9"/>
      <c r="AC188" s="9"/>
      <c r="AD188" s="9"/>
    </row>
    <row r="189" spans="1:30" ht="43.5">
      <c r="A189" s="3" t="s">
        <v>1659</v>
      </c>
      <c r="B189" s="3" t="s">
        <v>6446</v>
      </c>
      <c r="C189" s="3" t="s">
        <v>6448</v>
      </c>
      <c r="G189" s="9" t="s">
        <v>25</v>
      </c>
      <c r="H189" s="9"/>
      <c r="I189" s="9">
        <v>1</v>
      </c>
      <c r="J189" s="9">
        <v>5</v>
      </c>
      <c r="K189" s="9" t="s">
        <v>12094</v>
      </c>
      <c r="L189" s="9" t="s">
        <v>12073</v>
      </c>
      <c r="M189" s="9" t="s">
        <v>12142</v>
      </c>
      <c r="N189" s="10" t="s">
        <v>12143</v>
      </c>
      <c r="O189" s="9"/>
      <c r="P189" s="9">
        <v>4240</v>
      </c>
      <c r="Q189" s="9">
        <v>509.49291035808699</v>
      </c>
      <c r="R189" s="9"/>
      <c r="S189" s="9" t="s">
        <v>12795</v>
      </c>
      <c r="T189" s="9" t="s">
        <v>12795</v>
      </c>
      <c r="U189" s="9"/>
      <c r="V189" s="9"/>
      <c r="W189" s="9"/>
      <c r="X189" s="9"/>
      <c r="Y189" s="9"/>
      <c r="Z189" s="9"/>
      <c r="AA189" s="9"/>
      <c r="AB189" s="9"/>
      <c r="AC189" s="9"/>
      <c r="AD189" s="9"/>
    </row>
    <row r="190" spans="1:30" ht="58">
      <c r="A190" s="3" t="s">
        <v>1665</v>
      </c>
      <c r="B190" s="3" t="s">
        <v>6450</v>
      </c>
      <c r="C190" s="3" t="s">
        <v>6449</v>
      </c>
      <c r="G190" s="9" t="s">
        <v>25</v>
      </c>
      <c r="H190" s="9"/>
      <c r="I190" s="9">
        <v>1</v>
      </c>
      <c r="J190" s="9">
        <v>3</v>
      </c>
      <c r="K190" s="9" t="s">
        <v>12087</v>
      </c>
      <c r="L190" s="9" t="s">
        <v>12119</v>
      </c>
      <c r="M190" s="9"/>
      <c r="N190" s="10"/>
      <c r="O190" s="9"/>
      <c r="P190" s="9">
        <v>5676</v>
      </c>
      <c r="Q190" s="9">
        <v>682.04758471521268</v>
      </c>
      <c r="R190" s="9"/>
      <c r="S190" s="9" t="s">
        <v>12795</v>
      </c>
      <c r="T190" s="9" t="s">
        <v>12795</v>
      </c>
      <c r="U190" s="9"/>
      <c r="V190" s="9"/>
      <c r="W190" s="9"/>
      <c r="X190" s="9"/>
      <c r="Y190" s="9"/>
      <c r="Z190" s="9"/>
      <c r="AA190" s="9"/>
      <c r="AB190" s="9"/>
      <c r="AC190" s="9"/>
      <c r="AD190" s="9"/>
    </row>
    <row r="191" spans="1:30" ht="58">
      <c r="A191" s="3" t="s">
        <v>1670</v>
      </c>
      <c r="B191" s="3" t="s">
        <v>6453</v>
      </c>
      <c r="C191" s="3" t="s">
        <v>6454</v>
      </c>
      <c r="G191" s="9" t="s">
        <v>24</v>
      </c>
      <c r="H191" s="9"/>
      <c r="I191" s="9">
        <v>1</v>
      </c>
      <c r="J191" s="9">
        <v>4</v>
      </c>
      <c r="K191" s="9" t="s">
        <v>12078</v>
      </c>
      <c r="L191" s="9" t="s">
        <v>12073</v>
      </c>
      <c r="M191" s="9" t="s">
        <v>12149</v>
      </c>
      <c r="N191" s="10" t="s">
        <v>12160</v>
      </c>
      <c r="O191" s="9"/>
      <c r="P191" s="9">
        <v>11843</v>
      </c>
      <c r="Q191" s="9">
        <v>1423.0954097572699</v>
      </c>
      <c r="R191" s="9"/>
      <c r="S191" s="9" t="s">
        <v>12795</v>
      </c>
      <c r="T191" s="9" t="s">
        <v>12795</v>
      </c>
      <c r="U191" s="9"/>
      <c r="V191" s="9"/>
      <c r="W191" s="9"/>
      <c r="X191" s="9"/>
      <c r="Y191" s="9"/>
      <c r="Z191" s="9"/>
      <c r="AA191" s="9"/>
      <c r="AB191" s="9"/>
      <c r="AC191" s="9"/>
      <c r="AD191" s="9"/>
    </row>
    <row r="192" spans="1:30" ht="58">
      <c r="A192" s="3" t="s">
        <v>1670</v>
      </c>
      <c r="B192" s="3" t="s">
        <v>6453</v>
      </c>
      <c r="C192" s="3" t="s">
        <v>6455</v>
      </c>
      <c r="G192" s="9" t="s">
        <v>24</v>
      </c>
      <c r="H192" s="9"/>
      <c r="I192" s="9">
        <v>1</v>
      </c>
      <c r="J192" s="9">
        <v>3</v>
      </c>
      <c r="K192" s="9" t="s">
        <v>12087</v>
      </c>
      <c r="L192" s="9" t="s">
        <v>12119</v>
      </c>
      <c r="M192" s="9"/>
      <c r="N192" s="10"/>
      <c r="O192" s="9"/>
      <c r="P192" s="9">
        <v>5676</v>
      </c>
      <c r="Q192" s="9">
        <v>682.04758471521268</v>
      </c>
      <c r="R192" s="9"/>
      <c r="S192" s="9" t="s">
        <v>12795</v>
      </c>
      <c r="T192" s="9" t="s">
        <v>12795</v>
      </c>
      <c r="U192" s="9"/>
      <c r="V192" s="9"/>
      <c r="W192" s="9"/>
      <c r="X192" s="9"/>
      <c r="Y192" s="9"/>
      <c r="Z192" s="9"/>
      <c r="AA192" s="9"/>
      <c r="AB192" s="9"/>
      <c r="AC192" s="9"/>
      <c r="AD192" s="9"/>
    </row>
    <row r="193" spans="1:30" ht="43.5">
      <c r="A193" s="3" t="s">
        <v>1677</v>
      </c>
      <c r="B193" s="3" t="s">
        <v>6461</v>
      </c>
      <c r="C193" s="3" t="s">
        <v>6460</v>
      </c>
      <c r="G193" s="9" t="s">
        <v>25</v>
      </c>
      <c r="H193" s="9"/>
      <c r="I193" s="9">
        <v>1</v>
      </c>
      <c r="J193" s="9">
        <v>4</v>
      </c>
      <c r="K193" s="9" t="s">
        <v>12078</v>
      </c>
      <c r="L193" s="9" t="s">
        <v>12073</v>
      </c>
      <c r="M193" s="9" t="s">
        <v>12142</v>
      </c>
      <c r="N193" s="10" t="s">
        <v>12160</v>
      </c>
      <c r="O193" s="9" t="s">
        <v>12074</v>
      </c>
      <c r="P193" s="9">
        <v>11843</v>
      </c>
      <c r="Q193" s="9">
        <v>1423.0954097572699</v>
      </c>
      <c r="R193" s="9"/>
      <c r="S193" s="9" t="s">
        <v>12795</v>
      </c>
      <c r="T193" s="9" t="s">
        <v>12795</v>
      </c>
      <c r="U193" s="9"/>
      <c r="V193" s="9"/>
      <c r="W193" s="9"/>
      <c r="X193" s="9"/>
      <c r="Y193" s="9"/>
      <c r="Z193" s="9"/>
      <c r="AA193" s="9"/>
      <c r="AB193" s="9"/>
      <c r="AC193" s="9"/>
      <c r="AD193" s="9"/>
    </row>
    <row r="194" spans="1:30" ht="58">
      <c r="A194" s="3" t="s">
        <v>1692</v>
      </c>
      <c r="B194" s="3" t="s">
        <v>6480</v>
      </c>
      <c r="C194" s="3" t="s">
        <v>6481</v>
      </c>
      <c r="G194" s="9" t="s">
        <v>24</v>
      </c>
      <c r="H194" s="9"/>
      <c r="I194" s="9">
        <v>1</v>
      </c>
      <c r="J194" s="9">
        <v>2</v>
      </c>
      <c r="K194" s="9" t="s">
        <v>12078</v>
      </c>
      <c r="L194" s="9" t="s">
        <v>12119</v>
      </c>
      <c r="M194" s="9"/>
      <c r="N194" s="10"/>
      <c r="O194" s="9"/>
      <c r="P194" s="9">
        <v>11843</v>
      </c>
      <c r="Q194" s="9">
        <v>1423.0954097572699</v>
      </c>
      <c r="R194" s="9"/>
      <c r="S194" s="9" t="s">
        <v>12795</v>
      </c>
      <c r="T194" s="9" t="s">
        <v>12795</v>
      </c>
      <c r="U194" s="9"/>
      <c r="V194" s="9"/>
      <c r="W194" s="9"/>
      <c r="X194" s="9"/>
      <c r="Y194" s="9"/>
      <c r="Z194" s="9"/>
      <c r="AA194" s="9"/>
      <c r="AB194" s="9"/>
      <c r="AC194" s="9"/>
      <c r="AD194" s="9"/>
    </row>
    <row r="195" spans="1:30" ht="43.5">
      <c r="A195" s="3" t="s">
        <v>1708</v>
      </c>
      <c r="B195" s="3" t="s">
        <v>5839</v>
      </c>
      <c r="C195" s="3" t="s">
        <v>6506</v>
      </c>
      <c r="G195" s="9" t="s">
        <v>25</v>
      </c>
      <c r="H195" s="9"/>
      <c r="I195" s="9">
        <v>1</v>
      </c>
      <c r="J195" s="9">
        <v>4</v>
      </c>
      <c r="K195" s="9" t="s">
        <v>12078</v>
      </c>
      <c r="L195" s="9" t="s">
        <v>12079</v>
      </c>
      <c r="M195" s="9"/>
      <c r="N195" s="10"/>
      <c r="O195" s="9"/>
      <c r="P195" s="9">
        <v>11843</v>
      </c>
      <c r="Q195" s="9">
        <v>1423.0954097572699</v>
      </c>
      <c r="R195" s="9"/>
      <c r="S195" s="9" t="s">
        <v>12795</v>
      </c>
      <c r="T195" s="9" t="s">
        <v>12795</v>
      </c>
      <c r="U195" s="9"/>
      <c r="V195" s="9"/>
      <c r="W195" s="9"/>
      <c r="X195" s="9"/>
      <c r="Y195" s="9"/>
      <c r="Z195" s="9"/>
      <c r="AA195" s="9"/>
      <c r="AB195" s="9"/>
      <c r="AC195" s="9"/>
      <c r="AD195" s="9"/>
    </row>
    <row r="196" spans="1:30" ht="29">
      <c r="A196" s="3" t="s">
        <v>1709</v>
      </c>
      <c r="B196" s="3" t="s">
        <v>6076</v>
      </c>
      <c r="C196" s="3" t="s">
        <v>6077</v>
      </c>
      <c r="G196" s="9" t="s">
        <v>24</v>
      </c>
      <c r="H196" s="9"/>
      <c r="I196" s="9">
        <v>1</v>
      </c>
      <c r="J196" s="9">
        <v>1</v>
      </c>
      <c r="K196" s="9" t="s">
        <v>12078</v>
      </c>
      <c r="L196" s="9" t="s">
        <v>12119</v>
      </c>
      <c r="M196" s="9"/>
      <c r="N196" s="10"/>
      <c r="O196" s="9" t="s">
        <v>12074</v>
      </c>
      <c r="P196" s="9">
        <v>11843</v>
      </c>
      <c r="Q196" s="9">
        <v>1423.0954097572699</v>
      </c>
      <c r="R196" s="9"/>
      <c r="S196" s="9" t="s">
        <v>12795</v>
      </c>
      <c r="T196" s="9" t="s">
        <v>12795</v>
      </c>
      <c r="U196" s="9"/>
      <c r="V196" s="9"/>
      <c r="W196" s="9"/>
      <c r="X196" s="9"/>
      <c r="Y196" s="9"/>
      <c r="Z196" s="9"/>
      <c r="AA196" s="9"/>
      <c r="AB196" s="9"/>
      <c r="AC196" s="9"/>
      <c r="AD196" s="9"/>
    </row>
    <row r="197" spans="1:30" ht="87">
      <c r="A197" s="3" t="s">
        <v>1711</v>
      </c>
      <c r="B197" s="3" t="s">
        <v>6511</v>
      </c>
      <c r="C197" s="3" t="s">
        <v>6509</v>
      </c>
      <c r="G197" s="9" t="s">
        <v>25</v>
      </c>
      <c r="H197" s="9"/>
      <c r="I197" s="9">
        <v>1</v>
      </c>
      <c r="J197" s="9">
        <v>4</v>
      </c>
      <c r="K197" s="9" t="s">
        <v>12094</v>
      </c>
      <c r="L197" s="9" t="s">
        <v>12079</v>
      </c>
      <c r="M197" s="9"/>
      <c r="N197" s="10"/>
      <c r="O197" s="9"/>
      <c r="P197" s="9">
        <v>4240</v>
      </c>
      <c r="Q197" s="9">
        <v>509.49291035808699</v>
      </c>
      <c r="R197" s="9"/>
      <c r="S197" s="9" t="s">
        <v>12795</v>
      </c>
      <c r="T197" s="9" t="s">
        <v>12795</v>
      </c>
      <c r="U197" s="9"/>
      <c r="V197" s="9"/>
      <c r="W197" s="9"/>
      <c r="X197" s="9"/>
      <c r="Y197" s="9"/>
      <c r="Z197" s="9"/>
      <c r="AA197" s="9"/>
      <c r="AB197" s="9"/>
      <c r="AC197" s="9"/>
      <c r="AD197" s="9"/>
    </row>
    <row r="198" spans="1:30" ht="29">
      <c r="A198" s="3" t="s">
        <v>1713</v>
      </c>
      <c r="B198" s="3" t="s">
        <v>6521</v>
      </c>
      <c r="C198" s="3" t="s">
        <v>6522</v>
      </c>
      <c r="G198" s="9" t="s">
        <v>24</v>
      </c>
      <c r="H198" s="9"/>
      <c r="I198" s="9">
        <v>1</v>
      </c>
      <c r="J198" s="9">
        <v>3</v>
      </c>
      <c r="K198" s="9" t="s">
        <v>12087</v>
      </c>
      <c r="L198" s="9" t="s">
        <v>12079</v>
      </c>
      <c r="M198" s="9"/>
      <c r="N198" s="10"/>
      <c r="O198" s="9"/>
      <c r="P198" s="9">
        <v>5676</v>
      </c>
      <c r="Q198" s="9">
        <v>682.04758471521268</v>
      </c>
      <c r="R198" s="9"/>
      <c r="S198" s="9" t="s">
        <v>12795</v>
      </c>
      <c r="T198" s="9" t="s">
        <v>12795</v>
      </c>
      <c r="U198" s="9"/>
      <c r="V198" s="9"/>
      <c r="W198" s="9"/>
      <c r="X198" s="9"/>
      <c r="Y198" s="9"/>
      <c r="Z198" s="9"/>
      <c r="AA198" s="9"/>
      <c r="AB198" s="9"/>
      <c r="AC198" s="9"/>
      <c r="AD198" s="9"/>
    </row>
    <row r="199" spans="1:30" ht="101.5">
      <c r="A199" s="3" t="s">
        <v>1715</v>
      </c>
      <c r="B199" s="3" t="s">
        <v>6523</v>
      </c>
      <c r="C199" s="3" t="s">
        <v>6524</v>
      </c>
      <c r="G199" s="9" t="s">
        <v>24</v>
      </c>
      <c r="H199" s="9"/>
      <c r="I199" s="9">
        <v>1</v>
      </c>
      <c r="J199" s="9">
        <v>3</v>
      </c>
      <c r="K199" s="9" t="s">
        <v>12087</v>
      </c>
      <c r="L199" s="9" t="s">
        <v>12079</v>
      </c>
      <c r="M199" s="9"/>
      <c r="N199" s="10"/>
      <c r="O199" s="9"/>
      <c r="P199" s="9">
        <v>5676</v>
      </c>
      <c r="Q199" s="9">
        <v>682.04758471521268</v>
      </c>
      <c r="R199" s="9"/>
      <c r="S199" s="9" t="s">
        <v>12795</v>
      </c>
      <c r="T199" s="9" t="s">
        <v>12795</v>
      </c>
      <c r="U199" s="9"/>
      <c r="V199" s="9"/>
      <c r="W199" s="9"/>
      <c r="X199" s="9"/>
      <c r="Y199" s="9"/>
      <c r="Z199" s="9"/>
      <c r="AA199" s="9"/>
      <c r="AB199" s="9"/>
      <c r="AC199" s="9"/>
      <c r="AD199" s="9"/>
    </row>
    <row r="200" spans="1:30" ht="29">
      <c r="A200" s="3" t="s">
        <v>1716</v>
      </c>
      <c r="B200" s="3" t="s">
        <v>6531</v>
      </c>
      <c r="C200" s="3" t="s">
        <v>6532</v>
      </c>
      <c r="G200" s="9" t="s">
        <v>24</v>
      </c>
      <c r="H200" s="9"/>
      <c r="I200" s="9">
        <v>1</v>
      </c>
      <c r="J200" s="9">
        <v>2</v>
      </c>
      <c r="K200" s="9" t="s">
        <v>12078</v>
      </c>
      <c r="L200" s="9" t="s">
        <v>12119</v>
      </c>
      <c r="M200" s="9"/>
      <c r="N200" s="10"/>
      <c r="O200" s="9"/>
      <c r="P200" s="9">
        <v>11843</v>
      </c>
      <c r="Q200" s="9">
        <v>1423.0954097572699</v>
      </c>
      <c r="R200" s="9"/>
      <c r="S200" s="9" t="s">
        <v>12795</v>
      </c>
      <c r="T200" s="9" t="s">
        <v>12795</v>
      </c>
      <c r="U200" s="9"/>
      <c r="V200" s="9"/>
      <c r="W200" s="9"/>
      <c r="X200" s="9"/>
      <c r="Y200" s="9"/>
      <c r="Z200" s="9"/>
      <c r="AA200" s="9"/>
      <c r="AB200" s="9"/>
      <c r="AC200" s="9"/>
      <c r="AD200" s="9"/>
    </row>
    <row r="201" spans="1:30" ht="43.5">
      <c r="A201" s="3" t="s">
        <v>1735</v>
      </c>
      <c r="B201" s="3" t="s">
        <v>6567</v>
      </c>
      <c r="C201" s="3" t="s">
        <v>6568</v>
      </c>
      <c r="G201" s="9" t="s">
        <v>24</v>
      </c>
      <c r="H201" s="9"/>
      <c r="I201" s="9">
        <v>1</v>
      </c>
      <c r="J201" s="9">
        <v>3</v>
      </c>
      <c r="K201" s="9" t="s">
        <v>12087</v>
      </c>
      <c r="L201" s="9" t="s">
        <v>12079</v>
      </c>
      <c r="M201" s="9"/>
      <c r="N201" s="10"/>
      <c r="O201" s="9"/>
      <c r="P201" s="9">
        <v>148</v>
      </c>
      <c r="Q201" s="9">
        <v>17.784186493631339</v>
      </c>
      <c r="R201" s="9"/>
      <c r="S201" s="9" t="s">
        <v>12795</v>
      </c>
      <c r="T201" s="9" t="s">
        <v>12795</v>
      </c>
      <c r="U201" s="9"/>
      <c r="V201" s="9"/>
      <c r="W201" s="9"/>
      <c r="X201" s="9"/>
      <c r="Y201" s="9"/>
      <c r="Z201" s="9"/>
      <c r="AA201" s="9"/>
      <c r="AB201" s="9"/>
      <c r="AC201" s="9"/>
      <c r="AD201" s="9"/>
    </row>
    <row r="202" spans="1:30" ht="29">
      <c r="A202" s="3" t="s">
        <v>1739</v>
      </c>
      <c r="B202" s="3" t="s">
        <v>6581</v>
      </c>
      <c r="C202" s="3" t="s">
        <v>6582</v>
      </c>
      <c r="G202" s="9" t="s">
        <v>25</v>
      </c>
      <c r="H202" s="9"/>
      <c r="I202" s="9">
        <v>1</v>
      </c>
      <c r="J202" s="9">
        <v>1</v>
      </c>
      <c r="K202" s="9" t="s">
        <v>12078</v>
      </c>
      <c r="L202" s="9" t="s">
        <v>12119</v>
      </c>
      <c r="M202" s="9"/>
      <c r="N202" s="10"/>
      <c r="O202" s="9" t="s">
        <v>12074</v>
      </c>
      <c r="P202" s="9">
        <v>11843</v>
      </c>
      <c r="Q202" s="9">
        <v>1423.0954097572699</v>
      </c>
      <c r="R202" s="9"/>
      <c r="S202" s="9" t="s">
        <v>12795</v>
      </c>
      <c r="T202" s="9" t="s">
        <v>12795</v>
      </c>
      <c r="U202" s="9"/>
      <c r="V202" s="9"/>
      <c r="W202" s="9"/>
      <c r="X202" s="9"/>
      <c r="Y202" s="9"/>
      <c r="Z202" s="9"/>
      <c r="AA202" s="9"/>
      <c r="AB202" s="9"/>
      <c r="AC202" s="9"/>
      <c r="AD202" s="9"/>
    </row>
    <row r="203" spans="1:30" ht="58">
      <c r="A203" s="3" t="s">
        <v>1746</v>
      </c>
      <c r="B203" s="3" t="s">
        <v>6593</v>
      </c>
      <c r="C203" s="3" t="s">
        <v>6594</v>
      </c>
      <c r="G203" s="9" t="s">
        <v>25</v>
      </c>
      <c r="H203" s="9"/>
      <c r="I203" s="9">
        <v>1</v>
      </c>
      <c r="J203" s="9">
        <v>5</v>
      </c>
      <c r="K203" s="9" t="s">
        <v>12094</v>
      </c>
      <c r="L203" s="9" t="s">
        <v>12079</v>
      </c>
      <c r="M203" s="9"/>
      <c r="N203" s="10"/>
      <c r="O203" s="9"/>
      <c r="P203" s="9">
        <v>4240</v>
      </c>
      <c r="Q203" s="9">
        <v>509.49291035808699</v>
      </c>
      <c r="R203" s="9"/>
      <c r="S203" s="9" t="s">
        <v>12795</v>
      </c>
      <c r="T203" s="9" t="s">
        <v>12795</v>
      </c>
      <c r="U203" s="9"/>
      <c r="V203" s="9"/>
      <c r="W203" s="9"/>
      <c r="X203" s="9"/>
      <c r="Y203" s="9"/>
      <c r="Z203" s="9"/>
      <c r="AA203" s="9"/>
      <c r="AB203" s="9"/>
      <c r="AC203" s="9"/>
      <c r="AD203" s="9"/>
    </row>
    <row r="204" spans="1:30" ht="29">
      <c r="A204" s="3" t="s">
        <v>1747</v>
      </c>
      <c r="B204" s="3" t="s">
        <v>12662</v>
      </c>
      <c r="C204" s="3" t="s">
        <v>12663</v>
      </c>
      <c r="G204" s="9" t="s">
        <v>25</v>
      </c>
      <c r="H204" s="9"/>
      <c r="I204" s="9">
        <v>1</v>
      </c>
      <c r="J204" s="9">
        <v>4</v>
      </c>
      <c r="K204" s="9" t="s">
        <v>12094</v>
      </c>
      <c r="L204" s="9" t="s">
        <v>12073</v>
      </c>
      <c r="M204" s="9" t="s">
        <v>12142</v>
      </c>
      <c r="N204" s="10" t="s">
        <v>12143</v>
      </c>
      <c r="O204" s="9"/>
      <c r="P204" s="9">
        <v>4240</v>
      </c>
      <c r="Q204" s="9">
        <v>509.49291035808699</v>
      </c>
      <c r="R204" s="9"/>
      <c r="S204" s="9" t="s">
        <v>12795</v>
      </c>
      <c r="T204" s="9" t="s">
        <v>12795</v>
      </c>
      <c r="U204" s="9"/>
      <c r="V204" s="9"/>
      <c r="W204" s="9"/>
      <c r="X204" s="9"/>
      <c r="Y204" s="9"/>
      <c r="Z204" s="9"/>
      <c r="AA204" s="9"/>
      <c r="AB204" s="9"/>
      <c r="AC204" s="9"/>
      <c r="AD204" s="9"/>
    </row>
    <row r="205" spans="1:30" ht="58">
      <c r="A205" s="3" t="s">
        <v>1759</v>
      </c>
      <c r="B205" s="3" t="s">
        <v>6601</v>
      </c>
      <c r="C205" s="3" t="s">
        <v>6602</v>
      </c>
      <c r="G205" s="9" t="s">
        <v>25</v>
      </c>
      <c r="H205" s="9"/>
      <c r="I205" s="9">
        <v>1</v>
      </c>
      <c r="J205" s="9">
        <v>3</v>
      </c>
      <c r="K205" s="9" t="s">
        <v>12096</v>
      </c>
      <c r="L205" s="9" t="s">
        <v>12079</v>
      </c>
      <c r="M205" s="9"/>
      <c r="N205" s="10"/>
      <c r="O205" s="9"/>
      <c r="P205" s="9">
        <v>1101</v>
      </c>
      <c r="Q205" s="9">
        <v>132.29992790194663</v>
      </c>
      <c r="R205" s="9"/>
      <c r="S205" s="9" t="s">
        <v>12795</v>
      </c>
      <c r="T205" s="9" t="s">
        <v>12795</v>
      </c>
      <c r="U205" s="9"/>
      <c r="V205" s="9"/>
      <c r="W205" s="9"/>
      <c r="X205" s="9"/>
      <c r="Y205" s="9"/>
      <c r="Z205" s="9"/>
      <c r="AA205" s="9"/>
      <c r="AB205" s="9"/>
      <c r="AC205" s="9"/>
      <c r="AD205" s="9"/>
    </row>
    <row r="206" spans="1:30" ht="43.5">
      <c r="A206" s="3" t="s">
        <v>1759</v>
      </c>
      <c r="B206" s="11" t="s">
        <v>12878</v>
      </c>
      <c r="C206" s="11" t="s">
        <v>12881</v>
      </c>
      <c r="G206" s="9" t="s">
        <v>24</v>
      </c>
      <c r="H206" s="9"/>
      <c r="I206" s="9">
        <v>1</v>
      </c>
      <c r="J206" s="9">
        <v>3</v>
      </c>
      <c r="K206" s="9" t="s">
        <v>12078</v>
      </c>
      <c r="L206" s="9" t="s">
        <v>12079</v>
      </c>
      <c r="M206" s="9"/>
      <c r="N206" s="10"/>
      <c r="O206" s="9"/>
      <c r="P206" s="9">
        <v>11843</v>
      </c>
      <c r="Q206" s="9">
        <v>1423.0954097572699</v>
      </c>
      <c r="R206" s="9"/>
      <c r="S206" s="9" t="s">
        <v>12795</v>
      </c>
      <c r="T206" s="9" t="s">
        <v>12795</v>
      </c>
      <c r="U206" s="9"/>
      <c r="V206" s="9"/>
      <c r="W206" s="9"/>
      <c r="X206" s="9"/>
      <c r="Y206" s="9"/>
      <c r="Z206" s="9"/>
      <c r="AA206" s="9"/>
      <c r="AB206" s="9"/>
      <c r="AC206" s="9"/>
      <c r="AD206" s="9"/>
    </row>
    <row r="207" spans="1:30" ht="43.5">
      <c r="A207" s="3" t="s">
        <v>1766</v>
      </c>
      <c r="B207" s="3" t="s">
        <v>6606</v>
      </c>
      <c r="C207" s="3" t="s">
        <v>6605</v>
      </c>
      <c r="G207" s="9" t="s">
        <v>24</v>
      </c>
      <c r="H207" s="9"/>
      <c r="I207" s="9">
        <v>1</v>
      </c>
      <c r="J207" s="9">
        <v>4</v>
      </c>
      <c r="K207" s="9" t="s">
        <v>12078</v>
      </c>
      <c r="L207" s="9" t="s">
        <v>12079</v>
      </c>
      <c r="M207" s="9"/>
      <c r="N207" s="10"/>
      <c r="O207" s="9"/>
      <c r="P207" s="9">
        <v>11843</v>
      </c>
      <c r="Q207" s="9">
        <v>1423.0954097572699</v>
      </c>
      <c r="R207" s="9"/>
      <c r="S207" s="9" t="s">
        <v>12795</v>
      </c>
      <c r="T207" s="9" t="s">
        <v>12795</v>
      </c>
      <c r="U207" s="9"/>
      <c r="V207" s="9"/>
      <c r="W207" s="9"/>
      <c r="X207" s="9"/>
      <c r="Y207" s="9"/>
      <c r="Z207" s="9"/>
      <c r="AA207" s="9"/>
      <c r="AB207" s="9"/>
      <c r="AC207" s="9"/>
      <c r="AD207" s="9"/>
    </row>
    <row r="208" spans="1:30" ht="43.5">
      <c r="A208" s="3" t="s">
        <v>1774</v>
      </c>
      <c r="B208" s="3" t="s">
        <v>6610</v>
      </c>
      <c r="C208" s="3" t="s">
        <v>6611</v>
      </c>
      <c r="G208" s="9" t="s">
        <v>25</v>
      </c>
      <c r="H208" s="9"/>
      <c r="I208" s="9">
        <v>1</v>
      </c>
      <c r="J208" s="9">
        <v>2</v>
      </c>
      <c r="K208" s="9" t="s">
        <v>12096</v>
      </c>
      <c r="L208" s="9" t="s">
        <v>12119</v>
      </c>
      <c r="M208" s="9"/>
      <c r="N208" s="10"/>
      <c r="O208" s="9" t="s">
        <v>12074</v>
      </c>
      <c r="P208" s="9">
        <v>1294</v>
      </c>
      <c r="Q208" s="9">
        <v>155.49146839701996</v>
      </c>
      <c r="R208" s="9"/>
      <c r="S208" s="9" t="s">
        <v>12795</v>
      </c>
      <c r="T208" s="9" t="s">
        <v>12795</v>
      </c>
      <c r="U208" s="9"/>
      <c r="V208" s="9"/>
      <c r="W208" s="9"/>
      <c r="X208" s="9"/>
      <c r="Y208" s="9"/>
      <c r="Z208" s="9"/>
      <c r="AA208" s="9"/>
      <c r="AB208" s="9"/>
      <c r="AC208" s="9"/>
      <c r="AD208" s="9"/>
    </row>
    <row r="209" spans="1:30" ht="43.5">
      <c r="A209" s="3" t="s">
        <v>1786</v>
      </c>
      <c r="B209" s="3" t="s">
        <v>6626</v>
      </c>
      <c r="C209" s="3" t="s">
        <v>6625</v>
      </c>
      <c r="G209" s="9" t="s">
        <v>24</v>
      </c>
      <c r="H209" s="9"/>
      <c r="I209" s="9">
        <v>1</v>
      </c>
      <c r="J209" s="9">
        <v>1</v>
      </c>
      <c r="K209" s="9" t="s">
        <v>12078</v>
      </c>
      <c r="L209" s="9" t="s">
        <v>12119</v>
      </c>
      <c r="M209" s="9"/>
      <c r="N209" s="10"/>
      <c r="O209" s="9"/>
      <c r="P209" s="9">
        <v>11843</v>
      </c>
      <c r="Q209" s="9">
        <v>1423.0954097572699</v>
      </c>
      <c r="R209" s="9"/>
      <c r="S209" s="9" t="s">
        <v>12795</v>
      </c>
      <c r="T209" s="9" t="s">
        <v>12795</v>
      </c>
      <c r="U209" s="9"/>
      <c r="V209" s="9"/>
      <c r="W209" s="9"/>
      <c r="X209" s="9"/>
      <c r="Y209" s="9"/>
      <c r="Z209" s="9"/>
      <c r="AA209" s="9"/>
      <c r="AB209" s="9"/>
      <c r="AC209" s="9"/>
      <c r="AD209" s="9"/>
    </row>
    <row r="210" spans="1:30" ht="29">
      <c r="A210" s="3" t="s">
        <v>1797</v>
      </c>
      <c r="B210" s="3" t="s">
        <v>6642</v>
      </c>
      <c r="C210" s="3" t="s">
        <v>6643</v>
      </c>
      <c r="G210" s="9" t="s">
        <v>25</v>
      </c>
      <c r="H210" s="9"/>
      <c r="I210" s="9">
        <v>1</v>
      </c>
      <c r="J210" s="9">
        <v>1</v>
      </c>
      <c r="K210" s="9" t="s">
        <v>12078</v>
      </c>
      <c r="L210" s="9" t="s">
        <v>12119</v>
      </c>
      <c r="M210" s="9"/>
      <c r="N210" s="10"/>
      <c r="O210" s="9"/>
      <c r="P210" s="9">
        <v>11843</v>
      </c>
      <c r="Q210" s="9">
        <v>1423.0954097572699</v>
      </c>
      <c r="R210" s="9"/>
      <c r="S210" s="9" t="s">
        <v>12795</v>
      </c>
      <c r="T210" s="9" t="s">
        <v>12795</v>
      </c>
      <c r="U210" s="9"/>
      <c r="V210" s="9"/>
      <c r="W210" s="9"/>
      <c r="X210" s="9"/>
      <c r="Y210" s="9"/>
      <c r="Z210" s="9"/>
      <c r="AA210" s="9"/>
      <c r="AB210" s="9"/>
      <c r="AC210" s="9"/>
      <c r="AD210" s="9"/>
    </row>
    <row r="211" spans="1:30" ht="43.5">
      <c r="A211" s="3" t="s">
        <v>1800</v>
      </c>
      <c r="B211" s="11" t="s">
        <v>6645</v>
      </c>
      <c r="C211" s="11" t="s">
        <v>6644</v>
      </c>
      <c r="G211" s="9" t="s">
        <v>24</v>
      </c>
      <c r="H211" s="9"/>
      <c r="I211" s="9">
        <v>1</v>
      </c>
      <c r="J211" s="9">
        <v>3</v>
      </c>
      <c r="K211" s="9" t="s">
        <v>12078</v>
      </c>
      <c r="L211" s="9" t="s">
        <v>12079</v>
      </c>
      <c r="M211" s="9"/>
      <c r="N211" s="10"/>
      <c r="O211" s="9"/>
      <c r="P211" s="9">
        <v>11843</v>
      </c>
      <c r="Q211" s="9">
        <v>1423.0954097572699</v>
      </c>
      <c r="R211" s="9"/>
      <c r="S211" s="9" t="s">
        <v>12795</v>
      </c>
      <c r="T211" s="9" t="s">
        <v>12795</v>
      </c>
      <c r="U211" s="9"/>
      <c r="V211" s="9"/>
      <c r="W211" s="9"/>
      <c r="X211" s="9"/>
      <c r="Y211" s="9"/>
      <c r="Z211" s="9"/>
      <c r="AA211" s="9"/>
      <c r="AB211" s="9"/>
      <c r="AC211" s="9"/>
      <c r="AD211" s="9"/>
    </row>
    <row r="212" spans="1:30" ht="58">
      <c r="A212" s="3" t="s">
        <v>1809</v>
      </c>
      <c r="B212" s="3" t="s">
        <v>6657</v>
      </c>
      <c r="C212" s="3" t="s">
        <v>6660</v>
      </c>
      <c r="G212" s="9" t="s">
        <v>24</v>
      </c>
      <c r="H212" s="9"/>
      <c r="I212" s="9">
        <v>1</v>
      </c>
      <c r="J212" s="9">
        <v>3</v>
      </c>
      <c r="K212" s="9" t="s">
        <v>12078</v>
      </c>
      <c r="L212" s="9" t="s">
        <v>12079</v>
      </c>
      <c r="M212" s="9"/>
      <c r="N212" s="10"/>
      <c r="O212" s="9"/>
      <c r="P212" s="9">
        <v>11843</v>
      </c>
      <c r="Q212" s="9">
        <v>1423.0954097572699</v>
      </c>
      <c r="R212" s="9"/>
      <c r="S212" s="9" t="s">
        <v>12795</v>
      </c>
      <c r="T212" s="9" t="s">
        <v>12795</v>
      </c>
      <c r="U212" s="9"/>
      <c r="V212" s="9"/>
      <c r="W212" s="9"/>
      <c r="X212" s="9"/>
      <c r="Y212" s="9"/>
      <c r="Z212" s="9"/>
      <c r="AA212" s="9"/>
      <c r="AB212" s="9"/>
      <c r="AC212" s="9"/>
      <c r="AD212" s="9"/>
    </row>
    <row r="213" spans="1:30" ht="29">
      <c r="A213" s="3" t="s">
        <v>1811</v>
      </c>
      <c r="B213" s="3" t="s">
        <v>6663</v>
      </c>
      <c r="C213" s="3" t="s">
        <v>6664</v>
      </c>
      <c r="G213" s="9" t="s">
        <v>25</v>
      </c>
      <c r="H213" s="9"/>
      <c r="I213" s="9">
        <v>1</v>
      </c>
      <c r="J213" s="9">
        <v>1</v>
      </c>
      <c r="K213" s="9" t="s">
        <v>12078</v>
      </c>
      <c r="L213" s="9" t="s">
        <v>12119</v>
      </c>
      <c r="M213" s="9"/>
      <c r="N213" s="10"/>
      <c r="O213" s="9"/>
      <c r="P213" s="9">
        <v>11843</v>
      </c>
      <c r="Q213" s="9">
        <v>1423.0954097572699</v>
      </c>
      <c r="R213" s="9"/>
      <c r="S213" s="9" t="s">
        <v>12795</v>
      </c>
      <c r="T213" s="9" t="s">
        <v>12795</v>
      </c>
      <c r="U213" s="9"/>
      <c r="V213" s="9"/>
      <c r="W213" s="9"/>
      <c r="X213" s="9"/>
      <c r="Y213" s="9"/>
      <c r="Z213" s="9"/>
      <c r="AA213" s="9"/>
      <c r="AB213" s="9"/>
      <c r="AC213" s="9"/>
      <c r="AD213" s="9"/>
    </row>
    <row r="214" spans="1:30" ht="72.5">
      <c r="A214" s="3" t="s">
        <v>1820</v>
      </c>
      <c r="B214" s="3" t="s">
        <v>6674</v>
      </c>
      <c r="C214" s="3" t="s">
        <v>6673</v>
      </c>
      <c r="G214" s="9" t="s">
        <v>25</v>
      </c>
      <c r="H214" s="9"/>
      <c r="I214" s="9">
        <v>1</v>
      </c>
      <c r="J214" s="9">
        <v>2</v>
      </c>
      <c r="K214" s="9" t="s">
        <v>12078</v>
      </c>
      <c r="L214" s="9" t="s">
        <v>12119</v>
      </c>
      <c r="M214" s="9"/>
      <c r="N214" s="10"/>
      <c r="O214" s="9"/>
      <c r="P214" s="9">
        <v>11843</v>
      </c>
      <c r="Q214" s="9">
        <v>1423.0954097572699</v>
      </c>
      <c r="R214" s="9"/>
      <c r="S214" s="9" t="s">
        <v>12795</v>
      </c>
      <c r="T214" s="9" t="s">
        <v>12795</v>
      </c>
      <c r="U214" s="9"/>
      <c r="V214" s="9"/>
      <c r="W214" s="9"/>
      <c r="X214" s="9"/>
      <c r="Y214" s="9"/>
      <c r="Z214" s="9"/>
      <c r="AA214" s="9"/>
      <c r="AB214" s="9"/>
      <c r="AC214" s="9"/>
      <c r="AD214" s="9"/>
    </row>
    <row r="215" spans="1:30" ht="87">
      <c r="A215" s="3" t="s">
        <v>1822</v>
      </c>
      <c r="B215" s="3" t="s">
        <v>6680</v>
      </c>
      <c r="C215" s="3" t="s">
        <v>6679</v>
      </c>
      <c r="G215" s="9" t="s">
        <v>25</v>
      </c>
      <c r="H215" s="9"/>
      <c r="I215" s="9">
        <v>1</v>
      </c>
      <c r="J215" s="9">
        <v>3</v>
      </c>
      <c r="K215" s="9" t="s">
        <v>12087</v>
      </c>
      <c r="L215" s="9" t="s">
        <v>12079</v>
      </c>
      <c r="M215" s="9"/>
      <c r="N215" s="10"/>
      <c r="O215" s="9"/>
      <c r="P215" s="9">
        <v>5676</v>
      </c>
      <c r="Q215" s="9">
        <v>682.04758471521268</v>
      </c>
      <c r="R215" s="9"/>
      <c r="S215" s="9" t="s">
        <v>12795</v>
      </c>
      <c r="T215" s="9" t="s">
        <v>12795</v>
      </c>
      <c r="U215" s="9"/>
      <c r="V215" s="9"/>
      <c r="W215" s="9"/>
      <c r="X215" s="9"/>
      <c r="Y215" s="9"/>
      <c r="Z215" s="9"/>
      <c r="AA215" s="9"/>
      <c r="AB215" s="9"/>
      <c r="AC215" s="9"/>
      <c r="AD215" s="9"/>
    </row>
    <row r="216" spans="1:30" ht="29">
      <c r="A216" s="3" t="s">
        <v>1831</v>
      </c>
      <c r="B216" s="3" t="s">
        <v>6697</v>
      </c>
      <c r="C216" s="11" t="s">
        <v>6698</v>
      </c>
      <c r="G216" s="9" t="s">
        <v>25</v>
      </c>
      <c r="H216" s="9"/>
      <c r="I216" s="9">
        <v>1</v>
      </c>
      <c r="J216" s="9">
        <v>1</v>
      </c>
      <c r="K216" s="9" t="s">
        <v>12078</v>
      </c>
      <c r="L216" s="9" t="s">
        <v>12119</v>
      </c>
      <c r="M216" s="9"/>
      <c r="N216" s="10"/>
      <c r="O216" s="9"/>
      <c r="P216" s="9">
        <v>11843</v>
      </c>
      <c r="Q216" s="9">
        <v>1423.0954097572699</v>
      </c>
      <c r="R216" s="9"/>
      <c r="S216" s="9" t="s">
        <v>12795</v>
      </c>
      <c r="T216" s="9" t="s">
        <v>12795</v>
      </c>
      <c r="U216" s="9"/>
      <c r="V216" s="9"/>
      <c r="W216" s="9"/>
      <c r="X216" s="9"/>
      <c r="Y216" s="9"/>
      <c r="Z216" s="9"/>
      <c r="AA216" s="9"/>
      <c r="AB216" s="9"/>
      <c r="AC216" s="9"/>
      <c r="AD216" s="9"/>
    </row>
    <row r="217" spans="1:30" ht="130.5">
      <c r="A217" s="3" t="s">
        <v>1841</v>
      </c>
      <c r="B217" s="3" t="s">
        <v>6713</v>
      </c>
      <c r="C217" s="3" t="s">
        <v>6712</v>
      </c>
      <c r="G217" s="9" t="s">
        <v>25</v>
      </c>
      <c r="H217" s="9"/>
      <c r="I217" s="9">
        <v>1</v>
      </c>
      <c r="J217" s="9">
        <v>2</v>
      </c>
      <c r="K217" s="9" t="s">
        <v>12087</v>
      </c>
      <c r="L217" s="9" t="s">
        <v>12119</v>
      </c>
      <c r="M217" s="9"/>
      <c r="N217" s="10"/>
      <c r="O217" s="9"/>
      <c r="P217" s="9">
        <v>227</v>
      </c>
      <c r="Q217" s="9">
        <v>27.277096851718337</v>
      </c>
      <c r="R217" s="9"/>
      <c r="S217" s="9" t="s">
        <v>12795</v>
      </c>
      <c r="T217" s="9" t="s">
        <v>12795</v>
      </c>
      <c r="U217" s="9"/>
      <c r="V217" s="9"/>
      <c r="W217" s="9"/>
      <c r="X217" s="9"/>
      <c r="Y217" s="9"/>
      <c r="Z217" s="9"/>
      <c r="AA217" s="9"/>
      <c r="AB217" s="9"/>
      <c r="AC217" s="9"/>
      <c r="AD217" s="9"/>
    </row>
    <row r="218" spans="1:30" ht="130.5">
      <c r="A218" s="3" t="s">
        <v>1841</v>
      </c>
      <c r="B218" s="3" t="s">
        <v>6714</v>
      </c>
      <c r="C218" s="3" t="s">
        <v>6712</v>
      </c>
      <c r="G218" s="9" t="s">
        <v>25</v>
      </c>
      <c r="H218" s="9"/>
      <c r="I218" s="9">
        <v>1</v>
      </c>
      <c r="J218" s="9">
        <v>4</v>
      </c>
      <c r="K218" s="9" t="s">
        <v>12094</v>
      </c>
      <c r="L218" s="9" t="s">
        <v>12079</v>
      </c>
      <c r="M218" s="9"/>
      <c r="N218" s="10"/>
      <c r="O218" s="9"/>
      <c r="P218" s="9"/>
      <c r="Q218" s="9" t="s">
        <v>12795</v>
      </c>
      <c r="R218" s="9"/>
      <c r="S218" s="9" t="s">
        <v>12795</v>
      </c>
      <c r="T218" s="9" t="s">
        <v>12795</v>
      </c>
      <c r="U218" s="9"/>
      <c r="V218" s="9"/>
      <c r="W218" s="9"/>
      <c r="X218" s="9"/>
      <c r="Y218" s="9"/>
      <c r="Z218" s="9"/>
      <c r="AA218" s="9"/>
      <c r="AB218" s="9"/>
      <c r="AC218" s="9"/>
      <c r="AD218" s="9"/>
    </row>
    <row r="219" spans="1:30" ht="72.5">
      <c r="A219" s="3" t="s">
        <v>1842</v>
      </c>
      <c r="B219" s="3" t="s">
        <v>6720</v>
      </c>
      <c r="C219" s="5" t="s">
        <v>6721</v>
      </c>
      <c r="D219" t="s">
        <v>32</v>
      </c>
      <c r="G219" s="9" t="s">
        <v>25</v>
      </c>
      <c r="H219" s="9"/>
      <c r="I219" s="9">
        <v>1</v>
      </c>
      <c r="J219" s="9">
        <v>2</v>
      </c>
      <c r="K219" s="9" t="s">
        <v>12087</v>
      </c>
      <c r="L219" s="9" t="s">
        <v>12119</v>
      </c>
      <c r="M219" s="9"/>
      <c r="N219" s="10"/>
      <c r="O219" s="9"/>
      <c r="P219" s="9">
        <v>1966</v>
      </c>
      <c r="Q219" s="9">
        <v>236.24128815188658</v>
      </c>
      <c r="R219" s="9"/>
      <c r="S219" s="9" t="s">
        <v>12795</v>
      </c>
      <c r="T219" s="9" t="s">
        <v>12795</v>
      </c>
      <c r="U219" s="9"/>
      <c r="V219" s="9"/>
      <c r="W219" s="9"/>
      <c r="X219" s="9"/>
      <c r="Y219" s="9"/>
      <c r="Z219" s="9"/>
      <c r="AA219" s="9"/>
      <c r="AB219" s="9"/>
      <c r="AC219" s="9"/>
      <c r="AD219" s="9"/>
    </row>
    <row r="220" spans="1:30" ht="72.5">
      <c r="A220" s="3" t="s">
        <v>1842</v>
      </c>
      <c r="B220" s="3" t="s">
        <v>6724</v>
      </c>
      <c r="C220" s="3" t="s">
        <v>6723</v>
      </c>
      <c r="F220" t="s">
        <v>19</v>
      </c>
      <c r="G220" s="9" t="s">
        <v>25</v>
      </c>
      <c r="H220" s="9"/>
      <c r="I220" s="9">
        <v>1</v>
      </c>
      <c r="J220" s="9">
        <v>3</v>
      </c>
      <c r="K220" s="9" t="s">
        <v>12078</v>
      </c>
      <c r="L220" s="9" t="s">
        <v>12079</v>
      </c>
      <c r="M220" s="9"/>
      <c r="N220" s="10"/>
      <c r="O220" s="9"/>
      <c r="P220" s="9">
        <v>11843</v>
      </c>
      <c r="Q220" s="9">
        <v>1423.0954097572699</v>
      </c>
      <c r="R220" s="9"/>
      <c r="S220" s="9" t="s">
        <v>12795</v>
      </c>
      <c r="T220" s="9" t="s">
        <v>12795</v>
      </c>
      <c r="U220" s="9"/>
      <c r="V220" s="9"/>
      <c r="W220" s="9"/>
      <c r="X220" s="9"/>
      <c r="Y220" s="9"/>
      <c r="Z220" s="9"/>
      <c r="AA220" s="9"/>
      <c r="AB220" s="9"/>
      <c r="AC220" s="9"/>
      <c r="AD220" s="9"/>
    </row>
    <row r="221" spans="1:30" ht="72.5">
      <c r="A221" s="3" t="s">
        <v>1842</v>
      </c>
      <c r="B221" s="3" t="s">
        <v>6725</v>
      </c>
      <c r="C221" s="3" t="s">
        <v>6723</v>
      </c>
      <c r="F221" t="s">
        <v>19</v>
      </c>
      <c r="G221" s="9" t="s">
        <v>25</v>
      </c>
      <c r="H221" s="9"/>
      <c r="I221" s="9">
        <v>1</v>
      </c>
      <c r="J221" s="9">
        <v>2</v>
      </c>
      <c r="K221" s="9" t="s">
        <v>12078</v>
      </c>
      <c r="L221" s="9" t="s">
        <v>12119</v>
      </c>
      <c r="M221" s="9"/>
      <c r="N221" s="10"/>
      <c r="O221" s="9"/>
      <c r="P221" s="9">
        <v>11843</v>
      </c>
      <c r="Q221" s="9">
        <v>1423.0954097572699</v>
      </c>
      <c r="R221" s="9"/>
      <c r="S221" s="9" t="s">
        <v>12795</v>
      </c>
      <c r="T221" s="9" t="s">
        <v>12795</v>
      </c>
      <c r="U221" s="9"/>
      <c r="V221" s="9"/>
      <c r="W221" s="9"/>
      <c r="X221" s="9"/>
      <c r="Y221" s="9"/>
      <c r="Z221" s="9"/>
      <c r="AA221" s="9"/>
      <c r="AB221" s="9"/>
      <c r="AC221" s="9"/>
      <c r="AD221" s="9"/>
    </row>
    <row r="222" spans="1:30" ht="72.5">
      <c r="A222" s="3" t="s">
        <v>1856</v>
      </c>
      <c r="B222" s="3" t="s">
        <v>6752</v>
      </c>
      <c r="C222" s="3" t="s">
        <v>6753</v>
      </c>
      <c r="G222" s="9" t="s">
        <v>24</v>
      </c>
      <c r="H222" s="9"/>
      <c r="I222" s="9">
        <v>1</v>
      </c>
      <c r="J222" s="9">
        <v>2</v>
      </c>
      <c r="K222" s="9" t="s">
        <v>12123</v>
      </c>
      <c r="L222" s="9" t="s">
        <v>12119</v>
      </c>
      <c r="M222" s="9"/>
      <c r="N222" s="10"/>
      <c r="O222" s="9"/>
      <c r="P222" s="9">
        <v>134</v>
      </c>
      <c r="Q222" s="9">
        <v>16.101898582071616</v>
      </c>
      <c r="R222" s="9"/>
      <c r="S222" s="9" t="s">
        <v>12795</v>
      </c>
      <c r="T222" s="9" t="s">
        <v>12795</v>
      </c>
      <c r="U222" s="9"/>
      <c r="V222" s="9"/>
      <c r="W222" s="9"/>
      <c r="X222" s="9"/>
      <c r="Y222" s="9"/>
      <c r="Z222" s="9"/>
      <c r="AA222" s="9"/>
      <c r="AB222" s="9"/>
      <c r="AC222" s="9"/>
      <c r="AD222" s="9"/>
    </row>
    <row r="223" spans="1:30" ht="29">
      <c r="A223" s="3" t="s">
        <v>1857</v>
      </c>
      <c r="B223" s="3" t="s">
        <v>6759</v>
      </c>
      <c r="C223" s="3" t="s">
        <v>6760</v>
      </c>
      <c r="G223" s="9" t="s">
        <v>25</v>
      </c>
      <c r="H223" s="9"/>
      <c r="I223" s="9">
        <v>1</v>
      </c>
      <c r="J223" s="9">
        <v>3</v>
      </c>
      <c r="K223" s="9" t="s">
        <v>12087</v>
      </c>
      <c r="L223" s="9" t="s">
        <v>12079</v>
      </c>
      <c r="M223" s="9"/>
      <c r="N223" s="10"/>
      <c r="O223" s="9"/>
      <c r="P223" s="9">
        <v>5676</v>
      </c>
      <c r="Q223" s="9">
        <v>682.04758471521268</v>
      </c>
      <c r="R223" s="9"/>
      <c r="S223" s="9" t="s">
        <v>12795</v>
      </c>
      <c r="T223" s="9" t="s">
        <v>12795</v>
      </c>
      <c r="U223" s="9"/>
      <c r="V223" s="9"/>
      <c r="W223" s="9"/>
      <c r="X223" s="9"/>
      <c r="Y223" s="9"/>
      <c r="Z223" s="9"/>
      <c r="AA223" s="9"/>
      <c r="AB223" s="9"/>
      <c r="AC223" s="9"/>
      <c r="AD223" s="9"/>
    </row>
    <row r="224" spans="1:30" ht="43.5">
      <c r="A224" s="3" t="s">
        <v>1858</v>
      </c>
      <c r="B224" s="3" t="s">
        <v>6762</v>
      </c>
      <c r="C224" s="3" t="s">
        <v>6761</v>
      </c>
      <c r="G224" s="9" t="s">
        <v>24</v>
      </c>
      <c r="H224" s="9"/>
      <c r="I224" s="9">
        <v>1</v>
      </c>
      <c r="J224" s="9">
        <v>3</v>
      </c>
      <c r="K224" s="9" t="s">
        <v>12078</v>
      </c>
      <c r="L224" s="9" t="s">
        <v>12079</v>
      </c>
      <c r="M224" s="9"/>
      <c r="N224" s="10"/>
      <c r="O224" s="9"/>
      <c r="P224" s="9">
        <v>11843</v>
      </c>
      <c r="Q224" s="9">
        <v>1423.0954097572699</v>
      </c>
      <c r="R224" s="9"/>
      <c r="S224" s="9" t="s">
        <v>12795</v>
      </c>
      <c r="T224" s="9" t="s">
        <v>12795</v>
      </c>
      <c r="U224" s="9"/>
      <c r="V224" s="9"/>
      <c r="W224" s="9"/>
      <c r="X224" s="9"/>
      <c r="Y224" s="9"/>
      <c r="Z224" s="9"/>
      <c r="AA224" s="9"/>
      <c r="AB224" s="9"/>
      <c r="AC224" s="9"/>
      <c r="AD224" s="9"/>
    </row>
    <row r="225" spans="1:30" ht="58">
      <c r="A225" s="3" t="s">
        <v>1858</v>
      </c>
      <c r="B225" s="3" t="s">
        <v>6764</v>
      </c>
      <c r="C225" s="3" t="s">
        <v>6763</v>
      </c>
      <c r="G225" s="9" t="s">
        <v>24</v>
      </c>
      <c r="H225" s="9"/>
      <c r="I225" s="9">
        <v>1</v>
      </c>
      <c r="J225" s="9">
        <v>3</v>
      </c>
      <c r="K225" s="9" t="s">
        <v>12087</v>
      </c>
      <c r="L225" s="9" t="s">
        <v>12079</v>
      </c>
      <c r="M225" s="9"/>
      <c r="N225" s="10"/>
      <c r="O225" s="9"/>
      <c r="P225" s="9">
        <v>5676</v>
      </c>
      <c r="Q225" s="9">
        <v>682.04758471521268</v>
      </c>
      <c r="R225" s="9"/>
      <c r="S225" s="9" t="s">
        <v>12795</v>
      </c>
      <c r="T225" s="9" t="s">
        <v>12795</v>
      </c>
      <c r="U225" s="9"/>
      <c r="V225" s="9"/>
      <c r="W225" s="9"/>
      <c r="X225" s="9"/>
      <c r="Y225" s="9"/>
      <c r="Z225" s="9"/>
      <c r="AA225" s="9"/>
      <c r="AB225" s="9"/>
      <c r="AC225" s="9"/>
      <c r="AD225" s="9"/>
    </row>
    <row r="226" spans="1:30" ht="43.5">
      <c r="A226" s="3" t="s">
        <v>1880</v>
      </c>
      <c r="B226" s="11" t="s">
        <v>6789</v>
      </c>
      <c r="C226" s="11" t="s">
        <v>6788</v>
      </c>
      <c r="G226" s="9" t="s">
        <v>24</v>
      </c>
      <c r="H226" s="9"/>
      <c r="I226" s="9">
        <v>1</v>
      </c>
      <c r="J226" s="9">
        <v>2</v>
      </c>
      <c r="K226" s="9" t="s">
        <v>12087</v>
      </c>
      <c r="L226" s="9" t="s">
        <v>12119</v>
      </c>
      <c r="M226" s="9"/>
      <c r="N226" s="10"/>
      <c r="O226" s="9"/>
      <c r="P226" s="9">
        <v>1966</v>
      </c>
      <c r="Q226" s="9">
        <v>236.24128815188658</v>
      </c>
      <c r="R226" s="9"/>
      <c r="S226" s="9" t="s">
        <v>12795</v>
      </c>
      <c r="T226" s="9" t="s">
        <v>12795</v>
      </c>
      <c r="U226" s="9"/>
      <c r="V226" s="9"/>
      <c r="W226" s="9"/>
      <c r="X226" s="9"/>
      <c r="Y226" s="9"/>
      <c r="Z226" s="9"/>
      <c r="AA226" s="9"/>
      <c r="AB226" s="9"/>
      <c r="AC226" s="9"/>
      <c r="AD226" s="9"/>
    </row>
    <row r="227" spans="1:30" ht="43.5">
      <c r="A227" s="3" t="s">
        <v>1888</v>
      </c>
      <c r="B227" s="3" t="s">
        <v>6808</v>
      </c>
      <c r="C227" s="3" t="s">
        <v>6809</v>
      </c>
      <c r="G227" s="9" t="s">
        <v>24</v>
      </c>
      <c r="H227" s="9"/>
      <c r="I227" s="9">
        <v>1</v>
      </c>
      <c r="J227" s="9">
        <v>3</v>
      </c>
      <c r="K227" s="9" t="s">
        <v>12087</v>
      </c>
      <c r="L227" s="9" t="s">
        <v>12079</v>
      </c>
      <c r="M227" s="9"/>
      <c r="N227" s="10"/>
      <c r="O227" s="9"/>
      <c r="P227" s="9">
        <v>5676</v>
      </c>
      <c r="Q227" s="9">
        <v>682.04758471521268</v>
      </c>
      <c r="R227" s="9"/>
      <c r="S227" s="9" t="s">
        <v>12795</v>
      </c>
      <c r="T227" s="9" t="s">
        <v>12795</v>
      </c>
      <c r="U227" s="9"/>
      <c r="V227" s="9"/>
      <c r="W227" s="9"/>
      <c r="X227" s="9"/>
      <c r="Y227" s="9"/>
      <c r="Z227" s="9"/>
      <c r="AA227" s="9"/>
      <c r="AB227" s="9"/>
      <c r="AC227" s="9"/>
      <c r="AD227" s="9"/>
    </row>
    <row r="228" spans="1:30" ht="87">
      <c r="A228" s="3" t="s">
        <v>1895</v>
      </c>
      <c r="B228" s="3" t="s">
        <v>6816</v>
      </c>
      <c r="C228" s="3" t="s">
        <v>6818</v>
      </c>
      <c r="G228" s="9" t="s">
        <v>24</v>
      </c>
      <c r="H228" s="9"/>
      <c r="I228" s="9">
        <v>1</v>
      </c>
      <c r="J228" s="9">
        <v>3</v>
      </c>
      <c r="K228" s="9" t="s">
        <v>12078</v>
      </c>
      <c r="L228" s="9" t="s">
        <v>12079</v>
      </c>
      <c r="M228" s="9"/>
      <c r="N228" s="10"/>
      <c r="O228" s="9"/>
      <c r="P228" s="9">
        <v>11843</v>
      </c>
      <c r="Q228" s="9">
        <v>1423.0954097572699</v>
      </c>
      <c r="R228" s="9"/>
      <c r="S228" s="9" t="s">
        <v>12795</v>
      </c>
      <c r="T228" s="9" t="s">
        <v>12795</v>
      </c>
      <c r="U228" s="9"/>
      <c r="V228" s="9"/>
      <c r="W228" s="9"/>
      <c r="X228" s="9"/>
      <c r="Y228" s="9"/>
      <c r="Z228" s="9"/>
      <c r="AA228" s="9"/>
      <c r="AB228" s="9"/>
      <c r="AC228" s="9"/>
      <c r="AD228" s="9"/>
    </row>
    <row r="229" spans="1:30" ht="29">
      <c r="A229" s="3" t="s">
        <v>1902</v>
      </c>
      <c r="B229" s="11" t="s">
        <v>6831</v>
      </c>
      <c r="C229" s="11" t="s">
        <v>6830</v>
      </c>
      <c r="G229" s="9" t="s">
        <v>25</v>
      </c>
      <c r="H229" s="9"/>
      <c r="I229" s="9">
        <v>1</v>
      </c>
      <c r="J229" s="9">
        <v>2</v>
      </c>
      <c r="K229" s="9" t="s">
        <v>12087</v>
      </c>
      <c r="L229" s="9" t="s">
        <v>12119</v>
      </c>
      <c r="M229" s="9"/>
      <c r="N229" s="10"/>
      <c r="O229" s="9"/>
      <c r="P229" s="9">
        <v>1966</v>
      </c>
      <c r="Q229" s="9">
        <v>236.24128815188658</v>
      </c>
      <c r="R229" s="9"/>
      <c r="S229" s="9" t="s">
        <v>12795</v>
      </c>
      <c r="T229" s="9" t="s">
        <v>12795</v>
      </c>
      <c r="U229" s="9"/>
      <c r="V229" s="9"/>
      <c r="W229" s="9"/>
      <c r="X229" s="9"/>
      <c r="Y229" s="9"/>
      <c r="Z229" s="9"/>
      <c r="AA229" s="9"/>
      <c r="AB229" s="9"/>
      <c r="AC229" s="9"/>
      <c r="AD229" s="9"/>
    </row>
    <row r="230" spans="1:30" ht="58">
      <c r="A230" s="3" t="s">
        <v>1903</v>
      </c>
      <c r="B230" s="3" t="s">
        <v>6832</v>
      </c>
      <c r="C230" s="3" t="s">
        <v>6833</v>
      </c>
      <c r="G230" s="9" t="s">
        <v>24</v>
      </c>
      <c r="H230" s="9"/>
      <c r="I230" s="9">
        <v>1</v>
      </c>
      <c r="J230" s="9">
        <v>6</v>
      </c>
      <c r="K230" s="9" t="s">
        <v>12094</v>
      </c>
      <c r="L230" s="9" t="s">
        <v>12079</v>
      </c>
      <c r="M230" s="9"/>
      <c r="N230" s="10"/>
      <c r="O230" s="9"/>
      <c r="P230" s="9">
        <v>4240</v>
      </c>
      <c r="Q230" s="9">
        <v>509.49291035808699</v>
      </c>
      <c r="R230" s="9"/>
      <c r="S230" s="9" t="s">
        <v>12795</v>
      </c>
      <c r="T230" s="9" t="s">
        <v>12795</v>
      </c>
      <c r="U230" s="9"/>
      <c r="V230" s="9"/>
      <c r="W230" s="9"/>
      <c r="X230" s="9"/>
      <c r="Y230" s="9"/>
      <c r="Z230" s="9"/>
      <c r="AA230" s="9"/>
      <c r="AB230" s="9"/>
      <c r="AC230" s="9"/>
      <c r="AD230" s="9"/>
    </row>
    <row r="231" spans="1:30" ht="43.5">
      <c r="A231" s="3" t="s">
        <v>1908</v>
      </c>
      <c r="B231" s="3" t="s">
        <v>6842</v>
      </c>
      <c r="C231" s="3" t="s">
        <v>6843</v>
      </c>
      <c r="G231" s="9" t="s">
        <v>25</v>
      </c>
      <c r="H231" s="9"/>
      <c r="I231" s="9">
        <v>1</v>
      </c>
      <c r="J231" s="9">
        <v>1</v>
      </c>
      <c r="K231" s="9" t="s">
        <v>12078</v>
      </c>
      <c r="L231" s="9" t="s">
        <v>12119</v>
      </c>
      <c r="M231" s="9"/>
      <c r="N231" s="10"/>
      <c r="O231" s="9"/>
      <c r="P231" s="9">
        <v>11843</v>
      </c>
      <c r="Q231" s="9">
        <v>1423.0954097572699</v>
      </c>
      <c r="R231" s="9"/>
      <c r="S231" s="9" t="s">
        <v>12795</v>
      </c>
      <c r="T231" s="9" t="s">
        <v>12795</v>
      </c>
      <c r="U231" s="9"/>
      <c r="V231" s="9"/>
      <c r="W231" s="9"/>
      <c r="X231" s="9"/>
      <c r="Y231" s="9"/>
      <c r="Z231" s="9"/>
      <c r="AA231" s="9"/>
      <c r="AB231" s="9"/>
      <c r="AC231" s="9"/>
      <c r="AD231" s="9"/>
    </row>
    <row r="232" spans="1:30" ht="43.5">
      <c r="A232" s="3" t="s">
        <v>1915</v>
      </c>
      <c r="B232" s="3" t="s">
        <v>6860</v>
      </c>
      <c r="C232" s="3" t="s">
        <v>6859</v>
      </c>
      <c r="G232" s="9" t="s">
        <v>25</v>
      </c>
      <c r="H232" s="9"/>
      <c r="I232" s="9">
        <v>1</v>
      </c>
      <c r="J232" s="9">
        <v>2</v>
      </c>
      <c r="K232" s="9" t="s">
        <v>12094</v>
      </c>
      <c r="L232" s="9" t="s">
        <v>12119</v>
      </c>
      <c r="M232" s="9"/>
      <c r="N232" s="10"/>
      <c r="O232" s="9"/>
      <c r="P232" s="9">
        <v>1741</v>
      </c>
      <c r="Q232" s="9">
        <v>209.20451814467677</v>
      </c>
      <c r="R232" s="9"/>
      <c r="S232" s="9" t="s">
        <v>12795</v>
      </c>
      <c r="T232" s="9" t="s">
        <v>12795</v>
      </c>
      <c r="U232" s="9"/>
      <c r="V232" s="9"/>
      <c r="W232" s="9"/>
      <c r="X232" s="9"/>
      <c r="Y232" s="9"/>
      <c r="Z232" s="9"/>
      <c r="AA232" s="9"/>
      <c r="AB232" s="9"/>
      <c r="AC232" s="9"/>
      <c r="AD232" s="9"/>
    </row>
    <row r="233" spans="1:30" ht="29">
      <c r="A233" s="3" t="s">
        <v>1915</v>
      </c>
      <c r="B233" s="3" t="s">
        <v>6862</v>
      </c>
      <c r="C233" s="3" t="s">
        <v>6861</v>
      </c>
      <c r="G233" s="9" t="s">
        <v>24</v>
      </c>
      <c r="H233" s="9"/>
      <c r="I233" s="9">
        <v>1</v>
      </c>
      <c r="J233" s="9">
        <v>3</v>
      </c>
      <c r="K233" s="9" t="s">
        <v>12087</v>
      </c>
      <c r="L233" s="9" t="s">
        <v>12079</v>
      </c>
      <c r="M233" s="9"/>
      <c r="N233" s="10"/>
      <c r="O233" s="9"/>
      <c r="P233" s="9">
        <v>5676</v>
      </c>
      <c r="Q233" s="9">
        <v>682.04758471521268</v>
      </c>
      <c r="R233" s="9"/>
      <c r="S233" s="9" t="s">
        <v>12795</v>
      </c>
      <c r="T233" s="9" t="s">
        <v>12795</v>
      </c>
      <c r="U233" s="9"/>
      <c r="V233" s="9"/>
      <c r="W233" s="9"/>
      <c r="X233" s="9"/>
      <c r="Y233" s="9"/>
      <c r="Z233" s="9"/>
      <c r="AA233" s="9"/>
      <c r="AB233" s="9"/>
      <c r="AC233" s="9"/>
      <c r="AD233" s="9"/>
    </row>
    <row r="234" spans="1:30" ht="43.5">
      <c r="A234" s="3" t="s">
        <v>1921</v>
      </c>
      <c r="B234" s="3" t="s">
        <v>6865</v>
      </c>
      <c r="C234" s="3" t="s">
        <v>6868</v>
      </c>
      <c r="G234" s="9" t="s">
        <v>24</v>
      </c>
      <c r="H234" s="9"/>
      <c r="I234" s="9">
        <v>1</v>
      </c>
      <c r="J234" s="9">
        <v>3</v>
      </c>
      <c r="K234" s="9" t="s">
        <v>12087</v>
      </c>
      <c r="L234" s="9" t="s">
        <v>12079</v>
      </c>
      <c r="M234" s="9"/>
      <c r="N234" s="10"/>
      <c r="O234" s="9"/>
      <c r="P234" s="9">
        <v>309</v>
      </c>
      <c r="Q234" s="9">
        <v>37.130497476568131</v>
      </c>
      <c r="R234" s="9"/>
      <c r="S234" s="9" t="s">
        <v>12795</v>
      </c>
      <c r="T234" s="9" t="s">
        <v>12795</v>
      </c>
      <c r="U234" s="9"/>
      <c r="V234" s="9"/>
      <c r="W234" s="9"/>
      <c r="X234" s="9"/>
      <c r="Y234" s="9"/>
      <c r="Z234" s="9"/>
      <c r="AA234" s="9"/>
      <c r="AB234" s="9"/>
      <c r="AC234" s="9"/>
      <c r="AD234" s="9"/>
    </row>
    <row r="235" spans="1:30" ht="43.5">
      <c r="A235" s="3" t="s">
        <v>1924</v>
      </c>
      <c r="B235" s="3" t="s">
        <v>6871</v>
      </c>
      <c r="C235" s="11" t="s">
        <v>6872</v>
      </c>
      <c r="G235" s="9" t="s">
        <v>24</v>
      </c>
      <c r="H235" s="9"/>
      <c r="I235" s="9">
        <v>1</v>
      </c>
      <c r="J235" s="9">
        <v>2</v>
      </c>
      <c r="K235" s="9" t="s">
        <v>12078</v>
      </c>
      <c r="L235" s="9" t="s">
        <v>12119</v>
      </c>
      <c r="M235" s="9"/>
      <c r="N235" s="10"/>
      <c r="O235" s="9"/>
      <c r="P235" s="9">
        <v>11843</v>
      </c>
      <c r="Q235" s="9">
        <v>1423.0954097572699</v>
      </c>
      <c r="R235" s="9"/>
      <c r="S235" s="9" t="s">
        <v>12795</v>
      </c>
      <c r="T235" s="9" t="s">
        <v>12795</v>
      </c>
      <c r="U235" s="9"/>
      <c r="V235" s="9"/>
      <c r="W235" s="9"/>
      <c r="X235" s="9"/>
      <c r="Y235" s="9"/>
      <c r="Z235" s="9"/>
      <c r="AA235" s="9"/>
      <c r="AB235" s="9"/>
      <c r="AC235" s="9"/>
      <c r="AD235" s="9"/>
    </row>
    <row r="236" spans="1:30" ht="87">
      <c r="A236" s="3" t="s">
        <v>1928</v>
      </c>
      <c r="B236" s="3" t="s">
        <v>6877</v>
      </c>
      <c r="C236" s="3" t="s">
        <v>6878</v>
      </c>
      <c r="G236" s="9" t="s">
        <v>24</v>
      </c>
      <c r="H236" s="9"/>
      <c r="I236" s="9">
        <v>1</v>
      </c>
      <c r="J236" s="9">
        <v>3</v>
      </c>
      <c r="K236" s="9" t="s">
        <v>12078</v>
      </c>
      <c r="L236" s="9" t="s">
        <v>12079</v>
      </c>
      <c r="M236" s="9"/>
      <c r="N236" s="10"/>
      <c r="O236" s="9"/>
      <c r="P236" s="9">
        <v>11843</v>
      </c>
      <c r="Q236" s="9">
        <v>1423.0954097572699</v>
      </c>
      <c r="R236" s="9"/>
      <c r="S236" s="9" t="s">
        <v>12795</v>
      </c>
      <c r="T236" s="9" t="s">
        <v>12795</v>
      </c>
      <c r="U236" s="9"/>
      <c r="V236" s="9"/>
      <c r="W236" s="9"/>
      <c r="X236" s="9"/>
      <c r="Y236" s="9"/>
      <c r="Z236" s="9"/>
      <c r="AA236" s="9"/>
      <c r="AB236" s="9"/>
      <c r="AC236" s="9"/>
      <c r="AD236" s="9"/>
    </row>
    <row r="237" spans="1:30" ht="72.5">
      <c r="A237" s="3" t="s">
        <v>1943</v>
      </c>
      <c r="B237" s="3" t="s">
        <v>12317</v>
      </c>
      <c r="C237" s="3" t="s">
        <v>6892</v>
      </c>
      <c r="G237" s="9" t="s">
        <v>25</v>
      </c>
      <c r="H237" s="9"/>
      <c r="I237" s="9">
        <v>1</v>
      </c>
      <c r="J237" s="9">
        <v>4</v>
      </c>
      <c r="K237" s="9" t="s">
        <v>12094</v>
      </c>
      <c r="L237" s="9" t="s">
        <v>12079</v>
      </c>
      <c r="M237" s="9"/>
      <c r="N237" s="10"/>
      <c r="O237" s="9"/>
      <c r="P237" s="9">
        <v>4240</v>
      </c>
      <c r="Q237" s="9">
        <v>509.49291035808699</v>
      </c>
      <c r="R237" s="9"/>
      <c r="S237" s="9" t="s">
        <v>12795</v>
      </c>
      <c r="T237" s="9" t="s">
        <v>12795</v>
      </c>
      <c r="U237" s="9"/>
      <c r="V237" s="9"/>
      <c r="W237" s="9"/>
      <c r="X237" s="9"/>
      <c r="Y237" s="9"/>
      <c r="Z237" s="9"/>
      <c r="AA237" s="9"/>
      <c r="AB237" s="9"/>
      <c r="AC237" s="9"/>
      <c r="AD237" s="9"/>
    </row>
    <row r="238" spans="1:30" ht="43.5">
      <c r="A238" s="3" t="s">
        <v>1944</v>
      </c>
      <c r="B238" s="3" t="s">
        <v>6898</v>
      </c>
      <c r="C238" s="3" t="s">
        <v>6895</v>
      </c>
      <c r="G238" s="9" t="s">
        <v>25</v>
      </c>
      <c r="H238" s="9"/>
      <c r="I238" s="9">
        <v>1</v>
      </c>
      <c r="J238" s="9">
        <v>3</v>
      </c>
      <c r="K238" s="9" t="s">
        <v>12087</v>
      </c>
      <c r="L238" s="9" t="s">
        <v>12079</v>
      </c>
      <c r="M238" s="9"/>
      <c r="N238" s="10"/>
      <c r="O238" s="9"/>
      <c r="P238" s="9">
        <v>5676</v>
      </c>
      <c r="Q238" s="9">
        <v>682.04758471521268</v>
      </c>
      <c r="R238" s="9"/>
      <c r="S238" s="9" t="s">
        <v>12795</v>
      </c>
      <c r="T238" s="9" t="s">
        <v>12795</v>
      </c>
      <c r="U238" s="9"/>
      <c r="V238" s="9"/>
      <c r="W238" s="9"/>
      <c r="X238" s="9"/>
      <c r="Y238" s="9"/>
      <c r="Z238" s="9"/>
      <c r="AA238" s="9"/>
      <c r="AB238" s="9"/>
      <c r="AC238" s="9"/>
      <c r="AD238" s="9"/>
    </row>
    <row r="239" spans="1:30" ht="43.5">
      <c r="A239" s="3" t="s">
        <v>1951</v>
      </c>
      <c r="B239" s="3" t="s">
        <v>6913</v>
      </c>
      <c r="C239" s="3" t="s">
        <v>6912</v>
      </c>
      <c r="G239" s="9" t="s">
        <v>25</v>
      </c>
      <c r="H239" s="9"/>
      <c r="I239" s="9">
        <v>1</v>
      </c>
      <c r="J239" s="9">
        <v>3</v>
      </c>
      <c r="K239" s="9" t="s">
        <v>12087</v>
      </c>
      <c r="L239" s="9" t="s">
        <v>12079</v>
      </c>
      <c r="M239" s="9"/>
      <c r="N239" s="10"/>
      <c r="O239" s="9"/>
      <c r="P239" s="9">
        <v>5676</v>
      </c>
      <c r="Q239" s="9">
        <v>682.04758471521268</v>
      </c>
      <c r="R239" s="9"/>
      <c r="S239" s="9" t="s">
        <v>12795</v>
      </c>
      <c r="T239" s="9" t="s">
        <v>12795</v>
      </c>
      <c r="U239" s="9"/>
      <c r="V239" s="9"/>
      <c r="W239" s="9"/>
      <c r="X239" s="9"/>
      <c r="Y239" s="9"/>
      <c r="Z239" s="9"/>
      <c r="AA239" s="9"/>
      <c r="AB239" s="9"/>
      <c r="AC239" s="9"/>
      <c r="AD239" s="9"/>
    </row>
    <row r="240" spans="1:30" ht="58">
      <c r="A240" s="3" t="s">
        <v>1954</v>
      </c>
      <c r="B240" s="3" t="s">
        <v>6916</v>
      </c>
      <c r="C240" s="3" t="s">
        <v>6917</v>
      </c>
      <c r="G240" s="9" t="s">
        <v>24</v>
      </c>
      <c r="H240" s="9"/>
      <c r="I240" s="9">
        <v>1</v>
      </c>
      <c r="J240" s="9">
        <v>6</v>
      </c>
      <c r="K240" s="9" t="s">
        <v>12094</v>
      </c>
      <c r="L240" s="9" t="s">
        <v>12079</v>
      </c>
      <c r="M240" s="9"/>
      <c r="N240" s="10"/>
      <c r="O240" s="9"/>
      <c r="P240" s="9">
        <v>930</v>
      </c>
      <c r="Q240" s="9">
        <v>111.75198269646719</v>
      </c>
      <c r="R240" s="9"/>
      <c r="S240" s="9" t="s">
        <v>12795</v>
      </c>
      <c r="T240" s="9" t="s">
        <v>12795</v>
      </c>
      <c r="U240" s="9"/>
      <c r="V240" s="9"/>
      <c r="W240" s="9"/>
      <c r="X240" s="9"/>
      <c r="Y240" s="9"/>
      <c r="Z240" s="9"/>
      <c r="AA240" s="9"/>
      <c r="AB240" s="9"/>
      <c r="AC240" s="9"/>
      <c r="AD240" s="9"/>
    </row>
    <row r="241" spans="1:30" ht="72.5">
      <c r="A241" s="3" t="s">
        <v>1963</v>
      </c>
      <c r="B241" s="3" t="s">
        <v>6926</v>
      </c>
      <c r="C241" s="3" t="s">
        <v>6925</v>
      </c>
      <c r="G241" s="9" t="s">
        <v>25</v>
      </c>
      <c r="H241" s="9"/>
      <c r="I241" s="9">
        <v>1</v>
      </c>
      <c r="J241" s="9">
        <v>5</v>
      </c>
      <c r="K241" s="9" t="s">
        <v>12094</v>
      </c>
      <c r="L241" s="9" t="s">
        <v>12079</v>
      </c>
      <c r="M241" s="9"/>
      <c r="N241" s="10"/>
      <c r="O241" s="9"/>
      <c r="P241" s="9">
        <v>4240</v>
      </c>
      <c r="Q241" s="9">
        <v>509.49291035808699</v>
      </c>
      <c r="R241" s="9"/>
      <c r="S241" s="9" t="s">
        <v>12795</v>
      </c>
      <c r="T241" s="9" t="s">
        <v>12795</v>
      </c>
      <c r="U241" s="9"/>
      <c r="V241" s="9"/>
      <c r="W241" s="9"/>
      <c r="X241" s="9"/>
      <c r="Y241" s="9"/>
      <c r="Z241" s="9"/>
      <c r="AA241" s="9"/>
      <c r="AB241" s="9"/>
      <c r="AC241" s="9"/>
      <c r="AD241" s="9"/>
    </row>
    <row r="242" spans="1:30" ht="29">
      <c r="A242" s="3" t="s">
        <v>1968</v>
      </c>
      <c r="B242" s="3" t="s">
        <v>6936</v>
      </c>
      <c r="C242" s="3" t="s">
        <v>6935</v>
      </c>
      <c r="G242" s="9" t="s">
        <v>24</v>
      </c>
      <c r="H242" s="9"/>
      <c r="I242" s="9">
        <v>1</v>
      </c>
      <c r="J242" s="9">
        <v>2</v>
      </c>
      <c r="K242" s="9" t="s">
        <v>12094</v>
      </c>
      <c r="L242" s="9" t="s">
        <v>12119</v>
      </c>
      <c r="M242" s="9"/>
      <c r="N242" s="10"/>
      <c r="O242" s="9" t="s">
        <v>12074</v>
      </c>
      <c r="P242" s="9">
        <v>412</v>
      </c>
      <c r="Q242" s="9">
        <v>49.507329968757517</v>
      </c>
      <c r="R242" s="9"/>
      <c r="S242" s="9" t="s">
        <v>12795</v>
      </c>
      <c r="T242" s="9" t="s">
        <v>12795</v>
      </c>
      <c r="U242" s="9"/>
      <c r="V242" s="9"/>
      <c r="W242" s="9"/>
      <c r="X242" s="9"/>
      <c r="Y242" s="9"/>
      <c r="Z242" s="9"/>
      <c r="AA242" s="9"/>
      <c r="AB242" s="9"/>
      <c r="AC242" s="9"/>
      <c r="AD242" s="9"/>
    </row>
    <row r="243" spans="1:30" ht="58">
      <c r="A243" s="3" t="s">
        <v>1984</v>
      </c>
      <c r="B243" s="11" t="s">
        <v>6950</v>
      </c>
      <c r="C243" s="3" t="s">
        <v>6949</v>
      </c>
      <c r="G243" s="9" t="s">
        <v>24</v>
      </c>
      <c r="H243" s="9"/>
      <c r="I243" s="9">
        <v>1</v>
      </c>
      <c r="J243" s="9">
        <v>3</v>
      </c>
      <c r="K243" s="9" t="s">
        <v>12087</v>
      </c>
      <c r="L243" s="9" t="s">
        <v>12079</v>
      </c>
      <c r="M243" s="9"/>
      <c r="N243" s="10"/>
      <c r="O243" s="9"/>
      <c r="P243" s="9">
        <v>5676</v>
      </c>
      <c r="Q243" s="9">
        <v>682.04758471521268</v>
      </c>
      <c r="R243" s="9"/>
      <c r="S243" s="9" t="s">
        <v>12795</v>
      </c>
      <c r="T243" s="9" t="s">
        <v>12795</v>
      </c>
      <c r="U243" s="9"/>
      <c r="V243" s="9"/>
      <c r="W243" s="9"/>
      <c r="X243" s="9"/>
      <c r="Y243" s="9"/>
      <c r="Z243" s="9"/>
      <c r="AA243" s="9"/>
      <c r="AB243" s="9"/>
      <c r="AC243" s="9"/>
      <c r="AD243" s="9"/>
    </row>
    <row r="244" spans="1:30" ht="116">
      <c r="A244" s="3" t="s">
        <v>2004</v>
      </c>
      <c r="B244" s="3" t="s">
        <v>12331</v>
      </c>
      <c r="C244" s="3" t="s">
        <v>12334</v>
      </c>
      <c r="G244" s="9" t="s">
        <v>25</v>
      </c>
      <c r="H244" s="9"/>
      <c r="I244" s="9">
        <v>1</v>
      </c>
      <c r="J244" s="9">
        <v>5</v>
      </c>
      <c r="K244" s="9" t="s">
        <v>12094</v>
      </c>
      <c r="L244" s="9" t="s">
        <v>12079</v>
      </c>
      <c r="M244" s="9"/>
      <c r="N244" s="10"/>
      <c r="O244" s="9"/>
      <c r="P244" s="9">
        <v>4240</v>
      </c>
      <c r="Q244" s="9">
        <v>509.49291035808699</v>
      </c>
      <c r="R244" s="9"/>
      <c r="S244" s="9" t="s">
        <v>12795</v>
      </c>
      <c r="T244" s="9" t="s">
        <v>12795</v>
      </c>
      <c r="U244" s="9"/>
      <c r="V244" s="9"/>
      <c r="W244" s="9"/>
      <c r="X244" s="9"/>
      <c r="Y244" s="9"/>
      <c r="Z244" s="9"/>
      <c r="AA244" s="9"/>
      <c r="AB244" s="9"/>
      <c r="AC244" s="9"/>
      <c r="AD244" s="9"/>
    </row>
    <row r="245" spans="1:30" ht="43.5">
      <c r="A245" s="3" t="s">
        <v>2007</v>
      </c>
      <c r="B245" s="3" t="s">
        <v>6980</v>
      </c>
      <c r="C245" s="3" t="s">
        <v>6979</v>
      </c>
      <c r="G245" s="9" t="s">
        <v>24</v>
      </c>
      <c r="H245" s="9"/>
      <c r="I245" s="9">
        <v>1</v>
      </c>
      <c r="J245" s="9">
        <v>3</v>
      </c>
      <c r="K245" s="9" t="s">
        <v>12087</v>
      </c>
      <c r="L245" s="9" t="s">
        <v>12079</v>
      </c>
      <c r="M245" s="9"/>
      <c r="N245" s="10"/>
      <c r="O245" s="9"/>
      <c r="P245" s="9">
        <v>5676</v>
      </c>
      <c r="Q245" s="9">
        <v>682.04758471521268</v>
      </c>
      <c r="R245" s="9"/>
      <c r="S245" s="9" t="s">
        <v>12795</v>
      </c>
      <c r="T245" s="9" t="s">
        <v>12795</v>
      </c>
      <c r="U245" s="9"/>
      <c r="V245" s="9"/>
      <c r="W245" s="9"/>
      <c r="X245" s="9"/>
      <c r="Y245" s="9"/>
      <c r="Z245" s="9"/>
      <c r="AA245" s="9"/>
      <c r="AB245" s="9"/>
      <c r="AC245" s="9"/>
      <c r="AD245" s="9"/>
    </row>
    <row r="246" spans="1:30" ht="87">
      <c r="A246" s="3" t="s">
        <v>2012</v>
      </c>
      <c r="B246" s="3" t="s">
        <v>6981</v>
      </c>
      <c r="C246" s="3" t="s">
        <v>6982</v>
      </c>
      <c r="G246" s="9" t="s">
        <v>25</v>
      </c>
      <c r="H246" s="9"/>
      <c r="I246" s="9">
        <v>1</v>
      </c>
      <c r="J246" s="9">
        <v>3</v>
      </c>
      <c r="K246" s="9" t="s">
        <v>12078</v>
      </c>
      <c r="L246" s="9" t="s">
        <v>12073</v>
      </c>
      <c r="M246" s="9" t="s">
        <v>12149</v>
      </c>
      <c r="N246" s="10" t="s">
        <v>12143</v>
      </c>
      <c r="O246" s="9"/>
      <c r="P246" s="9">
        <v>11843</v>
      </c>
      <c r="Q246" s="9">
        <v>1423.0954097572699</v>
      </c>
      <c r="R246" s="9"/>
      <c r="S246" s="9" t="s">
        <v>12795</v>
      </c>
      <c r="T246" s="9" t="s">
        <v>12795</v>
      </c>
      <c r="U246" s="9"/>
      <c r="V246" s="9"/>
      <c r="W246" s="9"/>
      <c r="X246" s="9"/>
      <c r="Y246" s="9"/>
      <c r="Z246" s="9"/>
      <c r="AA246" s="9"/>
      <c r="AB246" s="9"/>
      <c r="AC246" s="9"/>
      <c r="AD246" s="9"/>
    </row>
    <row r="247" spans="1:30" ht="58">
      <c r="A247" s="3" t="s">
        <v>2027</v>
      </c>
      <c r="B247" s="3" t="s">
        <v>7011</v>
      </c>
      <c r="C247" s="3" t="s">
        <v>7012</v>
      </c>
      <c r="G247" s="9" t="s">
        <v>25</v>
      </c>
      <c r="H247" s="9"/>
      <c r="I247" s="9">
        <v>1</v>
      </c>
      <c r="J247" s="9">
        <v>6</v>
      </c>
      <c r="K247" s="9" t="s">
        <v>12094</v>
      </c>
      <c r="L247" s="9" t="s">
        <v>12073</v>
      </c>
      <c r="M247" s="9" t="s">
        <v>12149</v>
      </c>
      <c r="N247" s="10" t="s">
        <v>12160</v>
      </c>
      <c r="O247" s="9"/>
      <c r="P247" s="9">
        <v>4240</v>
      </c>
      <c r="Q247" s="9">
        <v>509.49291035808699</v>
      </c>
      <c r="R247" s="9"/>
      <c r="S247" s="9" t="s">
        <v>12795</v>
      </c>
      <c r="T247" s="9" t="s">
        <v>12795</v>
      </c>
      <c r="U247" s="9"/>
      <c r="V247" s="9"/>
      <c r="W247" s="9"/>
      <c r="X247" s="9"/>
      <c r="Y247" s="9"/>
      <c r="Z247" s="9"/>
      <c r="AA247" s="9"/>
      <c r="AB247" s="9"/>
      <c r="AC247" s="9"/>
      <c r="AD247" s="9"/>
    </row>
    <row r="248" spans="1:30" ht="72.5">
      <c r="A248" s="3" t="s">
        <v>2032</v>
      </c>
      <c r="B248" s="3" t="s">
        <v>7017</v>
      </c>
      <c r="C248" s="3" t="s">
        <v>7018</v>
      </c>
      <c r="G248" s="9" t="s">
        <v>25</v>
      </c>
      <c r="H248" s="9"/>
      <c r="I248" s="9">
        <v>1</v>
      </c>
      <c r="J248" s="9">
        <v>3</v>
      </c>
      <c r="K248" s="9" t="s">
        <v>12087</v>
      </c>
      <c r="L248" s="9" t="s">
        <v>12079</v>
      </c>
      <c r="M248" s="9"/>
      <c r="N248" s="10"/>
      <c r="O248" s="9"/>
      <c r="P248" s="9">
        <v>810</v>
      </c>
      <c r="Q248" s="9">
        <v>97.332372025955294</v>
      </c>
      <c r="R248" s="9"/>
      <c r="S248" s="9" t="s">
        <v>12795</v>
      </c>
      <c r="T248" s="9" t="s">
        <v>12795</v>
      </c>
      <c r="U248" s="9"/>
      <c r="V248" s="9"/>
      <c r="W248" s="9"/>
      <c r="X248" s="9"/>
      <c r="Y248" s="9"/>
      <c r="Z248" s="9"/>
      <c r="AA248" s="9"/>
      <c r="AB248" s="9"/>
      <c r="AC248" s="9"/>
      <c r="AD248" s="9"/>
    </row>
    <row r="249" spans="1:30" ht="43.5">
      <c r="A249" s="3" t="s">
        <v>2058</v>
      </c>
      <c r="B249" s="3" t="s">
        <v>7060</v>
      </c>
      <c r="C249" s="3" t="s">
        <v>7061</v>
      </c>
      <c r="G249" s="9" t="s">
        <v>24</v>
      </c>
      <c r="H249" s="9"/>
      <c r="I249" s="9">
        <v>1</v>
      </c>
      <c r="J249" s="9">
        <v>1</v>
      </c>
      <c r="K249" s="9" t="s">
        <v>12078</v>
      </c>
      <c r="L249" s="9" t="s">
        <v>12119</v>
      </c>
      <c r="M249" s="9"/>
      <c r="N249" s="10"/>
      <c r="O249" s="9"/>
      <c r="P249" s="9">
        <v>11843</v>
      </c>
      <c r="Q249" s="9">
        <v>1423.0954097572699</v>
      </c>
      <c r="R249" s="9"/>
      <c r="S249" s="9" t="s">
        <v>12795</v>
      </c>
      <c r="T249" s="9" t="s">
        <v>12795</v>
      </c>
      <c r="U249" s="9"/>
      <c r="V249" s="9"/>
      <c r="W249" s="9"/>
      <c r="X249" s="9"/>
      <c r="Y249" s="9"/>
      <c r="Z249" s="9"/>
      <c r="AA249" s="9"/>
      <c r="AB249" s="9"/>
      <c r="AC249" s="9"/>
      <c r="AD249" s="9"/>
    </row>
    <row r="250" spans="1:30" ht="72.5">
      <c r="A250" s="3" t="s">
        <v>2059</v>
      </c>
      <c r="B250" s="3" t="s">
        <v>7062</v>
      </c>
      <c r="C250" s="3" t="s">
        <v>12351</v>
      </c>
      <c r="G250" s="9" t="s">
        <v>24</v>
      </c>
      <c r="H250" s="9"/>
      <c r="I250" s="9">
        <v>1</v>
      </c>
      <c r="J250" s="9">
        <v>2</v>
      </c>
      <c r="K250" s="9" t="s">
        <v>12078</v>
      </c>
      <c r="L250" s="9" t="s">
        <v>12119</v>
      </c>
      <c r="M250" s="9"/>
      <c r="N250" s="10"/>
      <c r="O250" s="9"/>
      <c r="P250" s="9">
        <v>11843</v>
      </c>
      <c r="Q250" s="9">
        <v>1423.0954097572699</v>
      </c>
      <c r="R250" s="9"/>
      <c r="S250" s="9" t="s">
        <v>12795</v>
      </c>
      <c r="T250" s="9" t="s">
        <v>12795</v>
      </c>
      <c r="U250" s="9"/>
      <c r="V250" s="9"/>
      <c r="W250" s="9"/>
      <c r="X250" s="9"/>
      <c r="Y250" s="9"/>
      <c r="Z250" s="9"/>
      <c r="AA250" s="9"/>
      <c r="AB250" s="9"/>
      <c r="AC250" s="9"/>
      <c r="AD250" s="9"/>
    </row>
    <row r="251" spans="1:30" ht="43.5">
      <c r="A251" s="3" t="s">
        <v>2067</v>
      </c>
      <c r="B251" s="3" t="s">
        <v>7075</v>
      </c>
      <c r="C251" s="3" t="s">
        <v>7076</v>
      </c>
      <c r="G251" s="9" t="s">
        <v>25</v>
      </c>
      <c r="H251" s="9"/>
      <c r="I251" s="9">
        <v>1</v>
      </c>
      <c r="J251" s="9">
        <v>2</v>
      </c>
      <c r="K251" s="9" t="s">
        <v>12078</v>
      </c>
      <c r="L251" s="9" t="s">
        <v>12119</v>
      </c>
      <c r="M251" s="9"/>
      <c r="N251" s="10"/>
      <c r="O251" s="9" t="s">
        <v>12074</v>
      </c>
      <c r="P251" s="9">
        <v>11843</v>
      </c>
      <c r="Q251" s="9">
        <v>1423.0954097572699</v>
      </c>
      <c r="R251" s="9"/>
      <c r="S251" s="9" t="s">
        <v>12795</v>
      </c>
      <c r="T251" s="9" t="s">
        <v>12795</v>
      </c>
      <c r="U251" s="9"/>
      <c r="V251" s="9"/>
      <c r="W251" s="9"/>
      <c r="X251" s="9"/>
      <c r="Y251" s="9"/>
      <c r="Z251" s="9"/>
      <c r="AA251" s="9"/>
      <c r="AB251" s="9"/>
      <c r="AC251" s="9"/>
      <c r="AD251" s="9"/>
    </row>
    <row r="252" spans="1:30" ht="29">
      <c r="A252" s="3" t="s">
        <v>2075</v>
      </c>
      <c r="B252" s="3" t="s">
        <v>7080</v>
      </c>
      <c r="C252" s="3" t="s">
        <v>7081</v>
      </c>
      <c r="G252" s="9" t="s">
        <v>25</v>
      </c>
      <c r="H252" s="9"/>
      <c r="I252" s="9">
        <v>1</v>
      </c>
      <c r="J252" s="9">
        <v>5</v>
      </c>
      <c r="K252" s="9" t="s">
        <v>12094</v>
      </c>
      <c r="L252" s="9" t="s">
        <v>12079</v>
      </c>
      <c r="M252" s="9"/>
      <c r="N252" s="10"/>
      <c r="O252" s="9"/>
      <c r="P252" s="9">
        <v>4240</v>
      </c>
      <c r="Q252" s="9">
        <v>509.49291035808699</v>
      </c>
      <c r="R252" s="9"/>
      <c r="S252" s="9" t="s">
        <v>12795</v>
      </c>
      <c r="T252" s="9" t="s">
        <v>12795</v>
      </c>
      <c r="U252" s="9"/>
      <c r="V252" s="9"/>
      <c r="W252" s="9"/>
      <c r="X252" s="9"/>
      <c r="Y252" s="9"/>
      <c r="Z252" s="9"/>
      <c r="AA252" s="9"/>
      <c r="AB252" s="9"/>
      <c r="AC252" s="9"/>
      <c r="AD252" s="9"/>
    </row>
    <row r="253" spans="1:30" ht="29">
      <c r="A253" s="3" t="s">
        <v>2106</v>
      </c>
      <c r="B253" s="3" t="s">
        <v>7091</v>
      </c>
      <c r="C253" s="3" t="s">
        <v>7092</v>
      </c>
      <c r="G253" s="9" t="s">
        <v>25</v>
      </c>
      <c r="H253" s="9"/>
      <c r="I253" s="9">
        <v>1</v>
      </c>
      <c r="J253" s="9">
        <v>1</v>
      </c>
      <c r="K253" s="9" t="s">
        <v>12078</v>
      </c>
      <c r="L253" s="9" t="s">
        <v>12119</v>
      </c>
      <c r="M253" s="9"/>
      <c r="N253" s="10"/>
      <c r="O253" s="9" t="s">
        <v>12074</v>
      </c>
      <c r="P253" s="9">
        <v>11843</v>
      </c>
      <c r="Q253" s="9">
        <v>1423.0954097572699</v>
      </c>
      <c r="R253" s="9"/>
      <c r="S253" s="9" t="s">
        <v>12795</v>
      </c>
      <c r="T253" s="9" t="s">
        <v>12795</v>
      </c>
      <c r="U253" s="9"/>
      <c r="V253" s="9"/>
      <c r="W253" s="9"/>
      <c r="X253" s="9"/>
      <c r="Y253" s="9"/>
      <c r="Z253" s="9"/>
      <c r="AA253" s="9"/>
      <c r="AB253" s="9"/>
      <c r="AC253" s="9"/>
      <c r="AD253" s="9"/>
    </row>
    <row r="254" spans="1:30" ht="29">
      <c r="A254" s="3" t="s">
        <v>2108</v>
      </c>
      <c r="B254" s="3" t="s">
        <v>7095</v>
      </c>
      <c r="C254" s="3" t="s">
        <v>7096</v>
      </c>
      <c r="G254" s="9" t="s">
        <v>25</v>
      </c>
      <c r="H254" s="9"/>
      <c r="I254" s="9">
        <v>1</v>
      </c>
      <c r="J254" s="9">
        <v>1</v>
      </c>
      <c r="K254" s="9" t="s">
        <v>12078</v>
      </c>
      <c r="L254" s="9" t="s">
        <v>12119</v>
      </c>
      <c r="M254" s="9"/>
      <c r="N254" s="10"/>
      <c r="O254" s="9"/>
      <c r="P254" s="9">
        <v>11843</v>
      </c>
      <c r="Q254" s="9">
        <v>1423.0954097572699</v>
      </c>
      <c r="R254" s="9"/>
      <c r="S254" s="9" t="s">
        <v>12795</v>
      </c>
      <c r="T254" s="9" t="s">
        <v>12795</v>
      </c>
      <c r="U254" s="9"/>
      <c r="V254" s="9"/>
      <c r="W254" s="9"/>
      <c r="X254" s="9"/>
      <c r="Y254" s="9"/>
      <c r="Z254" s="9"/>
      <c r="AA254" s="9"/>
      <c r="AB254" s="9"/>
      <c r="AC254" s="9"/>
      <c r="AD254" s="9"/>
    </row>
    <row r="255" spans="1:30" ht="72.5">
      <c r="A255" s="3" t="s">
        <v>2109</v>
      </c>
      <c r="B255" s="3" t="s">
        <v>7097</v>
      </c>
      <c r="C255" s="3" t="s">
        <v>12355</v>
      </c>
      <c r="G255" s="9" t="s">
        <v>24</v>
      </c>
      <c r="H255" s="9"/>
      <c r="I255" s="9">
        <v>1</v>
      </c>
      <c r="J255" s="9">
        <v>2</v>
      </c>
      <c r="K255" s="9" t="s">
        <v>12078</v>
      </c>
      <c r="L255" s="9" t="s">
        <v>12119</v>
      </c>
      <c r="M255" s="9"/>
      <c r="N255" s="10"/>
      <c r="O255" s="9"/>
      <c r="P255" s="9">
        <v>11843</v>
      </c>
      <c r="Q255" s="9">
        <v>1423.0954097572699</v>
      </c>
      <c r="R255" s="9"/>
      <c r="S255" s="9" t="s">
        <v>12795</v>
      </c>
      <c r="T255" s="9" t="s">
        <v>12795</v>
      </c>
      <c r="U255" s="9"/>
      <c r="V255" s="9"/>
      <c r="W255" s="9"/>
      <c r="X255" s="9"/>
      <c r="Y255" s="9"/>
      <c r="Z255" s="9"/>
      <c r="AA255" s="9"/>
      <c r="AB255" s="9"/>
      <c r="AC255" s="9"/>
      <c r="AD255" s="9"/>
    </row>
    <row r="256" spans="1:30" ht="72.5">
      <c r="A256" s="3" t="s">
        <v>2109</v>
      </c>
      <c r="B256" s="3" t="s">
        <v>7097</v>
      </c>
      <c r="C256" s="3" t="s">
        <v>12356</v>
      </c>
      <c r="G256" s="9" t="s">
        <v>24</v>
      </c>
      <c r="H256" s="9"/>
      <c r="I256" s="9">
        <v>1</v>
      </c>
      <c r="J256" s="9">
        <v>3</v>
      </c>
      <c r="K256" s="9" t="s">
        <v>12078</v>
      </c>
      <c r="L256" s="9" t="s">
        <v>12079</v>
      </c>
      <c r="M256" s="9"/>
      <c r="N256" s="10"/>
      <c r="O256" s="9"/>
      <c r="P256" s="9">
        <v>11843</v>
      </c>
      <c r="Q256" s="9">
        <v>1423.0954097572699</v>
      </c>
      <c r="R256" s="9"/>
      <c r="S256" s="9" t="s">
        <v>12795</v>
      </c>
      <c r="T256" s="9" t="s">
        <v>12795</v>
      </c>
      <c r="U256" s="9"/>
      <c r="V256" s="9"/>
      <c r="W256" s="9"/>
      <c r="X256" s="9"/>
      <c r="Y256" s="9"/>
      <c r="Z256" s="9"/>
      <c r="AA256" s="9"/>
      <c r="AB256" s="9"/>
      <c r="AC256" s="9"/>
      <c r="AD256" s="9"/>
    </row>
    <row r="257" spans="1:30" ht="43.5">
      <c r="A257" s="3" t="s">
        <v>2112</v>
      </c>
      <c r="B257" s="3" t="s">
        <v>7098</v>
      </c>
      <c r="C257" s="3" t="s">
        <v>7099</v>
      </c>
      <c r="G257" s="9" t="s">
        <v>24</v>
      </c>
      <c r="H257" s="9"/>
      <c r="I257" s="9">
        <v>1</v>
      </c>
      <c r="J257" s="9">
        <v>3</v>
      </c>
      <c r="K257" s="9" t="s">
        <v>12078</v>
      </c>
      <c r="L257" s="9" t="s">
        <v>12079</v>
      </c>
      <c r="M257" s="9"/>
      <c r="N257" s="10"/>
      <c r="O257" s="9"/>
      <c r="P257" s="9">
        <v>11843</v>
      </c>
      <c r="Q257" s="9">
        <v>1423.0954097572699</v>
      </c>
      <c r="R257" s="9"/>
      <c r="S257" s="9" t="s">
        <v>12795</v>
      </c>
      <c r="T257" s="9" t="s">
        <v>12795</v>
      </c>
      <c r="U257" s="9" t="s">
        <v>12117</v>
      </c>
      <c r="V257" s="9"/>
      <c r="W257" s="9"/>
      <c r="X257" s="9"/>
      <c r="Y257" s="9"/>
      <c r="Z257" s="9"/>
      <c r="AA257" s="9"/>
      <c r="AB257" s="9"/>
      <c r="AC257" s="9"/>
      <c r="AD257" s="9"/>
    </row>
    <row r="258" spans="1:30" ht="29">
      <c r="A258" s="3" t="s">
        <v>2117</v>
      </c>
      <c r="B258" s="3" t="s">
        <v>7113</v>
      </c>
      <c r="C258" s="3" t="s">
        <v>7112</v>
      </c>
      <c r="G258" s="9" t="s">
        <v>24</v>
      </c>
      <c r="H258" s="9"/>
      <c r="I258" s="9">
        <v>1</v>
      </c>
      <c r="J258" s="9">
        <v>2</v>
      </c>
      <c r="K258" s="9" t="s">
        <v>12078</v>
      </c>
      <c r="L258" s="9" t="s">
        <v>12119</v>
      </c>
      <c r="M258" s="9"/>
      <c r="N258" s="10"/>
      <c r="O258" s="9"/>
      <c r="P258" s="9">
        <v>11843</v>
      </c>
      <c r="Q258" s="9">
        <v>1423.0954097572699</v>
      </c>
      <c r="R258" s="9"/>
      <c r="S258" s="9" t="s">
        <v>12795</v>
      </c>
      <c r="T258" s="9" t="s">
        <v>12795</v>
      </c>
      <c r="U258" s="9"/>
      <c r="V258" s="9"/>
      <c r="W258" s="9"/>
      <c r="X258" s="9"/>
      <c r="Y258" s="9"/>
      <c r="Z258" s="9"/>
      <c r="AA258" s="9"/>
      <c r="AB258" s="9"/>
      <c r="AC258" s="9"/>
      <c r="AD258" s="9"/>
    </row>
    <row r="259" spans="1:30" ht="29">
      <c r="A259" s="3" t="s">
        <v>2137</v>
      </c>
      <c r="B259" s="3" t="s">
        <v>12896</v>
      </c>
      <c r="C259" s="3" t="s">
        <v>7135</v>
      </c>
      <c r="G259" s="9" t="s">
        <v>24</v>
      </c>
      <c r="H259" s="9"/>
      <c r="I259" s="9">
        <v>1</v>
      </c>
      <c r="J259" s="9">
        <v>2</v>
      </c>
      <c r="K259" s="9" t="s">
        <v>12078</v>
      </c>
      <c r="L259" s="9" t="s">
        <v>12119</v>
      </c>
      <c r="M259" s="9"/>
      <c r="N259" s="10"/>
      <c r="O259" s="9"/>
      <c r="P259" s="9">
        <v>11843</v>
      </c>
      <c r="Q259" s="9">
        <v>1423.0954097572699</v>
      </c>
      <c r="R259" s="9"/>
      <c r="S259" s="9" t="s">
        <v>12795</v>
      </c>
      <c r="T259" s="9" t="s">
        <v>12795</v>
      </c>
      <c r="U259" s="9"/>
      <c r="V259" s="9"/>
      <c r="W259" s="9"/>
      <c r="X259" s="9"/>
      <c r="Y259" s="9"/>
      <c r="Z259" s="9"/>
      <c r="AA259" s="9"/>
      <c r="AB259" s="9"/>
      <c r="AC259" s="9"/>
      <c r="AD259" s="9"/>
    </row>
    <row r="260" spans="1:30" ht="43.5">
      <c r="A260" s="3" t="s">
        <v>2140</v>
      </c>
      <c r="B260" s="3" t="s">
        <v>7138</v>
      </c>
      <c r="C260" s="3" t="s">
        <v>7137</v>
      </c>
      <c r="G260" s="9" t="s">
        <v>25</v>
      </c>
      <c r="H260" s="9"/>
      <c r="I260" s="9">
        <v>1</v>
      </c>
      <c r="J260" s="9">
        <v>3</v>
      </c>
      <c r="K260" s="9" t="s">
        <v>12078</v>
      </c>
      <c r="L260" s="9" t="s">
        <v>12079</v>
      </c>
      <c r="M260" s="9"/>
      <c r="N260" s="10"/>
      <c r="O260" s="9"/>
      <c r="P260" s="9">
        <v>11843</v>
      </c>
      <c r="Q260" s="9">
        <v>1423.0954097572699</v>
      </c>
      <c r="R260" s="9"/>
      <c r="S260" s="9" t="s">
        <v>12795</v>
      </c>
      <c r="T260" s="9" t="s">
        <v>12795</v>
      </c>
      <c r="U260" s="9"/>
      <c r="V260" s="9"/>
      <c r="W260" s="9"/>
      <c r="X260" s="9"/>
      <c r="Y260" s="9"/>
      <c r="Z260" s="9"/>
      <c r="AA260" s="9"/>
      <c r="AB260" s="9"/>
      <c r="AC260" s="9"/>
      <c r="AD260" s="9"/>
    </row>
    <row r="261" spans="1:30" ht="43.5">
      <c r="A261" s="3" t="s">
        <v>2151</v>
      </c>
      <c r="B261" s="3" t="s">
        <v>7167</v>
      </c>
      <c r="C261" s="3" t="s">
        <v>7168</v>
      </c>
      <c r="G261" s="9" t="s">
        <v>25</v>
      </c>
      <c r="H261" s="9"/>
      <c r="I261" s="9">
        <v>1</v>
      </c>
      <c r="J261" s="9">
        <v>2</v>
      </c>
      <c r="K261" s="9" t="s">
        <v>12096</v>
      </c>
      <c r="L261" s="9" t="s">
        <v>12119</v>
      </c>
      <c r="M261" s="9"/>
      <c r="N261" s="10"/>
      <c r="O261" s="9"/>
      <c r="P261" s="9">
        <v>1294</v>
      </c>
      <c r="Q261" s="9">
        <v>155.49146839701996</v>
      </c>
      <c r="R261" s="9"/>
      <c r="S261" s="9" t="s">
        <v>12795</v>
      </c>
      <c r="T261" s="9" t="s">
        <v>12795</v>
      </c>
      <c r="U261" s="9"/>
      <c r="V261" s="9"/>
      <c r="W261" s="9"/>
      <c r="X261" s="9"/>
      <c r="Y261" s="9"/>
      <c r="Z261" s="9"/>
      <c r="AA261" s="9"/>
      <c r="AB261" s="9"/>
      <c r="AC261" s="9"/>
      <c r="AD261" s="9"/>
    </row>
    <row r="262" spans="1:30" ht="72.5">
      <c r="A262" s="3" t="s">
        <v>2157</v>
      </c>
      <c r="B262" s="3" t="s">
        <v>7172</v>
      </c>
      <c r="C262" s="3" t="s">
        <v>7171</v>
      </c>
      <c r="G262" s="9" t="s">
        <v>24</v>
      </c>
      <c r="H262" s="9"/>
      <c r="I262" s="9">
        <v>1</v>
      </c>
      <c r="J262" s="9">
        <v>5</v>
      </c>
      <c r="K262" s="9" t="s">
        <v>12094</v>
      </c>
      <c r="L262" s="9" t="s">
        <v>12079</v>
      </c>
      <c r="M262" s="9"/>
      <c r="N262" s="10"/>
      <c r="O262" s="9"/>
      <c r="P262" s="9">
        <v>4240</v>
      </c>
      <c r="Q262" s="9">
        <v>509.49291035808699</v>
      </c>
      <c r="R262" s="9"/>
      <c r="S262" s="9" t="s">
        <v>12795</v>
      </c>
      <c r="T262" s="9" t="s">
        <v>12795</v>
      </c>
      <c r="U262" s="9"/>
      <c r="V262" s="9"/>
      <c r="W262" s="9"/>
      <c r="X262" s="9"/>
      <c r="Y262" s="9"/>
      <c r="Z262" s="9"/>
      <c r="AA262" s="9"/>
      <c r="AB262" s="9"/>
      <c r="AC262" s="9"/>
      <c r="AD262" s="9"/>
    </row>
    <row r="263" spans="1:30" ht="43.5">
      <c r="A263" s="3" t="s">
        <v>2159</v>
      </c>
      <c r="B263" s="3" t="s">
        <v>7175</v>
      </c>
      <c r="C263" s="3" t="s">
        <v>7176</v>
      </c>
      <c r="G263" s="9" t="s">
        <v>25</v>
      </c>
      <c r="H263" s="9"/>
      <c r="I263" s="9">
        <v>1</v>
      </c>
      <c r="J263" s="9">
        <v>2</v>
      </c>
      <c r="K263" s="9" t="s">
        <v>12087</v>
      </c>
      <c r="L263" s="9" t="s">
        <v>12119</v>
      </c>
      <c r="M263" s="9"/>
      <c r="N263" s="10"/>
      <c r="O263" s="9"/>
      <c r="P263" s="9">
        <v>1966</v>
      </c>
      <c r="Q263" s="9">
        <v>236.24128815188658</v>
      </c>
      <c r="R263" s="9"/>
      <c r="S263" s="9" t="s">
        <v>12795</v>
      </c>
      <c r="T263" s="9" t="s">
        <v>12795</v>
      </c>
      <c r="U263" s="9"/>
      <c r="V263" s="9"/>
      <c r="W263" s="9"/>
      <c r="X263" s="9"/>
      <c r="Y263" s="9"/>
      <c r="Z263" s="9"/>
      <c r="AA263" s="9"/>
      <c r="AB263" s="9"/>
      <c r="AC263" s="9"/>
      <c r="AD263" s="9"/>
    </row>
    <row r="264" spans="1:30" ht="43.5">
      <c r="A264" s="3" t="s">
        <v>2160</v>
      </c>
      <c r="B264" s="3" t="s">
        <v>7178</v>
      </c>
      <c r="C264" s="3" t="s">
        <v>7177</v>
      </c>
      <c r="G264" s="9" t="s">
        <v>25</v>
      </c>
      <c r="H264" s="9"/>
      <c r="I264" s="9">
        <v>1</v>
      </c>
      <c r="J264" s="9">
        <v>2</v>
      </c>
      <c r="K264" s="9" t="s">
        <v>12094</v>
      </c>
      <c r="L264" s="9" t="s">
        <v>12119</v>
      </c>
      <c r="M264" s="9"/>
      <c r="N264" s="10"/>
      <c r="O264" s="9"/>
      <c r="P264" s="9">
        <v>1496</v>
      </c>
      <c r="Q264" s="9">
        <v>179.76447969238166</v>
      </c>
      <c r="R264" s="9"/>
      <c r="S264" s="9" t="s">
        <v>12795</v>
      </c>
      <c r="T264" s="9" t="s">
        <v>12795</v>
      </c>
      <c r="U264" s="9"/>
      <c r="V264" s="9"/>
      <c r="W264" s="9"/>
      <c r="X264" s="9"/>
      <c r="Y264" s="9"/>
      <c r="Z264" s="9"/>
      <c r="AA264" s="9"/>
      <c r="AB264" s="9"/>
      <c r="AC264" s="9"/>
      <c r="AD264" s="9"/>
    </row>
    <row r="265" spans="1:30" ht="58">
      <c r="A265" s="3" t="s">
        <v>2162</v>
      </c>
      <c r="B265" s="3" t="s">
        <v>7183</v>
      </c>
      <c r="C265" s="3" t="s">
        <v>7184</v>
      </c>
      <c r="G265" s="9" t="s">
        <v>25</v>
      </c>
      <c r="H265" s="9"/>
      <c r="I265" s="9">
        <v>1</v>
      </c>
      <c r="J265" s="9">
        <v>6</v>
      </c>
      <c r="K265" s="9" t="s">
        <v>12094</v>
      </c>
      <c r="L265" s="9" t="s">
        <v>12073</v>
      </c>
      <c r="M265" s="9" t="s">
        <v>12142</v>
      </c>
      <c r="N265" s="10" t="s">
        <v>12143</v>
      </c>
      <c r="O265" s="9"/>
      <c r="P265" s="9">
        <v>4240</v>
      </c>
      <c r="Q265" s="9">
        <v>509.49291035808699</v>
      </c>
      <c r="R265" s="9"/>
      <c r="S265" s="9" t="s">
        <v>12795</v>
      </c>
      <c r="T265" s="9" t="s">
        <v>12795</v>
      </c>
      <c r="U265" s="9"/>
      <c r="V265" s="9"/>
      <c r="W265" s="9"/>
      <c r="X265" s="9"/>
      <c r="Y265" s="9"/>
      <c r="Z265" s="9"/>
      <c r="AA265" s="9"/>
      <c r="AB265" s="9"/>
      <c r="AC265" s="9"/>
      <c r="AD265" s="9"/>
    </row>
    <row r="266" spans="1:30" ht="29">
      <c r="A266" s="3" t="s">
        <v>2168</v>
      </c>
      <c r="B266" s="3" t="s">
        <v>7196</v>
      </c>
      <c r="C266" s="3" t="s">
        <v>7197</v>
      </c>
      <c r="G266" s="9" t="s">
        <v>24</v>
      </c>
      <c r="H266" s="9"/>
      <c r="I266" s="9">
        <v>1</v>
      </c>
      <c r="J266" s="9">
        <v>2</v>
      </c>
      <c r="K266" s="9" t="s">
        <v>12078</v>
      </c>
      <c r="L266" s="9" t="s">
        <v>12119</v>
      </c>
      <c r="M266" s="9"/>
      <c r="N266" s="10"/>
      <c r="O266" s="9" t="s">
        <v>12074</v>
      </c>
      <c r="P266" s="9">
        <v>11843</v>
      </c>
      <c r="Q266" s="9">
        <v>1423.0954097572699</v>
      </c>
      <c r="R266" s="9"/>
      <c r="S266" s="9" t="s">
        <v>12795</v>
      </c>
      <c r="T266" s="9" t="s">
        <v>12795</v>
      </c>
      <c r="U266" s="9"/>
      <c r="V266" s="9"/>
      <c r="W266" s="9"/>
      <c r="X266" s="9"/>
      <c r="Y266" s="9"/>
      <c r="Z266" s="9"/>
      <c r="AA266" s="9"/>
      <c r="AB266" s="9"/>
      <c r="AC266" s="9"/>
      <c r="AD266" s="9"/>
    </row>
    <row r="267" spans="1:30" ht="43.5">
      <c r="A267" s="3" t="s">
        <v>2168</v>
      </c>
      <c r="B267" s="3" t="s">
        <v>7198</v>
      </c>
      <c r="C267" s="3" t="s">
        <v>7201</v>
      </c>
      <c r="G267" s="9" t="s">
        <v>24</v>
      </c>
      <c r="H267" s="9"/>
      <c r="I267" s="9">
        <v>1</v>
      </c>
      <c r="J267" s="9">
        <v>3</v>
      </c>
      <c r="K267" s="9" t="s">
        <v>12078</v>
      </c>
      <c r="L267" s="9" t="s">
        <v>12079</v>
      </c>
      <c r="M267" s="9"/>
      <c r="N267" s="10"/>
      <c r="O267" s="9"/>
      <c r="P267" s="9">
        <v>11843</v>
      </c>
      <c r="Q267" s="9">
        <v>1423.0954097572699</v>
      </c>
      <c r="R267" s="9"/>
      <c r="S267" s="9" t="s">
        <v>12795</v>
      </c>
      <c r="T267" s="9" t="s">
        <v>12795</v>
      </c>
      <c r="U267" s="9"/>
      <c r="V267" s="9"/>
      <c r="W267" s="9"/>
      <c r="X267" s="9"/>
      <c r="Y267" s="9"/>
      <c r="Z267" s="9"/>
      <c r="AA267" s="9"/>
      <c r="AB267" s="9"/>
      <c r="AC267" s="9"/>
      <c r="AD267" s="9"/>
    </row>
    <row r="268" spans="1:30" ht="29">
      <c r="A268" s="3" t="s">
        <v>2175</v>
      </c>
      <c r="B268" s="3" t="s">
        <v>7205</v>
      </c>
      <c r="C268" s="3" t="s">
        <v>7204</v>
      </c>
      <c r="G268" s="9" t="s">
        <v>24</v>
      </c>
      <c r="H268" s="9"/>
      <c r="I268" s="9">
        <v>1</v>
      </c>
      <c r="J268" s="9">
        <v>3</v>
      </c>
      <c r="K268" s="9" t="s">
        <v>12078</v>
      </c>
      <c r="L268" s="9" t="s">
        <v>12079</v>
      </c>
      <c r="M268" s="9"/>
      <c r="N268" s="10"/>
      <c r="O268" s="9"/>
      <c r="P268" s="9">
        <v>11843</v>
      </c>
      <c r="Q268" s="9">
        <v>1423.0954097572699</v>
      </c>
      <c r="R268" s="9"/>
      <c r="S268" s="9" t="s">
        <v>12795</v>
      </c>
      <c r="T268" s="9" t="s">
        <v>12795</v>
      </c>
      <c r="U268" s="9"/>
      <c r="V268" s="9"/>
      <c r="W268" s="9"/>
      <c r="X268" s="9"/>
      <c r="Y268" s="9"/>
      <c r="Z268" s="9"/>
      <c r="AA268" s="9"/>
      <c r="AB268" s="9"/>
      <c r="AC268" s="9"/>
      <c r="AD268" s="9"/>
    </row>
    <row r="269" spans="1:30" ht="29">
      <c r="A269" s="3" t="s">
        <v>2186</v>
      </c>
      <c r="B269" s="3" t="s">
        <v>7220</v>
      </c>
      <c r="C269" s="3" t="s">
        <v>7221</v>
      </c>
      <c r="G269" s="9" t="s">
        <v>25</v>
      </c>
      <c r="H269" s="9"/>
      <c r="I269" s="9">
        <v>1</v>
      </c>
      <c r="J269" s="9">
        <v>2</v>
      </c>
      <c r="K269" s="9" t="s">
        <v>12078</v>
      </c>
      <c r="L269" s="9" t="s">
        <v>12119</v>
      </c>
      <c r="M269" s="9"/>
      <c r="N269" s="10"/>
      <c r="O269" s="9"/>
      <c r="P269" s="9">
        <v>11843</v>
      </c>
      <c r="Q269" s="9">
        <v>1423.0954097572699</v>
      </c>
      <c r="R269" s="9"/>
      <c r="S269" s="9" t="s">
        <v>12795</v>
      </c>
      <c r="T269" s="9" t="s">
        <v>12795</v>
      </c>
      <c r="U269" s="9"/>
      <c r="V269" s="9"/>
      <c r="W269" s="9"/>
      <c r="X269" s="9"/>
      <c r="Y269" s="9"/>
      <c r="Z269" s="9"/>
      <c r="AA269" s="9"/>
      <c r="AB269" s="9"/>
      <c r="AC269" s="9"/>
      <c r="AD269" s="9"/>
    </row>
    <row r="270" spans="1:30" ht="29">
      <c r="A270" s="3" t="s">
        <v>2209</v>
      </c>
      <c r="B270" s="3" t="s">
        <v>7226</v>
      </c>
      <c r="C270" s="3" t="s">
        <v>6698</v>
      </c>
      <c r="G270" s="9" t="s">
        <v>25</v>
      </c>
      <c r="H270" s="9"/>
      <c r="I270" s="9">
        <v>1</v>
      </c>
      <c r="J270" s="9">
        <v>1</v>
      </c>
      <c r="K270" s="9" t="s">
        <v>12078</v>
      </c>
      <c r="L270" s="9" t="s">
        <v>12119</v>
      </c>
      <c r="M270" s="9"/>
      <c r="N270" s="10"/>
      <c r="O270" s="9"/>
      <c r="P270" s="9">
        <v>11843</v>
      </c>
      <c r="Q270" s="9">
        <v>1423.0954097572699</v>
      </c>
      <c r="R270" s="9"/>
      <c r="S270" s="9" t="s">
        <v>12795</v>
      </c>
      <c r="T270" s="9" t="s">
        <v>12795</v>
      </c>
      <c r="U270" s="9" t="s">
        <v>12117</v>
      </c>
      <c r="V270" s="9"/>
      <c r="W270" s="9"/>
      <c r="X270" s="9"/>
      <c r="Y270" s="9"/>
      <c r="Z270" s="9"/>
      <c r="AA270" s="9"/>
      <c r="AB270" s="9"/>
      <c r="AC270" s="9"/>
      <c r="AD270" s="9"/>
    </row>
    <row r="271" spans="1:30" ht="29">
      <c r="A271" s="3" t="s">
        <v>2209</v>
      </c>
      <c r="B271" s="3" t="s">
        <v>7228</v>
      </c>
      <c r="C271" s="3" t="s">
        <v>7227</v>
      </c>
      <c r="G271" s="9" t="s">
        <v>24</v>
      </c>
      <c r="H271" s="9"/>
      <c r="I271" s="9">
        <v>1</v>
      </c>
      <c r="J271" s="9">
        <v>3</v>
      </c>
      <c r="K271" s="9" t="s">
        <v>12087</v>
      </c>
      <c r="L271" s="9" t="s">
        <v>12079</v>
      </c>
      <c r="M271" s="9"/>
      <c r="N271" s="10"/>
      <c r="O271" s="9"/>
      <c r="P271" s="9">
        <v>810</v>
      </c>
      <c r="Q271" s="9">
        <v>97.332372025955294</v>
      </c>
      <c r="R271" s="9"/>
      <c r="S271" s="9" t="s">
        <v>12795</v>
      </c>
      <c r="T271" s="9" t="s">
        <v>12795</v>
      </c>
      <c r="U271" s="9" t="s">
        <v>12117</v>
      </c>
      <c r="V271" s="9"/>
      <c r="W271" s="9"/>
      <c r="X271" s="9"/>
      <c r="Y271" s="9"/>
      <c r="Z271" s="9"/>
      <c r="AA271" s="9"/>
      <c r="AB271" s="9"/>
      <c r="AC271" s="9"/>
      <c r="AD271" s="9"/>
    </row>
    <row r="272" spans="1:30" ht="43.5">
      <c r="A272" s="3" t="s">
        <v>2219</v>
      </c>
      <c r="B272" s="3" t="s">
        <v>7235</v>
      </c>
      <c r="C272" s="3" t="s">
        <v>7236</v>
      </c>
      <c r="G272" s="9" t="s">
        <v>24</v>
      </c>
      <c r="H272" s="9"/>
      <c r="I272" s="9">
        <v>1</v>
      </c>
      <c r="J272" s="9">
        <v>3</v>
      </c>
      <c r="K272" s="9" t="s">
        <v>12078</v>
      </c>
      <c r="L272" s="9" t="s">
        <v>12079</v>
      </c>
      <c r="M272" s="9"/>
      <c r="N272" s="10"/>
      <c r="O272" s="9"/>
      <c r="P272" s="9">
        <v>11843</v>
      </c>
      <c r="Q272" s="9">
        <v>1423.0954097572699</v>
      </c>
      <c r="R272" s="9"/>
      <c r="S272" s="9" t="s">
        <v>12795</v>
      </c>
      <c r="T272" s="9" t="s">
        <v>12795</v>
      </c>
      <c r="U272" s="9"/>
      <c r="V272" s="9"/>
      <c r="W272" s="9"/>
      <c r="X272" s="9"/>
      <c r="Y272" s="9"/>
      <c r="Z272" s="9"/>
      <c r="AA272" s="9"/>
      <c r="AB272" s="9"/>
      <c r="AC272" s="9"/>
      <c r="AD272" s="9"/>
    </row>
    <row r="273" spans="1:30" ht="58">
      <c r="A273" s="3" t="s">
        <v>2221</v>
      </c>
      <c r="B273" s="3" t="s">
        <v>7242</v>
      </c>
      <c r="C273" s="3" t="s">
        <v>7243</v>
      </c>
      <c r="G273" s="9" t="s">
        <v>24</v>
      </c>
      <c r="H273" s="9"/>
      <c r="I273" s="9">
        <v>1</v>
      </c>
      <c r="J273" s="9">
        <v>2</v>
      </c>
      <c r="K273" s="9" t="s">
        <v>12094</v>
      </c>
      <c r="L273" s="9" t="s">
        <v>12119</v>
      </c>
      <c r="M273" s="9"/>
      <c r="N273" s="10"/>
      <c r="O273" s="9"/>
      <c r="P273" s="9">
        <v>1496</v>
      </c>
      <c r="Q273" s="9">
        <v>179.76447969238166</v>
      </c>
      <c r="R273" s="9"/>
      <c r="S273" s="9" t="s">
        <v>12795</v>
      </c>
      <c r="T273" s="9" t="s">
        <v>12795</v>
      </c>
      <c r="U273" s="9"/>
      <c r="V273" s="9"/>
      <c r="W273" s="9"/>
      <c r="X273" s="9"/>
      <c r="Y273" s="9"/>
      <c r="Z273" s="9"/>
      <c r="AA273" s="9"/>
      <c r="AB273" s="9"/>
      <c r="AC273" s="9"/>
      <c r="AD273" s="9"/>
    </row>
    <row r="274" spans="1:30" ht="58">
      <c r="A274" s="3" t="s">
        <v>2234</v>
      </c>
      <c r="B274" s="3" t="s">
        <v>7248</v>
      </c>
      <c r="C274" s="3" t="s">
        <v>12363</v>
      </c>
      <c r="G274" s="9" t="s">
        <v>24</v>
      </c>
      <c r="H274" s="9"/>
      <c r="I274" s="9">
        <v>1</v>
      </c>
      <c r="J274" s="9">
        <v>2</v>
      </c>
      <c r="K274" s="9" t="s">
        <v>12078</v>
      </c>
      <c r="L274" s="9" t="s">
        <v>12119</v>
      </c>
      <c r="M274" s="9"/>
      <c r="N274" s="10"/>
      <c r="O274" s="9"/>
      <c r="P274" s="9">
        <v>11843</v>
      </c>
      <c r="Q274" s="9">
        <v>1423.0954097572699</v>
      </c>
      <c r="R274" s="9"/>
      <c r="S274" s="9" t="s">
        <v>12795</v>
      </c>
      <c r="T274" s="9" t="s">
        <v>12795</v>
      </c>
      <c r="U274" s="9"/>
      <c r="V274" s="9"/>
      <c r="W274" s="9"/>
      <c r="X274" s="9"/>
      <c r="Y274" s="9"/>
      <c r="Z274" s="9"/>
      <c r="AA274" s="9"/>
      <c r="AB274" s="9"/>
      <c r="AC274" s="9"/>
      <c r="AD274" s="9"/>
    </row>
    <row r="275" spans="1:30" ht="29">
      <c r="A275" s="3" t="s">
        <v>2237</v>
      </c>
      <c r="B275" s="3" t="s">
        <v>7250</v>
      </c>
      <c r="C275" s="3" t="s">
        <v>7249</v>
      </c>
      <c r="G275" s="9" t="s">
        <v>24</v>
      </c>
      <c r="H275" s="9"/>
      <c r="I275" s="9">
        <v>1</v>
      </c>
      <c r="J275" s="9">
        <v>2</v>
      </c>
      <c r="K275" s="9" t="s">
        <v>12087</v>
      </c>
      <c r="L275" s="9" t="s">
        <v>12119</v>
      </c>
      <c r="M275" s="9"/>
      <c r="N275" s="10"/>
      <c r="O275" s="9"/>
      <c r="P275" s="9">
        <v>1966</v>
      </c>
      <c r="Q275" s="9">
        <v>236.24128815188658</v>
      </c>
      <c r="R275" s="9"/>
      <c r="S275" s="9" t="s">
        <v>12795</v>
      </c>
      <c r="T275" s="9" t="s">
        <v>12795</v>
      </c>
      <c r="U275" s="9"/>
      <c r="V275" s="9"/>
      <c r="W275" s="9"/>
      <c r="X275" s="9"/>
      <c r="Y275" s="9"/>
      <c r="Z275" s="9"/>
      <c r="AA275" s="9"/>
      <c r="AB275" s="9"/>
      <c r="AC275" s="9"/>
      <c r="AD275" s="9"/>
    </row>
    <row r="276" spans="1:30" ht="29">
      <c r="A276" s="3" t="s">
        <v>2257</v>
      </c>
      <c r="B276" s="3" t="s">
        <v>7284</v>
      </c>
      <c r="C276" s="3" t="s">
        <v>7283</v>
      </c>
      <c r="G276" s="9" t="s">
        <v>25</v>
      </c>
      <c r="H276" s="9"/>
      <c r="I276" s="9">
        <v>1</v>
      </c>
      <c r="J276" s="9">
        <v>3</v>
      </c>
      <c r="K276" s="9" t="s">
        <v>12087</v>
      </c>
      <c r="L276" s="9" t="s">
        <v>12079</v>
      </c>
      <c r="M276" s="9"/>
      <c r="N276" s="10"/>
      <c r="O276" s="9"/>
      <c r="P276" s="9">
        <v>5676</v>
      </c>
      <c r="Q276" s="9">
        <v>682.04758471521268</v>
      </c>
      <c r="R276" s="9"/>
      <c r="S276" s="9" t="s">
        <v>12795</v>
      </c>
      <c r="T276" s="9" t="s">
        <v>12795</v>
      </c>
      <c r="U276" s="9"/>
      <c r="V276" s="9"/>
      <c r="W276" s="9"/>
      <c r="X276" s="9"/>
      <c r="Y276" s="9"/>
      <c r="Z276" s="9"/>
      <c r="AA276" s="9"/>
      <c r="AB276" s="9"/>
      <c r="AC276" s="9"/>
      <c r="AD276" s="9"/>
    </row>
    <row r="277" spans="1:30" ht="58">
      <c r="A277" s="3" t="s">
        <v>2265</v>
      </c>
      <c r="B277" s="3" t="s">
        <v>7301</v>
      </c>
      <c r="C277" s="3" t="s">
        <v>7302</v>
      </c>
      <c r="G277" s="9" t="s">
        <v>24</v>
      </c>
      <c r="H277" s="9"/>
      <c r="I277" s="9">
        <v>1</v>
      </c>
      <c r="J277" s="9">
        <v>4</v>
      </c>
      <c r="K277" s="9" t="s">
        <v>12078</v>
      </c>
      <c r="L277" s="9" t="s">
        <v>12073</v>
      </c>
      <c r="M277" s="9" t="s">
        <v>12142</v>
      </c>
      <c r="N277" s="10" t="s">
        <v>12143</v>
      </c>
      <c r="O277" s="9"/>
      <c r="P277" s="9">
        <v>11843</v>
      </c>
      <c r="Q277" s="9">
        <v>1423.0954097572699</v>
      </c>
      <c r="R277" s="9"/>
      <c r="S277" s="9" t="s">
        <v>12795</v>
      </c>
      <c r="T277" s="9" t="s">
        <v>12795</v>
      </c>
      <c r="U277" s="9"/>
      <c r="V277" s="9"/>
      <c r="W277" s="9"/>
      <c r="X277" s="9"/>
      <c r="Y277" s="9"/>
      <c r="Z277" s="9"/>
      <c r="AA277" s="9"/>
      <c r="AB277" s="9"/>
      <c r="AC277" s="9"/>
      <c r="AD277" s="9"/>
    </row>
    <row r="278" spans="1:30" ht="58">
      <c r="A278" s="3" t="s">
        <v>2265</v>
      </c>
      <c r="B278" s="3" t="s">
        <v>7303</v>
      </c>
      <c r="C278" s="3" t="s">
        <v>7300</v>
      </c>
      <c r="G278" s="9" t="s">
        <v>25</v>
      </c>
      <c r="H278" s="9"/>
      <c r="I278" s="9">
        <v>1</v>
      </c>
      <c r="J278" s="9">
        <v>2</v>
      </c>
      <c r="K278" s="9" t="s">
        <v>12078</v>
      </c>
      <c r="L278" s="9" t="s">
        <v>12119</v>
      </c>
      <c r="M278" s="9"/>
      <c r="N278" s="10"/>
      <c r="O278" s="9"/>
      <c r="P278" s="9">
        <v>11843</v>
      </c>
      <c r="Q278" s="9">
        <v>1423.0954097572699</v>
      </c>
      <c r="R278" s="9"/>
      <c r="S278" s="9" t="s">
        <v>12795</v>
      </c>
      <c r="T278" s="9" t="s">
        <v>12795</v>
      </c>
      <c r="U278" s="9"/>
      <c r="V278" s="9"/>
      <c r="W278" s="9"/>
      <c r="X278" s="9"/>
      <c r="Y278" s="9"/>
      <c r="Z278" s="9"/>
      <c r="AA278" s="9"/>
      <c r="AB278" s="9"/>
      <c r="AC278" s="9"/>
      <c r="AD278" s="9"/>
    </row>
    <row r="279" spans="1:30" ht="58">
      <c r="A279" s="3" t="s">
        <v>2268</v>
      </c>
      <c r="B279" s="3" t="s">
        <v>12369</v>
      </c>
      <c r="C279" s="3" t="s">
        <v>7308</v>
      </c>
      <c r="G279" s="9" t="s">
        <v>25</v>
      </c>
      <c r="H279" s="9"/>
      <c r="I279" s="9">
        <v>1</v>
      </c>
      <c r="J279" s="9">
        <v>2</v>
      </c>
      <c r="K279" s="9" t="s">
        <v>12087</v>
      </c>
      <c r="L279" s="9" t="s">
        <v>12119</v>
      </c>
      <c r="M279" s="9"/>
      <c r="N279" s="10"/>
      <c r="O279" s="9"/>
      <c r="P279" s="9">
        <v>1966</v>
      </c>
      <c r="Q279" s="9">
        <v>236.24128815188658</v>
      </c>
      <c r="R279" s="9"/>
      <c r="S279" s="9" t="s">
        <v>12795</v>
      </c>
      <c r="T279" s="9" t="s">
        <v>12795</v>
      </c>
      <c r="U279" s="9"/>
      <c r="V279" s="9"/>
      <c r="W279" s="9"/>
      <c r="X279" s="9"/>
      <c r="Y279" s="9"/>
      <c r="Z279" s="9"/>
      <c r="AA279" s="9"/>
      <c r="AB279" s="9"/>
      <c r="AC279" s="9"/>
      <c r="AD279" s="9"/>
    </row>
    <row r="280" spans="1:30" ht="58">
      <c r="A280" s="3" t="s">
        <v>2268</v>
      </c>
      <c r="B280" s="3" t="s">
        <v>7309</v>
      </c>
      <c r="C280" s="3" t="s">
        <v>12370</v>
      </c>
      <c r="G280" s="9" t="s">
        <v>24</v>
      </c>
      <c r="H280" s="9"/>
      <c r="I280" s="9">
        <v>1</v>
      </c>
      <c r="J280" s="9">
        <v>3</v>
      </c>
      <c r="K280" s="9" t="s">
        <v>12087</v>
      </c>
      <c r="L280" s="9" t="s">
        <v>12079</v>
      </c>
      <c r="M280" s="9"/>
      <c r="N280" s="10"/>
      <c r="O280" s="9"/>
      <c r="P280" s="9">
        <v>356</v>
      </c>
      <c r="Q280" s="9">
        <v>42.778178322518627</v>
      </c>
      <c r="R280" s="9"/>
      <c r="S280" s="9" t="s">
        <v>12795</v>
      </c>
      <c r="T280" s="9" t="s">
        <v>12795</v>
      </c>
      <c r="U280" s="9"/>
      <c r="V280" s="9"/>
      <c r="W280" s="9"/>
      <c r="X280" s="9"/>
      <c r="Y280" s="9"/>
      <c r="Z280" s="9"/>
      <c r="AA280" s="9"/>
      <c r="AB280" s="9"/>
      <c r="AC280" s="9"/>
      <c r="AD280" s="9"/>
    </row>
    <row r="281" spans="1:30" ht="43.5">
      <c r="A281" s="3" t="s">
        <v>2270</v>
      </c>
      <c r="B281" s="3" t="s">
        <v>7310</v>
      </c>
      <c r="C281" s="3" t="s">
        <v>7311</v>
      </c>
      <c r="G281" s="9" t="s">
        <v>25</v>
      </c>
      <c r="H281" s="9"/>
      <c r="I281" s="9">
        <v>1</v>
      </c>
      <c r="J281" s="9">
        <v>6</v>
      </c>
      <c r="K281" s="9" t="s">
        <v>12078</v>
      </c>
      <c r="L281" s="9" t="s">
        <v>12079</v>
      </c>
      <c r="M281" s="9"/>
      <c r="N281" s="10"/>
      <c r="O281" s="9"/>
      <c r="P281" s="9">
        <v>11843</v>
      </c>
      <c r="Q281" s="9">
        <v>1423.0954097572699</v>
      </c>
      <c r="R281" s="9"/>
      <c r="S281" s="9" t="s">
        <v>12795</v>
      </c>
      <c r="T281" s="9" t="s">
        <v>12795</v>
      </c>
      <c r="U281" s="9"/>
      <c r="V281" s="9"/>
      <c r="W281" s="9"/>
      <c r="X281" s="9"/>
      <c r="Y281" s="9"/>
      <c r="Z281" s="9"/>
      <c r="AA281" s="9"/>
      <c r="AB281" s="9"/>
      <c r="AC281" s="9"/>
      <c r="AD281" s="9"/>
    </row>
    <row r="282" spans="1:30" ht="29">
      <c r="A282" s="3" t="s">
        <v>2283</v>
      </c>
      <c r="B282" s="3" t="s">
        <v>7323</v>
      </c>
      <c r="C282" s="3" t="s">
        <v>7324</v>
      </c>
      <c r="G282" s="9" t="s">
        <v>25</v>
      </c>
      <c r="H282" s="9"/>
      <c r="I282" s="9">
        <v>1</v>
      </c>
      <c r="J282" s="9">
        <v>5</v>
      </c>
      <c r="K282" s="9" t="s">
        <v>12094</v>
      </c>
      <c r="L282" s="9" t="s">
        <v>12079</v>
      </c>
      <c r="M282" s="9"/>
      <c r="N282" s="10"/>
      <c r="O282" s="9"/>
      <c r="P282" s="9">
        <v>930</v>
      </c>
      <c r="Q282" s="9">
        <v>111.75198269646719</v>
      </c>
      <c r="R282" s="9"/>
      <c r="S282" s="9" t="s">
        <v>12795</v>
      </c>
      <c r="T282" s="9" t="s">
        <v>12795</v>
      </c>
      <c r="U282" s="9"/>
      <c r="V282" s="9"/>
      <c r="W282" s="9"/>
      <c r="X282" s="9"/>
      <c r="Y282" s="9"/>
      <c r="Z282" s="9"/>
      <c r="AA282" s="9"/>
      <c r="AB282" s="9"/>
      <c r="AC282" s="9"/>
      <c r="AD282" s="9"/>
    </row>
    <row r="283" spans="1:30" ht="72.5">
      <c r="A283" s="3" t="s">
        <v>2285</v>
      </c>
      <c r="B283" s="3" t="s">
        <v>7327</v>
      </c>
      <c r="C283" s="3" t="s">
        <v>7330</v>
      </c>
      <c r="G283" s="9" t="s">
        <v>24</v>
      </c>
      <c r="H283" s="9"/>
      <c r="I283" s="9">
        <v>1</v>
      </c>
      <c r="J283" s="9">
        <v>3</v>
      </c>
      <c r="K283" s="9" t="s">
        <v>12094</v>
      </c>
      <c r="L283" s="9" t="s">
        <v>12079</v>
      </c>
      <c r="M283" s="9"/>
      <c r="N283" s="10"/>
      <c r="O283" s="9"/>
      <c r="P283" s="9">
        <v>1741</v>
      </c>
      <c r="Q283" s="9">
        <v>209.20451814467677</v>
      </c>
      <c r="R283" s="9"/>
      <c r="S283" s="9" t="s">
        <v>12795</v>
      </c>
      <c r="T283" s="9" t="s">
        <v>12795</v>
      </c>
      <c r="U283" s="9" t="s">
        <v>12117</v>
      </c>
      <c r="V283" s="9"/>
      <c r="W283" s="9"/>
      <c r="X283" s="9"/>
      <c r="Y283" s="9"/>
      <c r="Z283" s="9"/>
      <c r="AA283" s="9"/>
      <c r="AB283" s="9"/>
      <c r="AC283" s="9"/>
      <c r="AD283" s="9"/>
    </row>
    <row r="284" spans="1:30" ht="43.5">
      <c r="A284" s="3" t="s">
        <v>2292</v>
      </c>
      <c r="B284" s="3" t="s">
        <v>7343</v>
      </c>
      <c r="C284" s="3" t="s">
        <v>7344</v>
      </c>
      <c r="G284" s="9" t="s">
        <v>24</v>
      </c>
      <c r="H284" s="9"/>
      <c r="I284" s="9">
        <v>1</v>
      </c>
      <c r="J284" s="9">
        <v>3</v>
      </c>
      <c r="K284" s="9" t="s">
        <v>12078</v>
      </c>
      <c r="L284" s="9" t="s">
        <v>12079</v>
      </c>
      <c r="M284" s="9"/>
      <c r="N284" s="10"/>
      <c r="O284" s="9"/>
      <c r="P284" s="9">
        <v>11843</v>
      </c>
      <c r="Q284" s="9">
        <v>1423.0954097572699</v>
      </c>
      <c r="R284" s="9"/>
      <c r="S284" s="9" t="s">
        <v>12795</v>
      </c>
      <c r="T284" s="9" t="s">
        <v>12795</v>
      </c>
      <c r="U284" s="9"/>
      <c r="V284" s="9"/>
      <c r="W284" s="9"/>
      <c r="X284" s="9"/>
      <c r="Y284" s="9"/>
      <c r="Z284" s="9"/>
      <c r="AA284" s="9"/>
      <c r="AB284" s="9"/>
      <c r="AC284" s="9"/>
      <c r="AD284" s="9"/>
    </row>
    <row r="285" spans="1:30" ht="29">
      <c r="A285" s="3" t="s">
        <v>2303</v>
      </c>
      <c r="B285" s="3" t="s">
        <v>7351</v>
      </c>
      <c r="C285" s="3" t="s">
        <v>7350</v>
      </c>
      <c r="G285" s="9" t="s">
        <v>25</v>
      </c>
      <c r="H285" s="9"/>
      <c r="I285" s="9">
        <v>1</v>
      </c>
      <c r="J285" s="9">
        <v>1</v>
      </c>
      <c r="K285" s="9" t="s">
        <v>12078</v>
      </c>
      <c r="L285" s="9" t="s">
        <v>12079</v>
      </c>
      <c r="M285" s="9"/>
      <c r="N285" s="10"/>
      <c r="O285" s="9"/>
      <c r="P285" s="9">
        <v>11843</v>
      </c>
      <c r="Q285" s="9">
        <v>1423.0954097572699</v>
      </c>
      <c r="R285" s="9"/>
      <c r="S285" s="9" t="s">
        <v>12795</v>
      </c>
      <c r="T285" s="9" t="s">
        <v>12795</v>
      </c>
      <c r="U285" s="9"/>
      <c r="V285" s="9"/>
      <c r="W285" s="9"/>
      <c r="X285" s="9"/>
      <c r="Y285" s="9"/>
      <c r="Z285" s="9"/>
      <c r="AA285" s="9"/>
      <c r="AB285" s="9"/>
      <c r="AC285" s="9"/>
      <c r="AD285" s="9"/>
    </row>
    <row r="286" spans="1:30" ht="29">
      <c r="A286" s="3" t="s">
        <v>2304</v>
      </c>
      <c r="B286" s="3" t="s">
        <v>7356</v>
      </c>
      <c r="C286" s="3" t="s">
        <v>7357</v>
      </c>
      <c r="G286" s="9" t="s">
        <v>25</v>
      </c>
      <c r="H286" s="9"/>
      <c r="I286" s="9">
        <v>1</v>
      </c>
      <c r="J286" s="9">
        <v>2</v>
      </c>
      <c r="K286" s="9" t="s">
        <v>12087</v>
      </c>
      <c r="L286" s="9" t="s">
        <v>12079</v>
      </c>
      <c r="M286" s="9"/>
      <c r="N286" s="10"/>
      <c r="O286" s="9"/>
      <c r="P286" s="9">
        <v>1966</v>
      </c>
      <c r="Q286" s="9">
        <v>236.24128815188658</v>
      </c>
      <c r="R286" s="9"/>
      <c r="S286" s="9" t="s">
        <v>12795</v>
      </c>
      <c r="T286" s="9" t="s">
        <v>12795</v>
      </c>
      <c r="U286" s="9"/>
      <c r="V286" s="9"/>
      <c r="W286" s="9"/>
      <c r="X286" s="9"/>
      <c r="Y286" s="9"/>
      <c r="Z286" s="9"/>
      <c r="AA286" s="9"/>
      <c r="AB286" s="9"/>
      <c r="AC286" s="9"/>
      <c r="AD286" s="9"/>
    </row>
    <row r="287" spans="1:30" ht="29">
      <c r="A287" s="3" t="s">
        <v>2305</v>
      </c>
      <c r="B287" s="11" t="s">
        <v>12897</v>
      </c>
      <c r="C287" s="11" t="s">
        <v>7358</v>
      </c>
      <c r="G287" s="9" t="s">
        <v>25</v>
      </c>
      <c r="H287" s="9"/>
      <c r="I287" s="9">
        <v>1</v>
      </c>
      <c r="J287" s="9">
        <v>1</v>
      </c>
      <c r="K287" s="9" t="s">
        <v>12078</v>
      </c>
      <c r="L287" s="9" t="s">
        <v>12079</v>
      </c>
      <c r="M287" s="9"/>
      <c r="N287" s="10"/>
      <c r="O287" s="9"/>
      <c r="P287" s="9">
        <v>11843</v>
      </c>
      <c r="Q287" s="9">
        <v>1423.0954097572699</v>
      </c>
      <c r="R287" s="9"/>
      <c r="S287" s="9" t="s">
        <v>12795</v>
      </c>
      <c r="T287" s="9" t="s">
        <v>12795</v>
      </c>
      <c r="U287" s="9"/>
      <c r="V287" s="9"/>
      <c r="W287" s="9"/>
      <c r="X287" s="9"/>
      <c r="Y287" s="9"/>
      <c r="Z287" s="9"/>
      <c r="AA287" s="9"/>
      <c r="AB287" s="9"/>
      <c r="AC287" s="9"/>
      <c r="AD287" s="9"/>
    </row>
    <row r="288" spans="1:30" ht="29">
      <c r="A288" s="3" t="s">
        <v>2332</v>
      </c>
      <c r="B288" s="3" t="s">
        <v>7384</v>
      </c>
      <c r="C288" s="3" t="s">
        <v>7386</v>
      </c>
      <c r="G288" s="9" t="s">
        <v>25</v>
      </c>
      <c r="H288" s="9"/>
      <c r="I288" s="9">
        <v>1</v>
      </c>
      <c r="J288" s="9">
        <v>2</v>
      </c>
      <c r="K288" s="9" t="s">
        <v>12087</v>
      </c>
      <c r="L288" s="9" t="s">
        <v>12119</v>
      </c>
      <c r="M288" s="9"/>
      <c r="N288" s="10"/>
      <c r="O288" s="9"/>
      <c r="P288" s="9">
        <v>227</v>
      </c>
      <c r="Q288" s="9">
        <v>27.277096851718337</v>
      </c>
      <c r="R288" s="9"/>
      <c r="S288" s="9" t="s">
        <v>12795</v>
      </c>
      <c r="T288" s="9" t="s">
        <v>12795</v>
      </c>
      <c r="U288" s="9"/>
      <c r="V288" s="9"/>
      <c r="W288" s="9"/>
      <c r="X288" s="9"/>
      <c r="Y288" s="9"/>
      <c r="Z288" s="9"/>
      <c r="AA288" s="9"/>
      <c r="AB288" s="9"/>
      <c r="AC288" s="9"/>
      <c r="AD288" s="9"/>
    </row>
    <row r="289" spans="1:30" ht="43.5">
      <c r="A289" s="3" t="s">
        <v>2333</v>
      </c>
      <c r="B289" s="3" t="s">
        <v>7385</v>
      </c>
      <c r="C289" s="3" t="s">
        <v>7387</v>
      </c>
      <c r="G289" s="9" t="s">
        <v>25</v>
      </c>
      <c r="H289" s="9"/>
      <c r="I289" s="9">
        <v>1</v>
      </c>
      <c r="J289" s="9">
        <v>2</v>
      </c>
      <c r="K289" s="9" t="s">
        <v>12087</v>
      </c>
      <c r="L289" s="9" t="s">
        <v>12119</v>
      </c>
      <c r="M289" s="9"/>
      <c r="N289" s="10"/>
      <c r="O289" s="9"/>
      <c r="P289" s="9">
        <v>227</v>
      </c>
      <c r="Q289" s="9">
        <v>27.277096851718337</v>
      </c>
      <c r="R289" s="9"/>
      <c r="S289" s="9" t="s">
        <v>12795</v>
      </c>
      <c r="T289" s="9" t="s">
        <v>12795</v>
      </c>
      <c r="U289" s="9"/>
      <c r="V289" s="9"/>
      <c r="W289" s="9"/>
      <c r="X289" s="9"/>
      <c r="Y289" s="9"/>
      <c r="Z289" s="9"/>
      <c r="AA289" s="9"/>
      <c r="AB289" s="9"/>
      <c r="AC289" s="9"/>
      <c r="AD289" s="9"/>
    </row>
    <row r="290" spans="1:30" ht="43.5">
      <c r="A290" s="3" t="s">
        <v>2342</v>
      </c>
      <c r="B290" s="3" t="s">
        <v>7389</v>
      </c>
      <c r="C290" s="3" t="s">
        <v>7388</v>
      </c>
      <c r="G290" s="9" t="s">
        <v>24</v>
      </c>
      <c r="H290" s="9"/>
      <c r="I290" s="9">
        <v>1</v>
      </c>
      <c r="J290" s="9">
        <v>2</v>
      </c>
      <c r="K290" s="9" t="s">
        <v>12078</v>
      </c>
      <c r="L290" s="9" t="s">
        <v>12119</v>
      </c>
      <c r="M290" s="9"/>
      <c r="N290" s="10"/>
      <c r="O290" s="9"/>
      <c r="P290" s="9">
        <v>11843</v>
      </c>
      <c r="Q290" s="9">
        <v>1423.0954097572699</v>
      </c>
      <c r="R290" s="9"/>
      <c r="S290" s="9" t="s">
        <v>12795</v>
      </c>
      <c r="T290" s="9" t="s">
        <v>12795</v>
      </c>
      <c r="U290" s="9"/>
      <c r="V290" s="9"/>
      <c r="W290" s="9"/>
      <c r="X290" s="9"/>
      <c r="Y290" s="9"/>
      <c r="Z290" s="9"/>
      <c r="AA290" s="9"/>
      <c r="AB290" s="9"/>
      <c r="AC290" s="9"/>
      <c r="AD290" s="9"/>
    </row>
    <row r="291" spans="1:30" ht="29">
      <c r="A291" s="3" t="s">
        <v>2344</v>
      </c>
      <c r="B291" s="3" t="s">
        <v>7395</v>
      </c>
      <c r="C291" s="3" t="s">
        <v>7394</v>
      </c>
      <c r="G291" s="9" t="s">
        <v>24</v>
      </c>
      <c r="H291" s="9"/>
      <c r="I291" s="9">
        <v>1</v>
      </c>
      <c r="J291" s="9">
        <v>2</v>
      </c>
      <c r="K291" s="9" t="s">
        <v>12087</v>
      </c>
      <c r="L291" s="9" t="s">
        <v>12119</v>
      </c>
      <c r="M291" s="9"/>
      <c r="N291" s="10"/>
      <c r="O291" s="9"/>
      <c r="P291" s="9">
        <v>1966</v>
      </c>
      <c r="Q291" s="9">
        <v>236.24128815188658</v>
      </c>
      <c r="R291" s="9"/>
      <c r="S291" s="9" t="s">
        <v>12795</v>
      </c>
      <c r="T291" s="9" t="s">
        <v>12795</v>
      </c>
      <c r="U291" s="9"/>
      <c r="V291" s="9"/>
      <c r="W291" s="9"/>
      <c r="X291" s="9"/>
      <c r="Y291" s="9"/>
      <c r="Z291" s="9"/>
      <c r="AA291" s="9"/>
      <c r="AB291" s="9"/>
      <c r="AC291" s="9"/>
      <c r="AD291" s="9"/>
    </row>
    <row r="292" spans="1:30" ht="72.5">
      <c r="A292" s="3" t="s">
        <v>2344</v>
      </c>
      <c r="B292" s="3" t="s">
        <v>7396</v>
      </c>
      <c r="C292" s="3" t="s">
        <v>7397</v>
      </c>
      <c r="G292" s="9" t="s">
        <v>24</v>
      </c>
      <c r="H292" s="9"/>
      <c r="I292" s="9">
        <v>1</v>
      </c>
      <c r="J292" s="9">
        <v>3</v>
      </c>
      <c r="K292" s="9" t="s">
        <v>12078</v>
      </c>
      <c r="L292" s="9" t="s">
        <v>12079</v>
      </c>
      <c r="M292" s="9"/>
      <c r="N292" s="10"/>
      <c r="O292" s="9"/>
      <c r="P292" s="9">
        <v>11843</v>
      </c>
      <c r="Q292" s="9">
        <v>1423.0954097572699</v>
      </c>
      <c r="R292" s="9"/>
      <c r="S292" s="9" t="s">
        <v>12795</v>
      </c>
      <c r="T292" s="9" t="s">
        <v>12795</v>
      </c>
      <c r="U292" s="9"/>
      <c r="V292" s="9"/>
      <c r="W292" s="9"/>
      <c r="X292" s="9"/>
      <c r="Y292" s="9"/>
      <c r="Z292" s="9"/>
      <c r="AA292" s="9"/>
      <c r="AB292" s="9"/>
      <c r="AC292" s="9"/>
      <c r="AD292" s="9"/>
    </row>
    <row r="293" spans="1:30" ht="58">
      <c r="A293" s="3" t="s">
        <v>2356</v>
      </c>
      <c r="B293" s="3" t="s">
        <v>7409</v>
      </c>
      <c r="C293" s="3" t="s">
        <v>7408</v>
      </c>
      <c r="G293" s="9" t="s">
        <v>24</v>
      </c>
      <c r="H293" s="9"/>
      <c r="I293" s="9">
        <v>1</v>
      </c>
      <c r="J293" s="9">
        <v>4</v>
      </c>
      <c r="K293" s="9" t="s">
        <v>12094</v>
      </c>
      <c r="L293" s="9" t="s">
        <v>12079</v>
      </c>
      <c r="M293" s="9"/>
      <c r="N293" s="10"/>
      <c r="O293" s="9"/>
      <c r="P293" s="9">
        <v>4240</v>
      </c>
      <c r="Q293" s="9">
        <v>509.49291035808699</v>
      </c>
      <c r="R293" s="9"/>
      <c r="S293" s="9" t="s">
        <v>12795</v>
      </c>
      <c r="T293" s="9" t="s">
        <v>12795</v>
      </c>
      <c r="U293" s="9"/>
      <c r="V293" s="9"/>
      <c r="W293" s="9"/>
      <c r="X293" s="9"/>
      <c r="Y293" s="9"/>
      <c r="Z293" s="9"/>
      <c r="AA293" s="9"/>
      <c r="AB293" s="9"/>
      <c r="AC293" s="9"/>
      <c r="AD293" s="9"/>
    </row>
    <row r="294" spans="1:30" ht="159.5">
      <c r="A294" s="3" t="s">
        <v>2357</v>
      </c>
      <c r="B294" s="3" t="s">
        <v>7411</v>
      </c>
      <c r="C294" s="3" t="s">
        <v>7412</v>
      </c>
      <c r="G294" s="9" t="s">
        <v>24</v>
      </c>
      <c r="H294" s="9"/>
      <c r="I294" s="9">
        <v>1</v>
      </c>
      <c r="J294" s="9">
        <v>3</v>
      </c>
      <c r="K294" s="9" t="s">
        <v>12078</v>
      </c>
      <c r="L294" s="9" t="s">
        <v>12079</v>
      </c>
      <c r="M294" s="9"/>
      <c r="N294" s="10"/>
      <c r="O294" s="9"/>
      <c r="P294" s="9">
        <v>11843</v>
      </c>
      <c r="Q294" s="9">
        <v>1423.0954097572699</v>
      </c>
      <c r="R294" s="9"/>
      <c r="S294" s="9" t="s">
        <v>12795</v>
      </c>
      <c r="T294" s="9" t="s">
        <v>12795</v>
      </c>
      <c r="U294" s="9"/>
      <c r="V294" s="9"/>
      <c r="W294" s="9"/>
      <c r="X294" s="9"/>
      <c r="Y294" s="9"/>
      <c r="Z294" s="9"/>
      <c r="AA294" s="9"/>
      <c r="AB294" s="9"/>
      <c r="AC294" s="9"/>
      <c r="AD294" s="9"/>
    </row>
    <row r="295" spans="1:30" ht="159.5">
      <c r="A295" s="3" t="s">
        <v>2357</v>
      </c>
      <c r="B295" s="3" t="s">
        <v>7413</v>
      </c>
      <c r="C295" s="3" t="s">
        <v>7410</v>
      </c>
      <c r="G295" s="9" t="s">
        <v>25</v>
      </c>
      <c r="H295" s="9"/>
      <c r="I295" s="9">
        <v>1</v>
      </c>
      <c r="J295" s="9">
        <v>2</v>
      </c>
      <c r="K295" s="9" t="s">
        <v>12078</v>
      </c>
      <c r="L295" s="9" t="s">
        <v>12119</v>
      </c>
      <c r="M295" s="9"/>
      <c r="N295" s="10"/>
      <c r="O295" s="9"/>
      <c r="P295" s="9">
        <v>11843</v>
      </c>
      <c r="Q295" s="9">
        <v>1423.0954097572699</v>
      </c>
      <c r="R295" s="9"/>
      <c r="S295" s="9" t="s">
        <v>12795</v>
      </c>
      <c r="T295" s="9" t="s">
        <v>12795</v>
      </c>
      <c r="U295" s="9"/>
      <c r="V295" s="9"/>
      <c r="W295" s="9"/>
      <c r="X295" s="9"/>
      <c r="Y295" s="9"/>
      <c r="Z295" s="9"/>
      <c r="AA295" s="9"/>
      <c r="AB295" s="9"/>
      <c r="AC295" s="9"/>
      <c r="AD295" s="9"/>
    </row>
    <row r="296" spans="1:30" ht="29">
      <c r="A296" s="3" t="s">
        <v>2372</v>
      </c>
      <c r="B296" s="3" t="s">
        <v>7439</v>
      </c>
      <c r="C296" s="3" t="s">
        <v>7438</v>
      </c>
      <c r="G296" s="9" t="s">
        <v>25</v>
      </c>
      <c r="H296" s="9"/>
      <c r="I296" s="9">
        <v>1</v>
      </c>
      <c r="J296" s="9">
        <v>2</v>
      </c>
      <c r="K296" s="9" t="s">
        <v>12096</v>
      </c>
      <c r="L296" s="9" t="s">
        <v>12119</v>
      </c>
      <c r="M296" s="9"/>
      <c r="N296" s="10"/>
      <c r="O296" s="9"/>
      <c r="P296" s="9">
        <v>1294</v>
      </c>
      <c r="Q296" s="9">
        <v>155.49146839701996</v>
      </c>
      <c r="R296" s="9"/>
      <c r="S296" s="9" t="s">
        <v>12795</v>
      </c>
      <c r="T296" s="9" t="s">
        <v>12795</v>
      </c>
      <c r="U296" s="9"/>
      <c r="V296" s="9"/>
      <c r="W296" s="9"/>
      <c r="X296" s="9"/>
      <c r="Y296" s="9"/>
      <c r="Z296" s="9"/>
      <c r="AA296" s="9"/>
      <c r="AB296" s="9"/>
      <c r="AC296" s="9"/>
      <c r="AD296" s="9"/>
    </row>
    <row r="297" spans="1:30" ht="43.5">
      <c r="A297" s="3" t="s">
        <v>2375</v>
      </c>
      <c r="B297" s="3" t="s">
        <v>7441</v>
      </c>
      <c r="C297" s="3" t="s">
        <v>7440</v>
      </c>
      <c r="G297" s="9" t="s">
        <v>24</v>
      </c>
      <c r="H297" s="9"/>
      <c r="I297" s="9">
        <v>1</v>
      </c>
      <c r="J297" s="9">
        <v>3</v>
      </c>
      <c r="K297" s="9" t="s">
        <v>12094</v>
      </c>
      <c r="L297" s="9" t="s">
        <v>12079</v>
      </c>
      <c r="M297" s="9"/>
      <c r="N297" s="10"/>
      <c r="O297" s="9"/>
      <c r="P297" s="9">
        <v>1496</v>
      </c>
      <c r="Q297" s="9">
        <v>179.76447969238166</v>
      </c>
      <c r="R297" s="9"/>
      <c r="S297" s="9" t="s">
        <v>12795</v>
      </c>
      <c r="T297" s="9" t="s">
        <v>12795</v>
      </c>
      <c r="U297" s="9"/>
      <c r="V297" s="9"/>
      <c r="W297" s="9"/>
      <c r="X297" s="9"/>
      <c r="Y297" s="9"/>
      <c r="Z297" s="9"/>
      <c r="AA297" s="9"/>
      <c r="AB297" s="9"/>
      <c r="AC297" s="9"/>
      <c r="AD297" s="9"/>
    </row>
    <row r="298" spans="1:30" ht="58">
      <c r="A298" s="3" t="s">
        <v>2376</v>
      </c>
      <c r="B298" s="3" t="s">
        <v>7443</v>
      </c>
      <c r="C298" s="3" t="s">
        <v>7442</v>
      </c>
      <c r="G298" s="9" t="s">
        <v>25</v>
      </c>
      <c r="H298" s="9"/>
      <c r="I298" s="9">
        <v>1</v>
      </c>
      <c r="J298" s="9">
        <v>5</v>
      </c>
      <c r="K298" s="9" t="s">
        <v>12094</v>
      </c>
      <c r="L298" s="9" t="s">
        <v>12079</v>
      </c>
      <c r="M298" s="9"/>
      <c r="N298" s="10"/>
      <c r="O298" s="9"/>
      <c r="P298" s="9">
        <v>4240</v>
      </c>
      <c r="Q298" s="9">
        <v>509.49291035808699</v>
      </c>
      <c r="R298" s="9"/>
      <c r="S298" s="9" t="s">
        <v>12795</v>
      </c>
      <c r="T298" s="9" t="s">
        <v>12795</v>
      </c>
      <c r="U298" s="9"/>
      <c r="V298" s="9"/>
      <c r="W298" s="9"/>
      <c r="X298" s="9"/>
      <c r="Y298" s="9"/>
      <c r="Z298" s="9"/>
      <c r="AA298" s="9"/>
      <c r="AB298" s="9"/>
      <c r="AC298" s="9"/>
      <c r="AD298" s="9"/>
    </row>
    <row r="299" spans="1:30" ht="29">
      <c r="A299" s="3" t="s">
        <v>2378</v>
      </c>
      <c r="B299" s="3" t="s">
        <v>7448</v>
      </c>
      <c r="C299" s="3" t="s">
        <v>7449</v>
      </c>
      <c r="G299" s="9" t="s">
        <v>25</v>
      </c>
      <c r="H299" s="9"/>
      <c r="I299" s="9">
        <v>1</v>
      </c>
      <c r="J299" s="9">
        <v>2</v>
      </c>
      <c r="K299" s="9" t="s">
        <v>12078</v>
      </c>
      <c r="L299" s="9" t="s">
        <v>12119</v>
      </c>
      <c r="M299" s="9"/>
      <c r="N299" s="10"/>
      <c r="O299" s="9"/>
      <c r="P299" s="9">
        <v>11843</v>
      </c>
      <c r="Q299" s="9">
        <v>1423.0954097572699</v>
      </c>
      <c r="R299" s="9"/>
      <c r="S299" s="9" t="s">
        <v>12795</v>
      </c>
      <c r="T299" s="9" t="s">
        <v>12795</v>
      </c>
      <c r="U299" s="9"/>
      <c r="V299" s="9"/>
      <c r="W299" s="9"/>
      <c r="X299" s="9"/>
      <c r="Y299" s="9"/>
      <c r="Z299" s="9"/>
      <c r="AA299" s="9"/>
      <c r="AB299" s="9"/>
      <c r="AC299" s="9"/>
      <c r="AD299" s="9"/>
    </row>
    <row r="300" spans="1:30" ht="43.5">
      <c r="A300" s="3" t="s">
        <v>2378</v>
      </c>
      <c r="B300" s="3" t="s">
        <v>7450</v>
      </c>
      <c r="C300" s="3" t="s">
        <v>12378</v>
      </c>
      <c r="G300" s="9" t="s">
        <v>24</v>
      </c>
      <c r="H300" s="9"/>
      <c r="I300" s="9">
        <v>1</v>
      </c>
      <c r="J300" s="9">
        <v>3</v>
      </c>
      <c r="K300" s="9" t="s">
        <v>12123</v>
      </c>
      <c r="L300" s="9" t="s">
        <v>12079</v>
      </c>
      <c r="M300" s="9"/>
      <c r="N300" s="10"/>
      <c r="O300" s="9"/>
      <c r="P300" s="9">
        <v>887</v>
      </c>
      <c r="Q300" s="9">
        <v>106.58495553953377</v>
      </c>
      <c r="R300" s="9"/>
      <c r="S300" s="9" t="s">
        <v>12795</v>
      </c>
      <c r="T300" s="9" t="s">
        <v>12795</v>
      </c>
      <c r="U300" s="9"/>
      <c r="V300" s="9"/>
      <c r="W300" s="9"/>
      <c r="X300" s="9"/>
      <c r="Y300" s="9"/>
      <c r="Z300" s="9"/>
      <c r="AA300" s="9"/>
      <c r="AB300" s="9"/>
      <c r="AC300" s="9"/>
      <c r="AD300" s="9"/>
    </row>
    <row r="301" spans="1:30" ht="29">
      <c r="A301" s="3" t="s">
        <v>2391</v>
      </c>
      <c r="B301" s="3" t="s">
        <v>7459</v>
      </c>
      <c r="C301" s="3" t="s">
        <v>7458</v>
      </c>
      <c r="G301" s="9" t="s">
        <v>25</v>
      </c>
      <c r="H301" s="9"/>
      <c r="I301" s="9">
        <v>1</v>
      </c>
      <c r="J301" s="9">
        <v>3</v>
      </c>
      <c r="K301" s="9" t="s">
        <v>12087</v>
      </c>
      <c r="L301" s="9" t="s">
        <v>12079</v>
      </c>
      <c r="M301" s="9"/>
      <c r="N301" s="10"/>
      <c r="O301" s="9"/>
      <c r="P301" s="9">
        <v>5676</v>
      </c>
      <c r="Q301" s="9">
        <v>682.04758471521268</v>
      </c>
      <c r="R301" s="9"/>
      <c r="S301" s="9" t="s">
        <v>12795</v>
      </c>
      <c r="T301" s="9" t="s">
        <v>12795</v>
      </c>
      <c r="U301" s="9"/>
      <c r="V301" s="9"/>
      <c r="W301" s="9"/>
      <c r="X301" s="9"/>
      <c r="Y301" s="9"/>
      <c r="Z301" s="9"/>
      <c r="AA301" s="9"/>
      <c r="AB301" s="9"/>
      <c r="AC301" s="9"/>
      <c r="AD301" s="9"/>
    </row>
    <row r="302" spans="1:30" ht="29">
      <c r="A302" s="3" t="s">
        <v>2391</v>
      </c>
      <c r="B302" s="3" t="s">
        <v>7461</v>
      </c>
      <c r="C302" s="3" t="s">
        <v>7460</v>
      </c>
      <c r="G302" s="9" t="s">
        <v>24</v>
      </c>
      <c r="H302" s="9"/>
      <c r="I302" s="9">
        <v>1</v>
      </c>
      <c r="J302" s="9">
        <v>4</v>
      </c>
      <c r="K302" s="9" t="s">
        <v>12078</v>
      </c>
      <c r="L302" s="9" t="s">
        <v>12079</v>
      </c>
      <c r="M302" s="9"/>
      <c r="N302" s="10"/>
      <c r="O302" s="9"/>
      <c r="P302" s="9">
        <v>11843</v>
      </c>
      <c r="Q302" s="9">
        <v>1423.0954097572699</v>
      </c>
      <c r="R302" s="9"/>
      <c r="S302" s="9" t="s">
        <v>12795</v>
      </c>
      <c r="T302" s="9" t="s">
        <v>12795</v>
      </c>
      <c r="U302" s="9"/>
      <c r="V302" s="9"/>
      <c r="W302" s="9"/>
      <c r="X302" s="9"/>
      <c r="Y302" s="9"/>
      <c r="Z302" s="9"/>
      <c r="AA302" s="9"/>
      <c r="AB302" s="9"/>
      <c r="AC302" s="9"/>
      <c r="AD302" s="9"/>
    </row>
    <row r="303" spans="1:30" ht="72.5">
      <c r="A303" s="3" t="s">
        <v>2398</v>
      </c>
      <c r="B303" s="3" t="s">
        <v>7468</v>
      </c>
      <c r="C303" s="3" t="s">
        <v>7467</v>
      </c>
      <c r="G303" s="9" t="s">
        <v>25</v>
      </c>
      <c r="H303" s="9"/>
      <c r="I303" s="9">
        <v>1</v>
      </c>
      <c r="J303" s="9">
        <v>3</v>
      </c>
      <c r="K303" s="9" t="s">
        <v>12087</v>
      </c>
      <c r="L303" s="9" t="s">
        <v>12079</v>
      </c>
      <c r="M303" s="9"/>
      <c r="N303" s="10"/>
      <c r="O303" s="9"/>
      <c r="P303" s="9">
        <v>5676</v>
      </c>
      <c r="Q303" s="9">
        <v>682.04758471521268</v>
      </c>
      <c r="R303" s="9"/>
      <c r="S303" s="9" t="s">
        <v>12795</v>
      </c>
      <c r="T303" s="9" t="s">
        <v>12795</v>
      </c>
      <c r="U303" s="9"/>
      <c r="V303" s="9"/>
      <c r="W303" s="9"/>
      <c r="X303" s="9"/>
      <c r="Y303" s="9"/>
      <c r="Z303" s="9"/>
      <c r="AA303" s="9"/>
      <c r="AB303" s="9"/>
      <c r="AC303" s="9"/>
      <c r="AD303" s="9"/>
    </row>
    <row r="304" spans="1:30" ht="29">
      <c r="A304" s="3" t="s">
        <v>2401</v>
      </c>
      <c r="B304" s="3" t="s">
        <v>7476</v>
      </c>
      <c r="C304" s="3" t="s">
        <v>7475</v>
      </c>
      <c r="F304" t="s">
        <v>19</v>
      </c>
      <c r="G304" s="9" t="s">
        <v>25</v>
      </c>
      <c r="H304" s="9"/>
      <c r="I304" s="9">
        <v>1</v>
      </c>
      <c r="J304" s="9">
        <v>3</v>
      </c>
      <c r="K304" s="9" t="s">
        <v>12087</v>
      </c>
      <c r="L304" s="9" t="s">
        <v>12079</v>
      </c>
      <c r="M304" s="9"/>
      <c r="N304" s="10"/>
      <c r="O304" s="9"/>
      <c r="P304" s="9">
        <v>5676</v>
      </c>
      <c r="Q304" s="9">
        <v>682.04758471521268</v>
      </c>
      <c r="R304" s="9"/>
      <c r="S304" s="9" t="s">
        <v>12795</v>
      </c>
      <c r="T304" s="9" t="s">
        <v>12795</v>
      </c>
      <c r="U304" s="9"/>
      <c r="V304" s="9"/>
      <c r="W304" s="9"/>
      <c r="X304" s="9"/>
      <c r="Y304" s="9"/>
      <c r="Z304" s="9"/>
      <c r="AA304" s="9"/>
      <c r="AB304" s="9"/>
      <c r="AC304" s="9"/>
      <c r="AD304" s="9"/>
    </row>
    <row r="305" spans="1:30" ht="43.5">
      <c r="A305" s="3" t="s">
        <v>2412</v>
      </c>
      <c r="B305" s="3" t="s">
        <v>7494</v>
      </c>
      <c r="C305" s="3" t="s">
        <v>7493</v>
      </c>
      <c r="G305" s="9" t="s">
        <v>24</v>
      </c>
      <c r="H305" s="9"/>
      <c r="I305" s="9">
        <v>1</v>
      </c>
      <c r="J305" s="9">
        <v>3</v>
      </c>
      <c r="K305" s="9" t="s">
        <v>12087</v>
      </c>
      <c r="L305" s="9" t="s">
        <v>12079</v>
      </c>
      <c r="M305" s="9"/>
      <c r="N305" s="10"/>
      <c r="O305" s="9"/>
      <c r="P305" s="9">
        <v>5676</v>
      </c>
      <c r="Q305" s="9">
        <v>682.04758471521268</v>
      </c>
      <c r="R305" s="9"/>
      <c r="S305" s="9" t="s">
        <v>12795</v>
      </c>
      <c r="T305" s="9" t="s">
        <v>12795</v>
      </c>
      <c r="U305" s="9" t="s">
        <v>12117</v>
      </c>
      <c r="V305" s="9"/>
      <c r="W305" s="9"/>
      <c r="X305" s="9"/>
      <c r="Y305" s="9"/>
      <c r="Z305" s="9"/>
      <c r="AA305" s="9"/>
      <c r="AB305" s="9"/>
      <c r="AC305" s="9"/>
      <c r="AD305" s="9"/>
    </row>
    <row r="306" spans="1:30" ht="29">
      <c r="A306" s="3" t="s">
        <v>2416</v>
      </c>
      <c r="B306" s="3" t="s">
        <v>7495</v>
      </c>
      <c r="C306" s="3" t="s">
        <v>7496</v>
      </c>
      <c r="G306" s="9" t="s">
        <v>25</v>
      </c>
      <c r="H306" s="9"/>
      <c r="I306" s="9">
        <v>1</v>
      </c>
      <c r="J306" s="9">
        <v>3</v>
      </c>
      <c r="K306" s="9" t="s">
        <v>12087</v>
      </c>
      <c r="L306" s="9" t="s">
        <v>12079</v>
      </c>
      <c r="M306" s="9"/>
      <c r="N306" s="10"/>
      <c r="O306" s="9"/>
      <c r="P306" s="9">
        <v>810</v>
      </c>
      <c r="Q306" s="9">
        <v>97.332372025955294</v>
      </c>
      <c r="R306" s="9"/>
      <c r="S306" s="9" t="s">
        <v>12795</v>
      </c>
      <c r="T306" s="9" t="s">
        <v>12795</v>
      </c>
      <c r="U306" s="9"/>
      <c r="V306" s="9"/>
      <c r="W306" s="9"/>
      <c r="X306" s="9"/>
      <c r="Y306" s="9"/>
      <c r="Z306" s="9"/>
      <c r="AA306" s="9"/>
      <c r="AB306" s="9"/>
      <c r="AC306" s="9"/>
      <c r="AD306" s="9"/>
    </row>
    <row r="307" spans="1:30" ht="29">
      <c r="A307" s="3" t="s">
        <v>2417</v>
      </c>
      <c r="B307" s="3" t="s">
        <v>7497</v>
      </c>
      <c r="C307" s="3" t="s">
        <v>7498</v>
      </c>
      <c r="G307" s="9" t="s">
        <v>25</v>
      </c>
      <c r="H307" s="9"/>
      <c r="I307" s="9">
        <v>1</v>
      </c>
      <c r="J307" s="9">
        <v>1</v>
      </c>
      <c r="K307" s="9" t="s">
        <v>12078</v>
      </c>
      <c r="L307" s="9" t="s">
        <v>12119</v>
      </c>
      <c r="M307" s="9"/>
      <c r="N307" s="10"/>
      <c r="O307" s="9"/>
      <c r="P307" s="9">
        <v>11843</v>
      </c>
      <c r="Q307" s="9">
        <v>1423.0954097572699</v>
      </c>
      <c r="R307" s="9"/>
      <c r="S307" s="9" t="s">
        <v>12795</v>
      </c>
      <c r="T307" s="9" t="s">
        <v>12795</v>
      </c>
      <c r="U307" s="9"/>
      <c r="V307" s="9"/>
      <c r="W307" s="9"/>
      <c r="X307" s="9"/>
      <c r="Y307" s="9"/>
      <c r="Z307" s="9"/>
      <c r="AA307" s="9"/>
      <c r="AB307" s="9"/>
      <c r="AC307" s="9"/>
      <c r="AD307" s="9"/>
    </row>
    <row r="308" spans="1:30" ht="29">
      <c r="A308" s="3" t="s">
        <v>2417</v>
      </c>
      <c r="B308" s="3" t="s">
        <v>7500</v>
      </c>
      <c r="C308" s="3" t="s">
        <v>7499</v>
      </c>
      <c r="G308" s="9" t="s">
        <v>25</v>
      </c>
      <c r="H308" s="9"/>
      <c r="I308" s="9">
        <v>1</v>
      </c>
      <c r="J308" s="9">
        <v>2</v>
      </c>
      <c r="K308" s="9" t="s">
        <v>12078</v>
      </c>
      <c r="L308" s="9" t="s">
        <v>12119</v>
      </c>
      <c r="M308" s="9"/>
      <c r="N308" s="10"/>
      <c r="O308" s="9"/>
      <c r="P308" s="9">
        <v>11843</v>
      </c>
      <c r="Q308" s="9">
        <v>1423.0954097572699</v>
      </c>
      <c r="R308" s="9"/>
      <c r="S308" s="9" t="s">
        <v>12795</v>
      </c>
      <c r="T308" s="9" t="s">
        <v>12795</v>
      </c>
      <c r="U308" s="9"/>
      <c r="V308" s="9"/>
      <c r="W308" s="9"/>
      <c r="X308" s="9"/>
      <c r="Y308" s="9"/>
      <c r="Z308" s="9"/>
      <c r="AA308" s="9"/>
      <c r="AB308" s="9"/>
      <c r="AC308" s="9"/>
      <c r="AD308" s="9"/>
    </row>
    <row r="309" spans="1:30" ht="43.5">
      <c r="A309" s="3" t="s">
        <v>2418</v>
      </c>
      <c r="B309" s="3" t="s">
        <v>7501</v>
      </c>
      <c r="C309" s="3" t="s">
        <v>7502</v>
      </c>
      <c r="G309" s="9" t="s">
        <v>25</v>
      </c>
      <c r="H309" s="9"/>
      <c r="I309" s="9">
        <v>1</v>
      </c>
      <c r="J309" s="9">
        <v>5</v>
      </c>
      <c r="K309" s="9" t="s">
        <v>12094</v>
      </c>
      <c r="L309" s="9" t="s">
        <v>12079</v>
      </c>
      <c r="M309" s="9"/>
      <c r="N309" s="10"/>
      <c r="O309" s="9"/>
      <c r="P309" s="9">
        <v>4240</v>
      </c>
      <c r="Q309" s="9">
        <v>509.49291035808699</v>
      </c>
      <c r="R309" s="9"/>
      <c r="S309" s="9" t="s">
        <v>12795</v>
      </c>
      <c r="T309" s="9" t="s">
        <v>12795</v>
      </c>
      <c r="U309" s="9"/>
      <c r="V309" s="9"/>
      <c r="W309" s="9"/>
      <c r="X309" s="9"/>
      <c r="Y309" s="9"/>
      <c r="Z309" s="9"/>
      <c r="AA309" s="9"/>
      <c r="AB309" s="9"/>
      <c r="AC309" s="9"/>
      <c r="AD309" s="9"/>
    </row>
    <row r="310" spans="1:30" ht="29">
      <c r="A310" s="3" t="s">
        <v>2421</v>
      </c>
      <c r="B310" s="3" t="s">
        <v>7504</v>
      </c>
      <c r="C310" s="3" t="s">
        <v>7503</v>
      </c>
      <c r="G310" s="9" t="s">
        <v>25</v>
      </c>
      <c r="H310" s="9"/>
      <c r="I310" s="9">
        <v>1</v>
      </c>
      <c r="J310" s="9">
        <v>2</v>
      </c>
      <c r="K310" s="9" t="s">
        <v>12078</v>
      </c>
      <c r="L310" s="9" t="s">
        <v>12119</v>
      </c>
      <c r="M310" s="9"/>
      <c r="N310" s="10"/>
      <c r="O310" s="9"/>
      <c r="P310" s="9">
        <v>11843</v>
      </c>
      <c r="Q310" s="9">
        <v>1423.0954097572699</v>
      </c>
      <c r="R310" s="9"/>
      <c r="S310" s="9" t="s">
        <v>12795</v>
      </c>
      <c r="T310" s="9" t="s">
        <v>12795</v>
      </c>
      <c r="U310" s="9"/>
      <c r="V310" s="9"/>
      <c r="W310" s="9"/>
      <c r="X310" s="9"/>
      <c r="Y310" s="9"/>
      <c r="Z310" s="9"/>
      <c r="AA310" s="9"/>
      <c r="AB310" s="9"/>
      <c r="AC310" s="9"/>
      <c r="AD310" s="9"/>
    </row>
    <row r="311" spans="1:30" ht="29">
      <c r="A311" s="3" t="s">
        <v>2423</v>
      </c>
      <c r="B311" s="3" t="s">
        <v>7507</v>
      </c>
      <c r="C311" s="3" t="s">
        <v>7508</v>
      </c>
      <c r="G311" s="9" t="s">
        <v>24</v>
      </c>
      <c r="H311" s="9"/>
      <c r="I311" s="9">
        <v>1</v>
      </c>
      <c r="J311" s="9">
        <v>3</v>
      </c>
      <c r="K311" s="9" t="s">
        <v>12087</v>
      </c>
      <c r="L311" s="9" t="s">
        <v>12079</v>
      </c>
      <c r="M311" s="9"/>
      <c r="N311" s="10"/>
      <c r="O311" s="9"/>
      <c r="P311" s="9">
        <v>5676</v>
      </c>
      <c r="Q311" s="9">
        <v>682.04758471521268</v>
      </c>
      <c r="R311" s="9"/>
      <c r="S311" s="9" t="s">
        <v>12795</v>
      </c>
      <c r="T311" s="9" t="s">
        <v>12795</v>
      </c>
      <c r="U311" s="9"/>
      <c r="V311" s="9"/>
      <c r="W311" s="9"/>
      <c r="X311" s="9"/>
      <c r="Y311" s="9"/>
      <c r="Z311" s="9"/>
      <c r="AA311" s="9"/>
      <c r="AB311" s="9"/>
      <c r="AC311" s="9"/>
      <c r="AD311" s="9"/>
    </row>
    <row r="312" spans="1:30" ht="58">
      <c r="A312" s="3" t="s">
        <v>2426</v>
      </c>
      <c r="B312" s="3" t="s">
        <v>7509</v>
      </c>
      <c r="C312" s="3" t="s">
        <v>7512</v>
      </c>
      <c r="G312" s="9" t="s">
        <v>24</v>
      </c>
      <c r="H312" s="9"/>
      <c r="I312" s="9">
        <v>1</v>
      </c>
      <c r="J312" s="9">
        <v>3</v>
      </c>
      <c r="K312" s="9" t="s">
        <v>12087</v>
      </c>
      <c r="L312" s="9" t="s">
        <v>12079</v>
      </c>
      <c r="M312" s="9"/>
      <c r="N312" s="10"/>
      <c r="O312" s="9"/>
      <c r="P312" s="9">
        <v>5676</v>
      </c>
      <c r="Q312" s="9">
        <v>682.04758471521268</v>
      </c>
      <c r="R312" s="9"/>
      <c r="S312" s="9" t="s">
        <v>12795</v>
      </c>
      <c r="T312" s="9" t="s">
        <v>12795</v>
      </c>
      <c r="U312" s="9"/>
      <c r="V312" s="9"/>
      <c r="W312" s="9"/>
      <c r="X312" s="9"/>
      <c r="Y312" s="9"/>
      <c r="Z312" s="9"/>
      <c r="AA312" s="9"/>
      <c r="AB312" s="9"/>
      <c r="AC312" s="9"/>
      <c r="AD312" s="9"/>
    </row>
    <row r="313" spans="1:30" ht="72.5">
      <c r="A313" s="3" t="s">
        <v>2435</v>
      </c>
      <c r="B313" s="3" t="s">
        <v>7524</v>
      </c>
      <c r="C313" s="3" t="s">
        <v>7525</v>
      </c>
      <c r="G313" s="9" t="s">
        <v>24</v>
      </c>
      <c r="H313" s="9"/>
      <c r="I313" s="9">
        <v>1</v>
      </c>
      <c r="J313" s="9">
        <v>3</v>
      </c>
      <c r="K313" s="9" t="s">
        <v>12087</v>
      </c>
      <c r="L313" s="9" t="s">
        <v>12079</v>
      </c>
      <c r="M313" s="9"/>
      <c r="N313" s="10"/>
      <c r="O313" s="9"/>
      <c r="P313" s="9">
        <v>5676</v>
      </c>
      <c r="Q313" s="9">
        <v>682.04758471521268</v>
      </c>
      <c r="R313" s="9"/>
      <c r="S313" s="9" t="s">
        <v>12795</v>
      </c>
      <c r="T313" s="9" t="s">
        <v>12795</v>
      </c>
      <c r="U313" s="9"/>
      <c r="V313" s="9"/>
      <c r="W313" s="9"/>
      <c r="X313" s="9"/>
      <c r="Y313" s="9"/>
      <c r="Z313" s="9"/>
      <c r="AA313" s="9"/>
      <c r="AB313" s="9"/>
      <c r="AC313" s="9"/>
      <c r="AD313" s="9"/>
    </row>
    <row r="314" spans="1:30" ht="43.5">
      <c r="A314" s="3" t="s">
        <v>2436</v>
      </c>
      <c r="B314" s="3" t="s">
        <v>7527</v>
      </c>
      <c r="C314" s="3" t="s">
        <v>7526</v>
      </c>
      <c r="G314" s="9" t="s">
        <v>25</v>
      </c>
      <c r="H314" s="9"/>
      <c r="I314" s="9">
        <v>1</v>
      </c>
      <c r="J314" s="9">
        <v>2</v>
      </c>
      <c r="K314" s="9" t="s">
        <v>12078</v>
      </c>
      <c r="L314" s="9" t="s">
        <v>12119</v>
      </c>
      <c r="M314" s="9"/>
      <c r="N314" s="10"/>
      <c r="O314" s="9"/>
      <c r="P314" s="9">
        <v>11843</v>
      </c>
      <c r="Q314" s="9">
        <v>1423.0954097572699</v>
      </c>
      <c r="R314" s="9"/>
      <c r="S314" s="9" t="s">
        <v>12795</v>
      </c>
      <c r="T314" s="9" t="s">
        <v>12795</v>
      </c>
      <c r="U314" s="9"/>
      <c r="V314" s="9"/>
      <c r="W314" s="9"/>
      <c r="X314" s="9"/>
      <c r="Y314" s="9"/>
      <c r="Z314" s="9"/>
      <c r="AA314" s="9"/>
      <c r="AB314" s="9"/>
      <c r="AC314" s="9"/>
      <c r="AD314" s="9"/>
    </row>
    <row r="315" spans="1:30" ht="43.5">
      <c r="A315" s="3" t="s">
        <v>2441</v>
      </c>
      <c r="B315" s="3" t="s">
        <v>7534</v>
      </c>
      <c r="C315" s="3" t="s">
        <v>7535</v>
      </c>
      <c r="G315" s="9" t="s">
        <v>25</v>
      </c>
      <c r="H315" s="9"/>
      <c r="I315" s="9">
        <v>1</v>
      </c>
      <c r="J315" s="9">
        <v>2</v>
      </c>
      <c r="K315" s="9" t="s">
        <v>12078</v>
      </c>
      <c r="L315" s="9" t="s">
        <v>12119</v>
      </c>
      <c r="M315" s="9"/>
      <c r="N315" s="10"/>
      <c r="O315" s="9"/>
      <c r="P315" s="9">
        <v>11843</v>
      </c>
      <c r="Q315" s="9">
        <v>1423.0954097572699</v>
      </c>
      <c r="R315" s="9"/>
      <c r="S315" s="9" t="s">
        <v>12795</v>
      </c>
      <c r="T315" s="9" t="s">
        <v>12795</v>
      </c>
      <c r="U315" s="9"/>
      <c r="V315" s="9"/>
      <c r="W315" s="9"/>
      <c r="X315" s="9"/>
      <c r="Y315" s="9"/>
      <c r="Z315" s="9"/>
      <c r="AA315" s="9"/>
      <c r="AB315" s="9"/>
      <c r="AC315" s="9"/>
      <c r="AD315" s="9"/>
    </row>
    <row r="316" spans="1:30" ht="72.5">
      <c r="A316" s="3" t="s">
        <v>2443</v>
      </c>
      <c r="B316" s="3" t="s">
        <v>7537</v>
      </c>
      <c r="C316" s="3" t="s">
        <v>7538</v>
      </c>
      <c r="G316" s="9" t="s">
        <v>24</v>
      </c>
      <c r="H316" s="9"/>
      <c r="I316" s="9">
        <v>1</v>
      </c>
      <c r="J316" s="9">
        <v>1</v>
      </c>
      <c r="K316" s="9" t="s">
        <v>12078</v>
      </c>
      <c r="L316" s="9" t="s">
        <v>12119</v>
      </c>
      <c r="M316" s="9"/>
      <c r="N316" s="10"/>
      <c r="O316" s="9"/>
      <c r="P316" s="9">
        <v>11843</v>
      </c>
      <c r="Q316" s="9">
        <v>1423.0954097572699</v>
      </c>
      <c r="R316" s="9"/>
      <c r="S316" s="9" t="s">
        <v>12795</v>
      </c>
      <c r="T316" s="9" t="s">
        <v>12795</v>
      </c>
      <c r="U316" s="9"/>
      <c r="V316" s="9"/>
      <c r="W316" s="9"/>
      <c r="X316" s="9"/>
      <c r="Y316" s="9"/>
      <c r="Z316" s="9"/>
      <c r="AA316" s="9"/>
      <c r="AB316" s="9"/>
      <c r="AC316" s="9"/>
      <c r="AD316" s="9"/>
    </row>
    <row r="317" spans="1:30" ht="58">
      <c r="A317" s="3" t="s">
        <v>2445</v>
      </c>
      <c r="B317" s="3" t="s">
        <v>7544</v>
      </c>
      <c r="C317" s="3" t="s">
        <v>7541</v>
      </c>
      <c r="G317" s="9" t="s">
        <v>25</v>
      </c>
      <c r="H317" s="9"/>
      <c r="I317" s="9">
        <v>1</v>
      </c>
      <c r="J317" s="9">
        <v>5</v>
      </c>
      <c r="K317" s="9" t="s">
        <v>12094</v>
      </c>
      <c r="L317" s="9" t="s">
        <v>12079</v>
      </c>
      <c r="M317" s="9"/>
      <c r="N317" s="10"/>
      <c r="O317" s="9"/>
      <c r="P317" s="9">
        <v>4240</v>
      </c>
      <c r="Q317" s="9">
        <v>509.49291035808699</v>
      </c>
      <c r="R317" s="9"/>
      <c r="S317" s="9" t="s">
        <v>12795</v>
      </c>
      <c r="T317" s="9" t="s">
        <v>12795</v>
      </c>
      <c r="U317" s="9"/>
      <c r="V317" s="9"/>
      <c r="W317" s="9"/>
      <c r="X317" s="9"/>
      <c r="Y317" s="9"/>
      <c r="Z317" s="9"/>
      <c r="AA317" s="9"/>
      <c r="AB317" s="9"/>
      <c r="AC317" s="9"/>
      <c r="AD317" s="9"/>
    </row>
    <row r="318" spans="1:30" ht="58">
      <c r="A318" s="3" t="s">
        <v>2457</v>
      </c>
      <c r="B318" s="3" t="s">
        <v>7557</v>
      </c>
      <c r="C318" s="3" t="s">
        <v>7558</v>
      </c>
      <c r="G318" s="9" t="s">
        <v>25</v>
      </c>
      <c r="H318" s="9"/>
      <c r="I318" s="9">
        <v>1</v>
      </c>
      <c r="J318" s="9">
        <v>2</v>
      </c>
      <c r="K318" s="9" t="s">
        <v>12078</v>
      </c>
      <c r="L318" s="9" t="s">
        <v>12119</v>
      </c>
      <c r="M318" s="9"/>
      <c r="N318" s="10"/>
      <c r="O318" s="9"/>
      <c r="P318" s="9">
        <v>11843</v>
      </c>
      <c r="Q318" s="9">
        <v>1423.0954097572699</v>
      </c>
      <c r="R318" s="9"/>
      <c r="S318" s="9" t="s">
        <v>12795</v>
      </c>
      <c r="T318" s="9" t="s">
        <v>12795</v>
      </c>
      <c r="U318" s="9"/>
      <c r="V318" s="9"/>
      <c r="W318" s="9"/>
      <c r="X318" s="9"/>
      <c r="Y318" s="9"/>
      <c r="Z318" s="9"/>
      <c r="AA318" s="9"/>
      <c r="AB318" s="9"/>
      <c r="AC318" s="9"/>
      <c r="AD318" s="9"/>
    </row>
    <row r="319" spans="1:30" ht="43.5">
      <c r="A319" s="3" t="s">
        <v>2461</v>
      </c>
      <c r="B319" s="3" t="s">
        <v>7564</v>
      </c>
      <c r="C319" s="3" t="s">
        <v>7563</v>
      </c>
      <c r="G319" s="9" t="s">
        <v>24</v>
      </c>
      <c r="H319" s="9"/>
      <c r="I319" s="9">
        <v>1</v>
      </c>
      <c r="J319" s="9">
        <v>3</v>
      </c>
      <c r="K319" s="9" t="s">
        <v>12078</v>
      </c>
      <c r="L319" s="9" t="s">
        <v>12073</v>
      </c>
      <c r="M319" s="9" t="s">
        <v>12142</v>
      </c>
      <c r="N319" s="10" t="s">
        <v>12143</v>
      </c>
      <c r="O319" s="9" t="s">
        <v>12074</v>
      </c>
      <c r="P319" s="9">
        <v>11843</v>
      </c>
      <c r="Q319" s="9">
        <v>1423.0954097572699</v>
      </c>
      <c r="R319" s="9"/>
      <c r="S319" s="9" t="s">
        <v>12795</v>
      </c>
      <c r="T319" s="9" t="s">
        <v>12795</v>
      </c>
      <c r="U319" s="9"/>
      <c r="V319" s="9"/>
      <c r="W319" s="9"/>
      <c r="X319" s="9"/>
      <c r="Y319" s="9"/>
      <c r="Z319" s="9"/>
      <c r="AA319" s="9"/>
      <c r="AB319" s="9"/>
      <c r="AC319" s="9"/>
      <c r="AD319" s="9"/>
    </row>
    <row r="320" spans="1:30" ht="29">
      <c r="A320" s="3" t="s">
        <v>2462</v>
      </c>
      <c r="B320" s="3" t="s">
        <v>7566</v>
      </c>
      <c r="C320" s="3" t="s">
        <v>7565</v>
      </c>
      <c r="G320" s="9" t="s">
        <v>24</v>
      </c>
      <c r="H320" s="9"/>
      <c r="I320" s="9">
        <v>1</v>
      </c>
      <c r="J320" s="9">
        <v>3</v>
      </c>
      <c r="K320" s="9" t="s">
        <v>12078</v>
      </c>
      <c r="L320" s="9" t="s">
        <v>12079</v>
      </c>
      <c r="M320" s="9"/>
      <c r="N320" s="10"/>
      <c r="O320" s="9"/>
      <c r="P320" s="9">
        <v>11843</v>
      </c>
      <c r="Q320" s="9">
        <v>1423.0954097572699</v>
      </c>
      <c r="R320" s="9"/>
      <c r="S320" s="9" t="s">
        <v>12795</v>
      </c>
      <c r="T320" s="9" t="s">
        <v>12795</v>
      </c>
      <c r="U320" s="9"/>
      <c r="V320" s="9"/>
      <c r="W320" s="9"/>
      <c r="X320" s="9"/>
      <c r="Y320" s="9"/>
      <c r="Z320" s="9"/>
      <c r="AA320" s="9"/>
      <c r="AB320" s="9"/>
      <c r="AC320" s="9"/>
      <c r="AD320" s="9"/>
    </row>
    <row r="321" spans="1:30" ht="43.5">
      <c r="A321" s="3" t="s">
        <v>2498</v>
      </c>
      <c r="B321" s="3" t="s">
        <v>7615</v>
      </c>
      <c r="C321" s="3" t="s">
        <v>7616</v>
      </c>
      <c r="G321" s="9" t="s">
        <v>25</v>
      </c>
      <c r="H321" s="9"/>
      <c r="I321" s="9">
        <v>1</v>
      </c>
      <c r="J321" s="9">
        <v>3</v>
      </c>
      <c r="K321" s="9" t="s">
        <v>12123</v>
      </c>
      <c r="L321" s="9" t="s">
        <v>12079</v>
      </c>
      <c r="M321" s="9"/>
      <c r="N321" s="10"/>
      <c r="O321" s="9"/>
      <c r="P321" s="9">
        <v>887</v>
      </c>
      <c r="Q321" s="9">
        <v>106.58495553953377</v>
      </c>
      <c r="R321" s="9"/>
      <c r="S321" s="9" t="s">
        <v>12795</v>
      </c>
      <c r="T321" s="9" t="s">
        <v>12795</v>
      </c>
      <c r="U321" s="9"/>
      <c r="V321" s="9"/>
      <c r="W321" s="9"/>
      <c r="X321" s="9"/>
      <c r="Y321" s="9"/>
      <c r="Z321" s="9"/>
      <c r="AA321" s="9"/>
      <c r="AB321" s="9"/>
      <c r="AC321" s="9"/>
      <c r="AD321" s="9"/>
    </row>
    <row r="322" spans="1:30" ht="43.5">
      <c r="A322" s="3" t="s">
        <v>2507</v>
      </c>
      <c r="B322" s="3" t="s">
        <v>7618</v>
      </c>
      <c r="C322" s="3" t="s">
        <v>7617</v>
      </c>
      <c r="G322" s="9" t="s">
        <v>25</v>
      </c>
      <c r="H322" s="9"/>
      <c r="I322" s="9">
        <v>1</v>
      </c>
      <c r="J322" s="9">
        <v>2</v>
      </c>
      <c r="K322" s="9" t="s">
        <v>12087</v>
      </c>
      <c r="L322" s="9" t="s">
        <v>12119</v>
      </c>
      <c r="M322" s="9"/>
      <c r="N322" s="10"/>
      <c r="O322" s="9"/>
      <c r="P322" s="9">
        <v>1966</v>
      </c>
      <c r="Q322" s="9">
        <v>236.24128815188658</v>
      </c>
      <c r="R322" s="9"/>
      <c r="S322" s="9" t="s">
        <v>12795</v>
      </c>
      <c r="T322" s="9" t="s">
        <v>12795</v>
      </c>
      <c r="U322" s="9"/>
      <c r="V322" s="9"/>
      <c r="W322" s="9"/>
      <c r="X322" s="9"/>
      <c r="Y322" s="9"/>
      <c r="Z322" s="9"/>
      <c r="AA322" s="9"/>
      <c r="AB322" s="9"/>
      <c r="AC322" s="9"/>
      <c r="AD322" s="9"/>
    </row>
    <row r="323" spans="1:30" ht="43.5">
      <c r="A323" s="3" t="s">
        <v>2507</v>
      </c>
      <c r="B323" s="3" t="s">
        <v>7621</v>
      </c>
      <c r="C323" s="3" t="s">
        <v>7622</v>
      </c>
      <c r="G323" s="9" t="s">
        <v>24</v>
      </c>
      <c r="H323" s="9"/>
      <c r="I323" s="9">
        <v>1</v>
      </c>
      <c r="J323" s="9">
        <v>2</v>
      </c>
      <c r="K323" s="9" t="s">
        <v>12078</v>
      </c>
      <c r="L323" s="9" t="s">
        <v>12119</v>
      </c>
      <c r="M323" s="9"/>
      <c r="N323" s="10"/>
      <c r="O323" s="9" t="s">
        <v>12074</v>
      </c>
      <c r="P323" s="9">
        <v>11843</v>
      </c>
      <c r="Q323" s="9">
        <v>1423.0954097572699</v>
      </c>
      <c r="R323" s="9"/>
      <c r="S323" s="9" t="s">
        <v>12795</v>
      </c>
      <c r="T323" s="9" t="s">
        <v>12795</v>
      </c>
      <c r="U323" s="9"/>
      <c r="V323" s="9"/>
      <c r="W323" s="9"/>
      <c r="X323" s="9"/>
      <c r="Y323" s="9"/>
      <c r="Z323" s="9"/>
      <c r="AA323" s="9"/>
      <c r="AB323" s="9"/>
      <c r="AC323" s="9"/>
      <c r="AD323" s="9"/>
    </row>
    <row r="324" spans="1:30" ht="58">
      <c r="A324" s="3" t="s">
        <v>2531</v>
      </c>
      <c r="B324" s="3" t="s">
        <v>12903</v>
      </c>
      <c r="C324" s="3" t="s">
        <v>12907</v>
      </c>
      <c r="G324" s="9" t="s">
        <v>24</v>
      </c>
      <c r="H324" s="9"/>
      <c r="I324" s="9">
        <v>1</v>
      </c>
      <c r="J324" s="9">
        <v>3</v>
      </c>
      <c r="K324" s="9" t="s">
        <v>12094</v>
      </c>
      <c r="L324" s="9" t="s">
        <v>12079</v>
      </c>
      <c r="M324" s="9"/>
      <c r="N324" s="10"/>
      <c r="O324" s="9"/>
      <c r="P324" s="9">
        <v>1741</v>
      </c>
      <c r="Q324" s="9">
        <v>209.20451814467677</v>
      </c>
      <c r="R324" s="9"/>
      <c r="S324" s="9"/>
      <c r="T324" s="9"/>
      <c r="U324" s="9"/>
      <c r="V324" s="9"/>
      <c r="W324" s="9"/>
      <c r="X324" s="9"/>
      <c r="Y324" s="9"/>
      <c r="Z324" s="9"/>
      <c r="AA324" s="9"/>
      <c r="AB324" s="9"/>
      <c r="AC324" s="9"/>
      <c r="AD324" s="9"/>
    </row>
    <row r="325" spans="1:30" ht="29">
      <c r="A325" s="3" t="s">
        <v>2533</v>
      </c>
      <c r="B325" s="3" t="s">
        <v>7653</v>
      </c>
      <c r="C325" s="3" t="s">
        <v>7652</v>
      </c>
      <c r="G325" s="9" t="s">
        <v>24</v>
      </c>
      <c r="H325" s="9"/>
      <c r="I325" s="9">
        <v>1</v>
      </c>
      <c r="J325" s="9">
        <v>3</v>
      </c>
      <c r="K325" s="9" t="s">
        <v>12078</v>
      </c>
      <c r="L325" s="9" t="s">
        <v>12079</v>
      </c>
      <c r="M325" s="9"/>
      <c r="N325" s="10"/>
      <c r="O325" s="9"/>
      <c r="P325" s="9">
        <v>11843</v>
      </c>
      <c r="Q325" s="9">
        <v>1423.0954097572699</v>
      </c>
      <c r="R325" s="9"/>
      <c r="S325" s="9" t="s">
        <v>12795</v>
      </c>
      <c r="T325" s="9" t="s">
        <v>12795</v>
      </c>
      <c r="U325" s="9"/>
      <c r="V325" s="9"/>
      <c r="W325" s="9"/>
      <c r="X325" s="9"/>
      <c r="Y325" s="9"/>
      <c r="Z325" s="9"/>
      <c r="AA325" s="9"/>
      <c r="AB325" s="9"/>
      <c r="AC325" s="9"/>
      <c r="AD325" s="9"/>
    </row>
    <row r="326" spans="1:30" ht="29">
      <c r="A326" s="3" t="s">
        <v>2535</v>
      </c>
      <c r="B326" s="3" t="s">
        <v>7659</v>
      </c>
      <c r="C326" s="3" t="s">
        <v>7658</v>
      </c>
      <c r="G326" s="9" t="s">
        <v>24</v>
      </c>
      <c r="H326" s="9"/>
      <c r="I326" s="9">
        <v>1</v>
      </c>
      <c r="J326" s="9">
        <v>3</v>
      </c>
      <c r="K326" s="9" t="s">
        <v>12094</v>
      </c>
      <c r="L326" s="9" t="s">
        <v>12079</v>
      </c>
      <c r="M326" s="9"/>
      <c r="N326" s="10"/>
      <c r="O326" s="9"/>
      <c r="P326" s="9">
        <v>1496</v>
      </c>
      <c r="Q326" s="9">
        <v>179.76447969238166</v>
      </c>
      <c r="R326" s="9"/>
      <c r="S326" s="9" t="s">
        <v>12795</v>
      </c>
      <c r="T326" s="9" t="s">
        <v>12795</v>
      </c>
      <c r="U326" s="9"/>
      <c r="V326" s="9"/>
      <c r="W326" s="9"/>
      <c r="X326" s="9"/>
      <c r="Y326" s="9"/>
      <c r="Z326" s="9"/>
      <c r="AA326" s="9"/>
      <c r="AB326" s="9"/>
      <c r="AC326" s="9"/>
      <c r="AD326" s="9"/>
    </row>
    <row r="327" spans="1:30" ht="58">
      <c r="A327" s="3" t="s">
        <v>2540</v>
      </c>
      <c r="B327" s="3" t="s">
        <v>7665</v>
      </c>
      <c r="C327" s="3" t="s">
        <v>7664</v>
      </c>
      <c r="G327" s="9" t="s">
        <v>24</v>
      </c>
      <c r="H327" s="9"/>
      <c r="I327" s="9">
        <v>1</v>
      </c>
      <c r="J327" s="9">
        <v>3</v>
      </c>
      <c r="K327" s="9" t="s">
        <v>12078</v>
      </c>
      <c r="L327" s="9" t="s">
        <v>12079</v>
      </c>
      <c r="M327" s="9"/>
      <c r="N327" s="10"/>
      <c r="O327" s="9"/>
      <c r="P327" s="9">
        <v>11843</v>
      </c>
      <c r="Q327" s="9">
        <v>1423.0954097572699</v>
      </c>
      <c r="R327" s="9"/>
      <c r="S327" s="9" t="s">
        <v>12795</v>
      </c>
      <c r="T327" s="9" t="s">
        <v>12795</v>
      </c>
      <c r="U327" s="9"/>
      <c r="V327" s="9"/>
      <c r="W327" s="9"/>
      <c r="X327" s="9"/>
      <c r="Y327" s="9"/>
      <c r="Z327" s="9"/>
      <c r="AA327" s="9"/>
      <c r="AB327" s="9"/>
      <c r="AC327" s="9"/>
      <c r="AD327" s="9"/>
    </row>
    <row r="328" spans="1:30" ht="58">
      <c r="A328" s="3" t="s">
        <v>2554</v>
      </c>
      <c r="B328" s="3" t="s">
        <v>7675</v>
      </c>
      <c r="C328" s="3" t="s">
        <v>7677</v>
      </c>
      <c r="G328" s="9" t="s">
        <v>24</v>
      </c>
      <c r="H328" s="9"/>
      <c r="I328" s="9">
        <v>1</v>
      </c>
      <c r="J328" s="9">
        <v>3</v>
      </c>
      <c r="K328" s="9" t="s">
        <v>12094</v>
      </c>
      <c r="L328" s="9" t="s">
        <v>12079</v>
      </c>
      <c r="M328" s="9"/>
      <c r="N328" s="10"/>
      <c r="O328" s="9"/>
      <c r="P328" s="9">
        <v>1496</v>
      </c>
      <c r="Q328" s="9">
        <v>179.76447969238166</v>
      </c>
      <c r="R328" s="9"/>
      <c r="S328" s="9" t="s">
        <v>12795</v>
      </c>
      <c r="T328" s="9" t="s">
        <v>12795</v>
      </c>
      <c r="U328" s="9"/>
      <c r="V328" s="9"/>
      <c r="W328" s="9"/>
      <c r="X328" s="9"/>
      <c r="Y328" s="9"/>
      <c r="Z328" s="9"/>
      <c r="AA328" s="9"/>
      <c r="AB328" s="9"/>
      <c r="AC328" s="9"/>
      <c r="AD328" s="9"/>
    </row>
    <row r="329" spans="1:30" ht="29">
      <c r="A329" s="3" t="s">
        <v>2557</v>
      </c>
      <c r="B329" s="3" t="s">
        <v>7623</v>
      </c>
      <c r="C329" s="3" t="s">
        <v>7680</v>
      </c>
      <c r="G329" s="9" t="s">
        <v>25</v>
      </c>
      <c r="H329" s="9"/>
      <c r="I329" s="9">
        <v>1</v>
      </c>
      <c r="J329" s="9">
        <v>2</v>
      </c>
      <c r="K329" s="9" t="s">
        <v>12087</v>
      </c>
      <c r="L329" s="9" t="s">
        <v>12119</v>
      </c>
      <c r="M329" s="9"/>
      <c r="N329" s="10"/>
      <c r="O329" s="9"/>
      <c r="P329" s="9">
        <v>1966</v>
      </c>
      <c r="Q329" s="9">
        <v>236.24128815188658</v>
      </c>
      <c r="R329" s="9"/>
      <c r="S329" s="9" t="s">
        <v>12795</v>
      </c>
      <c r="T329" s="9" t="s">
        <v>12795</v>
      </c>
      <c r="U329" s="9"/>
      <c r="V329" s="9"/>
      <c r="W329" s="9"/>
      <c r="X329" s="9"/>
      <c r="Y329" s="9"/>
      <c r="Z329" s="9"/>
      <c r="AA329" s="9"/>
      <c r="AB329" s="9"/>
      <c r="AC329" s="9"/>
      <c r="AD329" s="9"/>
    </row>
    <row r="330" spans="1:30" ht="43.5">
      <c r="A330" s="3" t="s">
        <v>2560</v>
      </c>
      <c r="B330" s="3" t="s">
        <v>7685</v>
      </c>
      <c r="C330" s="3" t="s">
        <v>7688</v>
      </c>
      <c r="G330" s="9" t="s">
        <v>24</v>
      </c>
      <c r="H330" s="9"/>
      <c r="I330" s="9">
        <v>1</v>
      </c>
      <c r="J330" s="9">
        <v>2</v>
      </c>
      <c r="K330" s="9" t="s">
        <v>12096</v>
      </c>
      <c r="L330" s="9" t="s">
        <v>12119</v>
      </c>
      <c r="M330" s="9"/>
      <c r="N330" s="10"/>
      <c r="O330" s="9"/>
      <c r="P330" s="9">
        <v>444</v>
      </c>
      <c r="Q330" s="9">
        <v>53.352559480894016</v>
      </c>
      <c r="R330" s="9"/>
      <c r="S330" s="9" t="s">
        <v>12795</v>
      </c>
      <c r="T330" s="9" t="s">
        <v>12795</v>
      </c>
      <c r="U330" s="9"/>
      <c r="V330" s="9"/>
      <c r="W330" s="9"/>
      <c r="X330" s="9"/>
      <c r="Y330" s="9"/>
      <c r="Z330" s="9"/>
      <c r="AA330" s="9"/>
      <c r="AB330" s="9"/>
      <c r="AC330" s="9"/>
      <c r="AD330" s="9"/>
    </row>
    <row r="331" spans="1:30" ht="43.5">
      <c r="A331" s="3" t="s">
        <v>2561</v>
      </c>
      <c r="B331" s="3" t="s">
        <v>7690</v>
      </c>
      <c r="C331" s="3" t="s">
        <v>7689</v>
      </c>
      <c r="G331" s="9" t="s">
        <v>25</v>
      </c>
      <c r="H331" s="9"/>
      <c r="I331" s="9">
        <v>1</v>
      </c>
      <c r="J331" s="9">
        <v>3</v>
      </c>
      <c r="K331" s="9" t="s">
        <v>12087</v>
      </c>
      <c r="L331" s="9" t="s">
        <v>12079</v>
      </c>
      <c r="M331" s="9"/>
      <c r="N331" s="10"/>
      <c r="O331" s="9"/>
      <c r="P331" s="9">
        <v>5676</v>
      </c>
      <c r="Q331" s="9">
        <v>682.04758471521268</v>
      </c>
      <c r="R331" s="9"/>
      <c r="S331" s="9" t="s">
        <v>12795</v>
      </c>
      <c r="T331" s="9" t="s">
        <v>12795</v>
      </c>
      <c r="U331" s="9"/>
      <c r="V331" s="9"/>
      <c r="W331" s="9"/>
      <c r="X331" s="9"/>
      <c r="Y331" s="9"/>
      <c r="Z331" s="9"/>
      <c r="AA331" s="9"/>
      <c r="AB331" s="9"/>
      <c r="AC331" s="9"/>
      <c r="AD331" s="9"/>
    </row>
    <row r="332" spans="1:30" ht="43.5">
      <c r="A332" s="3" t="s">
        <v>2562</v>
      </c>
      <c r="B332" s="3" t="s">
        <v>7691</v>
      </c>
      <c r="C332" s="3" t="s">
        <v>7692</v>
      </c>
      <c r="G332" s="9" t="s">
        <v>25</v>
      </c>
      <c r="H332" s="9"/>
      <c r="I332" s="9">
        <v>1</v>
      </c>
      <c r="J332" s="9">
        <v>1</v>
      </c>
      <c r="K332" s="9" t="s">
        <v>12078</v>
      </c>
      <c r="L332" s="9" t="s">
        <v>12119</v>
      </c>
      <c r="M332" s="9"/>
      <c r="N332" s="10"/>
      <c r="O332" s="9"/>
      <c r="P332" s="9">
        <v>11843</v>
      </c>
      <c r="Q332" s="9">
        <v>1423.0954097572699</v>
      </c>
      <c r="R332" s="9"/>
      <c r="S332" s="9" t="s">
        <v>12795</v>
      </c>
      <c r="T332" s="9" t="s">
        <v>12795</v>
      </c>
      <c r="U332" s="9"/>
      <c r="V332" s="9"/>
      <c r="W332" s="9"/>
      <c r="X332" s="9"/>
      <c r="Y332" s="9"/>
      <c r="Z332" s="9"/>
      <c r="AA332" s="9"/>
      <c r="AB332" s="9"/>
      <c r="AC332" s="9"/>
      <c r="AD332" s="9"/>
    </row>
    <row r="333" spans="1:30" ht="29">
      <c r="A333" s="3" t="s">
        <v>2565</v>
      </c>
      <c r="B333" s="3" t="s">
        <v>7699</v>
      </c>
      <c r="C333" s="3" t="s">
        <v>7700</v>
      </c>
      <c r="G333" s="9" t="s">
        <v>25</v>
      </c>
      <c r="H333" s="9"/>
      <c r="I333" s="9">
        <v>1</v>
      </c>
      <c r="J333" s="9">
        <v>3</v>
      </c>
      <c r="K333" s="9" t="s">
        <v>12078</v>
      </c>
      <c r="L333" s="9" t="s">
        <v>12079</v>
      </c>
      <c r="M333" s="9"/>
      <c r="N333" s="10"/>
      <c r="O333" s="9"/>
      <c r="P333" s="9">
        <v>11843</v>
      </c>
      <c r="Q333" s="9">
        <v>1423.0954097572699</v>
      </c>
      <c r="R333" s="9"/>
      <c r="S333" s="9" t="s">
        <v>12795</v>
      </c>
      <c r="T333" s="9" t="s">
        <v>12795</v>
      </c>
      <c r="U333" s="9"/>
      <c r="V333" s="9"/>
      <c r="W333" s="9"/>
      <c r="X333" s="9"/>
      <c r="Y333" s="9"/>
      <c r="Z333" s="9"/>
      <c r="AA333" s="9"/>
      <c r="AB333" s="9"/>
      <c r="AC333" s="9"/>
      <c r="AD333" s="9"/>
    </row>
    <row r="334" spans="1:30" ht="29">
      <c r="A334" s="3" t="s">
        <v>2570</v>
      </c>
      <c r="B334" s="3" t="s">
        <v>7705</v>
      </c>
      <c r="C334" s="3" t="s">
        <v>7704</v>
      </c>
      <c r="G334" s="9" t="s">
        <v>24</v>
      </c>
      <c r="H334" s="9"/>
      <c r="I334" s="9">
        <v>1</v>
      </c>
      <c r="J334" s="9">
        <v>2</v>
      </c>
      <c r="K334" s="9" t="s">
        <v>12087</v>
      </c>
      <c r="L334" s="9" t="s">
        <v>12119</v>
      </c>
      <c r="M334" s="9"/>
      <c r="N334" s="10"/>
      <c r="O334" s="9"/>
      <c r="P334" s="9">
        <v>1966</v>
      </c>
      <c r="Q334" s="9">
        <v>236.24128815188658</v>
      </c>
      <c r="R334" s="9"/>
      <c r="S334" s="9" t="s">
        <v>12795</v>
      </c>
      <c r="T334" s="9" t="s">
        <v>12795</v>
      </c>
      <c r="U334" s="9"/>
      <c r="V334" s="9"/>
      <c r="W334" s="9"/>
      <c r="X334" s="9"/>
      <c r="Y334" s="9"/>
      <c r="Z334" s="9"/>
      <c r="AA334" s="9"/>
      <c r="AB334" s="9"/>
      <c r="AC334" s="9"/>
      <c r="AD334" s="9"/>
    </row>
    <row r="335" spans="1:30" ht="58">
      <c r="A335" s="3" t="s">
        <v>2584</v>
      </c>
      <c r="B335" s="3" t="s">
        <v>7712</v>
      </c>
      <c r="C335" s="3" t="s">
        <v>7713</v>
      </c>
      <c r="G335" s="9" t="s">
        <v>25</v>
      </c>
      <c r="H335" s="9"/>
      <c r="I335" s="9">
        <v>1</v>
      </c>
      <c r="J335" s="9">
        <v>3</v>
      </c>
      <c r="K335" s="9" t="s">
        <v>12078</v>
      </c>
      <c r="L335" s="9" t="s">
        <v>12119</v>
      </c>
      <c r="M335" s="9"/>
      <c r="N335" s="10"/>
      <c r="O335" s="9"/>
      <c r="P335" s="9">
        <v>11843</v>
      </c>
      <c r="Q335" s="9">
        <v>1423.0954097572699</v>
      </c>
      <c r="R335" s="9"/>
      <c r="S335" s="9" t="s">
        <v>12795</v>
      </c>
      <c r="T335" s="9" t="s">
        <v>12795</v>
      </c>
      <c r="U335" s="9"/>
      <c r="V335" s="9"/>
      <c r="W335" s="9"/>
      <c r="X335" s="9"/>
      <c r="Y335" s="9"/>
      <c r="Z335" s="9"/>
      <c r="AA335" s="9"/>
      <c r="AB335" s="9"/>
      <c r="AC335" s="9"/>
      <c r="AD335" s="9"/>
    </row>
    <row r="336" spans="1:30" ht="58">
      <c r="A336" s="3" t="s">
        <v>2606</v>
      </c>
      <c r="B336" s="3" t="s">
        <v>7740</v>
      </c>
      <c r="C336" s="3" t="s">
        <v>7741</v>
      </c>
      <c r="G336" s="9" t="s">
        <v>25</v>
      </c>
      <c r="H336" s="9"/>
      <c r="I336" s="9">
        <v>1</v>
      </c>
      <c r="J336" s="9">
        <v>3</v>
      </c>
      <c r="K336" s="9" t="s">
        <v>12078</v>
      </c>
      <c r="L336" s="9" t="s">
        <v>12073</v>
      </c>
      <c r="M336" s="9" t="s">
        <v>12149</v>
      </c>
      <c r="N336" s="10" t="s">
        <v>12143</v>
      </c>
      <c r="O336" s="9"/>
      <c r="P336" s="9">
        <v>11843</v>
      </c>
      <c r="Q336" s="9">
        <v>1423.0954097572699</v>
      </c>
      <c r="R336" s="9"/>
      <c r="S336" s="9" t="s">
        <v>12795</v>
      </c>
      <c r="T336" s="9" t="s">
        <v>12795</v>
      </c>
      <c r="U336" s="9"/>
      <c r="V336" s="9"/>
      <c r="W336" s="9"/>
      <c r="X336" s="9"/>
      <c r="Y336" s="9"/>
      <c r="Z336" s="9"/>
      <c r="AA336" s="9"/>
      <c r="AB336" s="9"/>
      <c r="AC336" s="9"/>
      <c r="AD336" s="9"/>
    </row>
    <row r="337" spans="1:30" ht="29">
      <c r="A337" s="3" t="s">
        <v>2607</v>
      </c>
      <c r="B337" s="3" t="s">
        <v>7746</v>
      </c>
      <c r="C337" s="3" t="s">
        <v>7745</v>
      </c>
      <c r="G337" s="9" t="s">
        <v>25</v>
      </c>
      <c r="H337" s="9"/>
      <c r="I337" s="9">
        <v>1</v>
      </c>
      <c r="J337" s="9">
        <v>3</v>
      </c>
      <c r="K337" s="9" t="s">
        <v>12087</v>
      </c>
      <c r="L337" s="9" t="s">
        <v>12079</v>
      </c>
      <c r="M337" s="9"/>
      <c r="N337" s="10"/>
      <c r="O337" s="9"/>
      <c r="P337" s="9">
        <v>5676</v>
      </c>
      <c r="Q337" s="9">
        <v>682.04758471521268</v>
      </c>
      <c r="R337" s="9"/>
      <c r="S337" s="9" t="s">
        <v>12795</v>
      </c>
      <c r="T337" s="9" t="s">
        <v>12795</v>
      </c>
      <c r="U337" s="9"/>
      <c r="V337" s="9"/>
      <c r="W337" s="9"/>
      <c r="X337" s="9"/>
      <c r="Y337" s="9"/>
      <c r="Z337" s="9"/>
      <c r="AA337" s="9"/>
      <c r="AB337" s="9"/>
      <c r="AC337" s="9"/>
      <c r="AD337" s="9"/>
    </row>
    <row r="338" spans="1:30" ht="43.5">
      <c r="A338" s="3" t="s">
        <v>2619</v>
      </c>
      <c r="B338" s="3" t="s">
        <v>7760</v>
      </c>
      <c r="C338" s="3" t="s">
        <v>7761</v>
      </c>
      <c r="G338" s="9" t="s">
        <v>25</v>
      </c>
      <c r="H338" s="9"/>
      <c r="I338" s="9">
        <v>1</v>
      </c>
      <c r="J338" s="9">
        <v>5</v>
      </c>
      <c r="K338" s="9" t="s">
        <v>12094</v>
      </c>
      <c r="L338" s="9" t="s">
        <v>12079</v>
      </c>
      <c r="M338" s="9"/>
      <c r="N338" s="10"/>
      <c r="O338" s="9"/>
      <c r="P338" s="9">
        <v>1741</v>
      </c>
      <c r="Q338" s="9">
        <v>209.20451814467677</v>
      </c>
      <c r="R338" s="9"/>
      <c r="S338" s="9" t="s">
        <v>12795</v>
      </c>
      <c r="T338" s="9" t="s">
        <v>12795</v>
      </c>
      <c r="U338" s="9"/>
      <c r="V338" s="9"/>
      <c r="W338" s="9"/>
      <c r="X338" s="9"/>
      <c r="Y338" s="9"/>
      <c r="Z338" s="9"/>
      <c r="AA338" s="9"/>
      <c r="AB338" s="9"/>
      <c r="AC338" s="9"/>
      <c r="AD338" s="9"/>
    </row>
    <row r="339" spans="1:30" ht="29">
      <c r="A339" s="3" t="s">
        <v>2620</v>
      </c>
      <c r="B339" s="3" t="s">
        <v>7762</v>
      </c>
      <c r="C339" s="3" t="s">
        <v>7763</v>
      </c>
      <c r="G339" s="9" t="s">
        <v>25</v>
      </c>
      <c r="H339" s="9"/>
      <c r="I339" s="9">
        <v>1</v>
      </c>
      <c r="J339" s="9">
        <v>3</v>
      </c>
      <c r="K339" s="9" t="s">
        <v>12087</v>
      </c>
      <c r="L339" s="9" t="s">
        <v>12079</v>
      </c>
      <c r="M339" s="9"/>
      <c r="N339" s="10"/>
      <c r="O339" s="9"/>
      <c r="P339" s="9">
        <v>810</v>
      </c>
      <c r="Q339" s="9">
        <v>97.332372025955294</v>
      </c>
      <c r="R339" s="9"/>
      <c r="S339" s="9" t="s">
        <v>12795</v>
      </c>
      <c r="T339" s="9" t="s">
        <v>12795</v>
      </c>
      <c r="U339" s="9"/>
      <c r="V339" s="9"/>
      <c r="W339" s="9"/>
      <c r="X339" s="9"/>
      <c r="Y339" s="9"/>
      <c r="Z339" s="9"/>
      <c r="AA339" s="9"/>
      <c r="AB339" s="9"/>
      <c r="AC339" s="9"/>
      <c r="AD339" s="9"/>
    </row>
    <row r="340" spans="1:30" ht="29">
      <c r="A340" s="3" t="s">
        <v>2621</v>
      </c>
      <c r="B340" s="3" t="s">
        <v>7765</v>
      </c>
      <c r="C340" s="3" t="s">
        <v>7764</v>
      </c>
      <c r="G340" s="9" t="s">
        <v>25</v>
      </c>
      <c r="H340" s="9"/>
      <c r="I340" s="9">
        <v>1</v>
      </c>
      <c r="J340" s="9">
        <v>2</v>
      </c>
      <c r="K340" s="9" t="s">
        <v>12078</v>
      </c>
      <c r="L340" s="9" t="s">
        <v>12119</v>
      </c>
      <c r="M340" s="9"/>
      <c r="N340" s="10"/>
      <c r="O340" s="9"/>
      <c r="P340" s="9">
        <v>11843</v>
      </c>
      <c r="Q340" s="9">
        <v>1423.0954097572699</v>
      </c>
      <c r="R340" s="9"/>
      <c r="S340" s="9" t="s">
        <v>12795</v>
      </c>
      <c r="T340" s="9" t="s">
        <v>12795</v>
      </c>
      <c r="U340" s="9"/>
      <c r="V340" s="9"/>
      <c r="W340" s="9"/>
      <c r="X340" s="9"/>
      <c r="Y340" s="9"/>
      <c r="Z340" s="9"/>
      <c r="AA340" s="9"/>
      <c r="AB340" s="9"/>
      <c r="AC340" s="9"/>
      <c r="AD340" s="9"/>
    </row>
    <row r="341" spans="1:30" ht="43.5">
      <c r="A341" s="3" t="s">
        <v>2629</v>
      </c>
      <c r="B341" s="3" t="s">
        <v>7773</v>
      </c>
      <c r="C341" s="3" t="s">
        <v>7772</v>
      </c>
      <c r="G341" s="9" t="s">
        <v>25</v>
      </c>
      <c r="H341" s="9"/>
      <c r="I341" s="9">
        <v>1</v>
      </c>
      <c r="J341" s="9">
        <v>3</v>
      </c>
      <c r="K341" s="9" t="s">
        <v>12078</v>
      </c>
      <c r="L341" s="9" t="s">
        <v>12079</v>
      </c>
      <c r="M341" s="9"/>
      <c r="N341" s="10"/>
      <c r="O341" s="9"/>
      <c r="P341" s="9">
        <v>11843</v>
      </c>
      <c r="Q341" s="9">
        <v>1423.0954097572699</v>
      </c>
      <c r="R341" s="9"/>
      <c r="S341" s="9" t="s">
        <v>12795</v>
      </c>
      <c r="T341" s="9" t="s">
        <v>12795</v>
      </c>
      <c r="U341" s="9"/>
      <c r="V341" s="9"/>
      <c r="W341" s="9"/>
      <c r="X341" s="9"/>
      <c r="Y341" s="9"/>
      <c r="Z341" s="9"/>
      <c r="AA341" s="9"/>
      <c r="AB341" s="9"/>
      <c r="AC341" s="9"/>
      <c r="AD341" s="9"/>
    </row>
    <row r="342" spans="1:30" ht="43.5">
      <c r="A342" s="3" t="s">
        <v>2629</v>
      </c>
      <c r="B342" s="3" t="s">
        <v>7774</v>
      </c>
      <c r="C342" s="3" t="s">
        <v>7775</v>
      </c>
      <c r="G342" s="9" t="s">
        <v>25</v>
      </c>
      <c r="H342" s="9"/>
      <c r="I342" s="9">
        <v>1</v>
      </c>
      <c r="J342" s="9">
        <v>4</v>
      </c>
      <c r="K342" s="9" t="s">
        <v>12087</v>
      </c>
      <c r="L342" s="9" t="s">
        <v>12079</v>
      </c>
      <c r="M342" s="9"/>
      <c r="N342" s="10"/>
      <c r="O342" s="9"/>
      <c r="P342" s="9">
        <v>37</v>
      </c>
      <c r="Q342" s="9">
        <v>4.4460466234078346</v>
      </c>
      <c r="R342" s="9"/>
      <c r="S342" s="9" t="s">
        <v>12795</v>
      </c>
      <c r="T342" s="9" t="s">
        <v>12795</v>
      </c>
      <c r="U342" s="9"/>
      <c r="V342" s="9"/>
      <c r="W342" s="9"/>
      <c r="X342" s="9"/>
      <c r="Y342" s="9"/>
      <c r="Z342" s="9"/>
      <c r="AA342" s="9"/>
      <c r="AB342" s="9"/>
      <c r="AC342" s="9"/>
      <c r="AD342" s="9"/>
    </row>
    <row r="343" spans="1:30" ht="43.5">
      <c r="A343" s="3" t="s">
        <v>2633</v>
      </c>
      <c r="B343" s="3" t="s">
        <v>7776</v>
      </c>
      <c r="C343" s="3" t="s">
        <v>7777</v>
      </c>
      <c r="G343" s="9" t="s">
        <v>25</v>
      </c>
      <c r="H343" s="9"/>
      <c r="I343" s="9">
        <v>1</v>
      </c>
      <c r="J343" s="9">
        <v>2</v>
      </c>
      <c r="K343" s="9" t="s">
        <v>12094</v>
      </c>
      <c r="L343" s="9" t="s">
        <v>12119</v>
      </c>
      <c r="M343" s="9"/>
      <c r="N343" s="10"/>
      <c r="O343" s="9"/>
      <c r="P343" s="9">
        <v>412</v>
      </c>
      <c r="Q343" s="9">
        <v>49.507329968757517</v>
      </c>
      <c r="R343" s="9"/>
      <c r="S343" s="9" t="s">
        <v>12795</v>
      </c>
      <c r="T343" s="9" t="s">
        <v>12795</v>
      </c>
      <c r="U343" s="9"/>
      <c r="V343" s="9"/>
      <c r="W343" s="9"/>
      <c r="X343" s="9"/>
      <c r="Y343" s="9"/>
      <c r="Z343" s="9"/>
      <c r="AA343" s="9"/>
      <c r="AB343" s="9"/>
      <c r="AC343" s="9"/>
      <c r="AD343" s="9"/>
    </row>
    <row r="344" spans="1:30" ht="29">
      <c r="A344" s="3" t="s">
        <v>2649</v>
      </c>
      <c r="B344" s="3" t="s">
        <v>7788</v>
      </c>
      <c r="C344" s="3" t="s">
        <v>7787</v>
      </c>
      <c r="G344" s="9" t="s">
        <v>25</v>
      </c>
      <c r="H344" s="9"/>
      <c r="I344" s="9">
        <v>1</v>
      </c>
      <c r="J344" s="9">
        <v>2</v>
      </c>
      <c r="K344" s="9" t="s">
        <v>12078</v>
      </c>
      <c r="L344" s="9" t="s">
        <v>12119</v>
      </c>
      <c r="M344" s="9"/>
      <c r="N344" s="10"/>
      <c r="O344" s="9"/>
      <c r="P344" s="9">
        <v>11843</v>
      </c>
      <c r="Q344" s="9">
        <v>1423.0954097572699</v>
      </c>
      <c r="R344" s="9"/>
      <c r="S344" s="9" t="s">
        <v>12795</v>
      </c>
      <c r="T344" s="9" t="s">
        <v>12795</v>
      </c>
      <c r="U344" s="9"/>
      <c r="V344" s="9"/>
      <c r="W344" s="9"/>
      <c r="X344" s="9"/>
      <c r="Y344" s="9"/>
      <c r="Z344" s="9"/>
      <c r="AA344" s="9"/>
      <c r="AB344" s="9"/>
      <c r="AC344" s="9"/>
      <c r="AD344" s="9"/>
    </row>
    <row r="345" spans="1:30" ht="58">
      <c r="A345" s="3" t="s">
        <v>2654</v>
      </c>
      <c r="B345" s="3" t="s">
        <v>7797</v>
      </c>
      <c r="C345" s="3" t="s">
        <v>13040</v>
      </c>
      <c r="G345" s="9" t="s">
        <v>24</v>
      </c>
      <c r="H345" s="9"/>
      <c r="I345" s="9">
        <v>1</v>
      </c>
      <c r="J345" s="9">
        <v>3</v>
      </c>
      <c r="K345" s="9" t="s">
        <v>12087</v>
      </c>
      <c r="L345" s="9" t="s">
        <v>12079</v>
      </c>
      <c r="M345" s="9"/>
      <c r="N345" s="10"/>
      <c r="O345" s="9"/>
      <c r="P345" s="9">
        <v>5676</v>
      </c>
      <c r="Q345" s="9">
        <v>682.04758471521268</v>
      </c>
      <c r="R345" s="9"/>
      <c r="S345" s="9" t="s">
        <v>12795</v>
      </c>
      <c r="T345" s="9" t="s">
        <v>12795</v>
      </c>
      <c r="U345" s="9"/>
      <c r="V345" s="9"/>
      <c r="W345" s="9"/>
      <c r="X345" s="9"/>
      <c r="Y345" s="9"/>
      <c r="Z345" s="9"/>
      <c r="AA345" s="9"/>
      <c r="AB345" s="9"/>
      <c r="AC345" s="9"/>
      <c r="AD345" s="9"/>
    </row>
    <row r="346" spans="1:30" ht="29">
      <c r="A346" s="3" t="s">
        <v>2655</v>
      </c>
      <c r="B346" s="3" t="s">
        <v>12909</v>
      </c>
      <c r="C346" s="3" t="s">
        <v>7798</v>
      </c>
      <c r="G346" s="9" t="s">
        <v>25</v>
      </c>
      <c r="H346" s="9"/>
      <c r="I346" s="9">
        <v>1</v>
      </c>
      <c r="J346" s="9">
        <v>5</v>
      </c>
      <c r="K346" s="9" t="s">
        <v>12094</v>
      </c>
      <c r="L346" s="9" t="s">
        <v>12079</v>
      </c>
      <c r="M346" s="9"/>
      <c r="N346" s="10"/>
      <c r="O346" s="9"/>
      <c r="P346" s="9">
        <v>4240</v>
      </c>
      <c r="Q346" s="9">
        <v>509.49291035808699</v>
      </c>
      <c r="R346" s="9"/>
      <c r="S346" s="9" t="s">
        <v>12795</v>
      </c>
      <c r="T346" s="9" t="s">
        <v>12795</v>
      </c>
      <c r="U346" s="9"/>
      <c r="V346" s="9"/>
      <c r="W346" s="9"/>
      <c r="X346" s="9"/>
      <c r="Y346" s="9"/>
      <c r="Z346" s="9"/>
      <c r="AA346" s="9"/>
      <c r="AB346" s="9"/>
      <c r="AC346" s="9"/>
      <c r="AD346" s="9"/>
    </row>
    <row r="347" spans="1:30" ht="29">
      <c r="A347" s="3" t="s">
        <v>2658</v>
      </c>
      <c r="B347" s="3" t="s">
        <v>7804</v>
      </c>
      <c r="C347" s="3" t="s">
        <v>7805</v>
      </c>
      <c r="G347" s="9" t="s">
        <v>25</v>
      </c>
      <c r="H347" s="9"/>
      <c r="I347" s="9">
        <v>1</v>
      </c>
      <c r="J347" s="9">
        <v>3</v>
      </c>
      <c r="K347" s="9" t="s">
        <v>12078</v>
      </c>
      <c r="L347" s="9" t="s">
        <v>12079</v>
      </c>
      <c r="M347" s="9"/>
      <c r="N347" s="10"/>
      <c r="O347" s="9"/>
      <c r="P347" s="9">
        <v>11843</v>
      </c>
      <c r="Q347" s="9">
        <v>1423.0954097572699</v>
      </c>
      <c r="R347" s="9"/>
      <c r="S347" s="9" t="s">
        <v>12795</v>
      </c>
      <c r="T347" s="9" t="s">
        <v>12795</v>
      </c>
      <c r="U347" s="9"/>
      <c r="V347" s="9"/>
      <c r="W347" s="9"/>
      <c r="X347" s="9"/>
      <c r="Y347" s="9"/>
      <c r="Z347" s="9"/>
      <c r="AA347" s="9"/>
      <c r="AB347" s="9"/>
      <c r="AC347" s="9"/>
      <c r="AD347" s="9"/>
    </row>
    <row r="348" spans="1:30" ht="58">
      <c r="A348" s="3" t="s">
        <v>2662</v>
      </c>
      <c r="B348" s="3" t="s">
        <v>7807</v>
      </c>
      <c r="C348" s="3" t="s">
        <v>7806</v>
      </c>
      <c r="G348" s="9" t="s">
        <v>25</v>
      </c>
      <c r="H348" s="9"/>
      <c r="I348" s="9">
        <v>1</v>
      </c>
      <c r="J348" s="9">
        <v>4</v>
      </c>
      <c r="K348" s="9" t="s">
        <v>12087</v>
      </c>
      <c r="L348" s="9" t="s">
        <v>12079</v>
      </c>
      <c r="M348" s="9"/>
      <c r="N348" s="10"/>
      <c r="O348" s="9"/>
      <c r="P348" s="9">
        <v>25</v>
      </c>
      <c r="Q348" s="9">
        <v>3.0040855563566451</v>
      </c>
      <c r="R348" s="9"/>
      <c r="S348" s="9" t="s">
        <v>12795</v>
      </c>
      <c r="T348" s="9" t="s">
        <v>12795</v>
      </c>
      <c r="U348" s="9"/>
      <c r="V348" s="9"/>
      <c r="W348" s="9"/>
      <c r="X348" s="9"/>
      <c r="Y348" s="9"/>
      <c r="Z348" s="9"/>
      <c r="AA348" s="9"/>
      <c r="AB348" s="9"/>
      <c r="AC348" s="9"/>
      <c r="AD348" s="9"/>
    </row>
    <row r="349" spans="1:30" ht="58">
      <c r="A349" s="3" t="s">
        <v>2679</v>
      </c>
      <c r="B349" s="3" t="s">
        <v>7814</v>
      </c>
      <c r="C349" s="3" t="s">
        <v>7813</v>
      </c>
      <c r="G349" s="9" t="s">
        <v>24</v>
      </c>
      <c r="H349" s="9"/>
      <c r="I349" s="9">
        <v>1</v>
      </c>
      <c r="J349" s="9">
        <v>6</v>
      </c>
      <c r="K349" s="9" t="s">
        <v>12094</v>
      </c>
      <c r="L349" s="9" t="s">
        <v>12073</v>
      </c>
      <c r="M349" s="9" t="s">
        <v>12149</v>
      </c>
      <c r="N349" s="10" t="s">
        <v>12143</v>
      </c>
      <c r="O349" s="9"/>
      <c r="P349" s="9">
        <v>930</v>
      </c>
      <c r="Q349" s="9">
        <v>111.75198269646719</v>
      </c>
      <c r="R349" s="9"/>
      <c r="S349" s="9" t="s">
        <v>12795</v>
      </c>
      <c r="T349" s="9" t="s">
        <v>12795</v>
      </c>
      <c r="U349" s="9"/>
      <c r="V349" s="9"/>
      <c r="W349" s="9"/>
      <c r="X349" s="9"/>
      <c r="Y349" s="9"/>
      <c r="Z349" s="9"/>
      <c r="AA349" s="9"/>
      <c r="AB349" s="9"/>
      <c r="AC349" s="9"/>
      <c r="AD349" s="9"/>
    </row>
    <row r="350" spans="1:30" ht="43.5">
      <c r="A350" s="3" t="s">
        <v>2684</v>
      </c>
      <c r="B350" s="3" t="s">
        <v>7828</v>
      </c>
      <c r="C350" s="3" t="s">
        <v>7827</v>
      </c>
      <c r="G350" s="9" t="s">
        <v>25</v>
      </c>
      <c r="H350" s="9"/>
      <c r="I350" s="9">
        <v>1</v>
      </c>
      <c r="J350" s="9">
        <v>5</v>
      </c>
      <c r="K350" s="9" t="s">
        <v>12094</v>
      </c>
      <c r="L350" s="9" t="s">
        <v>12079</v>
      </c>
      <c r="M350" s="9"/>
      <c r="N350" s="10"/>
      <c r="O350" s="9"/>
      <c r="P350" s="9">
        <v>4240</v>
      </c>
      <c r="Q350" s="9">
        <v>509.49291035808699</v>
      </c>
      <c r="R350" s="9"/>
      <c r="S350" s="9" t="s">
        <v>12795</v>
      </c>
      <c r="T350" s="9" t="s">
        <v>12795</v>
      </c>
      <c r="U350" s="9"/>
      <c r="V350" s="9"/>
      <c r="W350" s="9"/>
      <c r="X350" s="9"/>
      <c r="Y350" s="9"/>
      <c r="Z350" s="9"/>
      <c r="AA350" s="9"/>
      <c r="AB350" s="9"/>
      <c r="AC350" s="9"/>
      <c r="AD350" s="9"/>
    </row>
    <row r="351" spans="1:30" ht="43.5">
      <c r="A351" s="3" t="s">
        <v>2686</v>
      </c>
      <c r="B351" s="3" t="s">
        <v>7832</v>
      </c>
      <c r="C351" s="3" t="s">
        <v>7831</v>
      </c>
      <c r="G351" s="9" t="s">
        <v>24</v>
      </c>
      <c r="H351" s="9"/>
      <c r="I351" s="9">
        <v>1</v>
      </c>
      <c r="J351" s="9">
        <v>2</v>
      </c>
      <c r="K351" s="9" t="s">
        <v>12078</v>
      </c>
      <c r="L351" s="9" t="s">
        <v>12119</v>
      </c>
      <c r="M351" s="9"/>
      <c r="N351" s="10"/>
      <c r="O351" s="9"/>
      <c r="P351" s="9">
        <v>11843</v>
      </c>
      <c r="Q351" s="9">
        <v>1423.0954097572699</v>
      </c>
      <c r="R351" s="9"/>
      <c r="S351" s="9" t="s">
        <v>12795</v>
      </c>
      <c r="T351" s="9" t="s">
        <v>12795</v>
      </c>
      <c r="U351" s="9"/>
      <c r="V351" s="9"/>
      <c r="W351" s="9"/>
      <c r="X351" s="9"/>
      <c r="Y351" s="9"/>
      <c r="Z351" s="9"/>
      <c r="AA351" s="9"/>
      <c r="AB351" s="9"/>
      <c r="AC351" s="9"/>
      <c r="AD351" s="9"/>
    </row>
    <row r="352" spans="1:30" ht="29">
      <c r="A352" s="3" t="s">
        <v>2702</v>
      </c>
      <c r="B352" s="3" t="s">
        <v>7854</v>
      </c>
      <c r="C352" s="3" t="s">
        <v>7855</v>
      </c>
      <c r="G352" s="9" t="s">
        <v>25</v>
      </c>
      <c r="H352" s="9"/>
      <c r="I352" s="9">
        <v>1</v>
      </c>
      <c r="J352" s="9">
        <v>2</v>
      </c>
      <c r="K352" s="9" t="s">
        <v>12078</v>
      </c>
      <c r="L352" s="9" t="s">
        <v>12119</v>
      </c>
      <c r="M352" s="9"/>
      <c r="N352" s="10"/>
      <c r="O352" s="9"/>
      <c r="P352" s="9">
        <v>11843</v>
      </c>
      <c r="Q352" s="9">
        <v>1423.0954097572699</v>
      </c>
      <c r="R352" s="9"/>
      <c r="S352" s="9" t="s">
        <v>12795</v>
      </c>
      <c r="T352" s="9" t="s">
        <v>12795</v>
      </c>
      <c r="U352" s="9" t="s">
        <v>12117</v>
      </c>
      <c r="V352" s="9"/>
      <c r="W352" s="9"/>
      <c r="X352" s="9"/>
      <c r="Y352" s="9"/>
      <c r="Z352" s="9"/>
      <c r="AA352" s="9"/>
      <c r="AB352" s="9"/>
      <c r="AC352" s="9"/>
      <c r="AD352" s="9"/>
    </row>
    <row r="353" spans="1:30" ht="43.5">
      <c r="A353" s="3" t="s">
        <v>2727</v>
      </c>
      <c r="B353" s="3" t="s">
        <v>7882</v>
      </c>
      <c r="C353" s="3" t="s">
        <v>7881</v>
      </c>
      <c r="G353" s="9" t="s">
        <v>24</v>
      </c>
      <c r="H353" s="9"/>
      <c r="I353" s="9">
        <v>1</v>
      </c>
      <c r="J353" s="9">
        <v>4</v>
      </c>
      <c r="K353" s="9" t="s">
        <v>12094</v>
      </c>
      <c r="L353" s="9" t="s">
        <v>12079</v>
      </c>
      <c r="M353" s="9"/>
      <c r="N353" s="10"/>
      <c r="O353" s="9"/>
      <c r="P353" s="9">
        <v>4240</v>
      </c>
      <c r="Q353" s="9">
        <v>509.49291035808699</v>
      </c>
      <c r="R353" s="9"/>
      <c r="S353" s="9" t="s">
        <v>12795</v>
      </c>
      <c r="T353" s="9" t="s">
        <v>12795</v>
      </c>
      <c r="U353" s="9"/>
      <c r="V353" s="9"/>
      <c r="W353" s="9"/>
      <c r="X353" s="9"/>
      <c r="Y353" s="9"/>
      <c r="Z353" s="9"/>
      <c r="AA353" s="9"/>
      <c r="AB353" s="9"/>
      <c r="AC353" s="9"/>
      <c r="AD353" s="9"/>
    </row>
    <row r="354" spans="1:30" ht="29">
      <c r="A354" s="3" t="s">
        <v>2728</v>
      </c>
      <c r="B354" s="3" t="s">
        <v>7884</v>
      </c>
      <c r="C354" s="3" t="s">
        <v>7883</v>
      </c>
      <c r="G354" s="9" t="s">
        <v>24</v>
      </c>
      <c r="H354" s="9"/>
      <c r="I354" s="9">
        <v>1</v>
      </c>
      <c r="J354" s="9">
        <v>3</v>
      </c>
      <c r="K354" s="9" t="s">
        <v>12087</v>
      </c>
      <c r="L354" s="9" t="s">
        <v>12079</v>
      </c>
      <c r="M354" s="9"/>
      <c r="N354" s="10"/>
      <c r="O354" s="9"/>
      <c r="P354" s="9">
        <v>5676</v>
      </c>
      <c r="Q354" s="9">
        <v>682.04758471521268</v>
      </c>
      <c r="R354" s="9"/>
      <c r="S354" s="9" t="s">
        <v>12795</v>
      </c>
      <c r="T354" s="9" t="s">
        <v>12795</v>
      </c>
      <c r="U354" s="9"/>
      <c r="V354" s="9"/>
      <c r="W354" s="9"/>
      <c r="X354" s="9"/>
      <c r="Y354" s="9"/>
      <c r="Z354" s="9"/>
      <c r="AA354" s="9"/>
      <c r="AB354" s="9"/>
      <c r="AC354" s="9"/>
      <c r="AD354" s="9"/>
    </row>
    <row r="355" spans="1:30" ht="43.5">
      <c r="A355" s="3" t="s">
        <v>2731</v>
      </c>
      <c r="B355" s="3" t="s">
        <v>7894</v>
      </c>
      <c r="C355" s="3" t="s">
        <v>7893</v>
      </c>
      <c r="G355" s="9" t="s">
        <v>25</v>
      </c>
      <c r="H355" s="9"/>
      <c r="I355" s="9">
        <v>1</v>
      </c>
      <c r="J355" s="9">
        <v>5</v>
      </c>
      <c r="K355" s="9" t="s">
        <v>12094</v>
      </c>
      <c r="L355" s="9" t="s">
        <v>12079</v>
      </c>
      <c r="M355" s="9"/>
      <c r="N355" s="10"/>
      <c r="O355" s="9"/>
      <c r="P355" s="9">
        <v>4240</v>
      </c>
      <c r="Q355" s="9">
        <v>509.49291035808699</v>
      </c>
      <c r="R355" s="9"/>
      <c r="S355" s="9" t="s">
        <v>12795</v>
      </c>
      <c r="T355" s="9" t="s">
        <v>12795</v>
      </c>
      <c r="U355" s="9"/>
      <c r="V355" s="9"/>
      <c r="W355" s="9"/>
      <c r="X355" s="9"/>
      <c r="Y355" s="9"/>
      <c r="Z355" s="9"/>
      <c r="AA355" s="9"/>
      <c r="AB355" s="9"/>
      <c r="AC355" s="9"/>
      <c r="AD355" s="9"/>
    </row>
    <row r="356" spans="1:30" ht="29">
      <c r="A356" s="3" t="s">
        <v>2733</v>
      </c>
      <c r="B356" s="3" t="s">
        <v>7900</v>
      </c>
      <c r="C356" s="3" t="s">
        <v>7899</v>
      </c>
      <c r="G356" s="9" t="s">
        <v>24</v>
      </c>
      <c r="H356" s="9"/>
      <c r="I356" s="9">
        <v>1</v>
      </c>
      <c r="J356" s="9">
        <v>3</v>
      </c>
      <c r="K356" s="9" t="s">
        <v>12087</v>
      </c>
      <c r="L356" s="9" t="s">
        <v>12079</v>
      </c>
      <c r="M356" s="9"/>
      <c r="N356" s="10"/>
      <c r="O356" s="9"/>
      <c r="P356" s="9">
        <v>810</v>
      </c>
      <c r="Q356" s="9">
        <v>97.332372025955294</v>
      </c>
      <c r="R356" s="9"/>
      <c r="S356" s="9" t="s">
        <v>12795</v>
      </c>
      <c r="T356" s="9" t="s">
        <v>12795</v>
      </c>
      <c r="U356" s="9"/>
      <c r="V356" s="9"/>
      <c r="W356" s="9"/>
      <c r="X356" s="9"/>
      <c r="Y356" s="9"/>
      <c r="Z356" s="9"/>
      <c r="AA356" s="9"/>
      <c r="AB356" s="9"/>
      <c r="AC356" s="9"/>
      <c r="AD356" s="9"/>
    </row>
    <row r="357" spans="1:30" ht="43.5">
      <c r="A357" s="3" t="s">
        <v>2738</v>
      </c>
      <c r="B357" s="3" t="s">
        <v>7907</v>
      </c>
      <c r="C357" s="3" t="s">
        <v>7908</v>
      </c>
      <c r="G357" s="9" t="s">
        <v>25</v>
      </c>
      <c r="H357" s="9"/>
      <c r="I357" s="9">
        <v>1</v>
      </c>
      <c r="J357" s="9">
        <v>2</v>
      </c>
      <c r="K357" s="9" t="s">
        <v>12087</v>
      </c>
      <c r="L357" s="9" t="s">
        <v>12079</v>
      </c>
      <c r="M357" s="9"/>
      <c r="N357" s="10"/>
      <c r="O357" s="9"/>
      <c r="P357" s="9">
        <v>166</v>
      </c>
      <c r="Q357" s="9">
        <v>19.947128094208121</v>
      </c>
      <c r="R357" s="9"/>
      <c r="S357" s="9" t="s">
        <v>12795</v>
      </c>
      <c r="T357" s="9" t="s">
        <v>12795</v>
      </c>
      <c r="U357" s="9"/>
      <c r="V357" s="9"/>
      <c r="W357" s="9"/>
      <c r="X357" s="9"/>
      <c r="Y357" s="9"/>
      <c r="Z357" s="9"/>
      <c r="AA357" s="9"/>
      <c r="AB357" s="9"/>
      <c r="AC357" s="9"/>
      <c r="AD357" s="9"/>
    </row>
    <row r="358" spans="1:30" ht="29">
      <c r="A358" s="3" t="s">
        <v>2750</v>
      </c>
      <c r="B358" s="3" t="s">
        <v>7926</v>
      </c>
      <c r="C358" s="3" t="s">
        <v>7925</v>
      </c>
      <c r="G358" s="9" t="s">
        <v>24</v>
      </c>
      <c r="H358" s="9"/>
      <c r="I358" s="9">
        <v>1</v>
      </c>
      <c r="J358" s="9">
        <v>3</v>
      </c>
      <c r="K358" s="9" t="s">
        <v>12078</v>
      </c>
      <c r="L358" s="9" t="s">
        <v>12079</v>
      </c>
      <c r="M358" s="9"/>
      <c r="N358" s="10"/>
      <c r="O358" s="9"/>
      <c r="P358" s="9">
        <v>11843</v>
      </c>
      <c r="Q358" s="9">
        <v>1423.0954097572699</v>
      </c>
      <c r="R358" s="9"/>
      <c r="S358" s="9" t="s">
        <v>12795</v>
      </c>
      <c r="T358" s="9" t="s">
        <v>12795</v>
      </c>
      <c r="U358" s="9"/>
      <c r="V358" s="9"/>
      <c r="W358" s="9"/>
      <c r="X358" s="9"/>
      <c r="Y358" s="9"/>
      <c r="Z358" s="9"/>
      <c r="AA358" s="9"/>
      <c r="AB358" s="9"/>
      <c r="AC358" s="9"/>
      <c r="AD358" s="9"/>
    </row>
    <row r="359" spans="1:30" ht="43.5">
      <c r="A359" s="3" t="s">
        <v>2763</v>
      </c>
      <c r="B359" s="3" t="s">
        <v>7941</v>
      </c>
      <c r="C359" s="3" t="s">
        <v>7940</v>
      </c>
      <c r="G359" s="9" t="s">
        <v>24</v>
      </c>
      <c r="H359" s="9"/>
      <c r="I359" s="9">
        <v>1</v>
      </c>
      <c r="J359" s="9">
        <v>3</v>
      </c>
      <c r="K359" s="9" t="s">
        <v>12087</v>
      </c>
      <c r="L359" s="9" t="s">
        <v>12079</v>
      </c>
      <c r="M359" s="9"/>
      <c r="N359" s="10"/>
      <c r="O359" s="9"/>
      <c r="P359" s="9">
        <v>5676</v>
      </c>
      <c r="Q359" s="9">
        <v>682.04758471521268</v>
      </c>
      <c r="R359" s="9"/>
      <c r="S359" s="9" t="s">
        <v>12795</v>
      </c>
      <c r="T359" s="9" t="s">
        <v>12795</v>
      </c>
      <c r="U359" s="9" t="s">
        <v>12117</v>
      </c>
      <c r="V359" s="9"/>
      <c r="W359" s="9"/>
      <c r="X359" s="9"/>
      <c r="Y359" s="9"/>
      <c r="Z359" s="9"/>
      <c r="AA359" s="9"/>
      <c r="AB359" s="9"/>
      <c r="AC359" s="9"/>
      <c r="AD359" s="9"/>
    </row>
    <row r="360" spans="1:30" ht="101.5">
      <c r="A360" s="3" t="s">
        <v>2789</v>
      </c>
      <c r="B360" s="3" t="s">
        <v>7970</v>
      </c>
      <c r="C360" s="3" t="s">
        <v>7969</v>
      </c>
      <c r="G360" s="9" t="s">
        <v>24</v>
      </c>
      <c r="H360" s="9"/>
      <c r="I360" s="9">
        <v>1</v>
      </c>
      <c r="J360" s="9">
        <v>2</v>
      </c>
      <c r="K360" s="9" t="s">
        <v>12087</v>
      </c>
      <c r="L360" s="9" t="s">
        <v>12119</v>
      </c>
      <c r="M360" s="9"/>
      <c r="N360" s="10"/>
      <c r="O360" s="9"/>
      <c r="P360" s="9">
        <v>1966</v>
      </c>
      <c r="Q360" s="9">
        <v>236.24128815188658</v>
      </c>
      <c r="R360" s="9"/>
      <c r="S360" s="9" t="s">
        <v>12795</v>
      </c>
      <c r="T360" s="9" t="s">
        <v>12795</v>
      </c>
      <c r="U360" s="9"/>
      <c r="V360" s="9"/>
      <c r="W360" s="9"/>
      <c r="X360" s="9"/>
      <c r="Y360" s="9"/>
      <c r="Z360" s="9"/>
      <c r="AA360" s="9"/>
      <c r="AB360" s="9"/>
      <c r="AC360" s="9"/>
      <c r="AD360" s="9"/>
    </row>
    <row r="361" spans="1:30" ht="29">
      <c r="A361" s="3" t="s">
        <v>2798</v>
      </c>
      <c r="B361" s="3" t="s">
        <v>7997</v>
      </c>
      <c r="C361" s="3" t="s">
        <v>7996</v>
      </c>
      <c r="G361" s="9" t="s">
        <v>24</v>
      </c>
      <c r="H361" s="9"/>
      <c r="I361" s="9">
        <v>1</v>
      </c>
      <c r="J361" s="9">
        <v>2</v>
      </c>
      <c r="K361" s="9" t="s">
        <v>12087</v>
      </c>
      <c r="L361" s="9" t="s">
        <v>12119</v>
      </c>
      <c r="M361" s="9"/>
      <c r="N361" s="10"/>
      <c r="O361" s="9"/>
      <c r="P361" s="9">
        <v>1966</v>
      </c>
      <c r="Q361" s="9">
        <v>236.24128815188658</v>
      </c>
      <c r="R361" s="9"/>
      <c r="S361" s="9" t="s">
        <v>12795</v>
      </c>
      <c r="T361" s="9" t="s">
        <v>12795</v>
      </c>
      <c r="U361" s="9"/>
      <c r="V361" s="9"/>
      <c r="W361" s="9"/>
      <c r="X361" s="9"/>
      <c r="Y361" s="9"/>
      <c r="Z361" s="9"/>
      <c r="AA361" s="9"/>
      <c r="AB361" s="9"/>
      <c r="AC361" s="9"/>
      <c r="AD361" s="9"/>
    </row>
    <row r="362" spans="1:30" ht="58">
      <c r="A362" s="3" t="s">
        <v>2800</v>
      </c>
      <c r="B362" s="3" t="s">
        <v>8002</v>
      </c>
      <c r="C362" s="3" t="s">
        <v>8001</v>
      </c>
      <c r="G362" s="9" t="s">
        <v>25</v>
      </c>
      <c r="H362" s="9"/>
      <c r="I362" s="9">
        <v>1</v>
      </c>
      <c r="J362" s="9">
        <v>2</v>
      </c>
      <c r="K362" s="9" t="s">
        <v>12078</v>
      </c>
      <c r="L362" s="9" t="s">
        <v>12119</v>
      </c>
      <c r="M362" s="9"/>
      <c r="N362" s="10"/>
      <c r="O362" s="9"/>
      <c r="P362" s="9">
        <v>11843</v>
      </c>
      <c r="Q362" s="9">
        <v>1423.0954097572699</v>
      </c>
      <c r="R362" s="9"/>
      <c r="S362" s="9" t="s">
        <v>12795</v>
      </c>
      <c r="T362" s="9" t="s">
        <v>12795</v>
      </c>
      <c r="U362" s="9"/>
      <c r="V362" s="9"/>
      <c r="W362" s="9"/>
      <c r="X362" s="9"/>
      <c r="Y362" s="9"/>
      <c r="Z362" s="9"/>
      <c r="AA362" s="9"/>
      <c r="AB362" s="9"/>
      <c r="AC362" s="9"/>
      <c r="AD362" s="9"/>
    </row>
    <row r="363" spans="1:30" ht="43.5">
      <c r="A363" s="3" t="s">
        <v>2801</v>
      </c>
      <c r="B363" s="3" t="s">
        <v>8009</v>
      </c>
      <c r="C363" s="3" t="s">
        <v>8008</v>
      </c>
      <c r="G363" s="9" t="s">
        <v>25</v>
      </c>
      <c r="H363" s="9"/>
      <c r="I363" s="9">
        <v>1</v>
      </c>
      <c r="J363" s="9">
        <v>6</v>
      </c>
      <c r="K363" s="9" t="s">
        <v>12094</v>
      </c>
      <c r="L363" s="9" t="s">
        <v>12079</v>
      </c>
      <c r="M363" s="9"/>
      <c r="N363" s="10"/>
      <c r="O363" s="9"/>
      <c r="P363" s="9">
        <v>4240</v>
      </c>
      <c r="Q363" s="9">
        <v>509.49291035808699</v>
      </c>
      <c r="R363" s="9"/>
      <c r="S363" s="9" t="s">
        <v>12795</v>
      </c>
      <c r="T363" s="9" t="s">
        <v>12795</v>
      </c>
      <c r="U363" s="9"/>
      <c r="V363" s="9"/>
      <c r="W363" s="9"/>
      <c r="X363" s="9"/>
      <c r="Y363" s="9"/>
      <c r="Z363" s="9"/>
      <c r="AA363" s="9"/>
      <c r="AB363" s="9"/>
      <c r="AC363" s="9"/>
      <c r="AD363" s="9"/>
    </row>
    <row r="364" spans="1:30" ht="43.5">
      <c r="A364" s="3" t="s">
        <v>2808</v>
      </c>
      <c r="B364" s="3" t="s">
        <v>8027</v>
      </c>
      <c r="C364" s="3" t="s">
        <v>8028</v>
      </c>
      <c r="G364" s="9" t="s">
        <v>25</v>
      </c>
      <c r="H364" s="9"/>
      <c r="I364" s="9">
        <v>1</v>
      </c>
      <c r="J364" s="9">
        <v>2</v>
      </c>
      <c r="K364" s="9" t="s">
        <v>12087</v>
      </c>
      <c r="L364" s="9" t="s">
        <v>12119</v>
      </c>
      <c r="M364" s="9"/>
      <c r="N364" s="10"/>
      <c r="O364" s="9"/>
      <c r="P364" s="9">
        <v>1966</v>
      </c>
      <c r="Q364" s="9">
        <v>236.24128815188658</v>
      </c>
      <c r="R364" s="9"/>
      <c r="S364" s="9" t="s">
        <v>12795</v>
      </c>
      <c r="T364" s="9" t="s">
        <v>12795</v>
      </c>
      <c r="U364" s="9"/>
      <c r="V364" s="9"/>
      <c r="W364" s="9"/>
      <c r="X364" s="9"/>
      <c r="Y364" s="9"/>
      <c r="Z364" s="9"/>
      <c r="AA364" s="9"/>
      <c r="AB364" s="9"/>
      <c r="AC364" s="9"/>
      <c r="AD364" s="9"/>
    </row>
    <row r="365" spans="1:30" ht="29">
      <c r="A365" s="3" t="s">
        <v>2811</v>
      </c>
      <c r="B365" s="3" t="s">
        <v>8036</v>
      </c>
      <c r="C365" s="3" t="s">
        <v>8035</v>
      </c>
      <c r="G365" s="9" t="s">
        <v>24</v>
      </c>
      <c r="H365" s="9"/>
      <c r="I365" s="9">
        <v>1</v>
      </c>
      <c r="J365" s="9">
        <v>1</v>
      </c>
      <c r="K365" s="9" t="s">
        <v>12087</v>
      </c>
      <c r="L365" s="9" t="s">
        <v>12119</v>
      </c>
      <c r="M365" s="9"/>
      <c r="N365" s="10"/>
      <c r="O365" s="9"/>
      <c r="P365" s="9">
        <v>193</v>
      </c>
      <c r="Q365" s="9">
        <v>23.191540495073301</v>
      </c>
      <c r="R365" s="9"/>
      <c r="S365" s="9" t="s">
        <v>12795</v>
      </c>
      <c r="T365" s="9" t="s">
        <v>12795</v>
      </c>
      <c r="U365" s="9"/>
      <c r="V365" s="9"/>
      <c r="W365" s="9"/>
      <c r="X365" s="9"/>
      <c r="Y365" s="9"/>
      <c r="Z365" s="9"/>
      <c r="AA365" s="9"/>
      <c r="AB365" s="9"/>
      <c r="AC365" s="9"/>
      <c r="AD365" s="9"/>
    </row>
    <row r="366" spans="1:30" ht="29">
      <c r="A366" s="3" t="s">
        <v>2812</v>
      </c>
      <c r="B366" s="3" t="s">
        <v>8040</v>
      </c>
      <c r="C366" s="3" t="s">
        <v>8039</v>
      </c>
      <c r="G366" s="9" t="s">
        <v>25</v>
      </c>
      <c r="H366" s="9"/>
      <c r="I366" s="9">
        <v>1</v>
      </c>
      <c r="J366" s="9">
        <v>3</v>
      </c>
      <c r="K366" s="9" t="s">
        <v>12078</v>
      </c>
      <c r="L366" s="9" t="s">
        <v>12079</v>
      </c>
      <c r="M366" s="9"/>
      <c r="N366" s="10"/>
      <c r="O366" s="9"/>
      <c r="P366" s="9">
        <v>11843</v>
      </c>
      <c r="Q366" s="9">
        <v>1423.0954097572699</v>
      </c>
      <c r="R366" s="9"/>
      <c r="S366" s="9" t="s">
        <v>12795</v>
      </c>
      <c r="T366" s="9" t="s">
        <v>12795</v>
      </c>
      <c r="U366" s="9"/>
      <c r="V366" s="9"/>
      <c r="W366" s="9"/>
      <c r="X366" s="9"/>
      <c r="Y366" s="9"/>
      <c r="Z366" s="9"/>
      <c r="AA366" s="9"/>
      <c r="AB366" s="9"/>
      <c r="AC366" s="9"/>
      <c r="AD366" s="9"/>
    </row>
    <row r="367" spans="1:30" ht="29">
      <c r="A367" s="3" t="s">
        <v>2824</v>
      </c>
      <c r="B367" s="3" t="s">
        <v>8058</v>
      </c>
      <c r="C367" s="3" t="s">
        <v>8057</v>
      </c>
      <c r="G367" s="9" t="s">
        <v>25</v>
      </c>
      <c r="H367" s="9"/>
      <c r="I367" s="9">
        <v>1</v>
      </c>
      <c r="J367" s="9">
        <v>2</v>
      </c>
      <c r="K367" s="9" t="s">
        <v>12123</v>
      </c>
      <c r="L367" s="9" t="s">
        <v>12119</v>
      </c>
      <c r="M367" s="9"/>
      <c r="N367" s="10"/>
      <c r="O367" s="9"/>
      <c r="P367" s="9">
        <v>887</v>
      </c>
      <c r="Q367" s="9">
        <v>106.58495553953377</v>
      </c>
      <c r="R367" s="9"/>
      <c r="S367" s="9" t="s">
        <v>12795</v>
      </c>
      <c r="T367" s="9" t="s">
        <v>12795</v>
      </c>
      <c r="U367" s="9"/>
      <c r="V367" s="9"/>
      <c r="W367" s="9"/>
      <c r="X367" s="9"/>
      <c r="Y367" s="9"/>
      <c r="Z367" s="9"/>
      <c r="AA367" s="9"/>
      <c r="AB367" s="9"/>
      <c r="AC367" s="9"/>
      <c r="AD367" s="9"/>
    </row>
    <row r="368" spans="1:30" ht="58">
      <c r="A368" s="3" t="s">
        <v>2825</v>
      </c>
      <c r="B368" s="3" t="s">
        <v>8062</v>
      </c>
      <c r="C368" s="3" t="s">
        <v>8061</v>
      </c>
      <c r="G368" s="9" t="s">
        <v>24</v>
      </c>
      <c r="H368" s="9"/>
      <c r="I368" s="9">
        <v>1</v>
      </c>
      <c r="J368" s="9">
        <v>4</v>
      </c>
      <c r="K368" s="9" t="s">
        <v>12078</v>
      </c>
      <c r="L368" s="9" t="s">
        <v>12073</v>
      </c>
      <c r="M368" s="9" t="s">
        <v>12149</v>
      </c>
      <c r="N368" s="10" t="s">
        <v>12143</v>
      </c>
      <c r="O368" s="9"/>
      <c r="P368" s="9">
        <v>11843</v>
      </c>
      <c r="Q368" s="9">
        <v>1423.0954097572699</v>
      </c>
      <c r="R368" s="9"/>
      <c r="S368" s="9" t="s">
        <v>12795</v>
      </c>
      <c r="T368" s="9" t="s">
        <v>12795</v>
      </c>
      <c r="U368" s="9"/>
      <c r="V368" s="9"/>
      <c r="W368" s="9"/>
      <c r="X368" s="9"/>
      <c r="Y368" s="9"/>
      <c r="Z368" s="9"/>
      <c r="AA368" s="9"/>
      <c r="AB368" s="9"/>
      <c r="AC368" s="9"/>
      <c r="AD368" s="9"/>
    </row>
    <row r="369" spans="1:30" ht="29">
      <c r="A369" s="3" t="s">
        <v>2829</v>
      </c>
      <c r="B369" s="3" t="s">
        <v>8063</v>
      </c>
      <c r="C369" s="3" t="s">
        <v>8064</v>
      </c>
      <c r="G369" s="9" t="s">
        <v>25</v>
      </c>
      <c r="H369" s="9"/>
      <c r="I369" s="9">
        <v>1</v>
      </c>
      <c r="J369" s="9">
        <v>2</v>
      </c>
      <c r="K369" s="9" t="s">
        <v>12078</v>
      </c>
      <c r="L369" s="9" t="s">
        <v>12119</v>
      </c>
      <c r="M369" s="9"/>
      <c r="N369" s="10"/>
      <c r="O369" s="9"/>
      <c r="P369" s="9">
        <v>11843</v>
      </c>
      <c r="Q369" s="9">
        <v>1423.0954097572699</v>
      </c>
      <c r="R369" s="9"/>
      <c r="S369" s="9" t="s">
        <v>12795</v>
      </c>
      <c r="T369" s="9" t="s">
        <v>12795</v>
      </c>
      <c r="U369" s="9"/>
      <c r="V369" s="9"/>
      <c r="W369" s="9"/>
      <c r="X369" s="9"/>
      <c r="Y369" s="9"/>
      <c r="Z369" s="9"/>
      <c r="AA369" s="9"/>
      <c r="AB369" s="9"/>
      <c r="AC369" s="9"/>
      <c r="AD369" s="9"/>
    </row>
    <row r="370" spans="1:30" ht="43.5">
      <c r="A370" s="3" t="s">
        <v>2833</v>
      </c>
      <c r="B370" s="3" t="s">
        <v>8084</v>
      </c>
      <c r="C370" s="3" t="s">
        <v>8085</v>
      </c>
      <c r="G370" s="9" t="s">
        <v>24</v>
      </c>
      <c r="H370" s="9"/>
      <c r="I370" s="9">
        <v>1</v>
      </c>
      <c r="J370" s="9">
        <v>3</v>
      </c>
      <c r="K370" s="9" t="s">
        <v>12094</v>
      </c>
      <c r="L370" s="9" t="s">
        <v>12079</v>
      </c>
      <c r="M370" s="9"/>
      <c r="N370" s="10"/>
      <c r="O370" s="9"/>
      <c r="P370" s="9">
        <v>1741</v>
      </c>
      <c r="Q370" s="9">
        <v>209.20451814467677</v>
      </c>
      <c r="R370" s="9"/>
      <c r="S370" s="9" t="s">
        <v>12795</v>
      </c>
      <c r="T370" s="9" t="s">
        <v>12795</v>
      </c>
      <c r="U370" s="9"/>
      <c r="V370" s="9"/>
      <c r="W370" s="9"/>
      <c r="X370" s="9"/>
      <c r="Y370" s="9"/>
      <c r="Z370" s="9"/>
      <c r="AA370" s="9"/>
      <c r="AB370" s="9"/>
      <c r="AC370" s="9"/>
      <c r="AD370" s="9"/>
    </row>
    <row r="371" spans="1:30" ht="58">
      <c r="A371" s="3" t="s">
        <v>2834</v>
      </c>
      <c r="B371" s="3" t="s">
        <v>8089</v>
      </c>
      <c r="C371" s="3" t="s">
        <v>8088</v>
      </c>
      <c r="G371" s="9" t="s">
        <v>25</v>
      </c>
      <c r="H371" s="9"/>
      <c r="I371" s="9">
        <v>1</v>
      </c>
      <c r="J371" s="9">
        <v>4</v>
      </c>
      <c r="K371" s="9" t="s">
        <v>12078</v>
      </c>
      <c r="L371" s="9" t="s">
        <v>12073</v>
      </c>
      <c r="M371" s="9" t="s">
        <v>12149</v>
      </c>
      <c r="N371" s="10" t="s">
        <v>12143</v>
      </c>
      <c r="O371" s="9"/>
      <c r="P371" s="9">
        <v>11843</v>
      </c>
      <c r="Q371" s="9">
        <v>1423.0954097572699</v>
      </c>
      <c r="R371" s="9"/>
      <c r="S371" s="9" t="s">
        <v>12795</v>
      </c>
      <c r="T371" s="9" t="s">
        <v>12795</v>
      </c>
      <c r="U371" s="9"/>
      <c r="V371" s="9"/>
      <c r="W371" s="9"/>
      <c r="X371" s="9"/>
      <c r="Y371" s="9"/>
      <c r="Z371" s="9"/>
      <c r="AA371" s="9"/>
      <c r="AB371" s="9"/>
      <c r="AC371" s="9"/>
      <c r="AD371" s="9"/>
    </row>
    <row r="372" spans="1:30" ht="29">
      <c r="A372" s="3" t="s">
        <v>2837</v>
      </c>
      <c r="B372" s="3" t="s">
        <v>8096</v>
      </c>
      <c r="C372" s="3" t="s">
        <v>8095</v>
      </c>
      <c r="G372" s="9" t="s">
        <v>25</v>
      </c>
      <c r="H372" s="9"/>
      <c r="I372" s="9">
        <v>1</v>
      </c>
      <c r="J372" s="9">
        <v>2</v>
      </c>
      <c r="K372" s="9" t="s">
        <v>12123</v>
      </c>
      <c r="L372" s="9" t="s">
        <v>12119</v>
      </c>
      <c r="M372" s="9"/>
      <c r="N372" s="10"/>
      <c r="O372" s="9"/>
      <c r="P372" s="9">
        <v>526</v>
      </c>
      <c r="Q372" s="9">
        <v>63.205960105743813</v>
      </c>
      <c r="R372" s="9"/>
      <c r="S372" s="9" t="s">
        <v>12795</v>
      </c>
      <c r="T372" s="9" t="s">
        <v>12795</v>
      </c>
      <c r="U372" s="9"/>
      <c r="V372" s="9"/>
      <c r="W372" s="9"/>
      <c r="X372" s="9"/>
      <c r="Y372" s="9"/>
      <c r="Z372" s="9"/>
      <c r="AA372" s="9"/>
      <c r="AB372" s="9"/>
      <c r="AC372" s="9"/>
      <c r="AD372" s="9"/>
    </row>
    <row r="373" spans="1:30" ht="29">
      <c r="A373" s="3" t="s">
        <v>2857</v>
      </c>
      <c r="B373" s="3" t="s">
        <v>8111</v>
      </c>
      <c r="C373" s="3" t="s">
        <v>8112</v>
      </c>
      <c r="G373" s="9" t="s">
        <v>25</v>
      </c>
      <c r="H373" s="9"/>
      <c r="I373" s="9">
        <v>1</v>
      </c>
      <c r="J373" s="9">
        <v>1</v>
      </c>
      <c r="K373" s="9" t="s">
        <v>12078</v>
      </c>
      <c r="L373" s="9" t="s">
        <v>12119</v>
      </c>
      <c r="M373" s="9"/>
      <c r="N373" s="10"/>
      <c r="O373" s="9"/>
      <c r="P373" s="9">
        <v>11843</v>
      </c>
      <c r="Q373" s="9">
        <v>1423.0954097572699</v>
      </c>
      <c r="R373" s="9"/>
      <c r="S373" s="9" t="s">
        <v>12795</v>
      </c>
      <c r="T373" s="9" t="s">
        <v>12795</v>
      </c>
      <c r="U373" s="9"/>
      <c r="V373" s="9"/>
      <c r="W373" s="9"/>
      <c r="X373" s="9"/>
      <c r="Y373" s="9"/>
      <c r="Z373" s="9"/>
      <c r="AA373" s="9"/>
      <c r="AB373" s="9"/>
      <c r="AC373" s="9"/>
      <c r="AD373" s="9"/>
    </row>
    <row r="374" spans="1:30" ht="29">
      <c r="A374" s="3" t="s">
        <v>2859</v>
      </c>
      <c r="B374" s="3" t="s">
        <v>8120</v>
      </c>
      <c r="C374" s="3" t="s">
        <v>8121</v>
      </c>
      <c r="G374" s="9" t="s">
        <v>25</v>
      </c>
      <c r="H374" s="9"/>
      <c r="I374" s="9">
        <v>1</v>
      </c>
      <c r="J374" s="9">
        <v>2</v>
      </c>
      <c r="K374" s="9" t="s">
        <v>12078</v>
      </c>
      <c r="L374" s="9" t="s">
        <v>12119</v>
      </c>
      <c r="M374" s="9"/>
      <c r="N374" s="10"/>
      <c r="O374" s="9"/>
      <c r="P374" s="9">
        <v>11843</v>
      </c>
      <c r="Q374" s="9">
        <v>1423.0954097572699</v>
      </c>
      <c r="R374" s="9"/>
      <c r="S374" s="9" t="s">
        <v>12795</v>
      </c>
      <c r="T374" s="9" t="s">
        <v>12795</v>
      </c>
      <c r="U374" s="9"/>
      <c r="V374" s="9"/>
      <c r="W374" s="9"/>
      <c r="X374" s="9"/>
      <c r="Y374" s="9"/>
      <c r="Z374" s="9"/>
      <c r="AA374" s="9"/>
      <c r="AB374" s="9"/>
      <c r="AC374" s="9"/>
      <c r="AD374" s="9"/>
    </row>
    <row r="375" spans="1:30" ht="116">
      <c r="A375" s="3" t="s">
        <v>2882</v>
      </c>
      <c r="B375" s="3" t="s">
        <v>8144</v>
      </c>
      <c r="C375" s="3" t="s">
        <v>8141</v>
      </c>
      <c r="G375" s="9" t="s">
        <v>25</v>
      </c>
      <c r="H375" s="9"/>
      <c r="I375" s="9">
        <v>1</v>
      </c>
      <c r="J375" s="9">
        <v>2</v>
      </c>
      <c r="K375" s="9" t="s">
        <v>12087</v>
      </c>
      <c r="L375" s="9" t="s">
        <v>12119</v>
      </c>
      <c r="M375" s="9"/>
      <c r="N375" s="10"/>
      <c r="O375" s="9"/>
      <c r="P375" s="9">
        <v>1966</v>
      </c>
      <c r="Q375" s="9">
        <v>236.24128815188658</v>
      </c>
      <c r="R375" s="9"/>
      <c r="S375" s="9" t="s">
        <v>12795</v>
      </c>
      <c r="T375" s="9" t="s">
        <v>12795</v>
      </c>
      <c r="U375" s="9"/>
      <c r="V375" s="9"/>
      <c r="W375" s="9"/>
      <c r="X375" s="9"/>
      <c r="Y375" s="9"/>
      <c r="Z375" s="9"/>
      <c r="AA375" s="9"/>
      <c r="AB375" s="9"/>
      <c r="AC375" s="9"/>
      <c r="AD375" s="9"/>
    </row>
    <row r="376" spans="1:30" ht="43.5">
      <c r="A376" s="3" t="s">
        <v>2886</v>
      </c>
      <c r="B376" s="3" t="s">
        <v>8153</v>
      </c>
      <c r="C376" s="3" t="s">
        <v>8152</v>
      </c>
      <c r="G376" s="9" t="s">
        <v>25</v>
      </c>
      <c r="H376" s="9"/>
      <c r="I376" s="9">
        <v>1</v>
      </c>
      <c r="J376" s="9">
        <v>3</v>
      </c>
      <c r="K376" s="9" t="s">
        <v>12078</v>
      </c>
      <c r="L376" s="9" t="s">
        <v>12079</v>
      </c>
      <c r="M376" s="9"/>
      <c r="N376" s="10"/>
      <c r="O376" s="9"/>
      <c r="P376" s="9">
        <v>11843</v>
      </c>
      <c r="Q376" s="9">
        <v>1423.0954097572699</v>
      </c>
      <c r="R376" s="9"/>
      <c r="S376" s="9" t="s">
        <v>12795</v>
      </c>
      <c r="T376" s="9" t="s">
        <v>12795</v>
      </c>
      <c r="U376" s="9"/>
      <c r="V376" s="9"/>
      <c r="W376" s="9"/>
      <c r="X376" s="9"/>
      <c r="Y376" s="9"/>
      <c r="Z376" s="9"/>
      <c r="AA376" s="9"/>
      <c r="AB376" s="9"/>
      <c r="AC376" s="9"/>
      <c r="AD376" s="9"/>
    </row>
    <row r="377" spans="1:30" ht="43.5">
      <c r="A377" s="3" t="s">
        <v>2890</v>
      </c>
      <c r="B377" s="11" t="s">
        <v>8161</v>
      </c>
      <c r="C377" s="3" t="s">
        <v>8160</v>
      </c>
      <c r="G377" s="9" t="s">
        <v>24</v>
      </c>
      <c r="H377" s="9"/>
      <c r="I377" s="9">
        <v>1</v>
      </c>
      <c r="J377" s="9">
        <v>3</v>
      </c>
      <c r="K377" s="9" t="s">
        <v>12078</v>
      </c>
      <c r="L377" s="9" t="s">
        <v>12079</v>
      </c>
      <c r="M377" s="9"/>
      <c r="N377" s="10"/>
      <c r="O377" s="9"/>
      <c r="P377" s="9">
        <v>11843</v>
      </c>
      <c r="Q377" s="9">
        <v>1423.0954097572699</v>
      </c>
      <c r="R377" s="9"/>
      <c r="S377" s="9" t="s">
        <v>12795</v>
      </c>
      <c r="T377" s="9" t="s">
        <v>12795</v>
      </c>
      <c r="U377" s="9"/>
      <c r="V377" s="9"/>
      <c r="W377" s="9"/>
      <c r="X377" s="9"/>
      <c r="Y377" s="9"/>
      <c r="Z377" s="9"/>
      <c r="AA377" s="9"/>
      <c r="AB377" s="9"/>
      <c r="AC377" s="9"/>
      <c r="AD377" s="9"/>
    </row>
    <row r="378" spans="1:30" ht="58">
      <c r="A378" s="3" t="s">
        <v>2908</v>
      </c>
      <c r="B378" s="3" t="s">
        <v>8182</v>
      </c>
      <c r="C378" s="3" t="s">
        <v>8181</v>
      </c>
      <c r="F378" t="s">
        <v>19</v>
      </c>
      <c r="G378" s="9" t="s">
        <v>24</v>
      </c>
      <c r="H378" s="9"/>
      <c r="I378" s="9">
        <v>1</v>
      </c>
      <c r="J378" s="9">
        <v>2</v>
      </c>
      <c r="K378" s="9" t="s">
        <v>12078</v>
      </c>
      <c r="L378" s="9" t="s">
        <v>12119</v>
      </c>
      <c r="M378" s="9"/>
      <c r="N378" s="10"/>
      <c r="O378" s="9"/>
      <c r="P378" s="9">
        <v>11843</v>
      </c>
      <c r="Q378" s="9">
        <v>1423.0954097572699</v>
      </c>
      <c r="R378" s="9"/>
      <c r="S378" s="9" t="s">
        <v>12795</v>
      </c>
      <c r="T378" s="9" t="s">
        <v>12795</v>
      </c>
      <c r="U378" s="9"/>
      <c r="V378" s="9"/>
      <c r="W378" s="9"/>
      <c r="X378" s="9"/>
      <c r="Y378" s="9"/>
      <c r="Z378" s="9"/>
      <c r="AA378" s="9"/>
      <c r="AB378" s="9"/>
      <c r="AC378" s="9"/>
      <c r="AD378" s="9"/>
    </row>
    <row r="379" spans="1:30" ht="29">
      <c r="A379" s="3" t="s">
        <v>2909</v>
      </c>
      <c r="B379" s="3" t="s">
        <v>8186</v>
      </c>
      <c r="C379" s="3" t="s">
        <v>8185</v>
      </c>
      <c r="G379" s="9" t="s">
        <v>25</v>
      </c>
      <c r="H379" s="9"/>
      <c r="I379" s="9">
        <v>1</v>
      </c>
      <c r="J379" s="9">
        <v>2</v>
      </c>
      <c r="K379" s="9" t="s">
        <v>12078</v>
      </c>
      <c r="L379" s="9" t="s">
        <v>12119</v>
      </c>
      <c r="M379" s="9"/>
      <c r="N379" s="10"/>
      <c r="O379" s="9"/>
      <c r="P379" s="9">
        <v>11843</v>
      </c>
      <c r="Q379" s="9">
        <v>1423.0954097572699</v>
      </c>
      <c r="R379" s="9"/>
      <c r="S379" s="9" t="s">
        <v>12795</v>
      </c>
      <c r="T379" s="9" t="s">
        <v>12795</v>
      </c>
      <c r="U379" s="9"/>
      <c r="V379" s="9"/>
      <c r="W379" s="9"/>
      <c r="X379" s="9"/>
      <c r="Y379" s="9"/>
      <c r="Z379" s="9"/>
      <c r="AA379" s="9"/>
      <c r="AB379" s="9"/>
      <c r="AC379" s="9"/>
      <c r="AD379" s="9"/>
    </row>
    <row r="380" spans="1:30" ht="29">
      <c r="A380" s="3" t="s">
        <v>2911</v>
      </c>
      <c r="B380" s="3" t="s">
        <v>8189</v>
      </c>
      <c r="C380" s="3" t="s">
        <v>8190</v>
      </c>
      <c r="G380" s="9" t="s">
        <v>24</v>
      </c>
      <c r="H380" s="9"/>
      <c r="I380" s="9">
        <v>1</v>
      </c>
      <c r="J380" s="9">
        <v>1</v>
      </c>
      <c r="K380" s="9" t="s">
        <v>12078</v>
      </c>
      <c r="L380" s="9" t="s">
        <v>12119</v>
      </c>
      <c r="M380" s="9"/>
      <c r="N380" s="10"/>
      <c r="O380" s="9"/>
      <c r="P380" s="9">
        <v>11843</v>
      </c>
      <c r="Q380" s="9">
        <v>1423.0954097572699</v>
      </c>
      <c r="R380" s="9"/>
      <c r="S380" s="9" t="s">
        <v>12795</v>
      </c>
      <c r="T380" s="9" t="s">
        <v>12795</v>
      </c>
      <c r="U380" s="9"/>
      <c r="V380" s="9"/>
      <c r="W380" s="9"/>
      <c r="X380" s="9"/>
      <c r="Y380" s="9"/>
      <c r="Z380" s="9"/>
      <c r="AA380" s="9"/>
      <c r="AB380" s="9"/>
      <c r="AC380" s="9"/>
      <c r="AD380" s="9"/>
    </row>
    <row r="381" spans="1:30" ht="43.5">
      <c r="A381" s="3" t="s">
        <v>2915</v>
      </c>
      <c r="B381" s="3" t="s">
        <v>8195</v>
      </c>
      <c r="C381" s="3" t="s">
        <v>13049</v>
      </c>
      <c r="G381" s="9" t="s">
        <v>24</v>
      </c>
      <c r="H381" s="9"/>
      <c r="I381" s="9">
        <v>1</v>
      </c>
      <c r="J381" s="9">
        <v>3</v>
      </c>
      <c r="K381" s="9" t="s">
        <v>12087</v>
      </c>
      <c r="L381" s="9" t="s">
        <v>12079</v>
      </c>
      <c r="M381" s="9"/>
      <c r="N381" s="10"/>
      <c r="O381" s="9"/>
      <c r="P381" s="9">
        <v>5676</v>
      </c>
      <c r="Q381" s="9">
        <v>682.04758471521268</v>
      </c>
      <c r="R381" s="9"/>
      <c r="S381" s="9" t="s">
        <v>12795</v>
      </c>
      <c r="T381" s="9" t="s">
        <v>12795</v>
      </c>
      <c r="U381" s="9"/>
      <c r="V381" s="9"/>
      <c r="W381" s="9"/>
      <c r="X381" s="9"/>
      <c r="Y381" s="9"/>
      <c r="Z381" s="9"/>
      <c r="AA381" s="9"/>
      <c r="AB381" s="9"/>
      <c r="AC381" s="9"/>
      <c r="AD381" s="9"/>
    </row>
    <row r="382" spans="1:30" ht="72.5">
      <c r="A382" s="3" t="s">
        <v>2922</v>
      </c>
      <c r="B382" s="3" t="s">
        <v>8201</v>
      </c>
      <c r="C382" s="3" t="s">
        <v>8200</v>
      </c>
      <c r="G382" s="9" t="s">
        <v>24</v>
      </c>
      <c r="H382" s="9"/>
      <c r="I382" s="9">
        <v>1</v>
      </c>
      <c r="J382" s="9">
        <v>5</v>
      </c>
      <c r="K382" s="9" t="s">
        <v>12094</v>
      </c>
      <c r="L382" s="9" t="s">
        <v>12079</v>
      </c>
      <c r="M382" s="9"/>
      <c r="N382" s="10"/>
      <c r="O382" s="9"/>
      <c r="P382" s="9">
        <v>4240</v>
      </c>
      <c r="Q382" s="9">
        <v>509.49291035808699</v>
      </c>
      <c r="R382" s="9"/>
      <c r="S382" s="9" t="s">
        <v>12795</v>
      </c>
      <c r="T382" s="9" t="s">
        <v>12795</v>
      </c>
      <c r="U382" s="9"/>
      <c r="V382" s="9"/>
      <c r="W382" s="9"/>
      <c r="X382" s="9"/>
      <c r="Y382" s="9"/>
      <c r="Z382" s="9"/>
      <c r="AA382" s="9"/>
      <c r="AB382" s="9"/>
      <c r="AC382" s="9"/>
      <c r="AD382" s="9"/>
    </row>
    <row r="383" spans="1:30" ht="29">
      <c r="A383" s="3" t="s">
        <v>2931</v>
      </c>
      <c r="B383" s="3" t="s">
        <v>8209</v>
      </c>
      <c r="C383" s="3" t="s">
        <v>8208</v>
      </c>
      <c r="G383" s="9" t="s">
        <v>24</v>
      </c>
      <c r="H383" s="9"/>
      <c r="I383" s="9">
        <v>1</v>
      </c>
      <c r="J383" s="9">
        <v>1</v>
      </c>
      <c r="K383" s="9" t="s">
        <v>12094</v>
      </c>
      <c r="L383" s="9" t="s">
        <v>12119</v>
      </c>
      <c r="M383" s="9"/>
      <c r="N383" s="10"/>
      <c r="O383" s="9"/>
      <c r="P383" s="9">
        <v>780</v>
      </c>
      <c r="Q383" s="9">
        <v>93.727469358327326</v>
      </c>
      <c r="R383" s="9"/>
      <c r="S383" s="9" t="s">
        <v>12795</v>
      </c>
      <c r="T383" s="9" t="s">
        <v>12795</v>
      </c>
      <c r="U383" s="9"/>
      <c r="V383" s="9"/>
      <c r="W383" s="9"/>
      <c r="X383" s="9"/>
      <c r="Y383" s="9"/>
      <c r="Z383" s="9"/>
      <c r="AA383" s="9"/>
      <c r="AB383" s="9"/>
      <c r="AC383" s="9"/>
      <c r="AD383" s="9"/>
    </row>
    <row r="384" spans="1:30" ht="43.5">
      <c r="A384" s="3" t="s">
        <v>2932</v>
      </c>
      <c r="B384" s="3" t="s">
        <v>8212</v>
      </c>
      <c r="C384" s="3" t="s">
        <v>8213</v>
      </c>
      <c r="G384" s="9" t="s">
        <v>25</v>
      </c>
      <c r="H384" s="9"/>
      <c r="I384" s="9">
        <v>1</v>
      </c>
      <c r="J384" s="9">
        <v>3</v>
      </c>
      <c r="K384" s="9" t="s">
        <v>12094</v>
      </c>
      <c r="L384" s="9" t="s">
        <v>12079</v>
      </c>
      <c r="M384" s="9"/>
      <c r="N384" s="10"/>
      <c r="O384" s="9"/>
      <c r="P384" s="9">
        <v>1741</v>
      </c>
      <c r="Q384" s="9">
        <v>209.20451814467677</v>
      </c>
      <c r="R384" s="9"/>
      <c r="S384" s="9" t="s">
        <v>12795</v>
      </c>
      <c r="T384" s="9" t="s">
        <v>12795</v>
      </c>
      <c r="U384" s="9"/>
      <c r="V384" s="9"/>
      <c r="W384" s="9"/>
      <c r="X384" s="9"/>
      <c r="Y384" s="9"/>
      <c r="Z384" s="9"/>
      <c r="AA384" s="9"/>
      <c r="AB384" s="9"/>
      <c r="AC384" s="9"/>
      <c r="AD384" s="9"/>
    </row>
    <row r="385" spans="1:30" ht="29">
      <c r="A385" s="3" t="s">
        <v>2945</v>
      </c>
      <c r="B385" s="3" t="s">
        <v>8221</v>
      </c>
      <c r="C385" s="3" t="s">
        <v>8220</v>
      </c>
      <c r="G385" s="9" t="s">
        <v>25</v>
      </c>
      <c r="H385" s="9"/>
      <c r="I385" s="9">
        <v>1</v>
      </c>
      <c r="J385" s="9">
        <v>2</v>
      </c>
      <c r="K385" s="9" t="s">
        <v>12078</v>
      </c>
      <c r="L385" s="9" t="s">
        <v>12119</v>
      </c>
      <c r="M385" s="9"/>
      <c r="N385" s="10"/>
      <c r="O385" s="9"/>
      <c r="P385" s="9">
        <v>11843</v>
      </c>
      <c r="Q385" s="9">
        <v>1423.0954097572699</v>
      </c>
      <c r="R385" s="9"/>
      <c r="S385" s="9" t="s">
        <v>12795</v>
      </c>
      <c r="T385" s="9" t="s">
        <v>12795</v>
      </c>
      <c r="U385" s="9"/>
      <c r="V385" s="9"/>
      <c r="W385" s="9"/>
      <c r="X385" s="9"/>
      <c r="Y385" s="9"/>
      <c r="Z385" s="9"/>
      <c r="AA385" s="9"/>
      <c r="AB385" s="9"/>
      <c r="AC385" s="9"/>
      <c r="AD385" s="9"/>
    </row>
    <row r="386" spans="1:30" ht="58">
      <c r="A386" s="3" t="s">
        <v>2947</v>
      </c>
      <c r="B386" s="3" t="s">
        <v>8223</v>
      </c>
      <c r="C386" s="3" t="s">
        <v>8224</v>
      </c>
      <c r="G386" s="9" t="s">
        <v>24</v>
      </c>
      <c r="H386" s="9"/>
      <c r="I386" s="9">
        <v>1</v>
      </c>
      <c r="J386" s="9">
        <v>3</v>
      </c>
      <c r="K386" s="9" t="s">
        <v>12078</v>
      </c>
      <c r="L386" s="9" t="s">
        <v>12073</v>
      </c>
      <c r="M386" s="9" t="s">
        <v>12142</v>
      </c>
      <c r="N386" s="10" t="s">
        <v>12143</v>
      </c>
      <c r="O386" s="9" t="s">
        <v>12074</v>
      </c>
      <c r="P386" s="9">
        <v>11843</v>
      </c>
      <c r="Q386" s="9">
        <v>1423.0954097572699</v>
      </c>
      <c r="R386" s="9"/>
      <c r="S386" s="9" t="s">
        <v>12795</v>
      </c>
      <c r="T386" s="9" t="s">
        <v>12795</v>
      </c>
      <c r="U386" s="9"/>
      <c r="V386" s="9"/>
      <c r="W386" s="9"/>
      <c r="X386" s="9"/>
      <c r="Y386" s="9"/>
      <c r="Z386" s="9"/>
      <c r="AA386" s="9"/>
      <c r="AB386" s="9"/>
      <c r="AC386" s="9"/>
      <c r="AD386" s="9"/>
    </row>
    <row r="387" spans="1:30" ht="43.5">
      <c r="A387" s="3" t="s">
        <v>2947</v>
      </c>
      <c r="B387" s="3" t="s">
        <v>12426</v>
      </c>
      <c r="C387" s="3" t="s">
        <v>12427</v>
      </c>
      <c r="G387" s="9" t="s">
        <v>25</v>
      </c>
      <c r="H387" s="9"/>
      <c r="I387" s="9">
        <v>1</v>
      </c>
      <c r="J387" s="9">
        <v>1</v>
      </c>
      <c r="K387" s="9" t="s">
        <v>12078</v>
      </c>
      <c r="L387" s="9" t="s">
        <v>12119</v>
      </c>
      <c r="M387" s="9"/>
      <c r="N387" s="10"/>
      <c r="O387" s="9"/>
      <c r="P387" s="9">
        <v>11843</v>
      </c>
      <c r="Q387" s="9">
        <v>1423.0954097572699</v>
      </c>
      <c r="R387" s="9"/>
      <c r="S387" s="9" t="s">
        <v>12795</v>
      </c>
      <c r="T387" s="9" t="s">
        <v>12795</v>
      </c>
      <c r="U387" s="9"/>
      <c r="V387" s="9"/>
      <c r="W387" s="9"/>
      <c r="X387" s="9"/>
      <c r="Y387" s="9"/>
      <c r="Z387" s="9"/>
      <c r="AA387" s="9"/>
      <c r="AB387" s="9"/>
      <c r="AC387" s="9"/>
      <c r="AD387" s="9"/>
    </row>
    <row r="388" spans="1:30" ht="43.5">
      <c r="A388" s="3" t="s">
        <v>2951</v>
      </c>
      <c r="B388" s="3" t="s">
        <v>8228</v>
      </c>
      <c r="C388" s="3" t="s">
        <v>8227</v>
      </c>
      <c r="G388" s="9" t="s">
        <v>24</v>
      </c>
      <c r="H388" s="9"/>
      <c r="I388" s="9">
        <v>1</v>
      </c>
      <c r="J388" s="9">
        <v>4</v>
      </c>
      <c r="K388" s="9" t="s">
        <v>12094</v>
      </c>
      <c r="L388" s="9" t="s">
        <v>12079</v>
      </c>
      <c r="M388" s="9"/>
      <c r="N388" s="10"/>
      <c r="O388" s="9"/>
      <c r="P388" s="9">
        <v>1741</v>
      </c>
      <c r="Q388" s="9">
        <v>209.20451814467677</v>
      </c>
      <c r="R388" s="9"/>
      <c r="S388" s="9" t="s">
        <v>12795</v>
      </c>
      <c r="T388" s="9" t="s">
        <v>12795</v>
      </c>
      <c r="U388" s="9"/>
      <c r="V388" s="9"/>
      <c r="W388" s="9"/>
      <c r="X388" s="9"/>
      <c r="Y388" s="9"/>
      <c r="Z388" s="9"/>
      <c r="AA388" s="9"/>
      <c r="AB388" s="9"/>
      <c r="AC388" s="9"/>
      <c r="AD388" s="9"/>
    </row>
    <row r="389" spans="1:30" ht="43.5">
      <c r="A389" s="3" t="s">
        <v>2956</v>
      </c>
      <c r="B389" s="3" t="s">
        <v>8238</v>
      </c>
      <c r="C389" s="3" t="s">
        <v>8237</v>
      </c>
      <c r="G389" s="9" t="s">
        <v>25</v>
      </c>
      <c r="H389" s="9"/>
      <c r="I389" s="9">
        <v>1</v>
      </c>
      <c r="J389" s="9">
        <v>3</v>
      </c>
      <c r="K389" s="9" t="s">
        <v>12087</v>
      </c>
      <c r="L389" s="9" t="s">
        <v>12079</v>
      </c>
      <c r="M389" s="9"/>
      <c r="N389" s="10"/>
      <c r="O389" s="9"/>
      <c r="P389" s="9">
        <v>431</v>
      </c>
      <c r="Q389" s="9">
        <v>51.790434991588562</v>
      </c>
      <c r="R389" s="9"/>
      <c r="S389" s="9" t="s">
        <v>12795</v>
      </c>
      <c r="T389" s="9" t="s">
        <v>12795</v>
      </c>
      <c r="U389" s="9"/>
      <c r="V389" s="9"/>
      <c r="W389" s="9"/>
      <c r="X389" s="9"/>
      <c r="Y389" s="9"/>
      <c r="Z389" s="9"/>
      <c r="AA389" s="9"/>
      <c r="AB389" s="9"/>
      <c r="AC389" s="9"/>
      <c r="AD389" s="9"/>
    </row>
    <row r="390" spans="1:30" ht="43.5">
      <c r="A390" s="3" t="s">
        <v>2957</v>
      </c>
      <c r="B390" s="3" t="s">
        <v>8240</v>
      </c>
      <c r="C390" s="3" t="s">
        <v>8239</v>
      </c>
      <c r="G390" s="9" t="s">
        <v>25</v>
      </c>
      <c r="H390" s="9"/>
      <c r="I390" s="9">
        <v>1</v>
      </c>
      <c r="J390" s="9">
        <v>2</v>
      </c>
      <c r="K390" s="9" t="s">
        <v>12078</v>
      </c>
      <c r="L390" s="9" t="s">
        <v>12119</v>
      </c>
      <c r="M390" s="9"/>
      <c r="N390" s="10"/>
      <c r="O390" s="9" t="s">
        <v>12074</v>
      </c>
      <c r="P390" s="9">
        <v>11843</v>
      </c>
      <c r="Q390" s="9">
        <v>1423.0954097572699</v>
      </c>
      <c r="R390" s="9"/>
      <c r="S390" s="9" t="s">
        <v>12795</v>
      </c>
      <c r="T390" s="9" t="s">
        <v>12795</v>
      </c>
      <c r="U390" s="9"/>
      <c r="V390" s="9"/>
      <c r="W390" s="9"/>
      <c r="X390" s="9"/>
      <c r="Y390" s="9"/>
      <c r="Z390" s="9"/>
      <c r="AA390" s="9"/>
      <c r="AB390" s="9"/>
      <c r="AC390" s="9"/>
      <c r="AD390" s="9"/>
    </row>
    <row r="391" spans="1:30" ht="43.5">
      <c r="A391" s="3" t="s">
        <v>2970</v>
      </c>
      <c r="B391" s="3" t="s">
        <v>8258</v>
      </c>
      <c r="C391" s="3" t="s">
        <v>8257</v>
      </c>
      <c r="G391" s="9" t="s">
        <v>25</v>
      </c>
      <c r="H391" s="9"/>
      <c r="I391" s="9">
        <v>1</v>
      </c>
      <c r="J391" s="9">
        <v>2</v>
      </c>
      <c r="K391" s="9" t="s">
        <v>12123</v>
      </c>
      <c r="L391" s="9" t="s">
        <v>12119</v>
      </c>
      <c r="M391" s="9"/>
      <c r="N391" s="10"/>
      <c r="O391" s="9"/>
      <c r="P391" s="9">
        <v>526</v>
      </c>
      <c r="Q391" s="9">
        <v>63.205960105743813</v>
      </c>
      <c r="R391" s="9"/>
      <c r="S391" s="9" t="s">
        <v>12795</v>
      </c>
      <c r="T391" s="9" t="s">
        <v>12795</v>
      </c>
      <c r="U391" s="9"/>
      <c r="V391" s="9"/>
      <c r="W391" s="9"/>
      <c r="X391" s="9"/>
      <c r="Y391" s="9"/>
      <c r="Z391" s="9"/>
      <c r="AA391" s="9"/>
      <c r="AB391" s="9"/>
      <c r="AC391" s="9"/>
      <c r="AD391" s="9"/>
    </row>
    <row r="392" spans="1:30" ht="43.5">
      <c r="A392" s="3" t="s">
        <v>2976</v>
      </c>
      <c r="B392" s="3" t="s">
        <v>8267</v>
      </c>
      <c r="C392" s="3" t="s">
        <v>8268</v>
      </c>
      <c r="G392" s="9" t="s">
        <v>24</v>
      </c>
      <c r="H392" s="9"/>
      <c r="I392" s="9">
        <v>1</v>
      </c>
      <c r="J392" s="9">
        <v>1</v>
      </c>
      <c r="K392" s="9" t="s">
        <v>12078</v>
      </c>
      <c r="L392" s="9" t="s">
        <v>12119</v>
      </c>
      <c r="M392" s="9"/>
      <c r="N392" s="10"/>
      <c r="O392" s="9"/>
      <c r="P392" s="9">
        <v>11843</v>
      </c>
      <c r="Q392" s="9">
        <v>1423.0954097572699</v>
      </c>
      <c r="R392" s="9"/>
      <c r="S392" s="9" t="s">
        <v>12795</v>
      </c>
      <c r="T392" s="9" t="s">
        <v>12795</v>
      </c>
      <c r="U392" s="9"/>
      <c r="V392" s="9"/>
      <c r="W392" s="9"/>
      <c r="X392" s="9"/>
      <c r="Y392" s="9"/>
      <c r="Z392" s="9"/>
      <c r="AA392" s="9"/>
      <c r="AB392" s="9"/>
      <c r="AC392" s="9"/>
      <c r="AD392" s="9"/>
    </row>
    <row r="393" spans="1:30" ht="29">
      <c r="A393" s="3" t="s">
        <v>2978</v>
      </c>
      <c r="B393" s="3" t="s">
        <v>8272</v>
      </c>
      <c r="C393" s="3" t="s">
        <v>8271</v>
      </c>
      <c r="F393" t="s">
        <v>19</v>
      </c>
      <c r="G393" s="9" t="s">
        <v>25</v>
      </c>
      <c r="H393" s="9"/>
      <c r="I393" s="9">
        <v>1</v>
      </c>
      <c r="J393" s="9">
        <v>3</v>
      </c>
      <c r="K393" s="9" t="s">
        <v>12123</v>
      </c>
      <c r="L393" s="9" t="s">
        <v>12079</v>
      </c>
      <c r="M393" s="9"/>
      <c r="N393" s="10"/>
      <c r="O393" s="9"/>
      <c r="P393" s="9">
        <v>887</v>
      </c>
      <c r="Q393" s="9">
        <v>106.58495553953377</v>
      </c>
      <c r="R393" s="9"/>
      <c r="S393" s="9" t="s">
        <v>12795</v>
      </c>
      <c r="T393" s="9" t="s">
        <v>12795</v>
      </c>
      <c r="U393" s="9"/>
      <c r="V393" s="9"/>
      <c r="W393" s="9"/>
      <c r="X393" s="9"/>
      <c r="Y393" s="9"/>
      <c r="Z393" s="9"/>
      <c r="AA393" s="9"/>
      <c r="AB393" s="9"/>
      <c r="AC393" s="9"/>
      <c r="AD393" s="9"/>
    </row>
    <row r="394" spans="1:30" ht="58">
      <c r="A394" s="3" t="s">
        <v>2985</v>
      </c>
      <c r="B394" s="3" t="s">
        <v>8285</v>
      </c>
      <c r="C394" s="3" t="s">
        <v>8284</v>
      </c>
      <c r="F394" t="s">
        <v>19</v>
      </c>
      <c r="G394" s="9" t="s">
        <v>25</v>
      </c>
      <c r="H394" s="9"/>
      <c r="I394" s="9">
        <v>1</v>
      </c>
      <c r="J394" s="9">
        <v>4</v>
      </c>
      <c r="K394" s="9" t="s">
        <v>12078</v>
      </c>
      <c r="L394" s="9" t="s">
        <v>12073</v>
      </c>
      <c r="M394" s="9" t="s">
        <v>12149</v>
      </c>
      <c r="N394" s="10" t="s">
        <v>12143</v>
      </c>
      <c r="O394" s="9"/>
      <c r="P394" s="9">
        <v>11843</v>
      </c>
      <c r="Q394" s="9">
        <v>1423.0954097572699</v>
      </c>
      <c r="R394" s="9"/>
      <c r="S394" s="9" t="s">
        <v>12795</v>
      </c>
      <c r="T394" s="9" t="s">
        <v>12795</v>
      </c>
      <c r="U394" s="9"/>
      <c r="V394" s="9"/>
      <c r="W394" s="9"/>
      <c r="X394" s="9"/>
      <c r="Y394" s="9"/>
      <c r="Z394" s="9"/>
      <c r="AA394" s="9"/>
      <c r="AB394" s="9"/>
      <c r="AC394" s="9"/>
      <c r="AD394" s="9"/>
    </row>
    <row r="395" spans="1:30" ht="43.5">
      <c r="A395" s="3" t="s">
        <v>2986</v>
      </c>
      <c r="B395" s="3" t="s">
        <v>8287</v>
      </c>
      <c r="C395" s="3" t="s">
        <v>8286</v>
      </c>
      <c r="G395" s="9" t="s">
        <v>25</v>
      </c>
      <c r="H395" s="9"/>
      <c r="I395" s="9">
        <v>1</v>
      </c>
      <c r="J395" s="9">
        <v>2</v>
      </c>
      <c r="K395" s="9" t="s">
        <v>12094</v>
      </c>
      <c r="L395" s="9" t="s">
        <v>12119</v>
      </c>
      <c r="M395" s="9"/>
      <c r="N395" s="10"/>
      <c r="O395" s="9"/>
      <c r="P395" s="9">
        <v>1496</v>
      </c>
      <c r="Q395" s="9">
        <v>179.76447969238166</v>
      </c>
      <c r="R395" s="9"/>
      <c r="S395" s="9" t="s">
        <v>12795</v>
      </c>
      <c r="T395" s="9" t="s">
        <v>12795</v>
      </c>
      <c r="U395" s="9"/>
      <c r="V395" s="9"/>
      <c r="W395" s="9"/>
      <c r="X395" s="9"/>
      <c r="Y395" s="9"/>
      <c r="Z395" s="9"/>
      <c r="AA395" s="9"/>
      <c r="AB395" s="9"/>
      <c r="AC395" s="9"/>
      <c r="AD395" s="9"/>
    </row>
    <row r="396" spans="1:30" ht="72.5">
      <c r="A396" s="3" t="s">
        <v>2992</v>
      </c>
      <c r="B396" s="3" t="s">
        <v>8291</v>
      </c>
      <c r="C396" s="3" t="s">
        <v>8290</v>
      </c>
      <c r="G396" s="9" t="s">
        <v>24</v>
      </c>
      <c r="H396" s="9"/>
      <c r="I396" s="9">
        <v>1</v>
      </c>
      <c r="J396" s="9">
        <v>5</v>
      </c>
      <c r="K396" s="9" t="s">
        <v>12094</v>
      </c>
      <c r="L396" s="9" t="s">
        <v>12079</v>
      </c>
      <c r="M396" s="9"/>
      <c r="N396" s="10"/>
      <c r="O396" s="9"/>
      <c r="P396" s="9">
        <v>4240</v>
      </c>
      <c r="Q396" s="9">
        <v>509.49291035808699</v>
      </c>
      <c r="R396" s="9"/>
      <c r="S396" s="9" t="s">
        <v>12795</v>
      </c>
      <c r="T396" s="9" t="s">
        <v>12795</v>
      </c>
      <c r="U396" s="9"/>
      <c r="V396" s="9"/>
      <c r="W396" s="9"/>
      <c r="X396" s="9"/>
      <c r="Y396" s="9"/>
      <c r="Z396" s="9"/>
      <c r="AA396" s="9"/>
      <c r="AB396" s="9"/>
      <c r="AC396" s="9"/>
      <c r="AD396" s="9"/>
    </row>
    <row r="397" spans="1:30" ht="232">
      <c r="A397" s="3" t="s">
        <v>2993</v>
      </c>
      <c r="B397" s="3" t="s">
        <v>8292</v>
      </c>
      <c r="C397" s="3" t="s">
        <v>8295</v>
      </c>
      <c r="G397" s="9" t="s">
        <v>24</v>
      </c>
      <c r="H397" s="9"/>
      <c r="I397" s="9">
        <v>1</v>
      </c>
      <c r="J397" s="9">
        <v>4</v>
      </c>
      <c r="K397" s="9" t="s">
        <v>12087</v>
      </c>
      <c r="L397" s="9" t="s">
        <v>12079</v>
      </c>
      <c r="M397" s="9"/>
      <c r="N397" s="10"/>
      <c r="O397" s="9"/>
      <c r="P397" s="9">
        <v>25</v>
      </c>
      <c r="Q397" s="9">
        <v>3.0040855563566451</v>
      </c>
      <c r="R397" s="9"/>
      <c r="S397" s="9" t="s">
        <v>12795</v>
      </c>
      <c r="T397" s="9" t="s">
        <v>12795</v>
      </c>
      <c r="U397" s="9"/>
      <c r="V397" s="9"/>
      <c r="W397" s="9"/>
      <c r="X397" s="9"/>
      <c r="Y397" s="9"/>
      <c r="Z397" s="9"/>
      <c r="AA397" s="9"/>
      <c r="AB397" s="9"/>
      <c r="AC397" s="9"/>
      <c r="AD397" s="9"/>
    </row>
    <row r="398" spans="1:30" ht="58">
      <c r="A398" s="3" t="s">
        <v>2997</v>
      </c>
      <c r="B398" s="3" t="s">
        <v>8310</v>
      </c>
      <c r="C398" s="3" t="s">
        <v>8313</v>
      </c>
      <c r="G398" s="9" t="s">
        <v>24</v>
      </c>
      <c r="H398" s="9"/>
      <c r="I398" s="9">
        <v>1</v>
      </c>
      <c r="J398" s="9">
        <v>2</v>
      </c>
      <c r="K398" s="9" t="s">
        <v>12078</v>
      </c>
      <c r="L398" s="9" t="s">
        <v>12119</v>
      </c>
      <c r="M398" s="9"/>
      <c r="N398" s="10"/>
      <c r="O398" s="9"/>
      <c r="P398" s="9">
        <v>11843</v>
      </c>
      <c r="Q398" s="9">
        <v>1423.0954097572699</v>
      </c>
      <c r="R398" s="9"/>
      <c r="S398" s="9" t="s">
        <v>12795</v>
      </c>
      <c r="T398" s="9" t="s">
        <v>12795</v>
      </c>
      <c r="U398" s="9"/>
      <c r="V398" s="9"/>
      <c r="W398" s="9"/>
      <c r="X398" s="9"/>
      <c r="Y398" s="9"/>
      <c r="Z398" s="9"/>
      <c r="AA398" s="9"/>
      <c r="AB398" s="9"/>
      <c r="AC398" s="9"/>
      <c r="AD398" s="9"/>
    </row>
    <row r="399" spans="1:30" ht="43.5">
      <c r="A399" s="3" t="s">
        <v>2998</v>
      </c>
      <c r="B399" s="3" t="s">
        <v>8314</v>
      </c>
      <c r="C399" s="3" t="s">
        <v>8315</v>
      </c>
      <c r="G399" s="9" t="s">
        <v>25</v>
      </c>
      <c r="H399" s="9"/>
      <c r="I399" s="9">
        <v>1</v>
      </c>
      <c r="J399" s="9">
        <v>2</v>
      </c>
      <c r="K399" s="9" t="s">
        <v>12096</v>
      </c>
      <c r="L399" s="9" t="s">
        <v>12119</v>
      </c>
      <c r="M399" s="9"/>
      <c r="N399" s="10"/>
      <c r="O399" s="9" t="s">
        <v>12074</v>
      </c>
      <c r="P399" s="9">
        <v>1294</v>
      </c>
      <c r="Q399" s="9">
        <v>155.49146839701996</v>
      </c>
      <c r="R399" s="9"/>
      <c r="S399" s="9" t="s">
        <v>12795</v>
      </c>
      <c r="T399" s="9" t="s">
        <v>12795</v>
      </c>
      <c r="U399" s="9"/>
      <c r="V399" s="9"/>
      <c r="W399" s="9"/>
      <c r="X399" s="9"/>
      <c r="Y399" s="9"/>
      <c r="Z399" s="9"/>
      <c r="AA399" s="9"/>
      <c r="AB399" s="9"/>
      <c r="AC399" s="9"/>
      <c r="AD399" s="9"/>
    </row>
    <row r="400" spans="1:30" ht="101.5">
      <c r="A400" s="3" t="s">
        <v>3001</v>
      </c>
      <c r="B400" s="3" t="s">
        <v>8321</v>
      </c>
      <c r="C400" s="3" t="s">
        <v>8322</v>
      </c>
      <c r="G400" s="9" t="s">
        <v>24</v>
      </c>
      <c r="H400" s="9"/>
      <c r="I400" s="9">
        <v>1</v>
      </c>
      <c r="J400" s="9">
        <v>1</v>
      </c>
      <c r="K400" s="9" t="s">
        <v>12078</v>
      </c>
      <c r="L400" s="9" t="s">
        <v>12119</v>
      </c>
      <c r="M400" s="9"/>
      <c r="N400" s="10"/>
      <c r="O400" s="9"/>
      <c r="P400" s="9">
        <v>11843</v>
      </c>
      <c r="Q400" s="9">
        <v>1423.0954097572699</v>
      </c>
      <c r="R400" s="9"/>
      <c r="S400" s="9" t="s">
        <v>12795</v>
      </c>
      <c r="T400" s="9" t="s">
        <v>12795</v>
      </c>
      <c r="U400" s="9"/>
      <c r="V400" s="9"/>
      <c r="W400" s="9"/>
      <c r="X400" s="9"/>
      <c r="Y400" s="9"/>
      <c r="Z400" s="9"/>
      <c r="AA400" s="9"/>
      <c r="AB400" s="9"/>
      <c r="AC400" s="9"/>
      <c r="AD400" s="9"/>
    </row>
    <row r="401" spans="1:30" ht="72.5">
      <c r="A401" s="3" t="s">
        <v>3011</v>
      </c>
      <c r="B401" s="3" t="s">
        <v>8343</v>
      </c>
      <c r="C401" s="3" t="s">
        <v>8342</v>
      </c>
      <c r="F401" t="s">
        <v>19</v>
      </c>
      <c r="G401" s="9" t="s">
        <v>25</v>
      </c>
      <c r="H401" s="9"/>
      <c r="I401" s="9">
        <v>1</v>
      </c>
      <c r="J401" s="9">
        <v>2</v>
      </c>
      <c r="K401" s="9" t="s">
        <v>12087</v>
      </c>
      <c r="L401" s="9" t="s">
        <v>12119</v>
      </c>
      <c r="M401" s="9"/>
      <c r="N401" s="10"/>
      <c r="O401" s="9"/>
      <c r="P401" s="9">
        <v>207</v>
      </c>
      <c r="Q401" s="9">
        <v>24.873828406633024</v>
      </c>
      <c r="R401" s="9"/>
      <c r="S401" s="9" t="s">
        <v>12795</v>
      </c>
      <c r="T401" s="9" t="s">
        <v>12795</v>
      </c>
      <c r="U401" s="9"/>
      <c r="V401" s="9"/>
      <c r="W401" s="9"/>
      <c r="X401" s="9"/>
      <c r="Y401" s="9"/>
      <c r="Z401" s="9"/>
      <c r="AA401" s="9"/>
      <c r="AB401" s="9"/>
      <c r="AC401" s="9"/>
      <c r="AD401" s="9"/>
    </row>
    <row r="402" spans="1:30" ht="58">
      <c r="A402" s="3" t="s">
        <v>3017</v>
      </c>
      <c r="B402" s="3" t="s">
        <v>8354</v>
      </c>
      <c r="C402" s="3" t="s">
        <v>8351</v>
      </c>
      <c r="G402" s="9" t="s">
        <v>25</v>
      </c>
      <c r="H402" s="9"/>
      <c r="I402" s="9">
        <v>1</v>
      </c>
      <c r="J402" s="9">
        <v>3</v>
      </c>
      <c r="K402" s="9" t="s">
        <v>12078</v>
      </c>
      <c r="L402" s="9" t="s">
        <v>12079</v>
      </c>
      <c r="M402" s="9"/>
      <c r="N402" s="10"/>
      <c r="O402" s="9"/>
      <c r="P402" s="9">
        <v>11843</v>
      </c>
      <c r="Q402" s="9">
        <v>1423.0954097572699</v>
      </c>
      <c r="R402" s="9"/>
      <c r="S402" s="9" t="s">
        <v>12795</v>
      </c>
      <c r="T402" s="9" t="s">
        <v>12795</v>
      </c>
      <c r="U402" s="9"/>
      <c r="V402" s="9"/>
      <c r="W402" s="9"/>
      <c r="X402" s="9"/>
      <c r="Y402" s="9"/>
      <c r="Z402" s="9"/>
      <c r="AA402" s="9"/>
      <c r="AB402" s="9"/>
      <c r="AC402" s="9"/>
      <c r="AD402" s="9"/>
    </row>
    <row r="403" spans="1:30" ht="72.5">
      <c r="A403" s="3" t="s">
        <v>3017</v>
      </c>
      <c r="B403" s="3" t="s">
        <v>8356</v>
      </c>
      <c r="C403" s="3" t="s">
        <v>8355</v>
      </c>
      <c r="G403" s="9" t="s">
        <v>25</v>
      </c>
      <c r="H403" s="9"/>
      <c r="I403" s="9">
        <v>1</v>
      </c>
      <c r="J403" s="9">
        <v>3</v>
      </c>
      <c r="K403" s="9" t="s">
        <v>12078</v>
      </c>
      <c r="L403" s="9" t="s">
        <v>12079</v>
      </c>
      <c r="M403" s="9"/>
      <c r="N403" s="10"/>
      <c r="O403" s="9"/>
      <c r="P403" s="9">
        <v>11843</v>
      </c>
      <c r="Q403" s="9">
        <v>1423.0954097572699</v>
      </c>
      <c r="R403" s="9"/>
      <c r="S403" s="9" t="s">
        <v>12795</v>
      </c>
      <c r="T403" s="9" t="s">
        <v>12795</v>
      </c>
      <c r="U403" s="9"/>
      <c r="V403" s="9"/>
      <c r="W403" s="9"/>
      <c r="X403" s="9"/>
      <c r="Y403" s="9"/>
      <c r="Z403" s="9"/>
      <c r="AA403" s="9"/>
      <c r="AB403" s="9"/>
      <c r="AC403" s="9"/>
      <c r="AD403" s="9"/>
    </row>
    <row r="404" spans="1:30" ht="72.5">
      <c r="A404" s="3" t="s">
        <v>3017</v>
      </c>
      <c r="B404" s="3" t="s">
        <v>8357</v>
      </c>
      <c r="C404" s="3" t="s">
        <v>8355</v>
      </c>
      <c r="G404" s="9" t="s">
        <v>25</v>
      </c>
      <c r="H404" s="9"/>
      <c r="I404" s="9">
        <v>1</v>
      </c>
      <c r="J404" s="9">
        <v>1</v>
      </c>
      <c r="K404" s="9" t="s">
        <v>12078</v>
      </c>
      <c r="L404" s="9" t="s">
        <v>12119</v>
      </c>
      <c r="M404" s="9"/>
      <c r="N404" s="10"/>
      <c r="O404" s="9"/>
      <c r="P404" s="9">
        <v>11843</v>
      </c>
      <c r="Q404" s="9">
        <v>1423.0954097572699</v>
      </c>
      <c r="R404" s="9"/>
      <c r="S404" s="9" t="s">
        <v>12795</v>
      </c>
      <c r="T404" s="9" t="s">
        <v>12795</v>
      </c>
      <c r="U404" s="9"/>
      <c r="V404" s="9"/>
      <c r="W404" s="9"/>
      <c r="X404" s="9"/>
      <c r="Y404" s="9"/>
      <c r="Z404" s="9"/>
      <c r="AA404" s="9"/>
      <c r="AB404" s="9"/>
      <c r="AC404" s="9"/>
      <c r="AD404" s="9"/>
    </row>
    <row r="405" spans="1:30" ht="29">
      <c r="A405" s="3" t="s">
        <v>3022</v>
      </c>
      <c r="B405" s="3" t="s">
        <v>8364</v>
      </c>
      <c r="C405" s="3" t="s">
        <v>8363</v>
      </c>
      <c r="G405" s="9" t="s">
        <v>25</v>
      </c>
      <c r="H405" s="9"/>
      <c r="I405" s="9">
        <v>1</v>
      </c>
      <c r="J405" s="9">
        <v>1</v>
      </c>
      <c r="K405" s="9" t="s">
        <v>12078</v>
      </c>
      <c r="L405" s="9" t="s">
        <v>12119</v>
      </c>
      <c r="M405" s="9"/>
      <c r="N405" s="10"/>
      <c r="O405" s="9"/>
      <c r="P405" s="9">
        <v>11843</v>
      </c>
      <c r="Q405" s="9">
        <v>1423.0954097572699</v>
      </c>
      <c r="R405" s="9"/>
      <c r="S405" s="9" t="s">
        <v>12795</v>
      </c>
      <c r="T405" s="9" t="s">
        <v>12795</v>
      </c>
      <c r="U405" s="9"/>
      <c r="V405" s="9"/>
      <c r="W405" s="9"/>
      <c r="X405" s="9"/>
      <c r="Y405" s="9"/>
      <c r="Z405" s="9"/>
      <c r="AA405" s="9"/>
      <c r="AB405" s="9"/>
      <c r="AC405" s="9"/>
      <c r="AD405" s="9"/>
    </row>
    <row r="406" spans="1:30" ht="43.5">
      <c r="A406" s="3" t="s">
        <v>3028</v>
      </c>
      <c r="B406" s="3" t="s">
        <v>8380</v>
      </c>
      <c r="C406" s="3" t="s">
        <v>8377</v>
      </c>
      <c r="G406" s="9" t="s">
        <v>25</v>
      </c>
      <c r="H406" s="9"/>
      <c r="I406" s="9">
        <v>1</v>
      </c>
      <c r="J406" s="9">
        <v>2</v>
      </c>
      <c r="K406" s="9" t="s">
        <v>12087</v>
      </c>
      <c r="L406" s="9" t="s">
        <v>12119</v>
      </c>
      <c r="M406" s="9"/>
      <c r="N406" s="10"/>
      <c r="O406" s="9"/>
      <c r="P406" s="9">
        <v>1966</v>
      </c>
      <c r="Q406" s="9">
        <v>236.24128815188658</v>
      </c>
      <c r="R406" s="9"/>
      <c r="S406" s="9" t="s">
        <v>12795</v>
      </c>
      <c r="T406" s="9" t="s">
        <v>12795</v>
      </c>
      <c r="U406" s="9"/>
      <c r="V406" s="9"/>
      <c r="W406" s="9"/>
      <c r="X406" s="9"/>
      <c r="Y406" s="9"/>
      <c r="Z406" s="9"/>
      <c r="AA406" s="9"/>
      <c r="AB406" s="9"/>
      <c r="AC406" s="9"/>
      <c r="AD406" s="9"/>
    </row>
    <row r="407" spans="1:30" ht="29">
      <c r="A407" s="3" t="s">
        <v>3029</v>
      </c>
      <c r="B407" s="3" t="s">
        <v>6321</v>
      </c>
      <c r="C407" s="3" t="s">
        <v>6322</v>
      </c>
      <c r="G407" s="9" t="s">
        <v>24</v>
      </c>
      <c r="H407" s="9"/>
      <c r="I407" s="9">
        <v>1</v>
      </c>
      <c r="J407" s="9">
        <v>3</v>
      </c>
      <c r="K407" s="9" t="s">
        <v>12078</v>
      </c>
      <c r="L407" s="9" t="s">
        <v>12079</v>
      </c>
      <c r="M407" s="9"/>
      <c r="N407" s="10"/>
      <c r="O407" s="9"/>
      <c r="P407" s="9">
        <v>11843</v>
      </c>
      <c r="Q407" s="9">
        <v>1423.0954097572699</v>
      </c>
      <c r="R407" s="9"/>
      <c r="S407" s="9" t="s">
        <v>12795</v>
      </c>
      <c r="T407" s="9" t="s">
        <v>12795</v>
      </c>
      <c r="U407" s="9" t="s">
        <v>12117</v>
      </c>
      <c r="V407" s="9"/>
      <c r="W407" s="9"/>
      <c r="X407" s="9"/>
      <c r="Y407" s="9"/>
      <c r="Z407" s="9"/>
      <c r="AA407" s="9"/>
      <c r="AB407" s="9"/>
      <c r="AC407" s="9"/>
      <c r="AD407" s="9"/>
    </row>
    <row r="408" spans="1:30" ht="43.5">
      <c r="A408" s="3" t="s">
        <v>3029</v>
      </c>
      <c r="B408" s="3" t="s">
        <v>8381</v>
      </c>
      <c r="C408" s="3" t="s">
        <v>12438</v>
      </c>
      <c r="G408" s="9" t="s">
        <v>25</v>
      </c>
      <c r="H408" s="9"/>
      <c r="I408" s="9">
        <v>1</v>
      </c>
      <c r="J408" s="9">
        <v>5</v>
      </c>
      <c r="K408" s="9" t="s">
        <v>12094</v>
      </c>
      <c r="L408" s="9" t="s">
        <v>12079</v>
      </c>
      <c r="M408" s="9"/>
      <c r="N408" s="10"/>
      <c r="O408" s="9"/>
      <c r="P408" s="9">
        <v>4240</v>
      </c>
      <c r="Q408" s="9">
        <v>509.49291035808699</v>
      </c>
      <c r="R408" s="9"/>
      <c r="S408" s="9" t="s">
        <v>12795</v>
      </c>
      <c r="T408" s="9" t="s">
        <v>12795</v>
      </c>
      <c r="U408" s="9"/>
      <c r="V408" s="9"/>
      <c r="W408" s="9"/>
      <c r="X408" s="9"/>
      <c r="Y408" s="9"/>
      <c r="Z408" s="9"/>
      <c r="AA408" s="9"/>
      <c r="AB408" s="9"/>
      <c r="AC408" s="9"/>
      <c r="AD408" s="9"/>
    </row>
    <row r="409" spans="1:30" ht="29">
      <c r="A409" s="3" t="s">
        <v>3033</v>
      </c>
      <c r="B409" s="3" t="s">
        <v>8382</v>
      </c>
      <c r="C409" s="11" t="s">
        <v>8383</v>
      </c>
      <c r="G409" s="9" t="s">
        <v>25</v>
      </c>
      <c r="H409" s="9"/>
      <c r="I409" s="9">
        <v>1</v>
      </c>
      <c r="J409" s="9">
        <v>2</v>
      </c>
      <c r="K409" s="9" t="s">
        <v>12078</v>
      </c>
      <c r="L409" s="9" t="s">
        <v>12119</v>
      </c>
      <c r="M409" s="9"/>
      <c r="N409" s="10"/>
      <c r="O409" s="9"/>
      <c r="P409" s="9">
        <v>11843</v>
      </c>
      <c r="Q409" s="9">
        <v>1423.0954097572699</v>
      </c>
      <c r="R409" s="9"/>
      <c r="S409" s="9" t="s">
        <v>12795</v>
      </c>
      <c r="T409" s="9" t="s">
        <v>12795</v>
      </c>
      <c r="U409" s="9"/>
      <c r="V409" s="9"/>
      <c r="W409" s="9"/>
      <c r="X409" s="9"/>
      <c r="Y409" s="9"/>
      <c r="Z409" s="9"/>
      <c r="AA409" s="9"/>
      <c r="AB409" s="9"/>
      <c r="AC409" s="9"/>
      <c r="AD409" s="9"/>
    </row>
    <row r="410" spans="1:30" ht="58">
      <c r="A410" s="3" t="s">
        <v>3033</v>
      </c>
      <c r="B410" s="3" t="s">
        <v>8385</v>
      </c>
      <c r="C410" s="3" t="s">
        <v>8384</v>
      </c>
      <c r="G410" s="9" t="s">
        <v>24</v>
      </c>
      <c r="H410" s="9"/>
      <c r="I410" s="9">
        <v>1</v>
      </c>
      <c r="J410" s="9">
        <v>5</v>
      </c>
      <c r="K410" s="9" t="s">
        <v>12094</v>
      </c>
      <c r="L410" s="9" t="s">
        <v>12079</v>
      </c>
      <c r="M410" s="9"/>
      <c r="N410" s="10"/>
      <c r="O410" s="9"/>
      <c r="P410" s="9">
        <v>4240</v>
      </c>
      <c r="Q410" s="9">
        <v>509.49291035808699</v>
      </c>
      <c r="R410" s="9"/>
      <c r="S410" s="9" t="s">
        <v>12795</v>
      </c>
      <c r="T410" s="9" t="s">
        <v>12795</v>
      </c>
      <c r="U410" s="9"/>
      <c r="V410" s="9"/>
      <c r="W410" s="9"/>
      <c r="X410" s="9"/>
      <c r="Y410" s="9"/>
      <c r="Z410" s="9"/>
      <c r="AA410" s="9"/>
      <c r="AB410" s="9"/>
      <c r="AC410" s="9"/>
      <c r="AD410" s="9"/>
    </row>
    <row r="411" spans="1:30" ht="29">
      <c r="A411" s="3" t="s">
        <v>3036</v>
      </c>
      <c r="B411" s="3" t="s">
        <v>8388</v>
      </c>
      <c r="C411" s="3" t="s">
        <v>8389</v>
      </c>
      <c r="F411" t="s">
        <v>19</v>
      </c>
      <c r="G411" s="9" t="s">
        <v>24</v>
      </c>
      <c r="H411" s="9"/>
      <c r="I411" s="9">
        <v>1</v>
      </c>
      <c r="J411" s="9">
        <v>2</v>
      </c>
      <c r="K411" s="9" t="s">
        <v>12078</v>
      </c>
      <c r="L411" s="9" t="s">
        <v>12119</v>
      </c>
      <c r="M411" s="9"/>
      <c r="N411" s="10"/>
      <c r="O411" s="9"/>
      <c r="P411" s="9">
        <v>11843</v>
      </c>
      <c r="Q411" s="9">
        <v>1423.0954097572699</v>
      </c>
      <c r="R411" s="9"/>
      <c r="S411" s="9" t="s">
        <v>12795</v>
      </c>
      <c r="T411" s="9" t="s">
        <v>12795</v>
      </c>
      <c r="U411" s="9"/>
      <c r="V411" s="9"/>
      <c r="W411" s="9"/>
      <c r="X411" s="9"/>
      <c r="Y411" s="9"/>
      <c r="Z411" s="9"/>
      <c r="AA411" s="9"/>
      <c r="AB411" s="9"/>
      <c r="AC411" s="9"/>
      <c r="AD411" s="9"/>
    </row>
    <row r="412" spans="1:30" ht="29">
      <c r="A412" s="3" t="s">
        <v>3045</v>
      </c>
      <c r="B412" s="3" t="s">
        <v>8404</v>
      </c>
      <c r="C412" s="3" t="s">
        <v>8403</v>
      </c>
      <c r="G412" s="9" t="s">
        <v>25</v>
      </c>
      <c r="H412" s="9"/>
      <c r="I412" s="9">
        <v>1</v>
      </c>
      <c r="J412" s="9">
        <v>3</v>
      </c>
      <c r="K412" s="9" t="s">
        <v>12123</v>
      </c>
      <c r="L412" s="9" t="s">
        <v>12079</v>
      </c>
      <c r="M412" s="9"/>
      <c r="N412" s="10"/>
      <c r="O412" s="9"/>
      <c r="P412" s="9">
        <v>92</v>
      </c>
      <c r="Q412" s="9">
        <v>11.055034847392454</v>
      </c>
      <c r="R412" s="9"/>
      <c r="S412" s="9" t="s">
        <v>12795</v>
      </c>
      <c r="T412" s="9" t="s">
        <v>12795</v>
      </c>
      <c r="U412" s="9"/>
      <c r="V412" s="9"/>
      <c r="W412" s="9"/>
      <c r="X412" s="9"/>
      <c r="Y412" s="9"/>
      <c r="Z412" s="9"/>
      <c r="AA412" s="9"/>
      <c r="AB412" s="9"/>
      <c r="AC412" s="9"/>
      <c r="AD412" s="9"/>
    </row>
    <row r="413" spans="1:30" ht="43.5">
      <c r="A413" s="3" t="s">
        <v>3046</v>
      </c>
      <c r="B413" s="3" t="s">
        <v>5309</v>
      </c>
      <c r="C413" s="3" t="s">
        <v>5310</v>
      </c>
      <c r="G413" s="9" t="s">
        <v>25</v>
      </c>
      <c r="H413" s="9"/>
      <c r="I413" s="9">
        <v>1</v>
      </c>
      <c r="J413" s="9">
        <v>2</v>
      </c>
      <c r="K413" s="9" t="s">
        <v>12087</v>
      </c>
      <c r="L413" s="9" t="s">
        <v>12119</v>
      </c>
      <c r="M413" s="9"/>
      <c r="N413" s="10"/>
      <c r="O413" s="9"/>
      <c r="P413" s="9">
        <v>1966</v>
      </c>
      <c r="Q413" s="9">
        <v>236.24128815188658</v>
      </c>
      <c r="R413" s="9"/>
      <c r="S413" s="9" t="s">
        <v>12795</v>
      </c>
      <c r="T413" s="9" t="s">
        <v>12795</v>
      </c>
      <c r="U413" s="9"/>
      <c r="V413" s="9"/>
      <c r="W413" s="9"/>
      <c r="X413" s="9"/>
      <c r="Y413" s="9"/>
      <c r="Z413" s="9"/>
      <c r="AA413" s="9"/>
      <c r="AB413" s="9"/>
      <c r="AC413" s="9"/>
      <c r="AD413" s="9"/>
    </row>
    <row r="414" spans="1:30" ht="43.5">
      <c r="A414" s="3" t="s">
        <v>3046</v>
      </c>
      <c r="B414" s="11" t="s">
        <v>8409</v>
      </c>
      <c r="C414" s="3" t="s">
        <v>8408</v>
      </c>
      <c r="G414" s="9" t="s">
        <v>25</v>
      </c>
      <c r="H414" s="9"/>
      <c r="I414" s="9">
        <v>1</v>
      </c>
      <c r="J414" s="9">
        <v>2</v>
      </c>
      <c r="K414" s="9" t="s">
        <v>12078</v>
      </c>
      <c r="L414" s="9" t="s">
        <v>12119</v>
      </c>
      <c r="M414" s="9"/>
      <c r="N414" s="10"/>
      <c r="O414" s="9"/>
      <c r="P414" s="9">
        <v>11843</v>
      </c>
      <c r="Q414" s="9">
        <v>1423.0954097572699</v>
      </c>
      <c r="R414" s="9"/>
      <c r="S414" s="9" t="s">
        <v>12795</v>
      </c>
      <c r="T414" s="9" t="s">
        <v>12795</v>
      </c>
      <c r="U414" s="9"/>
      <c r="V414" s="9"/>
      <c r="W414" s="9"/>
      <c r="X414" s="9"/>
      <c r="Y414" s="9"/>
      <c r="Z414" s="9"/>
      <c r="AA414" s="9"/>
      <c r="AB414" s="9"/>
      <c r="AC414" s="9"/>
      <c r="AD414" s="9"/>
    </row>
    <row r="415" spans="1:30" ht="29">
      <c r="A415" s="3" t="s">
        <v>3063</v>
      </c>
      <c r="B415" s="3" t="s">
        <v>8420</v>
      </c>
      <c r="C415" s="3" t="s">
        <v>8421</v>
      </c>
      <c r="G415" s="9" t="s">
        <v>25</v>
      </c>
      <c r="H415" s="9"/>
      <c r="I415" s="9">
        <v>1</v>
      </c>
      <c r="J415" s="9">
        <v>1</v>
      </c>
      <c r="K415" s="9" t="s">
        <v>12078</v>
      </c>
      <c r="L415" s="9" t="s">
        <v>12119</v>
      </c>
      <c r="M415" s="9"/>
      <c r="N415" s="10"/>
      <c r="O415" s="9" t="s">
        <v>12074</v>
      </c>
      <c r="P415" s="9">
        <v>11843</v>
      </c>
      <c r="Q415" s="9">
        <v>1423.0954097572699</v>
      </c>
      <c r="R415" s="9"/>
      <c r="S415" s="9" t="s">
        <v>12795</v>
      </c>
      <c r="T415" s="9" t="s">
        <v>12795</v>
      </c>
      <c r="U415" s="9"/>
      <c r="V415" s="9"/>
      <c r="W415" s="9"/>
      <c r="X415" s="9"/>
      <c r="Y415" s="9"/>
      <c r="Z415" s="9"/>
      <c r="AA415" s="9"/>
      <c r="AB415" s="9"/>
      <c r="AC415" s="9"/>
      <c r="AD415" s="9"/>
    </row>
    <row r="416" spans="1:30" ht="72.5">
      <c r="A416" s="3" t="s">
        <v>3064</v>
      </c>
      <c r="B416" s="3" t="s">
        <v>8422</v>
      </c>
      <c r="C416" s="3" t="s">
        <v>8423</v>
      </c>
      <c r="G416" s="9" t="s">
        <v>24</v>
      </c>
      <c r="H416" s="9"/>
      <c r="I416" s="9">
        <v>1</v>
      </c>
      <c r="J416" s="9">
        <v>4</v>
      </c>
      <c r="K416" s="9" t="s">
        <v>12094</v>
      </c>
      <c r="L416" s="9" t="s">
        <v>12079</v>
      </c>
      <c r="M416" s="9"/>
      <c r="N416" s="10"/>
      <c r="O416" s="9"/>
      <c r="P416" s="9">
        <v>4240</v>
      </c>
      <c r="Q416" s="9">
        <v>509.49291035808699</v>
      </c>
      <c r="R416" s="9"/>
      <c r="S416" s="9" t="s">
        <v>12795</v>
      </c>
      <c r="T416" s="9" t="s">
        <v>12795</v>
      </c>
      <c r="U416" s="9"/>
      <c r="V416" s="9"/>
      <c r="W416" s="9"/>
      <c r="X416" s="9"/>
      <c r="Y416" s="9"/>
      <c r="Z416" s="9"/>
      <c r="AA416" s="9"/>
      <c r="AB416" s="9"/>
      <c r="AC416" s="9"/>
      <c r="AD416" s="9"/>
    </row>
    <row r="417" spans="1:30" ht="43.5">
      <c r="A417" s="3" t="s">
        <v>3073</v>
      </c>
      <c r="B417" s="3" t="s">
        <v>8438</v>
      </c>
      <c r="C417" s="3" t="s">
        <v>8437</v>
      </c>
      <c r="G417" s="9" t="s">
        <v>25</v>
      </c>
      <c r="H417" s="9"/>
      <c r="I417" s="9">
        <v>1</v>
      </c>
      <c r="J417" s="9">
        <v>6</v>
      </c>
      <c r="K417" s="9" t="s">
        <v>12094</v>
      </c>
      <c r="L417" s="9" t="s">
        <v>12079</v>
      </c>
      <c r="M417" s="9"/>
      <c r="N417" s="10"/>
      <c r="O417" s="9"/>
      <c r="P417" s="9">
        <v>4240</v>
      </c>
      <c r="Q417" s="9">
        <v>509.49291035808699</v>
      </c>
      <c r="R417" s="9"/>
      <c r="S417" s="9" t="s">
        <v>12795</v>
      </c>
      <c r="T417" s="9" t="s">
        <v>12795</v>
      </c>
      <c r="U417" s="9"/>
      <c r="V417" s="9"/>
      <c r="W417" s="9"/>
      <c r="X417" s="9"/>
      <c r="Y417" s="9"/>
      <c r="Z417" s="9"/>
      <c r="AA417" s="9"/>
      <c r="AB417" s="9"/>
      <c r="AC417" s="9"/>
      <c r="AD417" s="9"/>
    </row>
    <row r="418" spans="1:30" ht="58">
      <c r="A418" s="3" t="s">
        <v>3075</v>
      </c>
      <c r="B418" s="3" t="s">
        <v>5938</v>
      </c>
      <c r="C418" s="3" t="s">
        <v>8439</v>
      </c>
      <c r="G418" s="9" t="s">
        <v>24</v>
      </c>
      <c r="H418" s="9"/>
      <c r="I418" s="9">
        <v>1</v>
      </c>
      <c r="J418" s="9">
        <v>2</v>
      </c>
      <c r="K418" s="9" t="s">
        <v>12087</v>
      </c>
      <c r="L418" s="9" t="s">
        <v>12119</v>
      </c>
      <c r="M418" s="9"/>
      <c r="N418" s="10"/>
      <c r="O418" s="9"/>
      <c r="P418" s="9">
        <v>1966</v>
      </c>
      <c r="Q418" s="9">
        <v>236.24128815188658</v>
      </c>
      <c r="R418" s="9"/>
      <c r="S418" s="9" t="s">
        <v>12795</v>
      </c>
      <c r="T418" s="9" t="s">
        <v>12795</v>
      </c>
      <c r="U418" s="9"/>
      <c r="V418" s="9"/>
      <c r="W418" s="9"/>
      <c r="X418" s="9"/>
      <c r="Y418" s="9"/>
      <c r="Z418" s="9"/>
      <c r="AA418" s="9"/>
      <c r="AB418" s="9"/>
      <c r="AC418" s="9"/>
      <c r="AD418" s="9"/>
    </row>
    <row r="419" spans="1:30" ht="58">
      <c r="A419" s="3" t="s">
        <v>3079</v>
      </c>
      <c r="B419" s="3" t="s">
        <v>8444</v>
      </c>
      <c r="C419" s="3" t="s">
        <v>8445</v>
      </c>
      <c r="G419" s="9" t="s">
        <v>24</v>
      </c>
      <c r="H419" s="9"/>
      <c r="I419" s="9">
        <v>1</v>
      </c>
      <c r="J419" s="9">
        <v>3</v>
      </c>
      <c r="K419" s="9" t="s">
        <v>12078</v>
      </c>
      <c r="L419" s="9" t="s">
        <v>12073</v>
      </c>
      <c r="M419" s="9" t="s">
        <v>12149</v>
      </c>
      <c r="N419" s="10" t="s">
        <v>12143</v>
      </c>
      <c r="O419" s="9"/>
      <c r="P419" s="9">
        <v>11843</v>
      </c>
      <c r="Q419" s="9">
        <v>1423.0954097572699</v>
      </c>
      <c r="R419" s="9"/>
      <c r="S419" s="9" t="s">
        <v>12795</v>
      </c>
      <c r="T419" s="9" t="s">
        <v>12795</v>
      </c>
      <c r="U419" s="9"/>
      <c r="V419" s="9"/>
      <c r="W419" s="9"/>
      <c r="X419" s="9"/>
      <c r="Y419" s="9"/>
      <c r="Z419" s="9"/>
      <c r="AA419" s="9"/>
      <c r="AB419" s="9"/>
      <c r="AC419" s="9"/>
      <c r="AD419" s="9"/>
    </row>
    <row r="420" spans="1:30" ht="43.5">
      <c r="A420" s="3" t="s">
        <v>3097</v>
      </c>
      <c r="B420" s="3" t="s">
        <v>8462</v>
      </c>
      <c r="C420" s="3" t="s">
        <v>8463</v>
      </c>
      <c r="G420" s="9" t="s">
        <v>25</v>
      </c>
      <c r="H420" s="9"/>
      <c r="I420" s="9">
        <v>1</v>
      </c>
      <c r="J420" s="9">
        <v>3</v>
      </c>
      <c r="K420" s="9" t="s">
        <v>12078</v>
      </c>
      <c r="L420" s="9" t="s">
        <v>12073</v>
      </c>
      <c r="M420" s="9" t="s">
        <v>12149</v>
      </c>
      <c r="N420" s="10" t="s">
        <v>12143</v>
      </c>
      <c r="O420" s="9"/>
      <c r="P420" s="9">
        <v>11843</v>
      </c>
      <c r="Q420" s="9">
        <v>1423.0954097572699</v>
      </c>
      <c r="R420" s="9"/>
      <c r="S420" s="9" t="s">
        <v>12795</v>
      </c>
      <c r="T420" s="9" t="s">
        <v>12795</v>
      </c>
      <c r="U420" s="9"/>
      <c r="V420" s="9"/>
      <c r="W420" s="9"/>
      <c r="X420" s="9"/>
      <c r="Y420" s="9"/>
      <c r="Z420" s="9"/>
      <c r="AA420" s="9"/>
      <c r="AB420" s="9"/>
      <c r="AC420" s="9"/>
      <c r="AD420" s="9"/>
    </row>
    <row r="421" spans="1:30" ht="29">
      <c r="A421" s="3" t="s">
        <v>3097</v>
      </c>
      <c r="B421" s="3" t="s">
        <v>8464</v>
      </c>
      <c r="C421" s="3" t="s">
        <v>8465</v>
      </c>
      <c r="G421" s="9" t="s">
        <v>25</v>
      </c>
      <c r="H421" s="9"/>
      <c r="I421" s="9">
        <v>1</v>
      </c>
      <c r="J421" s="9">
        <v>5</v>
      </c>
      <c r="K421" s="9" t="s">
        <v>12094</v>
      </c>
      <c r="L421" s="9" t="s">
        <v>12073</v>
      </c>
      <c r="M421" s="9" t="s">
        <v>12149</v>
      </c>
      <c r="N421" s="10" t="s">
        <v>12160</v>
      </c>
      <c r="O421" s="9"/>
      <c r="P421" s="9">
        <v>4240</v>
      </c>
      <c r="Q421" s="9">
        <v>509.49291035808699</v>
      </c>
      <c r="R421" s="9"/>
      <c r="S421" s="9" t="s">
        <v>12795</v>
      </c>
      <c r="T421" s="9" t="s">
        <v>12795</v>
      </c>
      <c r="U421" s="9"/>
      <c r="V421" s="9"/>
      <c r="W421" s="9"/>
      <c r="X421" s="9"/>
      <c r="Y421" s="9"/>
      <c r="Z421" s="9"/>
      <c r="AA421" s="9"/>
      <c r="AB421" s="9"/>
      <c r="AC421" s="9"/>
      <c r="AD421" s="9"/>
    </row>
    <row r="422" spans="1:30" ht="43.5">
      <c r="A422" s="3" t="s">
        <v>3098</v>
      </c>
      <c r="B422" s="3" t="s">
        <v>8467</v>
      </c>
      <c r="C422" s="3" t="s">
        <v>8466</v>
      </c>
      <c r="G422" s="9" t="s">
        <v>24</v>
      </c>
      <c r="H422" s="9"/>
      <c r="I422" s="9">
        <v>1</v>
      </c>
      <c r="J422" s="9">
        <v>3</v>
      </c>
      <c r="K422" s="9" t="s">
        <v>12087</v>
      </c>
      <c r="L422" s="9" t="s">
        <v>12079</v>
      </c>
      <c r="M422" s="9"/>
      <c r="N422" s="10"/>
      <c r="O422" s="9"/>
      <c r="P422" s="9">
        <v>5676</v>
      </c>
      <c r="Q422" s="9">
        <v>682.04758471521268</v>
      </c>
      <c r="R422" s="9"/>
      <c r="S422" s="9" t="s">
        <v>12795</v>
      </c>
      <c r="T422" s="9" t="s">
        <v>12795</v>
      </c>
      <c r="U422" s="9"/>
      <c r="V422" s="9"/>
      <c r="W422" s="9"/>
      <c r="X422" s="9"/>
      <c r="Y422" s="9"/>
      <c r="Z422" s="9"/>
      <c r="AA422" s="9"/>
      <c r="AB422" s="9"/>
      <c r="AC422" s="9"/>
      <c r="AD422" s="9"/>
    </row>
    <row r="423" spans="1:30" ht="29">
      <c r="A423" s="3" t="s">
        <v>3100</v>
      </c>
      <c r="B423" s="3" t="s">
        <v>8476</v>
      </c>
      <c r="C423" s="3" t="s">
        <v>8477</v>
      </c>
      <c r="G423" s="9" t="s">
        <v>24</v>
      </c>
      <c r="H423" s="9"/>
      <c r="I423" s="9">
        <v>1</v>
      </c>
      <c r="J423" s="9">
        <v>3</v>
      </c>
      <c r="K423" s="9" t="s">
        <v>12123</v>
      </c>
      <c r="L423" s="9" t="s">
        <v>12073</v>
      </c>
      <c r="M423" s="9" t="s">
        <v>12142</v>
      </c>
      <c r="N423" s="10" t="s">
        <v>12143</v>
      </c>
      <c r="O423" s="9" t="s">
        <v>12074</v>
      </c>
      <c r="P423" s="9">
        <v>887</v>
      </c>
      <c r="Q423" s="9">
        <v>106.58495553953377</v>
      </c>
      <c r="R423" s="9"/>
      <c r="S423" s="9" t="s">
        <v>12795</v>
      </c>
      <c r="T423" s="9" t="s">
        <v>12795</v>
      </c>
      <c r="U423" s="9"/>
      <c r="V423" s="9"/>
      <c r="W423" s="9"/>
      <c r="X423" s="9"/>
      <c r="Y423" s="9"/>
      <c r="Z423" s="9"/>
      <c r="AA423" s="9"/>
      <c r="AB423" s="9"/>
      <c r="AC423" s="9"/>
      <c r="AD423" s="9"/>
    </row>
    <row r="424" spans="1:30" ht="72.5">
      <c r="A424" s="3" t="s">
        <v>3104</v>
      </c>
      <c r="B424" s="3" t="s">
        <v>8489</v>
      </c>
      <c r="C424" s="3" t="s">
        <v>8488</v>
      </c>
      <c r="G424" s="9" t="s">
        <v>25</v>
      </c>
      <c r="H424" s="9"/>
      <c r="I424" s="9">
        <v>1</v>
      </c>
      <c r="J424" s="9">
        <v>3</v>
      </c>
      <c r="K424" s="9" t="s">
        <v>12087</v>
      </c>
      <c r="L424" s="9" t="s">
        <v>12079</v>
      </c>
      <c r="M424" s="9"/>
      <c r="N424" s="10"/>
      <c r="O424" s="9"/>
      <c r="P424" s="9">
        <v>5676</v>
      </c>
      <c r="Q424" s="9">
        <v>682.04758471521268</v>
      </c>
      <c r="R424" s="9"/>
      <c r="S424" s="9" t="s">
        <v>12795</v>
      </c>
      <c r="T424" s="9" t="s">
        <v>12795</v>
      </c>
      <c r="U424" s="9"/>
      <c r="V424" s="9"/>
      <c r="W424" s="9"/>
      <c r="X424" s="9"/>
      <c r="Y424" s="9"/>
      <c r="Z424" s="9"/>
      <c r="AA424" s="9"/>
      <c r="AB424" s="9"/>
      <c r="AC424" s="9"/>
      <c r="AD424" s="9"/>
    </row>
    <row r="425" spans="1:30" ht="29">
      <c r="A425" s="3" t="s">
        <v>3108</v>
      </c>
      <c r="B425" s="3" t="s">
        <v>8505</v>
      </c>
      <c r="C425" s="3" t="s">
        <v>8504</v>
      </c>
      <c r="G425" s="9" t="s">
        <v>24</v>
      </c>
      <c r="H425" s="9"/>
      <c r="I425" s="9">
        <v>1</v>
      </c>
      <c r="J425" s="9">
        <v>2</v>
      </c>
      <c r="K425" s="9" t="s">
        <v>12087</v>
      </c>
      <c r="L425" s="9" t="s">
        <v>12119</v>
      </c>
      <c r="M425" s="9"/>
      <c r="N425" s="10"/>
      <c r="O425" s="9"/>
      <c r="P425" s="9">
        <v>1966</v>
      </c>
      <c r="Q425" s="9">
        <v>236.24128815188658</v>
      </c>
      <c r="R425" s="9"/>
      <c r="S425" s="9" t="s">
        <v>12795</v>
      </c>
      <c r="T425" s="9" t="s">
        <v>12795</v>
      </c>
      <c r="U425" s="9"/>
      <c r="V425" s="9"/>
      <c r="W425" s="9"/>
      <c r="X425" s="9"/>
      <c r="Y425" s="9"/>
      <c r="Z425" s="9"/>
      <c r="AA425" s="9"/>
      <c r="AB425" s="9"/>
      <c r="AC425" s="9"/>
      <c r="AD425" s="9"/>
    </row>
    <row r="426" spans="1:30" ht="101.5">
      <c r="A426" s="3" t="s">
        <v>3116</v>
      </c>
      <c r="B426" s="3" t="s">
        <v>8525</v>
      </c>
      <c r="C426" s="3" t="s">
        <v>8524</v>
      </c>
      <c r="G426" s="9" t="s">
        <v>25</v>
      </c>
      <c r="H426" s="9"/>
      <c r="I426" s="9">
        <v>1</v>
      </c>
      <c r="J426" s="9">
        <v>2</v>
      </c>
      <c r="K426" s="9" t="s">
        <v>12087</v>
      </c>
      <c r="L426" s="9" t="s">
        <v>12119</v>
      </c>
      <c r="M426" s="9"/>
      <c r="N426" s="10"/>
      <c r="O426" s="9"/>
      <c r="P426" s="9">
        <v>1966</v>
      </c>
      <c r="Q426" s="9">
        <v>236.24128815188658</v>
      </c>
      <c r="R426" s="9"/>
      <c r="S426" s="9" t="s">
        <v>12795</v>
      </c>
      <c r="T426" s="9" t="s">
        <v>12795</v>
      </c>
      <c r="U426" s="9"/>
      <c r="V426" s="9"/>
      <c r="W426" s="9"/>
      <c r="X426" s="9"/>
      <c r="Y426" s="9"/>
      <c r="Z426" s="9"/>
      <c r="AA426" s="9"/>
      <c r="AB426" s="9"/>
      <c r="AC426" s="9"/>
      <c r="AD426" s="9"/>
    </row>
    <row r="427" spans="1:30" ht="29">
      <c r="A427" s="3" t="s">
        <v>3117</v>
      </c>
      <c r="B427" s="3" t="s">
        <v>8527</v>
      </c>
      <c r="C427" s="3" t="s">
        <v>8526</v>
      </c>
      <c r="G427" s="9" t="s">
        <v>24</v>
      </c>
      <c r="H427" s="9"/>
      <c r="I427" s="9">
        <v>1</v>
      </c>
      <c r="J427" s="9">
        <v>2</v>
      </c>
      <c r="K427" s="9" t="s">
        <v>12087</v>
      </c>
      <c r="L427" s="9" t="s">
        <v>12119</v>
      </c>
      <c r="M427" s="9"/>
      <c r="N427" s="10"/>
      <c r="O427" s="9"/>
      <c r="P427" s="9">
        <v>1966</v>
      </c>
      <c r="Q427" s="9">
        <v>236.24128815188658</v>
      </c>
      <c r="R427" s="9"/>
      <c r="S427" s="9" t="s">
        <v>12795</v>
      </c>
      <c r="T427" s="9" t="s">
        <v>12795</v>
      </c>
      <c r="U427" s="9"/>
      <c r="V427" s="9"/>
      <c r="W427" s="9"/>
      <c r="X427" s="9"/>
      <c r="Y427" s="9"/>
      <c r="Z427" s="9"/>
      <c r="AA427" s="9"/>
      <c r="AB427" s="9"/>
      <c r="AC427" s="9"/>
      <c r="AD427" s="9"/>
    </row>
    <row r="428" spans="1:30" ht="58">
      <c r="A428" s="3" t="s">
        <v>3118</v>
      </c>
      <c r="B428" s="3" t="s">
        <v>8528</v>
      </c>
      <c r="C428" s="3" t="s">
        <v>8529</v>
      </c>
      <c r="G428" s="9" t="s">
        <v>25</v>
      </c>
      <c r="H428" s="9"/>
      <c r="I428" s="9">
        <v>1</v>
      </c>
      <c r="J428" s="9">
        <v>3</v>
      </c>
      <c r="K428" s="9" t="s">
        <v>12087</v>
      </c>
      <c r="L428" s="9" t="s">
        <v>12079</v>
      </c>
      <c r="M428" s="9"/>
      <c r="N428" s="10"/>
      <c r="O428" s="9"/>
      <c r="P428" s="9">
        <v>309</v>
      </c>
      <c r="Q428" s="9">
        <v>37.130497476568131</v>
      </c>
      <c r="R428" s="9"/>
      <c r="S428" s="9" t="s">
        <v>12795</v>
      </c>
      <c r="T428" s="9" t="s">
        <v>12795</v>
      </c>
      <c r="U428" s="9"/>
      <c r="V428" s="9"/>
      <c r="W428" s="9"/>
      <c r="X428" s="9"/>
      <c r="Y428" s="9"/>
      <c r="Z428" s="9"/>
      <c r="AA428" s="9"/>
      <c r="AB428" s="9"/>
      <c r="AC428" s="9"/>
      <c r="AD428" s="9"/>
    </row>
    <row r="429" spans="1:30" ht="43.5">
      <c r="A429" s="3" t="s">
        <v>3130</v>
      </c>
      <c r="B429" s="3" t="s">
        <v>8548</v>
      </c>
      <c r="C429" s="3" t="s">
        <v>8549</v>
      </c>
      <c r="G429" s="9" t="s">
        <v>24</v>
      </c>
      <c r="H429" s="9"/>
      <c r="I429" s="9">
        <v>1</v>
      </c>
      <c r="J429" s="9">
        <v>2</v>
      </c>
      <c r="K429" s="9" t="s">
        <v>12078</v>
      </c>
      <c r="L429" s="9" t="s">
        <v>12119</v>
      </c>
      <c r="M429" s="9"/>
      <c r="N429" s="10"/>
      <c r="O429" s="9"/>
      <c r="P429" s="9">
        <v>11843</v>
      </c>
      <c r="Q429" s="9">
        <v>1423.0954097572699</v>
      </c>
      <c r="R429" s="9"/>
      <c r="S429" s="9" t="s">
        <v>12795</v>
      </c>
      <c r="T429" s="9" t="s">
        <v>12795</v>
      </c>
      <c r="U429" s="9"/>
      <c r="V429" s="9"/>
      <c r="W429" s="9"/>
      <c r="X429" s="9"/>
      <c r="Y429" s="9"/>
      <c r="Z429" s="9"/>
      <c r="AA429" s="9"/>
      <c r="AB429" s="9"/>
      <c r="AC429" s="9"/>
      <c r="AD429" s="9"/>
    </row>
    <row r="430" spans="1:30" ht="43.5">
      <c r="A430" s="3" t="s">
        <v>3130</v>
      </c>
      <c r="B430" s="3" t="s">
        <v>8548</v>
      </c>
      <c r="C430" s="3" t="s">
        <v>8550</v>
      </c>
      <c r="G430" s="9" t="s">
        <v>24</v>
      </c>
      <c r="H430" s="9"/>
      <c r="I430" s="9">
        <v>1</v>
      </c>
      <c r="J430" s="9">
        <v>2</v>
      </c>
      <c r="K430" s="9" t="s">
        <v>12078</v>
      </c>
      <c r="L430" s="9" t="s">
        <v>12119</v>
      </c>
      <c r="M430" s="9"/>
      <c r="N430" s="10"/>
      <c r="O430" s="9"/>
      <c r="P430" s="9">
        <v>11843</v>
      </c>
      <c r="Q430" s="9">
        <v>1423.0954097572699</v>
      </c>
      <c r="R430" s="9"/>
      <c r="S430" s="9" t="s">
        <v>12795</v>
      </c>
      <c r="T430" s="9" t="s">
        <v>12795</v>
      </c>
      <c r="U430" s="9"/>
      <c r="V430" s="9"/>
      <c r="W430" s="9"/>
      <c r="X430" s="9"/>
      <c r="Y430" s="9"/>
      <c r="Z430" s="9"/>
      <c r="AA430" s="9"/>
      <c r="AB430" s="9"/>
      <c r="AC430" s="9"/>
      <c r="AD430" s="9"/>
    </row>
    <row r="431" spans="1:30" ht="29">
      <c r="A431" s="3" t="s">
        <v>3131</v>
      </c>
      <c r="B431" s="3" t="s">
        <v>8552</v>
      </c>
      <c r="C431" s="3" t="s">
        <v>8551</v>
      </c>
      <c r="G431" s="9" t="s">
        <v>24</v>
      </c>
      <c r="H431" s="9"/>
      <c r="I431" s="9">
        <v>1</v>
      </c>
      <c r="J431" s="9">
        <v>2</v>
      </c>
      <c r="K431" s="9" t="s">
        <v>12123</v>
      </c>
      <c r="L431" s="9" t="s">
        <v>12119</v>
      </c>
      <c r="M431" s="9"/>
      <c r="N431" s="10"/>
      <c r="O431" s="9"/>
      <c r="P431" s="9">
        <v>134</v>
      </c>
      <c r="Q431" s="9">
        <v>16.101898582071616</v>
      </c>
      <c r="R431" s="9"/>
      <c r="S431" s="9" t="s">
        <v>12795</v>
      </c>
      <c r="T431" s="9" t="s">
        <v>12795</v>
      </c>
      <c r="U431" s="9"/>
      <c r="V431" s="9"/>
      <c r="W431" s="9"/>
      <c r="X431" s="9"/>
      <c r="Y431" s="9"/>
      <c r="Z431" s="9"/>
      <c r="AA431" s="9"/>
      <c r="AB431" s="9"/>
      <c r="AC431" s="9"/>
      <c r="AD431" s="9"/>
    </row>
    <row r="432" spans="1:30" ht="29">
      <c r="A432" s="3" t="s">
        <v>3131</v>
      </c>
      <c r="B432" s="3" t="s">
        <v>8554</v>
      </c>
      <c r="C432" s="3" t="s">
        <v>8553</v>
      </c>
      <c r="G432" s="9" t="s">
        <v>24</v>
      </c>
      <c r="H432" s="9"/>
      <c r="I432" s="9">
        <v>1</v>
      </c>
      <c r="J432" s="9">
        <v>2</v>
      </c>
      <c r="K432" s="9" t="s">
        <v>12123</v>
      </c>
      <c r="L432" s="9" t="s">
        <v>12119</v>
      </c>
      <c r="M432" s="9"/>
      <c r="N432" s="10"/>
      <c r="O432" s="9"/>
      <c r="P432" s="9">
        <v>526</v>
      </c>
      <c r="Q432" s="9">
        <v>63.205960105743813</v>
      </c>
      <c r="R432" s="9"/>
      <c r="S432" s="9" t="s">
        <v>12795</v>
      </c>
      <c r="T432" s="9" t="s">
        <v>12795</v>
      </c>
      <c r="U432" s="9"/>
      <c r="V432" s="9"/>
      <c r="W432" s="9"/>
      <c r="X432" s="9"/>
      <c r="Y432" s="9"/>
      <c r="Z432" s="9"/>
      <c r="AA432" s="9"/>
      <c r="AB432" s="9"/>
      <c r="AC432" s="9"/>
      <c r="AD432" s="9"/>
    </row>
    <row r="433" spans="1:30" ht="58">
      <c r="A433" s="3" t="s">
        <v>3160</v>
      </c>
      <c r="B433" s="3" t="s">
        <v>8613</v>
      </c>
      <c r="C433" s="3" t="s">
        <v>8612</v>
      </c>
      <c r="F433" t="s">
        <v>19</v>
      </c>
      <c r="G433" s="9" t="s">
        <v>25</v>
      </c>
      <c r="H433" s="9"/>
      <c r="I433" s="9">
        <v>1</v>
      </c>
      <c r="J433" s="9">
        <v>3</v>
      </c>
      <c r="K433" s="9" t="s">
        <v>12087</v>
      </c>
      <c r="L433" s="9" t="s">
        <v>12079</v>
      </c>
      <c r="M433" s="9"/>
      <c r="N433" s="10"/>
      <c r="O433" s="9"/>
      <c r="P433" s="9">
        <v>356</v>
      </c>
      <c r="Q433" s="9">
        <v>42.778178322518627</v>
      </c>
      <c r="R433" s="9"/>
      <c r="S433" s="9" t="s">
        <v>12795</v>
      </c>
      <c r="T433" s="9" t="s">
        <v>12795</v>
      </c>
      <c r="U433" s="9"/>
      <c r="V433" s="9"/>
      <c r="W433" s="9"/>
      <c r="X433" s="9"/>
      <c r="Y433" s="9"/>
      <c r="Z433" s="9"/>
      <c r="AA433" s="9"/>
      <c r="AB433" s="9"/>
      <c r="AC433" s="9"/>
      <c r="AD433" s="9"/>
    </row>
    <row r="434" spans="1:30" ht="29">
      <c r="A434" s="3" t="s">
        <v>3168</v>
      </c>
      <c r="B434" s="3" t="s">
        <v>8618</v>
      </c>
      <c r="C434" s="3" t="s">
        <v>8619</v>
      </c>
      <c r="G434" s="9" t="s">
        <v>25</v>
      </c>
      <c r="H434" s="9"/>
      <c r="I434" s="9">
        <v>1</v>
      </c>
      <c r="J434" s="9">
        <v>3</v>
      </c>
      <c r="K434" s="9" t="s">
        <v>12087</v>
      </c>
      <c r="L434" s="9" t="s">
        <v>12079</v>
      </c>
      <c r="M434" s="9"/>
      <c r="N434" s="10"/>
      <c r="O434" s="9"/>
      <c r="P434" s="9">
        <v>5676</v>
      </c>
      <c r="Q434" s="9">
        <v>682.04758471521268</v>
      </c>
      <c r="R434" s="9"/>
      <c r="S434" s="9" t="s">
        <v>12795</v>
      </c>
      <c r="T434" s="9" t="s">
        <v>12795</v>
      </c>
      <c r="U434" s="9"/>
      <c r="V434" s="9"/>
      <c r="W434" s="9"/>
      <c r="X434" s="9"/>
      <c r="Y434" s="9"/>
      <c r="Z434" s="9"/>
      <c r="AA434" s="9"/>
      <c r="AB434" s="9"/>
      <c r="AC434" s="9"/>
      <c r="AD434" s="9"/>
    </row>
    <row r="435" spans="1:30" ht="58">
      <c r="A435" s="3" t="s">
        <v>3183</v>
      </c>
      <c r="B435" s="3" t="s">
        <v>8639</v>
      </c>
      <c r="C435" s="3" t="s">
        <v>8636</v>
      </c>
      <c r="G435" s="9" t="s">
        <v>25</v>
      </c>
      <c r="H435" s="9"/>
      <c r="I435" s="9">
        <v>1</v>
      </c>
      <c r="J435" s="9">
        <v>1</v>
      </c>
      <c r="K435" s="9" t="s">
        <v>12078</v>
      </c>
      <c r="L435" s="9" t="s">
        <v>12119</v>
      </c>
      <c r="M435" s="9"/>
      <c r="N435" s="10"/>
      <c r="O435" s="9"/>
      <c r="P435" s="9">
        <v>11843</v>
      </c>
      <c r="Q435" s="9">
        <v>1423.0954097572699</v>
      </c>
      <c r="R435" s="9"/>
      <c r="S435" s="9" t="s">
        <v>12795</v>
      </c>
      <c r="T435" s="9" t="s">
        <v>12795</v>
      </c>
      <c r="U435" s="9"/>
      <c r="V435" s="9"/>
      <c r="W435" s="9"/>
      <c r="X435" s="9"/>
      <c r="Y435" s="9"/>
      <c r="Z435" s="9"/>
      <c r="AA435" s="9"/>
      <c r="AB435" s="9"/>
      <c r="AC435" s="9"/>
      <c r="AD435" s="9"/>
    </row>
    <row r="436" spans="1:30" ht="29">
      <c r="A436" s="3" t="s">
        <v>3184</v>
      </c>
      <c r="B436" s="3" t="s">
        <v>8641</v>
      </c>
      <c r="C436" s="3" t="s">
        <v>8640</v>
      </c>
      <c r="G436" s="9" t="s">
        <v>24</v>
      </c>
      <c r="H436" s="9"/>
      <c r="I436" s="9">
        <v>1</v>
      </c>
      <c r="J436" s="9">
        <v>2</v>
      </c>
      <c r="K436" s="9" t="s">
        <v>12078</v>
      </c>
      <c r="L436" s="9" t="s">
        <v>12119</v>
      </c>
      <c r="M436" s="9"/>
      <c r="N436" s="10"/>
      <c r="O436" s="9"/>
      <c r="P436" s="9">
        <v>11843</v>
      </c>
      <c r="Q436" s="9">
        <v>1423.0954097572699</v>
      </c>
      <c r="R436" s="9"/>
      <c r="S436" s="9" t="s">
        <v>12795</v>
      </c>
      <c r="T436" s="9" t="s">
        <v>12795</v>
      </c>
      <c r="U436" s="9"/>
      <c r="V436" s="9"/>
      <c r="W436" s="9"/>
      <c r="X436" s="9"/>
      <c r="Y436" s="9"/>
      <c r="Z436" s="9"/>
      <c r="AA436" s="9"/>
      <c r="AB436" s="9"/>
      <c r="AC436" s="9"/>
      <c r="AD436" s="9"/>
    </row>
    <row r="437" spans="1:30" ht="43.5">
      <c r="A437" s="3" t="s">
        <v>3195</v>
      </c>
      <c r="B437" s="3" t="s">
        <v>8657</v>
      </c>
      <c r="C437" s="3" t="s">
        <v>8656</v>
      </c>
      <c r="G437" s="9" t="s">
        <v>25</v>
      </c>
      <c r="H437" s="9"/>
      <c r="I437" s="9">
        <v>1</v>
      </c>
      <c r="J437" s="9">
        <v>5</v>
      </c>
      <c r="K437" s="9" t="s">
        <v>12094</v>
      </c>
      <c r="L437" s="9" t="s">
        <v>12079</v>
      </c>
      <c r="M437" s="9"/>
      <c r="N437" s="10"/>
      <c r="O437" s="9"/>
      <c r="P437" s="9">
        <v>4240</v>
      </c>
      <c r="Q437" s="9">
        <v>509.49291035808699</v>
      </c>
      <c r="R437" s="9"/>
      <c r="S437" s="9" t="s">
        <v>12795</v>
      </c>
      <c r="T437" s="9" t="s">
        <v>12795</v>
      </c>
      <c r="U437" s="9"/>
      <c r="V437" s="9"/>
      <c r="W437" s="9"/>
      <c r="X437" s="9"/>
      <c r="Y437" s="9"/>
      <c r="Z437" s="9"/>
      <c r="AA437" s="9"/>
      <c r="AB437" s="9"/>
      <c r="AC437" s="9"/>
      <c r="AD437" s="9"/>
    </row>
    <row r="438" spans="1:30" ht="58">
      <c r="A438" s="3" t="s">
        <v>3202</v>
      </c>
      <c r="B438" s="3" t="s">
        <v>8677</v>
      </c>
      <c r="C438" s="3" t="s">
        <v>8680</v>
      </c>
      <c r="G438" s="9" t="s">
        <v>24</v>
      </c>
      <c r="H438" s="9"/>
      <c r="I438" s="9">
        <v>1</v>
      </c>
      <c r="J438" s="9">
        <v>5</v>
      </c>
      <c r="K438" s="9" t="s">
        <v>12094</v>
      </c>
      <c r="L438" s="9" t="s">
        <v>12079</v>
      </c>
      <c r="M438" s="9"/>
      <c r="N438" s="10"/>
      <c r="O438" s="9"/>
      <c r="P438" s="9">
        <v>4240</v>
      </c>
      <c r="Q438" s="9">
        <v>509.49291035808699</v>
      </c>
      <c r="R438" s="9"/>
      <c r="S438" s="9" t="s">
        <v>12795</v>
      </c>
      <c r="T438" s="9" t="s">
        <v>12795</v>
      </c>
      <c r="U438" s="9"/>
      <c r="V438" s="9"/>
      <c r="W438" s="9"/>
      <c r="X438" s="9"/>
      <c r="Y438" s="9"/>
      <c r="Z438" s="9"/>
      <c r="AA438" s="9"/>
      <c r="AB438" s="9"/>
      <c r="AC438" s="9"/>
      <c r="AD438" s="9"/>
    </row>
    <row r="439" spans="1:30" ht="29">
      <c r="A439" s="3" t="s">
        <v>3209</v>
      </c>
      <c r="B439" s="3" t="s">
        <v>8684</v>
      </c>
      <c r="C439" s="3" t="s">
        <v>8683</v>
      </c>
      <c r="G439" s="9" t="s">
        <v>24</v>
      </c>
      <c r="H439" s="9"/>
      <c r="I439" s="9">
        <v>1</v>
      </c>
      <c r="J439" s="9">
        <v>2</v>
      </c>
      <c r="K439" s="9" t="s">
        <v>12094</v>
      </c>
      <c r="L439" s="9" t="s">
        <v>12119</v>
      </c>
      <c r="M439" s="9"/>
      <c r="N439" s="10"/>
      <c r="O439" s="9"/>
      <c r="P439" s="9">
        <v>301</v>
      </c>
      <c r="Q439" s="9">
        <v>36.16919009853401</v>
      </c>
      <c r="R439" s="9"/>
      <c r="S439" s="9" t="s">
        <v>12795</v>
      </c>
      <c r="T439" s="9" t="s">
        <v>12795</v>
      </c>
      <c r="U439" s="9"/>
      <c r="V439" s="9"/>
      <c r="W439" s="9"/>
      <c r="X439" s="9"/>
      <c r="Y439" s="9"/>
      <c r="Z439" s="9"/>
      <c r="AA439" s="9"/>
      <c r="AB439" s="9"/>
      <c r="AC439" s="9"/>
      <c r="AD439" s="9"/>
    </row>
    <row r="440" spans="1:30" ht="29">
      <c r="A440" s="3" t="s">
        <v>3214</v>
      </c>
      <c r="B440" s="3" t="s">
        <v>8691</v>
      </c>
      <c r="C440" s="3" t="s">
        <v>8692</v>
      </c>
      <c r="G440" s="9" t="s">
        <v>25</v>
      </c>
      <c r="H440" s="9"/>
      <c r="I440" s="9">
        <v>1</v>
      </c>
      <c r="J440" s="9">
        <v>2</v>
      </c>
      <c r="K440" s="9" t="s">
        <v>12087</v>
      </c>
      <c r="L440" s="9" t="s">
        <v>12119</v>
      </c>
      <c r="M440" s="9"/>
      <c r="N440" s="10"/>
      <c r="O440" s="9"/>
      <c r="P440" s="9">
        <v>1966</v>
      </c>
      <c r="Q440" s="9">
        <v>236.24128815188658</v>
      </c>
      <c r="R440" s="9"/>
      <c r="S440" s="9" t="s">
        <v>12795</v>
      </c>
      <c r="T440" s="9" t="s">
        <v>12795</v>
      </c>
      <c r="U440" s="9"/>
      <c r="V440" s="9"/>
      <c r="W440" s="9"/>
      <c r="X440" s="9"/>
      <c r="Y440" s="9"/>
      <c r="Z440" s="9"/>
      <c r="AA440" s="9"/>
      <c r="AB440" s="9"/>
      <c r="AC440" s="9"/>
      <c r="AD440" s="9"/>
    </row>
    <row r="441" spans="1:30" ht="29">
      <c r="A441" s="3" t="s">
        <v>3215</v>
      </c>
      <c r="B441" s="3" t="s">
        <v>8693</v>
      </c>
      <c r="C441" s="3" t="s">
        <v>8694</v>
      </c>
      <c r="G441" s="9" t="s">
        <v>25</v>
      </c>
      <c r="H441" s="9"/>
      <c r="I441" s="9">
        <v>1</v>
      </c>
      <c r="J441" s="9">
        <v>3</v>
      </c>
      <c r="K441" s="9" t="s">
        <v>12087</v>
      </c>
      <c r="L441" s="9" t="s">
        <v>12079</v>
      </c>
      <c r="M441" s="9"/>
      <c r="N441" s="10"/>
      <c r="O441" s="9"/>
      <c r="P441" s="9">
        <v>810</v>
      </c>
      <c r="Q441" s="9">
        <v>97.332372025955294</v>
      </c>
      <c r="R441" s="9"/>
      <c r="S441" s="9" t="s">
        <v>12795</v>
      </c>
      <c r="T441" s="9" t="s">
        <v>12795</v>
      </c>
      <c r="U441" s="9"/>
      <c r="V441" s="9"/>
      <c r="W441" s="9"/>
      <c r="X441" s="9"/>
      <c r="Y441" s="9"/>
      <c r="Z441" s="9"/>
      <c r="AA441" s="9"/>
      <c r="AB441" s="9"/>
      <c r="AC441" s="9"/>
      <c r="AD441" s="9"/>
    </row>
    <row r="442" spans="1:30" ht="43.5">
      <c r="A442" s="3" t="s">
        <v>3244</v>
      </c>
      <c r="B442" s="3" t="s">
        <v>8749</v>
      </c>
      <c r="C442" s="3" t="s">
        <v>8748</v>
      </c>
      <c r="G442" s="9" t="s">
        <v>25</v>
      </c>
      <c r="H442" s="9"/>
      <c r="I442" s="9">
        <v>1</v>
      </c>
      <c r="J442" s="9">
        <v>2</v>
      </c>
      <c r="K442" s="9" t="s">
        <v>12096</v>
      </c>
      <c r="L442" s="9" t="s">
        <v>12119</v>
      </c>
      <c r="M442" s="9"/>
      <c r="N442" s="10"/>
      <c r="O442" s="9"/>
      <c r="P442" s="9">
        <v>1294</v>
      </c>
      <c r="Q442" s="9">
        <v>155.49146839701996</v>
      </c>
      <c r="R442" s="9"/>
      <c r="S442" s="9" t="s">
        <v>12795</v>
      </c>
      <c r="T442" s="9" t="s">
        <v>12795</v>
      </c>
      <c r="U442" s="9" t="s">
        <v>12117</v>
      </c>
      <c r="V442" s="9"/>
      <c r="W442" s="9"/>
      <c r="X442" s="9"/>
      <c r="Y442" s="9"/>
      <c r="Z442" s="9"/>
      <c r="AA442" s="9"/>
      <c r="AB442" s="9"/>
      <c r="AC442" s="9"/>
      <c r="AD442" s="9"/>
    </row>
    <row r="443" spans="1:30" ht="87">
      <c r="A443" s="3" t="s">
        <v>3247</v>
      </c>
      <c r="B443" s="3" t="s">
        <v>8757</v>
      </c>
      <c r="C443" s="3" t="s">
        <v>8756</v>
      </c>
      <c r="G443" s="9" t="s">
        <v>25</v>
      </c>
      <c r="H443" s="9"/>
      <c r="I443" s="9">
        <v>1</v>
      </c>
      <c r="J443" s="9">
        <v>1</v>
      </c>
      <c r="K443" s="9" t="s">
        <v>12078</v>
      </c>
      <c r="L443" s="9" t="s">
        <v>12119</v>
      </c>
      <c r="M443" s="9"/>
      <c r="N443" s="10"/>
      <c r="O443" s="9"/>
      <c r="P443" s="9">
        <v>11843</v>
      </c>
      <c r="Q443" s="9">
        <v>1423.0954097572699</v>
      </c>
      <c r="R443" s="9"/>
      <c r="S443" s="9" t="s">
        <v>12795</v>
      </c>
      <c r="T443" s="9" t="s">
        <v>12795</v>
      </c>
      <c r="U443" s="9" t="s">
        <v>12117</v>
      </c>
      <c r="V443" s="9"/>
      <c r="W443" s="9"/>
      <c r="X443" s="9"/>
      <c r="Y443" s="9"/>
      <c r="Z443" s="9"/>
      <c r="AA443" s="9"/>
      <c r="AB443" s="9"/>
      <c r="AC443" s="9"/>
      <c r="AD443" s="9"/>
    </row>
    <row r="444" spans="1:30" ht="58">
      <c r="A444" s="3" t="s">
        <v>3256</v>
      </c>
      <c r="B444" s="3" t="s">
        <v>8780</v>
      </c>
      <c r="C444" s="3" t="s">
        <v>8779</v>
      </c>
      <c r="G444" s="9" t="s">
        <v>24</v>
      </c>
      <c r="H444" s="9"/>
      <c r="I444" s="9">
        <v>1</v>
      </c>
      <c r="J444" s="9">
        <v>3</v>
      </c>
      <c r="K444" s="9" t="s">
        <v>12094</v>
      </c>
      <c r="L444" s="9" t="s">
        <v>12079</v>
      </c>
      <c r="M444" s="9"/>
      <c r="N444" s="10"/>
      <c r="O444" s="9"/>
      <c r="P444" s="9">
        <v>1496</v>
      </c>
      <c r="Q444" s="9">
        <v>179.76447969238166</v>
      </c>
      <c r="R444" s="9"/>
      <c r="S444" s="9" t="s">
        <v>12795</v>
      </c>
      <c r="T444" s="9" t="s">
        <v>12795</v>
      </c>
      <c r="U444" s="9"/>
      <c r="V444" s="9"/>
      <c r="W444" s="9"/>
      <c r="X444" s="9"/>
      <c r="Y444" s="9"/>
      <c r="Z444" s="9"/>
      <c r="AA444" s="9"/>
      <c r="AB444" s="9"/>
      <c r="AC444" s="9"/>
      <c r="AD444" s="9"/>
    </row>
    <row r="445" spans="1:30" ht="43.5">
      <c r="A445" s="3" t="s">
        <v>3258</v>
      </c>
      <c r="B445" s="3" t="s">
        <v>8783</v>
      </c>
      <c r="C445" s="3" t="s">
        <v>8784</v>
      </c>
      <c r="G445" s="9" t="s">
        <v>25</v>
      </c>
      <c r="H445" s="9"/>
      <c r="I445" s="9">
        <v>1</v>
      </c>
      <c r="J445" s="9">
        <v>4</v>
      </c>
      <c r="K445" s="9" t="s">
        <v>12094</v>
      </c>
      <c r="L445" s="9" t="s">
        <v>12079</v>
      </c>
      <c r="M445" s="9"/>
      <c r="N445" s="10"/>
      <c r="O445" s="9"/>
      <c r="P445" s="9">
        <v>4240</v>
      </c>
      <c r="Q445" s="9">
        <v>509.49291035808699</v>
      </c>
      <c r="R445" s="9"/>
      <c r="S445" s="9" t="s">
        <v>12795</v>
      </c>
      <c r="T445" s="9" t="s">
        <v>12795</v>
      </c>
      <c r="U445" s="9"/>
      <c r="V445" s="9"/>
      <c r="W445" s="9"/>
      <c r="X445" s="9"/>
      <c r="Y445" s="9"/>
      <c r="Z445" s="9"/>
      <c r="AA445" s="9"/>
      <c r="AB445" s="9"/>
      <c r="AC445" s="9"/>
      <c r="AD445" s="9"/>
    </row>
    <row r="446" spans="1:30" ht="29">
      <c r="A446" s="3" t="s">
        <v>3259</v>
      </c>
      <c r="B446" s="3" t="s">
        <v>8786</v>
      </c>
      <c r="C446" s="3" t="s">
        <v>8785</v>
      </c>
      <c r="G446" s="9" t="s">
        <v>25</v>
      </c>
      <c r="H446" s="9"/>
      <c r="I446" s="9">
        <v>1</v>
      </c>
      <c r="J446" s="9">
        <v>2</v>
      </c>
      <c r="K446" s="9" t="s">
        <v>12094</v>
      </c>
      <c r="L446" s="9" t="s">
        <v>12119</v>
      </c>
      <c r="M446" s="9"/>
      <c r="N446" s="10"/>
      <c r="O446" s="9"/>
      <c r="P446" s="9">
        <v>1741</v>
      </c>
      <c r="Q446" s="9">
        <v>209.20451814467677</v>
      </c>
      <c r="R446" s="9"/>
      <c r="S446" s="9" t="s">
        <v>12795</v>
      </c>
      <c r="T446" s="9" t="s">
        <v>12795</v>
      </c>
      <c r="U446" s="9"/>
      <c r="V446" s="9"/>
      <c r="W446" s="9"/>
      <c r="X446" s="9"/>
      <c r="Y446" s="9"/>
      <c r="Z446" s="9"/>
      <c r="AA446" s="9"/>
      <c r="AB446" s="9"/>
      <c r="AC446" s="9"/>
      <c r="AD446" s="9"/>
    </row>
    <row r="447" spans="1:30" ht="29">
      <c r="A447" s="3" t="s">
        <v>3262</v>
      </c>
      <c r="B447" s="3" t="s">
        <v>8800</v>
      </c>
      <c r="C447" s="3" t="s">
        <v>8799</v>
      </c>
      <c r="G447" s="9" t="s">
        <v>24</v>
      </c>
      <c r="H447" s="9"/>
      <c r="I447" s="9">
        <v>1</v>
      </c>
      <c r="J447" s="9">
        <v>3</v>
      </c>
      <c r="K447" s="9" t="s">
        <v>12094</v>
      </c>
      <c r="L447" s="9" t="s">
        <v>12079</v>
      </c>
      <c r="M447" s="9"/>
      <c r="N447" s="10"/>
      <c r="O447" s="9"/>
      <c r="P447" s="9">
        <v>1741</v>
      </c>
      <c r="Q447" s="9">
        <v>209.20451814467677</v>
      </c>
      <c r="R447" s="9"/>
      <c r="S447" s="9" t="s">
        <v>12795</v>
      </c>
      <c r="T447" s="9" t="s">
        <v>12795</v>
      </c>
      <c r="U447" s="9"/>
      <c r="V447" s="9"/>
      <c r="W447" s="9"/>
      <c r="X447" s="9"/>
      <c r="Y447" s="9"/>
      <c r="Z447" s="9"/>
      <c r="AA447" s="9"/>
      <c r="AB447" s="9"/>
      <c r="AC447" s="9"/>
      <c r="AD447" s="9"/>
    </row>
    <row r="448" spans="1:30" ht="43.5">
      <c r="A448" s="3" t="s">
        <v>3268</v>
      </c>
      <c r="B448" s="3" t="s">
        <v>8808</v>
      </c>
      <c r="C448" s="3" t="s">
        <v>8807</v>
      </c>
      <c r="G448" s="9" t="s">
        <v>24</v>
      </c>
      <c r="H448" s="9"/>
      <c r="I448" s="9">
        <v>1</v>
      </c>
      <c r="J448" s="9">
        <v>2</v>
      </c>
      <c r="K448" s="9" t="s">
        <v>12087</v>
      </c>
      <c r="L448" s="9" t="s">
        <v>12119</v>
      </c>
      <c r="M448" s="9"/>
      <c r="N448" s="10"/>
      <c r="O448" s="9"/>
      <c r="P448" s="9">
        <v>1966</v>
      </c>
      <c r="Q448" s="9">
        <v>236.24128815188658</v>
      </c>
      <c r="R448" s="9"/>
      <c r="S448" s="9" t="s">
        <v>12795</v>
      </c>
      <c r="T448" s="9" t="s">
        <v>12795</v>
      </c>
      <c r="U448" s="9"/>
      <c r="V448" s="9"/>
      <c r="W448" s="9"/>
      <c r="X448" s="9"/>
      <c r="Y448" s="9"/>
      <c r="Z448" s="9"/>
      <c r="AA448" s="9"/>
      <c r="AB448" s="9"/>
      <c r="AC448" s="9"/>
      <c r="AD448" s="9"/>
    </row>
    <row r="449" spans="1:30" ht="29">
      <c r="A449" s="3" t="s">
        <v>3272</v>
      </c>
      <c r="B449" s="3" t="s">
        <v>8815</v>
      </c>
      <c r="C449" s="3" t="s">
        <v>8816</v>
      </c>
      <c r="G449" s="9" t="s">
        <v>25</v>
      </c>
      <c r="H449" s="9"/>
      <c r="I449" s="9">
        <v>1</v>
      </c>
      <c r="J449" s="9">
        <v>1</v>
      </c>
      <c r="K449" s="9" t="s">
        <v>12078</v>
      </c>
      <c r="L449" s="9" t="s">
        <v>12119</v>
      </c>
      <c r="M449" s="9"/>
      <c r="N449" s="10"/>
      <c r="O449" s="9"/>
      <c r="P449" s="9">
        <v>11843</v>
      </c>
      <c r="Q449" s="9">
        <v>1423.0954097572699</v>
      </c>
      <c r="R449" s="9"/>
      <c r="S449" s="9" t="s">
        <v>12795</v>
      </c>
      <c r="T449" s="9" t="s">
        <v>12795</v>
      </c>
      <c r="U449" s="9"/>
      <c r="V449" s="9"/>
      <c r="W449" s="9"/>
      <c r="X449" s="9"/>
      <c r="Y449" s="9"/>
      <c r="Z449" s="9"/>
      <c r="AA449" s="9"/>
      <c r="AB449" s="9"/>
      <c r="AC449" s="9"/>
      <c r="AD449" s="9"/>
    </row>
    <row r="450" spans="1:30" ht="29">
      <c r="A450" s="3" t="s">
        <v>3285</v>
      </c>
      <c r="B450" s="3" t="s">
        <v>8834</v>
      </c>
      <c r="C450" s="3" t="s">
        <v>8835</v>
      </c>
      <c r="G450" s="9" t="s">
        <v>25</v>
      </c>
      <c r="H450" s="9"/>
      <c r="I450" s="9">
        <v>1</v>
      </c>
      <c r="J450" s="9">
        <v>2</v>
      </c>
      <c r="K450" s="9" t="s">
        <v>12078</v>
      </c>
      <c r="L450" s="9" t="s">
        <v>12119</v>
      </c>
      <c r="M450" s="9"/>
      <c r="N450" s="10"/>
      <c r="O450" s="9"/>
      <c r="P450" s="9">
        <v>11843</v>
      </c>
      <c r="Q450" s="9">
        <v>1423.0954097572699</v>
      </c>
      <c r="R450" s="9"/>
      <c r="S450" s="9" t="s">
        <v>12795</v>
      </c>
      <c r="T450" s="9" t="s">
        <v>12795</v>
      </c>
      <c r="U450" s="9"/>
      <c r="V450" s="9"/>
      <c r="W450" s="9"/>
      <c r="X450" s="9"/>
      <c r="Y450" s="9"/>
      <c r="Z450" s="9"/>
      <c r="AA450" s="9"/>
      <c r="AB450" s="9"/>
      <c r="AC450" s="9"/>
      <c r="AD450" s="9"/>
    </row>
    <row r="451" spans="1:30" ht="58">
      <c r="A451" s="3" t="s">
        <v>3285</v>
      </c>
      <c r="B451" s="3" t="s">
        <v>8839</v>
      </c>
      <c r="C451" s="3" t="s">
        <v>8836</v>
      </c>
      <c r="G451" s="9" t="s">
        <v>25</v>
      </c>
      <c r="H451" s="9"/>
      <c r="I451" s="9">
        <v>1</v>
      </c>
      <c r="J451" s="9">
        <v>3</v>
      </c>
      <c r="K451" s="9" t="s">
        <v>12078</v>
      </c>
      <c r="L451" s="9" t="s">
        <v>12079</v>
      </c>
      <c r="M451" s="9"/>
      <c r="N451" s="10"/>
      <c r="O451" s="9"/>
      <c r="P451" s="9">
        <v>11843</v>
      </c>
      <c r="Q451" s="9">
        <v>1423.0954097572699</v>
      </c>
      <c r="R451" s="9"/>
      <c r="S451" s="9" t="s">
        <v>12795</v>
      </c>
      <c r="T451" s="9" t="s">
        <v>12795</v>
      </c>
      <c r="U451" s="9"/>
      <c r="V451" s="9"/>
      <c r="W451" s="9"/>
      <c r="X451" s="9"/>
      <c r="Y451" s="9"/>
      <c r="Z451" s="9"/>
      <c r="AA451" s="9"/>
      <c r="AB451" s="9"/>
      <c r="AC451" s="9"/>
      <c r="AD451" s="9"/>
    </row>
    <row r="452" spans="1:30" ht="101.5">
      <c r="A452" s="3" t="s">
        <v>3287</v>
      </c>
      <c r="B452" s="3" t="s">
        <v>8843</v>
      </c>
      <c r="C452" s="3" t="s">
        <v>8842</v>
      </c>
      <c r="G452" s="9" t="s">
        <v>25</v>
      </c>
      <c r="H452" s="9"/>
      <c r="I452" s="9">
        <v>1</v>
      </c>
      <c r="J452" s="9">
        <v>2</v>
      </c>
      <c r="K452" s="9" t="s">
        <v>12087</v>
      </c>
      <c r="L452" s="9" t="s">
        <v>12119</v>
      </c>
      <c r="M452" s="9"/>
      <c r="N452" s="10"/>
      <c r="O452" s="9"/>
      <c r="P452" s="9">
        <v>1966</v>
      </c>
      <c r="Q452" s="9">
        <v>236.24128815188658</v>
      </c>
      <c r="R452" s="9"/>
      <c r="S452" s="9" t="s">
        <v>12795</v>
      </c>
      <c r="T452" s="9" t="s">
        <v>12795</v>
      </c>
      <c r="U452" s="9"/>
      <c r="V452" s="9"/>
      <c r="W452" s="9"/>
      <c r="X452" s="9"/>
      <c r="Y452" s="9"/>
      <c r="Z452" s="9"/>
      <c r="AA452" s="9"/>
      <c r="AB452" s="9"/>
      <c r="AC452" s="9"/>
      <c r="AD452" s="9"/>
    </row>
    <row r="453" spans="1:30" ht="101.5">
      <c r="A453" s="3" t="s">
        <v>3287</v>
      </c>
      <c r="B453" s="3" t="s">
        <v>8846</v>
      </c>
      <c r="C453" s="3" t="s">
        <v>8842</v>
      </c>
      <c r="G453" s="9" t="s">
        <v>25</v>
      </c>
      <c r="H453" s="9"/>
      <c r="I453" s="9">
        <v>1</v>
      </c>
      <c r="J453" s="9">
        <v>2</v>
      </c>
      <c r="K453" s="9" t="s">
        <v>12078</v>
      </c>
      <c r="L453" s="9" t="s">
        <v>12119</v>
      </c>
      <c r="M453" s="9"/>
      <c r="N453" s="10"/>
      <c r="O453" s="9"/>
      <c r="P453" s="9">
        <v>11843</v>
      </c>
      <c r="Q453" s="9">
        <v>1423.0954097572699</v>
      </c>
      <c r="R453" s="9"/>
      <c r="S453" s="9" t="s">
        <v>12795</v>
      </c>
      <c r="T453" s="9" t="s">
        <v>12795</v>
      </c>
      <c r="U453" s="9"/>
      <c r="V453" s="9"/>
      <c r="W453" s="9"/>
      <c r="X453" s="9"/>
      <c r="Y453" s="9"/>
      <c r="Z453" s="9"/>
      <c r="AA453" s="9"/>
      <c r="AB453" s="9"/>
      <c r="AC453" s="9"/>
      <c r="AD453" s="9"/>
    </row>
    <row r="454" spans="1:30" ht="101.5">
      <c r="A454" s="3" t="s">
        <v>3287</v>
      </c>
      <c r="B454" s="3" t="s">
        <v>8847</v>
      </c>
      <c r="C454" s="3" t="s">
        <v>8842</v>
      </c>
      <c r="F454" t="s">
        <v>19</v>
      </c>
      <c r="G454" s="9" t="s">
        <v>25</v>
      </c>
      <c r="H454" s="9"/>
      <c r="I454" s="9">
        <v>1</v>
      </c>
      <c r="J454" s="9">
        <v>2</v>
      </c>
      <c r="K454" s="9" t="s">
        <v>12078</v>
      </c>
      <c r="L454" s="9" t="s">
        <v>12119</v>
      </c>
      <c r="M454" s="9"/>
      <c r="N454" s="10"/>
      <c r="O454" s="9"/>
      <c r="P454" s="9">
        <v>11843</v>
      </c>
      <c r="Q454" s="9">
        <v>1423.0954097572699</v>
      </c>
      <c r="R454" s="9"/>
      <c r="S454" s="9" t="s">
        <v>12795</v>
      </c>
      <c r="T454" s="9" t="s">
        <v>12795</v>
      </c>
      <c r="U454" s="9"/>
      <c r="V454" s="9"/>
      <c r="W454" s="9"/>
      <c r="X454" s="9"/>
      <c r="Y454" s="9"/>
      <c r="Z454" s="9"/>
      <c r="AA454" s="9"/>
      <c r="AB454" s="9"/>
      <c r="AC454" s="9"/>
      <c r="AD454" s="9"/>
    </row>
    <row r="455" spans="1:30" ht="72.5">
      <c r="A455" s="3" t="s">
        <v>3290</v>
      </c>
      <c r="B455" s="3" t="s">
        <v>8855</v>
      </c>
      <c r="C455" s="3" t="s">
        <v>8854</v>
      </c>
      <c r="G455" s="9" t="s">
        <v>25</v>
      </c>
      <c r="H455" s="9"/>
      <c r="I455" s="9">
        <v>1</v>
      </c>
      <c r="J455" s="9">
        <v>5</v>
      </c>
      <c r="K455" s="9" t="s">
        <v>12094</v>
      </c>
      <c r="L455" s="9" t="s">
        <v>12073</v>
      </c>
      <c r="M455" s="9" t="s">
        <v>12142</v>
      </c>
      <c r="N455" s="10" t="s">
        <v>12143</v>
      </c>
      <c r="O455" s="9"/>
      <c r="P455" s="9">
        <v>4240</v>
      </c>
      <c r="Q455" s="9">
        <v>509.49291035808699</v>
      </c>
      <c r="R455" s="9"/>
      <c r="S455" s="9" t="s">
        <v>12795</v>
      </c>
      <c r="T455" s="9" t="s">
        <v>12795</v>
      </c>
      <c r="U455" s="9"/>
      <c r="V455" s="9"/>
      <c r="W455" s="9"/>
      <c r="X455" s="9"/>
      <c r="Y455" s="9"/>
      <c r="Z455" s="9"/>
      <c r="AA455" s="9"/>
      <c r="AB455" s="9"/>
      <c r="AC455" s="9"/>
      <c r="AD455" s="9"/>
    </row>
    <row r="456" spans="1:30" ht="29">
      <c r="A456" s="3" t="s">
        <v>3291</v>
      </c>
      <c r="B456" s="3" t="s">
        <v>8693</v>
      </c>
      <c r="C456" s="3" t="s">
        <v>8694</v>
      </c>
      <c r="G456" s="9" t="s">
        <v>25</v>
      </c>
      <c r="H456" s="9"/>
      <c r="I456" s="9">
        <v>1</v>
      </c>
      <c r="J456" s="9">
        <v>3</v>
      </c>
      <c r="K456" s="9" t="s">
        <v>12087</v>
      </c>
      <c r="L456" s="9" t="s">
        <v>12079</v>
      </c>
      <c r="M456" s="9"/>
      <c r="N456" s="10"/>
      <c r="O456" s="9"/>
      <c r="P456" s="9">
        <v>810</v>
      </c>
      <c r="Q456" s="9">
        <v>97.332372025955294</v>
      </c>
      <c r="R456" s="9"/>
      <c r="S456" s="9" t="s">
        <v>12795</v>
      </c>
      <c r="T456" s="9" t="s">
        <v>12795</v>
      </c>
      <c r="U456" s="9" t="s">
        <v>12117</v>
      </c>
      <c r="V456" s="9"/>
      <c r="W456" s="9"/>
      <c r="X456" s="9"/>
      <c r="Y456" s="9"/>
      <c r="Z456" s="9"/>
      <c r="AA456" s="9"/>
      <c r="AB456" s="9"/>
      <c r="AC456" s="9"/>
      <c r="AD456" s="9"/>
    </row>
    <row r="457" spans="1:30" ht="43.5">
      <c r="A457" s="3" t="s">
        <v>3296</v>
      </c>
      <c r="B457" s="3" t="s">
        <v>8863</v>
      </c>
      <c r="C457" s="3" t="s">
        <v>8862</v>
      </c>
      <c r="G457" s="9" t="s">
        <v>24</v>
      </c>
      <c r="H457" s="9"/>
      <c r="I457" s="9">
        <v>1</v>
      </c>
      <c r="J457" s="9">
        <v>3</v>
      </c>
      <c r="K457" s="9" t="s">
        <v>12087</v>
      </c>
      <c r="L457" s="9" t="s">
        <v>12079</v>
      </c>
      <c r="M457" s="9"/>
      <c r="N457" s="10"/>
      <c r="O457" s="9"/>
      <c r="P457" s="9">
        <v>356</v>
      </c>
      <c r="Q457" s="9">
        <v>42.778178322518627</v>
      </c>
      <c r="R457" s="9"/>
      <c r="S457" s="9" t="s">
        <v>12795</v>
      </c>
      <c r="T457" s="9" t="s">
        <v>12795</v>
      </c>
      <c r="U457" s="9"/>
      <c r="V457" s="9"/>
      <c r="W457" s="9"/>
      <c r="X457" s="9"/>
      <c r="Y457" s="9"/>
      <c r="Z457" s="9"/>
      <c r="AA457" s="9"/>
      <c r="AB457" s="9"/>
      <c r="AC457" s="9"/>
      <c r="AD457" s="9"/>
    </row>
    <row r="458" spans="1:30" ht="29">
      <c r="A458" s="3" t="s">
        <v>3305</v>
      </c>
      <c r="B458" s="3" t="s">
        <v>8884</v>
      </c>
      <c r="C458" s="3" t="s">
        <v>8886</v>
      </c>
      <c r="G458" s="9" t="s">
        <v>25</v>
      </c>
      <c r="H458" s="9"/>
      <c r="I458" s="9">
        <v>1</v>
      </c>
      <c r="J458" s="9">
        <v>2</v>
      </c>
      <c r="K458" s="9" t="s">
        <v>12087</v>
      </c>
      <c r="L458" s="9" t="s">
        <v>12119</v>
      </c>
      <c r="M458" s="9"/>
      <c r="N458" s="10"/>
      <c r="O458" s="9"/>
      <c r="P458" s="9">
        <v>1966</v>
      </c>
      <c r="Q458" s="9">
        <v>236.24128815188658</v>
      </c>
      <c r="R458" s="9"/>
      <c r="S458" s="9" t="s">
        <v>12795</v>
      </c>
      <c r="T458" s="9" t="s">
        <v>12795</v>
      </c>
      <c r="U458" s="9"/>
      <c r="V458" s="9"/>
      <c r="W458" s="9"/>
      <c r="X458" s="9"/>
      <c r="Y458" s="9"/>
      <c r="Z458" s="9"/>
      <c r="AA458" s="9"/>
      <c r="AB458" s="9"/>
      <c r="AC458" s="9"/>
      <c r="AD458" s="9"/>
    </row>
    <row r="459" spans="1:30" ht="29">
      <c r="A459" s="3" t="s">
        <v>3305</v>
      </c>
      <c r="B459" s="3" t="s">
        <v>8885</v>
      </c>
      <c r="C459" s="3" t="s">
        <v>8887</v>
      </c>
      <c r="G459" s="9" t="s">
        <v>25</v>
      </c>
      <c r="H459" s="9"/>
      <c r="I459" s="9">
        <v>1</v>
      </c>
      <c r="J459" s="9">
        <v>2</v>
      </c>
      <c r="K459" s="9" t="s">
        <v>12087</v>
      </c>
      <c r="L459" s="9" t="s">
        <v>12119</v>
      </c>
      <c r="M459" s="9"/>
      <c r="N459" s="10"/>
      <c r="O459" s="9"/>
      <c r="P459" s="9">
        <v>1966</v>
      </c>
      <c r="Q459" s="9">
        <v>236.24128815188658</v>
      </c>
      <c r="R459" s="9"/>
      <c r="S459" s="9" t="s">
        <v>12795</v>
      </c>
      <c r="T459" s="9" t="s">
        <v>12795</v>
      </c>
      <c r="U459" s="9"/>
      <c r="V459" s="9"/>
      <c r="W459" s="9"/>
      <c r="X459" s="9"/>
      <c r="Y459" s="9"/>
      <c r="Z459" s="9"/>
      <c r="AA459" s="9"/>
      <c r="AB459" s="9"/>
      <c r="AC459" s="9"/>
      <c r="AD459" s="9"/>
    </row>
    <row r="460" spans="1:30" ht="29">
      <c r="A460" s="3" t="s">
        <v>3321</v>
      </c>
      <c r="B460" s="3" t="s">
        <v>8908</v>
      </c>
      <c r="C460" s="3" t="s">
        <v>8911</v>
      </c>
      <c r="G460" s="9" t="s">
        <v>24</v>
      </c>
      <c r="H460" s="9"/>
      <c r="I460" s="9">
        <v>1</v>
      </c>
      <c r="J460" s="9">
        <v>1</v>
      </c>
      <c r="K460" s="9" t="s">
        <v>12078</v>
      </c>
      <c r="L460" s="9" t="s">
        <v>12119</v>
      </c>
      <c r="M460" s="9"/>
      <c r="N460" s="10"/>
      <c r="O460" s="9"/>
      <c r="P460" s="9">
        <v>11843</v>
      </c>
      <c r="Q460" s="9">
        <v>1423.0954097572699</v>
      </c>
      <c r="R460" s="9"/>
      <c r="S460" s="9" t="s">
        <v>12795</v>
      </c>
      <c r="T460" s="9" t="s">
        <v>12795</v>
      </c>
      <c r="U460" s="9" t="s">
        <v>12117</v>
      </c>
      <c r="V460" s="9"/>
      <c r="W460" s="9"/>
      <c r="X460" s="9"/>
      <c r="Y460" s="9"/>
      <c r="Z460" s="9"/>
      <c r="AA460" s="9"/>
      <c r="AB460" s="9"/>
      <c r="AC460" s="9"/>
      <c r="AD460" s="9"/>
    </row>
    <row r="461" spans="1:30" ht="43.5">
      <c r="A461" s="3" t="s">
        <v>3328</v>
      </c>
      <c r="B461" s="3" t="s">
        <v>8925</v>
      </c>
      <c r="C461" s="3" t="s">
        <v>8924</v>
      </c>
      <c r="G461" s="9" t="s">
        <v>24</v>
      </c>
      <c r="H461" s="9"/>
      <c r="I461" s="9">
        <v>1</v>
      </c>
      <c r="J461" s="9">
        <v>3</v>
      </c>
      <c r="K461" s="9" t="s">
        <v>12094</v>
      </c>
      <c r="L461" s="9" t="s">
        <v>12079</v>
      </c>
      <c r="M461" s="9"/>
      <c r="N461" s="10"/>
      <c r="O461" s="9"/>
      <c r="P461" s="9">
        <v>1496</v>
      </c>
      <c r="Q461" s="9">
        <v>179.76447969238166</v>
      </c>
      <c r="R461" s="9"/>
      <c r="S461" s="9" t="s">
        <v>12795</v>
      </c>
      <c r="T461" s="9" t="s">
        <v>12795</v>
      </c>
      <c r="U461" s="9"/>
      <c r="V461" s="9"/>
      <c r="W461" s="9"/>
      <c r="X461" s="9"/>
      <c r="Y461" s="9"/>
      <c r="Z461" s="9"/>
      <c r="AA461" s="9"/>
      <c r="AB461" s="9"/>
      <c r="AC461" s="9"/>
      <c r="AD461" s="9"/>
    </row>
    <row r="462" spans="1:30" ht="58">
      <c r="A462" s="3" t="s">
        <v>3330</v>
      </c>
      <c r="B462" s="3" t="s">
        <v>8928</v>
      </c>
      <c r="C462" s="3" t="s">
        <v>8929</v>
      </c>
      <c r="G462" s="9" t="s">
        <v>25</v>
      </c>
      <c r="H462" s="9"/>
      <c r="I462" s="9">
        <v>1</v>
      </c>
      <c r="J462" s="9">
        <v>6</v>
      </c>
      <c r="K462" s="9" t="s">
        <v>12094</v>
      </c>
      <c r="L462" s="9" t="s">
        <v>12073</v>
      </c>
      <c r="M462" s="9" t="s">
        <v>12142</v>
      </c>
      <c r="N462" s="10" t="s">
        <v>12160</v>
      </c>
      <c r="O462" s="9"/>
      <c r="P462" s="9">
        <v>156</v>
      </c>
      <c r="Q462" s="9">
        <v>18.745493871665467</v>
      </c>
      <c r="R462" s="9"/>
      <c r="S462" s="9" t="s">
        <v>12795</v>
      </c>
      <c r="T462" s="9" t="s">
        <v>12795</v>
      </c>
      <c r="U462" s="9"/>
      <c r="V462" s="9"/>
      <c r="W462" s="9"/>
      <c r="X462" s="9"/>
      <c r="Y462" s="9"/>
      <c r="Z462" s="9"/>
      <c r="AA462" s="9"/>
      <c r="AB462" s="9"/>
      <c r="AC462" s="9"/>
      <c r="AD462" s="9"/>
    </row>
    <row r="463" spans="1:30" ht="29">
      <c r="A463" s="3" t="s">
        <v>3340</v>
      </c>
      <c r="B463" s="3" t="s">
        <v>8939</v>
      </c>
      <c r="C463" s="3" t="s">
        <v>8940</v>
      </c>
      <c r="G463" s="9" t="s">
        <v>25</v>
      </c>
      <c r="H463" s="9"/>
      <c r="I463" s="9">
        <v>1</v>
      </c>
      <c r="J463" s="9">
        <v>3</v>
      </c>
      <c r="K463" s="9" t="s">
        <v>12087</v>
      </c>
      <c r="L463" s="9" t="s">
        <v>12079</v>
      </c>
      <c r="M463" s="9"/>
      <c r="N463" s="10"/>
      <c r="O463" s="9"/>
      <c r="P463" s="9">
        <v>356</v>
      </c>
      <c r="Q463" s="9">
        <v>42.778178322518627</v>
      </c>
      <c r="R463" s="9"/>
      <c r="S463" s="9" t="s">
        <v>12795</v>
      </c>
      <c r="T463" s="9" t="s">
        <v>12795</v>
      </c>
      <c r="U463" s="9"/>
      <c r="V463" s="9"/>
      <c r="W463" s="9"/>
      <c r="X463" s="9"/>
      <c r="Y463" s="9"/>
      <c r="Z463" s="9"/>
      <c r="AA463" s="9"/>
      <c r="AB463" s="9"/>
      <c r="AC463" s="9"/>
      <c r="AD463" s="9"/>
    </row>
    <row r="464" spans="1:30" ht="29">
      <c r="A464" s="3" t="s">
        <v>3348</v>
      </c>
      <c r="B464" s="11" t="s">
        <v>8959</v>
      </c>
      <c r="C464" s="3" t="s">
        <v>8958</v>
      </c>
      <c r="G464" s="9" t="s">
        <v>24</v>
      </c>
      <c r="H464" s="9"/>
      <c r="I464" s="9">
        <v>1</v>
      </c>
      <c r="J464" s="9">
        <v>2</v>
      </c>
      <c r="K464" s="9" t="s">
        <v>12094</v>
      </c>
      <c r="L464" s="9" t="s">
        <v>12119</v>
      </c>
      <c r="M464" s="9"/>
      <c r="N464" s="10"/>
      <c r="O464" s="9"/>
      <c r="P464" s="9">
        <v>1741</v>
      </c>
      <c r="Q464" s="9">
        <v>209.20451814467677</v>
      </c>
      <c r="R464" s="9"/>
      <c r="S464" s="9" t="s">
        <v>12795</v>
      </c>
      <c r="T464" s="9" t="s">
        <v>12795</v>
      </c>
      <c r="U464" s="9"/>
      <c r="V464" s="9"/>
      <c r="W464" s="9"/>
      <c r="X464" s="9"/>
      <c r="Y464" s="9"/>
      <c r="Z464" s="9"/>
      <c r="AA464" s="9"/>
      <c r="AB464" s="9"/>
      <c r="AC464" s="9"/>
      <c r="AD464" s="9"/>
    </row>
    <row r="465" spans="1:30" ht="29">
      <c r="A465" s="3" t="s">
        <v>3353</v>
      </c>
      <c r="B465" s="3" t="s">
        <v>8966</v>
      </c>
      <c r="C465" s="3" t="s">
        <v>8967</v>
      </c>
      <c r="G465" s="9" t="s">
        <v>25</v>
      </c>
      <c r="H465" s="9"/>
      <c r="I465" s="9">
        <v>1</v>
      </c>
      <c r="J465" s="9">
        <v>3</v>
      </c>
      <c r="K465" s="9" t="s">
        <v>12087</v>
      </c>
      <c r="L465" s="9" t="s">
        <v>12079</v>
      </c>
      <c r="M465" s="9"/>
      <c r="N465" s="10"/>
      <c r="O465" s="9"/>
      <c r="P465" s="9">
        <v>356</v>
      </c>
      <c r="Q465" s="9">
        <v>42.778178322518627</v>
      </c>
      <c r="R465" s="9"/>
      <c r="S465" s="9" t="s">
        <v>12795</v>
      </c>
      <c r="T465" s="9" t="s">
        <v>12795</v>
      </c>
      <c r="U465" s="9"/>
      <c r="V465" s="9"/>
      <c r="W465" s="9"/>
      <c r="X465" s="9"/>
      <c r="Y465" s="9"/>
      <c r="Z465" s="9"/>
      <c r="AA465" s="9"/>
      <c r="AB465" s="9"/>
      <c r="AC465" s="9"/>
      <c r="AD465" s="9"/>
    </row>
    <row r="466" spans="1:30" ht="72.5">
      <c r="A466" s="3" t="s">
        <v>3356</v>
      </c>
      <c r="B466" s="3" t="s">
        <v>8984</v>
      </c>
      <c r="C466" s="3" t="s">
        <v>8981</v>
      </c>
      <c r="G466" s="9" t="s">
        <v>24</v>
      </c>
      <c r="H466" s="9"/>
      <c r="I466" s="9">
        <v>1</v>
      </c>
      <c r="J466" s="9">
        <v>3</v>
      </c>
      <c r="K466" s="9" t="s">
        <v>12094</v>
      </c>
      <c r="L466" s="9" t="s">
        <v>12079</v>
      </c>
      <c r="M466" s="9"/>
      <c r="N466" s="10"/>
      <c r="O466" s="9"/>
      <c r="P466" s="9">
        <v>1496</v>
      </c>
      <c r="Q466" s="9">
        <v>179.76447969238166</v>
      </c>
      <c r="R466" s="9"/>
      <c r="S466" s="9" t="s">
        <v>12795</v>
      </c>
      <c r="T466" s="9" t="s">
        <v>12795</v>
      </c>
      <c r="U466" s="9"/>
      <c r="V466" s="9"/>
      <c r="W466" s="9"/>
      <c r="X466" s="9"/>
      <c r="Y466" s="9"/>
      <c r="Z466" s="9"/>
      <c r="AA466" s="9"/>
      <c r="AB466" s="9"/>
      <c r="AC466" s="9"/>
      <c r="AD466" s="9"/>
    </row>
    <row r="467" spans="1:30" ht="72.5">
      <c r="A467" s="3" t="s">
        <v>3357</v>
      </c>
      <c r="B467" s="3" t="s">
        <v>8985</v>
      </c>
      <c r="C467" s="3" t="s">
        <v>8980</v>
      </c>
      <c r="G467" s="9" t="s">
        <v>25</v>
      </c>
      <c r="H467" s="9"/>
      <c r="I467" s="9">
        <v>1</v>
      </c>
      <c r="J467" s="9">
        <v>4</v>
      </c>
      <c r="K467" s="9" t="s">
        <v>12094</v>
      </c>
      <c r="L467" s="9" t="s">
        <v>12079</v>
      </c>
      <c r="M467" s="9"/>
      <c r="N467" s="10"/>
      <c r="O467" s="9"/>
      <c r="P467" s="9">
        <v>1496</v>
      </c>
      <c r="Q467" s="9">
        <v>179.76447969238166</v>
      </c>
      <c r="R467" s="9"/>
      <c r="S467" s="9" t="s">
        <v>12795</v>
      </c>
      <c r="T467" s="9" t="s">
        <v>12795</v>
      </c>
      <c r="U467" s="9"/>
      <c r="V467" s="9"/>
      <c r="W467" s="9"/>
      <c r="X467" s="9"/>
      <c r="Y467" s="9"/>
      <c r="Z467" s="9"/>
      <c r="AA467" s="9"/>
      <c r="AB467" s="9"/>
      <c r="AC467" s="9"/>
      <c r="AD467" s="9"/>
    </row>
    <row r="468" spans="1:30" ht="29">
      <c r="A468" s="3" t="s">
        <v>3359</v>
      </c>
      <c r="B468" s="3" t="s">
        <v>8988</v>
      </c>
      <c r="C468" s="3" t="s">
        <v>8989</v>
      </c>
      <c r="G468" s="9" t="s">
        <v>25</v>
      </c>
      <c r="H468" s="9"/>
      <c r="I468" s="9">
        <v>1</v>
      </c>
      <c r="J468" s="9">
        <v>3</v>
      </c>
      <c r="K468" s="9" t="s">
        <v>12078</v>
      </c>
      <c r="L468" s="9" t="s">
        <v>12079</v>
      </c>
      <c r="M468" s="9"/>
      <c r="N468" s="10"/>
      <c r="O468" s="9"/>
      <c r="P468" s="9">
        <v>11843</v>
      </c>
      <c r="Q468" s="9">
        <v>1423.0954097572699</v>
      </c>
      <c r="R468" s="9"/>
      <c r="S468" s="9" t="s">
        <v>12795</v>
      </c>
      <c r="T468" s="9" t="s">
        <v>12795</v>
      </c>
      <c r="U468" s="9"/>
      <c r="V468" s="9"/>
      <c r="W468" s="9"/>
      <c r="X468" s="9"/>
      <c r="Y468" s="9"/>
      <c r="Z468" s="9"/>
      <c r="AA468" s="9"/>
      <c r="AB468" s="9"/>
      <c r="AC468" s="9"/>
      <c r="AD468" s="9"/>
    </row>
    <row r="469" spans="1:30" ht="43.5">
      <c r="A469" s="3" t="s">
        <v>3362</v>
      </c>
      <c r="B469" s="3" t="s">
        <v>8995</v>
      </c>
      <c r="C469" s="3" t="s">
        <v>8994</v>
      </c>
      <c r="G469" s="9" t="s">
        <v>25</v>
      </c>
      <c r="H469" s="9"/>
      <c r="I469" s="9">
        <v>1</v>
      </c>
      <c r="J469" s="9">
        <v>3</v>
      </c>
      <c r="K469" s="9" t="s">
        <v>12087</v>
      </c>
      <c r="L469" s="9" t="s">
        <v>12079</v>
      </c>
      <c r="M469" s="9"/>
      <c r="N469" s="10"/>
      <c r="O469" s="9"/>
      <c r="P469" s="9">
        <v>356</v>
      </c>
      <c r="Q469" s="9">
        <v>42.778178322518627</v>
      </c>
      <c r="R469" s="9"/>
      <c r="S469" s="9" t="s">
        <v>12795</v>
      </c>
      <c r="T469" s="9" t="s">
        <v>12795</v>
      </c>
      <c r="U469" s="9"/>
      <c r="V469" s="9"/>
      <c r="W469" s="9"/>
      <c r="X469" s="9"/>
      <c r="Y469" s="9"/>
      <c r="Z469" s="9"/>
      <c r="AA469" s="9"/>
      <c r="AB469" s="9"/>
      <c r="AC469" s="9"/>
      <c r="AD469" s="9"/>
    </row>
    <row r="470" spans="1:30" ht="29">
      <c r="A470" s="3" t="s">
        <v>3363</v>
      </c>
      <c r="B470" s="3" t="s">
        <v>9001</v>
      </c>
      <c r="C470" s="3" t="s">
        <v>9000</v>
      </c>
      <c r="G470" s="9" t="s">
        <v>24</v>
      </c>
      <c r="H470" s="9"/>
      <c r="I470" s="9">
        <v>1</v>
      </c>
      <c r="J470" s="9">
        <v>3</v>
      </c>
      <c r="K470" s="9" t="s">
        <v>12087</v>
      </c>
      <c r="L470" s="9" t="s">
        <v>12079</v>
      </c>
      <c r="M470" s="9"/>
      <c r="N470" s="10"/>
      <c r="O470" s="9"/>
      <c r="P470" s="9">
        <v>5676</v>
      </c>
      <c r="Q470" s="9">
        <v>682.04758471521268</v>
      </c>
      <c r="R470" s="9"/>
      <c r="S470" s="9" t="s">
        <v>12795</v>
      </c>
      <c r="T470" s="9" t="s">
        <v>12795</v>
      </c>
      <c r="U470" s="9"/>
      <c r="V470" s="9"/>
      <c r="W470" s="9"/>
      <c r="X470" s="9"/>
      <c r="Y470" s="9"/>
      <c r="Z470" s="9"/>
      <c r="AA470" s="9"/>
      <c r="AB470" s="9"/>
      <c r="AC470" s="9"/>
      <c r="AD470" s="9"/>
    </row>
    <row r="471" spans="1:30" ht="43.5">
      <c r="A471" s="3" t="s">
        <v>3368</v>
      </c>
      <c r="B471" s="3" t="s">
        <v>9002</v>
      </c>
      <c r="C471" s="3" t="s">
        <v>9003</v>
      </c>
      <c r="G471" s="9" t="s">
        <v>25</v>
      </c>
      <c r="H471" s="9"/>
      <c r="I471" s="9">
        <v>1</v>
      </c>
      <c r="J471" s="9">
        <v>6</v>
      </c>
      <c r="K471" s="9" t="s">
        <v>12094</v>
      </c>
      <c r="L471" s="9" t="s">
        <v>12079</v>
      </c>
      <c r="M471" s="9"/>
      <c r="N471" s="10"/>
      <c r="O471" s="9"/>
      <c r="P471" s="9">
        <v>4240</v>
      </c>
      <c r="Q471" s="9">
        <v>509.49291035808699</v>
      </c>
      <c r="R471" s="9"/>
      <c r="S471" s="9" t="s">
        <v>12795</v>
      </c>
      <c r="T471" s="9" t="s">
        <v>12795</v>
      </c>
      <c r="U471" s="9"/>
      <c r="V471" s="9"/>
      <c r="W471" s="9"/>
      <c r="X471" s="9"/>
      <c r="Y471" s="9"/>
      <c r="Z471" s="9"/>
      <c r="AA471" s="9"/>
      <c r="AB471" s="9"/>
      <c r="AC471" s="9"/>
      <c r="AD471" s="9"/>
    </row>
    <row r="472" spans="1:30" ht="72.5">
      <c r="A472" s="3" t="s">
        <v>3369</v>
      </c>
      <c r="B472" s="3" t="s">
        <v>9004</v>
      </c>
      <c r="C472" s="3" t="s">
        <v>9007</v>
      </c>
      <c r="G472" s="9" t="s">
        <v>24</v>
      </c>
      <c r="H472" s="9"/>
      <c r="I472" s="9">
        <v>1</v>
      </c>
      <c r="J472" s="9">
        <v>3</v>
      </c>
      <c r="K472" s="9" t="s">
        <v>12078</v>
      </c>
      <c r="L472" s="9" t="s">
        <v>12079</v>
      </c>
      <c r="M472" s="9"/>
      <c r="N472" s="10"/>
      <c r="O472" s="9"/>
      <c r="P472" s="9">
        <v>11843</v>
      </c>
      <c r="Q472" s="9">
        <v>1423.0954097572699</v>
      </c>
      <c r="R472" s="9"/>
      <c r="S472" s="9" t="s">
        <v>12795</v>
      </c>
      <c r="T472" s="9" t="s">
        <v>12795</v>
      </c>
      <c r="U472" s="9"/>
      <c r="V472" s="9"/>
      <c r="W472" s="9"/>
      <c r="X472" s="9"/>
      <c r="Y472" s="9"/>
      <c r="Z472" s="9"/>
      <c r="AA472" s="9"/>
      <c r="AB472" s="9"/>
      <c r="AC472" s="9"/>
      <c r="AD472" s="9"/>
    </row>
    <row r="473" spans="1:30" ht="29">
      <c r="A473" s="3" t="s">
        <v>3369</v>
      </c>
      <c r="B473" s="3" t="s">
        <v>9008</v>
      </c>
      <c r="C473" s="3" t="s">
        <v>9009</v>
      </c>
      <c r="G473" s="9" t="s">
        <v>25</v>
      </c>
      <c r="H473" s="9"/>
      <c r="I473" s="9">
        <v>1</v>
      </c>
      <c r="J473" s="9">
        <v>2</v>
      </c>
      <c r="K473" s="9" t="s">
        <v>12087</v>
      </c>
      <c r="L473" s="9" t="s">
        <v>12119</v>
      </c>
      <c r="M473" s="9"/>
      <c r="N473" s="10"/>
      <c r="O473" s="9"/>
      <c r="P473" s="9">
        <v>1966</v>
      </c>
      <c r="Q473" s="9">
        <v>236.24128815188658</v>
      </c>
      <c r="R473" s="9"/>
      <c r="S473" s="9" t="s">
        <v>12795</v>
      </c>
      <c r="T473" s="9" t="s">
        <v>12795</v>
      </c>
      <c r="U473" s="9"/>
      <c r="V473" s="9"/>
      <c r="W473" s="9"/>
      <c r="X473" s="9"/>
      <c r="Y473" s="9"/>
      <c r="Z473" s="9"/>
      <c r="AA473" s="9"/>
      <c r="AB473" s="9"/>
      <c r="AC473" s="9"/>
      <c r="AD473" s="9"/>
    </row>
    <row r="474" spans="1:30" ht="87">
      <c r="A474" s="3" t="s">
        <v>3376</v>
      </c>
      <c r="B474" s="3" t="s">
        <v>9016</v>
      </c>
      <c r="C474" s="3" t="s">
        <v>9015</v>
      </c>
      <c r="G474" s="9" t="s">
        <v>25</v>
      </c>
      <c r="H474" s="9"/>
      <c r="I474" s="9">
        <v>1</v>
      </c>
      <c r="J474" s="9">
        <v>3</v>
      </c>
      <c r="K474" s="9" t="s">
        <v>12087</v>
      </c>
      <c r="L474" s="9" t="s">
        <v>12079</v>
      </c>
      <c r="M474" s="9"/>
      <c r="N474" s="10"/>
      <c r="O474" s="9"/>
      <c r="P474" s="9">
        <v>356</v>
      </c>
      <c r="Q474" s="9">
        <v>42.778178322518627</v>
      </c>
      <c r="R474" s="9"/>
      <c r="S474" s="9" t="s">
        <v>12795</v>
      </c>
      <c r="T474" s="9" t="s">
        <v>12795</v>
      </c>
      <c r="U474" s="9"/>
      <c r="V474" s="9"/>
      <c r="W474" s="9"/>
      <c r="X474" s="9"/>
      <c r="Y474" s="9"/>
      <c r="Z474" s="9"/>
      <c r="AA474" s="9"/>
      <c r="AB474" s="9"/>
      <c r="AC474" s="9"/>
      <c r="AD474" s="9"/>
    </row>
    <row r="475" spans="1:30" ht="43.5">
      <c r="A475" s="3" t="s">
        <v>3378</v>
      </c>
      <c r="B475" s="3" t="s">
        <v>9021</v>
      </c>
      <c r="C475" s="3" t="s">
        <v>9018</v>
      </c>
      <c r="G475" s="9" t="s">
        <v>25</v>
      </c>
      <c r="H475" s="9"/>
      <c r="I475" s="9">
        <v>1</v>
      </c>
      <c r="J475" s="9">
        <v>3</v>
      </c>
      <c r="K475" s="9" t="s">
        <v>12087</v>
      </c>
      <c r="L475" s="9" t="s">
        <v>12079</v>
      </c>
      <c r="M475" s="9"/>
      <c r="N475" s="10"/>
      <c r="O475" s="9"/>
      <c r="P475" s="9">
        <v>5676</v>
      </c>
      <c r="Q475" s="9">
        <v>682.04758471521268</v>
      </c>
      <c r="R475" s="9"/>
      <c r="S475" s="9" t="s">
        <v>12795</v>
      </c>
      <c r="T475" s="9" t="s">
        <v>12795</v>
      </c>
      <c r="U475" s="9"/>
      <c r="V475" s="9"/>
      <c r="W475" s="9"/>
      <c r="X475" s="9"/>
      <c r="Y475" s="9"/>
      <c r="Z475" s="9"/>
      <c r="AA475" s="9"/>
      <c r="AB475" s="9"/>
      <c r="AC475" s="9"/>
      <c r="AD475" s="9"/>
    </row>
    <row r="476" spans="1:30" ht="43.5">
      <c r="A476" s="3" t="s">
        <v>3379</v>
      </c>
      <c r="B476" s="3" t="s">
        <v>9023</v>
      </c>
      <c r="C476" s="3" t="s">
        <v>9022</v>
      </c>
      <c r="G476" s="9" t="s">
        <v>24</v>
      </c>
      <c r="H476" s="9"/>
      <c r="I476" s="9">
        <v>1</v>
      </c>
      <c r="J476" s="9">
        <v>6</v>
      </c>
      <c r="K476" s="9" t="s">
        <v>12094</v>
      </c>
      <c r="L476" s="9" t="s">
        <v>12079</v>
      </c>
      <c r="M476" s="9"/>
      <c r="N476" s="10"/>
      <c r="O476" s="9"/>
      <c r="P476" s="9">
        <v>4240</v>
      </c>
      <c r="Q476" s="9">
        <v>509.49291035808699</v>
      </c>
      <c r="R476" s="9"/>
      <c r="S476" s="9" t="s">
        <v>12795</v>
      </c>
      <c r="T476" s="9" t="s">
        <v>12795</v>
      </c>
      <c r="U476" s="9"/>
      <c r="V476" s="9"/>
      <c r="W476" s="9"/>
      <c r="X476" s="9"/>
      <c r="Y476" s="9"/>
      <c r="Z476" s="9"/>
      <c r="AA476" s="9"/>
      <c r="AB476" s="9"/>
      <c r="AC476" s="9"/>
      <c r="AD476" s="9"/>
    </row>
    <row r="477" spans="1:30" ht="43.5">
      <c r="A477" s="3" t="s">
        <v>3381</v>
      </c>
      <c r="B477" s="3" t="s">
        <v>9029</v>
      </c>
      <c r="C477" s="3" t="s">
        <v>9028</v>
      </c>
      <c r="G477" s="9" t="s">
        <v>24</v>
      </c>
      <c r="H477" s="9"/>
      <c r="I477" s="9">
        <v>1</v>
      </c>
      <c r="J477" s="9">
        <v>6</v>
      </c>
      <c r="K477" s="9" t="s">
        <v>12094</v>
      </c>
      <c r="L477" s="9" t="s">
        <v>12079</v>
      </c>
      <c r="M477" s="9"/>
      <c r="N477" s="10"/>
      <c r="O477" s="9"/>
      <c r="P477" s="9">
        <v>4240</v>
      </c>
      <c r="Q477" s="9">
        <v>509.49291035808699</v>
      </c>
      <c r="R477" s="9"/>
      <c r="S477" s="9" t="s">
        <v>12795</v>
      </c>
      <c r="T477" s="9" t="s">
        <v>12795</v>
      </c>
      <c r="U477" s="9"/>
      <c r="V477" s="9"/>
      <c r="W477" s="9"/>
      <c r="X477" s="9"/>
      <c r="Y477" s="9"/>
      <c r="Z477" s="9"/>
      <c r="AA477" s="9"/>
      <c r="AB477" s="9"/>
      <c r="AC477" s="9"/>
      <c r="AD477" s="9"/>
    </row>
    <row r="478" spans="1:30" ht="43.5">
      <c r="A478" s="3" t="s">
        <v>3386</v>
      </c>
      <c r="B478" s="3" t="s">
        <v>9042</v>
      </c>
      <c r="C478" s="3" t="s">
        <v>9043</v>
      </c>
      <c r="G478" s="9" t="s">
        <v>24</v>
      </c>
      <c r="H478" s="9"/>
      <c r="I478" s="9">
        <v>1</v>
      </c>
      <c r="J478" s="9">
        <v>3</v>
      </c>
      <c r="K478" s="9" t="s">
        <v>12087</v>
      </c>
      <c r="L478" s="9" t="s">
        <v>12079</v>
      </c>
      <c r="M478" s="9"/>
      <c r="N478" s="10"/>
      <c r="O478" s="9"/>
      <c r="P478" s="9">
        <v>5676</v>
      </c>
      <c r="Q478" s="9">
        <v>682.04758471521268</v>
      </c>
      <c r="R478" s="9"/>
      <c r="S478" s="9" t="s">
        <v>12795</v>
      </c>
      <c r="T478" s="9" t="s">
        <v>12795</v>
      </c>
      <c r="U478" s="9"/>
      <c r="V478" s="9"/>
      <c r="W478" s="9"/>
      <c r="X478" s="9"/>
      <c r="Y478" s="9"/>
      <c r="Z478" s="9"/>
      <c r="AA478" s="9"/>
      <c r="AB478" s="9"/>
      <c r="AC478" s="9"/>
      <c r="AD478" s="9"/>
    </row>
    <row r="479" spans="1:30" ht="72.5">
      <c r="A479" s="3" t="s">
        <v>3392</v>
      </c>
      <c r="B479" s="3" t="s">
        <v>9054</v>
      </c>
      <c r="C479" s="3" t="s">
        <v>9055</v>
      </c>
      <c r="G479" s="9" t="s">
        <v>25</v>
      </c>
      <c r="H479" s="9"/>
      <c r="I479" s="9">
        <v>1</v>
      </c>
      <c r="J479" s="9">
        <v>3</v>
      </c>
      <c r="K479" s="9" t="s">
        <v>12078</v>
      </c>
      <c r="L479" s="9" t="s">
        <v>12079</v>
      </c>
      <c r="M479" s="9"/>
      <c r="N479" s="10"/>
      <c r="O479" s="9"/>
      <c r="P479" s="9">
        <v>11843</v>
      </c>
      <c r="Q479" s="9">
        <v>1423.0954097572699</v>
      </c>
      <c r="R479" s="9"/>
      <c r="S479" s="9" t="s">
        <v>12795</v>
      </c>
      <c r="T479" s="9" t="s">
        <v>12795</v>
      </c>
      <c r="U479" s="9"/>
      <c r="V479" s="9"/>
      <c r="W479" s="9"/>
      <c r="X479" s="9"/>
      <c r="Y479" s="9"/>
      <c r="Z479" s="9"/>
      <c r="AA479" s="9"/>
      <c r="AB479" s="9"/>
      <c r="AC479" s="9"/>
      <c r="AD479" s="9"/>
    </row>
    <row r="480" spans="1:30" ht="43.5">
      <c r="A480" s="3" t="s">
        <v>3393</v>
      </c>
      <c r="B480" s="3" t="s">
        <v>9057</v>
      </c>
      <c r="C480" s="3" t="s">
        <v>9056</v>
      </c>
      <c r="G480" s="9" t="s">
        <v>25</v>
      </c>
      <c r="H480" s="9"/>
      <c r="I480" s="9">
        <v>1</v>
      </c>
      <c r="J480" s="9">
        <v>2</v>
      </c>
      <c r="K480" s="9" t="s">
        <v>12078</v>
      </c>
      <c r="L480" s="9" t="s">
        <v>12119</v>
      </c>
      <c r="M480" s="9"/>
      <c r="N480" s="10"/>
      <c r="O480" s="9"/>
      <c r="P480" s="9">
        <v>11843</v>
      </c>
      <c r="Q480" s="9">
        <v>1423.0954097572699</v>
      </c>
      <c r="R480" s="9"/>
      <c r="S480" s="9" t="s">
        <v>12795</v>
      </c>
      <c r="T480" s="9" t="s">
        <v>12795</v>
      </c>
      <c r="U480" s="9"/>
      <c r="V480" s="9"/>
      <c r="W480" s="9"/>
      <c r="X480" s="9"/>
      <c r="Y480" s="9"/>
      <c r="Z480" s="9"/>
      <c r="AA480" s="9"/>
      <c r="AB480" s="9"/>
      <c r="AC480" s="9"/>
      <c r="AD480" s="9"/>
    </row>
    <row r="481" spans="1:30" ht="43.5">
      <c r="A481" s="3" t="s">
        <v>3400</v>
      </c>
      <c r="B481" s="3" t="s">
        <v>9075</v>
      </c>
      <c r="C481" s="3" t="s">
        <v>9074</v>
      </c>
      <c r="G481" s="9" t="s">
        <v>24</v>
      </c>
      <c r="H481" s="9"/>
      <c r="I481" s="9">
        <v>1</v>
      </c>
      <c r="J481" s="9">
        <v>3</v>
      </c>
      <c r="K481" s="9" t="s">
        <v>12094</v>
      </c>
      <c r="L481" s="9" t="s">
        <v>12079</v>
      </c>
      <c r="M481" s="9"/>
      <c r="N481" s="10"/>
      <c r="O481" s="9"/>
      <c r="P481" s="9">
        <v>1496</v>
      </c>
      <c r="Q481" s="9">
        <v>179.76447969238166</v>
      </c>
      <c r="R481" s="9"/>
      <c r="S481" s="9" t="s">
        <v>12795</v>
      </c>
      <c r="T481" s="9" t="s">
        <v>12795</v>
      </c>
      <c r="U481" s="9" t="s">
        <v>4</v>
      </c>
      <c r="V481" s="9"/>
      <c r="W481" s="9"/>
      <c r="X481" s="9"/>
      <c r="Y481" s="9"/>
      <c r="Z481" s="9"/>
      <c r="AA481" s="9"/>
      <c r="AB481" s="9"/>
      <c r="AC481" s="9"/>
      <c r="AD481" s="9"/>
    </row>
    <row r="482" spans="1:30" ht="43.5">
      <c r="A482" s="3" t="s">
        <v>3404</v>
      </c>
      <c r="B482" s="3" t="s">
        <v>9077</v>
      </c>
      <c r="C482" s="3" t="s">
        <v>9076</v>
      </c>
      <c r="G482" s="9" t="s">
        <v>24</v>
      </c>
      <c r="H482" s="9"/>
      <c r="I482" s="9">
        <v>1</v>
      </c>
      <c r="J482" s="9">
        <v>3</v>
      </c>
      <c r="K482" s="9" t="s">
        <v>12094</v>
      </c>
      <c r="L482" s="9" t="s">
        <v>12079</v>
      </c>
      <c r="M482" s="9"/>
      <c r="N482" s="10"/>
      <c r="O482" s="9"/>
      <c r="P482" s="9">
        <v>1496</v>
      </c>
      <c r="Q482" s="9">
        <v>179.76447969238166</v>
      </c>
      <c r="R482" s="9"/>
      <c r="S482" s="9" t="s">
        <v>12795</v>
      </c>
      <c r="T482" s="9" t="s">
        <v>12795</v>
      </c>
      <c r="U482" s="9"/>
      <c r="V482" s="9"/>
      <c r="W482" s="9"/>
      <c r="X482" s="9"/>
      <c r="Y482" s="9"/>
      <c r="Z482" s="9"/>
      <c r="AA482" s="9"/>
      <c r="AB482" s="9"/>
      <c r="AC482" s="9"/>
      <c r="AD482" s="9"/>
    </row>
    <row r="483" spans="1:30" ht="58">
      <c r="A483" s="3" t="s">
        <v>3405</v>
      </c>
      <c r="B483" s="3" t="s">
        <v>9081</v>
      </c>
      <c r="C483" s="3" t="s">
        <v>9080</v>
      </c>
      <c r="G483" s="9" t="s">
        <v>24</v>
      </c>
      <c r="H483" s="9"/>
      <c r="I483" s="9">
        <v>1</v>
      </c>
      <c r="J483" s="9">
        <v>3</v>
      </c>
      <c r="K483" s="9" t="s">
        <v>12078</v>
      </c>
      <c r="L483" s="9" t="s">
        <v>12079</v>
      </c>
      <c r="M483" s="9"/>
      <c r="N483" s="10"/>
      <c r="O483" s="9"/>
      <c r="P483" s="9">
        <v>11843</v>
      </c>
      <c r="Q483" s="9">
        <v>1423.0954097572699</v>
      </c>
      <c r="R483" s="9"/>
      <c r="S483" s="9" t="s">
        <v>12795</v>
      </c>
      <c r="T483" s="9" t="s">
        <v>12795</v>
      </c>
      <c r="U483" s="9"/>
      <c r="V483" s="9"/>
      <c r="W483" s="9"/>
      <c r="X483" s="9"/>
      <c r="Y483" s="9"/>
      <c r="Z483" s="9"/>
      <c r="AA483" s="9"/>
      <c r="AB483" s="9"/>
      <c r="AC483" s="9"/>
      <c r="AD483" s="9"/>
    </row>
    <row r="484" spans="1:30" ht="43.5">
      <c r="A484" s="3" t="s">
        <v>3409</v>
      </c>
      <c r="B484" s="3" t="s">
        <v>9083</v>
      </c>
      <c r="C484" s="3" t="s">
        <v>9082</v>
      </c>
      <c r="G484" s="9" t="s">
        <v>24</v>
      </c>
      <c r="H484" s="9"/>
      <c r="I484" s="9">
        <v>1</v>
      </c>
      <c r="J484" s="9">
        <v>6</v>
      </c>
      <c r="K484" s="9" t="s">
        <v>12094</v>
      </c>
      <c r="L484" s="9" t="s">
        <v>12079</v>
      </c>
      <c r="M484" s="9"/>
      <c r="N484" s="10"/>
      <c r="O484" s="9"/>
      <c r="P484" s="9">
        <v>4240</v>
      </c>
      <c r="Q484" s="9">
        <v>509.49291035808699</v>
      </c>
      <c r="R484" s="9"/>
      <c r="S484" s="9" t="s">
        <v>12795</v>
      </c>
      <c r="T484" s="9" t="s">
        <v>12795</v>
      </c>
      <c r="U484" s="9"/>
      <c r="V484" s="9"/>
      <c r="W484" s="9"/>
      <c r="X484" s="9"/>
      <c r="Y484" s="9"/>
      <c r="Z484" s="9"/>
      <c r="AA484" s="9"/>
      <c r="AB484" s="9"/>
      <c r="AC484" s="9"/>
      <c r="AD484" s="9"/>
    </row>
    <row r="485" spans="1:30" ht="43.5">
      <c r="A485" s="3" t="s">
        <v>3414</v>
      </c>
      <c r="B485" s="3" t="s">
        <v>9091</v>
      </c>
      <c r="C485" s="3" t="s">
        <v>9090</v>
      </c>
      <c r="G485" s="9" t="s">
        <v>25</v>
      </c>
      <c r="H485" s="9"/>
      <c r="I485" s="9">
        <v>1</v>
      </c>
      <c r="J485" s="9">
        <v>3</v>
      </c>
      <c r="K485" s="9" t="s">
        <v>12087</v>
      </c>
      <c r="L485" s="9" t="s">
        <v>12079</v>
      </c>
      <c r="M485" s="9"/>
      <c r="N485" s="10"/>
      <c r="O485" s="9"/>
      <c r="P485" s="9">
        <v>5676</v>
      </c>
      <c r="Q485" s="9">
        <v>682.04758471521268</v>
      </c>
      <c r="R485" s="9"/>
      <c r="S485" s="9" t="s">
        <v>12795</v>
      </c>
      <c r="T485" s="9" t="s">
        <v>12795</v>
      </c>
      <c r="U485" s="9"/>
      <c r="V485" s="9"/>
      <c r="W485" s="9"/>
      <c r="X485" s="9"/>
      <c r="Y485" s="9"/>
      <c r="Z485" s="9"/>
      <c r="AA485" s="9"/>
      <c r="AB485" s="9"/>
      <c r="AC485" s="9"/>
      <c r="AD485" s="9"/>
    </row>
    <row r="486" spans="1:30" ht="29">
      <c r="A486" s="3" t="s">
        <v>3415</v>
      </c>
      <c r="B486" s="3" t="s">
        <v>9097</v>
      </c>
      <c r="C486" s="3" t="s">
        <v>9096</v>
      </c>
      <c r="G486" s="9" t="s">
        <v>24</v>
      </c>
      <c r="H486" s="9"/>
      <c r="I486" s="9">
        <v>1</v>
      </c>
      <c r="J486" s="9">
        <v>3</v>
      </c>
      <c r="K486" s="9" t="s">
        <v>12078</v>
      </c>
      <c r="L486" s="9" t="s">
        <v>12079</v>
      </c>
      <c r="M486" s="9"/>
      <c r="N486" s="10"/>
      <c r="O486" s="9"/>
      <c r="P486" s="9">
        <v>11843</v>
      </c>
      <c r="Q486" s="9">
        <v>1423.0954097572699</v>
      </c>
      <c r="R486" s="9"/>
      <c r="S486" s="9" t="s">
        <v>12795</v>
      </c>
      <c r="T486" s="9" t="s">
        <v>12795</v>
      </c>
      <c r="U486" s="9"/>
      <c r="V486" s="9"/>
      <c r="W486" s="9"/>
      <c r="X486" s="9"/>
      <c r="Y486" s="9"/>
      <c r="Z486" s="9"/>
      <c r="AA486" s="9"/>
      <c r="AB486" s="9"/>
      <c r="AC486" s="9"/>
      <c r="AD486" s="9"/>
    </row>
    <row r="487" spans="1:30" ht="43.5">
      <c r="A487" s="3" t="s">
        <v>3424</v>
      </c>
      <c r="B487" s="3" t="s">
        <v>9104</v>
      </c>
      <c r="C487" s="3" t="s">
        <v>9105</v>
      </c>
      <c r="G487" s="9" t="s">
        <v>25</v>
      </c>
      <c r="H487" s="9"/>
      <c r="I487" s="9">
        <v>1</v>
      </c>
      <c r="J487" s="9">
        <v>5</v>
      </c>
      <c r="K487" s="9" t="s">
        <v>12094</v>
      </c>
      <c r="L487" s="9" t="s">
        <v>12079</v>
      </c>
      <c r="M487" s="9"/>
      <c r="N487" s="10"/>
      <c r="O487" s="9"/>
      <c r="P487" s="9">
        <v>4240</v>
      </c>
      <c r="Q487" s="9">
        <v>509.49291035808699</v>
      </c>
      <c r="R487" s="9"/>
      <c r="S487" s="9" t="s">
        <v>12795</v>
      </c>
      <c r="T487" s="9" t="s">
        <v>12795</v>
      </c>
      <c r="U487" s="9"/>
      <c r="V487" s="9"/>
      <c r="W487" s="9"/>
      <c r="X487" s="9"/>
      <c r="Y487" s="9"/>
      <c r="Z487" s="9"/>
      <c r="AA487" s="9"/>
      <c r="AB487" s="9"/>
      <c r="AC487" s="9"/>
      <c r="AD487" s="9"/>
    </row>
    <row r="488" spans="1:30" ht="58">
      <c r="A488" s="3" t="s">
        <v>3436</v>
      </c>
      <c r="B488" s="3" t="s">
        <v>9123</v>
      </c>
      <c r="C488" s="3" t="s">
        <v>9122</v>
      </c>
      <c r="G488" s="9" t="s">
        <v>25</v>
      </c>
      <c r="H488" s="9"/>
      <c r="I488" s="9">
        <v>1</v>
      </c>
      <c r="J488" s="9">
        <v>5</v>
      </c>
      <c r="K488" s="9" t="s">
        <v>12094</v>
      </c>
      <c r="L488" s="9" t="s">
        <v>12079</v>
      </c>
      <c r="M488" s="9"/>
      <c r="N488" s="10"/>
      <c r="O488" s="9"/>
      <c r="P488" s="9">
        <v>4240</v>
      </c>
      <c r="Q488" s="9">
        <v>509.49291035808699</v>
      </c>
      <c r="R488" s="9"/>
      <c r="S488" s="9" t="s">
        <v>12795</v>
      </c>
      <c r="T488" s="9" t="s">
        <v>12795</v>
      </c>
      <c r="U488" s="9"/>
      <c r="V488" s="9"/>
      <c r="W488" s="9"/>
      <c r="X488" s="9"/>
      <c r="Y488" s="9"/>
      <c r="Z488" s="9"/>
      <c r="AA488" s="9"/>
      <c r="AB488" s="9"/>
      <c r="AC488" s="9"/>
      <c r="AD488" s="9"/>
    </row>
    <row r="489" spans="1:30" ht="43.5">
      <c r="A489" s="3" t="s">
        <v>3443</v>
      </c>
      <c r="B489" s="3" t="s">
        <v>9138</v>
      </c>
      <c r="C489" s="3" t="s">
        <v>9139</v>
      </c>
      <c r="G489" s="9" t="s">
        <v>25</v>
      </c>
      <c r="H489" s="9"/>
      <c r="I489" s="9">
        <v>1</v>
      </c>
      <c r="J489" s="9">
        <v>1</v>
      </c>
      <c r="K489" s="9" t="s">
        <v>12078</v>
      </c>
      <c r="L489" s="9" t="s">
        <v>12119</v>
      </c>
      <c r="M489" s="9"/>
      <c r="N489" s="10"/>
      <c r="O489" s="9"/>
      <c r="P489" s="9">
        <v>11843</v>
      </c>
      <c r="Q489" s="9">
        <v>1423.0954097572699</v>
      </c>
      <c r="R489" s="9"/>
      <c r="S489" s="9" t="s">
        <v>12795</v>
      </c>
      <c r="T489" s="9" t="s">
        <v>12795</v>
      </c>
      <c r="U489" s="9"/>
      <c r="V489" s="9"/>
      <c r="W489" s="9"/>
      <c r="X489" s="9"/>
      <c r="Y489" s="9"/>
      <c r="Z489" s="9"/>
      <c r="AA489" s="9"/>
      <c r="AB489" s="9"/>
      <c r="AC489" s="9"/>
      <c r="AD489" s="9"/>
    </row>
    <row r="490" spans="1:30" ht="58">
      <c r="A490" s="3" t="s">
        <v>3445</v>
      </c>
      <c r="B490" s="3" t="s">
        <v>9142</v>
      </c>
      <c r="C490" s="3" t="s">
        <v>9145</v>
      </c>
      <c r="G490" s="9" t="s">
        <v>24</v>
      </c>
      <c r="H490" s="9"/>
      <c r="I490" s="9">
        <v>1</v>
      </c>
      <c r="J490" s="9">
        <v>1</v>
      </c>
      <c r="K490" s="9" t="s">
        <v>12078</v>
      </c>
      <c r="L490" s="9" t="s">
        <v>12119</v>
      </c>
      <c r="M490" s="9"/>
      <c r="N490" s="10"/>
      <c r="O490" s="9"/>
      <c r="P490" s="9">
        <v>11843</v>
      </c>
      <c r="Q490" s="9">
        <v>1423.0954097572699</v>
      </c>
      <c r="R490" s="9"/>
      <c r="S490" s="9" t="s">
        <v>12795</v>
      </c>
      <c r="T490" s="9" t="s">
        <v>12795</v>
      </c>
      <c r="U490" s="9"/>
      <c r="V490" s="9"/>
      <c r="W490" s="9"/>
      <c r="X490" s="9"/>
      <c r="Y490" s="9"/>
      <c r="Z490" s="9"/>
      <c r="AA490" s="9"/>
      <c r="AB490" s="9"/>
      <c r="AC490" s="9"/>
      <c r="AD490" s="9"/>
    </row>
    <row r="491" spans="1:30" ht="43.5">
      <c r="A491" s="3" t="s">
        <v>3446</v>
      </c>
      <c r="B491" s="3" t="s">
        <v>9149</v>
      </c>
      <c r="C491" s="3" t="s">
        <v>9148</v>
      </c>
      <c r="G491" s="9" t="s">
        <v>24</v>
      </c>
      <c r="H491" s="9"/>
      <c r="I491" s="9">
        <v>1</v>
      </c>
      <c r="J491" s="9">
        <v>3</v>
      </c>
      <c r="K491" s="9" t="s">
        <v>12087</v>
      </c>
      <c r="L491" s="9" t="s">
        <v>12079</v>
      </c>
      <c r="M491" s="9"/>
      <c r="N491" s="10"/>
      <c r="O491" s="9"/>
      <c r="P491" s="9">
        <v>5676</v>
      </c>
      <c r="Q491" s="9">
        <v>682.04758471521268</v>
      </c>
      <c r="R491" s="9"/>
      <c r="S491" s="9" t="s">
        <v>12795</v>
      </c>
      <c r="T491" s="9" t="s">
        <v>12795</v>
      </c>
      <c r="U491" s="9"/>
      <c r="V491" s="9"/>
      <c r="W491" s="9"/>
      <c r="X491" s="9"/>
      <c r="Y491" s="9"/>
      <c r="Z491" s="9"/>
      <c r="AA491" s="9"/>
      <c r="AB491" s="9"/>
      <c r="AC491" s="9"/>
      <c r="AD491" s="9"/>
    </row>
    <row r="492" spans="1:30" ht="72.5">
      <c r="A492" s="3" t="s">
        <v>3450</v>
      </c>
      <c r="B492" s="3" t="s">
        <v>9164</v>
      </c>
      <c r="C492" s="3" t="s">
        <v>9163</v>
      </c>
      <c r="G492" s="9" t="s">
        <v>25</v>
      </c>
      <c r="H492" s="9"/>
      <c r="I492" s="9">
        <v>1</v>
      </c>
      <c r="J492" s="9">
        <v>2</v>
      </c>
      <c r="K492" s="9" t="s">
        <v>12078</v>
      </c>
      <c r="L492" s="9" t="s">
        <v>12119</v>
      </c>
      <c r="M492" s="9"/>
      <c r="N492" s="10"/>
      <c r="O492" s="9"/>
      <c r="P492" s="9">
        <v>11843</v>
      </c>
      <c r="Q492" s="9">
        <v>1423.0954097572699</v>
      </c>
      <c r="R492" s="9"/>
      <c r="S492" s="9" t="s">
        <v>12795</v>
      </c>
      <c r="T492" s="9" t="s">
        <v>12795</v>
      </c>
      <c r="U492" s="9"/>
      <c r="V492" s="9"/>
      <c r="W492" s="9"/>
      <c r="X492" s="9"/>
      <c r="Y492" s="9"/>
      <c r="Z492" s="9"/>
      <c r="AA492" s="9"/>
      <c r="AB492" s="9"/>
      <c r="AC492" s="9"/>
      <c r="AD492" s="9"/>
    </row>
    <row r="493" spans="1:30" ht="29">
      <c r="A493" s="3" t="s">
        <v>3459</v>
      </c>
      <c r="B493" s="3" t="s">
        <v>9176</v>
      </c>
      <c r="C493" s="3" t="s">
        <v>9175</v>
      </c>
      <c r="G493" s="9" t="s">
        <v>25</v>
      </c>
      <c r="H493" s="9"/>
      <c r="I493" s="9">
        <v>1</v>
      </c>
      <c r="J493" s="9">
        <v>1</v>
      </c>
      <c r="K493" s="9" t="s">
        <v>12078</v>
      </c>
      <c r="L493" s="9" t="s">
        <v>12119</v>
      </c>
      <c r="M493" s="9"/>
      <c r="N493" s="10"/>
      <c r="O493" s="9"/>
      <c r="P493" s="9">
        <v>11843</v>
      </c>
      <c r="Q493" s="9">
        <v>1423.0954097572699</v>
      </c>
      <c r="R493" s="9"/>
      <c r="S493" s="9" t="s">
        <v>12795</v>
      </c>
      <c r="T493" s="9" t="s">
        <v>12795</v>
      </c>
      <c r="U493" s="9"/>
      <c r="V493" s="9"/>
      <c r="W493" s="9"/>
      <c r="X493" s="9"/>
      <c r="Y493" s="9"/>
      <c r="Z493" s="9"/>
      <c r="AA493" s="9"/>
      <c r="AB493" s="9"/>
      <c r="AC493" s="9"/>
      <c r="AD493" s="9"/>
    </row>
    <row r="494" spans="1:30" ht="43.5">
      <c r="A494" s="3" t="s">
        <v>3459</v>
      </c>
      <c r="B494" s="3" t="s">
        <v>9178</v>
      </c>
      <c r="C494" s="3" t="s">
        <v>9177</v>
      </c>
      <c r="G494" s="9" t="s">
        <v>24</v>
      </c>
      <c r="H494" s="9"/>
      <c r="I494" s="9">
        <v>1</v>
      </c>
      <c r="J494" s="9">
        <v>3</v>
      </c>
      <c r="K494" s="9" t="s">
        <v>12087</v>
      </c>
      <c r="L494" s="9" t="s">
        <v>12079</v>
      </c>
      <c r="M494" s="9"/>
      <c r="N494" s="10"/>
      <c r="O494" s="9"/>
      <c r="P494" s="9">
        <v>431</v>
      </c>
      <c r="Q494" s="9">
        <v>51.790434991588562</v>
      </c>
      <c r="R494" s="9"/>
      <c r="S494" s="9" t="s">
        <v>12795</v>
      </c>
      <c r="T494" s="9" t="s">
        <v>12795</v>
      </c>
      <c r="U494" s="9"/>
      <c r="V494" s="9"/>
      <c r="W494" s="9"/>
      <c r="X494" s="9"/>
      <c r="Y494" s="9"/>
      <c r="Z494" s="9"/>
      <c r="AA494" s="9"/>
      <c r="AB494" s="9"/>
      <c r="AC494" s="9"/>
      <c r="AD494" s="9"/>
    </row>
    <row r="495" spans="1:30" ht="43.5">
      <c r="A495" s="3" t="s">
        <v>3471</v>
      </c>
      <c r="B495" s="3" t="s">
        <v>12919</v>
      </c>
      <c r="C495" s="3" t="s">
        <v>9189</v>
      </c>
      <c r="G495" s="9" t="s">
        <v>25</v>
      </c>
      <c r="H495" s="9"/>
      <c r="I495" s="9">
        <v>1</v>
      </c>
      <c r="J495" s="9">
        <v>2</v>
      </c>
      <c r="K495" s="9" t="s">
        <v>12078</v>
      </c>
      <c r="L495" s="9" t="s">
        <v>12119</v>
      </c>
      <c r="M495" s="9"/>
      <c r="N495" s="10"/>
      <c r="O495" s="9"/>
      <c r="P495" s="9">
        <v>11843</v>
      </c>
      <c r="Q495" s="9">
        <v>1423.0954097572699</v>
      </c>
      <c r="R495" s="9"/>
      <c r="S495" s="9" t="s">
        <v>12795</v>
      </c>
      <c r="T495" s="9" t="s">
        <v>12795</v>
      </c>
      <c r="U495" s="9"/>
      <c r="V495" s="9"/>
      <c r="W495" s="9"/>
      <c r="X495" s="9"/>
      <c r="Y495" s="9"/>
      <c r="Z495" s="9"/>
      <c r="AA495" s="9"/>
      <c r="AB495" s="9"/>
      <c r="AC495" s="9"/>
      <c r="AD495" s="9"/>
    </row>
    <row r="496" spans="1:30" ht="72.5">
      <c r="A496" s="3" t="s">
        <v>3472</v>
      </c>
      <c r="B496" s="3" t="s">
        <v>9193</v>
      </c>
      <c r="C496" s="3" t="s">
        <v>9196</v>
      </c>
      <c r="G496" s="9" t="s">
        <v>24</v>
      </c>
      <c r="H496" s="9"/>
      <c r="I496" s="9">
        <v>1</v>
      </c>
      <c r="J496" s="9">
        <v>5</v>
      </c>
      <c r="K496" s="9" t="s">
        <v>12094</v>
      </c>
      <c r="L496" s="9" t="s">
        <v>12079</v>
      </c>
      <c r="M496" s="9"/>
      <c r="N496" s="10"/>
      <c r="O496" s="9"/>
      <c r="P496" s="9">
        <v>1741</v>
      </c>
      <c r="Q496" s="9">
        <v>209.20451814467677</v>
      </c>
      <c r="R496" s="9"/>
      <c r="S496" s="9" t="s">
        <v>12795</v>
      </c>
      <c r="T496" s="9" t="s">
        <v>12795</v>
      </c>
      <c r="U496" s="9"/>
      <c r="V496" s="9"/>
      <c r="W496" s="9"/>
      <c r="X496" s="9"/>
      <c r="Y496" s="9"/>
      <c r="Z496" s="9"/>
      <c r="AA496" s="9"/>
      <c r="AB496" s="9"/>
      <c r="AC496" s="9"/>
      <c r="AD496" s="9"/>
    </row>
    <row r="497" spans="1:30" ht="43.5">
      <c r="A497" s="3" t="s">
        <v>3480</v>
      </c>
      <c r="B497" s="3" t="s">
        <v>9205</v>
      </c>
      <c r="C497" s="3" t="s">
        <v>9206</v>
      </c>
      <c r="G497" s="9" t="s">
        <v>25</v>
      </c>
      <c r="H497" s="9"/>
      <c r="I497" s="9">
        <v>1</v>
      </c>
      <c r="J497" s="9">
        <v>4</v>
      </c>
      <c r="K497" s="9" t="s">
        <v>12078</v>
      </c>
      <c r="L497" s="9" t="s">
        <v>12073</v>
      </c>
      <c r="M497" s="9" t="s">
        <v>12149</v>
      </c>
      <c r="N497" s="10" t="s">
        <v>12143</v>
      </c>
      <c r="O497" s="9"/>
      <c r="P497" s="9">
        <v>11843</v>
      </c>
      <c r="Q497" s="9">
        <v>1423.0954097572699</v>
      </c>
      <c r="R497" s="9"/>
      <c r="S497" s="9" t="s">
        <v>12795</v>
      </c>
      <c r="T497" s="9" t="s">
        <v>12795</v>
      </c>
      <c r="U497" s="9"/>
      <c r="V497" s="9"/>
      <c r="W497" s="9"/>
      <c r="X497" s="9"/>
      <c r="Y497" s="9"/>
      <c r="Z497" s="9"/>
      <c r="AA497" s="9"/>
      <c r="AB497" s="9"/>
      <c r="AC497" s="9"/>
      <c r="AD497" s="9"/>
    </row>
    <row r="498" spans="1:30" ht="29">
      <c r="A498" s="3" t="s">
        <v>3483</v>
      </c>
      <c r="B498" s="3" t="s">
        <v>9213</v>
      </c>
      <c r="C498" s="3" t="s">
        <v>9214</v>
      </c>
      <c r="G498" s="9" t="s">
        <v>25</v>
      </c>
      <c r="H498" s="9"/>
      <c r="I498" s="9">
        <v>1</v>
      </c>
      <c r="J498" s="9">
        <v>3</v>
      </c>
      <c r="K498" s="9" t="s">
        <v>12087</v>
      </c>
      <c r="L498" s="9" t="s">
        <v>12079</v>
      </c>
      <c r="M498" s="9"/>
      <c r="N498" s="10"/>
      <c r="O498" s="9"/>
      <c r="P498" s="9">
        <v>309</v>
      </c>
      <c r="Q498" s="9">
        <v>37.130497476568131</v>
      </c>
      <c r="R498" s="9"/>
      <c r="S498" s="9" t="s">
        <v>12795</v>
      </c>
      <c r="T498" s="9" t="s">
        <v>12795</v>
      </c>
      <c r="U498" s="9"/>
      <c r="V498" s="9"/>
      <c r="W498" s="9"/>
      <c r="X498" s="9"/>
      <c r="Y498" s="9"/>
      <c r="Z498" s="9"/>
      <c r="AA498" s="9"/>
      <c r="AB498" s="9"/>
      <c r="AC498" s="9"/>
      <c r="AD498" s="9"/>
    </row>
    <row r="499" spans="1:30" ht="43.5">
      <c r="A499" s="3" t="s">
        <v>3483</v>
      </c>
      <c r="B499" s="3" t="s">
        <v>9216</v>
      </c>
      <c r="C499" s="3" t="s">
        <v>9215</v>
      </c>
      <c r="G499" s="9" t="s">
        <v>24</v>
      </c>
      <c r="H499" s="9"/>
      <c r="I499" s="9">
        <v>1</v>
      </c>
      <c r="J499" s="9">
        <v>3</v>
      </c>
      <c r="K499" s="9" t="s">
        <v>12094</v>
      </c>
      <c r="L499" s="9" t="s">
        <v>12073</v>
      </c>
      <c r="M499" s="9" t="s">
        <v>12149</v>
      </c>
      <c r="N499" s="10" t="s">
        <v>12143</v>
      </c>
      <c r="O499" s="9" t="s">
        <v>12074</v>
      </c>
      <c r="P499" s="9">
        <v>1496</v>
      </c>
      <c r="Q499" s="9">
        <v>179.76447969238166</v>
      </c>
      <c r="R499" s="9"/>
      <c r="S499" s="9" t="s">
        <v>12795</v>
      </c>
      <c r="T499" s="9" t="s">
        <v>12795</v>
      </c>
      <c r="U499" s="9"/>
      <c r="V499" s="9"/>
      <c r="W499" s="9"/>
      <c r="X499" s="9"/>
      <c r="Y499" s="9"/>
      <c r="Z499" s="9"/>
      <c r="AA499" s="9"/>
      <c r="AB499" s="9"/>
      <c r="AC499" s="9"/>
      <c r="AD499" s="9"/>
    </row>
    <row r="500" spans="1:30" ht="43.5">
      <c r="A500" s="3" t="s">
        <v>3486</v>
      </c>
      <c r="B500" s="3" t="s">
        <v>9218</v>
      </c>
      <c r="C500" s="3" t="s">
        <v>9217</v>
      </c>
      <c r="G500" s="9" t="s">
        <v>25</v>
      </c>
      <c r="H500" s="9"/>
      <c r="I500" s="9">
        <v>1</v>
      </c>
      <c r="J500" s="9">
        <v>3</v>
      </c>
      <c r="K500" s="9" t="s">
        <v>12087</v>
      </c>
      <c r="L500" s="9" t="s">
        <v>12079</v>
      </c>
      <c r="M500" s="9"/>
      <c r="N500" s="10"/>
      <c r="O500" s="9"/>
      <c r="P500" s="9">
        <v>5676</v>
      </c>
      <c r="Q500" s="9">
        <v>682.04758471521268</v>
      </c>
      <c r="R500" s="9"/>
      <c r="S500" s="9" t="s">
        <v>12795</v>
      </c>
      <c r="T500" s="9" t="s">
        <v>12795</v>
      </c>
      <c r="U500" s="9"/>
      <c r="V500" s="9"/>
      <c r="W500" s="9"/>
      <c r="X500" s="9"/>
      <c r="Y500" s="9"/>
      <c r="Z500" s="9"/>
      <c r="AA500" s="9"/>
      <c r="AB500" s="9"/>
      <c r="AC500" s="9"/>
      <c r="AD500" s="9"/>
    </row>
    <row r="501" spans="1:30" ht="29">
      <c r="A501" s="3" t="s">
        <v>3487</v>
      </c>
      <c r="B501" s="3" t="s">
        <v>12920</v>
      </c>
      <c r="C501" s="3" t="s">
        <v>9221</v>
      </c>
      <c r="G501" s="9" t="s">
        <v>24</v>
      </c>
      <c r="H501" s="9"/>
      <c r="I501" s="9">
        <v>1</v>
      </c>
      <c r="J501" s="9">
        <v>1</v>
      </c>
      <c r="K501" s="9" t="s">
        <v>12078</v>
      </c>
      <c r="L501" s="9" t="s">
        <v>12119</v>
      </c>
      <c r="M501" s="9"/>
      <c r="N501" s="10"/>
      <c r="O501" s="9"/>
      <c r="P501" s="9">
        <v>11843</v>
      </c>
      <c r="Q501" s="9">
        <v>1423.0954097572699</v>
      </c>
      <c r="R501" s="9"/>
      <c r="S501" s="9" t="s">
        <v>12795</v>
      </c>
      <c r="T501" s="9" t="s">
        <v>12795</v>
      </c>
      <c r="U501" s="9"/>
      <c r="V501" s="9"/>
      <c r="W501" s="9"/>
      <c r="X501" s="9"/>
      <c r="Y501" s="9"/>
      <c r="Z501" s="9"/>
      <c r="AA501" s="9"/>
      <c r="AB501" s="9"/>
      <c r="AC501" s="9"/>
      <c r="AD501" s="9"/>
    </row>
    <row r="502" spans="1:30" ht="29">
      <c r="A502" s="3" t="s">
        <v>3494</v>
      </c>
      <c r="B502" s="3" t="s">
        <v>9227</v>
      </c>
      <c r="C502" s="3" t="s">
        <v>9226</v>
      </c>
      <c r="G502" s="9" t="s">
        <v>24</v>
      </c>
      <c r="H502" s="9"/>
      <c r="I502" s="9">
        <v>1</v>
      </c>
      <c r="J502" s="9">
        <v>2</v>
      </c>
      <c r="K502" s="9" t="s">
        <v>12078</v>
      </c>
      <c r="L502" s="9" t="s">
        <v>12119</v>
      </c>
      <c r="M502" s="9"/>
      <c r="N502" s="10"/>
      <c r="O502" s="9"/>
      <c r="P502" s="9">
        <v>11843</v>
      </c>
      <c r="Q502" s="9">
        <v>1423.0954097572699</v>
      </c>
      <c r="R502" s="9"/>
      <c r="S502" s="9" t="s">
        <v>12795</v>
      </c>
      <c r="T502" s="9" t="s">
        <v>12795</v>
      </c>
      <c r="U502" s="9"/>
      <c r="V502" s="9"/>
      <c r="W502" s="9"/>
      <c r="X502" s="9"/>
      <c r="Y502" s="9"/>
      <c r="Z502" s="9"/>
      <c r="AA502" s="9"/>
      <c r="AB502" s="9"/>
      <c r="AC502" s="9"/>
      <c r="AD502" s="9"/>
    </row>
    <row r="503" spans="1:30" ht="29">
      <c r="A503" s="3" t="s">
        <v>3497</v>
      </c>
      <c r="B503" s="3" t="s">
        <v>9231</v>
      </c>
      <c r="C503" s="3" t="s">
        <v>9230</v>
      </c>
      <c r="G503" s="9" t="s">
        <v>24</v>
      </c>
      <c r="H503" s="9"/>
      <c r="I503" s="9">
        <v>1</v>
      </c>
      <c r="J503" s="9">
        <v>3</v>
      </c>
      <c r="K503" s="9" t="s">
        <v>12087</v>
      </c>
      <c r="L503" s="9" t="s">
        <v>12079</v>
      </c>
      <c r="M503" s="9"/>
      <c r="N503" s="10"/>
      <c r="O503" s="9"/>
      <c r="P503" s="9">
        <v>5676</v>
      </c>
      <c r="Q503" s="9">
        <v>682.04758471521268</v>
      </c>
      <c r="R503" s="9"/>
      <c r="S503" s="9" t="s">
        <v>12795</v>
      </c>
      <c r="T503" s="9" t="s">
        <v>12795</v>
      </c>
      <c r="U503" s="9"/>
      <c r="V503" s="9"/>
      <c r="W503" s="9"/>
      <c r="X503" s="9"/>
      <c r="Y503" s="9"/>
      <c r="Z503" s="9"/>
      <c r="AA503" s="9"/>
      <c r="AB503" s="9"/>
      <c r="AC503" s="9"/>
      <c r="AD503" s="9"/>
    </row>
    <row r="504" spans="1:30" ht="29">
      <c r="A504" s="3" t="s">
        <v>3502</v>
      </c>
      <c r="B504" s="3" t="s">
        <v>9234</v>
      </c>
      <c r="C504" s="3" t="s">
        <v>9235</v>
      </c>
      <c r="G504" s="9" t="s">
        <v>25</v>
      </c>
      <c r="H504" s="9"/>
      <c r="I504" s="9">
        <v>1</v>
      </c>
      <c r="J504" s="9">
        <v>2</v>
      </c>
      <c r="K504" s="9" t="s">
        <v>12123</v>
      </c>
      <c r="L504" s="9" t="s">
        <v>12079</v>
      </c>
      <c r="M504" s="9"/>
      <c r="N504" s="10"/>
      <c r="O504" s="9"/>
      <c r="P504" s="9">
        <v>134</v>
      </c>
      <c r="Q504" s="9">
        <v>16.101898582071616</v>
      </c>
      <c r="R504" s="9"/>
      <c r="S504" s="9" t="s">
        <v>12795</v>
      </c>
      <c r="T504" s="9" t="s">
        <v>12795</v>
      </c>
      <c r="U504" s="9"/>
      <c r="V504" s="9"/>
      <c r="W504" s="9"/>
      <c r="X504" s="9"/>
      <c r="Y504" s="9"/>
      <c r="Z504" s="9"/>
      <c r="AA504" s="9"/>
      <c r="AB504" s="9"/>
      <c r="AC504" s="9"/>
      <c r="AD504" s="9"/>
    </row>
    <row r="505" spans="1:30" ht="29">
      <c r="A505" s="3" t="s">
        <v>3503</v>
      </c>
      <c r="B505" s="3" t="s">
        <v>9241</v>
      </c>
      <c r="C505" s="3" t="s">
        <v>9240</v>
      </c>
      <c r="G505" s="9" t="s">
        <v>24</v>
      </c>
      <c r="H505" s="9"/>
      <c r="I505" s="9">
        <v>1</v>
      </c>
      <c r="J505" s="9">
        <v>2</v>
      </c>
      <c r="K505" s="9" t="s">
        <v>12087</v>
      </c>
      <c r="L505" s="9" t="s">
        <v>12119</v>
      </c>
      <c r="M505" s="9"/>
      <c r="N505" s="10"/>
      <c r="O505" s="9"/>
      <c r="P505" s="9">
        <v>1966</v>
      </c>
      <c r="Q505" s="9">
        <v>236.24128815188658</v>
      </c>
      <c r="R505" s="9"/>
      <c r="S505" s="9" t="s">
        <v>12795</v>
      </c>
      <c r="T505" s="9" t="s">
        <v>12795</v>
      </c>
      <c r="U505" s="9"/>
      <c r="V505" s="9"/>
      <c r="W505" s="9"/>
      <c r="X505" s="9"/>
      <c r="Y505" s="9"/>
      <c r="Z505" s="9"/>
      <c r="AA505" s="9"/>
      <c r="AB505" s="9"/>
      <c r="AC505" s="9"/>
      <c r="AD505" s="9"/>
    </row>
    <row r="506" spans="1:30" ht="43.5">
      <c r="A506" s="3" t="s">
        <v>3505</v>
      </c>
      <c r="B506" s="3" t="s">
        <v>9249</v>
      </c>
      <c r="C506" s="3" t="s">
        <v>9248</v>
      </c>
      <c r="G506" s="9" t="s">
        <v>24</v>
      </c>
      <c r="H506" s="9"/>
      <c r="I506" s="9">
        <v>1</v>
      </c>
      <c r="J506" s="9">
        <v>3</v>
      </c>
      <c r="K506" s="9" t="s">
        <v>12087</v>
      </c>
      <c r="L506" s="9" t="s">
        <v>12079</v>
      </c>
      <c r="M506" s="9"/>
      <c r="N506" s="10"/>
      <c r="O506" s="9"/>
      <c r="P506" s="9">
        <v>5676</v>
      </c>
      <c r="Q506" s="9">
        <v>682.04758471521268</v>
      </c>
      <c r="R506" s="9"/>
      <c r="S506" s="9" t="s">
        <v>12795</v>
      </c>
      <c r="T506" s="9" t="s">
        <v>12795</v>
      </c>
      <c r="U506" s="9"/>
      <c r="V506" s="9"/>
      <c r="W506" s="9"/>
      <c r="X506" s="9"/>
      <c r="Y506" s="9"/>
      <c r="Z506" s="9"/>
      <c r="AA506" s="9"/>
      <c r="AB506" s="9"/>
      <c r="AC506" s="9"/>
      <c r="AD506" s="9"/>
    </row>
    <row r="507" spans="1:30" ht="29">
      <c r="A507" s="3" t="s">
        <v>3506</v>
      </c>
      <c r="B507" s="3" t="s">
        <v>12922</v>
      </c>
      <c r="C507" s="3" t="s">
        <v>9254</v>
      </c>
      <c r="G507" s="9" t="s">
        <v>24</v>
      </c>
      <c r="H507" s="9"/>
      <c r="I507" s="9">
        <v>1</v>
      </c>
      <c r="J507" s="9">
        <v>1</v>
      </c>
      <c r="K507" s="9" t="s">
        <v>12078</v>
      </c>
      <c r="L507" s="9" t="s">
        <v>12119</v>
      </c>
      <c r="M507" s="9"/>
      <c r="N507" s="10"/>
      <c r="O507" s="9"/>
      <c r="P507" s="9">
        <v>11843</v>
      </c>
      <c r="Q507" s="9">
        <v>1423.0954097572699</v>
      </c>
      <c r="R507" s="9"/>
      <c r="S507" s="9" t="s">
        <v>12795</v>
      </c>
      <c r="T507" s="9" t="s">
        <v>12795</v>
      </c>
      <c r="U507" s="9"/>
      <c r="V507" s="9"/>
      <c r="W507" s="9"/>
      <c r="X507" s="9"/>
      <c r="Y507" s="9"/>
      <c r="Z507" s="9"/>
      <c r="AA507" s="9"/>
      <c r="AB507" s="9"/>
      <c r="AC507" s="9"/>
      <c r="AD507" s="9"/>
    </row>
    <row r="508" spans="1:30" ht="43.5">
      <c r="A508" s="3" t="s">
        <v>3507</v>
      </c>
      <c r="B508" s="3" t="s">
        <v>9256</v>
      </c>
      <c r="C508" s="3" t="s">
        <v>9255</v>
      </c>
      <c r="G508" s="9" t="s">
        <v>24</v>
      </c>
      <c r="H508" s="9"/>
      <c r="I508" s="9">
        <v>1</v>
      </c>
      <c r="J508" s="9">
        <v>6</v>
      </c>
      <c r="K508" s="9" t="s">
        <v>12094</v>
      </c>
      <c r="L508" s="9" t="s">
        <v>12079</v>
      </c>
      <c r="M508" s="9"/>
      <c r="N508" s="10"/>
      <c r="O508" s="9"/>
      <c r="P508" s="9">
        <v>930</v>
      </c>
      <c r="Q508" s="9">
        <v>111.75198269646719</v>
      </c>
      <c r="R508" s="9"/>
      <c r="S508" s="9" t="s">
        <v>12795</v>
      </c>
      <c r="T508" s="9" t="s">
        <v>12795</v>
      </c>
      <c r="U508" s="9"/>
      <c r="V508" s="9"/>
      <c r="W508" s="9"/>
      <c r="X508" s="9"/>
      <c r="Y508" s="9"/>
      <c r="Z508" s="9"/>
      <c r="AA508" s="9"/>
      <c r="AB508" s="9"/>
      <c r="AC508" s="9"/>
      <c r="AD508" s="9"/>
    </row>
    <row r="509" spans="1:30" ht="29">
      <c r="A509" s="3" t="s">
        <v>3510</v>
      </c>
      <c r="B509" s="3" t="s">
        <v>9262</v>
      </c>
      <c r="C509" s="3" t="s">
        <v>9261</v>
      </c>
      <c r="G509" s="9" t="s">
        <v>25</v>
      </c>
      <c r="H509" s="9"/>
      <c r="I509" s="9">
        <v>1</v>
      </c>
      <c r="J509" s="9">
        <v>3</v>
      </c>
      <c r="K509" s="9" t="s">
        <v>12087</v>
      </c>
      <c r="L509" s="9" t="s">
        <v>12079</v>
      </c>
      <c r="M509" s="9"/>
      <c r="N509" s="10"/>
      <c r="O509" s="9"/>
      <c r="P509" s="9">
        <v>356</v>
      </c>
      <c r="Q509" s="9">
        <v>42.778178322518627</v>
      </c>
      <c r="R509" s="9"/>
      <c r="S509" s="9" t="s">
        <v>12795</v>
      </c>
      <c r="T509" s="9" t="s">
        <v>12795</v>
      </c>
      <c r="U509" s="9"/>
      <c r="V509" s="9"/>
      <c r="W509" s="9"/>
      <c r="X509" s="9"/>
      <c r="Y509" s="9"/>
      <c r="Z509" s="9"/>
      <c r="AA509" s="9"/>
      <c r="AB509" s="9"/>
      <c r="AC509" s="9"/>
      <c r="AD509" s="9"/>
    </row>
    <row r="510" spans="1:30" ht="29">
      <c r="A510" s="3" t="s">
        <v>3515</v>
      </c>
      <c r="B510" s="3" t="s">
        <v>9268</v>
      </c>
      <c r="C510" s="3" t="s">
        <v>9267</v>
      </c>
      <c r="G510" s="9" t="s">
        <v>25</v>
      </c>
      <c r="H510" s="9"/>
      <c r="I510" s="9">
        <v>1</v>
      </c>
      <c r="J510" s="9">
        <v>4</v>
      </c>
      <c r="K510" s="9" t="s">
        <v>12094</v>
      </c>
      <c r="L510" s="9" t="s">
        <v>12079</v>
      </c>
      <c r="M510" s="9"/>
      <c r="N510" s="10"/>
      <c r="O510" s="9"/>
      <c r="P510" s="9">
        <v>1496</v>
      </c>
      <c r="Q510" s="9">
        <v>179.76447969238166</v>
      </c>
      <c r="R510" s="9"/>
      <c r="S510" s="9" t="s">
        <v>12795</v>
      </c>
      <c r="T510" s="9" t="s">
        <v>12795</v>
      </c>
      <c r="U510" s="9"/>
      <c r="V510" s="9"/>
      <c r="W510" s="9"/>
      <c r="X510" s="9"/>
      <c r="Y510" s="9"/>
      <c r="Z510" s="9"/>
      <c r="AA510" s="9"/>
      <c r="AB510" s="9"/>
      <c r="AC510" s="9"/>
      <c r="AD510" s="9"/>
    </row>
    <row r="511" spans="1:30" ht="43.5">
      <c r="A511" s="3" t="s">
        <v>3517</v>
      </c>
      <c r="B511" s="3" t="s">
        <v>9273</v>
      </c>
      <c r="C511" s="3" t="s">
        <v>9274</v>
      </c>
      <c r="G511" s="9" t="s">
        <v>25</v>
      </c>
      <c r="H511" s="9"/>
      <c r="I511" s="9">
        <v>1</v>
      </c>
      <c r="J511" s="9">
        <v>3</v>
      </c>
      <c r="K511" s="9" t="s">
        <v>12078</v>
      </c>
      <c r="L511" s="9" t="s">
        <v>12079</v>
      </c>
      <c r="M511" s="9"/>
      <c r="N511" s="10"/>
      <c r="O511" s="9"/>
      <c r="P511" s="9">
        <v>11843</v>
      </c>
      <c r="Q511" s="9">
        <v>1423.0954097572699</v>
      </c>
      <c r="R511" s="9"/>
      <c r="S511" s="9" t="s">
        <v>12795</v>
      </c>
      <c r="T511" s="9" t="s">
        <v>12795</v>
      </c>
      <c r="U511" s="9"/>
      <c r="V511" s="9"/>
      <c r="W511" s="9"/>
      <c r="X511" s="9"/>
      <c r="Y511" s="9"/>
      <c r="Z511" s="9"/>
      <c r="AA511" s="9"/>
      <c r="AB511" s="9"/>
      <c r="AC511" s="9"/>
      <c r="AD511" s="9"/>
    </row>
    <row r="512" spans="1:30" ht="58">
      <c r="A512" s="3" t="s">
        <v>3520</v>
      </c>
      <c r="B512" s="3" t="s">
        <v>9282</v>
      </c>
      <c r="C512" s="3" t="s">
        <v>9281</v>
      </c>
      <c r="G512" s="9" t="s">
        <v>25</v>
      </c>
      <c r="H512" s="9"/>
      <c r="I512" s="9">
        <v>1</v>
      </c>
      <c r="J512" s="9">
        <v>3</v>
      </c>
      <c r="K512" s="9" t="s">
        <v>12078</v>
      </c>
      <c r="L512" s="9" t="s">
        <v>12079</v>
      </c>
      <c r="M512" s="9"/>
      <c r="N512" s="10"/>
      <c r="O512" s="9"/>
      <c r="P512" s="9">
        <v>11843</v>
      </c>
      <c r="Q512" s="9">
        <v>1423.0954097572699</v>
      </c>
      <c r="R512" s="9"/>
      <c r="S512" s="9" t="s">
        <v>12795</v>
      </c>
      <c r="T512" s="9" t="s">
        <v>12795</v>
      </c>
      <c r="U512" s="9"/>
      <c r="V512" s="9"/>
      <c r="W512" s="9"/>
      <c r="X512" s="9"/>
      <c r="Y512" s="9"/>
      <c r="Z512" s="9"/>
      <c r="AA512" s="9"/>
      <c r="AB512" s="9"/>
      <c r="AC512" s="9"/>
      <c r="AD512" s="9"/>
    </row>
    <row r="513" spans="1:30" ht="58">
      <c r="A513" s="3" t="s">
        <v>3520</v>
      </c>
      <c r="B513" s="3" t="s">
        <v>9283</v>
      </c>
      <c r="C513" s="3" t="s">
        <v>9281</v>
      </c>
      <c r="G513" s="9" t="s">
        <v>25</v>
      </c>
      <c r="H513" s="9"/>
      <c r="I513" s="9">
        <v>1</v>
      </c>
      <c r="J513" s="9">
        <v>5</v>
      </c>
      <c r="K513" s="9" t="s">
        <v>12094</v>
      </c>
      <c r="L513" s="9" t="s">
        <v>12079</v>
      </c>
      <c r="M513" s="9"/>
      <c r="N513" s="10"/>
      <c r="O513" s="9"/>
      <c r="P513" s="9">
        <v>4240</v>
      </c>
      <c r="Q513" s="9">
        <v>509.49291035808699</v>
      </c>
      <c r="R513" s="9"/>
      <c r="S513" s="9" t="s">
        <v>12795</v>
      </c>
      <c r="T513" s="9" t="s">
        <v>12795</v>
      </c>
      <c r="U513" s="9"/>
      <c r="V513" s="9"/>
      <c r="W513" s="9"/>
      <c r="X513" s="9"/>
      <c r="Y513" s="9"/>
      <c r="Z513" s="9"/>
      <c r="AA513" s="9"/>
      <c r="AB513" s="9"/>
      <c r="AC513" s="9"/>
      <c r="AD513" s="9"/>
    </row>
    <row r="514" spans="1:30" ht="72.5">
      <c r="A514" s="3" t="s">
        <v>3524</v>
      </c>
      <c r="B514" s="3" t="s">
        <v>9292</v>
      </c>
      <c r="C514" s="3" t="s">
        <v>9293</v>
      </c>
      <c r="G514" s="9" t="s">
        <v>24</v>
      </c>
      <c r="H514" s="9"/>
      <c r="I514" s="9">
        <v>1</v>
      </c>
      <c r="J514" s="9">
        <v>3</v>
      </c>
      <c r="K514" s="9" t="s">
        <v>12094</v>
      </c>
      <c r="L514" s="9" t="s">
        <v>12079</v>
      </c>
      <c r="M514" s="9"/>
      <c r="N514" s="10"/>
      <c r="O514" s="9"/>
      <c r="P514" s="9">
        <v>1496</v>
      </c>
      <c r="Q514" s="9">
        <v>179.76447969238166</v>
      </c>
      <c r="R514" s="9"/>
      <c r="S514" s="9" t="s">
        <v>12795</v>
      </c>
      <c r="T514" s="9" t="s">
        <v>12795</v>
      </c>
      <c r="U514" s="9"/>
      <c r="V514" s="9"/>
      <c r="W514" s="9"/>
      <c r="X514" s="9"/>
      <c r="Y514" s="9"/>
      <c r="Z514" s="9"/>
      <c r="AA514" s="9"/>
      <c r="AB514" s="9"/>
      <c r="AC514" s="9"/>
      <c r="AD514" s="9"/>
    </row>
    <row r="515" spans="1:30" ht="43.5">
      <c r="A515" s="3" t="s">
        <v>3526</v>
      </c>
      <c r="B515" s="3" t="s">
        <v>12923</v>
      </c>
      <c r="C515" s="3" t="s">
        <v>9302</v>
      </c>
      <c r="G515" s="9" t="s">
        <v>25</v>
      </c>
      <c r="H515" s="9"/>
      <c r="I515" s="9">
        <v>1</v>
      </c>
      <c r="J515" s="9">
        <v>3</v>
      </c>
      <c r="K515" s="9" t="s">
        <v>12087</v>
      </c>
      <c r="L515" s="9" t="s">
        <v>12079</v>
      </c>
      <c r="M515" s="9"/>
      <c r="N515" s="10"/>
      <c r="O515" s="9"/>
      <c r="P515" s="9">
        <v>810</v>
      </c>
      <c r="Q515" s="9">
        <v>97.332372025955294</v>
      </c>
      <c r="R515" s="9"/>
      <c r="S515" s="9" t="s">
        <v>12795</v>
      </c>
      <c r="T515" s="9" t="s">
        <v>12795</v>
      </c>
      <c r="U515" s="9"/>
      <c r="V515" s="9"/>
      <c r="W515" s="9"/>
      <c r="X515" s="9"/>
      <c r="Y515" s="9"/>
      <c r="Z515" s="9"/>
      <c r="AA515" s="9"/>
      <c r="AB515" s="9"/>
      <c r="AC515" s="9"/>
      <c r="AD515" s="9"/>
    </row>
    <row r="516" spans="1:30" ht="58">
      <c r="A516" s="3" t="s">
        <v>3533</v>
      </c>
      <c r="B516" s="3" t="s">
        <v>9311</v>
      </c>
      <c r="C516" s="3" t="s">
        <v>9307</v>
      </c>
      <c r="G516" s="9" t="s">
        <v>25</v>
      </c>
      <c r="H516" s="9"/>
      <c r="I516" s="9">
        <v>1</v>
      </c>
      <c r="J516" s="9">
        <v>3</v>
      </c>
      <c r="K516" s="9" t="s">
        <v>12078</v>
      </c>
      <c r="L516" s="9" t="s">
        <v>12073</v>
      </c>
      <c r="M516" s="9" t="s">
        <v>12149</v>
      </c>
      <c r="N516" s="10" t="s">
        <v>12143</v>
      </c>
      <c r="O516" s="9"/>
      <c r="P516" s="9">
        <v>11843</v>
      </c>
      <c r="Q516" s="9">
        <v>1423.0954097572699</v>
      </c>
      <c r="R516" s="9"/>
      <c r="S516" s="9" t="s">
        <v>12795</v>
      </c>
      <c r="T516" s="9" t="s">
        <v>12795</v>
      </c>
      <c r="U516" s="9"/>
      <c r="V516" s="9"/>
      <c r="W516" s="9"/>
      <c r="X516" s="9"/>
      <c r="Y516" s="9"/>
      <c r="Z516" s="9"/>
      <c r="AA516" s="9"/>
      <c r="AB516" s="9"/>
      <c r="AC516" s="9"/>
      <c r="AD516" s="9"/>
    </row>
    <row r="517" spans="1:30" ht="58">
      <c r="A517" s="3" t="s">
        <v>3533</v>
      </c>
      <c r="B517" s="3" t="s">
        <v>9308</v>
      </c>
      <c r="C517" s="3" t="s">
        <v>9312</v>
      </c>
      <c r="G517" s="9" t="s">
        <v>24</v>
      </c>
      <c r="H517" s="9"/>
      <c r="I517" s="9">
        <v>1</v>
      </c>
      <c r="J517" s="9">
        <v>3</v>
      </c>
      <c r="K517" s="9" t="s">
        <v>12087</v>
      </c>
      <c r="L517" s="9" t="s">
        <v>12079</v>
      </c>
      <c r="M517" s="9"/>
      <c r="N517" s="10"/>
      <c r="O517" s="9"/>
      <c r="P517" s="9">
        <v>5676</v>
      </c>
      <c r="Q517" s="9">
        <v>682.04758471521268</v>
      </c>
      <c r="R517" s="9"/>
      <c r="S517" s="9" t="s">
        <v>12795</v>
      </c>
      <c r="T517" s="9" t="s">
        <v>12795</v>
      </c>
      <c r="U517" s="9"/>
      <c r="V517" s="9"/>
      <c r="W517" s="9"/>
      <c r="X517" s="9"/>
      <c r="Y517" s="9"/>
      <c r="Z517" s="9"/>
      <c r="AA517" s="9"/>
      <c r="AB517" s="9"/>
      <c r="AC517" s="9"/>
      <c r="AD517" s="9"/>
    </row>
    <row r="518" spans="1:30" ht="29">
      <c r="A518" s="3" t="s">
        <v>3534</v>
      </c>
      <c r="B518" s="3" t="s">
        <v>8908</v>
      </c>
      <c r="C518" s="3" t="s">
        <v>9252</v>
      </c>
      <c r="G518" s="9" t="s">
        <v>24</v>
      </c>
      <c r="H518" s="9"/>
      <c r="I518" s="9">
        <v>1</v>
      </c>
      <c r="J518" s="9">
        <v>1</v>
      </c>
      <c r="K518" s="9" t="s">
        <v>12078</v>
      </c>
      <c r="L518" s="9" t="s">
        <v>12119</v>
      </c>
      <c r="M518" s="9"/>
      <c r="N518" s="10"/>
      <c r="O518" s="9"/>
      <c r="P518" s="9">
        <v>11843</v>
      </c>
      <c r="Q518" s="9">
        <v>1423.0954097572699</v>
      </c>
      <c r="R518" s="9"/>
      <c r="S518" s="9" t="s">
        <v>12795</v>
      </c>
      <c r="T518" s="9" t="s">
        <v>12795</v>
      </c>
      <c r="U518" s="9"/>
      <c r="V518" s="9"/>
      <c r="W518" s="9"/>
      <c r="X518" s="9"/>
      <c r="Y518" s="9"/>
      <c r="Z518" s="9"/>
      <c r="AA518" s="9"/>
      <c r="AB518" s="9"/>
      <c r="AC518" s="9"/>
      <c r="AD518" s="9"/>
    </row>
    <row r="519" spans="1:30" ht="72.5">
      <c r="A519" s="3" t="s">
        <v>3537</v>
      </c>
      <c r="B519" s="3" t="s">
        <v>9329</v>
      </c>
      <c r="C519" s="3" t="s">
        <v>9332</v>
      </c>
      <c r="G519" s="9" t="s">
        <v>24</v>
      </c>
      <c r="H519" s="9"/>
      <c r="I519" s="9">
        <v>1</v>
      </c>
      <c r="J519" s="9">
        <v>5</v>
      </c>
      <c r="K519" s="9" t="s">
        <v>12094</v>
      </c>
      <c r="L519" s="9" t="s">
        <v>12079</v>
      </c>
      <c r="M519" s="9"/>
      <c r="N519" s="10"/>
      <c r="O519" s="9"/>
      <c r="P519" s="9">
        <v>4240</v>
      </c>
      <c r="Q519" s="9">
        <v>509.49291035808699</v>
      </c>
      <c r="R519" s="9"/>
      <c r="S519" s="9" t="s">
        <v>12795</v>
      </c>
      <c r="T519" s="9" t="s">
        <v>12795</v>
      </c>
      <c r="U519" s="9"/>
      <c r="V519" s="9"/>
      <c r="W519" s="9"/>
      <c r="X519" s="9"/>
      <c r="Y519" s="9"/>
      <c r="Z519" s="9"/>
      <c r="AA519" s="9"/>
      <c r="AB519" s="9"/>
      <c r="AC519" s="9"/>
      <c r="AD519" s="9"/>
    </row>
    <row r="520" spans="1:30" ht="58">
      <c r="A520" s="3" t="s">
        <v>3542</v>
      </c>
      <c r="B520" s="3" t="s">
        <v>9337</v>
      </c>
      <c r="C520" s="3" t="s">
        <v>9338</v>
      </c>
      <c r="G520" s="9" t="s">
        <v>25</v>
      </c>
      <c r="H520" s="9"/>
      <c r="I520" s="9">
        <v>1</v>
      </c>
      <c r="J520" s="9">
        <v>3</v>
      </c>
      <c r="K520" s="9" t="s">
        <v>12087</v>
      </c>
      <c r="L520" s="9" t="s">
        <v>12079</v>
      </c>
      <c r="M520" s="9"/>
      <c r="N520" s="10"/>
      <c r="O520" s="9"/>
      <c r="P520" s="9">
        <v>5676</v>
      </c>
      <c r="Q520" s="9">
        <v>682.04758471521268</v>
      </c>
      <c r="R520" s="9"/>
      <c r="S520" s="9" t="s">
        <v>12795</v>
      </c>
      <c r="T520" s="9" t="s">
        <v>12795</v>
      </c>
      <c r="U520" s="9"/>
      <c r="V520" s="9"/>
      <c r="W520" s="9"/>
      <c r="X520" s="9"/>
      <c r="Y520" s="9"/>
      <c r="Z520" s="9"/>
      <c r="AA520" s="9"/>
      <c r="AB520" s="9"/>
      <c r="AC520" s="9"/>
      <c r="AD520" s="9"/>
    </row>
    <row r="521" spans="1:30" ht="43.5">
      <c r="A521" s="3" t="s">
        <v>3543</v>
      </c>
      <c r="B521" s="3" t="s">
        <v>9339</v>
      </c>
      <c r="C521" s="3" t="s">
        <v>9340</v>
      </c>
      <c r="G521" s="9" t="s">
        <v>25</v>
      </c>
      <c r="H521" s="9"/>
      <c r="I521" s="9">
        <v>1</v>
      </c>
      <c r="J521" s="9">
        <v>2</v>
      </c>
      <c r="K521" s="9" t="s">
        <v>12096</v>
      </c>
      <c r="L521" s="9" t="s">
        <v>12119</v>
      </c>
      <c r="M521" s="9"/>
      <c r="N521" s="10"/>
      <c r="O521" s="9"/>
      <c r="P521" s="9">
        <v>485</v>
      </c>
      <c r="Q521" s="9">
        <v>58.279259793318907</v>
      </c>
      <c r="R521" s="9"/>
      <c r="S521" s="9" t="s">
        <v>12795</v>
      </c>
      <c r="T521" s="9" t="s">
        <v>12795</v>
      </c>
      <c r="U521" s="9"/>
      <c r="V521" s="9"/>
      <c r="W521" s="9"/>
      <c r="X521" s="9"/>
      <c r="Y521" s="9"/>
      <c r="Z521" s="9"/>
      <c r="AA521" s="9"/>
      <c r="AB521" s="9"/>
      <c r="AC521" s="9"/>
      <c r="AD521" s="9"/>
    </row>
    <row r="522" spans="1:30" ht="29">
      <c r="A522" s="3" t="s">
        <v>3549</v>
      </c>
      <c r="B522" s="3" t="s">
        <v>9354</v>
      </c>
      <c r="C522" s="3" t="s">
        <v>9355</v>
      </c>
      <c r="G522" s="9" t="s">
        <v>25</v>
      </c>
      <c r="H522" s="9"/>
      <c r="I522" s="9">
        <v>1</v>
      </c>
      <c r="J522" s="9">
        <v>3</v>
      </c>
      <c r="K522" s="9" t="s">
        <v>12087</v>
      </c>
      <c r="L522" s="9" t="s">
        <v>12079</v>
      </c>
      <c r="M522" s="9"/>
      <c r="N522" s="10"/>
      <c r="O522" s="9"/>
      <c r="P522" s="9">
        <v>356</v>
      </c>
      <c r="Q522" s="9">
        <v>42.778178322518627</v>
      </c>
      <c r="R522" s="9"/>
      <c r="S522" s="9" t="s">
        <v>12795</v>
      </c>
      <c r="T522" s="9" t="s">
        <v>12795</v>
      </c>
      <c r="U522" s="9"/>
      <c r="V522" s="9"/>
      <c r="W522" s="9"/>
      <c r="X522" s="9"/>
      <c r="Y522" s="9"/>
      <c r="Z522" s="9"/>
      <c r="AA522" s="9"/>
      <c r="AB522" s="9"/>
      <c r="AC522" s="9"/>
      <c r="AD522" s="9"/>
    </row>
    <row r="523" spans="1:30" ht="29">
      <c r="A523" s="3" t="s">
        <v>3563</v>
      </c>
      <c r="B523" s="3" t="s">
        <v>9386</v>
      </c>
      <c r="C523" s="3" t="s">
        <v>9387</v>
      </c>
      <c r="G523" s="9" t="s">
        <v>25</v>
      </c>
      <c r="H523" s="9"/>
      <c r="I523" s="9">
        <v>1</v>
      </c>
      <c r="J523" s="9">
        <v>3</v>
      </c>
      <c r="K523" s="9" t="s">
        <v>12094</v>
      </c>
      <c r="L523" s="9" t="s">
        <v>12079</v>
      </c>
      <c r="M523" s="9"/>
      <c r="N523" s="10"/>
      <c r="O523" s="9"/>
      <c r="P523" s="9">
        <v>1496</v>
      </c>
      <c r="Q523" s="9">
        <v>179.76447969238166</v>
      </c>
      <c r="R523" s="9"/>
      <c r="S523" s="9" t="s">
        <v>12795</v>
      </c>
      <c r="T523" s="9" t="s">
        <v>12795</v>
      </c>
      <c r="U523" s="9"/>
      <c r="V523" s="9"/>
      <c r="W523" s="9"/>
      <c r="X523" s="9"/>
      <c r="Y523" s="9"/>
      <c r="Z523" s="9"/>
      <c r="AA523" s="9"/>
      <c r="AB523" s="9"/>
      <c r="AC523" s="9"/>
      <c r="AD523" s="9"/>
    </row>
    <row r="524" spans="1:30" ht="43.5">
      <c r="A524" s="3" t="s">
        <v>3564</v>
      </c>
      <c r="B524" s="3" t="s">
        <v>9390</v>
      </c>
      <c r="C524" s="3" t="s">
        <v>9389</v>
      </c>
      <c r="E524" t="s">
        <v>20</v>
      </c>
      <c r="G524" s="9" t="s">
        <v>25</v>
      </c>
      <c r="H524" s="9"/>
      <c r="I524" s="9">
        <v>1</v>
      </c>
      <c r="J524" s="9">
        <v>5</v>
      </c>
      <c r="K524" s="9" t="s">
        <v>12094</v>
      </c>
      <c r="L524" s="9" t="s">
        <v>12079</v>
      </c>
      <c r="M524" s="9"/>
      <c r="N524" s="10"/>
      <c r="O524" s="9"/>
      <c r="P524" s="9">
        <v>4240</v>
      </c>
      <c r="Q524" s="9">
        <v>509.49291035808699</v>
      </c>
      <c r="R524" s="9"/>
      <c r="S524" s="9" t="s">
        <v>12795</v>
      </c>
      <c r="T524" s="9" t="s">
        <v>12795</v>
      </c>
      <c r="U524" s="9"/>
      <c r="V524" s="9"/>
      <c r="W524" s="9"/>
      <c r="X524" s="9"/>
      <c r="Y524" s="9"/>
      <c r="Z524" s="9"/>
      <c r="AA524" s="9"/>
      <c r="AB524" s="9"/>
      <c r="AC524" s="9"/>
      <c r="AD524" s="9"/>
    </row>
    <row r="525" spans="1:30" ht="29">
      <c r="A525" s="3" t="s">
        <v>3570</v>
      </c>
      <c r="B525" s="3" t="s">
        <v>8908</v>
      </c>
      <c r="C525" s="3" t="s">
        <v>9252</v>
      </c>
      <c r="G525" s="9" t="s">
        <v>24</v>
      </c>
      <c r="H525" s="9"/>
      <c r="I525" s="9">
        <v>1</v>
      </c>
      <c r="J525" s="9">
        <v>1</v>
      </c>
      <c r="K525" s="9" t="s">
        <v>12078</v>
      </c>
      <c r="L525" s="9" t="s">
        <v>12119</v>
      </c>
      <c r="M525" s="9"/>
      <c r="N525" s="10"/>
      <c r="O525" s="9" t="s">
        <v>12074</v>
      </c>
      <c r="P525" s="9">
        <v>11843</v>
      </c>
      <c r="Q525" s="9">
        <v>1423.0954097572699</v>
      </c>
      <c r="R525" s="9"/>
      <c r="S525" s="9" t="s">
        <v>12795</v>
      </c>
      <c r="T525" s="9" t="s">
        <v>12795</v>
      </c>
      <c r="U525" s="9"/>
      <c r="V525" s="9"/>
      <c r="W525" s="9"/>
      <c r="X525" s="9"/>
      <c r="Y525" s="9"/>
      <c r="Z525" s="9"/>
      <c r="AA525" s="9"/>
      <c r="AB525" s="9"/>
      <c r="AC525" s="9"/>
      <c r="AD525" s="9"/>
    </row>
    <row r="526" spans="1:30" ht="43.5">
      <c r="A526" s="3" t="s">
        <v>3610</v>
      </c>
      <c r="B526" s="3" t="s">
        <v>9470</v>
      </c>
      <c r="C526" s="3" t="s">
        <v>9469</v>
      </c>
      <c r="G526" s="9" t="s">
        <v>24</v>
      </c>
      <c r="H526" s="9"/>
      <c r="I526" s="9">
        <v>1</v>
      </c>
      <c r="J526" s="9">
        <v>3</v>
      </c>
      <c r="K526" s="9" t="s">
        <v>12094</v>
      </c>
      <c r="L526" s="9" t="s">
        <v>12079</v>
      </c>
      <c r="M526" s="9"/>
      <c r="N526" s="10"/>
      <c r="O526" s="9"/>
      <c r="P526" s="9">
        <v>1496</v>
      </c>
      <c r="Q526" s="9">
        <v>179.76447969238166</v>
      </c>
      <c r="R526" s="9"/>
      <c r="S526" s="9" t="s">
        <v>12795</v>
      </c>
      <c r="T526" s="9" t="s">
        <v>12795</v>
      </c>
      <c r="U526" s="9"/>
      <c r="V526" s="9"/>
      <c r="W526" s="9"/>
      <c r="X526" s="9"/>
      <c r="Y526" s="9"/>
      <c r="Z526" s="9"/>
      <c r="AA526" s="9"/>
      <c r="AB526" s="9"/>
      <c r="AC526" s="9"/>
      <c r="AD526" s="9"/>
    </row>
    <row r="527" spans="1:30" ht="43.5">
      <c r="A527" s="3" t="s">
        <v>3611</v>
      </c>
      <c r="B527" s="3" t="s">
        <v>9471</v>
      </c>
      <c r="C527" s="3" t="s">
        <v>9474</v>
      </c>
      <c r="G527" s="9" t="s">
        <v>24</v>
      </c>
      <c r="H527" s="9"/>
      <c r="I527" s="9">
        <v>1</v>
      </c>
      <c r="J527" s="9">
        <v>2</v>
      </c>
      <c r="K527" s="9" t="s">
        <v>12123</v>
      </c>
      <c r="L527" s="9" t="s">
        <v>12119</v>
      </c>
      <c r="M527" s="9"/>
      <c r="N527" s="10"/>
      <c r="O527" s="9"/>
      <c r="P527" s="9">
        <v>134</v>
      </c>
      <c r="Q527" s="9">
        <v>16.101898582071616</v>
      </c>
      <c r="R527" s="9"/>
      <c r="S527" s="9" t="s">
        <v>12795</v>
      </c>
      <c r="T527" s="9" t="s">
        <v>12795</v>
      </c>
      <c r="U527" s="9"/>
      <c r="V527" s="9"/>
      <c r="W527" s="9"/>
      <c r="X527" s="9"/>
      <c r="Y527" s="9"/>
      <c r="Z527" s="9"/>
      <c r="AA527" s="9"/>
      <c r="AB527" s="9"/>
      <c r="AC527" s="9"/>
      <c r="AD527" s="9"/>
    </row>
    <row r="528" spans="1:30" ht="29">
      <c r="A528" s="3" t="s">
        <v>3612</v>
      </c>
      <c r="B528" s="3" t="s">
        <v>9476</v>
      </c>
      <c r="C528" s="3" t="s">
        <v>9475</v>
      </c>
      <c r="G528" s="9" t="s">
        <v>25</v>
      </c>
      <c r="H528" s="9"/>
      <c r="I528" s="9">
        <v>1</v>
      </c>
      <c r="J528" s="9">
        <v>1</v>
      </c>
      <c r="K528" s="9" t="s">
        <v>12078</v>
      </c>
      <c r="L528" s="9" t="s">
        <v>12119</v>
      </c>
      <c r="M528" s="9"/>
      <c r="N528" s="10"/>
      <c r="O528" s="9"/>
      <c r="P528" s="9">
        <v>11843</v>
      </c>
      <c r="Q528" s="9">
        <v>1423.0954097572699</v>
      </c>
      <c r="R528" s="9"/>
      <c r="S528" s="9" t="s">
        <v>12795</v>
      </c>
      <c r="T528" s="9" t="s">
        <v>12795</v>
      </c>
      <c r="U528" s="9"/>
      <c r="V528" s="9"/>
      <c r="W528" s="9"/>
      <c r="X528" s="9"/>
      <c r="Y528" s="9"/>
      <c r="Z528" s="9"/>
      <c r="AA528" s="9"/>
      <c r="AB528" s="9"/>
      <c r="AC528" s="9"/>
      <c r="AD528" s="9"/>
    </row>
    <row r="529" spans="1:30" ht="58">
      <c r="A529" s="3" t="s">
        <v>3614</v>
      </c>
      <c r="B529" s="3" t="s">
        <v>9481</v>
      </c>
      <c r="C529" s="3" t="s">
        <v>9482</v>
      </c>
      <c r="G529" s="9" t="s">
        <v>24</v>
      </c>
      <c r="H529" s="9"/>
      <c r="I529" s="9">
        <v>1</v>
      </c>
      <c r="J529" s="9">
        <v>3</v>
      </c>
      <c r="K529" s="9" t="s">
        <v>12087</v>
      </c>
      <c r="L529" s="9" t="s">
        <v>12079</v>
      </c>
      <c r="M529" s="9"/>
      <c r="N529" s="10"/>
      <c r="O529" s="9"/>
      <c r="P529" s="9">
        <v>356</v>
      </c>
      <c r="Q529" s="9">
        <v>42.778178322518627</v>
      </c>
      <c r="R529" s="9"/>
      <c r="S529" s="9" t="s">
        <v>12795</v>
      </c>
      <c r="T529" s="9" t="s">
        <v>12795</v>
      </c>
      <c r="U529" s="9"/>
      <c r="V529" s="9"/>
      <c r="W529" s="9"/>
      <c r="X529" s="9"/>
      <c r="Y529" s="9"/>
      <c r="Z529" s="9"/>
      <c r="AA529" s="9"/>
      <c r="AB529" s="9"/>
      <c r="AC529" s="9"/>
      <c r="AD529" s="9"/>
    </row>
    <row r="530" spans="1:30" ht="43.5">
      <c r="A530" s="3" t="s">
        <v>3625</v>
      </c>
      <c r="B530" s="3" t="s">
        <v>9506</v>
      </c>
      <c r="C530" s="3" t="s">
        <v>9505</v>
      </c>
      <c r="G530" s="9" t="s">
        <v>25</v>
      </c>
      <c r="H530" s="9"/>
      <c r="I530" s="9">
        <v>1</v>
      </c>
      <c r="J530" s="9">
        <v>3</v>
      </c>
      <c r="K530" s="9" t="s">
        <v>12087</v>
      </c>
      <c r="L530" s="9" t="s">
        <v>12079</v>
      </c>
      <c r="M530" s="9"/>
      <c r="N530" s="10"/>
      <c r="O530" s="9"/>
      <c r="P530" s="9">
        <v>5676</v>
      </c>
      <c r="Q530" s="9">
        <v>682.04758471521268</v>
      </c>
      <c r="R530" s="9"/>
      <c r="S530" s="9" t="s">
        <v>12795</v>
      </c>
      <c r="T530" s="9" t="s">
        <v>12795</v>
      </c>
      <c r="U530" s="9"/>
      <c r="V530" s="9"/>
      <c r="W530" s="9"/>
      <c r="X530" s="9"/>
      <c r="Y530" s="9"/>
      <c r="Z530" s="9"/>
      <c r="AA530" s="9"/>
      <c r="AB530" s="9"/>
      <c r="AC530" s="9"/>
      <c r="AD530" s="9"/>
    </row>
    <row r="531" spans="1:30" ht="43.5">
      <c r="A531" s="3" t="s">
        <v>3627</v>
      </c>
      <c r="B531" s="3" t="s">
        <v>9516</v>
      </c>
      <c r="C531" s="3" t="s">
        <v>9517</v>
      </c>
      <c r="G531" s="9" t="s">
        <v>25</v>
      </c>
      <c r="H531" s="9"/>
      <c r="I531" s="9">
        <v>1</v>
      </c>
      <c r="J531" s="9">
        <v>3</v>
      </c>
      <c r="K531" s="9" t="s">
        <v>12094</v>
      </c>
      <c r="L531" s="9" t="s">
        <v>12079</v>
      </c>
      <c r="M531" s="9"/>
      <c r="N531" s="10"/>
      <c r="O531" s="9"/>
      <c r="P531" s="9">
        <v>1741</v>
      </c>
      <c r="Q531" s="9">
        <v>209.20451814467677</v>
      </c>
      <c r="R531" s="9"/>
      <c r="S531" s="9" t="s">
        <v>12795</v>
      </c>
      <c r="T531" s="9" t="s">
        <v>12795</v>
      </c>
      <c r="U531" s="9"/>
      <c r="V531" s="9"/>
      <c r="W531" s="9"/>
      <c r="X531" s="9"/>
      <c r="Y531" s="9"/>
      <c r="Z531" s="9"/>
      <c r="AA531" s="9"/>
      <c r="AB531" s="9"/>
      <c r="AC531" s="9"/>
      <c r="AD531" s="9"/>
    </row>
    <row r="532" spans="1:30" ht="43.5">
      <c r="A532" s="3" t="s">
        <v>3640</v>
      </c>
      <c r="B532" s="3" t="s">
        <v>9541</v>
      </c>
      <c r="C532" s="3" t="s">
        <v>9540</v>
      </c>
      <c r="G532" s="9" t="s">
        <v>25</v>
      </c>
      <c r="H532" s="9"/>
      <c r="I532" s="9">
        <v>1</v>
      </c>
      <c r="J532" s="9">
        <v>2</v>
      </c>
      <c r="K532" s="9" t="s">
        <v>12094</v>
      </c>
      <c r="L532" s="9" t="s">
        <v>12119</v>
      </c>
      <c r="M532" s="9"/>
      <c r="N532" s="10"/>
      <c r="O532" s="9"/>
      <c r="P532" s="9">
        <v>1741</v>
      </c>
      <c r="Q532" s="9">
        <v>209.20451814467677</v>
      </c>
      <c r="R532" s="9"/>
      <c r="S532" s="9" t="s">
        <v>12795</v>
      </c>
      <c r="T532" s="9" t="s">
        <v>12795</v>
      </c>
      <c r="U532" s="9"/>
      <c r="V532" s="9"/>
      <c r="W532" s="9"/>
      <c r="X532" s="9"/>
      <c r="Y532" s="9"/>
      <c r="Z532" s="9"/>
      <c r="AA532" s="9"/>
      <c r="AB532" s="9"/>
      <c r="AC532" s="9"/>
      <c r="AD532" s="9"/>
    </row>
    <row r="533" spans="1:30" ht="29">
      <c r="A533" s="3" t="s">
        <v>3642</v>
      </c>
      <c r="B533" s="3" t="s">
        <v>9544</v>
      </c>
      <c r="C533" s="3" t="s">
        <v>9546</v>
      </c>
      <c r="F533" t="s">
        <v>19</v>
      </c>
      <c r="G533" s="9" t="s">
        <v>25</v>
      </c>
      <c r="H533" s="9"/>
      <c r="I533" s="9">
        <v>1</v>
      </c>
      <c r="J533" s="9">
        <v>3</v>
      </c>
      <c r="K533" s="9" t="s">
        <v>12087</v>
      </c>
      <c r="L533" s="9" t="s">
        <v>12079</v>
      </c>
      <c r="M533" s="9"/>
      <c r="N533" s="10"/>
      <c r="O533" s="9"/>
      <c r="P533" s="9">
        <v>5676</v>
      </c>
      <c r="Q533" s="9">
        <v>682.04758471521268</v>
      </c>
      <c r="R533" s="9"/>
      <c r="S533" s="9" t="s">
        <v>12795</v>
      </c>
      <c r="T533" s="9" t="s">
        <v>12795</v>
      </c>
      <c r="U533" s="9"/>
      <c r="V533" s="9"/>
      <c r="W533" s="9"/>
      <c r="X533" s="9"/>
      <c r="Y533" s="9"/>
      <c r="Z533" s="9"/>
      <c r="AA533" s="9"/>
      <c r="AB533" s="9"/>
      <c r="AC533" s="9"/>
      <c r="AD533" s="9"/>
    </row>
    <row r="534" spans="1:30" ht="58">
      <c r="A534" s="3" t="s">
        <v>3649</v>
      </c>
      <c r="B534" s="3" t="s">
        <v>9556</v>
      </c>
      <c r="C534" s="3" t="s">
        <v>9557</v>
      </c>
      <c r="G534" s="9" t="s">
        <v>24</v>
      </c>
      <c r="H534" s="9"/>
      <c r="I534" s="9">
        <v>1</v>
      </c>
      <c r="J534" s="9">
        <v>5</v>
      </c>
      <c r="K534" s="9" t="s">
        <v>12094</v>
      </c>
      <c r="L534" s="9" t="s">
        <v>12073</v>
      </c>
      <c r="M534" s="9" t="s">
        <v>12142</v>
      </c>
      <c r="N534" s="10" t="s">
        <v>12143</v>
      </c>
      <c r="O534" s="9"/>
      <c r="P534" s="9">
        <v>4240</v>
      </c>
      <c r="Q534" s="9">
        <v>509.49291035808699</v>
      </c>
      <c r="R534" s="9"/>
      <c r="S534" s="9" t="s">
        <v>12795</v>
      </c>
      <c r="T534" s="9" t="s">
        <v>12795</v>
      </c>
      <c r="U534" s="9"/>
      <c r="V534" s="9"/>
      <c r="W534" s="9"/>
      <c r="X534" s="9"/>
      <c r="Y534" s="9"/>
      <c r="Z534" s="9"/>
      <c r="AA534" s="9"/>
      <c r="AB534" s="9"/>
      <c r="AC534" s="9"/>
      <c r="AD534" s="9"/>
    </row>
    <row r="535" spans="1:30" ht="87">
      <c r="A535" s="3" t="s">
        <v>3659</v>
      </c>
      <c r="B535" s="3" t="s">
        <v>9566</v>
      </c>
      <c r="C535" s="3" t="s">
        <v>9567</v>
      </c>
      <c r="G535" s="9" t="s">
        <v>24</v>
      </c>
      <c r="H535" s="9"/>
      <c r="I535" s="9">
        <v>1</v>
      </c>
      <c r="J535" s="9">
        <v>1</v>
      </c>
      <c r="K535" s="9" t="s">
        <v>12078</v>
      </c>
      <c r="L535" s="9" t="s">
        <v>12119</v>
      </c>
      <c r="M535" s="9"/>
      <c r="N535" s="10"/>
      <c r="O535" s="9"/>
      <c r="P535" s="9">
        <v>11843</v>
      </c>
      <c r="Q535" s="9">
        <v>1423.0954097572699</v>
      </c>
      <c r="R535" s="9"/>
      <c r="S535" s="9" t="s">
        <v>12795</v>
      </c>
      <c r="T535" s="9" t="s">
        <v>12795</v>
      </c>
      <c r="U535" s="9"/>
      <c r="V535" s="9"/>
      <c r="W535" s="9"/>
      <c r="X535" s="9"/>
      <c r="Y535" s="9"/>
      <c r="Z535" s="9"/>
      <c r="AA535" s="9"/>
      <c r="AB535" s="9"/>
      <c r="AC535" s="9"/>
      <c r="AD535" s="9"/>
    </row>
    <row r="536" spans="1:30" ht="29">
      <c r="A536" s="3" t="s">
        <v>3670</v>
      </c>
      <c r="B536" s="3" t="s">
        <v>9578</v>
      </c>
      <c r="C536" s="3" t="s">
        <v>9579</v>
      </c>
      <c r="G536" s="9" t="s">
        <v>24</v>
      </c>
      <c r="H536" s="9"/>
      <c r="I536" s="9">
        <v>1</v>
      </c>
      <c r="J536" s="9">
        <v>3</v>
      </c>
      <c r="K536" s="9" t="s">
        <v>12087</v>
      </c>
      <c r="L536" s="9" t="s">
        <v>12079</v>
      </c>
      <c r="M536" s="9"/>
      <c r="N536" s="10"/>
      <c r="O536" s="9"/>
      <c r="P536" s="9">
        <v>309</v>
      </c>
      <c r="Q536" s="9">
        <v>37.130497476568131</v>
      </c>
      <c r="R536" s="9"/>
      <c r="S536" s="9" t="s">
        <v>12795</v>
      </c>
      <c r="T536" s="9" t="s">
        <v>12795</v>
      </c>
      <c r="U536" s="9"/>
      <c r="V536" s="9"/>
      <c r="W536" s="9"/>
      <c r="X536" s="9"/>
      <c r="Y536" s="9"/>
      <c r="Z536" s="9"/>
      <c r="AA536" s="9"/>
      <c r="AB536" s="9"/>
      <c r="AC536" s="9"/>
      <c r="AD536" s="9"/>
    </row>
    <row r="537" spans="1:30" ht="29">
      <c r="A537" s="3" t="s">
        <v>3674</v>
      </c>
      <c r="B537" s="3" t="s">
        <v>9581</v>
      </c>
      <c r="C537" s="3" t="s">
        <v>9580</v>
      </c>
      <c r="G537" s="9" t="s">
        <v>24</v>
      </c>
      <c r="H537" s="9"/>
      <c r="I537" s="9">
        <v>1</v>
      </c>
      <c r="J537" s="9">
        <v>2</v>
      </c>
      <c r="K537" s="9" t="s">
        <v>12078</v>
      </c>
      <c r="L537" s="9" t="s">
        <v>12119</v>
      </c>
      <c r="M537" s="9"/>
      <c r="N537" s="10"/>
      <c r="O537" s="9"/>
      <c r="P537" s="9">
        <v>11843</v>
      </c>
      <c r="Q537" s="9">
        <v>1423.0954097572699</v>
      </c>
      <c r="R537" s="9"/>
      <c r="S537" s="9" t="s">
        <v>12795</v>
      </c>
      <c r="T537" s="9" t="s">
        <v>12795</v>
      </c>
      <c r="U537" s="9"/>
      <c r="V537" s="9"/>
      <c r="W537" s="9"/>
      <c r="X537" s="9"/>
      <c r="Y537" s="9"/>
      <c r="Z537" s="9"/>
      <c r="AA537" s="9"/>
      <c r="AB537" s="9"/>
      <c r="AC537" s="9"/>
      <c r="AD537" s="9"/>
    </row>
    <row r="538" spans="1:30" ht="29">
      <c r="A538" s="3" t="s">
        <v>3677</v>
      </c>
      <c r="B538" s="3" t="s">
        <v>9583</v>
      </c>
      <c r="C538" s="3" t="s">
        <v>9582</v>
      </c>
      <c r="G538" s="9" t="s">
        <v>24</v>
      </c>
      <c r="H538" s="9"/>
      <c r="I538" s="9">
        <v>1</v>
      </c>
      <c r="J538" s="9">
        <v>1</v>
      </c>
      <c r="K538" s="9" t="s">
        <v>12078</v>
      </c>
      <c r="L538" s="9" t="s">
        <v>12119</v>
      </c>
      <c r="M538" s="9"/>
      <c r="N538" s="10"/>
      <c r="O538" s="9"/>
      <c r="P538" s="9">
        <v>11843</v>
      </c>
      <c r="Q538" s="9">
        <v>1423.0954097572699</v>
      </c>
      <c r="R538" s="9"/>
      <c r="S538" s="9" t="s">
        <v>12795</v>
      </c>
      <c r="T538" s="9" t="s">
        <v>12795</v>
      </c>
      <c r="U538" s="9"/>
      <c r="V538" s="9"/>
      <c r="W538" s="9"/>
      <c r="X538" s="9"/>
      <c r="Y538" s="9"/>
      <c r="Z538" s="9"/>
      <c r="AA538" s="9"/>
      <c r="AB538" s="9"/>
      <c r="AC538" s="9"/>
      <c r="AD538" s="9"/>
    </row>
    <row r="539" spans="1:30" ht="29">
      <c r="A539" s="3" t="s">
        <v>3690</v>
      </c>
      <c r="B539" s="3" t="s">
        <v>9599</v>
      </c>
      <c r="C539" s="3" t="s">
        <v>9598</v>
      </c>
      <c r="F539" t="s">
        <v>19</v>
      </c>
      <c r="G539" s="9" t="s">
        <v>25</v>
      </c>
      <c r="H539" s="9"/>
      <c r="I539" s="9">
        <v>1</v>
      </c>
      <c r="J539" s="9">
        <v>2</v>
      </c>
      <c r="K539" s="9" t="s">
        <v>12078</v>
      </c>
      <c r="L539" s="9" t="s">
        <v>12119</v>
      </c>
      <c r="M539" s="9"/>
      <c r="N539" s="10"/>
      <c r="O539" s="9"/>
      <c r="P539" s="9">
        <v>11843</v>
      </c>
      <c r="Q539" s="9">
        <v>1423.0954097572699</v>
      </c>
      <c r="R539" s="9"/>
      <c r="S539" s="9" t="s">
        <v>12795</v>
      </c>
      <c r="T539" s="9" t="s">
        <v>12795</v>
      </c>
      <c r="U539" s="9"/>
      <c r="V539" s="9"/>
      <c r="W539" s="9"/>
      <c r="X539" s="9"/>
      <c r="Y539" s="9"/>
      <c r="Z539" s="9"/>
      <c r="AA539" s="9"/>
      <c r="AB539" s="9"/>
      <c r="AC539" s="9"/>
      <c r="AD539" s="9"/>
    </row>
    <row r="540" spans="1:30" ht="29">
      <c r="A540" s="3" t="s">
        <v>3716</v>
      </c>
      <c r="B540" s="3" t="s">
        <v>9639</v>
      </c>
      <c r="C540" s="3" t="s">
        <v>9638</v>
      </c>
      <c r="G540" s="9" t="s">
        <v>25</v>
      </c>
      <c r="H540" s="9"/>
      <c r="I540" s="9">
        <v>1</v>
      </c>
      <c r="J540" s="9">
        <v>1</v>
      </c>
      <c r="K540" s="9" t="s">
        <v>12094</v>
      </c>
      <c r="L540" s="9" t="s">
        <v>12119</v>
      </c>
      <c r="M540" s="9"/>
      <c r="N540" s="10"/>
      <c r="O540" s="9"/>
      <c r="P540" s="9">
        <v>780</v>
      </c>
      <c r="Q540" s="9">
        <v>93.727469358327326</v>
      </c>
      <c r="R540" s="9"/>
      <c r="S540" s="9" t="s">
        <v>12795</v>
      </c>
      <c r="T540" s="9" t="s">
        <v>12795</v>
      </c>
      <c r="U540" s="9"/>
      <c r="V540" s="9"/>
      <c r="W540" s="9"/>
      <c r="X540" s="9"/>
      <c r="Y540" s="9"/>
      <c r="Z540" s="9"/>
      <c r="AA540" s="9"/>
      <c r="AB540" s="9"/>
      <c r="AC540" s="9"/>
      <c r="AD540" s="9"/>
    </row>
    <row r="541" spans="1:30" ht="29">
      <c r="A541" s="3" t="s">
        <v>3718</v>
      </c>
      <c r="B541" s="3" t="s">
        <v>9647</v>
      </c>
      <c r="C541" s="3" t="s">
        <v>9646</v>
      </c>
      <c r="G541" s="9" t="s">
        <v>24</v>
      </c>
      <c r="H541" s="9"/>
      <c r="I541" s="9">
        <v>1</v>
      </c>
      <c r="J541" s="9">
        <v>1</v>
      </c>
      <c r="K541" s="9" t="s">
        <v>12078</v>
      </c>
      <c r="L541" s="9" t="s">
        <v>12119</v>
      </c>
      <c r="M541" s="9"/>
      <c r="N541" s="10"/>
      <c r="O541" s="9"/>
      <c r="P541" s="9">
        <v>11843</v>
      </c>
      <c r="Q541" s="9">
        <v>1423.0954097572699</v>
      </c>
      <c r="R541" s="9"/>
      <c r="S541" s="9" t="s">
        <v>12795</v>
      </c>
      <c r="T541" s="9" t="s">
        <v>12795</v>
      </c>
      <c r="U541" s="9"/>
      <c r="V541" s="9"/>
      <c r="W541" s="9"/>
      <c r="X541" s="9"/>
      <c r="Y541" s="9"/>
      <c r="Z541" s="9"/>
      <c r="AA541" s="9"/>
      <c r="AB541" s="9"/>
      <c r="AC541" s="9"/>
      <c r="AD541" s="9"/>
    </row>
    <row r="542" spans="1:30" ht="29">
      <c r="A542" s="3" t="s">
        <v>3722</v>
      </c>
      <c r="B542" s="3" t="s">
        <v>9653</v>
      </c>
      <c r="C542" s="3" t="s">
        <v>9652</v>
      </c>
      <c r="G542" s="9" t="s">
        <v>24</v>
      </c>
      <c r="H542" s="9"/>
      <c r="I542" s="9">
        <v>1</v>
      </c>
      <c r="J542" s="9">
        <v>2</v>
      </c>
      <c r="K542" s="9" t="s">
        <v>12078</v>
      </c>
      <c r="L542" s="9" t="s">
        <v>12119</v>
      </c>
      <c r="M542" s="9"/>
      <c r="N542" s="10"/>
      <c r="O542" s="9"/>
      <c r="P542" s="9">
        <v>11843</v>
      </c>
      <c r="Q542" s="9">
        <v>1423.0954097572699</v>
      </c>
      <c r="R542" s="9"/>
      <c r="S542" s="9" t="s">
        <v>12795</v>
      </c>
      <c r="T542" s="9" t="s">
        <v>12795</v>
      </c>
      <c r="U542" s="9"/>
      <c r="V542" s="9"/>
      <c r="W542" s="9"/>
      <c r="X542" s="9"/>
      <c r="Y542" s="9"/>
      <c r="Z542" s="9"/>
      <c r="AA542" s="9"/>
      <c r="AB542" s="9"/>
      <c r="AC542" s="9"/>
      <c r="AD542" s="9"/>
    </row>
    <row r="543" spans="1:30" ht="29">
      <c r="A543" s="3" t="s">
        <v>3739</v>
      </c>
      <c r="B543" s="3" t="s">
        <v>12929</v>
      </c>
      <c r="C543" s="3" t="s">
        <v>9670</v>
      </c>
      <c r="G543" s="9" t="s">
        <v>24</v>
      </c>
      <c r="H543" s="9"/>
      <c r="I543" s="9">
        <v>1</v>
      </c>
      <c r="J543" s="9">
        <v>1</v>
      </c>
      <c r="K543" s="9" t="s">
        <v>12078</v>
      </c>
      <c r="L543" s="9" t="s">
        <v>12119</v>
      </c>
      <c r="M543" s="9"/>
      <c r="N543" s="10"/>
      <c r="O543" s="9"/>
      <c r="P543" s="9">
        <v>11843</v>
      </c>
      <c r="Q543" s="9">
        <v>1423.0954097572699</v>
      </c>
      <c r="R543" s="9"/>
      <c r="S543" s="9" t="s">
        <v>12795</v>
      </c>
      <c r="T543" s="9" t="s">
        <v>12795</v>
      </c>
      <c r="U543" s="9"/>
      <c r="V543" s="9"/>
      <c r="W543" s="9"/>
      <c r="X543" s="9"/>
      <c r="Y543" s="9"/>
      <c r="Z543" s="9"/>
      <c r="AA543" s="9"/>
      <c r="AB543" s="9"/>
      <c r="AC543" s="9"/>
      <c r="AD543" s="9"/>
    </row>
    <row r="544" spans="1:30" ht="29">
      <c r="A544" s="3" t="s">
        <v>3744</v>
      </c>
      <c r="B544" s="3" t="s">
        <v>9683</v>
      </c>
      <c r="C544" s="3" t="s">
        <v>9682</v>
      </c>
      <c r="G544" s="9" t="s">
        <v>25</v>
      </c>
      <c r="H544" s="9"/>
      <c r="I544" s="9">
        <v>1</v>
      </c>
      <c r="J544" s="9">
        <v>1</v>
      </c>
      <c r="K544" s="9" t="s">
        <v>12078</v>
      </c>
      <c r="L544" s="9" t="s">
        <v>12119</v>
      </c>
      <c r="M544" s="9"/>
      <c r="N544" s="10"/>
      <c r="O544" s="9"/>
      <c r="P544" s="9">
        <v>11843</v>
      </c>
      <c r="Q544" s="9">
        <v>1423.0954097572699</v>
      </c>
      <c r="R544" s="9"/>
      <c r="S544" s="9" t="s">
        <v>12795</v>
      </c>
      <c r="T544" s="9" t="s">
        <v>12795</v>
      </c>
      <c r="U544" s="9"/>
      <c r="V544" s="9"/>
      <c r="W544" s="9"/>
      <c r="X544" s="9"/>
      <c r="Y544" s="9"/>
      <c r="Z544" s="9"/>
      <c r="AA544" s="9"/>
      <c r="AB544" s="9"/>
      <c r="AC544" s="9"/>
      <c r="AD544" s="9"/>
    </row>
    <row r="545" spans="1:30" ht="43.5">
      <c r="A545" s="3" t="s">
        <v>3745</v>
      </c>
      <c r="B545" s="3" t="s">
        <v>9687</v>
      </c>
      <c r="C545" s="3" t="s">
        <v>9684</v>
      </c>
      <c r="G545" s="9" t="s">
        <v>25</v>
      </c>
      <c r="H545" s="9"/>
      <c r="I545" s="9">
        <v>1</v>
      </c>
      <c r="J545" s="9">
        <v>1</v>
      </c>
      <c r="K545" s="9" t="s">
        <v>12078</v>
      </c>
      <c r="L545" s="9" t="s">
        <v>12119</v>
      </c>
      <c r="M545" s="9"/>
      <c r="N545" s="10"/>
      <c r="O545" s="9"/>
      <c r="P545" s="9">
        <v>11843</v>
      </c>
      <c r="Q545" s="9">
        <v>1423.0954097572699</v>
      </c>
      <c r="R545" s="9"/>
      <c r="S545" s="9" t="s">
        <v>12795</v>
      </c>
      <c r="T545" s="9" t="s">
        <v>12795</v>
      </c>
      <c r="U545" s="9"/>
      <c r="V545" s="9"/>
      <c r="W545" s="9"/>
      <c r="X545" s="9"/>
      <c r="Y545" s="9"/>
      <c r="Z545" s="9"/>
      <c r="AA545" s="9"/>
      <c r="AB545" s="9"/>
      <c r="AC545" s="9"/>
      <c r="AD545" s="9"/>
    </row>
    <row r="546" spans="1:30" ht="29">
      <c r="A546" s="3" t="s">
        <v>3748</v>
      </c>
      <c r="B546" s="3" t="s">
        <v>9693</v>
      </c>
      <c r="C546" s="3" t="s">
        <v>9692</v>
      </c>
      <c r="G546" s="9" t="s">
        <v>24</v>
      </c>
      <c r="H546" s="9"/>
      <c r="I546" s="9">
        <v>1</v>
      </c>
      <c r="J546" s="9">
        <v>1</v>
      </c>
      <c r="K546" s="9" t="s">
        <v>12078</v>
      </c>
      <c r="L546" s="9" t="s">
        <v>12119</v>
      </c>
      <c r="M546" s="9"/>
      <c r="N546" s="10"/>
      <c r="O546" s="9"/>
      <c r="P546" s="9">
        <v>11843</v>
      </c>
      <c r="Q546" s="9">
        <v>1423.0954097572699</v>
      </c>
      <c r="R546" s="9"/>
      <c r="S546" s="9" t="s">
        <v>12795</v>
      </c>
      <c r="T546" s="9" t="s">
        <v>12795</v>
      </c>
      <c r="U546" s="9"/>
      <c r="V546" s="9"/>
      <c r="W546" s="9"/>
      <c r="X546" s="9"/>
      <c r="Y546" s="9"/>
      <c r="Z546" s="9"/>
      <c r="AA546" s="9"/>
      <c r="AB546" s="9"/>
      <c r="AC546" s="9"/>
      <c r="AD546" s="9"/>
    </row>
    <row r="547" spans="1:30" ht="29">
      <c r="A547" s="3" t="s">
        <v>3750</v>
      </c>
      <c r="B547" s="3" t="s">
        <v>9697</v>
      </c>
      <c r="C547" s="3" t="s">
        <v>9696</v>
      </c>
      <c r="G547" s="9" t="s">
        <v>24</v>
      </c>
      <c r="H547" s="9"/>
      <c r="I547" s="9">
        <v>1</v>
      </c>
      <c r="J547" s="9">
        <v>1</v>
      </c>
      <c r="K547" s="9" t="s">
        <v>12078</v>
      </c>
      <c r="L547" s="9" t="s">
        <v>12119</v>
      </c>
      <c r="M547" s="9"/>
      <c r="N547" s="10"/>
      <c r="O547" s="9"/>
      <c r="P547" s="9">
        <v>11843</v>
      </c>
      <c r="Q547" s="9">
        <v>1423.0954097572699</v>
      </c>
      <c r="R547" s="9"/>
      <c r="S547" s="9" t="s">
        <v>12795</v>
      </c>
      <c r="T547" s="9" t="s">
        <v>12795</v>
      </c>
      <c r="U547" s="9"/>
      <c r="V547" s="9"/>
      <c r="W547" s="9"/>
      <c r="X547" s="9"/>
      <c r="Y547" s="9"/>
      <c r="Z547" s="9"/>
      <c r="AA547" s="9"/>
      <c r="AB547" s="9"/>
      <c r="AC547" s="9"/>
      <c r="AD547" s="9"/>
    </row>
    <row r="548" spans="1:30" ht="43.5">
      <c r="A548" s="3" t="s">
        <v>3750</v>
      </c>
      <c r="B548" s="3" t="s">
        <v>9698</v>
      </c>
      <c r="C548" s="3" t="s">
        <v>9699</v>
      </c>
      <c r="G548" s="9" t="s">
        <v>25</v>
      </c>
      <c r="H548" s="9"/>
      <c r="I548" s="9">
        <v>1</v>
      </c>
      <c r="J548" s="9">
        <v>2</v>
      </c>
      <c r="K548" s="9" t="s">
        <v>12078</v>
      </c>
      <c r="L548" s="9" t="s">
        <v>12119</v>
      </c>
      <c r="M548" s="9"/>
      <c r="N548" s="10"/>
      <c r="O548" s="9"/>
      <c r="P548" s="9">
        <v>11843</v>
      </c>
      <c r="Q548" s="9">
        <v>1423.0954097572699</v>
      </c>
      <c r="R548" s="9"/>
      <c r="S548" s="9" t="s">
        <v>12795</v>
      </c>
      <c r="T548" s="9" t="s">
        <v>12795</v>
      </c>
      <c r="U548" s="9"/>
      <c r="V548" s="9"/>
      <c r="W548" s="9"/>
      <c r="X548" s="9"/>
      <c r="Y548" s="9"/>
      <c r="Z548" s="9"/>
      <c r="AA548" s="9"/>
      <c r="AB548" s="9"/>
      <c r="AC548" s="9"/>
      <c r="AD548" s="9"/>
    </row>
    <row r="549" spans="1:30" ht="29">
      <c r="A549" s="3" t="s">
        <v>3761</v>
      </c>
      <c r="B549" s="3" t="s">
        <v>5421</v>
      </c>
      <c r="C549" s="3" t="s">
        <v>5422</v>
      </c>
      <c r="G549" s="9" t="s">
        <v>25</v>
      </c>
      <c r="H549" s="9"/>
      <c r="I549" s="9">
        <v>1</v>
      </c>
      <c r="J549" s="9">
        <v>5</v>
      </c>
      <c r="K549" s="9" t="s">
        <v>12094</v>
      </c>
      <c r="L549" s="9" t="s">
        <v>12079</v>
      </c>
      <c r="M549" s="9"/>
      <c r="N549" s="10"/>
      <c r="O549" s="9"/>
      <c r="P549" s="9">
        <v>4240</v>
      </c>
      <c r="Q549" s="9">
        <v>509.49291035808699</v>
      </c>
      <c r="R549" s="9"/>
      <c r="S549" s="9" t="s">
        <v>12795</v>
      </c>
      <c r="T549" s="9" t="s">
        <v>12795</v>
      </c>
      <c r="U549" s="9"/>
      <c r="V549" s="9"/>
      <c r="W549" s="9"/>
      <c r="X549" s="9"/>
      <c r="Y549" s="9"/>
      <c r="Z549" s="9"/>
      <c r="AA549" s="9"/>
      <c r="AB549" s="9"/>
      <c r="AC549" s="9"/>
      <c r="AD549" s="9"/>
    </row>
    <row r="550" spans="1:30" ht="43.5">
      <c r="A550" s="3" t="s">
        <v>3763</v>
      </c>
      <c r="B550" s="3" t="s">
        <v>9729</v>
      </c>
      <c r="C550" s="3" t="s">
        <v>9728</v>
      </c>
      <c r="G550" s="9" t="s">
        <v>24</v>
      </c>
      <c r="H550" s="9"/>
      <c r="I550" s="9">
        <v>1</v>
      </c>
      <c r="J550" s="9">
        <v>2</v>
      </c>
      <c r="K550" s="9" t="s">
        <v>12094</v>
      </c>
      <c r="L550" s="9" t="s">
        <v>12119</v>
      </c>
      <c r="M550" s="9"/>
      <c r="N550" s="10"/>
      <c r="O550" s="9"/>
      <c r="P550" s="9">
        <v>412</v>
      </c>
      <c r="Q550" s="9">
        <v>49.507329968757517</v>
      </c>
      <c r="R550" s="9"/>
      <c r="S550" s="9" t="s">
        <v>12795</v>
      </c>
      <c r="T550" s="9" t="s">
        <v>12795</v>
      </c>
      <c r="U550" s="9" t="s">
        <v>4</v>
      </c>
      <c r="V550" s="9"/>
      <c r="W550" s="9"/>
      <c r="X550" s="9"/>
      <c r="Y550" s="9"/>
      <c r="Z550" s="9"/>
      <c r="AA550" s="9"/>
      <c r="AB550" s="9"/>
      <c r="AC550" s="9"/>
      <c r="AD550" s="9"/>
    </row>
    <row r="551" spans="1:30" ht="43.5">
      <c r="A551" s="3" t="s">
        <v>3765</v>
      </c>
      <c r="B551" s="11" t="s">
        <v>9733</v>
      </c>
      <c r="C551" s="11" t="s">
        <v>9732</v>
      </c>
      <c r="G551" s="9" t="s">
        <v>24</v>
      </c>
      <c r="H551" s="9"/>
      <c r="I551" s="9">
        <v>1</v>
      </c>
      <c r="J551" s="9">
        <v>4</v>
      </c>
      <c r="K551" s="9" t="s">
        <v>12099</v>
      </c>
      <c r="L551" s="9" t="s">
        <v>12079</v>
      </c>
      <c r="M551" s="9"/>
      <c r="N551" s="10"/>
      <c r="O551" s="9"/>
      <c r="P551" s="9">
        <v>101</v>
      </c>
      <c r="Q551" s="9">
        <v>12.136505647680847</v>
      </c>
      <c r="R551" s="9"/>
      <c r="S551" s="9" t="s">
        <v>12795</v>
      </c>
      <c r="T551" s="9" t="s">
        <v>12795</v>
      </c>
      <c r="U551" s="9"/>
      <c r="V551" s="9"/>
      <c r="W551" s="9"/>
      <c r="X551" s="9"/>
      <c r="Y551" s="9"/>
      <c r="Z551" s="9"/>
      <c r="AA551" s="9"/>
      <c r="AB551" s="9"/>
      <c r="AC551" s="9"/>
      <c r="AD551" s="9"/>
    </row>
    <row r="552" spans="1:30" ht="43.5">
      <c r="A552" s="3" t="s">
        <v>3775</v>
      </c>
      <c r="B552" s="3" t="s">
        <v>9748</v>
      </c>
      <c r="C552" s="3" t="s">
        <v>9747</v>
      </c>
      <c r="G552" s="9" t="s">
        <v>24</v>
      </c>
      <c r="H552" s="9"/>
      <c r="I552" s="9">
        <v>1</v>
      </c>
      <c r="J552" s="9">
        <v>2</v>
      </c>
      <c r="K552" s="9" t="s">
        <v>12096</v>
      </c>
      <c r="L552" s="9" t="s">
        <v>12119</v>
      </c>
      <c r="M552" s="9"/>
      <c r="N552" s="10"/>
      <c r="O552" s="9" t="s">
        <v>12074</v>
      </c>
      <c r="P552" s="9">
        <v>1294</v>
      </c>
      <c r="Q552" s="9">
        <v>155.49146839701996</v>
      </c>
      <c r="R552" s="9"/>
      <c r="S552" s="9" t="s">
        <v>12795</v>
      </c>
      <c r="T552" s="9" t="s">
        <v>12795</v>
      </c>
      <c r="U552" s="9"/>
      <c r="V552" s="9"/>
      <c r="W552" s="9"/>
      <c r="X552" s="9"/>
      <c r="Y552" s="9"/>
      <c r="Z552" s="9"/>
      <c r="AA552" s="9"/>
      <c r="AB552" s="9"/>
      <c r="AC552" s="9"/>
      <c r="AD552" s="9"/>
    </row>
    <row r="553" spans="1:30" ht="58">
      <c r="A553" s="3" t="s">
        <v>3782</v>
      </c>
      <c r="B553" s="3" t="s">
        <v>9765</v>
      </c>
      <c r="C553" s="3" t="s">
        <v>9764</v>
      </c>
      <c r="G553" s="9" t="s">
        <v>25</v>
      </c>
      <c r="H553" s="9"/>
      <c r="I553" s="9">
        <v>1</v>
      </c>
      <c r="J553" s="9">
        <v>5</v>
      </c>
      <c r="K553" s="9" t="s">
        <v>12094</v>
      </c>
      <c r="L553" s="9" t="s">
        <v>12073</v>
      </c>
      <c r="M553" s="9" t="s">
        <v>12142</v>
      </c>
      <c r="N553" s="10" t="s">
        <v>12143</v>
      </c>
      <c r="O553" s="9"/>
      <c r="P553" s="9">
        <v>4240</v>
      </c>
      <c r="Q553" s="9">
        <v>509.49291035808699</v>
      </c>
      <c r="R553" s="9"/>
      <c r="S553" s="9" t="s">
        <v>12795</v>
      </c>
      <c r="T553" s="9" t="s">
        <v>12795</v>
      </c>
      <c r="U553" s="9"/>
      <c r="V553" s="9"/>
      <c r="W553" s="9"/>
      <c r="X553" s="9"/>
      <c r="Y553" s="9"/>
      <c r="Z553" s="9"/>
      <c r="AA553" s="9"/>
      <c r="AB553" s="9"/>
      <c r="AC553" s="9"/>
      <c r="AD553" s="9"/>
    </row>
    <row r="554" spans="1:30" ht="58">
      <c r="A554" s="3" t="s">
        <v>3788</v>
      </c>
      <c r="B554" s="3" t="s">
        <v>9772</v>
      </c>
      <c r="C554" s="3" t="s">
        <v>9773</v>
      </c>
      <c r="G554" s="9" t="s">
        <v>24</v>
      </c>
      <c r="H554" s="9"/>
      <c r="I554" s="9">
        <v>1</v>
      </c>
      <c r="J554" s="9">
        <v>3</v>
      </c>
      <c r="K554" s="9" t="s">
        <v>12087</v>
      </c>
      <c r="L554" s="9" t="s">
        <v>12079</v>
      </c>
      <c r="M554" s="9"/>
      <c r="N554" s="10"/>
      <c r="O554" s="9"/>
      <c r="P554" s="9">
        <v>5676</v>
      </c>
      <c r="Q554" s="9">
        <v>682.04758471521268</v>
      </c>
      <c r="R554" s="9"/>
      <c r="S554" s="9" t="s">
        <v>12795</v>
      </c>
      <c r="T554" s="9" t="s">
        <v>12795</v>
      </c>
      <c r="U554" s="9"/>
      <c r="V554" s="9"/>
      <c r="W554" s="9"/>
      <c r="X554" s="9"/>
      <c r="Y554" s="9"/>
      <c r="Z554" s="9"/>
      <c r="AA554" s="9"/>
      <c r="AB554" s="9"/>
      <c r="AC554" s="9"/>
      <c r="AD554" s="9"/>
    </row>
    <row r="555" spans="1:30" ht="87">
      <c r="A555" s="3" t="s">
        <v>3820</v>
      </c>
      <c r="B555" s="3" t="s">
        <v>9842</v>
      </c>
      <c r="C555" s="3" t="s">
        <v>9843</v>
      </c>
      <c r="G555" s="9" t="s">
        <v>24</v>
      </c>
      <c r="H555" s="9"/>
      <c r="I555" s="9">
        <v>1</v>
      </c>
      <c r="J555" s="9">
        <v>2</v>
      </c>
      <c r="K555" s="9" t="s">
        <v>12087</v>
      </c>
      <c r="L555" s="9" t="s">
        <v>12119</v>
      </c>
      <c r="M555" s="9"/>
      <c r="N555" s="10"/>
      <c r="O555" s="9"/>
      <c r="P555" s="9">
        <v>166</v>
      </c>
      <c r="Q555" s="9">
        <v>19.947128094208121</v>
      </c>
      <c r="R555" s="9"/>
      <c r="S555" s="9" t="s">
        <v>12795</v>
      </c>
      <c r="T555" s="9" t="s">
        <v>12795</v>
      </c>
      <c r="U555" s="9"/>
      <c r="V555" s="9"/>
      <c r="W555" s="9"/>
      <c r="X555" s="9"/>
      <c r="Y555" s="9"/>
      <c r="Z555" s="9"/>
      <c r="AA555" s="9"/>
      <c r="AB555" s="9"/>
      <c r="AC555" s="9"/>
      <c r="AD555" s="9"/>
    </row>
    <row r="556" spans="1:30" ht="43.5">
      <c r="A556" s="3" t="s">
        <v>3824</v>
      </c>
      <c r="B556" s="3" t="s">
        <v>9853</v>
      </c>
      <c r="C556" s="3" t="s">
        <v>9852</v>
      </c>
      <c r="G556" s="9" t="s">
        <v>25</v>
      </c>
      <c r="H556" s="9"/>
      <c r="I556" s="9">
        <v>1</v>
      </c>
      <c r="J556" s="9">
        <v>3</v>
      </c>
      <c r="K556" s="9" t="s">
        <v>12087</v>
      </c>
      <c r="L556" s="9" t="s">
        <v>12079</v>
      </c>
      <c r="M556" s="9"/>
      <c r="N556" s="10"/>
      <c r="O556" s="9"/>
      <c r="P556" s="9">
        <v>5676</v>
      </c>
      <c r="Q556" s="9">
        <v>682.04758471521268</v>
      </c>
      <c r="R556" s="9"/>
      <c r="S556" s="9" t="s">
        <v>12795</v>
      </c>
      <c r="T556" s="9" t="s">
        <v>12795</v>
      </c>
      <c r="U556" s="9"/>
      <c r="V556" s="9"/>
      <c r="W556" s="9"/>
      <c r="X556" s="9"/>
      <c r="Y556" s="9"/>
      <c r="Z556" s="9"/>
      <c r="AA556" s="9"/>
      <c r="AB556" s="9"/>
      <c r="AC556" s="9"/>
      <c r="AD556" s="9"/>
    </row>
    <row r="557" spans="1:30" ht="101.5">
      <c r="A557" s="3" t="s">
        <v>3830</v>
      </c>
      <c r="B557" s="3" t="s">
        <v>12507</v>
      </c>
      <c r="C557" s="3" t="s">
        <v>12509</v>
      </c>
      <c r="G557" s="9" t="s">
        <v>24</v>
      </c>
      <c r="H557" s="9"/>
      <c r="I557" s="9">
        <v>1</v>
      </c>
      <c r="J557" s="9">
        <v>3</v>
      </c>
      <c r="K557" s="9" t="s">
        <v>12087</v>
      </c>
      <c r="L557" s="9" t="s">
        <v>12079</v>
      </c>
      <c r="M557" s="9"/>
      <c r="N557" s="10"/>
      <c r="O557" s="9"/>
      <c r="P557" s="9">
        <v>431</v>
      </c>
      <c r="Q557" s="9">
        <v>51.790434991588562</v>
      </c>
      <c r="R557" s="9"/>
      <c r="S557" s="9" t="s">
        <v>12795</v>
      </c>
      <c r="T557" s="9" t="s">
        <v>12795</v>
      </c>
      <c r="U557" s="9"/>
      <c r="V557" s="9"/>
      <c r="W557" s="9"/>
      <c r="X557" s="9"/>
      <c r="Y557" s="9"/>
      <c r="Z557" s="9"/>
      <c r="AA557" s="9"/>
      <c r="AB557" s="9"/>
      <c r="AC557" s="9"/>
      <c r="AD557" s="9"/>
    </row>
    <row r="558" spans="1:30" ht="43.5">
      <c r="A558" s="3" t="s">
        <v>3832</v>
      </c>
      <c r="B558" s="3" t="s">
        <v>9872</v>
      </c>
      <c r="C558" s="3" t="s">
        <v>12512</v>
      </c>
      <c r="G558" s="9" t="s">
        <v>24</v>
      </c>
      <c r="H558" s="9"/>
      <c r="I558" s="9">
        <v>1</v>
      </c>
      <c r="J558" s="9">
        <v>1</v>
      </c>
      <c r="K558" s="9" t="s">
        <v>12078</v>
      </c>
      <c r="L558" s="9" t="s">
        <v>12119</v>
      </c>
      <c r="M558" s="9"/>
      <c r="N558" s="10"/>
      <c r="O558" s="9"/>
      <c r="P558" s="9">
        <v>11843</v>
      </c>
      <c r="Q558" s="9">
        <v>1423.0954097572699</v>
      </c>
      <c r="R558" s="9"/>
      <c r="S558" s="9" t="s">
        <v>12795</v>
      </c>
      <c r="T558" s="9" t="s">
        <v>12795</v>
      </c>
      <c r="U558" s="9"/>
      <c r="V558" s="9"/>
      <c r="W558" s="9"/>
      <c r="X558" s="9"/>
      <c r="Y558" s="9"/>
      <c r="Z558" s="9"/>
      <c r="AA558" s="9"/>
      <c r="AB558" s="9"/>
      <c r="AC558" s="9"/>
      <c r="AD558" s="9"/>
    </row>
    <row r="559" spans="1:30" ht="43.5">
      <c r="A559" s="3" t="s">
        <v>3832</v>
      </c>
      <c r="B559" s="3" t="s">
        <v>9876</v>
      </c>
      <c r="C559" s="3" t="s">
        <v>9875</v>
      </c>
      <c r="G559" s="9" t="s">
        <v>24</v>
      </c>
      <c r="H559" s="9"/>
      <c r="I559" s="9">
        <v>1</v>
      </c>
      <c r="J559" s="9">
        <v>2</v>
      </c>
      <c r="K559" s="9" t="s">
        <v>12078</v>
      </c>
      <c r="L559" s="9" t="s">
        <v>12119</v>
      </c>
      <c r="M559" s="9"/>
      <c r="N559" s="10"/>
      <c r="O559" s="9" t="s">
        <v>12074</v>
      </c>
      <c r="P559" s="9">
        <v>11843</v>
      </c>
      <c r="Q559" s="9">
        <v>1423.0954097572699</v>
      </c>
      <c r="R559" s="9"/>
      <c r="S559" s="9" t="s">
        <v>12795</v>
      </c>
      <c r="T559" s="9" t="s">
        <v>12795</v>
      </c>
      <c r="U559" s="9"/>
      <c r="V559" s="9"/>
      <c r="W559" s="9"/>
      <c r="X559" s="9"/>
      <c r="Y559" s="9"/>
      <c r="Z559" s="9"/>
      <c r="AA559" s="9"/>
      <c r="AB559" s="9"/>
      <c r="AC559" s="9"/>
      <c r="AD559" s="9"/>
    </row>
    <row r="560" spans="1:30" ht="29">
      <c r="A560" s="3" t="s">
        <v>3836</v>
      </c>
      <c r="B560" s="3" t="s">
        <v>9889</v>
      </c>
      <c r="C560" s="3" t="s">
        <v>9888</v>
      </c>
      <c r="G560" s="9" t="s">
        <v>24</v>
      </c>
      <c r="H560" s="9"/>
      <c r="I560" s="9">
        <v>1</v>
      </c>
      <c r="J560" s="9">
        <v>1</v>
      </c>
      <c r="K560" s="9" t="s">
        <v>12123</v>
      </c>
      <c r="L560" s="9" t="s">
        <v>12119</v>
      </c>
      <c r="M560" s="9"/>
      <c r="N560" s="10"/>
      <c r="O560" s="9"/>
      <c r="P560" s="9">
        <v>193</v>
      </c>
      <c r="Q560" s="9">
        <v>23.191540495073301</v>
      </c>
      <c r="R560" s="9"/>
      <c r="S560" s="9" t="s">
        <v>12795</v>
      </c>
      <c r="T560" s="9" t="s">
        <v>12795</v>
      </c>
      <c r="U560" s="9"/>
      <c r="V560" s="9"/>
      <c r="W560" s="9"/>
      <c r="X560" s="9"/>
      <c r="Y560" s="9"/>
      <c r="Z560" s="9"/>
      <c r="AA560" s="9"/>
      <c r="AB560" s="9"/>
      <c r="AC560" s="9"/>
      <c r="AD560" s="9"/>
    </row>
    <row r="561" spans="1:30" ht="43.5">
      <c r="A561" s="3" t="s">
        <v>3842</v>
      </c>
      <c r="B561" s="3" t="s">
        <v>12931</v>
      </c>
      <c r="C561" s="3" t="s">
        <v>9900</v>
      </c>
      <c r="F561" t="s">
        <v>19</v>
      </c>
      <c r="G561" s="9" t="s">
        <v>24</v>
      </c>
      <c r="H561" s="9"/>
      <c r="I561" s="9">
        <v>1</v>
      </c>
      <c r="J561" s="9">
        <v>2</v>
      </c>
      <c r="K561" s="9" t="s">
        <v>12078</v>
      </c>
      <c r="L561" s="9" t="s">
        <v>12119</v>
      </c>
      <c r="M561" s="9"/>
      <c r="N561" s="10"/>
      <c r="O561" s="9"/>
      <c r="P561" s="9">
        <v>11843</v>
      </c>
      <c r="Q561" s="9">
        <v>1423.0954097572699</v>
      </c>
      <c r="R561" s="9"/>
      <c r="S561" s="9" t="s">
        <v>12795</v>
      </c>
      <c r="T561" s="9" t="s">
        <v>12795</v>
      </c>
      <c r="U561" s="9"/>
      <c r="V561" s="9"/>
      <c r="W561" s="9"/>
      <c r="X561" s="9"/>
      <c r="Y561" s="9"/>
      <c r="Z561" s="9"/>
      <c r="AA561" s="9"/>
      <c r="AB561" s="9"/>
      <c r="AC561" s="9"/>
      <c r="AD561" s="9"/>
    </row>
    <row r="562" spans="1:30" ht="58">
      <c r="A562" s="3" t="s">
        <v>3859</v>
      </c>
      <c r="B562" s="3" t="s">
        <v>9946</v>
      </c>
      <c r="C562" s="3" t="s">
        <v>9945</v>
      </c>
      <c r="G562" s="9" t="s">
        <v>25</v>
      </c>
      <c r="H562" s="9"/>
      <c r="I562" s="9">
        <v>1</v>
      </c>
      <c r="J562" s="9">
        <v>3</v>
      </c>
      <c r="K562" s="9" t="s">
        <v>12087</v>
      </c>
      <c r="L562" s="9" t="s">
        <v>12079</v>
      </c>
      <c r="M562" s="9"/>
      <c r="N562" s="10"/>
      <c r="O562" s="9"/>
      <c r="P562" s="9">
        <v>356</v>
      </c>
      <c r="Q562" s="9">
        <v>42.778178322518627</v>
      </c>
      <c r="R562" s="9"/>
      <c r="S562" s="9" t="s">
        <v>12795</v>
      </c>
      <c r="T562" s="9" t="s">
        <v>12795</v>
      </c>
      <c r="U562" s="9"/>
      <c r="V562" s="9"/>
      <c r="W562" s="9"/>
      <c r="X562" s="9"/>
      <c r="Y562" s="9"/>
      <c r="Z562" s="9"/>
      <c r="AA562" s="9"/>
      <c r="AB562" s="9"/>
      <c r="AC562" s="9"/>
      <c r="AD562" s="9"/>
    </row>
    <row r="563" spans="1:30" ht="43.5">
      <c r="A563" s="3" t="s">
        <v>3870</v>
      </c>
      <c r="B563" s="3" t="s">
        <v>9970</v>
      </c>
      <c r="C563" s="3" t="s">
        <v>9969</v>
      </c>
      <c r="G563" s="9" t="s">
        <v>25</v>
      </c>
      <c r="H563" s="9"/>
      <c r="I563" s="9">
        <v>1</v>
      </c>
      <c r="J563" s="9">
        <v>3</v>
      </c>
      <c r="K563" s="9" t="s">
        <v>12087</v>
      </c>
      <c r="L563" s="9" t="s">
        <v>12079</v>
      </c>
      <c r="M563" s="9"/>
      <c r="N563" s="10"/>
      <c r="O563" s="9"/>
      <c r="P563" s="9">
        <v>5676</v>
      </c>
      <c r="Q563" s="9">
        <v>682.04758471521268</v>
      </c>
      <c r="R563" s="9"/>
      <c r="S563" s="9" t="s">
        <v>12795</v>
      </c>
      <c r="T563" s="9" t="s">
        <v>12795</v>
      </c>
      <c r="U563" s="9"/>
      <c r="V563" s="9"/>
      <c r="W563" s="9"/>
      <c r="X563" s="9"/>
      <c r="Y563" s="9"/>
      <c r="Z563" s="9"/>
      <c r="AA563" s="9"/>
      <c r="AB563" s="9"/>
      <c r="AC563" s="9"/>
      <c r="AD563" s="9"/>
    </row>
    <row r="564" spans="1:30" ht="58">
      <c r="A564" s="3" t="s">
        <v>3874</v>
      </c>
      <c r="B564" s="3" t="s">
        <v>9975</v>
      </c>
      <c r="C564" s="3" t="s">
        <v>9976</v>
      </c>
      <c r="G564" s="9" t="s">
        <v>25</v>
      </c>
      <c r="H564" s="9"/>
      <c r="I564" s="9">
        <v>1</v>
      </c>
      <c r="J564" s="9">
        <v>4</v>
      </c>
      <c r="K564" s="9" t="s">
        <v>12094</v>
      </c>
      <c r="L564" s="9" t="s">
        <v>12079</v>
      </c>
      <c r="M564" s="9"/>
      <c r="N564" s="10"/>
      <c r="O564" s="9"/>
      <c r="P564" s="9">
        <v>4240</v>
      </c>
      <c r="Q564" s="9">
        <v>509.49291035808699</v>
      </c>
      <c r="R564" s="9"/>
      <c r="S564" s="9" t="s">
        <v>12795</v>
      </c>
      <c r="T564" s="9" t="s">
        <v>12795</v>
      </c>
      <c r="U564" s="9"/>
      <c r="V564" s="9"/>
      <c r="W564" s="9"/>
      <c r="X564" s="9"/>
      <c r="Y564" s="9"/>
      <c r="Z564" s="9"/>
      <c r="AA564" s="9"/>
      <c r="AB564" s="9"/>
      <c r="AC564" s="9"/>
      <c r="AD564" s="9"/>
    </row>
    <row r="565" spans="1:30" ht="29">
      <c r="A565" s="3" t="s">
        <v>3888</v>
      </c>
      <c r="B565" s="3" t="s">
        <v>10017</v>
      </c>
      <c r="C565" s="3" t="s">
        <v>10016</v>
      </c>
      <c r="G565" s="9" t="s">
        <v>24</v>
      </c>
      <c r="H565" s="9"/>
      <c r="I565" s="9">
        <v>1</v>
      </c>
      <c r="J565" s="9">
        <v>3</v>
      </c>
      <c r="K565" s="9" t="s">
        <v>12094</v>
      </c>
      <c r="L565" s="9" t="s">
        <v>12079</v>
      </c>
      <c r="M565" s="9"/>
      <c r="N565" s="10"/>
      <c r="O565" s="9"/>
      <c r="P565" s="9">
        <v>1741</v>
      </c>
      <c r="Q565" s="9">
        <v>209.20451814467677</v>
      </c>
      <c r="R565" s="9"/>
      <c r="S565" s="9" t="s">
        <v>12795</v>
      </c>
      <c r="T565" s="9" t="s">
        <v>12795</v>
      </c>
      <c r="U565" s="9"/>
      <c r="V565" s="9"/>
      <c r="W565" s="9"/>
      <c r="X565" s="9"/>
      <c r="Y565" s="9"/>
      <c r="Z565" s="9"/>
      <c r="AA565" s="9"/>
      <c r="AB565" s="9"/>
      <c r="AC565" s="9"/>
      <c r="AD565" s="9"/>
    </row>
    <row r="566" spans="1:30" ht="43.5">
      <c r="A566" s="3" t="s">
        <v>3928</v>
      </c>
      <c r="B566" s="3" t="s">
        <v>12720</v>
      </c>
      <c r="C566" s="3" t="s">
        <v>12723</v>
      </c>
      <c r="G566" s="9" t="s">
        <v>24</v>
      </c>
      <c r="H566" s="9"/>
      <c r="I566" s="9">
        <v>1</v>
      </c>
      <c r="J566" s="9">
        <v>2</v>
      </c>
      <c r="K566" s="9" t="s">
        <v>12087</v>
      </c>
      <c r="L566" s="9" t="s">
        <v>12119</v>
      </c>
      <c r="M566" s="9"/>
      <c r="N566" s="10"/>
      <c r="O566" s="9"/>
      <c r="P566" s="9">
        <v>1966</v>
      </c>
      <c r="Q566" s="9">
        <v>236.24128815188658</v>
      </c>
      <c r="R566" s="9"/>
      <c r="S566" s="9" t="s">
        <v>12795</v>
      </c>
      <c r="T566" s="9" t="s">
        <v>12795</v>
      </c>
      <c r="U566" s="9"/>
      <c r="V566" s="9"/>
      <c r="W566" s="9"/>
      <c r="X566" s="9"/>
      <c r="Y566" s="9"/>
      <c r="Z566" s="9"/>
      <c r="AA566" s="9"/>
      <c r="AB566" s="9"/>
      <c r="AC566" s="9"/>
      <c r="AD566" s="9"/>
    </row>
    <row r="567" spans="1:30" ht="87">
      <c r="A567" s="3" t="s">
        <v>3933</v>
      </c>
      <c r="B567" s="3" t="s">
        <v>10118</v>
      </c>
      <c r="C567" s="3" t="s">
        <v>10114</v>
      </c>
      <c r="G567" s="9" t="s">
        <v>25</v>
      </c>
      <c r="H567" s="9"/>
      <c r="I567" s="9">
        <v>1</v>
      </c>
      <c r="J567" s="9">
        <v>3</v>
      </c>
      <c r="K567" s="9" t="s">
        <v>12087</v>
      </c>
      <c r="L567" s="9" t="s">
        <v>12079</v>
      </c>
      <c r="M567" s="9"/>
      <c r="N567" s="10"/>
      <c r="O567" s="9"/>
      <c r="P567" s="9">
        <v>356</v>
      </c>
      <c r="Q567" s="9">
        <v>42.778178322518627</v>
      </c>
      <c r="R567" s="9"/>
      <c r="S567" s="9" t="s">
        <v>12795</v>
      </c>
      <c r="T567" s="9" t="s">
        <v>12795</v>
      </c>
      <c r="U567" s="9"/>
      <c r="V567" s="9"/>
      <c r="W567" s="9"/>
      <c r="X567" s="9"/>
      <c r="Y567" s="9"/>
      <c r="Z567" s="9"/>
      <c r="AA567" s="9"/>
      <c r="AB567" s="9"/>
      <c r="AC567" s="9"/>
      <c r="AD567" s="9"/>
    </row>
    <row r="568" spans="1:30" ht="116">
      <c r="A568" s="3" t="s">
        <v>3936</v>
      </c>
      <c r="B568" s="3" t="s">
        <v>10122</v>
      </c>
      <c r="C568" s="3" t="s">
        <v>10125</v>
      </c>
      <c r="G568" s="9" t="s">
        <v>24</v>
      </c>
      <c r="H568" s="9"/>
      <c r="I568" s="9">
        <v>1</v>
      </c>
      <c r="J568" s="9">
        <v>6</v>
      </c>
      <c r="K568" s="9" t="s">
        <v>12094</v>
      </c>
      <c r="L568" s="9" t="s">
        <v>12073</v>
      </c>
      <c r="M568" s="9" t="s">
        <v>12203</v>
      </c>
      <c r="N568" s="10" t="s">
        <v>12204</v>
      </c>
      <c r="O568" s="9"/>
      <c r="P568" s="9">
        <v>4240</v>
      </c>
      <c r="Q568" s="9">
        <v>509.49291035808699</v>
      </c>
      <c r="R568" s="9"/>
      <c r="S568" s="9" t="s">
        <v>12795</v>
      </c>
      <c r="T568" s="9" t="s">
        <v>12795</v>
      </c>
      <c r="U568" s="9"/>
      <c r="V568" s="9"/>
      <c r="W568" s="9"/>
      <c r="X568" s="9"/>
      <c r="Y568" s="9"/>
      <c r="Z568" s="9"/>
      <c r="AA568" s="9"/>
      <c r="AB568" s="9"/>
      <c r="AC568" s="9"/>
      <c r="AD568" s="9"/>
    </row>
    <row r="569" spans="1:30" ht="116">
      <c r="A569" s="3" t="s">
        <v>3936</v>
      </c>
      <c r="B569" s="3" t="s">
        <v>10126</v>
      </c>
      <c r="C569" s="3" t="s">
        <v>10121</v>
      </c>
      <c r="G569" s="9" t="s">
        <v>25</v>
      </c>
      <c r="H569" s="9"/>
      <c r="I569" s="9">
        <v>1</v>
      </c>
      <c r="J569" s="9">
        <v>4</v>
      </c>
      <c r="K569" s="9" t="s">
        <v>12096</v>
      </c>
      <c r="L569" s="9" t="s">
        <v>12079</v>
      </c>
      <c r="M569" s="9"/>
      <c r="N569" s="10"/>
      <c r="O569" s="9"/>
      <c r="P569" s="9">
        <v>207</v>
      </c>
      <c r="Q569" s="9">
        <v>24.873828406633024</v>
      </c>
      <c r="R569" s="9"/>
      <c r="S569" s="9" t="s">
        <v>12795</v>
      </c>
      <c r="T569" s="9" t="s">
        <v>12795</v>
      </c>
      <c r="U569" s="9"/>
      <c r="V569" s="9"/>
      <c r="W569" s="9"/>
      <c r="X569" s="9"/>
      <c r="Y569" s="9"/>
      <c r="Z569" s="9"/>
      <c r="AA569" s="9"/>
      <c r="AB569" s="9"/>
      <c r="AC569" s="9"/>
      <c r="AD569" s="9"/>
    </row>
    <row r="570" spans="1:30" ht="87">
      <c r="A570" s="3" t="s">
        <v>3945</v>
      </c>
      <c r="B570" s="3" t="s">
        <v>12519</v>
      </c>
      <c r="C570" s="3" t="s">
        <v>10135</v>
      </c>
      <c r="G570" s="9" t="s">
        <v>25</v>
      </c>
      <c r="H570" s="9"/>
      <c r="I570" s="9">
        <v>1</v>
      </c>
      <c r="J570" s="9">
        <v>3</v>
      </c>
      <c r="K570" s="9" t="s">
        <v>12096</v>
      </c>
      <c r="L570" s="9" t="s">
        <v>12079</v>
      </c>
      <c r="M570" s="9"/>
      <c r="N570" s="10"/>
      <c r="O570" s="9"/>
      <c r="P570" s="9">
        <v>264</v>
      </c>
      <c r="Q570" s="9">
        <v>31.723143475126172</v>
      </c>
      <c r="R570" s="9"/>
      <c r="S570" s="9" t="s">
        <v>12795</v>
      </c>
      <c r="T570" s="9" t="s">
        <v>12795</v>
      </c>
      <c r="U570" s="9"/>
      <c r="V570" s="9"/>
      <c r="W570" s="9"/>
      <c r="X570" s="9"/>
      <c r="Y570" s="9"/>
      <c r="Z570" s="9"/>
      <c r="AA570" s="9"/>
      <c r="AB570" s="9"/>
      <c r="AC570" s="9"/>
      <c r="AD570" s="9"/>
    </row>
    <row r="571" spans="1:30" ht="29">
      <c r="A571" s="3" t="s">
        <v>3956</v>
      </c>
      <c r="B571" s="3" t="s">
        <v>10151</v>
      </c>
      <c r="C571" s="3" t="s">
        <v>10150</v>
      </c>
      <c r="G571" s="9" t="s">
        <v>25</v>
      </c>
      <c r="H571" s="9"/>
      <c r="I571" s="9">
        <v>1</v>
      </c>
      <c r="J571" s="9">
        <v>3</v>
      </c>
      <c r="K571" s="9" t="s">
        <v>12123</v>
      </c>
      <c r="L571" s="9" t="s">
        <v>12079</v>
      </c>
      <c r="M571" s="9"/>
      <c r="N571" s="10"/>
      <c r="O571" s="9"/>
      <c r="P571" s="9">
        <v>887</v>
      </c>
      <c r="Q571" s="9">
        <v>106.58495553953377</v>
      </c>
      <c r="R571" s="9"/>
      <c r="S571" s="9" t="s">
        <v>12795</v>
      </c>
      <c r="T571" s="9" t="s">
        <v>12795</v>
      </c>
      <c r="U571" s="9"/>
      <c r="V571" s="9"/>
      <c r="W571" s="9"/>
      <c r="X571" s="9"/>
      <c r="Y571" s="9"/>
      <c r="Z571" s="9"/>
      <c r="AA571" s="9"/>
      <c r="AB571" s="9"/>
      <c r="AC571" s="9"/>
      <c r="AD571" s="9"/>
    </row>
    <row r="572" spans="1:30" ht="29">
      <c r="A572" s="3" t="s">
        <v>3975</v>
      </c>
      <c r="B572" s="3" t="s">
        <v>10181</v>
      </c>
      <c r="C572" s="3" t="s">
        <v>10180</v>
      </c>
      <c r="G572" s="9" t="s">
        <v>24</v>
      </c>
      <c r="H572" s="9"/>
      <c r="I572" s="9">
        <v>1</v>
      </c>
      <c r="J572" s="9">
        <v>2</v>
      </c>
      <c r="K572" s="9" t="s">
        <v>12094</v>
      </c>
      <c r="L572" s="9" t="s">
        <v>12119</v>
      </c>
      <c r="M572" s="9"/>
      <c r="N572" s="10"/>
      <c r="O572" s="9"/>
      <c r="P572" s="9">
        <v>1741</v>
      </c>
      <c r="Q572" s="9">
        <v>209.20451814467677</v>
      </c>
      <c r="R572" s="9"/>
      <c r="S572" s="9" t="s">
        <v>12795</v>
      </c>
      <c r="T572" s="9" t="s">
        <v>12795</v>
      </c>
      <c r="U572" s="9"/>
      <c r="V572" s="9"/>
      <c r="W572" s="9"/>
      <c r="X572" s="9"/>
      <c r="Y572" s="9"/>
      <c r="Z572" s="9"/>
      <c r="AA572" s="9"/>
      <c r="AB572" s="9"/>
      <c r="AC572" s="9"/>
      <c r="AD572" s="9"/>
    </row>
    <row r="573" spans="1:30" ht="58">
      <c r="A573" s="3" t="s">
        <v>3987</v>
      </c>
      <c r="B573" s="3" t="s">
        <v>10197</v>
      </c>
      <c r="C573" s="3" t="s">
        <v>10196</v>
      </c>
      <c r="G573" s="9" t="s">
        <v>25</v>
      </c>
      <c r="H573" s="9"/>
      <c r="I573" s="9">
        <v>1</v>
      </c>
      <c r="J573" s="9">
        <v>2</v>
      </c>
      <c r="K573" s="9" t="s">
        <v>12078</v>
      </c>
      <c r="L573" s="9" t="s">
        <v>12119</v>
      </c>
      <c r="M573" s="9"/>
      <c r="N573" s="10"/>
      <c r="O573" s="9"/>
      <c r="P573" s="9">
        <v>11843</v>
      </c>
      <c r="Q573" s="9">
        <v>1423.0954097572699</v>
      </c>
      <c r="R573" s="9"/>
      <c r="S573" s="9" t="s">
        <v>12795</v>
      </c>
      <c r="T573" s="9" t="s">
        <v>12795</v>
      </c>
      <c r="U573" s="9"/>
      <c r="V573" s="9"/>
      <c r="W573" s="9"/>
      <c r="X573" s="9"/>
      <c r="Y573" s="9"/>
      <c r="Z573" s="9"/>
      <c r="AA573" s="9"/>
      <c r="AB573" s="9"/>
      <c r="AC573" s="9"/>
      <c r="AD573" s="9"/>
    </row>
    <row r="574" spans="1:30" ht="43.5">
      <c r="A574" s="3" t="s">
        <v>4002</v>
      </c>
      <c r="B574" s="3" t="s">
        <v>10227</v>
      </c>
      <c r="C574" s="3" t="s">
        <v>10226</v>
      </c>
      <c r="G574" s="9" t="s">
        <v>24</v>
      </c>
      <c r="H574" s="9"/>
      <c r="I574" s="9">
        <v>1</v>
      </c>
      <c r="J574" s="9">
        <v>3</v>
      </c>
      <c r="K574" s="9" t="s">
        <v>12123</v>
      </c>
      <c r="L574" s="9" t="s">
        <v>12079</v>
      </c>
      <c r="M574" s="9"/>
      <c r="N574" s="10"/>
      <c r="O574" s="9"/>
      <c r="P574" s="9">
        <v>92</v>
      </c>
      <c r="Q574" s="9">
        <v>11.055034847392454</v>
      </c>
      <c r="R574" s="9"/>
      <c r="S574" s="9" t="s">
        <v>12795</v>
      </c>
      <c r="T574" s="9" t="s">
        <v>12795</v>
      </c>
      <c r="U574" s="9"/>
      <c r="V574" s="9"/>
      <c r="W574" s="9"/>
      <c r="X574" s="9"/>
      <c r="Y574" s="9"/>
      <c r="Z574" s="9"/>
      <c r="AA574" s="9"/>
      <c r="AB574" s="9"/>
      <c r="AC574" s="9"/>
      <c r="AD574" s="9"/>
    </row>
    <row r="575" spans="1:30" ht="87">
      <c r="A575" s="3" t="s">
        <v>4007</v>
      </c>
      <c r="B575" s="3" t="s">
        <v>10242</v>
      </c>
      <c r="C575" s="3" t="s">
        <v>10241</v>
      </c>
      <c r="G575" s="9" t="s">
        <v>25</v>
      </c>
      <c r="H575" s="9"/>
      <c r="I575" s="9">
        <v>1</v>
      </c>
      <c r="J575" s="9">
        <v>3</v>
      </c>
      <c r="K575" s="9" t="s">
        <v>12087</v>
      </c>
      <c r="L575" s="9" t="s">
        <v>12079</v>
      </c>
      <c r="M575" s="9"/>
      <c r="N575" s="10"/>
      <c r="O575" s="9"/>
      <c r="P575" s="9">
        <v>431</v>
      </c>
      <c r="Q575" s="9">
        <v>51.790434991588562</v>
      </c>
      <c r="R575" s="9"/>
      <c r="S575" s="9" t="s">
        <v>12795</v>
      </c>
      <c r="T575" s="9" t="s">
        <v>12795</v>
      </c>
      <c r="U575" s="9"/>
      <c r="V575" s="9"/>
      <c r="W575" s="9"/>
      <c r="X575" s="9"/>
      <c r="Y575" s="9"/>
      <c r="Z575" s="9"/>
      <c r="AA575" s="9"/>
      <c r="AB575" s="9"/>
      <c r="AC575" s="9"/>
      <c r="AD575" s="9"/>
    </row>
    <row r="576" spans="1:30" ht="87">
      <c r="A576" s="3" t="s">
        <v>4007</v>
      </c>
      <c r="B576" s="3" t="s">
        <v>10240</v>
      </c>
      <c r="C576" s="3" t="s">
        <v>10243</v>
      </c>
      <c r="G576" s="9" t="s">
        <v>24</v>
      </c>
      <c r="H576" s="9"/>
      <c r="I576" s="9">
        <v>1</v>
      </c>
      <c r="J576" s="9">
        <v>3</v>
      </c>
      <c r="K576" s="9" t="s">
        <v>12087</v>
      </c>
      <c r="L576" s="9" t="s">
        <v>12079</v>
      </c>
      <c r="M576" s="9"/>
      <c r="N576" s="10"/>
      <c r="O576" s="9"/>
      <c r="P576" s="9">
        <v>309</v>
      </c>
      <c r="Q576" s="9">
        <v>37.130497476568131</v>
      </c>
      <c r="R576" s="9"/>
      <c r="S576" s="9" t="s">
        <v>12795</v>
      </c>
      <c r="T576" s="9" t="s">
        <v>12795</v>
      </c>
      <c r="U576" s="9"/>
      <c r="V576" s="9"/>
      <c r="W576" s="9"/>
      <c r="X576" s="9"/>
      <c r="Y576" s="9"/>
      <c r="Z576" s="9"/>
      <c r="AA576" s="9"/>
      <c r="AB576" s="9"/>
      <c r="AC576" s="9"/>
      <c r="AD576" s="9"/>
    </row>
    <row r="577" spans="1:30" ht="87">
      <c r="A577" s="3" t="s">
        <v>4023</v>
      </c>
      <c r="B577" s="3" t="s">
        <v>10290</v>
      </c>
      <c r="C577" s="3" t="s">
        <v>10291</v>
      </c>
      <c r="G577" s="9" t="s">
        <v>25</v>
      </c>
      <c r="H577" s="9"/>
      <c r="I577" s="9">
        <v>1</v>
      </c>
      <c r="J577" s="9">
        <v>2</v>
      </c>
      <c r="K577" s="9" t="s">
        <v>12087</v>
      </c>
      <c r="L577" s="9" t="s">
        <v>12119</v>
      </c>
      <c r="M577" s="9"/>
      <c r="N577" s="10"/>
      <c r="O577" s="9"/>
      <c r="P577" s="9">
        <v>1966</v>
      </c>
      <c r="Q577" s="9">
        <v>236.24128815188658</v>
      </c>
      <c r="R577" s="9"/>
      <c r="S577" s="9" t="s">
        <v>12795</v>
      </c>
      <c r="T577" s="9" t="s">
        <v>12795</v>
      </c>
      <c r="U577" s="9"/>
      <c r="V577" s="9"/>
      <c r="W577" s="9"/>
      <c r="X577" s="9"/>
      <c r="Y577" s="9"/>
      <c r="Z577" s="9"/>
      <c r="AA577" s="9"/>
      <c r="AB577" s="9"/>
      <c r="AC577" s="9"/>
      <c r="AD577" s="9"/>
    </row>
    <row r="578" spans="1:30" ht="101.5">
      <c r="A578" s="3" t="s">
        <v>4025</v>
      </c>
      <c r="B578" s="3" t="s">
        <v>10306</v>
      </c>
      <c r="C578" s="3" t="s">
        <v>10308</v>
      </c>
      <c r="G578" s="9" t="s">
        <v>24</v>
      </c>
      <c r="H578" s="9"/>
      <c r="I578" s="9">
        <v>1</v>
      </c>
      <c r="J578" s="9">
        <v>3</v>
      </c>
      <c r="K578" s="9" t="s">
        <v>12078</v>
      </c>
      <c r="L578" s="9" t="s">
        <v>12079</v>
      </c>
      <c r="M578" s="9"/>
      <c r="N578" s="10"/>
      <c r="O578" s="9"/>
      <c r="P578" s="9">
        <v>11843</v>
      </c>
      <c r="Q578" s="9">
        <v>1423.0954097572699</v>
      </c>
      <c r="R578" s="9"/>
      <c r="S578" s="9" t="s">
        <v>12795</v>
      </c>
      <c r="T578" s="9" t="s">
        <v>12795</v>
      </c>
      <c r="U578" s="9"/>
      <c r="V578" s="9"/>
      <c r="W578" s="9"/>
      <c r="X578" s="9"/>
      <c r="Y578" s="9"/>
      <c r="Z578" s="9"/>
      <c r="AA578" s="9"/>
      <c r="AB578" s="9"/>
      <c r="AC578" s="9"/>
      <c r="AD578" s="9"/>
    </row>
    <row r="579" spans="1:30" ht="43.5">
      <c r="A579" s="3" t="s">
        <v>4026</v>
      </c>
      <c r="B579" s="3" t="s">
        <v>10310</v>
      </c>
      <c r="C579" s="3" t="s">
        <v>10309</v>
      </c>
      <c r="G579" s="9" t="s">
        <v>25</v>
      </c>
      <c r="H579" s="9"/>
      <c r="I579" s="9">
        <v>1</v>
      </c>
      <c r="J579" s="9">
        <v>4</v>
      </c>
      <c r="K579" s="9" t="s">
        <v>12078</v>
      </c>
      <c r="L579" s="9" t="s">
        <v>12073</v>
      </c>
      <c r="M579" s="9" t="s">
        <v>12142</v>
      </c>
      <c r="N579" s="10" t="s">
        <v>12160</v>
      </c>
      <c r="O579" s="9" t="s">
        <v>12074</v>
      </c>
      <c r="P579" s="9">
        <v>11843</v>
      </c>
      <c r="Q579" s="9">
        <v>1423.0954097572699</v>
      </c>
      <c r="R579" s="9"/>
      <c r="S579" s="9" t="s">
        <v>12795</v>
      </c>
      <c r="T579" s="9" t="s">
        <v>12795</v>
      </c>
      <c r="U579" s="9"/>
      <c r="V579" s="9"/>
      <c r="W579" s="9"/>
      <c r="X579" s="9"/>
      <c r="Y579" s="9"/>
      <c r="Z579" s="9"/>
      <c r="AA579" s="9"/>
      <c r="AB579" s="9"/>
      <c r="AC579" s="9"/>
      <c r="AD579" s="9"/>
    </row>
    <row r="580" spans="1:30" ht="72.5">
      <c r="A580" s="3" t="s">
        <v>4037</v>
      </c>
      <c r="B580" s="3" t="s">
        <v>10329</v>
      </c>
      <c r="C580" s="3" t="s">
        <v>10330</v>
      </c>
      <c r="G580" s="9" t="s">
        <v>24</v>
      </c>
      <c r="H580" s="9"/>
      <c r="I580" s="9">
        <v>1</v>
      </c>
      <c r="J580" s="9">
        <v>3</v>
      </c>
      <c r="K580" s="9" t="s">
        <v>12078</v>
      </c>
      <c r="L580" s="9" t="s">
        <v>12079</v>
      </c>
      <c r="M580" s="9"/>
      <c r="N580" s="10"/>
      <c r="O580" s="9"/>
      <c r="P580" s="9">
        <v>11843</v>
      </c>
      <c r="Q580" s="9">
        <v>1423.0954097572699</v>
      </c>
      <c r="R580" s="9"/>
      <c r="S580" s="9" t="s">
        <v>12795</v>
      </c>
      <c r="T580" s="9" t="s">
        <v>12795</v>
      </c>
      <c r="U580" s="9"/>
      <c r="V580" s="9"/>
      <c r="W580" s="9"/>
      <c r="X580" s="9"/>
      <c r="Y580" s="9"/>
      <c r="Z580" s="9"/>
      <c r="AA580" s="9"/>
      <c r="AB580" s="9"/>
      <c r="AC580" s="9"/>
      <c r="AD580" s="9"/>
    </row>
    <row r="581" spans="1:30" ht="43.5">
      <c r="A581" s="3" t="s">
        <v>4047</v>
      </c>
      <c r="B581" s="3" t="s">
        <v>10354</v>
      </c>
      <c r="C581" s="3" t="s">
        <v>10353</v>
      </c>
      <c r="G581" s="9" t="s">
        <v>25</v>
      </c>
      <c r="H581" s="9"/>
      <c r="I581" s="9">
        <v>1</v>
      </c>
      <c r="J581" s="9">
        <v>3</v>
      </c>
      <c r="K581" s="9" t="s">
        <v>12087</v>
      </c>
      <c r="L581" s="9" t="s">
        <v>12079</v>
      </c>
      <c r="M581" s="9"/>
      <c r="N581" s="10"/>
      <c r="O581" s="9"/>
      <c r="P581" s="9">
        <v>5676</v>
      </c>
      <c r="Q581" s="9">
        <v>682.04758471521268</v>
      </c>
      <c r="R581" s="9"/>
      <c r="S581" s="9" t="s">
        <v>12795</v>
      </c>
      <c r="T581" s="9" t="s">
        <v>12795</v>
      </c>
      <c r="U581" s="9"/>
      <c r="V581" s="9"/>
      <c r="W581" s="9"/>
      <c r="X581" s="9"/>
      <c r="Y581" s="9"/>
      <c r="Z581" s="9"/>
      <c r="AA581" s="9"/>
      <c r="AB581" s="9"/>
      <c r="AC581" s="9"/>
      <c r="AD581" s="9"/>
    </row>
    <row r="582" spans="1:30" ht="58">
      <c r="A582" s="3" t="s">
        <v>4052</v>
      </c>
      <c r="B582" s="3" t="s">
        <v>10365</v>
      </c>
      <c r="C582" s="3" t="s">
        <v>10366</v>
      </c>
      <c r="G582" s="9" t="s">
        <v>24</v>
      </c>
      <c r="H582" s="9"/>
      <c r="I582" s="9">
        <v>1</v>
      </c>
      <c r="J582" s="9">
        <v>2</v>
      </c>
      <c r="K582" s="9" t="s">
        <v>12096</v>
      </c>
      <c r="L582" s="9" t="s">
        <v>12079</v>
      </c>
      <c r="M582" s="9"/>
      <c r="N582" s="10"/>
      <c r="O582" s="9"/>
      <c r="P582" s="9">
        <v>485</v>
      </c>
      <c r="Q582" s="9">
        <v>58.279259793318907</v>
      </c>
      <c r="R582" s="9"/>
      <c r="S582" s="9" t="s">
        <v>12795</v>
      </c>
      <c r="T582" s="9" t="s">
        <v>12795</v>
      </c>
      <c r="U582" s="9"/>
      <c r="V582" s="9"/>
      <c r="W582" s="9"/>
      <c r="X582" s="9"/>
      <c r="Y582" s="9"/>
      <c r="Z582" s="9"/>
      <c r="AA582" s="9"/>
      <c r="AB582" s="9"/>
      <c r="AC582" s="9"/>
      <c r="AD582" s="9"/>
    </row>
    <row r="583" spans="1:30" ht="43.5">
      <c r="A583" s="3" t="s">
        <v>4052</v>
      </c>
      <c r="B583" s="3" t="s">
        <v>12940</v>
      </c>
      <c r="C583" s="3" t="s">
        <v>10369</v>
      </c>
      <c r="G583" s="9" t="s">
        <v>25</v>
      </c>
      <c r="H583" s="9"/>
      <c r="I583" s="9">
        <v>1</v>
      </c>
      <c r="J583" s="9">
        <v>3</v>
      </c>
      <c r="K583" s="9" t="s">
        <v>12078</v>
      </c>
      <c r="L583" s="9" t="s">
        <v>12079</v>
      </c>
      <c r="M583" s="9"/>
      <c r="N583" s="10"/>
      <c r="O583" s="9"/>
      <c r="P583" s="9">
        <v>11843</v>
      </c>
      <c r="Q583" s="9">
        <v>1423.0954097572699</v>
      </c>
      <c r="R583" s="9"/>
      <c r="S583" s="9" t="s">
        <v>12795</v>
      </c>
      <c r="T583" s="9" t="s">
        <v>12795</v>
      </c>
      <c r="U583" s="9"/>
      <c r="V583" s="9"/>
      <c r="W583" s="9"/>
      <c r="X583" s="9"/>
      <c r="Y583" s="9"/>
      <c r="Z583" s="9"/>
      <c r="AA583" s="9"/>
      <c r="AB583" s="9"/>
      <c r="AC583" s="9"/>
      <c r="AD583" s="9"/>
    </row>
    <row r="584" spans="1:30" ht="87">
      <c r="A584" s="3" t="s">
        <v>4079</v>
      </c>
      <c r="B584" s="3" t="s">
        <v>12531</v>
      </c>
      <c r="C584" s="3" t="s">
        <v>10419</v>
      </c>
      <c r="G584" s="9" t="s">
        <v>25</v>
      </c>
      <c r="H584" s="9"/>
      <c r="I584" s="9">
        <v>1</v>
      </c>
      <c r="J584" s="9">
        <v>3</v>
      </c>
      <c r="K584" s="9" t="s">
        <v>12078</v>
      </c>
      <c r="L584" s="9" t="s">
        <v>12079</v>
      </c>
      <c r="M584" s="9"/>
      <c r="N584" s="10"/>
      <c r="O584" s="9"/>
      <c r="P584" s="9">
        <v>11843</v>
      </c>
      <c r="Q584" s="9">
        <v>1423.0954097572699</v>
      </c>
      <c r="R584" s="9"/>
      <c r="S584" s="9" t="s">
        <v>12795</v>
      </c>
      <c r="T584" s="9" t="s">
        <v>12795</v>
      </c>
      <c r="U584" s="9"/>
      <c r="V584" s="9"/>
      <c r="W584" s="9"/>
      <c r="X584" s="9"/>
      <c r="Y584" s="9"/>
      <c r="Z584" s="9"/>
      <c r="AA584" s="9"/>
      <c r="AB584" s="9"/>
      <c r="AC584" s="9"/>
      <c r="AD584" s="9"/>
    </row>
    <row r="585" spans="1:30" ht="43.5">
      <c r="A585" s="3" t="s">
        <v>4092</v>
      </c>
      <c r="B585" s="3" t="s">
        <v>10463</v>
      </c>
      <c r="C585" s="3" t="s">
        <v>10464</v>
      </c>
      <c r="G585" s="9" t="s">
        <v>24</v>
      </c>
      <c r="H585" s="9"/>
      <c r="I585" s="9">
        <v>1</v>
      </c>
      <c r="J585" s="9">
        <v>1</v>
      </c>
      <c r="K585" s="9" t="s">
        <v>12078</v>
      </c>
      <c r="L585" s="9" t="s">
        <v>12119</v>
      </c>
      <c r="M585" s="9"/>
      <c r="N585" s="10"/>
      <c r="O585" s="9"/>
      <c r="P585" s="9">
        <v>11843</v>
      </c>
      <c r="Q585" s="9">
        <v>1423.0954097572699</v>
      </c>
      <c r="R585" s="9"/>
      <c r="S585" s="9" t="s">
        <v>12795</v>
      </c>
      <c r="T585" s="9" t="s">
        <v>12795</v>
      </c>
      <c r="U585" s="9"/>
      <c r="V585" s="9"/>
      <c r="W585" s="9"/>
      <c r="X585" s="9"/>
      <c r="Y585" s="9"/>
      <c r="Z585" s="9"/>
      <c r="AA585" s="9"/>
      <c r="AB585" s="9"/>
      <c r="AC585" s="9"/>
      <c r="AD585" s="9"/>
    </row>
    <row r="586" spans="1:30" ht="29">
      <c r="A586" s="3" t="s">
        <v>4100</v>
      </c>
      <c r="B586" s="3" t="s">
        <v>10490</v>
      </c>
      <c r="C586" s="3" t="s">
        <v>10489</v>
      </c>
      <c r="G586" s="9" t="s">
        <v>24</v>
      </c>
      <c r="H586" s="9"/>
      <c r="I586" s="9">
        <v>1</v>
      </c>
      <c r="J586" s="9">
        <v>1</v>
      </c>
      <c r="K586" s="9" t="s">
        <v>12078</v>
      </c>
      <c r="L586" s="9" t="s">
        <v>12119</v>
      </c>
      <c r="M586" s="9"/>
      <c r="N586" s="10"/>
      <c r="O586" s="9"/>
      <c r="P586" s="9">
        <v>11843</v>
      </c>
      <c r="Q586" s="9">
        <v>1423.0954097572699</v>
      </c>
      <c r="R586" s="9"/>
      <c r="S586" s="9" t="s">
        <v>12795</v>
      </c>
      <c r="T586" s="9" t="s">
        <v>12795</v>
      </c>
      <c r="U586" s="9"/>
      <c r="V586" s="9"/>
      <c r="W586" s="9"/>
      <c r="X586" s="9"/>
      <c r="Y586" s="9"/>
      <c r="Z586" s="9"/>
      <c r="AA586" s="9"/>
      <c r="AB586" s="9"/>
      <c r="AC586" s="9"/>
      <c r="AD586" s="9"/>
    </row>
    <row r="587" spans="1:30" ht="72.5">
      <c r="A587" s="3" t="s">
        <v>4100</v>
      </c>
      <c r="B587" s="3" t="s">
        <v>10491</v>
      </c>
      <c r="C587" s="3" t="s">
        <v>10493</v>
      </c>
      <c r="G587" s="9" t="s">
        <v>24</v>
      </c>
      <c r="H587" s="9"/>
      <c r="I587" s="9">
        <v>1</v>
      </c>
      <c r="J587" s="9">
        <v>4</v>
      </c>
      <c r="K587" s="9" t="s">
        <v>12094</v>
      </c>
      <c r="L587" s="9" t="s">
        <v>12079</v>
      </c>
      <c r="M587" s="9"/>
      <c r="N587" s="10"/>
      <c r="O587" s="9"/>
      <c r="P587" s="9">
        <v>1741</v>
      </c>
      <c r="Q587" s="9">
        <v>209.20451814467677</v>
      </c>
      <c r="R587" s="9"/>
      <c r="S587" s="9" t="s">
        <v>12795</v>
      </c>
      <c r="T587" s="9" t="s">
        <v>12795</v>
      </c>
      <c r="U587" s="9"/>
      <c r="V587" s="9"/>
      <c r="W587" s="9"/>
      <c r="X587" s="9"/>
      <c r="Y587" s="9"/>
      <c r="Z587" s="9"/>
      <c r="AA587" s="9"/>
      <c r="AB587" s="9"/>
      <c r="AC587" s="9"/>
      <c r="AD587" s="9"/>
    </row>
    <row r="588" spans="1:30" ht="58">
      <c r="A588" s="3" t="s">
        <v>4106</v>
      </c>
      <c r="B588" s="3" t="s">
        <v>10508</v>
      </c>
      <c r="C588" s="3" t="s">
        <v>10509</v>
      </c>
      <c r="G588" s="9" t="s">
        <v>24</v>
      </c>
      <c r="H588" s="9"/>
      <c r="I588" s="9">
        <v>1</v>
      </c>
      <c r="J588" s="9">
        <v>3</v>
      </c>
      <c r="K588" s="9" t="s">
        <v>12078</v>
      </c>
      <c r="L588" s="9" t="s">
        <v>12073</v>
      </c>
      <c r="M588" s="9" t="s">
        <v>12149</v>
      </c>
      <c r="N588" s="10" t="s">
        <v>12143</v>
      </c>
      <c r="O588" s="9"/>
      <c r="P588" s="9">
        <v>11843</v>
      </c>
      <c r="Q588" s="9">
        <v>1423.0954097572699</v>
      </c>
      <c r="R588" s="9"/>
      <c r="S588" s="9" t="s">
        <v>12795</v>
      </c>
      <c r="T588" s="9" t="s">
        <v>12795</v>
      </c>
      <c r="U588" s="9"/>
      <c r="V588" s="9"/>
      <c r="W588" s="9"/>
      <c r="X588" s="9"/>
      <c r="Y588" s="9"/>
      <c r="Z588" s="9"/>
      <c r="AA588" s="9"/>
      <c r="AB588" s="9"/>
      <c r="AC588" s="9"/>
      <c r="AD588" s="9"/>
    </row>
    <row r="589" spans="1:30" ht="29">
      <c r="A589" s="3" t="s">
        <v>4112</v>
      </c>
      <c r="B589" s="3" t="s">
        <v>10528</v>
      </c>
      <c r="C589" s="3" t="s">
        <v>12533</v>
      </c>
      <c r="G589" s="9" t="s">
        <v>25</v>
      </c>
      <c r="H589" s="9"/>
      <c r="I589" s="9">
        <v>1</v>
      </c>
      <c r="J589" s="9">
        <v>2</v>
      </c>
      <c r="K589" s="9" t="s">
        <v>12078</v>
      </c>
      <c r="L589" s="9" t="s">
        <v>12119</v>
      </c>
      <c r="M589" s="9"/>
      <c r="N589" s="10"/>
      <c r="O589" s="9"/>
      <c r="P589" s="9">
        <v>11843</v>
      </c>
      <c r="Q589" s="9">
        <v>1423.0954097572699</v>
      </c>
      <c r="R589" s="9"/>
      <c r="S589" s="9" t="s">
        <v>12795</v>
      </c>
      <c r="T589" s="9" t="s">
        <v>12795</v>
      </c>
      <c r="U589" s="9"/>
      <c r="V589" s="9"/>
      <c r="W589" s="9"/>
      <c r="X589" s="9"/>
      <c r="Y589" s="9"/>
      <c r="Z589" s="9"/>
      <c r="AA589" s="9"/>
      <c r="AB589" s="9"/>
      <c r="AC589" s="9"/>
      <c r="AD589" s="9"/>
    </row>
    <row r="590" spans="1:30" ht="174">
      <c r="A590" s="3" t="s">
        <v>4132</v>
      </c>
      <c r="B590" s="3" t="s">
        <v>12536</v>
      </c>
      <c r="C590" s="3" t="s">
        <v>12538</v>
      </c>
      <c r="G590" s="9" t="s">
        <v>24</v>
      </c>
      <c r="H590" s="9"/>
      <c r="I590" s="9">
        <v>1</v>
      </c>
      <c r="J590" s="9">
        <v>2</v>
      </c>
      <c r="K590" s="9" t="s">
        <v>12087</v>
      </c>
      <c r="L590" s="9" t="s">
        <v>12119</v>
      </c>
      <c r="M590" s="9"/>
      <c r="N590" s="10"/>
      <c r="O590" s="9"/>
      <c r="P590" s="9">
        <v>1966</v>
      </c>
      <c r="Q590" s="9">
        <v>236.24128815188658</v>
      </c>
      <c r="R590" s="9"/>
      <c r="S590" s="9" t="s">
        <v>12795</v>
      </c>
      <c r="T590" s="9" t="s">
        <v>12795</v>
      </c>
      <c r="U590" s="9"/>
      <c r="V590" s="9"/>
      <c r="W590" s="9"/>
      <c r="X590" s="9"/>
      <c r="Y590" s="9"/>
      <c r="Z590" s="9"/>
      <c r="AA590" s="9"/>
      <c r="AB590" s="9"/>
      <c r="AC590" s="9"/>
      <c r="AD590" s="9"/>
    </row>
    <row r="591" spans="1:30" ht="130.5">
      <c r="A591" s="3" t="s">
        <v>4133</v>
      </c>
      <c r="B591" s="3" t="s">
        <v>10565</v>
      </c>
      <c r="C591" s="3" t="s">
        <v>10567</v>
      </c>
      <c r="G591" s="9" t="s">
        <v>24</v>
      </c>
      <c r="H591" s="9"/>
      <c r="I591" s="9">
        <v>1</v>
      </c>
      <c r="J591" s="9">
        <v>3</v>
      </c>
      <c r="K591" s="9" t="s">
        <v>12078</v>
      </c>
      <c r="L591" s="9" t="s">
        <v>12079</v>
      </c>
      <c r="M591" s="9"/>
      <c r="N591" s="10"/>
      <c r="O591" s="9"/>
      <c r="P591" s="9">
        <v>11843</v>
      </c>
      <c r="Q591" s="9">
        <v>1423.0954097572699</v>
      </c>
      <c r="R591" s="9"/>
      <c r="S591" s="9" t="s">
        <v>12795</v>
      </c>
      <c r="T591" s="9" t="s">
        <v>12795</v>
      </c>
      <c r="U591" s="9"/>
      <c r="V591" s="9"/>
      <c r="W591" s="9"/>
      <c r="X591" s="9"/>
      <c r="Y591" s="9"/>
      <c r="Z591" s="9"/>
      <c r="AA591" s="9"/>
      <c r="AB591" s="9"/>
      <c r="AC591" s="9"/>
      <c r="AD591" s="9"/>
    </row>
    <row r="592" spans="1:30" ht="72.5">
      <c r="A592" s="3" t="s">
        <v>4154</v>
      </c>
      <c r="B592" s="3" t="s">
        <v>10599</v>
      </c>
      <c r="C592" s="3" t="s">
        <v>10600</v>
      </c>
      <c r="G592" s="9" t="s">
        <v>24</v>
      </c>
      <c r="H592" s="9"/>
      <c r="I592" s="9">
        <v>1</v>
      </c>
      <c r="J592" s="9">
        <v>2</v>
      </c>
      <c r="K592" s="9" t="s">
        <v>12078</v>
      </c>
      <c r="L592" s="9" t="s">
        <v>12119</v>
      </c>
      <c r="M592" s="9"/>
      <c r="N592" s="10"/>
      <c r="O592" s="9"/>
      <c r="P592" s="9">
        <v>11843</v>
      </c>
      <c r="Q592" s="9">
        <v>1423.0954097572699</v>
      </c>
      <c r="R592" s="9"/>
      <c r="S592" s="9" t="s">
        <v>12795</v>
      </c>
      <c r="T592" s="9" t="s">
        <v>12795</v>
      </c>
      <c r="U592" s="9"/>
      <c r="V592" s="9"/>
      <c r="W592" s="9"/>
      <c r="X592" s="9"/>
      <c r="Y592" s="9"/>
      <c r="Z592" s="9"/>
      <c r="AA592" s="9"/>
      <c r="AB592" s="9"/>
      <c r="AC592" s="9"/>
      <c r="AD592" s="9"/>
    </row>
    <row r="593" spans="1:30" ht="72.5">
      <c r="A593" s="3" t="s">
        <v>4154</v>
      </c>
      <c r="B593" s="3" t="s">
        <v>10599</v>
      </c>
      <c r="C593" s="3" t="s">
        <v>10601</v>
      </c>
      <c r="G593" s="9" t="s">
        <v>24</v>
      </c>
      <c r="H593" s="9"/>
      <c r="I593" s="9">
        <v>1</v>
      </c>
      <c r="J593" s="9">
        <v>3</v>
      </c>
      <c r="K593" s="9" t="s">
        <v>12094</v>
      </c>
      <c r="L593" s="9" t="s">
        <v>12079</v>
      </c>
      <c r="M593" s="9"/>
      <c r="N593" s="10"/>
      <c r="O593" s="9"/>
      <c r="P593" s="9">
        <v>1741</v>
      </c>
      <c r="Q593" s="9">
        <v>209.20451814467677</v>
      </c>
      <c r="R593" s="9"/>
      <c r="S593" s="9" t="s">
        <v>12795</v>
      </c>
      <c r="T593" s="9" t="s">
        <v>12795</v>
      </c>
      <c r="U593" s="9"/>
      <c r="V593" s="9"/>
      <c r="W593" s="9"/>
      <c r="X593" s="9"/>
      <c r="Y593" s="9"/>
      <c r="Z593" s="9"/>
      <c r="AA593" s="9"/>
      <c r="AB593" s="9"/>
      <c r="AC593" s="9"/>
      <c r="AD593" s="9"/>
    </row>
    <row r="594" spans="1:30" ht="72.5">
      <c r="A594" s="3" t="s">
        <v>4163</v>
      </c>
      <c r="B594" s="3" t="s">
        <v>10634</v>
      </c>
      <c r="C594" s="3" t="s">
        <v>10635</v>
      </c>
      <c r="G594" s="9" t="s">
        <v>24</v>
      </c>
      <c r="H594" s="9"/>
      <c r="I594" s="9">
        <v>1</v>
      </c>
      <c r="J594" s="9">
        <v>3</v>
      </c>
      <c r="K594" s="9" t="s">
        <v>12078</v>
      </c>
      <c r="L594" s="9" t="s">
        <v>12079</v>
      </c>
      <c r="M594" s="9"/>
      <c r="N594" s="10"/>
      <c r="O594" s="9"/>
      <c r="P594" s="9">
        <v>11843</v>
      </c>
      <c r="Q594" s="9">
        <v>1423.0954097572699</v>
      </c>
      <c r="R594" s="9"/>
      <c r="S594" s="9" t="s">
        <v>12795</v>
      </c>
      <c r="T594" s="9" t="s">
        <v>12795</v>
      </c>
      <c r="U594" s="9"/>
      <c r="V594" s="9"/>
      <c r="W594" s="9"/>
      <c r="X594" s="9"/>
      <c r="Y594" s="9"/>
      <c r="Z594" s="9"/>
      <c r="AA594" s="9"/>
      <c r="AB594" s="9"/>
      <c r="AC594" s="9"/>
      <c r="AD594" s="9"/>
    </row>
    <row r="595" spans="1:30" ht="58">
      <c r="A595" s="3" t="s">
        <v>4163</v>
      </c>
      <c r="B595" s="3" t="s">
        <v>12732</v>
      </c>
      <c r="C595" s="3" t="s">
        <v>12733</v>
      </c>
      <c r="E595" t="s">
        <v>20</v>
      </c>
      <c r="G595" s="9" t="s">
        <v>24</v>
      </c>
      <c r="H595" s="9"/>
      <c r="I595" s="9">
        <v>1</v>
      </c>
      <c r="J595" s="9">
        <v>3</v>
      </c>
      <c r="K595" s="9" t="s">
        <v>12096</v>
      </c>
      <c r="L595" s="9" t="s">
        <v>12079</v>
      </c>
      <c r="M595" s="9"/>
      <c r="N595" s="10"/>
      <c r="O595" s="9"/>
      <c r="P595" s="9">
        <v>1101</v>
      </c>
      <c r="Q595" s="9">
        <v>132.29992790194663</v>
      </c>
      <c r="R595" s="9"/>
      <c r="S595" s="9" t="s">
        <v>12795</v>
      </c>
      <c r="T595" s="9" t="s">
        <v>12795</v>
      </c>
      <c r="U595" s="9"/>
      <c r="V595" s="9"/>
      <c r="W595" s="9"/>
      <c r="X595" s="9"/>
      <c r="Y595" s="9"/>
      <c r="Z595" s="9"/>
      <c r="AA595" s="9"/>
      <c r="AB595" s="9"/>
      <c r="AC595" s="9"/>
      <c r="AD595" s="9"/>
    </row>
    <row r="596" spans="1:30" ht="29">
      <c r="A596" s="3" t="s">
        <v>4165</v>
      </c>
      <c r="B596" s="11" t="s">
        <v>10648</v>
      </c>
      <c r="C596" s="3" t="s">
        <v>10645</v>
      </c>
      <c r="F596" t="s">
        <v>19</v>
      </c>
      <c r="G596" s="9" t="s">
        <v>25</v>
      </c>
      <c r="H596" s="9"/>
      <c r="I596" s="9">
        <v>1</v>
      </c>
      <c r="J596" s="9">
        <v>2</v>
      </c>
      <c r="K596" s="9" t="s">
        <v>12078</v>
      </c>
      <c r="L596" s="9" t="s">
        <v>12119</v>
      </c>
      <c r="M596" s="9"/>
      <c r="N596" s="10"/>
      <c r="O596" s="9"/>
      <c r="P596" s="9">
        <v>11843</v>
      </c>
      <c r="Q596" s="9">
        <v>1423.0954097572699</v>
      </c>
      <c r="R596" s="9"/>
      <c r="S596" s="9" t="s">
        <v>12795</v>
      </c>
      <c r="T596" s="9" t="s">
        <v>12795</v>
      </c>
      <c r="U596" s="9"/>
      <c r="V596" s="9"/>
      <c r="W596" s="9"/>
      <c r="X596" s="9"/>
      <c r="Y596" s="9"/>
      <c r="Z596" s="9"/>
      <c r="AA596" s="9"/>
      <c r="AB596" s="9"/>
      <c r="AC596" s="9"/>
      <c r="AD596" s="9"/>
    </row>
    <row r="597" spans="1:30" ht="43.5">
      <c r="A597" s="3" t="s">
        <v>4165</v>
      </c>
      <c r="B597" s="3" t="s">
        <v>10649</v>
      </c>
      <c r="C597" s="3" t="s">
        <v>10650</v>
      </c>
      <c r="G597" s="9" t="s">
        <v>25</v>
      </c>
      <c r="H597" s="9"/>
      <c r="I597" s="9">
        <v>1</v>
      </c>
      <c r="J597" s="9">
        <v>3</v>
      </c>
      <c r="K597" s="9" t="s">
        <v>12078</v>
      </c>
      <c r="L597" s="9" t="s">
        <v>12079</v>
      </c>
      <c r="M597" s="9"/>
      <c r="N597" s="10"/>
      <c r="O597" s="9"/>
      <c r="P597" s="9">
        <v>11843</v>
      </c>
      <c r="Q597" s="9">
        <v>1423.0954097572699</v>
      </c>
      <c r="R597" s="9"/>
      <c r="S597" s="9" t="s">
        <v>12795</v>
      </c>
      <c r="T597" s="9" t="s">
        <v>12795</v>
      </c>
      <c r="U597" s="9"/>
      <c r="V597" s="9"/>
      <c r="W597" s="9"/>
      <c r="X597" s="9"/>
      <c r="Y597" s="9"/>
      <c r="Z597" s="9"/>
      <c r="AA597" s="9"/>
      <c r="AB597" s="9"/>
      <c r="AC597" s="9"/>
      <c r="AD597" s="9"/>
    </row>
    <row r="598" spans="1:30" ht="43.5">
      <c r="A598" s="3" t="s">
        <v>4168</v>
      </c>
      <c r="B598" s="3" t="s">
        <v>10657</v>
      </c>
      <c r="C598" s="3" t="s">
        <v>10658</v>
      </c>
      <c r="G598" s="9" t="s">
        <v>24</v>
      </c>
      <c r="H598" s="9"/>
      <c r="I598" s="9">
        <v>1</v>
      </c>
      <c r="J598" s="9">
        <v>3</v>
      </c>
      <c r="K598" s="9" t="s">
        <v>12078</v>
      </c>
      <c r="L598" s="9" t="s">
        <v>12079</v>
      </c>
      <c r="M598" s="9"/>
      <c r="N598" s="10"/>
      <c r="O598" s="9"/>
      <c r="P598" s="9">
        <v>11843</v>
      </c>
      <c r="Q598" s="9">
        <v>1423.0954097572699</v>
      </c>
      <c r="R598" s="9"/>
      <c r="S598" s="9" t="s">
        <v>12795</v>
      </c>
      <c r="T598" s="9" t="s">
        <v>12795</v>
      </c>
      <c r="U598" s="9"/>
      <c r="V598" s="9"/>
      <c r="W598" s="9"/>
      <c r="X598" s="9"/>
      <c r="Y598" s="9"/>
      <c r="Z598" s="9"/>
      <c r="AA598" s="9"/>
      <c r="AB598" s="9"/>
      <c r="AC598" s="9"/>
      <c r="AD598" s="9"/>
    </row>
    <row r="599" spans="1:30" ht="58">
      <c r="A599" s="3" t="s">
        <v>4168</v>
      </c>
      <c r="B599" s="3" t="s">
        <v>10662</v>
      </c>
      <c r="C599" s="3" t="s">
        <v>10661</v>
      </c>
      <c r="G599" s="9" t="s">
        <v>25</v>
      </c>
      <c r="H599" s="9"/>
      <c r="I599" s="9">
        <v>1</v>
      </c>
      <c r="J599" s="9">
        <v>3</v>
      </c>
      <c r="K599" s="9" t="s">
        <v>12087</v>
      </c>
      <c r="L599" s="9" t="s">
        <v>12079</v>
      </c>
      <c r="M599" s="9"/>
      <c r="N599" s="10"/>
      <c r="O599" s="9"/>
      <c r="P599" s="9">
        <v>5676</v>
      </c>
      <c r="Q599" s="9">
        <v>682.04758471521268</v>
      </c>
      <c r="R599" s="9"/>
      <c r="S599" s="9" t="s">
        <v>12795</v>
      </c>
      <c r="T599" s="9" t="s">
        <v>12795</v>
      </c>
      <c r="U599" s="9"/>
      <c r="V599" s="9"/>
      <c r="W599" s="9"/>
      <c r="X599" s="9"/>
      <c r="Y599" s="9"/>
      <c r="Z599" s="9"/>
      <c r="AA599" s="9"/>
      <c r="AB599" s="9"/>
      <c r="AC599" s="9"/>
      <c r="AD599" s="9"/>
    </row>
    <row r="600" spans="1:30" ht="58">
      <c r="A600" s="3" t="s">
        <v>4171</v>
      </c>
      <c r="B600" s="3" t="s">
        <v>10671</v>
      </c>
      <c r="C600" s="3" t="s">
        <v>10672</v>
      </c>
      <c r="E600" t="s">
        <v>20</v>
      </c>
      <c r="G600" s="9" t="s">
        <v>25</v>
      </c>
      <c r="H600" s="9"/>
      <c r="I600" s="9">
        <v>1</v>
      </c>
      <c r="J600" s="9">
        <v>5</v>
      </c>
      <c r="K600" s="9" t="s">
        <v>12094</v>
      </c>
      <c r="L600" s="9" t="s">
        <v>12079</v>
      </c>
      <c r="M600" s="9"/>
      <c r="N600" s="10"/>
      <c r="O600" s="9"/>
      <c r="P600" s="9">
        <v>4240</v>
      </c>
      <c r="Q600" s="9">
        <v>509.49291035808699</v>
      </c>
      <c r="R600" s="9"/>
      <c r="S600" s="9" t="s">
        <v>12795</v>
      </c>
      <c r="T600" s="9" t="s">
        <v>12795</v>
      </c>
      <c r="U600" s="9"/>
      <c r="V600" s="9"/>
      <c r="W600" s="9"/>
      <c r="X600" s="9"/>
      <c r="Y600" s="9"/>
      <c r="Z600" s="9"/>
      <c r="AA600" s="9"/>
      <c r="AB600" s="9"/>
      <c r="AC600" s="9"/>
      <c r="AD600" s="9"/>
    </row>
    <row r="601" spans="1:30" ht="43.5">
      <c r="A601" s="3" t="s">
        <v>4175</v>
      </c>
      <c r="B601" s="3" t="s">
        <v>10697</v>
      </c>
      <c r="C601" s="3" t="s">
        <v>10694</v>
      </c>
      <c r="G601" s="9" t="s">
        <v>25</v>
      </c>
      <c r="H601" s="9"/>
      <c r="I601" s="9">
        <v>1</v>
      </c>
      <c r="J601" s="9">
        <v>2</v>
      </c>
      <c r="K601" s="9" t="s">
        <v>12087</v>
      </c>
      <c r="L601" s="9" t="s">
        <v>12119</v>
      </c>
      <c r="M601" s="9"/>
      <c r="N601" s="10"/>
      <c r="O601" s="9"/>
      <c r="P601" s="9">
        <v>166</v>
      </c>
      <c r="Q601" s="9">
        <v>19.947128094208121</v>
      </c>
      <c r="R601" s="9"/>
      <c r="S601" s="9" t="s">
        <v>12795</v>
      </c>
      <c r="T601" s="9" t="s">
        <v>12795</v>
      </c>
      <c r="U601" s="9"/>
      <c r="V601" s="9"/>
      <c r="W601" s="9"/>
      <c r="X601" s="9"/>
      <c r="Y601" s="9"/>
      <c r="Z601" s="9"/>
      <c r="AA601" s="9"/>
      <c r="AB601" s="9"/>
      <c r="AC601" s="9"/>
      <c r="AD601" s="9"/>
    </row>
    <row r="602" spans="1:30" ht="29">
      <c r="A602" s="3" t="s">
        <v>4179</v>
      </c>
      <c r="B602" s="3" t="s">
        <v>10723</v>
      </c>
      <c r="C602" s="3" t="s">
        <v>10722</v>
      </c>
      <c r="G602" s="9" t="s">
        <v>24</v>
      </c>
      <c r="H602" s="9"/>
      <c r="I602" s="9">
        <v>1</v>
      </c>
      <c r="J602" s="9">
        <v>3</v>
      </c>
      <c r="K602" s="9" t="s">
        <v>12078</v>
      </c>
      <c r="L602" s="9" t="s">
        <v>12079</v>
      </c>
      <c r="M602" s="9"/>
      <c r="N602" s="10"/>
      <c r="O602" s="9"/>
      <c r="P602" s="9">
        <v>11843</v>
      </c>
      <c r="Q602" s="9">
        <v>1423.0954097572699</v>
      </c>
      <c r="R602" s="9"/>
      <c r="S602" s="9" t="s">
        <v>12795</v>
      </c>
      <c r="T602" s="9" t="s">
        <v>12795</v>
      </c>
      <c r="U602" s="9"/>
      <c r="V602" s="9"/>
      <c r="W602" s="9"/>
      <c r="X602" s="9"/>
      <c r="Y602" s="9"/>
      <c r="Z602" s="9"/>
      <c r="AA602" s="9"/>
      <c r="AB602" s="9"/>
      <c r="AC602" s="9"/>
      <c r="AD602" s="9"/>
    </row>
    <row r="603" spans="1:30" ht="43.5">
      <c r="A603" s="3" t="s">
        <v>4183</v>
      </c>
      <c r="B603" s="3" t="s">
        <v>10728</v>
      </c>
      <c r="C603" s="3" t="s">
        <v>10727</v>
      </c>
      <c r="G603" s="9" t="s">
        <v>24</v>
      </c>
      <c r="H603" s="9"/>
      <c r="I603" s="9">
        <v>1</v>
      </c>
      <c r="J603" s="9">
        <v>2</v>
      </c>
      <c r="K603" s="9" t="s">
        <v>12096</v>
      </c>
      <c r="L603" s="9" t="s">
        <v>12119</v>
      </c>
      <c r="M603" s="9"/>
      <c r="N603" s="10"/>
      <c r="O603" s="9"/>
      <c r="P603" s="9">
        <v>1294</v>
      </c>
      <c r="Q603" s="9">
        <v>155.49146839701996</v>
      </c>
      <c r="R603" s="9"/>
      <c r="S603" s="9" t="s">
        <v>12795</v>
      </c>
      <c r="T603" s="9" t="s">
        <v>12795</v>
      </c>
      <c r="U603" s="9"/>
      <c r="V603" s="9"/>
      <c r="W603" s="9"/>
      <c r="X603" s="9"/>
      <c r="Y603" s="9"/>
      <c r="Z603" s="9"/>
      <c r="AA603" s="9"/>
      <c r="AB603" s="9"/>
      <c r="AC603" s="9"/>
      <c r="AD603" s="9"/>
    </row>
    <row r="604" spans="1:30" ht="116">
      <c r="A604" s="3" t="s">
        <v>4184</v>
      </c>
      <c r="B604" s="3" t="s">
        <v>12552</v>
      </c>
      <c r="C604" s="3" t="s">
        <v>12551</v>
      </c>
      <c r="G604" s="9" t="s">
        <v>25</v>
      </c>
      <c r="H604" s="9"/>
      <c r="I604" s="9">
        <v>1</v>
      </c>
      <c r="J604" s="9">
        <v>4</v>
      </c>
      <c r="K604" s="9" t="s">
        <v>12096</v>
      </c>
      <c r="L604" s="9" t="s">
        <v>12079</v>
      </c>
      <c r="M604" s="9"/>
      <c r="N604" s="10"/>
      <c r="O604" s="9"/>
      <c r="P604" s="9">
        <v>310</v>
      </c>
      <c r="Q604" s="9">
        <v>37.250660898822396</v>
      </c>
      <c r="R604" s="9"/>
      <c r="S604" s="9" t="s">
        <v>12795</v>
      </c>
      <c r="T604" s="9" t="s">
        <v>12795</v>
      </c>
      <c r="U604" s="9"/>
      <c r="V604" s="9"/>
      <c r="W604" s="9"/>
      <c r="X604" s="9"/>
      <c r="Y604" s="9"/>
      <c r="Z604" s="9"/>
      <c r="AA604" s="9"/>
      <c r="AB604" s="9"/>
      <c r="AC604" s="9"/>
      <c r="AD604" s="9"/>
    </row>
    <row r="605" spans="1:30" ht="58">
      <c r="A605" s="3" t="s">
        <v>4185</v>
      </c>
      <c r="B605" s="3" t="s">
        <v>10734</v>
      </c>
      <c r="C605" s="3" t="s">
        <v>10733</v>
      </c>
      <c r="G605" s="9" t="s">
        <v>24</v>
      </c>
      <c r="H605" s="9"/>
      <c r="I605" s="9">
        <v>1</v>
      </c>
      <c r="J605" s="9">
        <v>5</v>
      </c>
      <c r="K605" s="9" t="s">
        <v>12094</v>
      </c>
      <c r="L605" s="9" t="s">
        <v>12073</v>
      </c>
      <c r="M605" s="9" t="s">
        <v>12142</v>
      </c>
      <c r="N605" s="10" t="s">
        <v>12143</v>
      </c>
      <c r="O605" s="9"/>
      <c r="P605" s="9">
        <v>4240</v>
      </c>
      <c r="Q605" s="9">
        <v>509.49291035808699</v>
      </c>
      <c r="R605" s="9"/>
      <c r="S605" s="9" t="s">
        <v>12795</v>
      </c>
      <c r="T605" s="9" t="s">
        <v>12795</v>
      </c>
      <c r="U605" s="9"/>
      <c r="V605" s="9"/>
      <c r="W605" s="9"/>
      <c r="X605" s="9"/>
      <c r="Y605" s="9"/>
      <c r="Z605" s="9"/>
      <c r="AA605" s="9"/>
      <c r="AB605" s="9"/>
      <c r="AC605" s="9"/>
      <c r="AD605" s="9"/>
    </row>
    <row r="606" spans="1:30" ht="43.5">
      <c r="A606" s="3" t="s">
        <v>4206</v>
      </c>
      <c r="B606" s="3" t="s">
        <v>10775</v>
      </c>
      <c r="C606" s="3" t="s">
        <v>10774</v>
      </c>
      <c r="G606" s="9" t="s">
        <v>25</v>
      </c>
      <c r="H606" s="9"/>
      <c r="I606" s="9">
        <v>1</v>
      </c>
      <c r="J606" s="9">
        <v>2</v>
      </c>
      <c r="K606" s="9" t="s">
        <v>12087</v>
      </c>
      <c r="L606" s="9" t="s">
        <v>12119</v>
      </c>
      <c r="M606" s="9"/>
      <c r="N606" s="10"/>
      <c r="O606" s="9"/>
      <c r="P606" s="9">
        <v>1966</v>
      </c>
      <c r="Q606" s="9">
        <v>236.24128815188658</v>
      </c>
      <c r="R606" s="9"/>
      <c r="S606" s="9" t="s">
        <v>12795</v>
      </c>
      <c r="T606" s="9" t="s">
        <v>12795</v>
      </c>
      <c r="U606" s="9"/>
      <c r="V606" s="9"/>
      <c r="W606" s="9"/>
      <c r="X606" s="9"/>
      <c r="Y606" s="9"/>
      <c r="Z606" s="9"/>
      <c r="AA606" s="9"/>
      <c r="AB606" s="9"/>
      <c r="AC606" s="9"/>
      <c r="AD606" s="9"/>
    </row>
    <row r="607" spans="1:30" ht="43.5">
      <c r="A607" s="3" t="s">
        <v>4238</v>
      </c>
      <c r="B607" s="3" t="s">
        <v>10833</v>
      </c>
      <c r="C607" s="3" t="s">
        <v>10832</v>
      </c>
      <c r="G607" s="9" t="s">
        <v>25</v>
      </c>
      <c r="H607" s="9"/>
      <c r="I607" s="9">
        <v>1</v>
      </c>
      <c r="J607" s="9">
        <v>5</v>
      </c>
      <c r="K607" s="9" t="s">
        <v>12094</v>
      </c>
      <c r="L607" s="9" t="s">
        <v>12079</v>
      </c>
      <c r="M607" s="9"/>
      <c r="N607" s="10"/>
      <c r="O607" s="9"/>
      <c r="P607" s="9">
        <v>4240</v>
      </c>
      <c r="Q607" s="9">
        <v>509.49291035808699</v>
      </c>
      <c r="R607" s="9"/>
      <c r="S607" s="9" t="s">
        <v>12795</v>
      </c>
      <c r="T607" s="9" t="s">
        <v>12795</v>
      </c>
      <c r="U607" s="9"/>
      <c r="V607" s="9"/>
      <c r="W607" s="9"/>
      <c r="X607" s="9"/>
      <c r="Y607" s="9"/>
      <c r="Z607" s="9"/>
      <c r="AA607" s="9"/>
      <c r="AB607" s="9"/>
      <c r="AC607" s="9"/>
      <c r="AD607" s="9"/>
    </row>
    <row r="608" spans="1:30" ht="58">
      <c r="A608" s="3" t="s">
        <v>4242</v>
      </c>
      <c r="B608" s="3" t="s">
        <v>10836</v>
      </c>
      <c r="C608" s="3" t="s">
        <v>10835</v>
      </c>
      <c r="G608" s="9" t="s">
        <v>25</v>
      </c>
      <c r="H608" s="9"/>
      <c r="I608" s="9">
        <v>1</v>
      </c>
      <c r="J608" s="9">
        <v>3</v>
      </c>
      <c r="K608" s="9" t="s">
        <v>12087</v>
      </c>
      <c r="L608" s="9" t="s">
        <v>12079</v>
      </c>
      <c r="M608" s="9"/>
      <c r="N608" s="10"/>
      <c r="O608" s="9"/>
      <c r="P608" s="9">
        <v>5676</v>
      </c>
      <c r="Q608" s="9">
        <v>682.04758471521268</v>
      </c>
      <c r="R608" s="9"/>
      <c r="S608" s="9" t="s">
        <v>12795</v>
      </c>
      <c r="T608" s="9" t="s">
        <v>12795</v>
      </c>
      <c r="U608" s="9"/>
      <c r="V608" s="9"/>
      <c r="W608" s="9"/>
      <c r="X608" s="9"/>
      <c r="Y608" s="9"/>
      <c r="Z608" s="9"/>
      <c r="AA608" s="9"/>
      <c r="AB608" s="9"/>
      <c r="AC608" s="9"/>
      <c r="AD608" s="9"/>
    </row>
    <row r="609" spans="1:30" ht="43.5">
      <c r="A609" s="3" t="s">
        <v>4265</v>
      </c>
      <c r="B609" s="3" t="s">
        <v>10872</v>
      </c>
      <c r="C609" s="3" t="s">
        <v>10875</v>
      </c>
      <c r="G609" s="9" t="s">
        <v>24</v>
      </c>
      <c r="H609" s="9"/>
      <c r="I609" s="9">
        <v>1</v>
      </c>
      <c r="J609" s="9">
        <v>3</v>
      </c>
      <c r="K609" s="9" t="s">
        <v>12078</v>
      </c>
      <c r="L609" s="9" t="s">
        <v>12079</v>
      </c>
      <c r="M609" s="9"/>
      <c r="N609" s="10"/>
      <c r="O609" s="9"/>
      <c r="P609" s="9">
        <v>11843</v>
      </c>
      <c r="Q609" s="9">
        <v>1423.0954097572699</v>
      </c>
      <c r="R609" s="9"/>
      <c r="S609" s="9" t="s">
        <v>12795</v>
      </c>
      <c r="T609" s="9" t="s">
        <v>12795</v>
      </c>
      <c r="U609" s="9"/>
      <c r="V609" s="9"/>
      <c r="W609" s="9"/>
      <c r="X609" s="9"/>
      <c r="Y609" s="9"/>
      <c r="Z609" s="9"/>
      <c r="AA609" s="9"/>
      <c r="AB609" s="9"/>
      <c r="AC609" s="9"/>
      <c r="AD609" s="9"/>
    </row>
    <row r="610" spans="1:30" ht="58">
      <c r="A610" s="3" t="s">
        <v>4268</v>
      </c>
      <c r="B610" s="3" t="s">
        <v>10893</v>
      </c>
      <c r="C610" s="3" t="s">
        <v>10894</v>
      </c>
      <c r="G610" s="9" t="s">
        <v>24</v>
      </c>
      <c r="H610" s="9"/>
      <c r="I610" s="9">
        <v>1</v>
      </c>
      <c r="J610" s="9">
        <v>1</v>
      </c>
      <c r="K610" s="9" t="s">
        <v>12078</v>
      </c>
      <c r="L610" s="9" t="s">
        <v>12119</v>
      </c>
      <c r="M610" s="9"/>
      <c r="N610" s="10"/>
      <c r="O610" s="9"/>
      <c r="P610" s="9">
        <v>11843</v>
      </c>
      <c r="Q610" s="9">
        <v>1423.0954097572699</v>
      </c>
      <c r="R610" s="9"/>
      <c r="S610" s="9" t="s">
        <v>12795</v>
      </c>
      <c r="T610" s="9" t="s">
        <v>12795</v>
      </c>
      <c r="U610" s="9"/>
      <c r="V610" s="9"/>
      <c r="W610" s="9"/>
      <c r="X610" s="9"/>
      <c r="Y610" s="9"/>
      <c r="Z610" s="9"/>
      <c r="AA610" s="9"/>
      <c r="AB610" s="9"/>
      <c r="AC610" s="9"/>
      <c r="AD610" s="9"/>
    </row>
    <row r="611" spans="1:30" ht="58">
      <c r="A611" s="3" t="s">
        <v>4270</v>
      </c>
      <c r="B611" s="3" t="s">
        <v>10902</v>
      </c>
      <c r="C611" s="3" t="s">
        <v>10903</v>
      </c>
      <c r="G611" s="9" t="s">
        <v>24</v>
      </c>
      <c r="H611" s="9"/>
      <c r="I611" s="9">
        <v>1</v>
      </c>
      <c r="J611" s="9">
        <v>2</v>
      </c>
      <c r="K611" s="9" t="s">
        <v>12087</v>
      </c>
      <c r="L611" s="9" t="s">
        <v>12119</v>
      </c>
      <c r="M611" s="9"/>
      <c r="N611" s="10"/>
      <c r="O611" s="9"/>
      <c r="P611" s="9">
        <v>166</v>
      </c>
      <c r="Q611" s="9">
        <v>19.947128094208121</v>
      </c>
      <c r="R611" s="9"/>
      <c r="S611" s="9" t="s">
        <v>12795</v>
      </c>
      <c r="T611" s="9" t="s">
        <v>12795</v>
      </c>
      <c r="U611" s="9"/>
      <c r="V611" s="9"/>
      <c r="W611" s="9"/>
      <c r="X611" s="9"/>
      <c r="Y611" s="9"/>
      <c r="Z611" s="9"/>
      <c r="AA611" s="9"/>
      <c r="AB611" s="9"/>
      <c r="AC611" s="9"/>
      <c r="AD611" s="9"/>
    </row>
    <row r="612" spans="1:30" ht="29">
      <c r="A612" s="3" t="s">
        <v>4270</v>
      </c>
      <c r="B612" s="3" t="s">
        <v>10905</v>
      </c>
      <c r="C612" s="3" t="s">
        <v>10904</v>
      </c>
      <c r="G612" s="9" t="s">
        <v>24</v>
      </c>
      <c r="H612" s="9"/>
      <c r="I612" s="9">
        <v>1</v>
      </c>
      <c r="J612" s="9">
        <v>3</v>
      </c>
      <c r="K612" s="9" t="s">
        <v>12078</v>
      </c>
      <c r="L612" s="9" t="s">
        <v>12079</v>
      </c>
      <c r="M612" s="9"/>
      <c r="N612" s="10"/>
      <c r="O612" s="9"/>
      <c r="P612" s="9">
        <v>11843</v>
      </c>
      <c r="Q612" s="9">
        <v>1423.0954097572699</v>
      </c>
      <c r="R612" s="9"/>
      <c r="S612" s="9" t="s">
        <v>12795</v>
      </c>
      <c r="T612" s="9" t="s">
        <v>12795</v>
      </c>
      <c r="U612" s="9"/>
      <c r="V612" s="9"/>
      <c r="W612" s="9"/>
      <c r="X612" s="9"/>
      <c r="Y612" s="9"/>
      <c r="Z612" s="9"/>
      <c r="AA612" s="9"/>
      <c r="AB612" s="9"/>
      <c r="AC612" s="9"/>
      <c r="AD612" s="9"/>
    </row>
    <row r="613" spans="1:30" ht="29">
      <c r="A613" s="3" t="s">
        <v>4293</v>
      </c>
      <c r="B613" s="3" t="s">
        <v>10936</v>
      </c>
      <c r="C613" s="3" t="s">
        <v>10935</v>
      </c>
      <c r="G613" s="9" t="s">
        <v>24</v>
      </c>
      <c r="H613" s="9"/>
      <c r="I613" s="9">
        <v>1</v>
      </c>
      <c r="J613" s="9">
        <v>3</v>
      </c>
      <c r="K613" s="9" t="s">
        <v>12078</v>
      </c>
      <c r="L613" s="9" t="s">
        <v>12079</v>
      </c>
      <c r="M613" s="9"/>
      <c r="N613" s="10"/>
      <c r="O613" s="9"/>
      <c r="P613" s="9">
        <v>11843</v>
      </c>
      <c r="Q613" s="9">
        <v>1423.0954097572699</v>
      </c>
      <c r="R613" s="9"/>
      <c r="S613" s="9" t="s">
        <v>12795</v>
      </c>
      <c r="T613" s="9" t="s">
        <v>12795</v>
      </c>
      <c r="U613" s="9"/>
      <c r="V613" s="9"/>
      <c r="W613" s="9"/>
      <c r="X613" s="9"/>
      <c r="Y613" s="9"/>
      <c r="Z613" s="9"/>
      <c r="AA613" s="9"/>
      <c r="AB613" s="9"/>
      <c r="AC613" s="9"/>
      <c r="AD613" s="9"/>
    </row>
    <row r="614" spans="1:30" ht="72.5">
      <c r="A614" s="3" t="s">
        <v>4309</v>
      </c>
      <c r="B614" s="3" t="s">
        <v>10962</v>
      </c>
      <c r="C614" s="3" t="s">
        <v>10961</v>
      </c>
      <c r="G614" s="9" t="s">
        <v>25</v>
      </c>
      <c r="H614" s="9"/>
      <c r="I614" s="9">
        <v>1</v>
      </c>
      <c r="J614" s="9">
        <v>5</v>
      </c>
      <c r="K614" s="9" t="s">
        <v>12094</v>
      </c>
      <c r="L614" s="9" t="s">
        <v>12073</v>
      </c>
      <c r="M614" s="9" t="s">
        <v>12142</v>
      </c>
      <c r="N614" s="10" t="s">
        <v>12143</v>
      </c>
      <c r="O614" s="9"/>
      <c r="P614" s="9">
        <v>4240</v>
      </c>
      <c r="Q614" s="9">
        <v>509.49291035808699</v>
      </c>
      <c r="R614" s="9"/>
      <c r="S614" s="9" t="s">
        <v>12795</v>
      </c>
      <c r="T614" s="9" t="s">
        <v>12795</v>
      </c>
      <c r="U614" s="9"/>
      <c r="V614" s="9"/>
      <c r="W614" s="9"/>
      <c r="X614" s="9"/>
      <c r="Y614" s="9"/>
      <c r="Z614" s="9"/>
      <c r="AA614" s="9"/>
      <c r="AB614" s="9"/>
      <c r="AC614" s="9"/>
      <c r="AD614" s="9"/>
    </row>
    <row r="615" spans="1:30" ht="58">
      <c r="A615" s="3" t="s">
        <v>4317</v>
      </c>
      <c r="B615" s="3" t="s">
        <v>10983</v>
      </c>
      <c r="C615" s="3" t="s">
        <v>10982</v>
      </c>
      <c r="E615" t="s">
        <v>20</v>
      </c>
      <c r="G615" s="9" t="s">
        <v>25</v>
      </c>
      <c r="H615" s="9"/>
      <c r="I615" s="9">
        <v>1</v>
      </c>
      <c r="J615" s="9">
        <v>3</v>
      </c>
      <c r="K615" s="9" t="s">
        <v>12087</v>
      </c>
      <c r="L615" s="9" t="s">
        <v>12079</v>
      </c>
      <c r="M615" s="9"/>
      <c r="N615" s="10"/>
      <c r="O615" s="9"/>
      <c r="P615" s="9">
        <v>309</v>
      </c>
      <c r="Q615" s="9">
        <v>37.130497476568131</v>
      </c>
      <c r="R615" s="9"/>
      <c r="S615" s="9" t="s">
        <v>12795</v>
      </c>
      <c r="T615" s="9" t="s">
        <v>12795</v>
      </c>
      <c r="U615" s="9"/>
      <c r="V615" s="9"/>
      <c r="W615" s="9"/>
      <c r="X615" s="9"/>
      <c r="Y615" s="9"/>
      <c r="Z615" s="9"/>
      <c r="AA615" s="9"/>
      <c r="AB615" s="9"/>
      <c r="AC615" s="9"/>
      <c r="AD615" s="9"/>
    </row>
    <row r="616" spans="1:30" ht="43.5">
      <c r="A616" s="3" t="s">
        <v>4321</v>
      </c>
      <c r="B616" s="3" t="s">
        <v>11002</v>
      </c>
      <c r="C616" s="3" t="s">
        <v>11001</v>
      </c>
      <c r="G616" s="9" t="s">
        <v>25</v>
      </c>
      <c r="H616" s="9"/>
      <c r="I616" s="9">
        <v>1</v>
      </c>
      <c r="J616" s="9">
        <v>3</v>
      </c>
      <c r="K616" s="9" t="s">
        <v>12094</v>
      </c>
      <c r="L616" s="9" t="s">
        <v>12079</v>
      </c>
      <c r="M616" s="9"/>
      <c r="N616" s="10"/>
      <c r="O616" s="9"/>
      <c r="P616" s="9">
        <v>1741</v>
      </c>
      <c r="Q616" s="9">
        <v>209.20451814467677</v>
      </c>
      <c r="R616" s="9"/>
      <c r="S616" s="9" t="s">
        <v>12795</v>
      </c>
      <c r="T616" s="9" t="s">
        <v>12795</v>
      </c>
      <c r="U616" s="9"/>
      <c r="V616" s="9"/>
      <c r="W616" s="9"/>
      <c r="X616" s="9"/>
      <c r="Y616" s="9"/>
      <c r="Z616" s="9"/>
      <c r="AA616" s="9"/>
      <c r="AB616" s="9"/>
      <c r="AC616" s="9"/>
      <c r="AD616" s="9"/>
    </row>
    <row r="617" spans="1:30" ht="29">
      <c r="A617" s="3" t="s">
        <v>4323</v>
      </c>
      <c r="B617" s="3" t="s">
        <v>11006</v>
      </c>
      <c r="C617" s="3" t="s">
        <v>11005</v>
      </c>
      <c r="G617" s="9" t="s">
        <v>24</v>
      </c>
      <c r="H617" s="9"/>
      <c r="I617" s="9">
        <v>1</v>
      </c>
      <c r="J617" s="9">
        <v>3</v>
      </c>
      <c r="K617" s="9" t="s">
        <v>12078</v>
      </c>
      <c r="L617" s="9" t="s">
        <v>12079</v>
      </c>
      <c r="M617" s="9"/>
      <c r="N617" s="10"/>
      <c r="O617" s="9"/>
      <c r="P617" s="9">
        <v>11843</v>
      </c>
      <c r="Q617" s="9">
        <v>1423.0954097572699</v>
      </c>
      <c r="R617" s="9"/>
      <c r="S617" s="9" t="s">
        <v>12795</v>
      </c>
      <c r="T617" s="9" t="s">
        <v>12795</v>
      </c>
      <c r="U617" s="9"/>
      <c r="V617" s="9"/>
      <c r="W617" s="9"/>
      <c r="X617" s="9"/>
      <c r="Y617" s="9"/>
      <c r="Z617" s="9"/>
      <c r="AA617" s="9"/>
      <c r="AB617" s="9"/>
      <c r="AC617" s="9"/>
      <c r="AD617" s="9"/>
    </row>
    <row r="618" spans="1:30" ht="29">
      <c r="A618" s="3" t="s">
        <v>4327</v>
      </c>
      <c r="B618" s="3" t="s">
        <v>11010</v>
      </c>
      <c r="C618" s="3" t="s">
        <v>11011</v>
      </c>
      <c r="G618" s="9" t="s">
        <v>25</v>
      </c>
      <c r="H618" s="9"/>
      <c r="I618" s="9">
        <v>1</v>
      </c>
      <c r="J618" s="9">
        <v>3</v>
      </c>
      <c r="K618" s="9" t="s">
        <v>12087</v>
      </c>
      <c r="L618" s="9" t="s">
        <v>12079</v>
      </c>
      <c r="M618" s="9"/>
      <c r="N618" s="10"/>
      <c r="O618" s="9"/>
      <c r="P618" s="9">
        <v>356</v>
      </c>
      <c r="Q618" s="9">
        <v>42.778178322518627</v>
      </c>
      <c r="R618" s="9"/>
      <c r="S618" s="9" t="s">
        <v>12795</v>
      </c>
      <c r="T618" s="9" t="s">
        <v>12795</v>
      </c>
      <c r="U618" s="9"/>
      <c r="V618" s="9"/>
      <c r="W618" s="9"/>
      <c r="X618" s="9"/>
      <c r="Y618" s="9"/>
      <c r="Z618" s="9"/>
      <c r="AA618" s="9"/>
      <c r="AB618" s="9"/>
      <c r="AC618" s="9"/>
      <c r="AD618" s="9"/>
    </row>
    <row r="619" spans="1:30" ht="43.5">
      <c r="A619" s="3" t="s">
        <v>4328</v>
      </c>
      <c r="B619" s="3" t="s">
        <v>11018</v>
      </c>
      <c r="C619" s="3" t="s">
        <v>11017</v>
      </c>
      <c r="G619" s="9" t="s">
        <v>25</v>
      </c>
      <c r="H619" s="9"/>
      <c r="I619" s="9">
        <v>1</v>
      </c>
      <c r="J619" s="9">
        <v>3</v>
      </c>
      <c r="K619" s="9" t="s">
        <v>12094</v>
      </c>
      <c r="L619" s="9" t="s">
        <v>12079</v>
      </c>
      <c r="M619" s="9"/>
      <c r="N619" s="10"/>
      <c r="O619" s="9"/>
      <c r="P619" s="9">
        <v>1496</v>
      </c>
      <c r="Q619" s="9">
        <v>179.76447969238166</v>
      </c>
      <c r="R619" s="9"/>
      <c r="S619" s="9" t="s">
        <v>12795</v>
      </c>
      <c r="T619" s="9" t="s">
        <v>12795</v>
      </c>
      <c r="U619" s="9"/>
      <c r="V619" s="9"/>
      <c r="W619" s="9"/>
      <c r="X619" s="9"/>
      <c r="Y619" s="9"/>
      <c r="Z619" s="9"/>
      <c r="AA619" s="9"/>
      <c r="AB619" s="9"/>
      <c r="AC619" s="9"/>
      <c r="AD619" s="9"/>
    </row>
    <row r="620" spans="1:30" ht="29">
      <c r="A620" s="3" t="s">
        <v>4331</v>
      </c>
      <c r="B620" s="3" t="s">
        <v>11025</v>
      </c>
      <c r="C620" s="3" t="s">
        <v>11024</v>
      </c>
      <c r="G620" s="9" t="s">
        <v>24</v>
      </c>
      <c r="H620" s="9"/>
      <c r="I620" s="9">
        <v>1</v>
      </c>
      <c r="J620" s="9">
        <v>2</v>
      </c>
      <c r="K620" s="9" t="s">
        <v>12078</v>
      </c>
      <c r="L620" s="9" t="s">
        <v>12119</v>
      </c>
      <c r="M620" s="9"/>
      <c r="N620" s="10"/>
      <c r="O620" s="9"/>
      <c r="P620" s="9">
        <v>11843</v>
      </c>
      <c r="Q620" s="9">
        <v>1423.0954097572699</v>
      </c>
      <c r="R620" s="9"/>
      <c r="S620" s="9" t="s">
        <v>12795</v>
      </c>
      <c r="T620" s="9" t="s">
        <v>12795</v>
      </c>
      <c r="U620" s="9"/>
      <c r="V620" s="9"/>
      <c r="W620" s="9"/>
      <c r="X620" s="9"/>
      <c r="Y620" s="9"/>
      <c r="Z620" s="9"/>
      <c r="AA620" s="9"/>
      <c r="AB620" s="9"/>
      <c r="AC620" s="9"/>
      <c r="AD620" s="9"/>
    </row>
    <row r="621" spans="1:30" ht="43.5">
      <c r="A621" s="3" t="s">
        <v>4347</v>
      </c>
      <c r="B621" s="3" t="s">
        <v>11069</v>
      </c>
      <c r="C621" s="3" t="s">
        <v>11070</v>
      </c>
      <c r="G621" s="9" t="s">
        <v>25</v>
      </c>
      <c r="H621" s="9"/>
      <c r="I621" s="9">
        <v>1</v>
      </c>
      <c r="J621" s="9">
        <v>3</v>
      </c>
      <c r="K621" s="9" t="s">
        <v>12096</v>
      </c>
      <c r="L621" s="9" t="s">
        <v>12079</v>
      </c>
      <c r="M621" s="9"/>
      <c r="N621" s="10"/>
      <c r="O621" s="9"/>
      <c r="P621" s="9">
        <v>560</v>
      </c>
      <c r="Q621" s="9">
        <v>67.291516462388842</v>
      </c>
      <c r="R621" s="9"/>
      <c r="S621" s="9" t="s">
        <v>12795</v>
      </c>
      <c r="T621" s="9" t="s">
        <v>12795</v>
      </c>
      <c r="U621" s="9"/>
      <c r="V621" s="9"/>
      <c r="W621" s="9"/>
      <c r="X621" s="9"/>
      <c r="Y621" s="9"/>
      <c r="Z621" s="9"/>
      <c r="AA621" s="9"/>
      <c r="AB621" s="9"/>
      <c r="AC621" s="9"/>
      <c r="AD621" s="9"/>
    </row>
    <row r="622" spans="1:30" ht="43.5">
      <c r="A622" s="3" t="s">
        <v>4359</v>
      </c>
      <c r="B622" s="3" t="s">
        <v>11091</v>
      </c>
      <c r="C622" s="3" t="s">
        <v>11094</v>
      </c>
      <c r="G622" s="9" t="s">
        <v>24</v>
      </c>
      <c r="H622" s="9"/>
      <c r="I622" s="9">
        <v>1</v>
      </c>
      <c r="J622" s="9">
        <v>3</v>
      </c>
      <c r="K622" s="9" t="s">
        <v>12078</v>
      </c>
      <c r="L622" s="9" t="s">
        <v>12079</v>
      </c>
      <c r="M622" s="9"/>
      <c r="N622" s="10"/>
      <c r="O622" s="9"/>
      <c r="P622" s="9">
        <v>11843</v>
      </c>
      <c r="Q622" s="9">
        <v>1423.0954097572699</v>
      </c>
      <c r="R622" s="9"/>
      <c r="S622" s="9" t="s">
        <v>12795</v>
      </c>
      <c r="T622" s="9" t="s">
        <v>12795</v>
      </c>
      <c r="U622" s="9"/>
      <c r="V622" s="9"/>
      <c r="W622" s="9"/>
      <c r="X622" s="9"/>
      <c r="Y622" s="9"/>
      <c r="Z622" s="9"/>
      <c r="AA622" s="9"/>
      <c r="AB622" s="9"/>
      <c r="AC622" s="9"/>
      <c r="AD622" s="9"/>
    </row>
    <row r="623" spans="1:30" ht="43.5">
      <c r="A623" s="3" t="s">
        <v>4367</v>
      </c>
      <c r="B623" s="3" t="s">
        <v>11122</v>
      </c>
      <c r="C623" s="3" t="s">
        <v>11123</v>
      </c>
      <c r="G623" s="9" t="s">
        <v>25</v>
      </c>
      <c r="H623" s="9"/>
      <c r="I623" s="9">
        <v>1</v>
      </c>
      <c r="J623" s="9">
        <v>2</v>
      </c>
      <c r="K623" s="9" t="s">
        <v>12087</v>
      </c>
      <c r="L623" s="9" t="s">
        <v>12119</v>
      </c>
      <c r="M623" s="9"/>
      <c r="N623" s="10"/>
      <c r="O623" s="9"/>
      <c r="P623" s="9">
        <v>166</v>
      </c>
      <c r="Q623" s="9">
        <v>19.947128094208121</v>
      </c>
      <c r="R623" s="9"/>
      <c r="S623" s="9" t="s">
        <v>12795</v>
      </c>
      <c r="T623" s="9" t="s">
        <v>12795</v>
      </c>
      <c r="U623" s="9"/>
      <c r="V623" s="9"/>
      <c r="W623" s="9"/>
      <c r="X623" s="9"/>
      <c r="Y623" s="9"/>
      <c r="Z623" s="9"/>
      <c r="AA623" s="9"/>
      <c r="AB623" s="9"/>
      <c r="AC623" s="9"/>
      <c r="AD623" s="9"/>
    </row>
    <row r="624" spans="1:30" ht="87">
      <c r="A624" s="3" t="s">
        <v>4370</v>
      </c>
      <c r="B624" s="3" t="s">
        <v>11133</v>
      </c>
      <c r="C624" s="3" t="s">
        <v>11134</v>
      </c>
      <c r="G624" s="9" t="s">
        <v>24</v>
      </c>
      <c r="H624" s="9"/>
      <c r="I624" s="9">
        <v>1</v>
      </c>
      <c r="J624" s="9">
        <v>2</v>
      </c>
      <c r="K624" s="9" t="s">
        <v>12096</v>
      </c>
      <c r="L624" s="9" t="s">
        <v>12119</v>
      </c>
      <c r="M624" s="9"/>
      <c r="N624" s="10"/>
      <c r="O624" s="9" t="s">
        <v>12074</v>
      </c>
      <c r="P624" s="9">
        <v>1294</v>
      </c>
      <c r="Q624" s="9">
        <v>155.49146839701996</v>
      </c>
      <c r="R624" s="9"/>
      <c r="S624" s="9" t="s">
        <v>12795</v>
      </c>
      <c r="T624" s="9" t="s">
        <v>12795</v>
      </c>
      <c r="U624" s="9"/>
      <c r="V624" s="9"/>
      <c r="W624" s="9"/>
      <c r="X624" s="9"/>
      <c r="Y624" s="9"/>
      <c r="Z624" s="9"/>
      <c r="AA624" s="9"/>
      <c r="AB624" s="9"/>
      <c r="AC624" s="9"/>
      <c r="AD624" s="9"/>
    </row>
    <row r="625" spans="1:30" ht="58">
      <c r="A625" s="3" t="s">
        <v>4376</v>
      </c>
      <c r="B625" s="3" t="s">
        <v>11155</v>
      </c>
      <c r="C625" s="3" t="s">
        <v>11154</v>
      </c>
      <c r="G625" s="9" t="s">
        <v>25</v>
      </c>
      <c r="H625" s="9"/>
      <c r="I625" s="9">
        <v>1</v>
      </c>
      <c r="J625" s="9">
        <v>2</v>
      </c>
      <c r="K625" s="9" t="s">
        <v>12087</v>
      </c>
      <c r="L625" s="9" t="s">
        <v>12119</v>
      </c>
      <c r="M625" s="9"/>
      <c r="N625" s="10"/>
      <c r="O625" s="9"/>
      <c r="P625" s="9">
        <v>1966</v>
      </c>
      <c r="Q625" s="9">
        <v>236.24128815188658</v>
      </c>
      <c r="R625" s="9"/>
      <c r="S625" s="9" t="s">
        <v>12795</v>
      </c>
      <c r="T625" s="9" t="s">
        <v>12795</v>
      </c>
      <c r="U625" s="9"/>
      <c r="V625" s="9"/>
      <c r="W625" s="9"/>
      <c r="X625" s="9"/>
      <c r="Y625" s="9"/>
      <c r="Z625" s="9"/>
      <c r="AA625" s="9"/>
      <c r="AB625" s="9"/>
      <c r="AC625" s="9"/>
      <c r="AD625" s="9"/>
    </row>
    <row r="626" spans="1:30" ht="43.5">
      <c r="A626" s="3" t="s">
        <v>4377</v>
      </c>
      <c r="B626" s="3" t="s">
        <v>11166</v>
      </c>
      <c r="C626" s="3" t="s">
        <v>11165</v>
      </c>
      <c r="G626" s="9" t="s">
        <v>25</v>
      </c>
      <c r="H626" s="9"/>
      <c r="I626" s="9">
        <v>1</v>
      </c>
      <c r="J626" s="9">
        <v>1</v>
      </c>
      <c r="K626" s="9" t="s">
        <v>12078</v>
      </c>
      <c r="L626" s="9" t="s">
        <v>12119</v>
      </c>
      <c r="M626" s="9"/>
      <c r="N626" s="10"/>
      <c r="O626" s="9"/>
      <c r="P626" s="9">
        <v>11843</v>
      </c>
      <c r="Q626" s="9">
        <v>1423.0954097572699</v>
      </c>
      <c r="R626" s="9"/>
      <c r="S626" s="9" t="s">
        <v>12795</v>
      </c>
      <c r="T626" s="9" t="s">
        <v>12795</v>
      </c>
      <c r="U626" s="9"/>
      <c r="V626" s="9"/>
      <c r="W626" s="9"/>
      <c r="X626" s="9"/>
      <c r="Y626" s="9"/>
      <c r="Z626" s="9"/>
      <c r="AA626" s="9"/>
      <c r="AB626" s="9"/>
      <c r="AC626" s="9"/>
      <c r="AD626" s="9"/>
    </row>
    <row r="627" spans="1:30" ht="43.5">
      <c r="A627" s="3" t="s">
        <v>4381</v>
      </c>
      <c r="B627" s="3" t="s">
        <v>11169</v>
      </c>
      <c r="C627" s="3" t="s">
        <v>11170</v>
      </c>
      <c r="F627" t="s">
        <v>19</v>
      </c>
      <c r="G627" s="9" t="s">
        <v>24</v>
      </c>
      <c r="H627" s="9"/>
      <c r="I627" s="9">
        <v>1</v>
      </c>
      <c r="J627" s="9">
        <v>5</v>
      </c>
      <c r="K627" s="9" t="s">
        <v>12094</v>
      </c>
      <c r="L627" s="9" t="s">
        <v>12073</v>
      </c>
      <c r="M627" s="9" t="s">
        <v>12149</v>
      </c>
      <c r="N627" s="10" t="s">
        <v>12143</v>
      </c>
      <c r="O627" s="9"/>
      <c r="P627" s="9">
        <v>4240</v>
      </c>
      <c r="Q627" s="9">
        <v>509.49291035808699</v>
      </c>
      <c r="R627" s="9"/>
      <c r="S627" s="9" t="s">
        <v>12795</v>
      </c>
      <c r="T627" s="9" t="s">
        <v>12795</v>
      </c>
      <c r="U627" s="9"/>
      <c r="V627" s="9"/>
      <c r="W627" s="9"/>
      <c r="X627" s="9"/>
      <c r="Y627" s="9"/>
      <c r="Z627" s="9"/>
      <c r="AA627" s="9"/>
      <c r="AB627" s="9"/>
      <c r="AC627" s="9"/>
      <c r="AD627" s="9"/>
    </row>
    <row r="628" spans="1:30" ht="58">
      <c r="A628" s="3" t="s">
        <v>4412</v>
      </c>
      <c r="B628" s="3" t="s">
        <v>11231</v>
      </c>
      <c r="C628" s="3" t="s">
        <v>11232</v>
      </c>
      <c r="G628" s="9" t="s">
        <v>24</v>
      </c>
      <c r="H628" s="9"/>
      <c r="I628" s="9">
        <v>1</v>
      </c>
      <c r="J628" s="9">
        <v>3</v>
      </c>
      <c r="K628" s="9" t="s">
        <v>12078</v>
      </c>
      <c r="L628" s="9" t="s">
        <v>12079</v>
      </c>
      <c r="M628" s="9"/>
      <c r="N628" s="10"/>
      <c r="O628" s="9"/>
      <c r="P628" s="9">
        <v>11843</v>
      </c>
      <c r="Q628" s="9">
        <v>1423.0954097572699</v>
      </c>
      <c r="R628" s="9"/>
      <c r="S628" s="9" t="s">
        <v>12795</v>
      </c>
      <c r="T628" s="9" t="s">
        <v>12795</v>
      </c>
      <c r="U628" s="9"/>
      <c r="V628" s="9"/>
      <c r="W628" s="9"/>
      <c r="X628" s="9"/>
      <c r="Y628" s="9"/>
      <c r="Z628" s="9"/>
      <c r="AA628" s="9"/>
      <c r="AB628" s="9"/>
      <c r="AC628" s="9"/>
      <c r="AD628" s="9"/>
    </row>
    <row r="629" spans="1:30" ht="29">
      <c r="A629" s="3" t="s">
        <v>4419</v>
      </c>
      <c r="B629" s="3" t="s">
        <v>11241</v>
      </c>
      <c r="C629" s="3" t="s">
        <v>11242</v>
      </c>
      <c r="G629" s="9" t="s">
        <v>25</v>
      </c>
      <c r="H629" s="9"/>
      <c r="I629" s="9">
        <v>1</v>
      </c>
      <c r="J629" s="9">
        <v>3</v>
      </c>
      <c r="K629" s="9" t="s">
        <v>12078</v>
      </c>
      <c r="L629" s="9" t="s">
        <v>12079</v>
      </c>
      <c r="M629" s="9"/>
      <c r="N629" s="10"/>
      <c r="O629" s="9"/>
      <c r="P629" s="9">
        <v>11843</v>
      </c>
      <c r="Q629" s="9">
        <v>1423.0954097572699</v>
      </c>
      <c r="R629" s="9"/>
      <c r="S629" s="9" t="s">
        <v>12795</v>
      </c>
      <c r="T629" s="9" t="s">
        <v>12795</v>
      </c>
      <c r="U629" s="9"/>
      <c r="V629" s="9"/>
      <c r="W629" s="9"/>
      <c r="X629" s="9"/>
      <c r="Y629" s="9"/>
      <c r="Z629" s="9"/>
      <c r="AA629" s="9"/>
      <c r="AB629" s="9"/>
      <c r="AC629" s="9"/>
      <c r="AD629" s="9"/>
    </row>
    <row r="630" spans="1:30" ht="29">
      <c r="A630" s="3" t="s">
        <v>4423</v>
      </c>
      <c r="B630" s="3" t="s">
        <v>11251</v>
      </c>
      <c r="C630" s="3" t="s">
        <v>11252</v>
      </c>
      <c r="G630" s="9" t="s">
        <v>25</v>
      </c>
      <c r="H630" s="9"/>
      <c r="I630" s="9">
        <v>1</v>
      </c>
      <c r="J630" s="9">
        <v>3</v>
      </c>
      <c r="K630" s="9" t="s">
        <v>12078</v>
      </c>
      <c r="L630" s="9" t="s">
        <v>12079</v>
      </c>
      <c r="M630" s="9"/>
      <c r="N630" s="10"/>
      <c r="O630" s="9"/>
      <c r="P630" s="9">
        <v>11843</v>
      </c>
      <c r="Q630" s="9">
        <v>1423.0954097572699</v>
      </c>
      <c r="R630" s="9"/>
      <c r="S630" s="9" t="s">
        <v>12795</v>
      </c>
      <c r="T630" s="9" t="s">
        <v>12795</v>
      </c>
      <c r="U630" s="9"/>
      <c r="V630" s="9"/>
      <c r="W630" s="9"/>
      <c r="X630" s="9"/>
      <c r="Y630" s="9"/>
      <c r="Z630" s="9"/>
      <c r="AA630" s="9"/>
      <c r="AB630" s="9"/>
      <c r="AC630" s="9"/>
      <c r="AD630" s="9"/>
    </row>
    <row r="631" spans="1:30" ht="58">
      <c r="A631" s="3" t="s">
        <v>4424</v>
      </c>
      <c r="B631" s="3" t="s">
        <v>11255</v>
      </c>
      <c r="C631" s="3" t="s">
        <v>11256</v>
      </c>
      <c r="F631" t="s">
        <v>19</v>
      </c>
      <c r="G631" s="9" t="s">
        <v>24</v>
      </c>
      <c r="H631" s="9"/>
      <c r="I631" s="9">
        <v>1</v>
      </c>
      <c r="J631" s="9">
        <v>3</v>
      </c>
      <c r="K631" s="9" t="s">
        <v>12094</v>
      </c>
      <c r="L631" s="9" t="s">
        <v>12079</v>
      </c>
      <c r="M631" s="9"/>
      <c r="N631" s="10"/>
      <c r="O631" s="9"/>
      <c r="P631" s="9">
        <v>301</v>
      </c>
      <c r="Q631" s="9">
        <v>36.16919009853401</v>
      </c>
      <c r="R631" s="9"/>
      <c r="S631" s="9" t="s">
        <v>12795</v>
      </c>
      <c r="T631" s="9" t="s">
        <v>12795</v>
      </c>
      <c r="U631" s="9"/>
      <c r="V631" s="9"/>
      <c r="W631" s="9"/>
      <c r="X631" s="9"/>
      <c r="Y631" s="9"/>
      <c r="Z631" s="9"/>
      <c r="AA631" s="9"/>
      <c r="AB631" s="9"/>
      <c r="AC631" s="9"/>
      <c r="AD631" s="9"/>
    </row>
    <row r="632" spans="1:30" ht="101.5">
      <c r="A632" s="3" t="s">
        <v>4438</v>
      </c>
      <c r="B632" s="3" t="s">
        <v>11277</v>
      </c>
      <c r="C632" s="3" t="s">
        <v>11282</v>
      </c>
      <c r="G632" s="9" t="s">
        <v>24</v>
      </c>
      <c r="H632" s="9"/>
      <c r="I632" s="9">
        <v>1</v>
      </c>
      <c r="J632" s="9">
        <v>5</v>
      </c>
      <c r="K632" s="9" t="s">
        <v>12094</v>
      </c>
      <c r="L632" s="9" t="s">
        <v>12073</v>
      </c>
      <c r="M632" s="9" t="s">
        <v>12149</v>
      </c>
      <c r="N632" s="10" t="s">
        <v>12143</v>
      </c>
      <c r="O632" s="9"/>
      <c r="P632" s="9">
        <v>4240</v>
      </c>
      <c r="Q632" s="9">
        <v>509.49291035808699</v>
      </c>
      <c r="R632" s="9"/>
      <c r="S632" s="9" t="s">
        <v>12795</v>
      </c>
      <c r="T632" s="9" t="s">
        <v>12795</v>
      </c>
      <c r="U632" s="9"/>
      <c r="V632" s="9"/>
      <c r="W632" s="9"/>
      <c r="X632" s="9"/>
      <c r="Y632" s="9"/>
      <c r="Z632" s="9"/>
      <c r="AA632" s="9"/>
      <c r="AB632" s="9"/>
      <c r="AC632" s="9"/>
      <c r="AD632" s="9"/>
    </row>
    <row r="633" spans="1:30" ht="29">
      <c r="A633" s="3" t="s">
        <v>4447</v>
      </c>
      <c r="B633" s="3" t="s">
        <v>11305</v>
      </c>
      <c r="C633" s="3" t="s">
        <v>11304</v>
      </c>
      <c r="G633" s="9" t="s">
        <v>24</v>
      </c>
      <c r="H633" s="9"/>
      <c r="I633" s="9">
        <v>1</v>
      </c>
      <c r="J633" s="9">
        <v>1</v>
      </c>
      <c r="K633" s="9" t="s">
        <v>12078</v>
      </c>
      <c r="L633" s="9" t="s">
        <v>12119</v>
      </c>
      <c r="M633" s="9"/>
      <c r="N633" s="10"/>
      <c r="O633" s="9"/>
      <c r="P633" s="9">
        <v>11843</v>
      </c>
      <c r="Q633" s="9">
        <v>1423.0954097572699</v>
      </c>
      <c r="R633" s="9"/>
      <c r="S633" s="9" t="s">
        <v>12795</v>
      </c>
      <c r="T633" s="9" t="s">
        <v>12795</v>
      </c>
      <c r="U633" s="9"/>
      <c r="V633" s="9"/>
      <c r="W633" s="9"/>
      <c r="X633" s="9"/>
      <c r="Y633" s="9"/>
      <c r="Z633" s="9"/>
      <c r="AA633" s="9"/>
      <c r="AB633" s="9"/>
      <c r="AC633" s="9"/>
      <c r="AD633" s="9"/>
    </row>
    <row r="634" spans="1:30" ht="72.5">
      <c r="A634" s="3" t="s">
        <v>4460</v>
      </c>
      <c r="B634" s="3" t="s">
        <v>11329</v>
      </c>
      <c r="C634" s="3" t="s">
        <v>11328</v>
      </c>
      <c r="G634" s="9" t="s">
        <v>25</v>
      </c>
      <c r="H634" s="9"/>
      <c r="I634" s="9">
        <v>1</v>
      </c>
      <c r="J634" s="9">
        <v>3</v>
      </c>
      <c r="K634" s="9" t="s">
        <v>12087</v>
      </c>
      <c r="L634" s="9" t="s">
        <v>12079</v>
      </c>
      <c r="M634" s="9"/>
      <c r="N634" s="10"/>
      <c r="O634" s="9"/>
      <c r="P634" s="9">
        <v>5676</v>
      </c>
      <c r="Q634" s="9">
        <v>682.04758471521268</v>
      </c>
      <c r="R634" s="9"/>
      <c r="S634" s="9" t="s">
        <v>12795</v>
      </c>
      <c r="T634" s="9" t="s">
        <v>12795</v>
      </c>
      <c r="U634" s="9"/>
      <c r="V634" s="9"/>
      <c r="W634" s="9"/>
      <c r="X634" s="9"/>
      <c r="Y634" s="9"/>
      <c r="Z634" s="9"/>
      <c r="AA634" s="9"/>
      <c r="AB634" s="9"/>
      <c r="AC634" s="9"/>
      <c r="AD634" s="9"/>
    </row>
    <row r="635" spans="1:30" ht="43.5">
      <c r="A635" s="3" t="s">
        <v>4475</v>
      </c>
      <c r="B635" s="3" t="s">
        <v>11341</v>
      </c>
      <c r="C635" s="3" t="s">
        <v>11340</v>
      </c>
      <c r="G635" s="9" t="s">
        <v>24</v>
      </c>
      <c r="H635" s="9"/>
      <c r="I635" s="9">
        <v>1</v>
      </c>
      <c r="J635" s="9">
        <v>1</v>
      </c>
      <c r="K635" s="9" t="s">
        <v>12078</v>
      </c>
      <c r="L635" s="9" t="s">
        <v>12119</v>
      </c>
      <c r="M635" s="9"/>
      <c r="N635" s="10"/>
      <c r="O635" s="9"/>
      <c r="P635" s="9">
        <v>11843</v>
      </c>
      <c r="Q635" s="9">
        <v>1423.0954097572699</v>
      </c>
      <c r="R635" s="9"/>
      <c r="S635" s="9" t="s">
        <v>12795</v>
      </c>
      <c r="T635" s="9" t="s">
        <v>12795</v>
      </c>
      <c r="U635" s="9"/>
      <c r="V635" s="9"/>
      <c r="W635" s="9"/>
      <c r="X635" s="9"/>
      <c r="Y635" s="9"/>
      <c r="Z635" s="9"/>
      <c r="AA635" s="9"/>
      <c r="AB635" s="9"/>
      <c r="AC635" s="9"/>
      <c r="AD635" s="9"/>
    </row>
    <row r="636" spans="1:30" ht="87">
      <c r="A636" s="3" t="s">
        <v>4483</v>
      </c>
      <c r="B636" s="3" t="s">
        <v>11356</v>
      </c>
      <c r="C636" s="3" t="s">
        <v>11357</v>
      </c>
      <c r="G636" s="9" t="s">
        <v>24</v>
      </c>
      <c r="H636" s="9"/>
      <c r="I636" s="9">
        <v>1</v>
      </c>
      <c r="J636" s="9">
        <v>3</v>
      </c>
      <c r="K636" s="9" t="s">
        <v>12078</v>
      </c>
      <c r="L636" s="9" t="s">
        <v>12079</v>
      </c>
      <c r="M636" s="9"/>
      <c r="N636" s="10"/>
      <c r="O636" s="9"/>
      <c r="P636" s="9">
        <v>11843</v>
      </c>
      <c r="Q636" s="9">
        <v>1423.0954097572699</v>
      </c>
      <c r="R636" s="9"/>
      <c r="S636" s="9" t="s">
        <v>12795</v>
      </c>
      <c r="T636" s="9" t="s">
        <v>12795</v>
      </c>
      <c r="U636" s="9"/>
      <c r="V636" s="9"/>
      <c r="W636" s="9"/>
      <c r="X636" s="9"/>
      <c r="Y636" s="9"/>
      <c r="Z636" s="9"/>
      <c r="AA636" s="9"/>
      <c r="AB636" s="9"/>
      <c r="AC636" s="9"/>
      <c r="AD636" s="9"/>
    </row>
    <row r="637" spans="1:30" ht="29">
      <c r="A637" s="3" t="s">
        <v>4485</v>
      </c>
      <c r="B637" s="3" t="s">
        <v>11367</v>
      </c>
      <c r="C637" s="3" t="s">
        <v>11368</v>
      </c>
      <c r="F637" t="s">
        <v>19</v>
      </c>
      <c r="G637" s="9" t="s">
        <v>25</v>
      </c>
      <c r="H637" s="9"/>
      <c r="I637" s="9">
        <v>1</v>
      </c>
      <c r="J637" s="9">
        <v>3</v>
      </c>
      <c r="K637" s="9" t="s">
        <v>12078</v>
      </c>
      <c r="L637" s="9" t="s">
        <v>12079</v>
      </c>
      <c r="M637" s="9"/>
      <c r="N637" s="10"/>
      <c r="O637" s="9"/>
      <c r="P637" s="9">
        <v>11843</v>
      </c>
      <c r="Q637" s="9">
        <v>1423.0954097572699</v>
      </c>
      <c r="R637" s="9"/>
      <c r="S637" s="9" t="s">
        <v>12795</v>
      </c>
      <c r="T637" s="9" t="s">
        <v>12795</v>
      </c>
      <c r="U637" s="9"/>
      <c r="V637" s="9"/>
      <c r="W637" s="9"/>
      <c r="X637" s="9"/>
      <c r="Y637" s="9"/>
      <c r="Z637" s="9"/>
      <c r="AA637" s="9"/>
      <c r="AB637" s="9"/>
      <c r="AC637" s="9"/>
      <c r="AD637" s="9"/>
    </row>
    <row r="638" spans="1:30" ht="43.5">
      <c r="A638" s="3" t="s">
        <v>4487</v>
      </c>
      <c r="B638" s="3" t="s">
        <v>11372</v>
      </c>
      <c r="C638" s="3" t="s">
        <v>11371</v>
      </c>
      <c r="G638" s="9" t="s">
        <v>25</v>
      </c>
      <c r="H638" s="9"/>
      <c r="I638" s="9">
        <v>1</v>
      </c>
      <c r="J638" s="9">
        <v>2</v>
      </c>
      <c r="K638" s="9" t="s">
        <v>12078</v>
      </c>
      <c r="L638" s="9" t="s">
        <v>12119</v>
      </c>
      <c r="M638" s="9"/>
      <c r="N638" s="10"/>
      <c r="O638" s="9"/>
      <c r="P638" s="9">
        <v>11843</v>
      </c>
      <c r="Q638" s="9">
        <v>1423.0954097572699</v>
      </c>
      <c r="R638" s="9"/>
      <c r="S638" s="9" t="s">
        <v>12795</v>
      </c>
      <c r="T638" s="9" t="s">
        <v>12795</v>
      </c>
      <c r="U638" s="9"/>
      <c r="V638" s="9"/>
      <c r="W638" s="9"/>
      <c r="X638" s="9"/>
      <c r="Y638" s="9"/>
      <c r="Z638" s="9"/>
      <c r="AA638" s="9"/>
      <c r="AB638" s="9"/>
      <c r="AC638" s="9"/>
      <c r="AD638" s="9"/>
    </row>
    <row r="639" spans="1:30" ht="29">
      <c r="A639" s="3" t="s">
        <v>4509</v>
      </c>
      <c r="B639" s="3" t="s">
        <v>11440</v>
      </c>
      <c r="C639" s="3" t="s">
        <v>11441</v>
      </c>
      <c r="G639" s="9" t="s">
        <v>25</v>
      </c>
      <c r="H639" s="9"/>
      <c r="I639" s="9">
        <v>1</v>
      </c>
      <c r="J639" s="9">
        <v>2</v>
      </c>
      <c r="K639" s="9" t="s">
        <v>12078</v>
      </c>
      <c r="L639" s="9" t="s">
        <v>12119</v>
      </c>
      <c r="M639" s="9"/>
      <c r="N639" s="10"/>
      <c r="O639" s="9"/>
      <c r="P639" s="9">
        <v>11843</v>
      </c>
      <c r="Q639" s="9">
        <v>1423.0954097572699</v>
      </c>
      <c r="R639" s="9"/>
      <c r="S639" s="9" t="s">
        <v>12795</v>
      </c>
      <c r="T639" s="9" t="s">
        <v>12795</v>
      </c>
      <c r="U639" s="9"/>
      <c r="V639" s="9"/>
      <c r="W639" s="9"/>
      <c r="X639" s="9"/>
      <c r="Y639" s="9"/>
      <c r="Z639" s="9"/>
      <c r="AA639" s="9"/>
      <c r="AB639" s="9"/>
      <c r="AC639" s="9"/>
      <c r="AD639" s="9"/>
    </row>
    <row r="640" spans="1:30" ht="43.5">
      <c r="A640" s="3" t="s">
        <v>4511</v>
      </c>
      <c r="B640" s="3" t="s">
        <v>11455</v>
      </c>
      <c r="C640" s="3" t="s">
        <v>11454</v>
      </c>
      <c r="E640" t="s">
        <v>20</v>
      </c>
      <c r="G640" s="9" t="s">
        <v>25</v>
      </c>
      <c r="H640" s="9"/>
      <c r="I640" s="9">
        <v>1</v>
      </c>
      <c r="J640" s="9">
        <v>2</v>
      </c>
      <c r="K640" s="9" t="s">
        <v>12094</v>
      </c>
      <c r="L640" s="9" t="s">
        <v>12119</v>
      </c>
      <c r="M640" s="9"/>
      <c r="N640" s="10"/>
      <c r="O640" s="9"/>
      <c r="P640" s="9">
        <v>780</v>
      </c>
      <c r="Q640" s="9">
        <v>93.727469358327326</v>
      </c>
      <c r="R640" s="9"/>
      <c r="S640" s="9" t="s">
        <v>12795</v>
      </c>
      <c r="T640" s="9" t="s">
        <v>12795</v>
      </c>
      <c r="U640" s="9"/>
      <c r="V640" s="9"/>
      <c r="W640" s="9"/>
      <c r="X640" s="9"/>
      <c r="Y640" s="9"/>
      <c r="Z640" s="9"/>
      <c r="AA640" s="9"/>
      <c r="AB640" s="9"/>
      <c r="AC640" s="9"/>
      <c r="AD640" s="9"/>
    </row>
    <row r="641" spans="1:30" ht="29">
      <c r="A641" s="3" t="s">
        <v>4535</v>
      </c>
      <c r="B641" s="3" t="s">
        <v>11527</v>
      </c>
      <c r="C641" s="3" t="s">
        <v>11526</v>
      </c>
      <c r="G641" s="9" t="s">
        <v>24</v>
      </c>
      <c r="H641" s="9"/>
      <c r="I641" s="9">
        <v>1</v>
      </c>
      <c r="J641" s="9">
        <v>1</v>
      </c>
      <c r="K641" s="9" t="s">
        <v>12078</v>
      </c>
      <c r="L641" s="9" t="s">
        <v>12119</v>
      </c>
      <c r="M641" s="9"/>
      <c r="N641" s="10"/>
      <c r="O641" s="9"/>
      <c r="P641" s="9">
        <v>11843</v>
      </c>
      <c r="Q641" s="9">
        <v>1423.0954097572699</v>
      </c>
      <c r="R641" s="9"/>
      <c r="S641" s="9" t="s">
        <v>12795</v>
      </c>
      <c r="T641" s="9" t="s">
        <v>12795</v>
      </c>
      <c r="U641" s="9"/>
      <c r="V641" s="9"/>
      <c r="W641" s="9"/>
      <c r="X641" s="9"/>
      <c r="Y641" s="9"/>
      <c r="Z641" s="9"/>
      <c r="AA641" s="9"/>
      <c r="AB641" s="9"/>
      <c r="AC641" s="9"/>
      <c r="AD641" s="9"/>
    </row>
    <row r="642" spans="1:30" ht="29">
      <c r="A642" s="3" t="s">
        <v>4557</v>
      </c>
      <c r="B642" s="3" t="s">
        <v>11563</v>
      </c>
      <c r="C642" s="3" t="s">
        <v>11562</v>
      </c>
      <c r="G642" s="9" t="s">
        <v>24</v>
      </c>
      <c r="H642" s="9"/>
      <c r="I642" s="9">
        <v>1</v>
      </c>
      <c r="J642" s="9">
        <v>3</v>
      </c>
      <c r="K642" s="9" t="s">
        <v>12078</v>
      </c>
      <c r="L642" s="9" t="s">
        <v>12079</v>
      </c>
      <c r="M642" s="9"/>
      <c r="N642" s="10"/>
      <c r="O642" s="9"/>
      <c r="P642" s="9">
        <v>11843</v>
      </c>
      <c r="Q642" s="9">
        <v>1423.0954097572699</v>
      </c>
      <c r="R642" s="9"/>
      <c r="S642" s="9" t="s">
        <v>12795</v>
      </c>
      <c r="T642" s="9" t="s">
        <v>12795</v>
      </c>
      <c r="U642" s="9"/>
      <c r="V642" s="9"/>
      <c r="W642" s="9"/>
      <c r="X642" s="9"/>
      <c r="Y642" s="9"/>
      <c r="Z642" s="9"/>
      <c r="AA642" s="9"/>
      <c r="AB642" s="9"/>
      <c r="AC642" s="9"/>
      <c r="AD642" s="9"/>
    </row>
    <row r="643" spans="1:30" ht="29">
      <c r="A643" s="3" t="s">
        <v>4558</v>
      </c>
      <c r="B643" s="3" t="s">
        <v>11564</v>
      </c>
      <c r="C643" s="3" t="s">
        <v>11567</v>
      </c>
      <c r="G643" s="9" t="s">
        <v>24</v>
      </c>
      <c r="H643" s="9"/>
      <c r="I643" s="9">
        <v>1</v>
      </c>
      <c r="J643" s="9">
        <v>2</v>
      </c>
      <c r="K643" s="9" t="s">
        <v>12087</v>
      </c>
      <c r="L643" s="9" t="s">
        <v>12119</v>
      </c>
      <c r="M643" s="9"/>
      <c r="N643" s="10"/>
      <c r="O643" s="9"/>
      <c r="P643" s="9">
        <v>166</v>
      </c>
      <c r="Q643" s="9">
        <v>19.947128094208121</v>
      </c>
      <c r="R643" s="9"/>
      <c r="S643" s="9" t="s">
        <v>12795</v>
      </c>
      <c r="T643" s="9" t="s">
        <v>12795</v>
      </c>
      <c r="U643" s="9"/>
      <c r="V643" s="9"/>
      <c r="W643" s="9"/>
      <c r="X643" s="9"/>
      <c r="Y643" s="9"/>
      <c r="Z643" s="9"/>
      <c r="AA643" s="9"/>
      <c r="AB643" s="9"/>
      <c r="AC643" s="9"/>
      <c r="AD643" s="9"/>
    </row>
    <row r="644" spans="1:30" ht="116">
      <c r="A644" s="3" t="s">
        <v>4563</v>
      </c>
      <c r="B644" s="3" t="s">
        <v>12599</v>
      </c>
      <c r="C644" s="3" t="s">
        <v>12600</v>
      </c>
      <c r="G644" s="9" t="s">
        <v>24</v>
      </c>
      <c r="H644" s="9"/>
      <c r="I644" s="9">
        <v>1</v>
      </c>
      <c r="J644" s="9">
        <v>2</v>
      </c>
      <c r="K644" s="9" t="s">
        <v>12087</v>
      </c>
      <c r="L644" s="9" t="s">
        <v>12119</v>
      </c>
      <c r="M644" s="9"/>
      <c r="N644" s="10"/>
      <c r="O644" s="9"/>
      <c r="P644" s="9">
        <v>227</v>
      </c>
      <c r="Q644" s="9">
        <v>27.277096851718337</v>
      </c>
      <c r="R644" s="9"/>
      <c r="S644" s="9" t="s">
        <v>12795</v>
      </c>
      <c r="T644" s="9" t="s">
        <v>12795</v>
      </c>
      <c r="U644" s="9"/>
      <c r="V644" s="9"/>
      <c r="W644" s="9"/>
      <c r="X644" s="9"/>
      <c r="Y644" s="9"/>
      <c r="Z644" s="9"/>
      <c r="AA644" s="9"/>
      <c r="AB644" s="9"/>
      <c r="AC644" s="9"/>
      <c r="AD644" s="9"/>
    </row>
    <row r="645" spans="1:30" ht="72.5">
      <c r="A645" s="3" t="s">
        <v>4579</v>
      </c>
      <c r="B645" s="3" t="s">
        <v>11632</v>
      </c>
      <c r="C645" s="3" t="s">
        <v>11635</v>
      </c>
      <c r="G645" s="9" t="s">
        <v>24</v>
      </c>
      <c r="H645" s="9"/>
      <c r="I645" s="9">
        <v>1</v>
      </c>
      <c r="J645" s="9">
        <v>2</v>
      </c>
      <c r="K645" s="9" t="s">
        <v>12087</v>
      </c>
      <c r="L645" s="9" t="s">
        <v>12119</v>
      </c>
      <c r="M645" s="9"/>
      <c r="N645" s="10"/>
      <c r="O645" s="9"/>
      <c r="P645" s="9">
        <v>166</v>
      </c>
      <c r="Q645" s="9">
        <v>19.947128094208121</v>
      </c>
      <c r="R645" s="9"/>
      <c r="S645" s="9" t="s">
        <v>12795</v>
      </c>
      <c r="T645" s="9" t="s">
        <v>12795</v>
      </c>
      <c r="U645" s="9"/>
      <c r="V645" s="9"/>
      <c r="W645" s="9"/>
      <c r="X645" s="9"/>
      <c r="Y645" s="9"/>
      <c r="Z645" s="9"/>
      <c r="AA645" s="9"/>
      <c r="AB645" s="9"/>
      <c r="AC645" s="9"/>
      <c r="AD645" s="9"/>
    </row>
    <row r="646" spans="1:30" ht="29">
      <c r="A646" s="3" t="s">
        <v>4587</v>
      </c>
      <c r="B646" s="3" t="s">
        <v>11653</v>
      </c>
      <c r="C646" s="3" t="s">
        <v>11652</v>
      </c>
      <c r="G646" s="9" t="s">
        <v>24</v>
      </c>
      <c r="H646" s="9"/>
      <c r="I646" s="9">
        <v>1</v>
      </c>
      <c r="J646" s="9">
        <v>1</v>
      </c>
      <c r="K646" s="9" t="s">
        <v>12078</v>
      </c>
      <c r="L646" s="9" t="s">
        <v>12119</v>
      </c>
      <c r="M646" s="9"/>
      <c r="N646" s="10"/>
      <c r="O646" s="9"/>
      <c r="P646" s="9">
        <v>11843</v>
      </c>
      <c r="Q646" s="9">
        <v>1423.0954097572699</v>
      </c>
      <c r="R646" s="9"/>
      <c r="S646" s="9" t="s">
        <v>12795</v>
      </c>
      <c r="T646" s="9" t="s">
        <v>12795</v>
      </c>
      <c r="U646" s="9"/>
      <c r="V646" s="9"/>
      <c r="W646" s="9"/>
      <c r="X646" s="9"/>
      <c r="Y646" s="9"/>
      <c r="Z646" s="9"/>
      <c r="AA646" s="9"/>
      <c r="AB646" s="9"/>
      <c r="AC646" s="9"/>
      <c r="AD646" s="9"/>
    </row>
    <row r="647" spans="1:30" ht="29">
      <c r="A647" s="3" t="s">
        <v>4587</v>
      </c>
      <c r="B647" s="3" t="s">
        <v>11654</v>
      </c>
      <c r="C647" s="3" t="s">
        <v>11655</v>
      </c>
      <c r="G647" s="9" t="s">
        <v>25</v>
      </c>
      <c r="H647" s="9"/>
      <c r="I647" s="9">
        <v>1</v>
      </c>
      <c r="J647" s="9">
        <v>3</v>
      </c>
      <c r="K647" s="9" t="s">
        <v>12078</v>
      </c>
      <c r="L647" s="9" t="s">
        <v>12079</v>
      </c>
      <c r="M647" s="9"/>
      <c r="N647" s="10"/>
      <c r="O647" s="9"/>
      <c r="P647" s="9">
        <v>11843</v>
      </c>
      <c r="Q647" s="9">
        <v>1423.0954097572699</v>
      </c>
      <c r="R647" s="9"/>
      <c r="S647" s="9" t="s">
        <v>12795</v>
      </c>
      <c r="T647" s="9" t="s">
        <v>12795</v>
      </c>
      <c r="U647" s="9"/>
      <c r="V647" s="9"/>
      <c r="W647" s="9"/>
      <c r="X647" s="9"/>
      <c r="Y647" s="9"/>
      <c r="Z647" s="9"/>
      <c r="AA647" s="9"/>
      <c r="AB647" s="9"/>
      <c r="AC647" s="9"/>
      <c r="AD647" s="9"/>
    </row>
    <row r="648" spans="1:30" ht="43.5">
      <c r="A648" s="3" t="s">
        <v>4596</v>
      </c>
      <c r="B648" s="3" t="s">
        <v>11666</v>
      </c>
      <c r="C648" s="3" t="s">
        <v>11665</v>
      </c>
      <c r="G648" s="9" t="s">
        <v>24</v>
      </c>
      <c r="H648" s="9"/>
      <c r="I648" s="9">
        <v>1</v>
      </c>
      <c r="J648" s="9">
        <v>3</v>
      </c>
      <c r="K648" s="9" t="s">
        <v>12087</v>
      </c>
      <c r="L648" s="9" t="s">
        <v>12079</v>
      </c>
      <c r="M648" s="9"/>
      <c r="N648" s="10"/>
      <c r="O648" s="9"/>
      <c r="P648" s="9">
        <v>810</v>
      </c>
      <c r="Q648" s="9">
        <v>97.332372025955294</v>
      </c>
      <c r="R648" s="9"/>
      <c r="S648" s="9" t="s">
        <v>12795</v>
      </c>
      <c r="T648" s="9" t="s">
        <v>12795</v>
      </c>
      <c r="U648" s="9"/>
      <c r="V648" s="9"/>
      <c r="W648" s="9"/>
      <c r="X648" s="9"/>
      <c r="Y648" s="9"/>
      <c r="Z648" s="9"/>
      <c r="AA648" s="9"/>
      <c r="AB648" s="9"/>
      <c r="AC648" s="9"/>
      <c r="AD648" s="9"/>
    </row>
    <row r="649" spans="1:30" ht="43.5">
      <c r="A649" s="3" t="s">
        <v>4600</v>
      </c>
      <c r="B649" s="3" t="s">
        <v>11676</v>
      </c>
      <c r="C649" s="3" t="s">
        <v>11675</v>
      </c>
      <c r="G649" s="9" t="s">
        <v>24</v>
      </c>
      <c r="H649" s="9"/>
      <c r="I649" s="9">
        <v>1</v>
      </c>
      <c r="J649" s="9">
        <v>3</v>
      </c>
      <c r="K649" s="9" t="s">
        <v>12087</v>
      </c>
      <c r="L649" s="9" t="s">
        <v>12073</v>
      </c>
      <c r="M649" s="9" t="s">
        <v>12149</v>
      </c>
      <c r="N649" s="10" t="s">
        <v>12143</v>
      </c>
      <c r="O649" s="9"/>
      <c r="P649" s="9">
        <v>5676</v>
      </c>
      <c r="Q649" s="9">
        <v>682.04758471521268</v>
      </c>
      <c r="R649" s="9"/>
      <c r="S649" s="9" t="s">
        <v>12795</v>
      </c>
      <c r="T649" s="9" t="s">
        <v>12795</v>
      </c>
      <c r="U649" s="9"/>
      <c r="V649" s="9"/>
      <c r="W649" s="9"/>
      <c r="X649" s="9"/>
      <c r="Y649" s="9"/>
      <c r="Z649" s="9"/>
      <c r="AA649" s="9"/>
      <c r="AB649" s="9"/>
      <c r="AC649" s="9"/>
      <c r="AD649" s="9"/>
    </row>
    <row r="650" spans="1:30" ht="29">
      <c r="A650" s="3" t="s">
        <v>4600</v>
      </c>
      <c r="B650" s="3" t="s">
        <v>11680</v>
      </c>
      <c r="C650" s="3" t="s">
        <v>11679</v>
      </c>
      <c r="G650" s="9" t="s">
        <v>24</v>
      </c>
      <c r="H650" s="9"/>
      <c r="I650" s="9">
        <v>1</v>
      </c>
      <c r="J650" s="9">
        <v>1</v>
      </c>
      <c r="K650" s="9" t="s">
        <v>12078</v>
      </c>
      <c r="L650" s="9" t="s">
        <v>12119</v>
      </c>
      <c r="M650" s="9"/>
      <c r="N650" s="10"/>
      <c r="O650" s="9" t="s">
        <v>12074</v>
      </c>
      <c r="P650" s="9">
        <v>11843</v>
      </c>
      <c r="Q650" s="9">
        <v>1423.0954097572699</v>
      </c>
      <c r="R650" s="9"/>
      <c r="S650" s="9" t="s">
        <v>12795</v>
      </c>
      <c r="T650" s="9" t="s">
        <v>12795</v>
      </c>
      <c r="U650" s="9"/>
      <c r="V650" s="9"/>
      <c r="W650" s="9"/>
      <c r="X650" s="9"/>
      <c r="Y650" s="9"/>
      <c r="Z650" s="9"/>
      <c r="AA650" s="9"/>
      <c r="AB650" s="9"/>
      <c r="AC650" s="9"/>
      <c r="AD650" s="9"/>
    </row>
    <row r="651" spans="1:30" ht="43.5">
      <c r="A651" s="3" t="s">
        <v>4603</v>
      </c>
      <c r="B651" s="3" t="s">
        <v>11693</v>
      </c>
      <c r="C651" s="3" t="s">
        <v>11694</v>
      </c>
      <c r="G651" s="9" t="s">
        <v>24</v>
      </c>
      <c r="H651" s="9"/>
      <c r="I651" s="9">
        <v>1</v>
      </c>
      <c r="J651" s="9">
        <v>3</v>
      </c>
      <c r="K651" s="9" t="s">
        <v>12078</v>
      </c>
      <c r="L651" s="9" t="s">
        <v>12079</v>
      </c>
      <c r="M651" s="9"/>
      <c r="N651" s="10"/>
      <c r="O651" s="9"/>
      <c r="P651" s="9">
        <v>11843</v>
      </c>
      <c r="Q651" s="9">
        <v>1423.0954097572699</v>
      </c>
      <c r="R651" s="9"/>
      <c r="S651" s="9" t="s">
        <v>12795</v>
      </c>
      <c r="T651" s="9" t="s">
        <v>12795</v>
      </c>
      <c r="U651" s="9"/>
      <c r="V651" s="9"/>
      <c r="W651" s="9"/>
      <c r="X651" s="9"/>
      <c r="Y651" s="9"/>
      <c r="Z651" s="9"/>
      <c r="AA651" s="9"/>
      <c r="AB651" s="9"/>
      <c r="AC651" s="9"/>
      <c r="AD651" s="9"/>
    </row>
    <row r="652" spans="1:30" ht="58">
      <c r="A652" s="3" t="s">
        <v>4624</v>
      </c>
      <c r="B652" s="3" t="s">
        <v>11717</v>
      </c>
      <c r="C652" s="3" t="s">
        <v>11716</v>
      </c>
      <c r="G652" s="9" t="s">
        <v>25</v>
      </c>
      <c r="H652" s="9"/>
      <c r="I652" s="9">
        <v>1</v>
      </c>
      <c r="J652" s="9">
        <v>2</v>
      </c>
      <c r="K652" s="9" t="s">
        <v>12078</v>
      </c>
      <c r="L652" s="9" t="s">
        <v>12119</v>
      </c>
      <c r="M652" s="9"/>
      <c r="N652" s="10"/>
      <c r="O652" s="9"/>
      <c r="P652" s="9">
        <v>11843</v>
      </c>
      <c r="Q652" s="9">
        <v>1423.0954097572699</v>
      </c>
      <c r="R652" s="9"/>
      <c r="S652" s="9" t="s">
        <v>12795</v>
      </c>
      <c r="T652" s="9" t="s">
        <v>12795</v>
      </c>
      <c r="U652" s="9"/>
      <c r="V652" s="9"/>
      <c r="W652" s="9"/>
      <c r="X652" s="9"/>
      <c r="Y652" s="9"/>
      <c r="Z652" s="9"/>
      <c r="AA652" s="9"/>
      <c r="AB652" s="9"/>
      <c r="AC652" s="9"/>
      <c r="AD652" s="9"/>
    </row>
    <row r="653" spans="1:30" ht="87">
      <c r="A653" s="3" t="s">
        <v>4624</v>
      </c>
      <c r="B653" s="3" t="s">
        <v>11718</v>
      </c>
      <c r="C653" s="3" t="s">
        <v>11721</v>
      </c>
      <c r="E653" t="s">
        <v>20</v>
      </c>
      <c r="G653" s="9" t="s">
        <v>24</v>
      </c>
      <c r="H653" s="9"/>
      <c r="I653" s="9">
        <v>1</v>
      </c>
      <c r="J653" s="9">
        <v>3</v>
      </c>
      <c r="K653" s="9" t="s">
        <v>12087</v>
      </c>
      <c r="L653" s="9" t="s">
        <v>12079</v>
      </c>
      <c r="M653" s="9"/>
      <c r="N653" s="10"/>
      <c r="O653" s="9"/>
      <c r="P653" s="9">
        <v>5676</v>
      </c>
      <c r="Q653" s="9">
        <v>682.04758471521268</v>
      </c>
      <c r="R653" s="9"/>
      <c r="S653" s="9" t="s">
        <v>12795</v>
      </c>
      <c r="T653" s="9" t="s">
        <v>12795</v>
      </c>
      <c r="U653" s="9"/>
      <c r="V653" s="9"/>
      <c r="W653" s="9"/>
      <c r="X653" s="9"/>
      <c r="Y653" s="9"/>
      <c r="Z653" s="9"/>
      <c r="AA653" s="9"/>
      <c r="AB653" s="9"/>
      <c r="AC653" s="9"/>
      <c r="AD653" s="9"/>
    </row>
    <row r="654" spans="1:30" ht="43.5">
      <c r="A654" s="3" t="s">
        <v>4634</v>
      </c>
      <c r="B654" s="3" t="s">
        <v>11750</v>
      </c>
      <c r="C654" s="3" t="s">
        <v>11749</v>
      </c>
      <c r="G654" s="9" t="s">
        <v>24</v>
      </c>
      <c r="H654" s="9"/>
      <c r="I654" s="9">
        <v>1</v>
      </c>
      <c r="J654" s="9">
        <v>2</v>
      </c>
      <c r="K654" s="9" t="s">
        <v>12087</v>
      </c>
      <c r="L654" s="9" t="s">
        <v>12119</v>
      </c>
      <c r="M654" s="9"/>
      <c r="N654" s="10"/>
      <c r="O654" s="9"/>
      <c r="P654" s="9">
        <v>166</v>
      </c>
      <c r="Q654" s="9">
        <v>19.947128094208121</v>
      </c>
      <c r="R654" s="9"/>
      <c r="S654" s="9" t="s">
        <v>12795</v>
      </c>
      <c r="T654" s="9" t="s">
        <v>12795</v>
      </c>
      <c r="U654" s="9"/>
      <c r="V654" s="9"/>
      <c r="W654" s="9"/>
      <c r="X654" s="9"/>
      <c r="Y654" s="9"/>
      <c r="Z654" s="9"/>
      <c r="AA654" s="9"/>
      <c r="AB654" s="9"/>
      <c r="AC654" s="9"/>
      <c r="AD654" s="9"/>
    </row>
    <row r="655" spans="1:30" ht="29">
      <c r="A655" s="3" t="s">
        <v>4641</v>
      </c>
      <c r="B655" s="3" t="s">
        <v>11765</v>
      </c>
      <c r="C655" s="3" t="s">
        <v>11766</v>
      </c>
      <c r="F655" t="s">
        <v>19</v>
      </c>
      <c r="G655" s="9" t="s">
        <v>25</v>
      </c>
      <c r="H655" s="9"/>
      <c r="I655" s="9">
        <v>1</v>
      </c>
      <c r="J655" s="9">
        <v>3</v>
      </c>
      <c r="K655" s="9" t="s">
        <v>12078</v>
      </c>
      <c r="L655" s="9" t="s">
        <v>12079</v>
      </c>
      <c r="M655" s="9"/>
      <c r="N655" s="10"/>
      <c r="O655" s="9"/>
      <c r="P655" s="9">
        <v>11843</v>
      </c>
      <c r="Q655" s="9">
        <v>1423.0954097572699</v>
      </c>
      <c r="R655" s="9"/>
      <c r="S655" s="9" t="s">
        <v>12795</v>
      </c>
      <c r="T655" s="9" t="s">
        <v>12795</v>
      </c>
      <c r="U655" s="9"/>
      <c r="V655" s="9"/>
      <c r="W655" s="9"/>
      <c r="X655" s="9"/>
      <c r="Y655" s="9"/>
      <c r="Z655" s="9"/>
      <c r="AA655" s="9"/>
      <c r="AB655" s="9"/>
      <c r="AC655" s="9"/>
      <c r="AD655" s="9"/>
    </row>
    <row r="656" spans="1:30" ht="58">
      <c r="A656" s="3" t="s">
        <v>4645</v>
      </c>
      <c r="B656" s="3" t="s">
        <v>11783</v>
      </c>
      <c r="C656" s="3" t="s">
        <v>11782</v>
      </c>
      <c r="G656" s="9" t="s">
        <v>25</v>
      </c>
      <c r="H656" s="9"/>
      <c r="I656" s="9">
        <v>1</v>
      </c>
      <c r="J656" s="9">
        <v>4</v>
      </c>
      <c r="K656" s="9" t="s">
        <v>12096</v>
      </c>
      <c r="L656" s="9" t="s">
        <v>12079</v>
      </c>
      <c r="M656" s="9"/>
      <c r="N656" s="10"/>
      <c r="O656" s="9"/>
      <c r="P656" s="9">
        <v>508</v>
      </c>
      <c r="Q656" s="9">
        <v>61.043018505167026</v>
      </c>
      <c r="R656" s="9"/>
      <c r="S656" s="9" t="s">
        <v>12795</v>
      </c>
      <c r="T656" s="9" t="s">
        <v>12795</v>
      </c>
      <c r="U656" s="9"/>
      <c r="V656" s="9"/>
      <c r="W656" s="9"/>
      <c r="X656" s="9"/>
      <c r="Y656" s="9"/>
      <c r="Z656" s="9"/>
      <c r="AA656" s="9"/>
      <c r="AB656" s="9"/>
      <c r="AC656" s="9"/>
      <c r="AD656" s="9"/>
    </row>
    <row r="657" spans="1:30" ht="29">
      <c r="A657" s="3" t="s">
        <v>4653</v>
      </c>
      <c r="B657" s="3" t="s">
        <v>11815</v>
      </c>
      <c r="C657" s="3" t="s">
        <v>11814</v>
      </c>
      <c r="G657" s="9" t="s">
        <v>24</v>
      </c>
      <c r="H657" s="9"/>
      <c r="I657" s="9">
        <v>1</v>
      </c>
      <c r="J657" s="9">
        <v>2</v>
      </c>
      <c r="K657" s="9" t="s">
        <v>12087</v>
      </c>
      <c r="L657" s="9" t="s">
        <v>12119</v>
      </c>
      <c r="M657" s="9"/>
      <c r="N657" s="10"/>
      <c r="O657" s="9"/>
      <c r="P657" s="9">
        <v>166</v>
      </c>
      <c r="Q657" s="9">
        <v>19.947128094208121</v>
      </c>
      <c r="R657" s="9"/>
      <c r="S657" s="9" t="s">
        <v>12795</v>
      </c>
      <c r="T657" s="9" t="s">
        <v>12795</v>
      </c>
      <c r="U657" s="9" t="s">
        <v>4</v>
      </c>
      <c r="V657" s="9"/>
      <c r="W657" s="9"/>
      <c r="X657" s="9"/>
      <c r="Y657" s="9"/>
      <c r="Z657" s="9"/>
      <c r="AA657" s="9"/>
      <c r="AB657" s="9"/>
      <c r="AC657" s="9"/>
      <c r="AD657" s="9"/>
    </row>
    <row r="658" spans="1:30" ht="29">
      <c r="A658" s="3" t="s">
        <v>4655</v>
      </c>
      <c r="B658" s="3" t="s">
        <v>11829</v>
      </c>
      <c r="C658" s="3" t="s">
        <v>11830</v>
      </c>
      <c r="F658" t="s">
        <v>19</v>
      </c>
      <c r="G658" s="9" t="s">
        <v>24</v>
      </c>
      <c r="H658" s="9"/>
      <c r="I658" s="9">
        <v>1</v>
      </c>
      <c r="J658" s="9">
        <v>3</v>
      </c>
      <c r="K658" s="9" t="s">
        <v>12094</v>
      </c>
      <c r="L658" s="9" t="s">
        <v>12079</v>
      </c>
      <c r="M658" s="9"/>
      <c r="N658" s="10"/>
      <c r="O658" s="9"/>
      <c r="P658" s="9">
        <v>1496</v>
      </c>
      <c r="Q658" s="9">
        <v>179.76447969238166</v>
      </c>
      <c r="R658" s="9"/>
      <c r="S658" s="9" t="s">
        <v>12795</v>
      </c>
      <c r="T658" s="9" t="s">
        <v>12795</v>
      </c>
      <c r="U658" s="9"/>
      <c r="V658" s="9"/>
      <c r="W658" s="9"/>
      <c r="X658" s="9"/>
      <c r="Y658" s="9"/>
      <c r="Z658" s="9"/>
      <c r="AA658" s="9"/>
      <c r="AB658" s="9"/>
      <c r="AC658" s="9"/>
      <c r="AD658" s="9"/>
    </row>
    <row r="659" spans="1:30" ht="43.5">
      <c r="A659" s="3" t="s">
        <v>4667</v>
      </c>
      <c r="B659" s="3" t="s">
        <v>11842</v>
      </c>
      <c r="C659" s="3" t="s">
        <v>11843</v>
      </c>
      <c r="G659" s="9" t="s">
        <v>24</v>
      </c>
      <c r="H659" s="9"/>
      <c r="I659" s="9">
        <v>1</v>
      </c>
      <c r="J659" s="9">
        <v>2</v>
      </c>
      <c r="K659" s="9" t="s">
        <v>12087</v>
      </c>
      <c r="L659" s="9" t="s">
        <v>12119</v>
      </c>
      <c r="M659" s="9"/>
      <c r="N659" s="10"/>
      <c r="O659" s="9"/>
      <c r="P659" s="9">
        <v>1966</v>
      </c>
      <c r="Q659" s="9">
        <v>236.24128815188658</v>
      </c>
      <c r="R659" s="9"/>
      <c r="S659" s="9" t="s">
        <v>12795</v>
      </c>
      <c r="T659" s="9" t="s">
        <v>12795</v>
      </c>
      <c r="U659" s="9"/>
      <c r="V659" s="9"/>
      <c r="W659" s="9"/>
      <c r="X659" s="9"/>
      <c r="Y659" s="9"/>
      <c r="Z659" s="9"/>
      <c r="AA659" s="9"/>
      <c r="AB659" s="9"/>
      <c r="AC659" s="9"/>
      <c r="AD659" s="9"/>
    </row>
    <row r="660" spans="1:30" ht="29">
      <c r="A660" s="3" t="s">
        <v>4708</v>
      </c>
      <c r="B660" s="3" t="s">
        <v>11966</v>
      </c>
      <c r="C660" s="3" t="s">
        <v>11965</v>
      </c>
      <c r="G660" s="9" t="s">
        <v>25</v>
      </c>
      <c r="H660" s="9"/>
      <c r="I660" s="9">
        <v>1</v>
      </c>
      <c r="J660" s="9">
        <v>2</v>
      </c>
      <c r="K660" s="9" t="s">
        <v>12087</v>
      </c>
      <c r="L660" s="9" t="s">
        <v>12119</v>
      </c>
      <c r="M660" s="9"/>
      <c r="N660" s="10"/>
      <c r="O660" s="9"/>
      <c r="P660" s="9">
        <v>1966</v>
      </c>
      <c r="Q660" s="9">
        <v>236.24128815188658</v>
      </c>
      <c r="R660" s="9"/>
      <c r="S660" s="9" t="s">
        <v>12795</v>
      </c>
      <c r="T660" s="9" t="s">
        <v>12795</v>
      </c>
      <c r="U660" s="9"/>
      <c r="V660" s="9"/>
      <c r="W660" s="9"/>
      <c r="X660" s="9"/>
      <c r="Y660" s="9"/>
      <c r="Z660" s="9"/>
      <c r="AA660" s="9"/>
      <c r="AB660" s="9"/>
      <c r="AC660" s="9"/>
      <c r="AD660" s="9"/>
    </row>
    <row r="661" spans="1:30" ht="72.5">
      <c r="A661" s="3" t="s">
        <v>4711</v>
      </c>
      <c r="B661" s="3" t="s">
        <v>11971</v>
      </c>
      <c r="C661" s="3" t="s">
        <v>11969</v>
      </c>
      <c r="G661" s="9" t="s">
        <v>25</v>
      </c>
      <c r="H661" s="9"/>
      <c r="I661" s="9">
        <v>1</v>
      </c>
      <c r="J661" s="9">
        <v>3</v>
      </c>
      <c r="K661" s="9" t="s">
        <v>12087</v>
      </c>
      <c r="L661" s="9" t="s">
        <v>12079</v>
      </c>
      <c r="M661" s="9"/>
      <c r="N661" s="10"/>
      <c r="O661" s="9"/>
      <c r="P661" s="9">
        <v>5676</v>
      </c>
      <c r="Q661" s="9">
        <v>682.04758471521268</v>
      </c>
      <c r="R661" s="9"/>
      <c r="S661" s="9" t="s">
        <v>12795</v>
      </c>
      <c r="T661" s="9" t="s">
        <v>12795</v>
      </c>
      <c r="U661" s="9"/>
      <c r="V661" s="9"/>
      <c r="W661" s="9"/>
      <c r="X661" s="9"/>
      <c r="Y661" s="9"/>
      <c r="Z661" s="9"/>
      <c r="AA661" s="9"/>
      <c r="AB661" s="9"/>
      <c r="AC661" s="9"/>
      <c r="AD661" s="9"/>
    </row>
    <row r="662" spans="1:30" ht="29">
      <c r="A662" s="3" t="s">
        <v>4724</v>
      </c>
      <c r="B662" s="3" t="s">
        <v>11988</v>
      </c>
      <c r="C662" s="3" t="s">
        <v>11987</v>
      </c>
      <c r="G662" s="9" t="s">
        <v>24</v>
      </c>
      <c r="H662" s="9"/>
      <c r="I662" s="9">
        <v>1</v>
      </c>
      <c r="J662" s="9">
        <v>2</v>
      </c>
      <c r="K662" s="9" t="s">
        <v>12087</v>
      </c>
      <c r="L662" s="9" t="s">
        <v>12119</v>
      </c>
      <c r="M662" s="9"/>
      <c r="N662" s="10"/>
      <c r="O662" s="9"/>
      <c r="P662" s="9">
        <v>1966</v>
      </c>
      <c r="Q662" s="9">
        <v>236.24128815188658</v>
      </c>
      <c r="R662" s="9"/>
      <c r="S662" s="9" t="s">
        <v>12795</v>
      </c>
      <c r="T662" s="9" t="s">
        <v>12795</v>
      </c>
      <c r="U662" s="9"/>
      <c r="V662" s="9"/>
      <c r="W662" s="9"/>
      <c r="X662" s="9"/>
      <c r="Y662" s="9"/>
      <c r="Z662" s="9"/>
      <c r="AA662" s="9"/>
      <c r="AB662" s="9"/>
      <c r="AC662" s="9"/>
      <c r="AD662" s="9"/>
    </row>
    <row r="663" spans="1:30" ht="43.5">
      <c r="A663" s="3" t="s">
        <v>4727</v>
      </c>
      <c r="B663" s="3" t="s">
        <v>11999</v>
      </c>
      <c r="C663" s="3" t="s">
        <v>12000</v>
      </c>
      <c r="G663" s="9" t="s">
        <v>25</v>
      </c>
      <c r="H663" s="9"/>
      <c r="I663" s="9">
        <v>1</v>
      </c>
      <c r="J663" s="9">
        <v>2</v>
      </c>
      <c r="K663" s="9" t="s">
        <v>12123</v>
      </c>
      <c r="L663" s="9" t="s">
        <v>12119</v>
      </c>
      <c r="M663" s="9"/>
      <c r="N663" s="10"/>
      <c r="O663" s="9"/>
      <c r="P663" s="9">
        <v>887</v>
      </c>
      <c r="Q663" s="9">
        <v>106.58495553953377</v>
      </c>
      <c r="R663" s="9"/>
      <c r="S663" s="9" t="s">
        <v>12795</v>
      </c>
      <c r="T663" s="9" t="s">
        <v>12795</v>
      </c>
      <c r="U663" s="9"/>
      <c r="V663" s="9"/>
      <c r="W663" s="9"/>
      <c r="X663" s="9"/>
      <c r="Y663" s="9"/>
      <c r="Z663" s="9"/>
      <c r="AA663" s="9"/>
      <c r="AB663" s="9"/>
      <c r="AC663" s="9"/>
      <c r="AD663" s="9"/>
    </row>
    <row r="664" spans="1:30" ht="43.5">
      <c r="A664" s="3" t="s">
        <v>4734</v>
      </c>
      <c r="B664" s="3" t="s">
        <v>12007</v>
      </c>
      <c r="C664" s="3" t="s">
        <v>12008</v>
      </c>
      <c r="G664" s="9" t="s">
        <v>24</v>
      </c>
      <c r="H664" s="9"/>
      <c r="I664" s="9">
        <v>1</v>
      </c>
      <c r="J664" s="9">
        <v>6</v>
      </c>
      <c r="K664" s="9" t="s">
        <v>12094</v>
      </c>
      <c r="L664" s="9" t="s">
        <v>12079</v>
      </c>
      <c r="M664" s="9"/>
      <c r="N664" s="10"/>
      <c r="O664" s="9"/>
      <c r="P664" s="9">
        <v>4240</v>
      </c>
      <c r="Q664" s="9">
        <v>509.49291035808699</v>
      </c>
      <c r="R664" s="9"/>
      <c r="S664" s="9" t="s">
        <v>12795</v>
      </c>
      <c r="T664" s="9" t="s">
        <v>12795</v>
      </c>
      <c r="U664" s="9"/>
      <c r="V664" s="9"/>
      <c r="W664" s="9"/>
      <c r="X664" s="9"/>
      <c r="Y664" s="9"/>
      <c r="Z664" s="9"/>
      <c r="AA664" s="9"/>
      <c r="AB664" s="9"/>
      <c r="AC664" s="9"/>
      <c r="AD664" s="9"/>
    </row>
    <row r="665" spans="1:30" ht="29">
      <c r="A665" s="3" t="s">
        <v>4742</v>
      </c>
      <c r="B665" s="3" t="s">
        <v>12014</v>
      </c>
      <c r="C665" s="3" t="s">
        <v>12013</v>
      </c>
      <c r="G665" s="9" t="s">
        <v>24</v>
      </c>
      <c r="H665" s="9"/>
      <c r="I665" s="9">
        <v>1</v>
      </c>
      <c r="J665" s="9">
        <v>2</v>
      </c>
      <c r="K665" s="9" t="s">
        <v>12087</v>
      </c>
      <c r="L665" s="9" t="s">
        <v>12119</v>
      </c>
      <c r="M665" s="9"/>
      <c r="N665" s="10"/>
      <c r="O665" s="9"/>
      <c r="P665" s="9">
        <v>166</v>
      </c>
      <c r="Q665" s="9">
        <v>19.947128094208121</v>
      </c>
      <c r="R665" s="9"/>
      <c r="S665" s="9" t="s">
        <v>12795</v>
      </c>
      <c r="T665" s="9" t="s">
        <v>12795</v>
      </c>
      <c r="U665" s="9"/>
      <c r="V665" s="9"/>
      <c r="W665" s="9"/>
      <c r="X665" s="9"/>
      <c r="Y665" s="9"/>
      <c r="Z665" s="9"/>
      <c r="AA665" s="9"/>
      <c r="AB665" s="9"/>
      <c r="AC665" s="9"/>
      <c r="AD665" s="9"/>
    </row>
    <row r="666" spans="1:30" ht="58">
      <c r="A666" s="3" t="s">
        <v>4760</v>
      </c>
      <c r="B666" s="3" t="s">
        <v>12034</v>
      </c>
      <c r="C666" s="3" t="s">
        <v>12033</v>
      </c>
      <c r="G666" s="9" t="s">
        <v>25</v>
      </c>
      <c r="H666" s="9"/>
      <c r="I666" s="9">
        <v>1</v>
      </c>
      <c r="J666" s="9">
        <v>3</v>
      </c>
      <c r="K666" s="9" t="s">
        <v>12087</v>
      </c>
      <c r="L666" s="9" t="s">
        <v>12079</v>
      </c>
      <c r="M666" s="9"/>
      <c r="N666" s="10"/>
      <c r="O666" s="9"/>
      <c r="P666" s="9">
        <v>5676</v>
      </c>
      <c r="Q666" s="9">
        <v>682.04758471521268</v>
      </c>
      <c r="R666" s="9"/>
      <c r="S666" s="9" t="s">
        <v>12795</v>
      </c>
      <c r="T666" s="9" t="s">
        <v>12795</v>
      </c>
      <c r="U666" s="9"/>
      <c r="V666" s="9"/>
      <c r="W666" s="9"/>
      <c r="X666" s="9"/>
      <c r="Y666" s="9"/>
      <c r="Z666" s="9"/>
      <c r="AA666" s="9"/>
      <c r="AB666" s="9"/>
      <c r="AC666" s="9"/>
      <c r="AD666" s="9"/>
    </row>
    <row r="667" spans="1:30" ht="29">
      <c r="A667" s="3" t="s">
        <v>4767</v>
      </c>
      <c r="B667" s="3" t="s">
        <v>12048</v>
      </c>
      <c r="C667" s="3" t="s">
        <v>12047</v>
      </c>
      <c r="F667" t="s">
        <v>19</v>
      </c>
      <c r="G667" s="9" t="s">
        <v>25</v>
      </c>
      <c r="H667" s="9"/>
      <c r="I667" s="9">
        <v>1</v>
      </c>
      <c r="J667" s="9">
        <v>3</v>
      </c>
      <c r="K667" s="9" t="s">
        <v>12078</v>
      </c>
      <c r="L667" s="9" t="s">
        <v>12079</v>
      </c>
      <c r="M667" s="9"/>
      <c r="N667" s="10"/>
      <c r="O667" s="9"/>
      <c r="P667" s="9">
        <v>11843</v>
      </c>
      <c r="Q667" s="9">
        <v>1423.0954097572699</v>
      </c>
      <c r="R667" s="9"/>
      <c r="S667" s="9" t="s">
        <v>12795</v>
      </c>
      <c r="T667" s="9" t="s">
        <v>12795</v>
      </c>
      <c r="U667" s="9"/>
      <c r="V667" s="9"/>
      <c r="W667" s="9"/>
      <c r="X667" s="9"/>
      <c r="Y667" s="9"/>
      <c r="Z667" s="9"/>
      <c r="AA667" s="9"/>
      <c r="AB667" s="9"/>
      <c r="AC667" s="9"/>
      <c r="AD667" s="9"/>
    </row>
    <row r="668" spans="1:30" ht="29">
      <c r="A668" s="3" t="s">
        <v>4768</v>
      </c>
      <c r="B668" s="3" t="s">
        <v>12054</v>
      </c>
      <c r="C668" s="3" t="s">
        <v>12053</v>
      </c>
      <c r="G668" s="9" t="s">
        <v>24</v>
      </c>
      <c r="H668" s="9"/>
      <c r="I668" s="9">
        <v>1</v>
      </c>
      <c r="J668" s="9">
        <v>2</v>
      </c>
      <c r="K668" s="9" t="s">
        <v>12087</v>
      </c>
      <c r="L668" s="9" t="s">
        <v>12119</v>
      </c>
      <c r="M668" s="9"/>
      <c r="N668" s="10"/>
      <c r="O668" s="9"/>
      <c r="P668" s="9">
        <v>1966</v>
      </c>
      <c r="Q668" s="9">
        <v>236.24128815188658</v>
      </c>
      <c r="R668" s="9"/>
      <c r="S668" s="9" t="s">
        <v>12795</v>
      </c>
      <c r="T668" s="9" t="s">
        <v>12795</v>
      </c>
      <c r="U668" s="9"/>
      <c r="V668" s="9"/>
      <c r="W668" s="9"/>
      <c r="X668" s="9"/>
      <c r="Y668" s="9"/>
      <c r="Z668" s="9"/>
      <c r="AA668" s="9"/>
      <c r="AB668" s="9"/>
      <c r="AC668" s="9"/>
      <c r="AD668" s="9"/>
    </row>
    <row r="671" spans="1:30">
      <c r="D671" t="s">
        <v>12792</v>
      </c>
      <c r="E671">
        <v>83220</v>
      </c>
    </row>
    <row r="672" spans="1:30">
      <c r="D672" t="s">
        <v>12797</v>
      </c>
      <c r="E672">
        <f>MEDIAN(Q:Q)</f>
        <v>682.04758471521268</v>
      </c>
    </row>
    <row r="675" spans="4:6">
      <c r="D675" t="s">
        <v>12798</v>
      </c>
      <c r="E675">
        <f>COUNTIFS(G:G, "Addition", Q:Q, "&gt;=" &amp; $E$672)</f>
        <v>173</v>
      </c>
      <c r="F675" s="4" t="s">
        <v>12807</v>
      </c>
    </row>
    <row r="676" spans="4:6">
      <c r="D676" t="s">
        <v>12799</v>
      </c>
      <c r="E676">
        <f>COUNTIFS(G:G, "Omission", Q:Q, "&gt;=" &amp; $E$672)</f>
        <v>183</v>
      </c>
    </row>
    <row r="677" spans="4:6">
      <c r="D677" t="s">
        <v>12800</v>
      </c>
      <c r="E677">
        <f>E675/(E675+E676)</f>
        <v>0.4859550561797753</v>
      </c>
    </row>
    <row r="678" spans="4:6">
      <c r="D678" t="s">
        <v>12801</v>
      </c>
      <c r="E678">
        <f>COUNTIFS(G:G, "Addition", Q:Q, "&lt;" &amp; $E$672)</f>
        <v>144</v>
      </c>
    </row>
    <row r="679" spans="4:6">
      <c r="D679" t="s">
        <v>12802</v>
      </c>
      <c r="E679">
        <f>COUNTIFS(G:G, "Omission", Q:Q, "&lt;" &amp; $E$672)</f>
        <v>166</v>
      </c>
    </row>
    <row r="680" spans="4:6">
      <c r="D680" t="s">
        <v>12803</v>
      </c>
      <c r="E680">
        <f>E678/(E678+E679)</f>
        <v>0.46451612903225808</v>
      </c>
    </row>
    <row r="683" spans="4:6">
      <c r="D683" t="s">
        <v>12804</v>
      </c>
      <c r="E683">
        <f>COUNTIFS(G:G, "Addition", K:K, "Article")</f>
        <v>139</v>
      </c>
    </row>
    <row r="684" spans="4:6">
      <c r="D684" t="s">
        <v>12805</v>
      </c>
      <c r="E684">
        <f>COUNTIFS(G:G, "Omission", K:K, "Article")</f>
        <v>145</v>
      </c>
    </row>
    <row r="685" spans="4:6">
      <c r="D685" t="s">
        <v>12806</v>
      </c>
      <c r="E685">
        <f>COUNTIFS(G:G, "Addition", K:K, "Article")/(COUNTIFS(G:G, "Addition", K:K, "Article") + COUNTIFS(G:G, "Omission", K:K, "Article"))</f>
        <v>0.48943661971830987</v>
      </c>
    </row>
  </sheetData>
  <conditionalFormatting sqref="G2:G668">
    <cfRule type="expression" dxfId="277" priority="7">
      <formula>$I2&lt;&gt;""</formula>
    </cfRule>
    <cfRule type="expression" dxfId="276" priority="8">
      <formula>$I2=""</formula>
    </cfRule>
  </conditionalFormatting>
  <conditionalFormatting sqref="H2:L668 O2:P668">
    <cfRule type="expression" dxfId="275" priority="16">
      <formula>AND($I2&lt;&gt;"Addition",$I2&lt;&gt;"Omission",$I2&lt;&gt;"Substitution - Word")</formula>
    </cfRule>
  </conditionalFormatting>
  <conditionalFormatting sqref="H2:P668">
    <cfRule type="expression" dxfId="274" priority="26">
      <formula>AND(OR($I2="Addition",$I2="Omission"), H2&lt;&gt;"")</formula>
    </cfRule>
  </conditionalFormatting>
  <conditionalFormatting sqref="K2:K668">
    <cfRule type="expression" dxfId="273" priority="13">
      <formula>AND($K2&lt;&gt;"",$K2&gt;1)</formula>
    </cfRule>
  </conditionalFormatting>
  <conditionalFormatting sqref="M2:N668">
    <cfRule type="expression" dxfId="272" priority="9">
      <formula>$N2="Absent"</formula>
    </cfRule>
    <cfRule type="expression" dxfId="271" priority="10">
      <formula>$N2="NA"</formula>
    </cfRule>
    <cfRule type="expression" dxfId="270" priority="11">
      <formula>AND(OR($I2="Addition",$I2="Omission"), M2="")</formula>
    </cfRule>
    <cfRule type="expression" dxfId="269" priority="12">
      <formula>AND($I2&lt;&gt;"Addition",$I2&lt;&gt;"Omission")</formula>
    </cfRule>
  </conditionalFormatting>
  <conditionalFormatting sqref="O2:O668">
    <cfRule type="expression" dxfId="268" priority="14">
      <formula>OR($I2="Addition",$I2="Omission",$I2 = "Substitution - Word")</formula>
    </cfRule>
  </conditionalFormatting>
  <conditionalFormatting sqref="O2:P668 H2:L668">
    <cfRule type="expression" dxfId="267" priority="15">
      <formula>AND(OR($I2="Addition",$I2="Omission"), H2="")</formula>
    </cfRule>
  </conditionalFormatting>
  <conditionalFormatting sqref="Q2:Q668">
    <cfRule type="expression" dxfId="266" priority="1">
      <formula>AND(OR($I2="Addition",$I2="Omission"), Q2&lt;&gt;"")</formula>
    </cfRule>
    <cfRule type="expression" dxfId="265" priority="2">
      <formula>AND(OR($I2="Addition",$I2="Omission"), Q2="")</formula>
    </cfRule>
    <cfRule type="expression" dxfId="264" priority="3">
      <formula>AND($I2&lt;&gt;"Addition",$I2&lt;&gt;"Omission",$I2&lt;&gt;"Substitution - Word")</formula>
    </cfRule>
  </conditionalFormatting>
  <conditionalFormatting sqref="R2:T668">
    <cfRule type="expression" dxfId="263" priority="23">
      <formula>AND(AND(LEFT($I2,3)="Sub", RIGHT($I2,4)&lt;&gt;"Form"),$T2&lt;&gt;"")</formula>
    </cfRule>
    <cfRule type="expression" dxfId="262" priority="24">
      <formula>AND(AND(LEFT($I2,3)="Sub", RIGHT($I2,4)&lt;&gt;"Form"),$T2="")</formula>
    </cfRule>
    <cfRule type="expression" dxfId="261" priority="25">
      <formula>"&lt;&gt;AND(LEFT($J2,3)=""Sub"", RIGHT($J2,4)&lt;&gt;""Form"")"</formula>
    </cfRule>
  </conditionalFormatting>
  <conditionalFormatting sqref="U2:U668">
    <cfRule type="expression" dxfId="260" priority="18">
      <formula>AND($W2&lt;&gt;"",OR($AD2="Yes",$AE2&lt;&gt;""))</formula>
    </cfRule>
    <cfRule type="expression" dxfId="259" priority="19">
      <formula>OR($AD2="Yes",$AE2&lt;&gt;"")</formula>
    </cfRule>
    <cfRule type="expression" dxfId="258" priority="29">
      <formula>AND($AD2&lt;&gt;"Yes",$AE2="")</formula>
    </cfRule>
  </conditionalFormatting>
  <conditionalFormatting sqref="U2:AD668">
    <cfRule type="expression" dxfId="257" priority="27">
      <formula>AND($I2&lt;&gt;"",$I2&lt;&gt;"Unclear due to correction")</formula>
    </cfRule>
    <cfRule type="expression" dxfId="256" priority="28">
      <formula>OR($I2="",$I2="Unclear due to correction")</formula>
    </cfRule>
  </conditionalFormatting>
  <conditionalFormatting sqref="V2:V668">
    <cfRule type="expression" dxfId="255" priority="17">
      <formula>AND($I2&lt;&gt;"",$I2&lt;&gt;"Unclear due to correction",$X2="")</formula>
    </cfRule>
  </conditionalFormatting>
  <conditionalFormatting sqref="W2:W668">
    <cfRule type="expression" dxfId="254" priority="20">
      <formula>AND($X2="Yes",$Y2="")</formula>
    </cfRule>
    <cfRule type="expression" dxfId="253" priority="21">
      <formula>$X2=""</formula>
    </cfRule>
  </conditionalFormatting>
  <conditionalFormatting sqref="AB2:AB668">
    <cfRule type="expression" dxfId="252" priority="22">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22A671AF-CDF1-4E77-BC18-56569EE8A20C}">
          <x14:formula1>
            <xm:f>'Data Regularization'!$C$2:$C$29</xm:f>
          </x14:formula1>
          <xm:sqref>F2:F668</xm:sqref>
        </x14:dataValidation>
        <x14:dataValidation type="list" allowBlank="1" showInputMessage="1" showErrorMessage="1" xr:uid="{6676692A-1FD7-4ABA-A7CB-9CDDE4111BBE}">
          <x14:formula1>
            <xm:f>'Data Regularization'!$R$2:$R$1048576</xm:f>
          </x14:formula1>
          <xm:sqref>AD2:AD668</xm:sqref>
        </x14:dataValidation>
        <x14:dataValidation type="list" allowBlank="1" showInputMessage="1" xr:uid="{909A7D88-8BEA-412B-A342-B2639678E447}">
          <x14:formula1>
            <xm:f>'Data Regularization'!$J$2:$J$1048576</xm:f>
          </x14:formula1>
          <xm:sqref>V2:V668</xm:sqref>
        </x14:dataValidation>
        <x14:dataValidation type="list" allowBlank="1" showInputMessage="1" showErrorMessage="1" xr:uid="{7A055AAC-D502-4149-81BB-4D68E5742635}">
          <x14:formula1>
            <xm:f>'Data Regularization'!$H$2:$H$1048576</xm:f>
          </x14:formula1>
          <xm:sqref>U2:U668</xm:sqref>
        </x14:dataValidation>
        <x14:dataValidation type="list" allowBlank="1" showInputMessage="1" showErrorMessage="1" xr:uid="{72FF8723-79C3-4909-8400-B258724C408D}">
          <x14:formula1>
            <xm:f>'Data Regularization'!$Q$2:$Q$1048576</xm:f>
          </x14:formula1>
          <xm:sqref>AC2:AC668</xm:sqref>
        </x14:dataValidation>
        <x14:dataValidation type="list" allowBlank="1" showInputMessage="1" showErrorMessage="1" xr:uid="{27C2F75B-D029-4590-AB08-C6A6F6A0010A}">
          <x14:formula1>
            <xm:f>'Data Regularization'!$P$2:$P$1048576</xm:f>
          </x14:formula1>
          <xm:sqref>AB2:AB668</xm:sqref>
        </x14:dataValidation>
        <x14:dataValidation type="list" allowBlank="1" showInputMessage="1" showErrorMessage="1" xr:uid="{9A28A6EE-DB57-47F6-8A8B-82A2AA6B568A}">
          <x14:formula1>
            <xm:f>'Data Regularization'!$O$2:$O$1048576</xm:f>
          </x14:formula1>
          <xm:sqref>Z2:Z668</xm:sqref>
        </x14:dataValidation>
        <x14:dataValidation type="list" allowBlank="1" showInputMessage="1" showErrorMessage="1" xr:uid="{95901669-AF0F-45F6-B038-98C0F4EFA62F}">
          <x14:formula1>
            <xm:f>'Data Regularization'!$N$2:$N$1048576</xm:f>
          </x14:formula1>
          <xm:sqref>Y2:Y668</xm:sqref>
        </x14:dataValidation>
        <x14:dataValidation type="list" allowBlank="1" showInputMessage="1" showErrorMessage="1" xr:uid="{4BB2532D-E7BD-4376-8EB8-776467063B5D}">
          <x14:formula1>
            <xm:f>'Data Regularization'!$L$2:$L$1048576</xm:f>
          </x14:formula1>
          <xm:sqref>X2:X668</xm:sqref>
        </x14:dataValidation>
        <x14:dataValidation type="list" allowBlank="1" showInputMessage="1" showErrorMessage="1" xr:uid="{95858AC0-4017-46D2-8FD5-B58979D6F106}">
          <x14:formula1>
            <xm:f>'Data Regularization'!$K$2:$K$1048576</xm:f>
          </x14:formula1>
          <xm:sqref>W2:W668</xm:sqref>
        </x14:dataValidation>
        <x14:dataValidation type="list" allowBlank="1" showInputMessage="1" showErrorMessage="1" xr:uid="{ED251C75-9A76-407D-848F-E2759D93AC10}">
          <x14:formula1>
            <xm:f>'Data Regularization'!$G$2:$G$1048576</xm:f>
          </x14:formula1>
          <xm:sqref>O2:O668</xm:sqref>
        </x14:dataValidation>
        <x14:dataValidation type="list" allowBlank="1" showInputMessage="1" showErrorMessage="1" xr:uid="{AEA8EEBF-7843-4284-B086-A841B0B6084A}">
          <x14:formula1>
            <xm:f>'Data Regularization'!$F$2:$F$1048576</xm:f>
          </x14:formula1>
          <xm:sqref>L2:L668</xm:sqref>
        </x14:dataValidation>
        <x14:dataValidation type="list" allowBlank="1" showInputMessage="1" showErrorMessage="1" xr:uid="{91692B22-0CE8-4A55-9D7E-EF334CC7F8D2}">
          <x14:formula1>
            <xm:f>'Data Regularization'!$E$2:$E$1048576</xm:f>
          </x14:formula1>
          <xm:sqref>K2:K668</xm:sqref>
        </x14:dataValidation>
        <x14:dataValidation type="list" allowBlank="1" showInputMessage="1" showErrorMessage="1" xr:uid="{30E436AF-C58E-49C5-B9C5-45EF37C3F8FB}">
          <x14:formula1>
            <xm:f>'Data Regularization'!$A$2:$A$1048576</xm:f>
          </x14:formula1>
          <xm:sqref>D2:D668</xm:sqref>
        </x14:dataValidation>
        <x14:dataValidation type="list" allowBlank="1" showInputMessage="1" showErrorMessage="1" xr:uid="{D5AE7904-9C56-42DD-961C-7D1BAB2D17AD}">
          <x14:formula1>
            <xm:f>'Data Regularization'!$B$2:$B$1048576</xm:f>
          </x14:formula1>
          <xm:sqref>E2:E668</xm:sqref>
        </x14:dataValidation>
        <x14:dataValidation type="list" allowBlank="1" showInputMessage="1" showErrorMessage="1" xr:uid="{4E73EAB2-E258-4D27-B8B9-185719AC99F3}">
          <x14:formula1>
            <xm:f>'Data Regularization'!$D$2:$D$1048576</xm:f>
          </x14:formula1>
          <xm:sqref>G1:G668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31BF-058A-440C-9FE4-7629AA53ACB6}">
  <dimension ref="A1:XFB139"/>
  <sheetViews>
    <sheetView workbookViewId="0">
      <pane xSplit="3" ySplit="1" topLeftCell="D123" activePane="bottomRight" state="frozen"/>
      <selection pane="topRight" activeCell="D1" sqref="D1"/>
      <selection pane="bottomLeft" activeCell="A2" sqref="A2"/>
      <selection pane="bottomRight" activeCell="D139" sqref="D139:E139"/>
    </sheetView>
  </sheetViews>
  <sheetFormatPr defaultRowHeight="14.5"/>
  <sheetData>
    <row r="1" spans="1:16382">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12796</v>
      </c>
      <c r="R1" s="1" t="s">
        <v>12110</v>
      </c>
      <c r="S1" s="1" t="s">
        <v>12112</v>
      </c>
      <c r="T1" s="1" t="s">
        <v>12113</v>
      </c>
      <c r="U1" s="1" t="s">
        <v>12114</v>
      </c>
      <c r="V1" s="1" t="s">
        <v>12068</v>
      </c>
      <c r="W1" s="1" t="s">
        <v>12069</v>
      </c>
      <c r="X1" s="1" t="s">
        <v>12070</v>
      </c>
      <c r="Y1" s="1" t="s">
        <v>12111</v>
      </c>
      <c r="Z1" s="1" t="s">
        <v>12115</v>
      </c>
      <c r="AA1" s="1" t="s">
        <v>12071</v>
      </c>
      <c r="AB1" s="1" t="s">
        <v>12116</v>
      </c>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row>
    <row r="2" spans="1:16382" ht="29">
      <c r="A2" s="3" t="s">
        <v>456</v>
      </c>
      <c r="B2" s="3" t="s">
        <v>5092</v>
      </c>
      <c r="C2" s="3" t="s">
        <v>5093</v>
      </c>
      <c r="G2" s="9" t="s">
        <v>25</v>
      </c>
      <c r="H2" s="9"/>
      <c r="I2" s="9">
        <v>1</v>
      </c>
      <c r="J2" s="9">
        <v>4</v>
      </c>
      <c r="K2" s="9" t="s">
        <v>12084</v>
      </c>
      <c r="L2" s="9" t="s">
        <v>12079</v>
      </c>
      <c r="M2" s="9"/>
      <c r="N2" s="10"/>
      <c r="O2" s="9"/>
      <c r="P2" s="9">
        <v>10</v>
      </c>
      <c r="Q2" s="9">
        <v>1.2016342225426579</v>
      </c>
      <c r="R2" s="9"/>
      <c r="S2" s="9" t="s">
        <v>12795</v>
      </c>
      <c r="T2" s="9" t="s">
        <v>12795</v>
      </c>
      <c r="U2" s="9"/>
      <c r="V2" s="9"/>
      <c r="W2" s="9"/>
      <c r="X2" s="9"/>
      <c r="Y2" s="9"/>
      <c r="Z2" s="9"/>
      <c r="AA2" s="9"/>
      <c r="AB2" s="9"/>
      <c r="AC2" s="9"/>
      <c r="AD2" s="9"/>
    </row>
    <row r="3" spans="1:16382" ht="29">
      <c r="A3" s="3" t="s">
        <v>492</v>
      </c>
      <c r="B3" s="3" t="s">
        <v>5119</v>
      </c>
      <c r="C3" s="3" t="s">
        <v>5120</v>
      </c>
      <c r="G3" s="9" t="s">
        <v>25</v>
      </c>
      <c r="H3" s="9"/>
      <c r="I3" s="9">
        <v>1</v>
      </c>
      <c r="J3" s="9">
        <v>2</v>
      </c>
      <c r="K3" s="9" t="s">
        <v>12092</v>
      </c>
      <c r="L3" s="9" t="s">
        <v>12119</v>
      </c>
      <c r="M3" s="9"/>
      <c r="N3" s="10"/>
      <c r="O3" s="9"/>
      <c r="P3" s="9">
        <v>472</v>
      </c>
      <c r="Q3" s="9">
        <v>56.71713530401346</v>
      </c>
      <c r="R3" s="9"/>
      <c r="S3" s="9" t="s">
        <v>12795</v>
      </c>
      <c r="T3" s="9" t="s">
        <v>12795</v>
      </c>
      <c r="U3" s="9"/>
      <c r="V3" s="9"/>
      <c r="W3" s="9"/>
      <c r="X3" s="9"/>
      <c r="Y3" s="9"/>
      <c r="Z3" s="9"/>
      <c r="AA3" s="9"/>
      <c r="AB3" s="9"/>
      <c r="AC3" s="9"/>
      <c r="AD3" s="9"/>
    </row>
    <row r="4" spans="1:16382" ht="87">
      <c r="A4" s="3" t="s">
        <v>633</v>
      </c>
      <c r="B4" s="3" t="s">
        <v>5228</v>
      </c>
      <c r="C4" s="3" t="s">
        <v>5226</v>
      </c>
      <c r="G4" s="9" t="s">
        <v>25</v>
      </c>
      <c r="H4" s="9"/>
      <c r="I4" s="9">
        <v>1</v>
      </c>
      <c r="J4" s="9">
        <v>7</v>
      </c>
      <c r="K4" s="9" t="s">
        <v>12092</v>
      </c>
      <c r="L4" s="9" t="s">
        <v>12079</v>
      </c>
      <c r="M4" s="9"/>
      <c r="N4" s="10"/>
      <c r="O4" s="9"/>
      <c r="P4" s="9">
        <v>131</v>
      </c>
      <c r="Q4" s="9">
        <v>15.741408315308821</v>
      </c>
      <c r="R4" s="9"/>
      <c r="S4" s="9" t="s">
        <v>12795</v>
      </c>
      <c r="T4" s="9" t="s">
        <v>12795</v>
      </c>
      <c r="U4" s="9"/>
      <c r="V4" s="9"/>
      <c r="W4" s="9"/>
      <c r="X4" s="9"/>
      <c r="Y4" s="9"/>
      <c r="Z4" s="9"/>
      <c r="AA4" s="9"/>
      <c r="AB4" s="9"/>
      <c r="AC4" s="9"/>
      <c r="AD4" s="9"/>
    </row>
    <row r="5" spans="1:16382" ht="72.5">
      <c r="A5" s="3" t="s">
        <v>741</v>
      </c>
      <c r="B5" s="3" t="s">
        <v>5307</v>
      </c>
      <c r="C5" s="3" t="s">
        <v>5308</v>
      </c>
      <c r="F5" t="s">
        <v>19</v>
      </c>
      <c r="G5" s="9" t="s">
        <v>24</v>
      </c>
      <c r="H5" s="9"/>
      <c r="I5" s="9">
        <v>1</v>
      </c>
      <c r="J5" s="9">
        <v>6</v>
      </c>
      <c r="K5" s="9" t="s">
        <v>12092</v>
      </c>
      <c r="L5" s="9" t="s">
        <v>12079</v>
      </c>
      <c r="M5" s="9"/>
      <c r="N5" s="10"/>
      <c r="O5" s="9"/>
      <c r="P5" s="9">
        <v>152</v>
      </c>
      <c r="Q5" s="9">
        <v>18.264840182648403</v>
      </c>
      <c r="R5" s="9"/>
      <c r="S5" s="9"/>
      <c r="T5" s="9"/>
      <c r="U5" s="9"/>
      <c r="V5" s="9"/>
      <c r="W5" s="9"/>
      <c r="X5" s="9"/>
      <c r="Y5" s="9"/>
      <c r="Z5" s="9"/>
      <c r="AA5" s="9"/>
      <c r="AB5" s="9"/>
      <c r="AC5" s="9"/>
      <c r="AD5" s="9"/>
    </row>
    <row r="6" spans="1:16382" ht="43.5">
      <c r="A6" s="3" t="s">
        <v>763</v>
      </c>
      <c r="B6" s="3" t="s">
        <v>5334</v>
      </c>
      <c r="C6" s="3" t="s">
        <v>5335</v>
      </c>
      <c r="G6" s="9" t="s">
        <v>25</v>
      </c>
      <c r="H6" s="9"/>
      <c r="I6" s="9">
        <v>1</v>
      </c>
      <c r="J6" s="9">
        <v>5</v>
      </c>
      <c r="K6" s="9" t="s">
        <v>12072</v>
      </c>
      <c r="L6" s="9" t="s">
        <v>12073</v>
      </c>
      <c r="M6" s="9" t="s">
        <v>12149</v>
      </c>
      <c r="N6" s="10" t="s">
        <v>12160</v>
      </c>
      <c r="O6" s="9"/>
      <c r="P6" s="9">
        <v>95</v>
      </c>
      <c r="Q6" s="9">
        <v>11.415525114155251</v>
      </c>
      <c r="R6" s="9"/>
      <c r="S6" s="9" t="s">
        <v>12795</v>
      </c>
      <c r="T6" s="9" t="s">
        <v>12795</v>
      </c>
      <c r="U6" s="9"/>
      <c r="V6" s="9"/>
      <c r="W6" s="9"/>
      <c r="X6" s="9"/>
      <c r="Y6" s="9"/>
      <c r="Z6" s="9"/>
      <c r="AA6" s="9"/>
      <c r="AB6" s="9"/>
      <c r="AC6" s="9"/>
      <c r="AD6" s="9"/>
    </row>
    <row r="7" spans="1:16382" ht="43.5">
      <c r="A7" s="3" t="s">
        <v>787</v>
      </c>
      <c r="B7" s="3" t="s">
        <v>5361</v>
      </c>
      <c r="C7" s="3" t="s">
        <v>5362</v>
      </c>
      <c r="G7" s="9" t="s">
        <v>25</v>
      </c>
      <c r="H7" s="9"/>
      <c r="I7" s="9">
        <v>1</v>
      </c>
      <c r="J7" s="9">
        <v>6</v>
      </c>
      <c r="K7" s="9" t="s">
        <v>12084</v>
      </c>
      <c r="L7" s="9" t="s">
        <v>12079</v>
      </c>
      <c r="M7" s="9"/>
      <c r="N7" s="10"/>
      <c r="O7" s="9"/>
      <c r="P7" s="9">
        <v>0</v>
      </c>
      <c r="Q7" s="9">
        <v>0</v>
      </c>
      <c r="R7" s="9"/>
      <c r="S7" s="9" t="s">
        <v>12795</v>
      </c>
      <c r="T7" s="9" t="s">
        <v>12795</v>
      </c>
      <c r="U7" s="9"/>
      <c r="V7" s="9"/>
      <c r="W7" s="9"/>
      <c r="X7" s="9"/>
      <c r="Y7" s="9"/>
      <c r="Z7" s="9"/>
      <c r="AA7" s="9"/>
      <c r="AB7" s="9"/>
      <c r="AC7" s="9"/>
      <c r="AD7" s="9"/>
    </row>
    <row r="8" spans="1:16382" ht="72.5">
      <c r="A8" s="3" t="s">
        <v>865</v>
      </c>
      <c r="B8" s="3" t="s">
        <v>5451</v>
      </c>
      <c r="C8" s="3" t="s">
        <v>5452</v>
      </c>
      <c r="G8" s="9" t="s">
        <v>25</v>
      </c>
      <c r="H8" s="9"/>
      <c r="I8" s="9">
        <v>1</v>
      </c>
      <c r="J8" s="9">
        <v>8</v>
      </c>
      <c r="K8" s="9" t="s">
        <v>12092</v>
      </c>
      <c r="L8" s="9" t="s">
        <v>12079</v>
      </c>
      <c r="M8" s="9"/>
      <c r="N8" s="10"/>
      <c r="O8" s="9"/>
      <c r="P8" s="9">
        <v>371</v>
      </c>
      <c r="Q8" s="9">
        <v>44.580629656332611</v>
      </c>
      <c r="R8" s="9"/>
      <c r="S8" s="9" t="s">
        <v>12795</v>
      </c>
      <c r="T8" s="9" t="s">
        <v>12795</v>
      </c>
      <c r="U8" s="9"/>
      <c r="V8" s="9"/>
      <c r="W8" s="9"/>
      <c r="X8" s="9"/>
      <c r="Y8" s="9"/>
      <c r="Z8" s="9"/>
      <c r="AA8" s="9"/>
      <c r="AB8" s="9"/>
      <c r="AC8" s="9"/>
      <c r="AD8" s="9"/>
    </row>
    <row r="9" spans="1:16382" ht="58">
      <c r="A9" s="3" t="s">
        <v>1162</v>
      </c>
      <c r="B9" s="3" t="s">
        <v>5756</v>
      </c>
      <c r="C9" s="3" t="s">
        <v>5757</v>
      </c>
      <c r="G9" s="9" t="s">
        <v>24</v>
      </c>
      <c r="H9" s="9"/>
      <c r="I9" s="9">
        <v>1</v>
      </c>
      <c r="J9" s="9">
        <v>5</v>
      </c>
      <c r="K9" s="9" t="s">
        <v>12072</v>
      </c>
      <c r="L9" s="9" t="s">
        <v>12073</v>
      </c>
      <c r="M9" s="9" t="s">
        <v>12142</v>
      </c>
      <c r="N9" s="10" t="s">
        <v>12143</v>
      </c>
      <c r="O9" s="9"/>
      <c r="P9" s="9">
        <v>591</v>
      </c>
      <c r="Q9" s="9">
        <v>71.016582552271089</v>
      </c>
      <c r="R9" s="9"/>
      <c r="S9" s="9" t="s">
        <v>12795</v>
      </c>
      <c r="T9" s="9" t="s">
        <v>12795</v>
      </c>
      <c r="U9" s="9"/>
      <c r="V9" s="9"/>
      <c r="W9" s="9"/>
      <c r="X9" s="9"/>
      <c r="Y9" s="9"/>
      <c r="Z9" s="9"/>
      <c r="AA9" s="9"/>
      <c r="AB9" s="9"/>
      <c r="AC9" s="9"/>
      <c r="AD9" s="9"/>
    </row>
    <row r="10" spans="1:16382" ht="72.5">
      <c r="A10" s="3" t="s">
        <v>1163</v>
      </c>
      <c r="B10" s="3" t="s">
        <v>5763</v>
      </c>
      <c r="C10" s="3" t="s">
        <v>5760</v>
      </c>
      <c r="G10" s="9" t="s">
        <v>25</v>
      </c>
      <c r="H10" s="9"/>
      <c r="I10" s="9">
        <v>1</v>
      </c>
      <c r="J10" s="9">
        <v>3</v>
      </c>
      <c r="K10" s="9" t="s">
        <v>12084</v>
      </c>
      <c r="L10" s="9" t="s">
        <v>12079</v>
      </c>
      <c r="M10" s="9"/>
      <c r="N10" s="10"/>
      <c r="O10" s="9"/>
      <c r="P10" s="9">
        <v>52</v>
      </c>
      <c r="Q10" s="9">
        <v>6.2484979572218213</v>
      </c>
      <c r="R10" s="9"/>
      <c r="S10" s="9" t="s">
        <v>12795</v>
      </c>
      <c r="T10" s="9" t="s">
        <v>12795</v>
      </c>
      <c r="U10" s="9"/>
      <c r="V10" s="9"/>
      <c r="W10" s="9"/>
      <c r="X10" s="9"/>
      <c r="Y10" s="9"/>
      <c r="Z10" s="9"/>
      <c r="AA10" s="9"/>
      <c r="AB10" s="9"/>
      <c r="AC10" s="9"/>
      <c r="AD10" s="9"/>
    </row>
    <row r="11" spans="1:16382" ht="43.5">
      <c r="A11" s="3" t="s">
        <v>1177</v>
      </c>
      <c r="B11" s="3" t="s">
        <v>5777</v>
      </c>
      <c r="C11" s="3" t="s">
        <v>5774</v>
      </c>
      <c r="G11" s="9" t="s">
        <v>25</v>
      </c>
      <c r="H11" s="9"/>
      <c r="I11" s="9">
        <v>1</v>
      </c>
      <c r="J11" s="9">
        <v>4</v>
      </c>
      <c r="K11" s="9" t="s">
        <v>12125</v>
      </c>
      <c r="L11" s="9" t="s">
        <v>12073</v>
      </c>
      <c r="M11" s="9" t="s">
        <v>12142</v>
      </c>
      <c r="N11" s="10" t="s">
        <v>12143</v>
      </c>
      <c r="O11" s="9"/>
      <c r="P11" s="9">
        <v>2042</v>
      </c>
      <c r="Q11" s="9">
        <v>245.37370824321076</v>
      </c>
      <c r="R11" s="9"/>
      <c r="S11" s="9" t="s">
        <v>12795</v>
      </c>
      <c r="T11" s="9" t="s">
        <v>12795</v>
      </c>
      <c r="U11" s="9"/>
      <c r="V11" s="9"/>
      <c r="W11" s="9"/>
      <c r="X11" s="9"/>
      <c r="Y11" s="9"/>
      <c r="Z11" s="9"/>
      <c r="AA11" s="9"/>
      <c r="AB11" s="9"/>
      <c r="AC11" s="9"/>
      <c r="AD11" s="9"/>
    </row>
    <row r="12" spans="1:16382" ht="43.5">
      <c r="A12" s="3" t="s">
        <v>1249</v>
      </c>
      <c r="B12" s="3" t="s">
        <v>5859</v>
      </c>
      <c r="C12" s="3" t="s">
        <v>5860</v>
      </c>
      <c r="G12" s="9" t="s">
        <v>25</v>
      </c>
      <c r="H12" s="9"/>
      <c r="I12" s="9">
        <v>1</v>
      </c>
      <c r="J12" s="9">
        <v>2</v>
      </c>
      <c r="K12" s="9" t="s">
        <v>12125</v>
      </c>
      <c r="L12" s="9" t="s">
        <v>12119</v>
      </c>
      <c r="M12" s="9"/>
      <c r="N12" s="10"/>
      <c r="O12" s="9"/>
      <c r="P12" s="9">
        <v>1565</v>
      </c>
      <c r="Q12" s="9">
        <v>188.05575582792596</v>
      </c>
      <c r="R12" s="9"/>
      <c r="S12" s="9" t="s">
        <v>12795</v>
      </c>
      <c r="T12" s="9" t="s">
        <v>12795</v>
      </c>
      <c r="U12" s="9"/>
      <c r="V12" s="9"/>
      <c r="W12" s="9"/>
      <c r="X12" s="9"/>
      <c r="Y12" s="9"/>
      <c r="Z12" s="9"/>
      <c r="AA12" s="9"/>
      <c r="AB12" s="9"/>
      <c r="AC12" s="9"/>
      <c r="AD12" s="9"/>
    </row>
    <row r="13" spans="1:16382" ht="43.5">
      <c r="A13" s="3" t="s">
        <v>1310</v>
      </c>
      <c r="B13" s="3" t="s">
        <v>5933</v>
      </c>
      <c r="C13" s="3" t="s">
        <v>5934</v>
      </c>
      <c r="F13" t="s">
        <v>19</v>
      </c>
      <c r="G13" s="9" t="s">
        <v>24</v>
      </c>
      <c r="H13" s="9"/>
      <c r="I13" s="9">
        <v>1</v>
      </c>
      <c r="J13" s="9">
        <v>4</v>
      </c>
      <c r="K13" s="9" t="s">
        <v>12084</v>
      </c>
      <c r="L13" s="9" t="s">
        <v>12079</v>
      </c>
      <c r="M13" s="9"/>
      <c r="N13" s="10"/>
      <c r="O13" s="9"/>
      <c r="P13" s="9">
        <v>10</v>
      </c>
      <c r="Q13" s="9">
        <v>1.2016342225426579</v>
      </c>
      <c r="R13" s="9"/>
      <c r="S13" s="9" t="s">
        <v>12795</v>
      </c>
      <c r="T13" s="9" t="s">
        <v>12795</v>
      </c>
      <c r="U13" s="9"/>
      <c r="V13" s="9"/>
      <c r="W13" s="9"/>
      <c r="X13" s="9"/>
      <c r="Y13" s="9"/>
      <c r="Z13" s="9"/>
      <c r="AA13" s="9"/>
      <c r="AB13" s="9"/>
      <c r="AC13" s="9"/>
      <c r="AD13" s="9"/>
    </row>
    <row r="14" spans="1:16382" ht="43.5">
      <c r="A14" s="3" t="s">
        <v>1359</v>
      </c>
      <c r="B14" s="3" t="s">
        <v>5998</v>
      </c>
      <c r="C14" s="3" t="s">
        <v>5999</v>
      </c>
      <c r="F14" t="s">
        <v>19</v>
      </c>
      <c r="G14" s="9" t="s">
        <v>24</v>
      </c>
      <c r="H14" s="9"/>
      <c r="I14" s="9">
        <v>1</v>
      </c>
      <c r="J14" s="9">
        <v>5</v>
      </c>
      <c r="K14" s="9" t="s">
        <v>12098</v>
      </c>
      <c r="L14" s="9" t="s">
        <v>12073</v>
      </c>
      <c r="M14" s="9" t="s">
        <v>12142</v>
      </c>
      <c r="N14" s="10" t="s">
        <v>12143</v>
      </c>
      <c r="O14" s="9"/>
      <c r="P14" s="9">
        <v>2</v>
      </c>
      <c r="Q14" s="9">
        <v>0.24032684450853162</v>
      </c>
      <c r="R14" s="9"/>
      <c r="S14" s="9" t="s">
        <v>12795</v>
      </c>
      <c r="T14" s="9" t="s">
        <v>12795</v>
      </c>
      <c r="U14" s="9"/>
      <c r="V14" s="9"/>
      <c r="W14" s="9"/>
      <c r="X14" s="9"/>
      <c r="Y14" s="9"/>
      <c r="Z14" s="9"/>
      <c r="AA14" s="9"/>
      <c r="AB14" s="9"/>
      <c r="AC14" s="9"/>
      <c r="AD14" s="9"/>
    </row>
    <row r="15" spans="1:16382" ht="72.5">
      <c r="A15" s="3" t="s">
        <v>1370</v>
      </c>
      <c r="B15" s="3" t="s">
        <v>6017</v>
      </c>
      <c r="C15" s="3" t="s">
        <v>6018</v>
      </c>
      <c r="G15" s="9" t="s">
        <v>24</v>
      </c>
      <c r="H15" s="9"/>
      <c r="I15" s="9">
        <v>1</v>
      </c>
      <c r="J15" s="9">
        <v>6</v>
      </c>
      <c r="K15" s="9" t="s">
        <v>12092</v>
      </c>
      <c r="L15" s="9" t="s">
        <v>12073</v>
      </c>
      <c r="M15" s="9" t="s">
        <v>12142</v>
      </c>
      <c r="N15" s="10" t="s">
        <v>12158</v>
      </c>
      <c r="O15" s="9" t="s">
        <v>12074</v>
      </c>
      <c r="P15" s="9">
        <v>5</v>
      </c>
      <c r="Q15" s="9">
        <v>0.60081711127132897</v>
      </c>
      <c r="R15" s="9"/>
      <c r="S15" s="9" t="s">
        <v>12795</v>
      </c>
      <c r="T15" s="9" t="s">
        <v>12795</v>
      </c>
      <c r="U15" s="9"/>
      <c r="V15" s="9"/>
      <c r="W15" s="9"/>
      <c r="X15" s="9"/>
      <c r="Y15" s="9"/>
      <c r="Z15" s="9"/>
      <c r="AA15" s="9"/>
      <c r="AB15" s="9"/>
      <c r="AC15" s="9"/>
      <c r="AD15" s="9"/>
    </row>
    <row r="16" spans="1:16382" ht="116">
      <c r="A16" s="3" t="s">
        <v>1384</v>
      </c>
      <c r="B16" s="3" t="s">
        <v>6037</v>
      </c>
      <c r="C16" s="3" t="s">
        <v>6036</v>
      </c>
      <c r="F16" t="s">
        <v>19</v>
      </c>
      <c r="G16" s="9" t="s">
        <v>25</v>
      </c>
      <c r="H16" s="9"/>
      <c r="I16" s="9">
        <v>1</v>
      </c>
      <c r="J16" s="9">
        <v>8</v>
      </c>
      <c r="K16" s="9" t="s">
        <v>12098</v>
      </c>
      <c r="L16" s="9" t="s">
        <v>12079</v>
      </c>
      <c r="M16" s="9"/>
      <c r="N16" s="10"/>
      <c r="O16" s="9"/>
      <c r="P16" s="9">
        <v>35</v>
      </c>
      <c r="Q16" s="9">
        <v>4.2057197788993026</v>
      </c>
      <c r="R16" s="9"/>
      <c r="S16" s="9" t="s">
        <v>12795</v>
      </c>
      <c r="T16" s="9" t="s">
        <v>12795</v>
      </c>
      <c r="U16" s="9"/>
      <c r="V16" s="9"/>
      <c r="W16" s="9"/>
      <c r="X16" s="9"/>
      <c r="Y16" s="9"/>
      <c r="Z16" s="9"/>
      <c r="AA16" s="9"/>
      <c r="AB16" s="9"/>
      <c r="AC16" s="9"/>
      <c r="AD16" s="9"/>
    </row>
    <row r="17" spans="1:30" ht="116">
      <c r="A17" s="3" t="s">
        <v>1384</v>
      </c>
      <c r="B17" s="3" t="s">
        <v>6039</v>
      </c>
      <c r="C17" s="3" t="s">
        <v>6036</v>
      </c>
      <c r="F17" t="s">
        <v>19</v>
      </c>
      <c r="G17" s="9" t="s">
        <v>25</v>
      </c>
      <c r="H17" s="9"/>
      <c r="I17" s="9">
        <v>1</v>
      </c>
      <c r="J17" s="9">
        <v>6</v>
      </c>
      <c r="K17" s="9" t="s">
        <v>12084</v>
      </c>
      <c r="L17" s="9" t="s">
        <v>12079</v>
      </c>
      <c r="M17" s="9"/>
      <c r="N17" s="10"/>
      <c r="O17" s="9"/>
      <c r="P17" s="9">
        <v>32</v>
      </c>
      <c r="Q17" s="9">
        <v>3.8452295121365059</v>
      </c>
      <c r="R17" s="9"/>
      <c r="S17" s="9" t="s">
        <v>12795</v>
      </c>
      <c r="T17" s="9" t="s">
        <v>12795</v>
      </c>
      <c r="U17" s="9"/>
      <c r="V17" s="9"/>
      <c r="W17" s="9"/>
      <c r="X17" s="9"/>
      <c r="Y17" s="9"/>
      <c r="Z17" s="9"/>
      <c r="AA17" s="9"/>
      <c r="AB17" s="9"/>
      <c r="AC17" s="9"/>
      <c r="AD17" s="9"/>
    </row>
    <row r="18" spans="1:30" ht="29">
      <c r="A18" s="3" t="s">
        <v>1412</v>
      </c>
      <c r="B18" s="3" t="s">
        <v>6067</v>
      </c>
      <c r="C18" s="3" t="s">
        <v>6068</v>
      </c>
      <c r="G18" s="9" t="s">
        <v>24</v>
      </c>
      <c r="H18" s="9"/>
      <c r="I18" s="9">
        <v>1</v>
      </c>
      <c r="J18" s="9">
        <v>3</v>
      </c>
      <c r="K18" s="9" t="s">
        <v>12072</v>
      </c>
      <c r="L18" s="9" t="s">
        <v>12079</v>
      </c>
      <c r="M18" s="9"/>
      <c r="N18" s="10"/>
      <c r="O18" s="9"/>
      <c r="P18" s="9">
        <v>214</v>
      </c>
      <c r="Q18" s="9">
        <v>25.71497236241288</v>
      </c>
      <c r="R18" s="9"/>
      <c r="S18" s="9" t="s">
        <v>12795</v>
      </c>
      <c r="T18" s="9" t="s">
        <v>12795</v>
      </c>
      <c r="U18" s="9"/>
      <c r="V18" s="9"/>
      <c r="W18" s="9"/>
      <c r="X18" s="9"/>
      <c r="Y18" s="9"/>
      <c r="Z18" s="9"/>
      <c r="AA18" s="9"/>
      <c r="AB18" s="9"/>
      <c r="AC18" s="9"/>
      <c r="AD18" s="9"/>
    </row>
    <row r="19" spans="1:30" ht="43.5">
      <c r="A19" s="3" t="s">
        <v>1438</v>
      </c>
      <c r="B19" s="3" t="s">
        <v>6110</v>
      </c>
      <c r="C19" s="3" t="s">
        <v>6111</v>
      </c>
      <c r="G19" s="9" t="s">
        <v>24</v>
      </c>
      <c r="H19" s="9"/>
      <c r="I19" s="9">
        <v>1</v>
      </c>
      <c r="J19" s="9">
        <v>6</v>
      </c>
      <c r="K19" s="9" t="s">
        <v>12084</v>
      </c>
      <c r="L19" s="9" t="s">
        <v>12079</v>
      </c>
      <c r="M19" s="9"/>
      <c r="N19" s="10"/>
      <c r="O19" s="9"/>
      <c r="P19" s="9">
        <v>32</v>
      </c>
      <c r="Q19" s="9">
        <v>3.8452295121365059</v>
      </c>
      <c r="R19" s="9"/>
      <c r="S19" s="9" t="s">
        <v>12795</v>
      </c>
      <c r="T19" s="9" t="s">
        <v>12795</v>
      </c>
      <c r="U19" s="9"/>
      <c r="V19" s="9"/>
      <c r="W19" s="9"/>
      <c r="X19" s="9"/>
      <c r="Y19" s="9"/>
      <c r="Z19" s="9"/>
      <c r="AA19" s="9"/>
      <c r="AB19" s="9"/>
      <c r="AC19" s="9"/>
      <c r="AD19" s="9"/>
    </row>
    <row r="20" spans="1:30" ht="58">
      <c r="A20" s="3" t="s">
        <v>1442</v>
      </c>
      <c r="B20" s="3" t="s">
        <v>6118</v>
      </c>
      <c r="C20" s="3" t="s">
        <v>6119</v>
      </c>
      <c r="G20" s="9" t="s">
        <v>25</v>
      </c>
      <c r="H20" s="9"/>
      <c r="I20" s="9">
        <v>1</v>
      </c>
      <c r="J20" s="9">
        <v>6</v>
      </c>
      <c r="K20" s="9" t="s">
        <v>12072</v>
      </c>
      <c r="L20" s="9" t="s">
        <v>12073</v>
      </c>
      <c r="M20" s="9" t="s">
        <v>12149</v>
      </c>
      <c r="N20" s="10" t="s">
        <v>12170</v>
      </c>
      <c r="O20" s="9"/>
      <c r="P20" s="9">
        <v>287</v>
      </c>
      <c r="Q20" s="9">
        <v>34.486902186974284</v>
      </c>
      <c r="R20" s="9"/>
      <c r="S20" s="9" t="s">
        <v>12795</v>
      </c>
      <c r="T20" s="9" t="s">
        <v>12795</v>
      </c>
      <c r="U20" s="9"/>
      <c r="V20" s="9"/>
      <c r="W20" s="9"/>
      <c r="X20" s="9"/>
      <c r="Y20" s="9"/>
      <c r="Z20" s="9"/>
      <c r="AA20" s="9"/>
      <c r="AB20" s="9"/>
      <c r="AC20" s="9"/>
      <c r="AD20" s="9"/>
    </row>
    <row r="21" spans="1:30" ht="116">
      <c r="A21" s="3" t="s">
        <v>1471</v>
      </c>
      <c r="B21" s="3" t="s">
        <v>12869</v>
      </c>
      <c r="C21" s="3" t="s">
        <v>12866</v>
      </c>
      <c r="G21" s="9" t="s">
        <v>24</v>
      </c>
      <c r="H21" s="9"/>
      <c r="I21" s="9">
        <v>1</v>
      </c>
      <c r="J21" s="9">
        <v>7</v>
      </c>
      <c r="K21" s="9" t="s">
        <v>12125</v>
      </c>
      <c r="L21" s="9" t="s">
        <v>12073</v>
      </c>
      <c r="M21" s="9" t="s">
        <v>12149</v>
      </c>
      <c r="N21" s="10" t="s">
        <v>12143</v>
      </c>
      <c r="O21" s="9"/>
      <c r="P21" s="9">
        <v>437</v>
      </c>
      <c r="Q21" s="9">
        <v>52.51141552511416</v>
      </c>
      <c r="R21" s="9"/>
      <c r="S21" s="9" t="s">
        <v>12795</v>
      </c>
      <c r="T21" s="9" t="s">
        <v>12795</v>
      </c>
      <c r="U21" s="9"/>
      <c r="V21" s="9"/>
      <c r="W21" s="9"/>
      <c r="X21" s="9"/>
      <c r="Y21" s="9"/>
      <c r="Z21" s="9"/>
      <c r="AA21" s="9"/>
      <c r="AB21" s="9"/>
      <c r="AC21" s="9"/>
      <c r="AD21" s="9"/>
    </row>
    <row r="22" spans="1:30" ht="58">
      <c r="A22" s="3" t="s">
        <v>1486</v>
      </c>
      <c r="B22" s="3" t="s">
        <v>6186</v>
      </c>
      <c r="C22" s="3" t="s">
        <v>6187</v>
      </c>
      <c r="G22" s="9" t="s">
        <v>24</v>
      </c>
      <c r="H22" s="9"/>
      <c r="I22" s="9">
        <v>1</v>
      </c>
      <c r="J22" s="9">
        <v>6</v>
      </c>
      <c r="K22" s="9" t="s">
        <v>12084</v>
      </c>
      <c r="L22" s="9" t="s">
        <v>12079</v>
      </c>
      <c r="M22" s="9"/>
      <c r="N22" s="10"/>
      <c r="O22" s="9"/>
      <c r="P22" s="9">
        <v>32</v>
      </c>
      <c r="Q22" s="9">
        <v>3.8452295121365059</v>
      </c>
      <c r="R22" s="9"/>
      <c r="S22" s="9" t="s">
        <v>12795</v>
      </c>
      <c r="T22" s="9" t="s">
        <v>12795</v>
      </c>
      <c r="U22" s="9"/>
      <c r="V22" s="9"/>
      <c r="W22" s="9"/>
      <c r="X22" s="9"/>
      <c r="Y22" s="9"/>
      <c r="Z22" s="9"/>
      <c r="AA22" s="9"/>
      <c r="AB22" s="9"/>
      <c r="AC22" s="9"/>
      <c r="AD22" s="9"/>
    </row>
    <row r="23" spans="1:30" ht="43.5">
      <c r="A23" s="3" t="s">
        <v>1503</v>
      </c>
      <c r="B23" s="3" t="s">
        <v>6203</v>
      </c>
      <c r="C23" s="3" t="s">
        <v>6202</v>
      </c>
      <c r="G23" s="9" t="s">
        <v>25</v>
      </c>
      <c r="H23" s="9"/>
      <c r="I23" s="9">
        <v>1</v>
      </c>
      <c r="J23" s="9">
        <v>5</v>
      </c>
      <c r="K23" s="9" t="s">
        <v>12125</v>
      </c>
      <c r="L23" s="9" t="s">
        <v>12079</v>
      </c>
      <c r="M23" s="9"/>
      <c r="N23" s="10"/>
      <c r="O23" s="9"/>
      <c r="P23" s="9">
        <v>1565</v>
      </c>
      <c r="Q23" s="9">
        <v>188.05575582792596</v>
      </c>
      <c r="R23" s="9"/>
      <c r="S23" s="9" t="s">
        <v>12795</v>
      </c>
      <c r="T23" s="9" t="s">
        <v>12795</v>
      </c>
      <c r="U23" s="9"/>
      <c r="V23" s="9"/>
      <c r="W23" s="9"/>
      <c r="X23" s="9"/>
      <c r="Y23" s="9"/>
      <c r="Z23" s="9"/>
      <c r="AA23" s="9"/>
      <c r="AB23" s="9"/>
      <c r="AC23" s="9"/>
      <c r="AD23" s="9"/>
    </row>
    <row r="24" spans="1:30" ht="29">
      <c r="A24" s="3" t="s">
        <v>1523</v>
      </c>
      <c r="B24" s="3" t="s">
        <v>6240</v>
      </c>
      <c r="C24" s="3" t="s">
        <v>6241</v>
      </c>
      <c r="G24" s="9" t="s">
        <v>25</v>
      </c>
      <c r="H24" s="9"/>
      <c r="I24" s="9">
        <v>1</v>
      </c>
      <c r="J24" s="9">
        <v>5</v>
      </c>
      <c r="K24" s="9" t="s">
        <v>12125</v>
      </c>
      <c r="L24" s="9" t="s">
        <v>12079</v>
      </c>
      <c r="M24" s="9"/>
      <c r="N24" s="10"/>
      <c r="O24" s="9"/>
      <c r="P24" s="9">
        <v>1565</v>
      </c>
      <c r="Q24" s="9">
        <v>188.05575582792596</v>
      </c>
      <c r="R24" s="9"/>
      <c r="S24" s="9" t="s">
        <v>12795</v>
      </c>
      <c r="T24" s="9" t="s">
        <v>12795</v>
      </c>
      <c r="U24" s="9"/>
      <c r="V24" s="9"/>
      <c r="W24" s="9"/>
      <c r="X24" s="9"/>
      <c r="Y24" s="9"/>
      <c r="Z24" s="9"/>
      <c r="AA24" s="9"/>
      <c r="AB24" s="9"/>
      <c r="AC24" s="9"/>
      <c r="AD24" s="9"/>
    </row>
    <row r="25" spans="1:30" ht="58">
      <c r="A25" s="3" t="s">
        <v>1525</v>
      </c>
      <c r="B25" s="3" t="s">
        <v>6242</v>
      </c>
      <c r="C25" s="3" t="s">
        <v>6243</v>
      </c>
      <c r="G25" s="9" t="s">
        <v>24</v>
      </c>
      <c r="H25" s="9"/>
      <c r="I25" s="9">
        <v>1</v>
      </c>
      <c r="J25" s="9">
        <v>6</v>
      </c>
      <c r="K25" s="9" t="s">
        <v>12072</v>
      </c>
      <c r="L25" s="9" t="s">
        <v>12079</v>
      </c>
      <c r="M25" s="9"/>
      <c r="N25" s="10"/>
      <c r="O25" s="9"/>
      <c r="P25" s="9">
        <v>130</v>
      </c>
      <c r="Q25" s="9">
        <v>15.621244893054554</v>
      </c>
      <c r="R25" s="9"/>
      <c r="S25" s="9" t="s">
        <v>12795</v>
      </c>
      <c r="T25" s="9" t="s">
        <v>12795</v>
      </c>
      <c r="U25" s="9"/>
      <c r="V25" s="9"/>
      <c r="W25" s="9"/>
      <c r="X25" s="9"/>
      <c r="Y25" s="9"/>
      <c r="Z25" s="9"/>
      <c r="AA25" s="9"/>
      <c r="AB25" s="9"/>
      <c r="AC25" s="9"/>
      <c r="AD25" s="9"/>
    </row>
    <row r="26" spans="1:30" ht="87">
      <c r="A26" s="3" t="s">
        <v>1549</v>
      </c>
      <c r="B26" s="3" t="s">
        <v>6295</v>
      </c>
      <c r="C26" s="3" t="s">
        <v>6294</v>
      </c>
      <c r="G26" s="9" t="s">
        <v>25</v>
      </c>
      <c r="H26" s="9"/>
      <c r="I26" s="9">
        <v>1</v>
      </c>
      <c r="J26" s="9">
        <v>5</v>
      </c>
      <c r="K26" s="9" t="s">
        <v>12098</v>
      </c>
      <c r="L26" s="9" t="s">
        <v>12079</v>
      </c>
      <c r="M26" s="9"/>
      <c r="N26" s="10"/>
      <c r="O26" s="9"/>
      <c r="P26" s="9">
        <v>1565</v>
      </c>
      <c r="Q26" s="9">
        <v>188.05575582792596</v>
      </c>
      <c r="R26" s="9"/>
      <c r="S26" s="9" t="s">
        <v>12795</v>
      </c>
      <c r="T26" s="9" t="s">
        <v>12795</v>
      </c>
      <c r="U26" s="9"/>
      <c r="V26" s="9"/>
      <c r="W26" s="9"/>
      <c r="X26" s="9"/>
      <c r="Y26" s="9"/>
      <c r="Z26" s="9"/>
      <c r="AA26" s="9"/>
      <c r="AB26" s="9"/>
      <c r="AC26" s="9"/>
      <c r="AD26" s="9"/>
    </row>
    <row r="27" spans="1:30" ht="29">
      <c r="A27" s="3" t="s">
        <v>1593</v>
      </c>
      <c r="B27" s="3" t="s">
        <v>6376</v>
      </c>
      <c r="C27" s="3" t="s">
        <v>6377</v>
      </c>
      <c r="G27" s="9" t="s">
        <v>25</v>
      </c>
      <c r="H27" s="9"/>
      <c r="I27" s="9">
        <v>1</v>
      </c>
      <c r="J27" s="9">
        <v>1</v>
      </c>
      <c r="K27" s="9" t="s">
        <v>12072</v>
      </c>
      <c r="L27" s="9" t="s">
        <v>12119</v>
      </c>
      <c r="M27" s="9"/>
      <c r="N27" s="10"/>
      <c r="O27" s="9"/>
      <c r="P27" s="9">
        <v>34</v>
      </c>
      <c r="Q27" s="9">
        <v>4.0855563566450375</v>
      </c>
      <c r="R27" s="9"/>
      <c r="S27" s="9" t="s">
        <v>12795</v>
      </c>
      <c r="T27" s="9" t="s">
        <v>12795</v>
      </c>
      <c r="U27" s="9"/>
      <c r="V27" s="9"/>
      <c r="W27" s="9"/>
      <c r="X27" s="9"/>
      <c r="Y27" s="9"/>
      <c r="Z27" s="9"/>
      <c r="AA27" s="9"/>
      <c r="AB27" s="9"/>
      <c r="AC27" s="9"/>
      <c r="AD27" s="9"/>
    </row>
    <row r="28" spans="1:30" ht="72.5">
      <c r="A28" s="3" t="s">
        <v>1594</v>
      </c>
      <c r="B28" s="3" t="s">
        <v>6378</v>
      </c>
      <c r="C28" s="3" t="s">
        <v>6379</v>
      </c>
      <c r="G28" s="9" t="s">
        <v>25</v>
      </c>
      <c r="H28" s="9"/>
      <c r="I28" s="9">
        <v>1</v>
      </c>
      <c r="J28" s="9">
        <v>10</v>
      </c>
      <c r="K28" s="9" t="s">
        <v>12098</v>
      </c>
      <c r="L28" s="9" t="s">
        <v>12073</v>
      </c>
      <c r="M28" s="9" t="s">
        <v>12142</v>
      </c>
      <c r="N28" s="10" t="s">
        <v>12143</v>
      </c>
      <c r="O28" s="9"/>
      <c r="P28" s="9">
        <v>0</v>
      </c>
      <c r="Q28" s="9">
        <v>0</v>
      </c>
      <c r="R28" s="9"/>
      <c r="S28" s="9" t="s">
        <v>12795</v>
      </c>
      <c r="T28" s="9" t="s">
        <v>12795</v>
      </c>
      <c r="U28" s="9"/>
      <c r="V28" s="9"/>
      <c r="W28" s="9"/>
      <c r="X28" s="9"/>
      <c r="Y28" s="9"/>
      <c r="Z28" s="9"/>
      <c r="AA28" s="9"/>
      <c r="AB28" s="9"/>
      <c r="AC28" s="9"/>
      <c r="AD28" s="9"/>
    </row>
    <row r="29" spans="1:30" ht="58">
      <c r="A29" s="3" t="s">
        <v>1641</v>
      </c>
      <c r="B29" s="3" t="s">
        <v>6423</v>
      </c>
      <c r="C29" s="3" t="s">
        <v>6424</v>
      </c>
      <c r="G29" s="9" t="s">
        <v>24</v>
      </c>
      <c r="H29" s="9"/>
      <c r="I29" s="9">
        <v>1</v>
      </c>
      <c r="J29" s="9">
        <v>3</v>
      </c>
      <c r="K29" s="9" t="s">
        <v>12084</v>
      </c>
      <c r="L29" s="9" t="s">
        <v>12079</v>
      </c>
      <c r="M29" s="9"/>
      <c r="N29" s="10"/>
      <c r="O29" s="9"/>
      <c r="P29" s="9">
        <v>18</v>
      </c>
      <c r="Q29" s="9">
        <v>2.1629416005767843</v>
      </c>
      <c r="R29" s="9"/>
      <c r="S29" s="9" t="s">
        <v>12795</v>
      </c>
      <c r="T29" s="9" t="s">
        <v>12795</v>
      </c>
      <c r="U29" s="9"/>
      <c r="V29" s="9"/>
      <c r="W29" s="9"/>
      <c r="X29" s="9"/>
      <c r="Y29" s="9"/>
      <c r="Z29" s="9"/>
      <c r="AA29" s="9"/>
      <c r="AB29" s="9"/>
      <c r="AC29" s="9"/>
      <c r="AD29" s="9"/>
    </row>
    <row r="30" spans="1:30" ht="43.5">
      <c r="A30" s="3" t="s">
        <v>1659</v>
      </c>
      <c r="B30" s="3" t="s">
        <v>6445</v>
      </c>
      <c r="C30" s="3" t="s">
        <v>6447</v>
      </c>
      <c r="G30" s="9" t="s">
        <v>25</v>
      </c>
      <c r="H30" s="9"/>
      <c r="I30" s="9">
        <v>1</v>
      </c>
      <c r="J30" s="9">
        <v>5</v>
      </c>
      <c r="K30" s="9" t="s">
        <v>12084</v>
      </c>
      <c r="L30" s="9" t="s">
        <v>12079</v>
      </c>
      <c r="M30" s="9"/>
      <c r="N30" s="10"/>
      <c r="O30" s="9"/>
      <c r="P30" s="9">
        <v>98</v>
      </c>
      <c r="Q30" s="9">
        <v>11.77601538091805</v>
      </c>
      <c r="R30" s="9"/>
      <c r="S30" s="9" t="s">
        <v>12795</v>
      </c>
      <c r="T30" s="9" t="s">
        <v>12795</v>
      </c>
      <c r="U30" s="9"/>
      <c r="V30" s="9"/>
      <c r="W30" s="9"/>
      <c r="X30" s="9"/>
      <c r="Y30" s="9"/>
      <c r="Z30" s="9"/>
      <c r="AA30" s="9"/>
      <c r="AB30" s="9"/>
      <c r="AC30" s="9"/>
      <c r="AD30" s="9"/>
    </row>
    <row r="31" spans="1:30" ht="43.5">
      <c r="A31" s="3" t="s">
        <v>1715</v>
      </c>
      <c r="B31" s="3" t="s">
        <v>6530</v>
      </c>
      <c r="C31" s="3" t="s">
        <v>6529</v>
      </c>
      <c r="G31" s="9" t="s">
        <v>25</v>
      </c>
      <c r="H31" s="9"/>
      <c r="I31" s="9">
        <v>1</v>
      </c>
      <c r="J31" s="9">
        <v>2</v>
      </c>
      <c r="K31" s="9" t="s">
        <v>12092</v>
      </c>
      <c r="L31" s="9" t="s">
        <v>12119</v>
      </c>
      <c r="M31" s="9"/>
      <c r="N31" s="10"/>
      <c r="O31" s="9"/>
      <c r="P31" s="9">
        <v>361</v>
      </c>
      <c r="Q31" s="9">
        <v>43.378995433789953</v>
      </c>
      <c r="R31" s="9"/>
      <c r="S31" s="9" t="s">
        <v>12795</v>
      </c>
      <c r="T31" s="9" t="s">
        <v>12795</v>
      </c>
      <c r="U31" s="9"/>
      <c r="V31" s="9"/>
      <c r="W31" s="9"/>
      <c r="X31" s="9"/>
      <c r="Y31" s="9"/>
      <c r="Z31" s="9"/>
      <c r="AA31" s="9"/>
      <c r="AB31" s="9"/>
      <c r="AC31" s="9"/>
      <c r="AD31" s="9"/>
    </row>
    <row r="32" spans="1:30" ht="29">
      <c r="A32" s="3" t="s">
        <v>1781</v>
      </c>
      <c r="B32" s="3" t="s">
        <v>6612</v>
      </c>
      <c r="C32" s="3" t="s">
        <v>6613</v>
      </c>
      <c r="G32" s="9" t="s">
        <v>25</v>
      </c>
      <c r="H32" s="9"/>
      <c r="I32" s="9">
        <v>1</v>
      </c>
      <c r="J32" s="9">
        <v>1</v>
      </c>
      <c r="K32" s="9" t="s">
        <v>12072</v>
      </c>
      <c r="L32" s="9" t="s">
        <v>12119</v>
      </c>
      <c r="M32" s="9"/>
      <c r="N32" s="10"/>
      <c r="O32" s="9" t="s">
        <v>12074</v>
      </c>
      <c r="P32" s="9">
        <v>16</v>
      </c>
      <c r="Q32" s="9">
        <v>1.9226147560682529</v>
      </c>
      <c r="R32" s="9"/>
      <c r="S32" s="9" t="s">
        <v>12795</v>
      </c>
      <c r="T32" s="9" t="s">
        <v>12795</v>
      </c>
      <c r="U32" s="9"/>
      <c r="V32" s="9"/>
      <c r="W32" s="9"/>
      <c r="X32" s="9"/>
      <c r="Y32" s="9"/>
      <c r="Z32" s="9"/>
      <c r="AA32" s="9"/>
      <c r="AB32" s="9"/>
      <c r="AC32" s="9"/>
      <c r="AD32" s="9"/>
    </row>
    <row r="33" spans="1:30" ht="130.5">
      <c r="A33" s="3" t="s">
        <v>1841</v>
      </c>
      <c r="B33" s="3" t="s">
        <v>6711</v>
      </c>
      <c r="C33" s="3" t="s">
        <v>6719</v>
      </c>
      <c r="G33" s="9" t="s">
        <v>24</v>
      </c>
      <c r="H33" s="9"/>
      <c r="I33" s="9">
        <v>1</v>
      </c>
      <c r="J33" s="9">
        <v>8</v>
      </c>
      <c r="K33" s="9" t="s">
        <v>12092</v>
      </c>
      <c r="L33" s="9" t="s">
        <v>12073</v>
      </c>
      <c r="M33" s="9" t="s">
        <v>12142</v>
      </c>
      <c r="N33" s="10" t="s">
        <v>12160</v>
      </c>
      <c r="O33" s="9"/>
      <c r="P33" s="9">
        <v>28</v>
      </c>
      <c r="Q33" s="9">
        <v>3.3645758231194423</v>
      </c>
      <c r="R33" s="9"/>
      <c r="S33" s="9" t="s">
        <v>12795</v>
      </c>
      <c r="T33" s="9" t="s">
        <v>12795</v>
      </c>
      <c r="U33" s="9"/>
      <c r="V33" s="9"/>
      <c r="W33" s="9"/>
      <c r="X33" s="9"/>
      <c r="Y33" s="9"/>
      <c r="Z33" s="9"/>
      <c r="AA33" s="9"/>
      <c r="AB33" s="9"/>
      <c r="AC33" s="9"/>
      <c r="AD33" s="9"/>
    </row>
    <row r="34" spans="1:30" ht="43.5">
      <c r="A34" s="3" t="s">
        <v>1845</v>
      </c>
      <c r="B34" s="3" t="s">
        <v>6735</v>
      </c>
      <c r="C34" s="3" t="s">
        <v>6736</v>
      </c>
      <c r="G34" s="9" t="s">
        <v>25</v>
      </c>
      <c r="H34" s="9"/>
      <c r="I34" s="9">
        <v>1</v>
      </c>
      <c r="J34" s="9">
        <v>6</v>
      </c>
      <c r="K34" s="9" t="s">
        <v>12125</v>
      </c>
      <c r="L34" s="9" t="s">
        <v>12079</v>
      </c>
      <c r="M34" s="9"/>
      <c r="N34" s="10"/>
      <c r="O34" s="9"/>
      <c r="P34" s="9">
        <v>173</v>
      </c>
      <c r="Q34" s="9">
        <v>20.788272049987985</v>
      </c>
      <c r="R34" s="9"/>
      <c r="S34" s="9" t="s">
        <v>12795</v>
      </c>
      <c r="T34" s="9" t="s">
        <v>12795</v>
      </c>
      <c r="U34" s="9"/>
      <c r="V34" s="9"/>
      <c r="W34" s="9"/>
      <c r="X34" s="9"/>
      <c r="Y34" s="9"/>
      <c r="Z34" s="9"/>
      <c r="AA34" s="9"/>
      <c r="AB34" s="9"/>
      <c r="AC34" s="9"/>
      <c r="AD34" s="9"/>
    </row>
    <row r="35" spans="1:30" ht="43.5">
      <c r="A35" s="3" t="s">
        <v>1848</v>
      </c>
      <c r="B35" s="3" t="s">
        <v>6740</v>
      </c>
      <c r="C35" s="3" t="s">
        <v>6741</v>
      </c>
      <c r="G35" s="9" t="s">
        <v>25</v>
      </c>
      <c r="H35" s="9"/>
      <c r="I35" s="9">
        <v>1</v>
      </c>
      <c r="J35" s="9">
        <v>7</v>
      </c>
      <c r="K35" s="9" t="s">
        <v>12092</v>
      </c>
      <c r="L35" s="9" t="s">
        <v>12079</v>
      </c>
      <c r="M35" s="9"/>
      <c r="N35" s="10"/>
      <c r="O35" s="9"/>
      <c r="P35" s="9">
        <v>57</v>
      </c>
      <c r="Q35" s="9">
        <v>6.8493150684931505</v>
      </c>
      <c r="R35" s="9"/>
      <c r="S35" s="9" t="s">
        <v>12795</v>
      </c>
      <c r="T35" s="9" t="s">
        <v>12795</v>
      </c>
      <c r="U35" s="9"/>
      <c r="V35" s="9"/>
      <c r="W35" s="9"/>
      <c r="X35" s="9"/>
      <c r="Y35" s="9"/>
      <c r="Z35" s="9"/>
      <c r="AA35" s="9"/>
      <c r="AB35" s="9"/>
      <c r="AC35" s="9"/>
      <c r="AD35" s="9"/>
    </row>
    <row r="36" spans="1:30" ht="43.5">
      <c r="A36" s="3" t="s">
        <v>1851</v>
      </c>
      <c r="B36" s="3" t="s">
        <v>6744</v>
      </c>
      <c r="C36" s="3" t="s">
        <v>6745</v>
      </c>
      <c r="G36" s="9" t="s">
        <v>25</v>
      </c>
      <c r="H36" s="9"/>
      <c r="I36" s="9">
        <v>1</v>
      </c>
      <c r="J36" s="9">
        <v>9</v>
      </c>
      <c r="K36" s="9" t="s">
        <v>12092</v>
      </c>
      <c r="L36" s="9" t="s">
        <v>12079</v>
      </c>
      <c r="M36" s="9"/>
      <c r="N36" s="10"/>
      <c r="O36" s="9"/>
      <c r="P36" s="9">
        <v>50</v>
      </c>
      <c r="Q36" s="9">
        <v>6.0081711127132902</v>
      </c>
      <c r="R36" s="9"/>
      <c r="S36" s="9" t="s">
        <v>12795</v>
      </c>
      <c r="T36" s="9" t="s">
        <v>12795</v>
      </c>
      <c r="U36" s="9"/>
      <c r="V36" s="9"/>
      <c r="W36" s="9"/>
      <c r="X36" s="9"/>
      <c r="Y36" s="9"/>
      <c r="Z36" s="9"/>
      <c r="AA36" s="9"/>
      <c r="AB36" s="9"/>
      <c r="AC36" s="9"/>
      <c r="AD36" s="9"/>
    </row>
    <row r="37" spans="1:30" ht="72.5">
      <c r="A37" s="3" t="s">
        <v>1938</v>
      </c>
      <c r="B37" s="3" t="s">
        <v>6889</v>
      </c>
      <c r="C37" s="3" t="s">
        <v>6888</v>
      </c>
      <c r="E37" t="s">
        <v>20</v>
      </c>
      <c r="G37" s="9" t="s">
        <v>25</v>
      </c>
      <c r="H37" s="9"/>
      <c r="I37" s="9">
        <v>1</v>
      </c>
      <c r="J37" s="9">
        <v>6</v>
      </c>
      <c r="K37" s="9" t="s">
        <v>12125</v>
      </c>
      <c r="L37" s="9" t="s">
        <v>12073</v>
      </c>
      <c r="M37" s="9" t="s">
        <v>12142</v>
      </c>
      <c r="N37" s="10" t="s">
        <v>12160</v>
      </c>
      <c r="O37" s="9"/>
      <c r="P37" s="9">
        <v>2042</v>
      </c>
      <c r="Q37" s="9">
        <v>245.37370824321076</v>
      </c>
      <c r="R37" s="9"/>
      <c r="S37" s="9" t="s">
        <v>12795</v>
      </c>
      <c r="T37" s="9" t="s">
        <v>12795</v>
      </c>
      <c r="U37" s="9" t="s">
        <v>12117</v>
      </c>
      <c r="V37" s="9"/>
      <c r="W37" s="9"/>
      <c r="X37" s="9"/>
      <c r="Y37" s="9"/>
      <c r="Z37" s="9"/>
      <c r="AA37" s="9"/>
      <c r="AB37" s="9"/>
      <c r="AC37" s="9"/>
      <c r="AD37" s="9"/>
    </row>
    <row r="38" spans="1:30" ht="72.5">
      <c r="A38" s="3" t="s">
        <v>1943</v>
      </c>
      <c r="B38" s="3" t="s">
        <v>12314</v>
      </c>
      <c r="C38" s="3" t="s">
        <v>6892</v>
      </c>
      <c r="G38" s="9" t="s">
        <v>25</v>
      </c>
      <c r="H38" s="9"/>
      <c r="I38" s="9">
        <v>1</v>
      </c>
      <c r="J38" s="9">
        <v>10</v>
      </c>
      <c r="K38" s="9" t="s">
        <v>12098</v>
      </c>
      <c r="L38" s="9" t="s">
        <v>12079</v>
      </c>
      <c r="M38" s="9"/>
      <c r="N38" s="10"/>
      <c r="O38" s="9"/>
      <c r="P38" s="9">
        <v>229</v>
      </c>
      <c r="Q38" s="9">
        <v>27.517423696226867</v>
      </c>
      <c r="R38" s="9"/>
      <c r="S38" s="9" t="s">
        <v>12795</v>
      </c>
      <c r="T38" s="9" t="s">
        <v>12795</v>
      </c>
      <c r="U38" s="9"/>
      <c r="V38" s="9"/>
      <c r="W38" s="9"/>
      <c r="X38" s="9"/>
      <c r="Y38" s="9"/>
      <c r="Z38" s="9"/>
      <c r="AA38" s="9"/>
      <c r="AB38" s="9"/>
      <c r="AC38" s="9"/>
      <c r="AD38" s="9"/>
    </row>
    <row r="39" spans="1:30" ht="58">
      <c r="A39" s="3" t="s">
        <v>1962</v>
      </c>
      <c r="B39" s="3" t="s">
        <v>6924</v>
      </c>
      <c r="C39" s="3" t="s">
        <v>6921</v>
      </c>
      <c r="G39" s="9" t="s">
        <v>25</v>
      </c>
      <c r="H39" s="9"/>
      <c r="I39" s="9">
        <v>1</v>
      </c>
      <c r="J39" s="9">
        <v>3</v>
      </c>
      <c r="K39" s="9" t="s">
        <v>12072</v>
      </c>
      <c r="L39" s="9" t="s">
        <v>12079</v>
      </c>
      <c r="M39" s="9"/>
      <c r="N39" s="10"/>
      <c r="O39" s="9"/>
      <c r="P39" s="9">
        <v>214</v>
      </c>
      <c r="Q39" s="9">
        <v>25.71497236241288</v>
      </c>
      <c r="R39" s="9"/>
      <c r="S39" s="9" t="s">
        <v>12795</v>
      </c>
      <c r="T39" s="9" t="s">
        <v>12795</v>
      </c>
      <c r="U39" s="9"/>
      <c r="V39" s="9"/>
      <c r="W39" s="9"/>
      <c r="X39" s="9"/>
      <c r="Y39" s="9"/>
      <c r="Z39" s="9"/>
      <c r="AA39" s="9"/>
      <c r="AB39" s="9"/>
      <c r="AC39" s="9"/>
      <c r="AD39" s="9"/>
    </row>
    <row r="40" spans="1:30" ht="43.5">
      <c r="A40" s="3" t="s">
        <v>1967</v>
      </c>
      <c r="B40" s="3" t="s">
        <v>6934</v>
      </c>
      <c r="C40" s="3" t="s">
        <v>6933</v>
      </c>
      <c r="G40" s="9" t="s">
        <v>25</v>
      </c>
      <c r="H40" s="9"/>
      <c r="I40" s="9">
        <v>1</v>
      </c>
      <c r="J40" s="9">
        <v>8</v>
      </c>
      <c r="K40" s="9" t="s">
        <v>12098</v>
      </c>
      <c r="L40" s="9" t="s">
        <v>12079</v>
      </c>
      <c r="M40" s="9"/>
      <c r="N40" s="10"/>
      <c r="O40" s="9"/>
      <c r="P40" s="9">
        <v>2042</v>
      </c>
      <c r="Q40" s="9">
        <v>245.37370824321076</v>
      </c>
      <c r="R40" s="9"/>
      <c r="S40" s="9" t="s">
        <v>12795</v>
      </c>
      <c r="T40" s="9" t="s">
        <v>12795</v>
      </c>
      <c r="U40" s="9"/>
      <c r="V40" s="9"/>
      <c r="W40" s="9"/>
      <c r="X40" s="9"/>
      <c r="Y40" s="9"/>
      <c r="Z40" s="9"/>
      <c r="AA40" s="9"/>
      <c r="AB40" s="9"/>
      <c r="AC40" s="9"/>
      <c r="AD40" s="9"/>
    </row>
    <row r="41" spans="1:30" ht="72.5">
      <c r="A41" s="3" t="s">
        <v>2013</v>
      </c>
      <c r="B41" s="3" t="s">
        <v>6988</v>
      </c>
      <c r="C41" s="3" t="s">
        <v>6987</v>
      </c>
      <c r="G41" s="9" t="s">
        <v>25</v>
      </c>
      <c r="H41" s="9"/>
      <c r="I41" s="9">
        <v>1</v>
      </c>
      <c r="J41" s="9">
        <v>8</v>
      </c>
      <c r="K41" s="9" t="s">
        <v>12125</v>
      </c>
      <c r="L41" s="9" t="s">
        <v>12073</v>
      </c>
      <c r="M41" s="9" t="s">
        <v>12203</v>
      </c>
      <c r="N41" s="10" t="s">
        <v>12204</v>
      </c>
      <c r="O41" s="9"/>
      <c r="P41" s="9">
        <v>20</v>
      </c>
      <c r="Q41" s="9">
        <v>2.4032684450853159</v>
      </c>
      <c r="R41" s="9"/>
      <c r="S41" s="9" t="s">
        <v>12795</v>
      </c>
      <c r="T41" s="9" t="s">
        <v>12795</v>
      </c>
      <c r="U41" s="9"/>
      <c r="V41" s="9"/>
      <c r="W41" s="9"/>
      <c r="X41" s="9"/>
      <c r="Y41" s="9"/>
      <c r="Z41" s="9"/>
      <c r="AA41" s="9"/>
      <c r="AB41" s="9"/>
      <c r="AC41" s="9"/>
      <c r="AD41" s="9"/>
    </row>
    <row r="42" spans="1:30" ht="72.5">
      <c r="A42" s="3" t="s">
        <v>2114</v>
      </c>
      <c r="B42" s="3" t="s">
        <v>7102</v>
      </c>
      <c r="C42" s="3" t="s">
        <v>7103</v>
      </c>
      <c r="G42" s="9" t="s">
        <v>25</v>
      </c>
      <c r="H42" s="9"/>
      <c r="I42" s="9">
        <v>1</v>
      </c>
      <c r="J42" s="9">
        <v>9</v>
      </c>
      <c r="K42" s="9" t="s">
        <v>12092</v>
      </c>
      <c r="L42" s="9" t="s">
        <v>12073</v>
      </c>
      <c r="M42" s="9" t="s">
        <v>12149</v>
      </c>
      <c r="N42" s="10" t="s">
        <v>12143</v>
      </c>
      <c r="O42" s="9"/>
      <c r="P42" s="9">
        <v>1</v>
      </c>
      <c r="Q42" s="9">
        <v>0.12016342225426581</v>
      </c>
      <c r="R42" s="9"/>
      <c r="S42" s="9" t="s">
        <v>12795</v>
      </c>
      <c r="T42" s="9" t="s">
        <v>12795</v>
      </c>
      <c r="U42" s="9"/>
      <c r="V42" s="9"/>
      <c r="W42" s="9"/>
      <c r="X42" s="9"/>
      <c r="Y42" s="9"/>
      <c r="Z42" s="9"/>
      <c r="AA42" s="9"/>
      <c r="AB42" s="9"/>
      <c r="AC42" s="9"/>
      <c r="AD42" s="9"/>
    </row>
    <row r="43" spans="1:30" ht="58">
      <c r="A43" s="3" t="s">
        <v>2119</v>
      </c>
      <c r="B43" s="3" t="s">
        <v>7119</v>
      </c>
      <c r="C43" s="3" t="s">
        <v>7118</v>
      </c>
      <c r="G43" s="9" t="s">
        <v>24</v>
      </c>
      <c r="H43" s="9"/>
      <c r="I43" s="9">
        <v>1</v>
      </c>
      <c r="J43" s="9">
        <v>8</v>
      </c>
      <c r="K43" s="9" t="s">
        <v>12098</v>
      </c>
      <c r="L43" s="9" t="s">
        <v>12073</v>
      </c>
      <c r="M43" s="9" t="s">
        <v>12142</v>
      </c>
      <c r="N43" s="10" t="s">
        <v>12158</v>
      </c>
      <c r="O43" s="9"/>
      <c r="P43" s="9">
        <v>16</v>
      </c>
      <c r="Q43" s="9">
        <v>1.9226147560682529</v>
      </c>
      <c r="R43" s="9"/>
      <c r="S43" s="9" t="s">
        <v>12795</v>
      </c>
      <c r="T43" s="9" t="s">
        <v>12795</v>
      </c>
      <c r="U43" s="9"/>
      <c r="V43" s="9"/>
      <c r="W43" s="9"/>
      <c r="X43" s="9"/>
      <c r="Y43" s="9"/>
      <c r="Z43" s="9"/>
      <c r="AA43" s="9"/>
      <c r="AB43" s="9"/>
      <c r="AC43" s="9"/>
      <c r="AD43" s="9"/>
    </row>
    <row r="44" spans="1:30" ht="58">
      <c r="A44" s="3" t="s">
        <v>2136</v>
      </c>
      <c r="B44" s="3" t="s">
        <v>12895</v>
      </c>
      <c r="C44" s="3" t="s">
        <v>7134</v>
      </c>
      <c r="G44" s="9" t="s">
        <v>25</v>
      </c>
      <c r="H44" s="9"/>
      <c r="I44" s="9">
        <v>1</v>
      </c>
      <c r="J44" s="9">
        <v>10</v>
      </c>
      <c r="K44" s="9" t="s">
        <v>12125</v>
      </c>
      <c r="L44" s="9" t="s">
        <v>12073</v>
      </c>
      <c r="M44" s="9" t="s">
        <v>12142</v>
      </c>
      <c r="N44" s="10" t="s">
        <v>12143</v>
      </c>
      <c r="O44" s="9"/>
      <c r="P44" s="9">
        <v>25</v>
      </c>
      <c r="Q44" s="9">
        <v>3.0040855563566451</v>
      </c>
      <c r="R44" s="9"/>
      <c r="S44" s="9" t="s">
        <v>12795</v>
      </c>
      <c r="T44" s="9" t="s">
        <v>12795</v>
      </c>
      <c r="U44" s="9"/>
      <c r="V44" s="9"/>
      <c r="W44" s="9"/>
      <c r="X44" s="9"/>
      <c r="Y44" s="9"/>
      <c r="Z44" s="9"/>
      <c r="AA44" s="9"/>
      <c r="AB44" s="9"/>
      <c r="AC44" s="9"/>
      <c r="AD44" s="9"/>
    </row>
    <row r="45" spans="1:30" ht="58">
      <c r="A45" s="3" t="s">
        <v>2150</v>
      </c>
      <c r="B45" s="3" t="s">
        <v>7156</v>
      </c>
      <c r="C45" s="3" t="s">
        <v>7157</v>
      </c>
      <c r="G45" s="9" t="s">
        <v>25</v>
      </c>
      <c r="H45" s="9"/>
      <c r="I45" s="9">
        <v>1</v>
      </c>
      <c r="J45" s="9">
        <v>3</v>
      </c>
      <c r="K45" s="9" t="s">
        <v>12092</v>
      </c>
      <c r="L45" s="9" t="s">
        <v>12079</v>
      </c>
      <c r="M45" s="9"/>
      <c r="N45" s="10"/>
      <c r="O45" s="9"/>
      <c r="P45" s="9">
        <v>635</v>
      </c>
      <c r="Q45" s="9">
        <v>76.303773131458783</v>
      </c>
      <c r="R45" s="9"/>
      <c r="S45" s="9" t="s">
        <v>12795</v>
      </c>
      <c r="T45" s="9" t="s">
        <v>12795</v>
      </c>
      <c r="U45" s="9"/>
      <c r="V45" s="9"/>
      <c r="W45" s="9"/>
      <c r="X45" s="9"/>
      <c r="Y45" s="9"/>
      <c r="Z45" s="9"/>
      <c r="AA45" s="9"/>
      <c r="AB45" s="9"/>
      <c r="AC45" s="9"/>
      <c r="AD45" s="9"/>
    </row>
    <row r="46" spans="1:30" ht="29">
      <c r="A46" s="3" t="s">
        <v>2293</v>
      </c>
      <c r="B46" s="3" t="s">
        <v>6286</v>
      </c>
      <c r="C46" s="3" t="s">
        <v>7347</v>
      </c>
      <c r="G46" s="9" t="s">
        <v>25</v>
      </c>
      <c r="H46" s="9"/>
      <c r="I46" s="9">
        <v>1</v>
      </c>
      <c r="J46" s="9">
        <v>3</v>
      </c>
      <c r="K46" s="9" t="s">
        <v>12092</v>
      </c>
      <c r="L46" s="9" t="s">
        <v>12079</v>
      </c>
      <c r="M46" s="9"/>
      <c r="N46" s="10"/>
      <c r="O46" s="9"/>
      <c r="P46" s="9">
        <v>635</v>
      </c>
      <c r="Q46" s="9">
        <v>76.303773131458783</v>
      </c>
      <c r="R46" s="9"/>
      <c r="S46" s="9" t="s">
        <v>12795</v>
      </c>
      <c r="T46" s="9" t="s">
        <v>12795</v>
      </c>
      <c r="U46" s="9"/>
      <c r="V46" s="9"/>
      <c r="W46" s="9"/>
      <c r="X46" s="9"/>
      <c r="Y46" s="9"/>
      <c r="Z46" s="9"/>
      <c r="AA46" s="9"/>
      <c r="AB46" s="9"/>
      <c r="AC46" s="9"/>
      <c r="AD46" s="9"/>
    </row>
    <row r="47" spans="1:30" ht="58">
      <c r="A47" s="3" t="s">
        <v>2298</v>
      </c>
      <c r="B47" s="3" t="s">
        <v>7348</v>
      </c>
      <c r="C47" s="3" t="s">
        <v>7349</v>
      </c>
      <c r="G47" s="9" t="s">
        <v>25</v>
      </c>
      <c r="H47" s="9"/>
      <c r="I47" s="9">
        <v>1</v>
      </c>
      <c r="J47" s="9">
        <v>8</v>
      </c>
      <c r="K47" s="9" t="s">
        <v>12092</v>
      </c>
      <c r="L47" s="9" t="s">
        <v>12079</v>
      </c>
      <c r="M47" s="9"/>
      <c r="N47" s="10"/>
      <c r="O47" s="9"/>
      <c r="P47" s="9">
        <v>4</v>
      </c>
      <c r="Q47" s="9">
        <v>0.48065368901706323</v>
      </c>
      <c r="R47" s="9"/>
      <c r="S47" s="9" t="s">
        <v>12795</v>
      </c>
      <c r="T47" s="9" t="s">
        <v>12795</v>
      </c>
      <c r="U47" s="9"/>
      <c r="V47" s="9"/>
      <c r="W47" s="9"/>
      <c r="X47" s="9"/>
      <c r="Y47" s="9"/>
      <c r="Z47" s="9"/>
      <c r="AA47" s="9"/>
      <c r="AB47" s="9"/>
      <c r="AC47" s="9"/>
      <c r="AD47" s="9"/>
    </row>
    <row r="48" spans="1:30" ht="101.5">
      <c r="A48" s="3" t="s">
        <v>2343</v>
      </c>
      <c r="B48" s="3" t="s">
        <v>7390</v>
      </c>
      <c r="C48" s="3" t="s">
        <v>7393</v>
      </c>
      <c r="G48" s="9" t="s">
        <v>24</v>
      </c>
      <c r="H48" s="9"/>
      <c r="I48" s="9">
        <v>1</v>
      </c>
      <c r="J48" s="9">
        <v>10</v>
      </c>
      <c r="K48" s="9" t="s">
        <v>12092</v>
      </c>
      <c r="L48" s="9" t="s">
        <v>12073</v>
      </c>
      <c r="M48" s="9" t="s">
        <v>12142</v>
      </c>
      <c r="N48" s="10" t="s">
        <v>12375</v>
      </c>
      <c r="O48" s="9" t="s">
        <v>12074</v>
      </c>
      <c r="P48" s="9">
        <v>17</v>
      </c>
      <c r="Q48" s="9">
        <v>2.0427781783225187</v>
      </c>
      <c r="R48" s="9"/>
      <c r="S48" s="9" t="s">
        <v>12795</v>
      </c>
      <c r="T48" s="9" t="s">
        <v>12795</v>
      </c>
      <c r="U48" s="9"/>
      <c r="V48" s="9"/>
      <c r="W48" s="9"/>
      <c r="X48" s="9"/>
      <c r="Y48" s="9"/>
      <c r="Z48" s="9"/>
      <c r="AA48" s="9"/>
      <c r="AB48" s="9"/>
      <c r="AC48" s="9"/>
      <c r="AD48" s="9"/>
    </row>
    <row r="49" spans="1:30" ht="159.5">
      <c r="A49" s="3" t="s">
        <v>2357</v>
      </c>
      <c r="B49" s="3" t="s">
        <v>7414</v>
      </c>
      <c r="C49" s="3" t="s">
        <v>7410</v>
      </c>
      <c r="G49" s="9" t="s">
        <v>25</v>
      </c>
      <c r="H49" s="9"/>
      <c r="I49" s="9">
        <v>1</v>
      </c>
      <c r="J49" s="9">
        <v>6</v>
      </c>
      <c r="K49" s="9" t="s">
        <v>12092</v>
      </c>
      <c r="L49" s="9" t="s">
        <v>12079</v>
      </c>
      <c r="M49" s="9"/>
      <c r="N49" s="10"/>
      <c r="O49" s="9"/>
      <c r="P49" s="9">
        <v>75</v>
      </c>
      <c r="Q49" s="9">
        <v>9.0122566690699344</v>
      </c>
      <c r="R49" s="9"/>
      <c r="S49" s="9" t="s">
        <v>12795</v>
      </c>
      <c r="T49" s="9" t="s">
        <v>12795</v>
      </c>
      <c r="U49" s="9"/>
      <c r="V49" s="9"/>
      <c r="W49" s="9"/>
      <c r="X49" s="9"/>
      <c r="Y49" s="9"/>
      <c r="Z49" s="9"/>
      <c r="AA49" s="9"/>
      <c r="AB49" s="9"/>
      <c r="AC49" s="9"/>
      <c r="AD49" s="9"/>
    </row>
    <row r="50" spans="1:30" ht="159.5">
      <c r="A50" s="3" t="s">
        <v>2357</v>
      </c>
      <c r="B50" s="3" t="s">
        <v>7411</v>
      </c>
      <c r="C50" s="3" t="s">
        <v>7415</v>
      </c>
      <c r="G50" s="9" t="s">
        <v>24</v>
      </c>
      <c r="H50" s="9"/>
      <c r="I50" s="9">
        <v>1</v>
      </c>
      <c r="J50" s="9">
        <v>6</v>
      </c>
      <c r="K50" s="9" t="s">
        <v>12092</v>
      </c>
      <c r="L50" s="9" t="s">
        <v>12079</v>
      </c>
      <c r="M50" s="9"/>
      <c r="N50" s="10"/>
      <c r="O50" s="9"/>
      <c r="P50" s="9">
        <v>75</v>
      </c>
      <c r="Q50" s="9">
        <v>9.0122566690699344</v>
      </c>
      <c r="R50" s="9"/>
      <c r="S50" s="9" t="s">
        <v>12795</v>
      </c>
      <c r="T50" s="9" t="s">
        <v>12795</v>
      </c>
      <c r="U50" s="9"/>
      <c r="V50" s="9"/>
      <c r="W50" s="9"/>
      <c r="X50" s="9"/>
      <c r="Y50" s="9"/>
      <c r="Z50" s="9"/>
      <c r="AA50" s="9"/>
      <c r="AB50" s="9"/>
      <c r="AC50" s="9"/>
      <c r="AD50" s="9"/>
    </row>
    <row r="51" spans="1:30" ht="58">
      <c r="A51" s="3" t="s">
        <v>2361</v>
      </c>
      <c r="B51" s="3" t="s">
        <v>7422</v>
      </c>
      <c r="C51" s="3" t="s">
        <v>7423</v>
      </c>
      <c r="G51" s="9" t="s">
        <v>25</v>
      </c>
      <c r="H51" s="9"/>
      <c r="I51" s="9">
        <v>1</v>
      </c>
      <c r="J51" s="9">
        <v>8</v>
      </c>
      <c r="K51" s="9" t="s">
        <v>12092</v>
      </c>
      <c r="L51" s="9" t="s">
        <v>12073</v>
      </c>
      <c r="M51" s="9" t="s">
        <v>12142</v>
      </c>
      <c r="N51" s="10" t="s">
        <v>12199</v>
      </c>
      <c r="O51" s="9" t="s">
        <v>12074</v>
      </c>
      <c r="P51" s="9">
        <v>9</v>
      </c>
      <c r="Q51" s="9">
        <v>1.0814708002883922</v>
      </c>
      <c r="R51" s="9"/>
      <c r="S51" s="9" t="s">
        <v>12795</v>
      </c>
      <c r="T51" s="9" t="s">
        <v>12795</v>
      </c>
      <c r="U51" s="9"/>
      <c r="V51" s="9"/>
      <c r="W51" s="9"/>
      <c r="X51" s="9"/>
      <c r="Y51" s="9"/>
      <c r="Z51" s="9"/>
      <c r="AA51" s="9"/>
      <c r="AB51" s="9"/>
      <c r="AC51" s="9"/>
      <c r="AD51" s="9"/>
    </row>
    <row r="52" spans="1:30" ht="58">
      <c r="A52" s="3" t="s">
        <v>2386</v>
      </c>
      <c r="B52" s="3" t="s">
        <v>7457</v>
      </c>
      <c r="C52" s="3" t="s">
        <v>7456</v>
      </c>
      <c r="G52" s="9" t="s">
        <v>25</v>
      </c>
      <c r="H52" s="9"/>
      <c r="I52" s="9">
        <v>1</v>
      </c>
      <c r="J52" s="9">
        <v>7</v>
      </c>
      <c r="K52" s="9" t="s">
        <v>12092</v>
      </c>
      <c r="L52" s="9" t="s">
        <v>12079</v>
      </c>
      <c r="M52" s="9"/>
      <c r="N52" s="10"/>
      <c r="O52" s="9"/>
      <c r="P52" s="9">
        <v>14</v>
      </c>
      <c r="Q52" s="9">
        <v>1.6822879115597211</v>
      </c>
      <c r="R52" s="9"/>
      <c r="S52" s="9" t="s">
        <v>12795</v>
      </c>
      <c r="T52" s="9" t="s">
        <v>12795</v>
      </c>
      <c r="U52" s="9"/>
      <c r="V52" s="9"/>
      <c r="W52" s="9"/>
      <c r="X52" s="9"/>
      <c r="Y52" s="9"/>
      <c r="Z52" s="9"/>
      <c r="AA52" s="9"/>
      <c r="AB52" s="9"/>
      <c r="AC52" s="9"/>
      <c r="AD52" s="9"/>
    </row>
    <row r="53" spans="1:30" ht="43.5">
      <c r="A53" s="3" t="s">
        <v>2470</v>
      </c>
      <c r="B53" s="3" t="s">
        <v>7570</v>
      </c>
      <c r="C53" s="3" t="s">
        <v>7569</v>
      </c>
      <c r="G53" s="9" t="s">
        <v>25</v>
      </c>
      <c r="H53" s="9"/>
      <c r="I53" s="9">
        <v>1</v>
      </c>
      <c r="J53" s="9">
        <v>9</v>
      </c>
      <c r="K53" s="9" t="s">
        <v>12092</v>
      </c>
      <c r="L53" s="9" t="s">
        <v>12073</v>
      </c>
      <c r="M53" s="9" t="s">
        <v>12142</v>
      </c>
      <c r="N53" s="10" t="s">
        <v>12143</v>
      </c>
      <c r="O53" s="9"/>
      <c r="P53" s="9">
        <v>2</v>
      </c>
      <c r="Q53" s="9">
        <v>0.24032684450853162</v>
      </c>
      <c r="R53" s="9"/>
      <c r="S53" s="9" t="s">
        <v>12795</v>
      </c>
      <c r="T53" s="9" t="s">
        <v>12795</v>
      </c>
      <c r="U53" s="9"/>
      <c r="V53" s="9"/>
      <c r="W53" s="9"/>
      <c r="X53" s="9"/>
      <c r="Y53" s="9"/>
      <c r="Z53" s="9"/>
      <c r="AA53" s="9"/>
      <c r="AB53" s="9"/>
      <c r="AC53" s="9"/>
      <c r="AD53" s="9"/>
    </row>
    <row r="54" spans="1:30" ht="43.5">
      <c r="A54" s="3" t="s">
        <v>2492</v>
      </c>
      <c r="B54" s="3" t="s">
        <v>7598</v>
      </c>
      <c r="C54" s="11" t="s">
        <v>7595</v>
      </c>
      <c r="G54" s="9" t="s">
        <v>25</v>
      </c>
      <c r="H54" s="9"/>
      <c r="I54" s="9">
        <v>1</v>
      </c>
      <c r="J54" s="9">
        <v>3</v>
      </c>
      <c r="K54" s="9" t="s">
        <v>12084</v>
      </c>
      <c r="L54" s="9" t="s">
        <v>12079</v>
      </c>
      <c r="M54" s="9"/>
      <c r="N54" s="10"/>
      <c r="O54" s="9"/>
      <c r="P54" s="9">
        <v>50</v>
      </c>
      <c r="Q54" s="9">
        <v>6.0081711127132902</v>
      </c>
      <c r="R54" s="9"/>
      <c r="S54" s="9" t="s">
        <v>12795</v>
      </c>
      <c r="T54" s="9" t="s">
        <v>12795</v>
      </c>
      <c r="U54" s="9"/>
      <c r="V54" s="9"/>
      <c r="W54" s="9"/>
      <c r="X54" s="9"/>
      <c r="Y54" s="9"/>
      <c r="Z54" s="9"/>
      <c r="AA54" s="9"/>
      <c r="AB54" s="9"/>
      <c r="AC54" s="9"/>
      <c r="AD54" s="9"/>
    </row>
    <row r="55" spans="1:30" ht="87">
      <c r="A55" s="3" t="s">
        <v>2562</v>
      </c>
      <c r="B55" s="3" t="s">
        <v>7693</v>
      </c>
      <c r="C55" s="3" t="s">
        <v>7694</v>
      </c>
      <c r="G55" s="9" t="s">
        <v>24</v>
      </c>
      <c r="H55" s="9"/>
      <c r="I55" s="9">
        <v>1</v>
      </c>
      <c r="J55" s="9">
        <v>3</v>
      </c>
      <c r="K55" s="9" t="s">
        <v>12084</v>
      </c>
      <c r="L55" s="9" t="s">
        <v>12079</v>
      </c>
      <c r="M55" s="9"/>
      <c r="N55" s="10"/>
      <c r="O55" s="9"/>
      <c r="P55" s="9">
        <v>50</v>
      </c>
      <c r="Q55" s="9">
        <v>6.0081711127132902</v>
      </c>
      <c r="R55" s="9"/>
      <c r="S55" s="9" t="s">
        <v>12795</v>
      </c>
      <c r="T55" s="9" t="s">
        <v>12795</v>
      </c>
      <c r="U55" s="9"/>
      <c r="V55" s="9"/>
      <c r="W55" s="9"/>
      <c r="X55" s="9"/>
      <c r="Y55" s="9"/>
      <c r="Z55" s="9"/>
      <c r="AA55" s="9"/>
      <c r="AB55" s="9"/>
      <c r="AC55" s="9"/>
      <c r="AD55" s="9"/>
    </row>
    <row r="56" spans="1:30" ht="116">
      <c r="A56" s="3" t="s">
        <v>2618</v>
      </c>
      <c r="B56" s="3" t="s">
        <v>7757</v>
      </c>
      <c r="C56" s="3" t="s">
        <v>7758</v>
      </c>
      <c r="G56" s="9" t="s">
        <v>24</v>
      </c>
      <c r="H56" s="9"/>
      <c r="I56" s="9">
        <v>1</v>
      </c>
      <c r="J56" s="9">
        <v>8</v>
      </c>
      <c r="K56" s="9" t="s">
        <v>12125</v>
      </c>
      <c r="L56" s="9" t="s">
        <v>12073</v>
      </c>
      <c r="M56" s="9" t="s">
        <v>12142</v>
      </c>
      <c r="N56" s="10" t="s">
        <v>12199</v>
      </c>
      <c r="O56" s="9" t="s">
        <v>12074</v>
      </c>
      <c r="P56" s="9">
        <v>72</v>
      </c>
      <c r="Q56" s="9">
        <v>8.6517664023071372</v>
      </c>
      <c r="R56" s="9"/>
      <c r="S56" s="9" t="s">
        <v>12795</v>
      </c>
      <c r="T56" s="9" t="s">
        <v>12795</v>
      </c>
      <c r="U56" s="9"/>
      <c r="V56" s="9"/>
      <c r="W56" s="9"/>
      <c r="X56" s="9"/>
      <c r="Y56" s="9"/>
      <c r="Z56" s="9"/>
      <c r="AA56" s="9"/>
      <c r="AB56" s="9"/>
      <c r="AC56" s="9"/>
      <c r="AD56" s="9"/>
    </row>
    <row r="57" spans="1:30" ht="58">
      <c r="A57" s="3" t="s">
        <v>2627</v>
      </c>
      <c r="B57" s="3" t="s">
        <v>7771</v>
      </c>
      <c r="C57" s="3" t="s">
        <v>7770</v>
      </c>
      <c r="G57" s="9" t="s">
        <v>25</v>
      </c>
      <c r="H57" s="9"/>
      <c r="I57" s="9">
        <v>1</v>
      </c>
      <c r="J57" s="9">
        <v>4</v>
      </c>
      <c r="K57" s="9" t="s">
        <v>12125</v>
      </c>
      <c r="L57" s="9" t="s">
        <v>12079</v>
      </c>
      <c r="M57" s="9"/>
      <c r="N57" s="10"/>
      <c r="O57" s="9"/>
      <c r="P57" s="9">
        <v>2042</v>
      </c>
      <c r="Q57" s="9">
        <v>245.37370824321076</v>
      </c>
      <c r="R57" s="9"/>
      <c r="S57" s="9" t="s">
        <v>12795</v>
      </c>
      <c r="T57" s="9" t="s">
        <v>12795</v>
      </c>
      <c r="U57" s="9"/>
      <c r="V57" s="9"/>
      <c r="W57" s="9"/>
      <c r="X57" s="9"/>
      <c r="Y57" s="9"/>
      <c r="Z57" s="9"/>
      <c r="AA57" s="9"/>
      <c r="AB57" s="9"/>
      <c r="AC57" s="9"/>
      <c r="AD57" s="9"/>
    </row>
    <row r="58" spans="1:30" ht="58">
      <c r="A58" s="3" t="s">
        <v>2685</v>
      </c>
      <c r="B58" s="3" t="s">
        <v>7830</v>
      </c>
      <c r="C58" s="3" t="s">
        <v>7829</v>
      </c>
      <c r="G58" s="9" t="s">
        <v>25</v>
      </c>
      <c r="H58" s="9"/>
      <c r="I58" s="9">
        <v>1</v>
      </c>
      <c r="J58" s="9">
        <v>7</v>
      </c>
      <c r="K58" s="9" t="s">
        <v>12092</v>
      </c>
      <c r="L58" s="9" t="s">
        <v>12073</v>
      </c>
      <c r="M58" s="9" t="s">
        <v>12142</v>
      </c>
      <c r="N58" s="10" t="s">
        <v>12160</v>
      </c>
      <c r="O58" s="9"/>
      <c r="P58" s="9">
        <v>2</v>
      </c>
      <c r="Q58" s="9">
        <v>0.24032684450853162</v>
      </c>
      <c r="R58" s="9"/>
      <c r="S58" s="9" t="s">
        <v>12795</v>
      </c>
      <c r="T58" s="9" t="s">
        <v>12795</v>
      </c>
      <c r="U58" s="9"/>
      <c r="V58" s="9"/>
      <c r="W58" s="9"/>
      <c r="X58" s="9"/>
      <c r="Y58" s="9"/>
      <c r="Z58" s="9"/>
      <c r="AA58" s="9"/>
      <c r="AB58" s="9"/>
      <c r="AC58" s="9"/>
      <c r="AD58" s="9"/>
    </row>
    <row r="59" spans="1:30" ht="58">
      <c r="A59" s="3" t="s">
        <v>2695</v>
      </c>
      <c r="B59" s="3" t="s">
        <v>7843</v>
      </c>
      <c r="C59" s="3" t="s">
        <v>7842</v>
      </c>
      <c r="G59" s="9" t="s">
        <v>24</v>
      </c>
      <c r="H59" s="9"/>
      <c r="I59" s="9">
        <v>1</v>
      </c>
      <c r="J59" s="9">
        <v>4</v>
      </c>
      <c r="K59" s="9" t="s">
        <v>12072</v>
      </c>
      <c r="L59" s="9" t="s">
        <v>12079</v>
      </c>
      <c r="M59" s="9"/>
      <c r="N59" s="10"/>
      <c r="O59" s="9"/>
      <c r="P59" s="9">
        <v>130</v>
      </c>
      <c r="Q59" s="9">
        <v>15.621244893054554</v>
      </c>
      <c r="R59" s="9"/>
      <c r="S59" s="9" t="s">
        <v>12795</v>
      </c>
      <c r="T59" s="9" t="s">
        <v>12795</v>
      </c>
      <c r="U59" s="9"/>
      <c r="V59" s="9"/>
      <c r="W59" s="9"/>
      <c r="X59" s="9"/>
      <c r="Y59" s="9"/>
      <c r="Z59" s="9"/>
      <c r="AA59" s="9"/>
      <c r="AB59" s="9"/>
      <c r="AC59" s="9"/>
      <c r="AD59" s="9"/>
    </row>
    <row r="60" spans="1:30" ht="43.5">
      <c r="A60" s="3" t="s">
        <v>2699</v>
      </c>
      <c r="B60" s="3" t="s">
        <v>7853</v>
      </c>
      <c r="C60" s="3" t="s">
        <v>7852</v>
      </c>
      <c r="G60" s="9" t="s">
        <v>25</v>
      </c>
      <c r="H60" s="9"/>
      <c r="I60" s="9">
        <v>1</v>
      </c>
      <c r="J60" s="9">
        <v>2</v>
      </c>
      <c r="K60" s="9" t="s">
        <v>12092</v>
      </c>
      <c r="L60" s="9" t="s">
        <v>12119</v>
      </c>
      <c r="M60" s="9"/>
      <c r="N60" s="10"/>
      <c r="O60" s="9"/>
      <c r="P60" s="9">
        <v>361</v>
      </c>
      <c r="Q60" s="9">
        <v>43.378995433789953</v>
      </c>
      <c r="R60" s="9"/>
      <c r="S60" s="9" t="s">
        <v>12795</v>
      </c>
      <c r="T60" s="9" t="s">
        <v>12795</v>
      </c>
      <c r="U60" s="9"/>
      <c r="V60" s="9"/>
      <c r="W60" s="9"/>
      <c r="X60" s="9"/>
      <c r="Y60" s="9"/>
      <c r="Z60" s="9"/>
      <c r="AA60" s="9"/>
      <c r="AB60" s="9"/>
      <c r="AC60" s="9"/>
      <c r="AD60" s="9"/>
    </row>
    <row r="61" spans="1:30" ht="29">
      <c r="A61" s="3" t="s">
        <v>2790</v>
      </c>
      <c r="B61" s="3" t="s">
        <v>7976</v>
      </c>
      <c r="C61" s="3" t="s">
        <v>7975</v>
      </c>
      <c r="G61" s="9" t="s">
        <v>24</v>
      </c>
      <c r="H61" s="9"/>
      <c r="I61" s="9">
        <v>1</v>
      </c>
      <c r="J61" s="9">
        <v>2</v>
      </c>
      <c r="K61" s="9" t="s">
        <v>12125</v>
      </c>
      <c r="L61" s="9" t="s">
        <v>12119</v>
      </c>
      <c r="M61" s="9"/>
      <c r="N61" s="10"/>
      <c r="O61" s="9"/>
      <c r="P61" s="9">
        <v>1565</v>
      </c>
      <c r="Q61" s="9">
        <v>188.05575582792596</v>
      </c>
      <c r="R61" s="9"/>
      <c r="S61" s="9" t="s">
        <v>12795</v>
      </c>
      <c r="T61" s="9" t="s">
        <v>12795</v>
      </c>
      <c r="U61" s="9"/>
      <c r="V61" s="9"/>
      <c r="W61" s="9"/>
      <c r="X61" s="9"/>
      <c r="Y61" s="9"/>
      <c r="Z61" s="9"/>
      <c r="AA61" s="9"/>
      <c r="AB61" s="9"/>
      <c r="AC61" s="9"/>
      <c r="AD61" s="9"/>
    </row>
    <row r="62" spans="1:30" ht="43.5">
      <c r="A62" s="3" t="s">
        <v>2794</v>
      </c>
      <c r="B62" s="3" t="s">
        <v>7984</v>
      </c>
      <c r="C62" s="3" t="s">
        <v>7985</v>
      </c>
      <c r="G62" s="9" t="s">
        <v>25</v>
      </c>
      <c r="H62" s="9"/>
      <c r="I62" s="9">
        <v>1</v>
      </c>
      <c r="J62" s="9">
        <v>6</v>
      </c>
      <c r="K62" s="9" t="s">
        <v>12092</v>
      </c>
      <c r="L62" s="9" t="s">
        <v>12079</v>
      </c>
      <c r="M62" s="9"/>
      <c r="N62" s="10"/>
      <c r="O62" s="9"/>
      <c r="P62" s="9">
        <v>41</v>
      </c>
      <c r="Q62" s="9">
        <v>4.9267003124248978</v>
      </c>
      <c r="R62" s="9"/>
      <c r="S62" s="9" t="s">
        <v>12795</v>
      </c>
      <c r="T62" s="9" t="s">
        <v>12795</v>
      </c>
      <c r="U62" s="9"/>
      <c r="V62" s="9"/>
      <c r="W62" s="9"/>
      <c r="X62" s="9"/>
      <c r="Y62" s="9"/>
      <c r="Z62" s="9"/>
      <c r="AA62" s="9"/>
      <c r="AB62" s="9"/>
      <c r="AC62" s="9"/>
      <c r="AD62" s="9"/>
    </row>
    <row r="63" spans="1:30" ht="72.5">
      <c r="A63" s="3" t="s">
        <v>2804</v>
      </c>
      <c r="B63" s="3" t="s">
        <v>8016</v>
      </c>
      <c r="C63" s="3" t="s">
        <v>8019</v>
      </c>
      <c r="G63" s="9" t="s">
        <v>24</v>
      </c>
      <c r="H63" s="9"/>
      <c r="I63" s="9">
        <v>1</v>
      </c>
      <c r="J63" s="9">
        <v>6</v>
      </c>
      <c r="K63" s="9" t="s">
        <v>12072</v>
      </c>
      <c r="L63" s="9" t="s">
        <v>12079</v>
      </c>
      <c r="M63" s="9"/>
      <c r="N63" s="10"/>
      <c r="O63" s="9"/>
      <c r="P63" s="9">
        <v>202</v>
      </c>
      <c r="Q63" s="9">
        <v>24.273011295361695</v>
      </c>
      <c r="R63" s="9"/>
      <c r="S63" s="9" t="s">
        <v>12795</v>
      </c>
      <c r="T63" s="9" t="s">
        <v>12795</v>
      </c>
      <c r="U63" s="9"/>
      <c r="V63" s="9"/>
      <c r="W63" s="9"/>
      <c r="X63" s="9"/>
      <c r="Y63" s="9"/>
      <c r="Z63" s="9"/>
      <c r="AA63" s="9"/>
      <c r="AB63" s="9"/>
      <c r="AC63" s="9"/>
      <c r="AD63" s="9"/>
    </row>
    <row r="64" spans="1:30" ht="58">
      <c r="A64" s="3" t="s">
        <v>2856</v>
      </c>
      <c r="B64" s="3" t="s">
        <v>8107</v>
      </c>
      <c r="C64" s="3" t="s">
        <v>8108</v>
      </c>
      <c r="G64" s="9" t="s">
        <v>24</v>
      </c>
      <c r="H64" s="9"/>
      <c r="I64" s="9">
        <v>1</v>
      </c>
      <c r="J64" s="9">
        <v>8</v>
      </c>
      <c r="K64" s="9" t="s">
        <v>12098</v>
      </c>
      <c r="L64" s="9" t="s">
        <v>12073</v>
      </c>
      <c r="M64" s="9" t="s">
        <v>12142</v>
      </c>
      <c r="N64" s="10" t="s">
        <v>12160</v>
      </c>
      <c r="O64" s="9"/>
      <c r="P64" s="9">
        <v>2042</v>
      </c>
      <c r="Q64" s="9">
        <v>245.37370824321076</v>
      </c>
      <c r="R64" s="9"/>
      <c r="S64" s="9" t="s">
        <v>12795</v>
      </c>
      <c r="T64" s="9" t="s">
        <v>12795</v>
      </c>
      <c r="U64" s="9"/>
      <c r="V64" s="9"/>
      <c r="W64" s="9"/>
      <c r="X64" s="9"/>
      <c r="Y64" s="9"/>
      <c r="Z64" s="9"/>
      <c r="AA64" s="9"/>
      <c r="AB64" s="9"/>
      <c r="AC64" s="9"/>
      <c r="AD64" s="9"/>
    </row>
    <row r="65" spans="1:30" ht="58">
      <c r="A65" s="3" t="s">
        <v>2858</v>
      </c>
      <c r="B65" s="3" t="s">
        <v>8118</v>
      </c>
      <c r="C65" s="3" t="s">
        <v>8119</v>
      </c>
      <c r="G65" s="9" t="s">
        <v>25</v>
      </c>
      <c r="H65" s="9"/>
      <c r="I65" s="9">
        <v>1</v>
      </c>
      <c r="J65" s="9">
        <v>5</v>
      </c>
      <c r="K65" s="9" t="s">
        <v>12125</v>
      </c>
      <c r="L65" s="9" t="s">
        <v>12079</v>
      </c>
      <c r="M65" s="9"/>
      <c r="N65" s="10"/>
      <c r="O65" s="9"/>
      <c r="P65" s="9">
        <v>1565</v>
      </c>
      <c r="Q65" s="9">
        <v>188.05575582792596</v>
      </c>
      <c r="R65" s="9"/>
      <c r="S65" s="9" t="s">
        <v>12795</v>
      </c>
      <c r="T65" s="9" t="s">
        <v>12795</v>
      </c>
      <c r="U65" s="9"/>
      <c r="V65" s="9"/>
      <c r="W65" s="9"/>
      <c r="X65" s="9"/>
      <c r="Y65" s="9"/>
      <c r="Z65" s="9"/>
      <c r="AA65" s="9"/>
      <c r="AB65" s="9"/>
      <c r="AC65" s="9"/>
      <c r="AD65" s="9"/>
    </row>
    <row r="66" spans="1:30" ht="116">
      <c r="A66" s="3" t="s">
        <v>2882</v>
      </c>
      <c r="B66" s="3" t="s">
        <v>8142</v>
      </c>
      <c r="C66" s="3" t="s">
        <v>8143</v>
      </c>
      <c r="G66" s="9" t="s">
        <v>24</v>
      </c>
      <c r="H66" s="9"/>
      <c r="I66" s="9">
        <v>1</v>
      </c>
      <c r="J66" s="9">
        <v>9</v>
      </c>
      <c r="K66" s="9" t="s">
        <v>12084</v>
      </c>
      <c r="L66" s="9" t="s">
        <v>12073</v>
      </c>
      <c r="M66" s="9" t="s">
        <v>12142</v>
      </c>
      <c r="N66" s="10" t="s">
        <v>12160</v>
      </c>
      <c r="O66" s="9"/>
      <c r="P66" s="9">
        <v>37</v>
      </c>
      <c r="Q66" s="9">
        <v>4.4460466234078346</v>
      </c>
      <c r="R66" s="9"/>
      <c r="S66" s="9" t="s">
        <v>12795</v>
      </c>
      <c r="T66" s="9" t="s">
        <v>12795</v>
      </c>
      <c r="U66" s="9"/>
      <c r="V66" s="9"/>
      <c r="W66" s="9"/>
      <c r="X66" s="9"/>
      <c r="Y66" s="9"/>
      <c r="Z66" s="9"/>
      <c r="AA66" s="9"/>
      <c r="AB66" s="9"/>
      <c r="AC66" s="9"/>
      <c r="AD66" s="9"/>
    </row>
    <row r="67" spans="1:30" ht="87">
      <c r="A67" s="3" t="s">
        <v>2885</v>
      </c>
      <c r="B67" s="3" t="s">
        <v>8151</v>
      </c>
      <c r="C67" s="3" t="s">
        <v>13048</v>
      </c>
      <c r="G67" s="9" t="s">
        <v>25</v>
      </c>
      <c r="H67" s="9"/>
      <c r="I67" s="9">
        <v>1</v>
      </c>
      <c r="J67" s="9">
        <v>11</v>
      </c>
      <c r="K67" s="9" t="s">
        <v>12125</v>
      </c>
      <c r="L67" s="9" t="s">
        <v>12073</v>
      </c>
      <c r="M67" s="9" t="s">
        <v>12142</v>
      </c>
      <c r="N67" s="10" t="s">
        <v>12170</v>
      </c>
      <c r="O67" s="9"/>
      <c r="P67" s="9">
        <v>229</v>
      </c>
      <c r="Q67" s="9">
        <v>27.517423696226867</v>
      </c>
      <c r="R67" s="9"/>
      <c r="S67" s="9" t="s">
        <v>12795</v>
      </c>
      <c r="T67" s="9" t="s">
        <v>12795</v>
      </c>
      <c r="U67" s="9"/>
      <c r="V67" s="9"/>
      <c r="W67" s="9"/>
      <c r="X67" s="9"/>
      <c r="Y67" s="9"/>
      <c r="Z67" s="9"/>
      <c r="AA67" s="9"/>
      <c r="AB67" s="9"/>
      <c r="AC67" s="9"/>
      <c r="AD67" s="9"/>
    </row>
    <row r="68" spans="1:30" ht="43.5">
      <c r="A68" s="3" t="s">
        <v>2965</v>
      </c>
      <c r="B68" s="3" t="s">
        <v>8251</v>
      </c>
      <c r="C68" s="3" t="s">
        <v>8252</v>
      </c>
      <c r="G68" s="9" t="s">
        <v>25</v>
      </c>
      <c r="H68" s="9"/>
      <c r="I68" s="9">
        <v>1</v>
      </c>
      <c r="J68" s="9">
        <v>6</v>
      </c>
      <c r="K68" s="9" t="s">
        <v>12125</v>
      </c>
      <c r="L68" s="9" t="s">
        <v>12079</v>
      </c>
      <c r="M68" s="9"/>
      <c r="N68" s="10"/>
      <c r="O68" s="9"/>
      <c r="P68" s="9">
        <v>265</v>
      </c>
      <c r="Q68" s="9">
        <v>31.843306897380437</v>
      </c>
      <c r="R68" s="9"/>
      <c r="S68" s="9" t="s">
        <v>12795</v>
      </c>
      <c r="T68" s="9" t="s">
        <v>12795</v>
      </c>
      <c r="U68" s="9"/>
      <c r="V68" s="9"/>
      <c r="W68" s="9"/>
      <c r="X68" s="9"/>
      <c r="Y68" s="9"/>
      <c r="Z68" s="9"/>
      <c r="AA68" s="9"/>
      <c r="AB68" s="9"/>
      <c r="AC68" s="9"/>
      <c r="AD68" s="9"/>
    </row>
    <row r="69" spans="1:30" ht="58">
      <c r="A69" s="3" t="s">
        <v>2968</v>
      </c>
      <c r="B69" s="3" t="s">
        <v>8254</v>
      </c>
      <c r="C69" s="3" t="s">
        <v>8253</v>
      </c>
      <c r="G69" s="9" t="s">
        <v>24</v>
      </c>
      <c r="H69" s="9"/>
      <c r="I69" s="9">
        <v>1</v>
      </c>
      <c r="J69" s="9">
        <v>4</v>
      </c>
      <c r="K69" s="9" t="s">
        <v>12072</v>
      </c>
      <c r="L69" s="9" t="s">
        <v>12079</v>
      </c>
      <c r="M69" s="9"/>
      <c r="N69" s="10"/>
      <c r="O69" s="9"/>
      <c r="P69" s="9">
        <v>130</v>
      </c>
      <c r="Q69" s="9">
        <v>15.621244893054554</v>
      </c>
      <c r="R69" s="9"/>
      <c r="S69" s="9"/>
      <c r="T69" s="9"/>
      <c r="U69" s="9"/>
      <c r="V69" s="9"/>
      <c r="W69" s="9"/>
      <c r="X69" s="9"/>
      <c r="Y69" s="9"/>
      <c r="Z69" s="9"/>
      <c r="AA69" s="9"/>
      <c r="AB69" s="9"/>
      <c r="AC69" s="9"/>
      <c r="AD69" s="9"/>
    </row>
    <row r="70" spans="1:30" ht="116">
      <c r="A70" s="3" t="s">
        <v>2994</v>
      </c>
      <c r="B70" s="3" t="s">
        <v>8296</v>
      </c>
      <c r="C70" s="3" t="s">
        <v>8297</v>
      </c>
      <c r="G70" s="9" t="s">
        <v>24</v>
      </c>
      <c r="H70" s="9"/>
      <c r="I70" s="9">
        <v>1</v>
      </c>
      <c r="J70" s="9">
        <v>11</v>
      </c>
      <c r="K70" s="9" t="s">
        <v>12098</v>
      </c>
      <c r="L70" s="9" t="s">
        <v>12073</v>
      </c>
      <c r="M70" s="9" t="s">
        <v>12142</v>
      </c>
      <c r="N70" s="10" t="s">
        <v>12434</v>
      </c>
      <c r="O70" s="9" t="s">
        <v>12074</v>
      </c>
      <c r="P70" s="9">
        <v>101</v>
      </c>
      <c r="Q70" s="9">
        <v>12.136505647680847</v>
      </c>
      <c r="R70" s="9"/>
      <c r="S70" s="9" t="s">
        <v>12795</v>
      </c>
      <c r="T70" s="9" t="s">
        <v>12795</v>
      </c>
      <c r="U70" s="9"/>
      <c r="V70" s="9"/>
      <c r="W70" s="9"/>
      <c r="X70" s="9"/>
      <c r="Y70" s="9"/>
      <c r="Z70" s="9"/>
      <c r="AA70" s="9"/>
      <c r="AB70" s="9"/>
      <c r="AC70" s="9"/>
      <c r="AD70" s="9"/>
    </row>
    <row r="71" spans="1:30" ht="101.5">
      <c r="A71" s="3" t="s">
        <v>3069</v>
      </c>
      <c r="B71" s="3" t="s">
        <v>8427</v>
      </c>
      <c r="C71" s="3" t="s">
        <v>8428</v>
      </c>
      <c r="G71" s="9" t="s">
        <v>25</v>
      </c>
      <c r="H71" s="9"/>
      <c r="I71" s="9">
        <v>1</v>
      </c>
      <c r="J71" s="9">
        <v>3</v>
      </c>
      <c r="K71" s="9" t="s">
        <v>12072</v>
      </c>
      <c r="L71" s="9" t="s">
        <v>12079</v>
      </c>
      <c r="M71" s="9"/>
      <c r="N71" s="10"/>
      <c r="O71" s="9"/>
      <c r="P71" s="9">
        <v>214</v>
      </c>
      <c r="Q71" s="9">
        <v>25.71497236241288</v>
      </c>
      <c r="R71" s="9"/>
      <c r="S71" s="9" t="s">
        <v>12795</v>
      </c>
      <c r="T71" s="9" t="s">
        <v>12795</v>
      </c>
      <c r="U71" s="9"/>
      <c r="V71" s="9"/>
      <c r="W71" s="9"/>
      <c r="X71" s="9"/>
      <c r="Y71" s="9"/>
      <c r="Z71" s="9"/>
      <c r="AA71" s="9"/>
      <c r="AB71" s="9"/>
      <c r="AC71" s="9"/>
      <c r="AD71" s="9"/>
    </row>
    <row r="72" spans="1:30" ht="43.5">
      <c r="A72" s="3" t="s">
        <v>3128</v>
      </c>
      <c r="B72" s="3" t="s">
        <v>8543</v>
      </c>
      <c r="C72" s="3" t="s">
        <v>8542</v>
      </c>
      <c r="G72" s="9" t="s">
        <v>24</v>
      </c>
      <c r="H72" s="9"/>
      <c r="I72" s="9">
        <v>1</v>
      </c>
      <c r="J72" s="9">
        <v>5</v>
      </c>
      <c r="K72" s="9" t="s">
        <v>12098</v>
      </c>
      <c r="L72" s="9" t="s">
        <v>12079</v>
      </c>
      <c r="M72" s="9"/>
      <c r="N72" s="10"/>
      <c r="O72" s="9"/>
      <c r="P72" s="9">
        <v>1565</v>
      </c>
      <c r="Q72" s="9">
        <v>188.05575582792596</v>
      </c>
      <c r="R72" s="9"/>
      <c r="S72" s="9" t="s">
        <v>12795</v>
      </c>
      <c r="T72" s="9" t="s">
        <v>12795</v>
      </c>
      <c r="U72" s="9"/>
      <c r="V72" s="9"/>
      <c r="W72" s="9"/>
      <c r="X72" s="9"/>
      <c r="Y72" s="9"/>
      <c r="Z72" s="9"/>
      <c r="AA72" s="9"/>
      <c r="AB72" s="9"/>
      <c r="AC72" s="9"/>
      <c r="AD72" s="9"/>
    </row>
    <row r="73" spans="1:30" ht="43.5">
      <c r="A73" s="3" t="s">
        <v>3239</v>
      </c>
      <c r="B73" s="3" t="s">
        <v>8741</v>
      </c>
      <c r="C73" s="3" t="s">
        <v>8740</v>
      </c>
      <c r="G73" s="9" t="s">
        <v>24</v>
      </c>
      <c r="H73" s="9"/>
      <c r="I73" s="9">
        <v>1</v>
      </c>
      <c r="J73" s="9">
        <v>3</v>
      </c>
      <c r="K73" s="9" t="s">
        <v>12084</v>
      </c>
      <c r="L73" s="9" t="s">
        <v>12079</v>
      </c>
      <c r="M73" s="9"/>
      <c r="N73" s="10"/>
      <c r="O73" s="9"/>
      <c r="P73" s="9">
        <v>52</v>
      </c>
      <c r="Q73" s="9">
        <v>6.2484979572218213</v>
      </c>
      <c r="R73" s="9"/>
      <c r="S73" s="9" t="s">
        <v>12795</v>
      </c>
      <c r="T73" s="9" t="s">
        <v>12795</v>
      </c>
      <c r="U73" s="9"/>
      <c r="V73" s="9"/>
      <c r="W73" s="9"/>
      <c r="X73" s="9"/>
      <c r="Y73" s="9"/>
      <c r="Z73" s="9"/>
      <c r="AA73" s="9"/>
      <c r="AB73" s="9"/>
      <c r="AC73" s="9"/>
      <c r="AD73" s="9"/>
    </row>
    <row r="74" spans="1:30" ht="58">
      <c r="A74" s="3" t="s">
        <v>3240</v>
      </c>
      <c r="B74" s="3" t="s">
        <v>8742</v>
      </c>
      <c r="C74" s="3" t="s">
        <v>8743</v>
      </c>
      <c r="G74" s="9" t="s">
        <v>25</v>
      </c>
      <c r="H74" s="9"/>
      <c r="I74" s="9">
        <v>1</v>
      </c>
      <c r="J74" s="9">
        <v>5</v>
      </c>
      <c r="K74" s="9" t="s">
        <v>12092</v>
      </c>
      <c r="L74" s="9" t="s">
        <v>12079</v>
      </c>
      <c r="M74" s="9"/>
      <c r="N74" s="10"/>
      <c r="O74" s="9"/>
      <c r="P74" s="9">
        <v>308</v>
      </c>
      <c r="Q74" s="9">
        <v>37.010334054313866</v>
      </c>
      <c r="R74" s="9"/>
      <c r="S74" s="9" t="s">
        <v>12795</v>
      </c>
      <c r="T74" s="9" t="s">
        <v>12795</v>
      </c>
      <c r="U74" s="9" t="s">
        <v>12117</v>
      </c>
      <c r="V74" s="9"/>
      <c r="W74" s="9"/>
      <c r="X74" s="9"/>
      <c r="Y74" s="9"/>
      <c r="Z74" s="9"/>
      <c r="AA74" s="9"/>
      <c r="AB74" s="9"/>
      <c r="AC74" s="9"/>
      <c r="AD74" s="9"/>
    </row>
    <row r="75" spans="1:30" ht="58">
      <c r="A75" s="3" t="s">
        <v>3243</v>
      </c>
      <c r="B75" s="3" t="s">
        <v>8745</v>
      </c>
      <c r="C75" s="3" t="s">
        <v>8744</v>
      </c>
      <c r="G75" s="9" t="s">
        <v>24</v>
      </c>
      <c r="H75" s="9"/>
      <c r="I75" s="9">
        <v>1</v>
      </c>
      <c r="J75" s="9">
        <v>5</v>
      </c>
      <c r="K75" s="9" t="s">
        <v>12092</v>
      </c>
      <c r="L75" s="9" t="s">
        <v>12079</v>
      </c>
      <c r="M75" s="9"/>
      <c r="N75" s="10"/>
      <c r="O75" s="9"/>
      <c r="P75" s="9">
        <v>308</v>
      </c>
      <c r="Q75" s="9">
        <v>37.010334054313866</v>
      </c>
      <c r="R75" s="9"/>
      <c r="S75" s="9" t="s">
        <v>12795</v>
      </c>
      <c r="T75" s="9" t="s">
        <v>12795</v>
      </c>
      <c r="U75" s="9"/>
      <c r="V75" s="9"/>
      <c r="W75" s="9"/>
      <c r="X75" s="9"/>
      <c r="Y75" s="9"/>
      <c r="Z75" s="9"/>
      <c r="AA75" s="9"/>
      <c r="AB75" s="9"/>
      <c r="AC75" s="9"/>
      <c r="AD75" s="9"/>
    </row>
    <row r="76" spans="1:30" ht="29">
      <c r="A76" s="3" t="s">
        <v>3246</v>
      </c>
      <c r="B76" s="3" t="s">
        <v>8753</v>
      </c>
      <c r="C76" s="3" t="s">
        <v>8752</v>
      </c>
      <c r="G76" s="9" t="s">
        <v>25</v>
      </c>
      <c r="H76" s="9"/>
      <c r="I76" s="9">
        <v>1</v>
      </c>
      <c r="J76" s="9">
        <v>5</v>
      </c>
      <c r="K76" s="9" t="s">
        <v>12125</v>
      </c>
      <c r="L76" s="9" t="s">
        <v>12079</v>
      </c>
      <c r="M76" s="9"/>
      <c r="N76" s="10"/>
      <c r="O76" s="9"/>
      <c r="P76" s="9">
        <v>1565</v>
      </c>
      <c r="Q76" s="9">
        <v>188.05575582792596</v>
      </c>
      <c r="R76" s="9"/>
      <c r="S76" s="9" t="s">
        <v>12795</v>
      </c>
      <c r="T76" s="9" t="s">
        <v>12795</v>
      </c>
      <c r="U76" s="9"/>
      <c r="V76" s="9"/>
      <c r="W76" s="9"/>
      <c r="X76" s="9"/>
      <c r="Y76" s="9"/>
      <c r="Z76" s="9"/>
      <c r="AA76" s="9"/>
      <c r="AB76" s="9"/>
      <c r="AC76" s="9"/>
      <c r="AD76" s="9"/>
    </row>
    <row r="77" spans="1:30" ht="43.5">
      <c r="A77" s="3" t="s">
        <v>3353</v>
      </c>
      <c r="B77" s="3" t="s">
        <v>8969</v>
      </c>
      <c r="C77" s="3" t="s">
        <v>8968</v>
      </c>
      <c r="G77" s="9" t="s">
        <v>25</v>
      </c>
      <c r="H77" s="9"/>
      <c r="I77" s="9">
        <v>1</v>
      </c>
      <c r="J77" s="9">
        <v>4</v>
      </c>
      <c r="K77" s="9" t="s">
        <v>12084</v>
      </c>
      <c r="L77" s="9" t="s">
        <v>12079</v>
      </c>
      <c r="M77" s="9"/>
      <c r="N77" s="10"/>
      <c r="O77" s="9"/>
      <c r="P77" s="9">
        <v>13</v>
      </c>
      <c r="Q77" s="9">
        <v>1.5621244893054553</v>
      </c>
      <c r="R77" s="9"/>
      <c r="S77" s="9" t="s">
        <v>12795</v>
      </c>
      <c r="T77" s="9" t="s">
        <v>12795</v>
      </c>
      <c r="U77" s="9"/>
      <c r="V77" s="9"/>
      <c r="W77" s="9"/>
      <c r="X77" s="9"/>
      <c r="Y77" s="9"/>
      <c r="Z77" s="9"/>
      <c r="AA77" s="9"/>
      <c r="AB77" s="9"/>
      <c r="AC77" s="9"/>
      <c r="AD77" s="9"/>
    </row>
    <row r="78" spans="1:30" ht="72.5">
      <c r="A78" s="3" t="s">
        <v>3354</v>
      </c>
      <c r="B78" s="3" t="s">
        <v>8975</v>
      </c>
      <c r="C78" s="3" t="s">
        <v>8974</v>
      </c>
      <c r="G78" s="9" t="s">
        <v>25</v>
      </c>
      <c r="H78" s="9"/>
      <c r="I78" s="9">
        <v>1</v>
      </c>
      <c r="J78" s="9">
        <v>9</v>
      </c>
      <c r="K78" s="9" t="s">
        <v>12098</v>
      </c>
      <c r="L78" s="9" t="s">
        <v>12073</v>
      </c>
      <c r="M78" s="9" t="s">
        <v>12149</v>
      </c>
      <c r="N78" s="10" t="s">
        <v>12160</v>
      </c>
      <c r="O78" s="9"/>
      <c r="P78" s="9">
        <v>35</v>
      </c>
      <c r="Q78" s="9">
        <v>4.2057197788993026</v>
      </c>
      <c r="R78" s="9"/>
      <c r="S78" s="9" t="s">
        <v>12795</v>
      </c>
      <c r="T78" s="9" t="s">
        <v>12795</v>
      </c>
      <c r="U78" s="9"/>
      <c r="V78" s="9"/>
      <c r="W78" s="9"/>
      <c r="X78" s="9"/>
      <c r="Y78" s="9"/>
      <c r="Z78" s="9"/>
      <c r="AA78" s="9"/>
      <c r="AB78" s="9"/>
      <c r="AC78" s="9"/>
      <c r="AD78" s="9"/>
    </row>
    <row r="79" spans="1:30" ht="87">
      <c r="A79" s="3" t="s">
        <v>3376</v>
      </c>
      <c r="B79" s="3" t="s">
        <v>9014</v>
      </c>
      <c r="C79" s="3" t="s">
        <v>9017</v>
      </c>
      <c r="G79" s="9" t="s">
        <v>24</v>
      </c>
      <c r="H79" s="9"/>
      <c r="I79" s="9">
        <v>1</v>
      </c>
      <c r="J79" s="9">
        <v>8</v>
      </c>
      <c r="K79" s="9" t="s">
        <v>12092</v>
      </c>
      <c r="L79" s="9" t="s">
        <v>12073</v>
      </c>
      <c r="M79" s="9" t="s">
        <v>12142</v>
      </c>
      <c r="N79" s="10" t="s">
        <v>12143</v>
      </c>
      <c r="O79" s="9"/>
      <c r="P79" s="9">
        <v>371</v>
      </c>
      <c r="Q79" s="9">
        <v>44.580629656332611</v>
      </c>
      <c r="R79" s="9"/>
      <c r="S79" s="9" t="s">
        <v>12795</v>
      </c>
      <c r="T79" s="9" t="s">
        <v>12795</v>
      </c>
      <c r="U79" s="9"/>
      <c r="V79" s="9"/>
      <c r="W79" s="9"/>
      <c r="X79" s="9"/>
      <c r="Y79" s="9"/>
      <c r="Z79" s="9"/>
      <c r="AA79" s="9"/>
      <c r="AB79" s="9"/>
      <c r="AC79" s="9"/>
      <c r="AD79" s="9"/>
    </row>
    <row r="80" spans="1:30" ht="43.5">
      <c r="A80" s="3" t="s">
        <v>3460</v>
      </c>
      <c r="B80" s="3" t="s">
        <v>9181</v>
      </c>
      <c r="C80" s="3" t="s">
        <v>9182</v>
      </c>
      <c r="G80" s="9" t="s">
        <v>25</v>
      </c>
      <c r="H80" s="9"/>
      <c r="I80" s="9">
        <v>1</v>
      </c>
      <c r="J80" s="9">
        <v>3</v>
      </c>
      <c r="K80" s="9" t="s">
        <v>12084</v>
      </c>
      <c r="L80" s="9" t="s">
        <v>12079</v>
      </c>
      <c r="M80" s="9"/>
      <c r="N80" s="10"/>
      <c r="O80" s="9"/>
      <c r="P80" s="9">
        <v>4</v>
      </c>
      <c r="Q80" s="9">
        <v>0.48065368901706323</v>
      </c>
      <c r="R80" s="9"/>
      <c r="S80" s="9" t="s">
        <v>12795</v>
      </c>
      <c r="T80" s="9" t="s">
        <v>12795</v>
      </c>
      <c r="U80" s="9"/>
      <c r="V80" s="9"/>
      <c r="W80" s="9"/>
      <c r="X80" s="9"/>
      <c r="Y80" s="9"/>
      <c r="Z80" s="9"/>
      <c r="AA80" s="9"/>
      <c r="AB80" s="9"/>
      <c r="AC80" s="9"/>
      <c r="AD80" s="9"/>
    </row>
    <row r="81" spans="1:30" ht="72.5">
      <c r="A81" s="3" t="s">
        <v>3472</v>
      </c>
      <c r="B81" s="3" t="s">
        <v>9194</v>
      </c>
      <c r="C81" s="3" t="s">
        <v>9192</v>
      </c>
      <c r="G81" s="9" t="s">
        <v>25</v>
      </c>
      <c r="H81" s="9"/>
      <c r="I81" s="9">
        <v>1</v>
      </c>
      <c r="J81" s="9">
        <v>7</v>
      </c>
      <c r="K81" s="9" t="s">
        <v>12098</v>
      </c>
      <c r="L81" s="9" t="s">
        <v>12079</v>
      </c>
      <c r="M81" s="9"/>
      <c r="N81" s="10"/>
      <c r="O81" s="9"/>
      <c r="P81" s="9">
        <v>111</v>
      </c>
      <c r="Q81" s="9">
        <v>13.338139870223504</v>
      </c>
      <c r="R81" s="9"/>
      <c r="S81" s="9" t="s">
        <v>12795</v>
      </c>
      <c r="T81" s="9" t="s">
        <v>12795</v>
      </c>
      <c r="U81" s="9"/>
      <c r="V81" s="9"/>
      <c r="W81" s="9"/>
      <c r="X81" s="9"/>
      <c r="Y81" s="9"/>
      <c r="Z81" s="9"/>
      <c r="AA81" s="9"/>
      <c r="AB81" s="9"/>
      <c r="AC81" s="9"/>
      <c r="AD81" s="9"/>
    </row>
    <row r="82" spans="1:30" ht="87">
      <c r="A82" s="3" t="s">
        <v>3484</v>
      </c>
      <c r="B82" s="3" t="s">
        <v>13062</v>
      </c>
      <c r="C82" s="3" t="s">
        <v>13065</v>
      </c>
      <c r="G82" s="9" t="s">
        <v>25</v>
      </c>
      <c r="H82" s="9"/>
      <c r="I82" s="9">
        <v>1</v>
      </c>
      <c r="J82" s="9">
        <v>6</v>
      </c>
      <c r="K82" s="9" t="s">
        <v>12125</v>
      </c>
      <c r="L82" s="9" t="s">
        <v>12079</v>
      </c>
      <c r="M82" s="9"/>
      <c r="N82" s="10"/>
      <c r="O82" s="9"/>
      <c r="P82" s="9">
        <v>336</v>
      </c>
      <c r="Q82" s="9">
        <v>40.374909877433311</v>
      </c>
      <c r="R82" s="9"/>
      <c r="S82" s="9" t="s">
        <v>12795</v>
      </c>
      <c r="T82" s="9" t="s">
        <v>12795</v>
      </c>
      <c r="U82" s="9"/>
      <c r="V82" s="9"/>
      <c r="W82" s="9"/>
      <c r="X82" s="9"/>
      <c r="Y82" s="9"/>
      <c r="Z82" s="9"/>
      <c r="AA82" s="9"/>
      <c r="AB82" s="9"/>
      <c r="AC82" s="9"/>
      <c r="AD82" s="9"/>
    </row>
    <row r="83" spans="1:30" ht="43.5">
      <c r="A83" s="3" t="s">
        <v>3494</v>
      </c>
      <c r="B83" s="3" t="s">
        <v>9228</v>
      </c>
      <c r="C83" s="3" t="s">
        <v>9229</v>
      </c>
      <c r="G83" s="9" t="s">
        <v>25</v>
      </c>
      <c r="H83" s="9"/>
      <c r="I83" s="9">
        <v>1</v>
      </c>
      <c r="J83" s="9">
        <v>7</v>
      </c>
      <c r="K83" s="9" t="s">
        <v>12125</v>
      </c>
      <c r="L83" s="9" t="s">
        <v>12079</v>
      </c>
      <c r="M83" s="9"/>
      <c r="N83" s="10"/>
      <c r="O83" s="9"/>
      <c r="P83" s="9">
        <v>320</v>
      </c>
      <c r="Q83" s="9">
        <v>38.452295121365054</v>
      </c>
      <c r="R83" s="9"/>
      <c r="S83" s="9" t="s">
        <v>12795</v>
      </c>
      <c r="T83" s="9" t="s">
        <v>12795</v>
      </c>
      <c r="U83" s="9"/>
      <c r="V83" s="9"/>
      <c r="W83" s="9"/>
      <c r="X83" s="9"/>
      <c r="Y83" s="9"/>
      <c r="Z83" s="9"/>
      <c r="AA83" s="9"/>
      <c r="AB83" s="9"/>
      <c r="AC83" s="9"/>
      <c r="AD83" s="9"/>
    </row>
    <row r="84" spans="1:30" ht="58">
      <c r="A84" s="3" t="s">
        <v>3504</v>
      </c>
      <c r="B84" s="3" t="s">
        <v>9246</v>
      </c>
      <c r="C84" s="3" t="s">
        <v>9247</v>
      </c>
      <c r="G84" s="9" t="s">
        <v>25</v>
      </c>
      <c r="H84" s="9"/>
      <c r="I84" s="9">
        <v>1</v>
      </c>
      <c r="J84" s="9">
        <v>7</v>
      </c>
      <c r="K84" s="9" t="s">
        <v>12098</v>
      </c>
      <c r="L84" s="9" t="s">
        <v>12073</v>
      </c>
      <c r="M84" s="9" t="s">
        <v>12142</v>
      </c>
      <c r="N84" s="10" t="s">
        <v>12143</v>
      </c>
      <c r="O84" s="9"/>
      <c r="P84" s="9">
        <v>2042</v>
      </c>
      <c r="Q84" s="9">
        <v>245.37370824321076</v>
      </c>
      <c r="R84" s="9"/>
      <c r="S84" s="9" t="s">
        <v>12795</v>
      </c>
      <c r="T84" s="9" t="s">
        <v>12795</v>
      </c>
      <c r="U84" s="9"/>
      <c r="V84" s="9"/>
      <c r="W84" s="9"/>
      <c r="X84" s="9"/>
      <c r="Y84" s="9"/>
      <c r="Z84" s="9"/>
      <c r="AA84" s="9"/>
      <c r="AB84" s="9"/>
      <c r="AC84" s="9"/>
      <c r="AD84" s="9"/>
    </row>
    <row r="85" spans="1:30" ht="43.5">
      <c r="A85" s="3" t="s">
        <v>3530</v>
      </c>
      <c r="B85" s="3" t="s">
        <v>9305</v>
      </c>
      <c r="C85" s="3" t="s">
        <v>9306</v>
      </c>
      <c r="G85" s="9" t="s">
        <v>25</v>
      </c>
      <c r="H85" s="9"/>
      <c r="I85" s="9">
        <v>1</v>
      </c>
      <c r="J85" s="9">
        <v>6</v>
      </c>
      <c r="K85" s="9" t="s">
        <v>12125</v>
      </c>
      <c r="L85" s="9" t="s">
        <v>12079</v>
      </c>
      <c r="M85" s="9"/>
      <c r="N85" s="10"/>
      <c r="O85" s="9"/>
      <c r="P85" s="9">
        <v>92</v>
      </c>
      <c r="Q85" s="9">
        <v>11.055034847392454</v>
      </c>
      <c r="R85" s="9"/>
      <c r="S85" s="9" t="s">
        <v>12795</v>
      </c>
      <c r="T85" s="9" t="s">
        <v>12795</v>
      </c>
      <c r="U85" s="9"/>
      <c r="V85" s="9"/>
      <c r="W85" s="9"/>
      <c r="X85" s="9"/>
      <c r="Y85" s="9"/>
      <c r="Z85" s="9"/>
      <c r="AA85" s="9"/>
      <c r="AB85" s="9"/>
      <c r="AC85" s="9"/>
      <c r="AD85" s="9"/>
    </row>
    <row r="86" spans="1:30" ht="58">
      <c r="A86" s="3" t="s">
        <v>3534</v>
      </c>
      <c r="B86" s="3" t="s">
        <v>9314</v>
      </c>
      <c r="C86" s="3" t="s">
        <v>9313</v>
      </c>
      <c r="G86" s="9" t="s">
        <v>25</v>
      </c>
      <c r="H86" s="9"/>
      <c r="I86" s="9">
        <v>1</v>
      </c>
      <c r="J86" s="9">
        <v>2</v>
      </c>
      <c r="K86" s="9" t="s">
        <v>12092</v>
      </c>
      <c r="L86" s="9" t="s">
        <v>12119</v>
      </c>
      <c r="M86" s="9"/>
      <c r="N86" s="10"/>
      <c r="O86" s="9"/>
      <c r="P86" s="9">
        <v>361</v>
      </c>
      <c r="Q86" s="9">
        <v>43.378995433789953</v>
      </c>
      <c r="R86" s="9"/>
      <c r="S86" s="9" t="s">
        <v>12795</v>
      </c>
      <c r="T86" s="9" t="s">
        <v>12795</v>
      </c>
      <c r="U86" s="9"/>
      <c r="V86" s="9"/>
      <c r="W86" s="9"/>
      <c r="X86" s="9"/>
      <c r="Y86" s="9"/>
      <c r="Z86" s="9"/>
      <c r="AA86" s="9"/>
      <c r="AB86" s="9"/>
      <c r="AC86" s="9"/>
      <c r="AD86" s="9"/>
    </row>
    <row r="87" spans="1:30" ht="43.5">
      <c r="A87" s="3" t="s">
        <v>3535</v>
      </c>
      <c r="B87" s="3" t="s">
        <v>9317</v>
      </c>
      <c r="C87" s="3" t="s">
        <v>9316</v>
      </c>
      <c r="F87" t="s">
        <v>19</v>
      </c>
      <c r="G87" s="9" t="s">
        <v>25</v>
      </c>
      <c r="H87" s="9"/>
      <c r="I87" s="9">
        <v>1</v>
      </c>
      <c r="J87" s="9">
        <v>2</v>
      </c>
      <c r="K87" s="9" t="s">
        <v>12092</v>
      </c>
      <c r="L87" s="9" t="s">
        <v>12119</v>
      </c>
      <c r="M87" s="9"/>
      <c r="N87" s="10"/>
      <c r="O87" s="9"/>
      <c r="P87" s="9">
        <v>361</v>
      </c>
      <c r="Q87" s="9">
        <v>43.378995433789953</v>
      </c>
      <c r="R87" s="9"/>
      <c r="S87" s="9" t="s">
        <v>12795</v>
      </c>
      <c r="T87" s="9" t="s">
        <v>12795</v>
      </c>
      <c r="U87" s="9" t="s">
        <v>12117</v>
      </c>
      <c r="V87" s="9"/>
      <c r="W87" s="9"/>
      <c r="X87" s="9"/>
      <c r="Y87" s="9"/>
      <c r="Z87" s="9"/>
      <c r="AA87" s="9"/>
      <c r="AB87" s="9"/>
      <c r="AC87" s="9"/>
      <c r="AD87" s="9"/>
    </row>
    <row r="88" spans="1:30" ht="43.5">
      <c r="A88" s="3" t="s">
        <v>3538</v>
      </c>
      <c r="B88" s="3" t="s">
        <v>9336</v>
      </c>
      <c r="C88" s="3" t="s">
        <v>9335</v>
      </c>
      <c r="G88" s="9" t="s">
        <v>25</v>
      </c>
      <c r="H88" s="9"/>
      <c r="I88" s="9">
        <v>1</v>
      </c>
      <c r="J88" s="9">
        <v>8</v>
      </c>
      <c r="K88" s="9" t="s">
        <v>12125</v>
      </c>
      <c r="L88" s="9" t="s">
        <v>12079</v>
      </c>
      <c r="M88" s="9"/>
      <c r="N88" s="10"/>
      <c r="O88" s="9"/>
      <c r="P88" s="9">
        <v>14</v>
      </c>
      <c r="Q88" s="9">
        <v>1.6822879115597211</v>
      </c>
      <c r="R88" s="9"/>
      <c r="S88" s="9" t="s">
        <v>12795</v>
      </c>
      <c r="T88" s="9" t="s">
        <v>12795</v>
      </c>
      <c r="U88" s="9"/>
      <c r="V88" s="9"/>
      <c r="W88" s="9"/>
      <c r="X88" s="9"/>
      <c r="Y88" s="9"/>
      <c r="Z88" s="9"/>
      <c r="AA88" s="9"/>
      <c r="AB88" s="9"/>
      <c r="AC88" s="9"/>
      <c r="AD88" s="9"/>
    </row>
    <row r="89" spans="1:30" ht="58">
      <c r="A89" s="3" t="s">
        <v>3578</v>
      </c>
      <c r="B89" s="3" t="s">
        <v>9411</v>
      </c>
      <c r="C89" s="3" t="s">
        <v>9412</v>
      </c>
      <c r="G89" s="9" t="s">
        <v>25</v>
      </c>
      <c r="H89" s="9"/>
      <c r="I89" s="9">
        <v>1</v>
      </c>
      <c r="J89" s="9">
        <v>6</v>
      </c>
      <c r="K89" s="9" t="s">
        <v>12125</v>
      </c>
      <c r="L89" s="9" t="s">
        <v>12073</v>
      </c>
      <c r="M89" s="9" t="s">
        <v>12142</v>
      </c>
      <c r="N89" s="10" t="s">
        <v>12143</v>
      </c>
      <c r="O89" s="9"/>
      <c r="P89" s="9">
        <v>137</v>
      </c>
      <c r="Q89" s="9">
        <v>16.462388848834415</v>
      </c>
      <c r="R89" s="9"/>
      <c r="S89" s="9" t="s">
        <v>12795</v>
      </c>
      <c r="T89" s="9" t="s">
        <v>12795</v>
      </c>
      <c r="U89" s="9"/>
      <c r="V89" s="9"/>
      <c r="W89" s="9"/>
      <c r="X89" s="9"/>
      <c r="Y89" s="9"/>
      <c r="Z89" s="9"/>
      <c r="AA89" s="9"/>
      <c r="AB89" s="9"/>
      <c r="AC89" s="9"/>
      <c r="AD89" s="9"/>
    </row>
    <row r="90" spans="1:30" ht="58">
      <c r="A90" s="3" t="s">
        <v>3579</v>
      </c>
      <c r="B90" s="3" t="s">
        <v>9415</v>
      </c>
      <c r="C90" s="3" t="s">
        <v>9416</v>
      </c>
      <c r="G90" s="9" t="s">
        <v>25</v>
      </c>
      <c r="H90" s="9"/>
      <c r="I90" s="9">
        <v>1</v>
      </c>
      <c r="J90" s="9">
        <v>8</v>
      </c>
      <c r="K90" s="9" t="s">
        <v>12084</v>
      </c>
      <c r="L90" s="9" t="s">
        <v>12079</v>
      </c>
      <c r="M90" s="9"/>
      <c r="N90" s="10"/>
      <c r="O90" s="9"/>
      <c r="P90" s="9">
        <v>8</v>
      </c>
      <c r="Q90" s="9">
        <v>0.96130737803412647</v>
      </c>
      <c r="R90" s="9"/>
      <c r="S90" s="9" t="s">
        <v>12795</v>
      </c>
      <c r="T90" s="9" t="s">
        <v>12795</v>
      </c>
      <c r="U90" s="9"/>
      <c r="V90" s="9"/>
      <c r="W90" s="9"/>
      <c r="X90" s="9"/>
      <c r="Y90" s="9"/>
      <c r="Z90" s="9"/>
      <c r="AA90" s="9"/>
      <c r="AB90" s="9"/>
      <c r="AC90" s="9"/>
      <c r="AD90" s="9"/>
    </row>
    <row r="91" spans="1:30" ht="72.5">
      <c r="A91" s="3" t="s">
        <v>3624</v>
      </c>
      <c r="B91" s="3" t="s">
        <v>9499</v>
      </c>
      <c r="C91" s="3" t="s">
        <v>9498</v>
      </c>
      <c r="G91" s="9" t="s">
        <v>25</v>
      </c>
      <c r="H91" s="9"/>
      <c r="I91" s="9">
        <v>1</v>
      </c>
      <c r="J91" s="9">
        <v>3</v>
      </c>
      <c r="K91" s="9" t="s">
        <v>12092</v>
      </c>
      <c r="L91" s="9" t="s">
        <v>12079</v>
      </c>
      <c r="M91" s="9"/>
      <c r="N91" s="10"/>
      <c r="O91" s="9"/>
      <c r="P91" s="9">
        <v>60</v>
      </c>
      <c r="Q91" s="9">
        <v>7.2098053352559477</v>
      </c>
      <c r="R91" s="9"/>
      <c r="S91" s="9" t="s">
        <v>12795</v>
      </c>
      <c r="T91" s="9" t="s">
        <v>12795</v>
      </c>
      <c r="U91" s="9"/>
      <c r="V91" s="9"/>
      <c r="W91" s="9"/>
      <c r="X91" s="9"/>
      <c r="Y91" s="9"/>
      <c r="Z91" s="9"/>
      <c r="AA91" s="9"/>
      <c r="AB91" s="9"/>
      <c r="AC91" s="9"/>
      <c r="AD91" s="9"/>
    </row>
    <row r="92" spans="1:30" ht="58">
      <c r="A92" s="3" t="s">
        <v>3645</v>
      </c>
      <c r="B92" s="3" t="s">
        <v>9549</v>
      </c>
      <c r="C92" s="3" t="s">
        <v>9550</v>
      </c>
      <c r="G92" s="9" t="s">
        <v>25</v>
      </c>
      <c r="H92" s="9"/>
      <c r="I92" s="9">
        <v>1</v>
      </c>
      <c r="J92" s="9">
        <v>5</v>
      </c>
      <c r="K92" s="9" t="s">
        <v>12098</v>
      </c>
      <c r="L92" s="9" t="s">
        <v>12073</v>
      </c>
      <c r="M92" s="9" t="s">
        <v>12142</v>
      </c>
      <c r="N92" s="10" t="s">
        <v>12143</v>
      </c>
      <c r="O92" s="9"/>
      <c r="P92" s="9">
        <v>2042</v>
      </c>
      <c r="Q92" s="9">
        <v>245.37370824321076</v>
      </c>
      <c r="R92" s="9"/>
      <c r="S92" s="9" t="s">
        <v>12795</v>
      </c>
      <c r="T92" s="9" t="s">
        <v>12795</v>
      </c>
      <c r="U92" s="9"/>
      <c r="V92" s="9"/>
      <c r="W92" s="9"/>
      <c r="X92" s="9"/>
      <c r="Y92" s="9"/>
      <c r="Z92" s="9"/>
      <c r="AA92" s="9"/>
      <c r="AB92" s="9"/>
      <c r="AC92" s="9"/>
      <c r="AD92" s="9"/>
    </row>
    <row r="93" spans="1:30" ht="58">
      <c r="A93" s="3" t="s">
        <v>3717</v>
      </c>
      <c r="B93" s="3" t="s">
        <v>9642</v>
      </c>
      <c r="C93" s="3" t="s">
        <v>9643</v>
      </c>
      <c r="G93" s="9" t="s">
        <v>24</v>
      </c>
      <c r="H93" s="9"/>
      <c r="I93" s="9">
        <v>1</v>
      </c>
      <c r="J93" s="9">
        <v>7</v>
      </c>
      <c r="K93" s="9" t="s">
        <v>12125</v>
      </c>
      <c r="L93" s="9" t="s">
        <v>12073</v>
      </c>
      <c r="M93" s="9" t="s">
        <v>12142</v>
      </c>
      <c r="N93" s="10" t="s">
        <v>12156</v>
      </c>
      <c r="O93" s="9" t="s">
        <v>12074</v>
      </c>
      <c r="P93" s="9">
        <v>336</v>
      </c>
      <c r="Q93" s="9">
        <v>40.374909877433311</v>
      </c>
      <c r="R93" s="9"/>
      <c r="S93" s="9" t="s">
        <v>12795</v>
      </c>
      <c r="T93" s="9" t="s">
        <v>12795</v>
      </c>
      <c r="U93" s="9"/>
      <c r="V93" s="9"/>
      <c r="W93" s="9"/>
      <c r="X93" s="9"/>
      <c r="Y93" s="9"/>
      <c r="Z93" s="9"/>
      <c r="AA93" s="9"/>
      <c r="AB93" s="9"/>
      <c r="AC93" s="9"/>
      <c r="AD93" s="9"/>
    </row>
    <row r="94" spans="1:30" ht="58">
      <c r="A94" s="3" t="s">
        <v>3740</v>
      </c>
      <c r="B94" s="3" t="s">
        <v>9672</v>
      </c>
      <c r="C94" s="3" t="s">
        <v>9671</v>
      </c>
      <c r="G94" s="9" t="s">
        <v>24</v>
      </c>
      <c r="H94" s="9"/>
      <c r="I94" s="9">
        <v>1</v>
      </c>
      <c r="J94" s="9">
        <v>10</v>
      </c>
      <c r="K94" s="9" t="s">
        <v>12098</v>
      </c>
      <c r="L94" s="9" t="s">
        <v>12079</v>
      </c>
      <c r="M94" s="9"/>
      <c r="N94" s="10"/>
      <c r="O94" s="9"/>
      <c r="P94" s="9">
        <v>53</v>
      </c>
      <c r="Q94" s="9">
        <v>6.3686613794760873</v>
      </c>
      <c r="R94" s="9"/>
      <c r="S94" s="9" t="s">
        <v>12795</v>
      </c>
      <c r="T94" s="9" t="s">
        <v>12795</v>
      </c>
      <c r="U94" s="9"/>
      <c r="V94" s="9"/>
      <c r="W94" s="9"/>
      <c r="X94" s="9"/>
      <c r="Y94" s="9"/>
      <c r="Z94" s="9"/>
      <c r="AA94" s="9"/>
      <c r="AB94" s="9"/>
      <c r="AC94" s="9"/>
      <c r="AD94" s="9"/>
    </row>
    <row r="95" spans="1:30" ht="58">
      <c r="A95" s="3" t="s">
        <v>3799</v>
      </c>
      <c r="B95" s="3" t="s">
        <v>9802</v>
      </c>
      <c r="C95" s="3" t="s">
        <v>9801</v>
      </c>
      <c r="G95" s="9" t="s">
        <v>25</v>
      </c>
      <c r="H95" s="9"/>
      <c r="I95" s="9">
        <v>1</v>
      </c>
      <c r="J95" s="9">
        <v>3</v>
      </c>
      <c r="K95" s="9" t="s">
        <v>12092</v>
      </c>
      <c r="L95" s="9" t="s">
        <v>12079</v>
      </c>
      <c r="M95" s="9"/>
      <c r="N95" s="10"/>
      <c r="O95" s="9"/>
      <c r="P95" s="9">
        <v>79</v>
      </c>
      <c r="Q95" s="9">
        <v>9.4929103580869985</v>
      </c>
      <c r="R95" s="9"/>
      <c r="S95" s="9" t="s">
        <v>12795</v>
      </c>
      <c r="T95" s="9" t="s">
        <v>12795</v>
      </c>
      <c r="U95" s="9"/>
      <c r="V95" s="9"/>
      <c r="W95" s="9"/>
      <c r="X95" s="9"/>
      <c r="Y95" s="9"/>
      <c r="Z95" s="9"/>
      <c r="AA95" s="9"/>
      <c r="AB95" s="9"/>
      <c r="AC95" s="9"/>
      <c r="AD95" s="9"/>
    </row>
    <row r="96" spans="1:30" ht="58">
      <c r="A96" s="3" t="s">
        <v>3831</v>
      </c>
      <c r="B96" s="3" t="s">
        <v>9871</v>
      </c>
      <c r="C96" s="3" t="s">
        <v>9870</v>
      </c>
      <c r="G96" s="9" t="s">
        <v>24</v>
      </c>
      <c r="H96" s="9"/>
      <c r="I96" s="9">
        <v>1</v>
      </c>
      <c r="J96" s="9">
        <v>4</v>
      </c>
      <c r="K96" s="9" t="s">
        <v>12092</v>
      </c>
      <c r="L96" s="9" t="s">
        <v>12079</v>
      </c>
      <c r="M96" s="9"/>
      <c r="N96" s="10"/>
      <c r="O96" s="9"/>
      <c r="P96" s="9">
        <v>1</v>
      </c>
      <c r="Q96" s="9">
        <v>0.12016342225426581</v>
      </c>
      <c r="R96" s="9"/>
      <c r="S96" s="9" t="s">
        <v>12795</v>
      </c>
      <c r="T96" s="9" t="s">
        <v>12795</v>
      </c>
      <c r="U96" s="9"/>
      <c r="V96" s="9"/>
      <c r="W96" s="9"/>
      <c r="X96" s="9"/>
      <c r="Y96" s="9"/>
      <c r="Z96" s="9"/>
      <c r="AA96" s="9"/>
      <c r="AB96" s="9"/>
      <c r="AC96" s="9"/>
      <c r="AD96" s="9"/>
    </row>
    <row r="97" spans="1:30" ht="58">
      <c r="A97" s="3" t="s">
        <v>3846</v>
      </c>
      <c r="B97" s="3" t="s">
        <v>9908</v>
      </c>
      <c r="C97" s="3" t="s">
        <v>9907</v>
      </c>
      <c r="G97" s="9" t="s">
        <v>25</v>
      </c>
      <c r="H97" s="9"/>
      <c r="I97" s="9">
        <v>1</v>
      </c>
      <c r="J97" s="9">
        <v>2</v>
      </c>
      <c r="K97" s="9" t="s">
        <v>12125</v>
      </c>
      <c r="L97" s="9" t="s">
        <v>12079</v>
      </c>
      <c r="M97" s="9"/>
      <c r="N97" s="10"/>
      <c r="O97" s="9"/>
      <c r="P97" s="9">
        <v>4</v>
      </c>
      <c r="Q97" s="9">
        <v>0.48065368901706323</v>
      </c>
      <c r="R97" s="9"/>
      <c r="S97" s="9" t="s">
        <v>12795</v>
      </c>
      <c r="T97" s="9" t="s">
        <v>12795</v>
      </c>
      <c r="U97" s="9"/>
      <c r="V97" s="9"/>
      <c r="W97" s="9"/>
      <c r="X97" s="9"/>
      <c r="Y97" s="9"/>
      <c r="Z97" s="9"/>
      <c r="AA97" s="9"/>
      <c r="AB97" s="9"/>
      <c r="AC97" s="9"/>
      <c r="AD97" s="9"/>
    </row>
    <row r="98" spans="1:30" ht="72.5">
      <c r="A98" s="3" t="s">
        <v>3889</v>
      </c>
      <c r="B98" s="3" t="s">
        <v>10021</v>
      </c>
      <c r="C98" s="3" t="s">
        <v>10020</v>
      </c>
      <c r="G98" s="9" t="s">
        <v>25</v>
      </c>
      <c r="H98" s="9"/>
      <c r="I98" s="9">
        <v>1</v>
      </c>
      <c r="J98" s="9">
        <v>10</v>
      </c>
      <c r="K98" s="9" t="s">
        <v>12098</v>
      </c>
      <c r="L98" s="9" t="s">
        <v>12079</v>
      </c>
      <c r="M98" s="9"/>
      <c r="N98" s="10"/>
      <c r="O98" s="9"/>
      <c r="P98" s="9">
        <v>36</v>
      </c>
      <c r="Q98" s="9">
        <v>4.3258832011535686</v>
      </c>
      <c r="R98" s="9"/>
      <c r="S98" s="9" t="s">
        <v>12795</v>
      </c>
      <c r="T98" s="9" t="s">
        <v>12795</v>
      </c>
      <c r="U98" s="9"/>
      <c r="V98" s="9"/>
      <c r="W98" s="9"/>
      <c r="X98" s="9"/>
      <c r="Y98" s="9"/>
      <c r="Z98" s="9"/>
      <c r="AA98" s="9"/>
      <c r="AB98" s="9"/>
      <c r="AC98" s="9"/>
      <c r="AD98" s="9"/>
    </row>
    <row r="99" spans="1:30" ht="130.5">
      <c r="A99" s="3" t="s">
        <v>3894</v>
      </c>
      <c r="B99" s="3" t="s">
        <v>10029</v>
      </c>
      <c r="C99" s="3" t="s">
        <v>10024</v>
      </c>
      <c r="G99" s="9" t="s">
        <v>25</v>
      </c>
      <c r="H99" s="9"/>
      <c r="I99" s="9">
        <v>1</v>
      </c>
      <c r="J99" s="9">
        <v>8</v>
      </c>
      <c r="K99" s="9" t="s">
        <v>12072</v>
      </c>
      <c r="L99" s="9" t="s">
        <v>12073</v>
      </c>
      <c r="M99" s="9" t="s">
        <v>12149</v>
      </c>
      <c r="N99" s="10" t="s">
        <v>12143</v>
      </c>
      <c r="O99" s="9"/>
      <c r="P99" s="9">
        <v>1</v>
      </c>
      <c r="Q99" s="9">
        <v>0.12016342225426581</v>
      </c>
      <c r="R99" s="9"/>
      <c r="S99" s="9" t="s">
        <v>12795</v>
      </c>
      <c r="T99" s="9" t="s">
        <v>12795</v>
      </c>
      <c r="U99" s="9"/>
      <c r="V99" s="9"/>
      <c r="W99" s="9"/>
      <c r="X99" s="9"/>
      <c r="Y99" s="9"/>
      <c r="Z99" s="9"/>
      <c r="AA99" s="9"/>
      <c r="AB99" s="9"/>
      <c r="AC99" s="9"/>
      <c r="AD99" s="9"/>
    </row>
    <row r="100" spans="1:30" ht="29">
      <c r="A100" s="3" t="s">
        <v>3897</v>
      </c>
      <c r="B100" s="3" t="s">
        <v>12934</v>
      </c>
      <c r="C100" s="3" t="s">
        <v>10035</v>
      </c>
      <c r="G100" s="9" t="s">
        <v>25</v>
      </c>
      <c r="H100" s="9"/>
      <c r="I100" s="9">
        <v>1</v>
      </c>
      <c r="J100" s="9">
        <v>2</v>
      </c>
      <c r="K100" s="9" t="s">
        <v>12092</v>
      </c>
      <c r="L100" s="9" t="s">
        <v>12119</v>
      </c>
      <c r="M100" s="9"/>
      <c r="N100" s="10"/>
      <c r="O100" s="9"/>
      <c r="P100" s="9">
        <v>472</v>
      </c>
      <c r="Q100" s="9">
        <v>56.71713530401346</v>
      </c>
      <c r="R100" s="9"/>
      <c r="S100" s="9" t="s">
        <v>12795</v>
      </c>
      <c r="T100" s="9" t="s">
        <v>12795</v>
      </c>
      <c r="U100" s="9"/>
      <c r="V100" s="9"/>
      <c r="W100" s="9"/>
      <c r="X100" s="9"/>
      <c r="Y100" s="9"/>
      <c r="Z100" s="9"/>
      <c r="AA100" s="9"/>
      <c r="AB100" s="9"/>
      <c r="AC100" s="9"/>
      <c r="AD100" s="9"/>
    </row>
    <row r="101" spans="1:30" ht="43.5">
      <c r="A101" s="3" t="s">
        <v>3903</v>
      </c>
      <c r="B101" s="3" t="s">
        <v>10048</v>
      </c>
      <c r="C101" s="3" t="s">
        <v>10049</v>
      </c>
      <c r="G101" s="9" t="s">
        <v>25</v>
      </c>
      <c r="H101" s="9"/>
      <c r="I101" s="9">
        <v>1</v>
      </c>
      <c r="J101" s="9">
        <v>6</v>
      </c>
      <c r="K101" s="9" t="s">
        <v>12092</v>
      </c>
      <c r="L101" s="9" t="s">
        <v>12073</v>
      </c>
      <c r="M101" s="9" t="s">
        <v>12149</v>
      </c>
      <c r="N101" s="10" t="s">
        <v>12143</v>
      </c>
      <c r="O101" s="9"/>
      <c r="P101" s="9">
        <v>147</v>
      </c>
      <c r="Q101" s="9">
        <v>17.664023071377073</v>
      </c>
      <c r="R101" s="9"/>
      <c r="S101" s="9" t="s">
        <v>12795</v>
      </c>
      <c r="T101" s="9" t="s">
        <v>12795</v>
      </c>
      <c r="U101" s="9"/>
      <c r="V101" s="9"/>
      <c r="W101" s="9"/>
      <c r="X101" s="9"/>
      <c r="Y101" s="9"/>
      <c r="Z101" s="9"/>
      <c r="AA101" s="9"/>
      <c r="AB101" s="9"/>
      <c r="AC101" s="9"/>
      <c r="AD101" s="9"/>
    </row>
    <row r="102" spans="1:30" ht="58">
      <c r="A102" s="3" t="s">
        <v>3903</v>
      </c>
      <c r="B102" s="3" t="s">
        <v>10053</v>
      </c>
      <c r="C102" s="3" t="s">
        <v>10051</v>
      </c>
      <c r="G102" s="9" t="s">
        <v>25</v>
      </c>
      <c r="H102" s="9"/>
      <c r="I102" s="9">
        <v>1</v>
      </c>
      <c r="J102" s="9">
        <v>5</v>
      </c>
      <c r="K102" s="9" t="s">
        <v>12084</v>
      </c>
      <c r="L102" s="9" t="s">
        <v>12079</v>
      </c>
      <c r="M102" s="9"/>
      <c r="N102" s="10"/>
      <c r="O102" s="9"/>
      <c r="P102" s="9">
        <v>17</v>
      </c>
      <c r="Q102" s="9">
        <v>2.0427781783225187</v>
      </c>
      <c r="R102" s="9"/>
      <c r="S102" s="9" t="s">
        <v>12795</v>
      </c>
      <c r="T102" s="9" t="s">
        <v>12795</v>
      </c>
      <c r="U102" s="9"/>
      <c r="V102" s="9"/>
      <c r="W102" s="9"/>
      <c r="X102" s="9"/>
      <c r="Y102" s="9"/>
      <c r="Z102" s="9"/>
      <c r="AA102" s="9"/>
      <c r="AB102" s="9"/>
      <c r="AC102" s="9"/>
      <c r="AD102" s="9"/>
    </row>
    <row r="103" spans="1:30" ht="87">
      <c r="A103" s="3" t="s">
        <v>3933</v>
      </c>
      <c r="B103" s="3" t="s">
        <v>10113</v>
      </c>
      <c r="C103" s="3" t="s">
        <v>10115</v>
      </c>
      <c r="G103" s="9" t="s">
        <v>24</v>
      </c>
      <c r="H103" s="9"/>
      <c r="I103" s="9">
        <v>1</v>
      </c>
      <c r="J103" s="9">
        <v>6</v>
      </c>
      <c r="K103" s="9" t="s">
        <v>12125</v>
      </c>
      <c r="L103" s="9" t="s">
        <v>12073</v>
      </c>
      <c r="M103" s="9" t="s">
        <v>12149</v>
      </c>
      <c r="N103" s="10" t="s">
        <v>12158</v>
      </c>
      <c r="O103" s="9" t="s">
        <v>12074</v>
      </c>
      <c r="P103" s="9">
        <v>1</v>
      </c>
      <c r="Q103" s="9">
        <v>0.12016342225426581</v>
      </c>
      <c r="R103" s="9"/>
      <c r="S103" s="9" t="s">
        <v>12795</v>
      </c>
      <c r="T103" s="9" t="s">
        <v>12795</v>
      </c>
      <c r="U103" s="9"/>
      <c r="V103" s="9"/>
      <c r="W103" s="9"/>
      <c r="X103" s="9"/>
      <c r="Y103" s="9"/>
      <c r="Z103" s="9"/>
      <c r="AA103" s="9"/>
      <c r="AB103" s="9"/>
      <c r="AC103" s="9"/>
      <c r="AD103" s="9"/>
    </row>
    <row r="104" spans="1:30" ht="43.5">
      <c r="A104" s="3" t="s">
        <v>4006</v>
      </c>
      <c r="B104" s="3" t="s">
        <v>10233</v>
      </c>
      <c r="C104" s="3" t="s">
        <v>10232</v>
      </c>
      <c r="G104" s="9" t="s">
        <v>24</v>
      </c>
      <c r="H104" s="9"/>
      <c r="I104" s="9">
        <v>1</v>
      </c>
      <c r="J104" s="9">
        <v>5</v>
      </c>
      <c r="K104" s="9" t="s">
        <v>12098</v>
      </c>
      <c r="L104" s="9" t="s">
        <v>12079</v>
      </c>
      <c r="M104" s="9"/>
      <c r="N104" s="10"/>
      <c r="O104" s="9"/>
      <c r="P104" s="9">
        <v>2042</v>
      </c>
      <c r="Q104" s="9">
        <v>245.37370824321076</v>
      </c>
      <c r="R104" s="9"/>
      <c r="S104" s="9" t="s">
        <v>12795</v>
      </c>
      <c r="T104" s="9" t="s">
        <v>12795</v>
      </c>
      <c r="U104" s="9"/>
      <c r="V104" s="9"/>
      <c r="W104" s="9"/>
      <c r="X104" s="9"/>
      <c r="Y104" s="9"/>
      <c r="Z104" s="9"/>
      <c r="AA104" s="9"/>
      <c r="AB104" s="9"/>
      <c r="AC104" s="9"/>
      <c r="AD104" s="9"/>
    </row>
    <row r="105" spans="1:30" ht="87">
      <c r="A105" s="3" t="s">
        <v>4023</v>
      </c>
      <c r="B105" s="3" t="s">
        <v>10292</v>
      </c>
      <c r="C105" s="3" t="s">
        <v>10291</v>
      </c>
      <c r="G105" s="9" t="s">
        <v>25</v>
      </c>
      <c r="H105" s="9"/>
      <c r="I105" s="9">
        <v>1</v>
      </c>
      <c r="J105" s="9">
        <v>5</v>
      </c>
      <c r="K105" s="9" t="s">
        <v>12125</v>
      </c>
      <c r="L105" s="9" t="s">
        <v>12079</v>
      </c>
      <c r="M105" s="9"/>
      <c r="N105" s="10"/>
      <c r="O105" s="9"/>
      <c r="P105" s="9">
        <v>1565</v>
      </c>
      <c r="Q105" s="9">
        <v>188.05575582792596</v>
      </c>
      <c r="R105" s="9"/>
      <c r="S105" s="9" t="s">
        <v>12795</v>
      </c>
      <c r="T105" s="9" t="s">
        <v>12795</v>
      </c>
      <c r="U105" s="9"/>
      <c r="V105" s="9"/>
      <c r="W105" s="9"/>
      <c r="X105" s="9"/>
      <c r="Y105" s="9"/>
      <c r="Z105" s="9"/>
      <c r="AA105" s="9"/>
      <c r="AB105" s="9"/>
      <c r="AC105" s="9"/>
      <c r="AD105" s="9"/>
    </row>
    <row r="106" spans="1:30" ht="43.5">
      <c r="A106" s="3" t="s">
        <v>4045</v>
      </c>
      <c r="B106" s="3" t="s">
        <v>10343</v>
      </c>
      <c r="C106" s="3" t="s">
        <v>10344</v>
      </c>
      <c r="G106" s="9" t="s">
        <v>24</v>
      </c>
      <c r="H106" s="9"/>
      <c r="I106" s="9">
        <v>1</v>
      </c>
      <c r="J106" s="9">
        <v>6</v>
      </c>
      <c r="K106" s="9" t="s">
        <v>12072</v>
      </c>
      <c r="L106" s="9" t="s">
        <v>12079</v>
      </c>
      <c r="M106" s="9"/>
      <c r="N106" s="10"/>
      <c r="O106" s="9"/>
      <c r="P106" s="9">
        <v>930</v>
      </c>
      <c r="Q106" s="9">
        <v>111.75198269646719</v>
      </c>
      <c r="R106" s="9"/>
      <c r="S106" s="9" t="s">
        <v>12795</v>
      </c>
      <c r="T106" s="9" t="s">
        <v>12795</v>
      </c>
      <c r="U106" s="9"/>
      <c r="V106" s="9"/>
      <c r="W106" s="9"/>
      <c r="X106" s="9"/>
      <c r="Y106" s="9"/>
      <c r="Z106" s="9"/>
      <c r="AA106" s="9"/>
      <c r="AB106" s="9"/>
      <c r="AC106" s="9"/>
      <c r="AD106" s="9"/>
    </row>
    <row r="107" spans="1:30" ht="43.5">
      <c r="A107" s="3" t="s">
        <v>4080</v>
      </c>
      <c r="B107" s="3" t="s">
        <v>10423</v>
      </c>
      <c r="C107" s="3" t="s">
        <v>10422</v>
      </c>
      <c r="G107" s="9" t="s">
        <v>25</v>
      </c>
      <c r="H107" s="9"/>
      <c r="I107" s="9">
        <v>1</v>
      </c>
      <c r="J107" s="9">
        <v>1</v>
      </c>
      <c r="K107" s="9" t="s">
        <v>12072</v>
      </c>
      <c r="L107" s="9" t="s">
        <v>12119</v>
      </c>
      <c r="M107" s="9"/>
      <c r="N107" s="10"/>
      <c r="O107" s="9"/>
      <c r="P107" s="9">
        <v>13</v>
      </c>
      <c r="Q107" s="9">
        <v>1.5621244893054553</v>
      </c>
      <c r="R107" s="9"/>
      <c r="S107" s="9" t="s">
        <v>12795</v>
      </c>
      <c r="T107" s="9" t="s">
        <v>12795</v>
      </c>
      <c r="U107" s="9"/>
      <c r="V107" s="9"/>
      <c r="W107" s="9"/>
      <c r="X107" s="9"/>
      <c r="Y107" s="9"/>
      <c r="Z107" s="9"/>
      <c r="AA107" s="9"/>
      <c r="AB107" s="9"/>
      <c r="AC107" s="9"/>
      <c r="AD107" s="9"/>
    </row>
    <row r="108" spans="1:30" ht="29">
      <c r="A108" s="3" t="s">
        <v>4097</v>
      </c>
      <c r="B108" s="3" t="s">
        <v>10487</v>
      </c>
      <c r="C108" s="3" t="s">
        <v>10488</v>
      </c>
      <c r="F108" t="s">
        <v>19</v>
      </c>
      <c r="G108" s="9" t="s">
        <v>25</v>
      </c>
      <c r="H108" s="9"/>
      <c r="I108" s="9">
        <v>1</v>
      </c>
      <c r="J108" s="9">
        <v>2</v>
      </c>
      <c r="K108" s="9" t="s">
        <v>12092</v>
      </c>
      <c r="L108" s="9" t="s">
        <v>12119</v>
      </c>
      <c r="M108" s="9"/>
      <c r="N108" s="10"/>
      <c r="O108" s="9"/>
      <c r="P108" s="9">
        <v>133</v>
      </c>
      <c r="Q108" s="9">
        <v>15.981735159817353</v>
      </c>
      <c r="R108" s="9"/>
      <c r="S108" s="9" t="s">
        <v>12795</v>
      </c>
      <c r="T108" s="9" t="s">
        <v>12795</v>
      </c>
      <c r="U108" s="9"/>
      <c r="V108" s="9"/>
      <c r="W108" s="9"/>
      <c r="X108" s="9"/>
      <c r="Y108" s="9"/>
      <c r="Z108" s="9"/>
      <c r="AA108" s="9"/>
      <c r="AB108" s="9"/>
      <c r="AC108" s="9"/>
      <c r="AD108" s="9"/>
    </row>
    <row r="109" spans="1:30" ht="72.5">
      <c r="A109" s="3" t="s">
        <v>4100</v>
      </c>
      <c r="B109" s="3" t="s">
        <v>10491</v>
      </c>
      <c r="C109" s="3" t="s">
        <v>10492</v>
      </c>
      <c r="G109" s="9" t="s">
        <v>24</v>
      </c>
      <c r="H109" s="9"/>
      <c r="I109" s="9">
        <v>1</v>
      </c>
      <c r="J109" s="9">
        <v>6</v>
      </c>
      <c r="K109" s="9" t="s">
        <v>12092</v>
      </c>
      <c r="L109" s="9" t="s">
        <v>12079</v>
      </c>
      <c r="M109" s="9"/>
      <c r="N109" s="10"/>
      <c r="O109" s="9"/>
      <c r="P109" s="9">
        <v>361</v>
      </c>
      <c r="Q109" s="9">
        <v>43.378995433789953</v>
      </c>
      <c r="R109" s="9"/>
      <c r="S109" s="9" t="s">
        <v>12795</v>
      </c>
      <c r="T109" s="9" t="s">
        <v>12795</v>
      </c>
      <c r="U109" s="9"/>
      <c r="V109" s="9"/>
      <c r="W109" s="9"/>
      <c r="X109" s="9"/>
      <c r="Y109" s="9"/>
      <c r="Z109" s="9"/>
      <c r="AA109" s="9"/>
      <c r="AB109" s="9"/>
      <c r="AC109" s="9"/>
      <c r="AD109" s="9"/>
    </row>
    <row r="110" spans="1:30" ht="58">
      <c r="A110" s="3" t="s">
        <v>4114</v>
      </c>
      <c r="B110" s="3" t="s">
        <v>10533</v>
      </c>
      <c r="C110" s="3" t="s">
        <v>10534</v>
      </c>
      <c r="F110" t="s">
        <v>19</v>
      </c>
      <c r="G110" s="9" t="s">
        <v>25</v>
      </c>
      <c r="H110" s="9"/>
      <c r="I110" s="9">
        <v>1</v>
      </c>
      <c r="J110" s="9">
        <v>5</v>
      </c>
      <c r="K110" s="9" t="s">
        <v>12125</v>
      </c>
      <c r="L110" s="9" t="s">
        <v>12079</v>
      </c>
      <c r="M110" s="9"/>
      <c r="N110" s="10"/>
      <c r="O110" s="9"/>
      <c r="P110" s="9">
        <v>1565</v>
      </c>
      <c r="Q110" s="9">
        <v>188.05575582792596</v>
      </c>
      <c r="R110" s="9"/>
      <c r="S110" s="9" t="s">
        <v>12795</v>
      </c>
      <c r="T110" s="9" t="s">
        <v>12795</v>
      </c>
      <c r="U110" s="9"/>
      <c r="V110" s="9"/>
      <c r="W110" s="9"/>
      <c r="X110" s="9"/>
      <c r="Y110" s="9"/>
      <c r="Z110" s="9"/>
      <c r="AA110" s="9"/>
      <c r="AB110" s="9"/>
      <c r="AC110" s="9"/>
      <c r="AD110" s="9"/>
    </row>
    <row r="111" spans="1:30" ht="72.5">
      <c r="A111" s="3" t="s">
        <v>4168</v>
      </c>
      <c r="B111" s="3" t="s">
        <v>10666</v>
      </c>
      <c r="C111" s="3" t="s">
        <v>10665</v>
      </c>
      <c r="G111" s="9" t="s">
        <v>25</v>
      </c>
      <c r="H111" s="9"/>
      <c r="I111" s="9">
        <v>1</v>
      </c>
      <c r="J111" s="9">
        <v>11</v>
      </c>
      <c r="K111" s="9" t="s">
        <v>12125</v>
      </c>
      <c r="L111" s="9" t="s">
        <v>12073</v>
      </c>
      <c r="M111" s="9" t="s">
        <v>12149</v>
      </c>
      <c r="N111" s="10" t="s">
        <v>12170</v>
      </c>
      <c r="O111" s="9"/>
      <c r="P111" s="9">
        <v>1</v>
      </c>
      <c r="Q111" s="9">
        <v>0.12016342225426581</v>
      </c>
      <c r="R111" s="9"/>
      <c r="S111" s="9" t="s">
        <v>12795</v>
      </c>
      <c r="T111" s="9" t="s">
        <v>12795</v>
      </c>
      <c r="U111" s="9"/>
      <c r="V111" s="9"/>
      <c r="W111" s="9"/>
      <c r="X111" s="9"/>
      <c r="Y111" s="9"/>
      <c r="Z111" s="9"/>
      <c r="AA111" s="9"/>
      <c r="AB111" s="9"/>
      <c r="AC111" s="9"/>
      <c r="AD111" s="9"/>
    </row>
    <row r="112" spans="1:30" ht="72.5">
      <c r="A112" s="3" t="s">
        <v>4174</v>
      </c>
      <c r="B112" s="3" t="s">
        <v>10687</v>
      </c>
      <c r="C112" s="3" t="s">
        <v>10686</v>
      </c>
      <c r="G112" s="9" t="s">
        <v>25</v>
      </c>
      <c r="H112" s="9"/>
      <c r="I112" s="9">
        <v>1</v>
      </c>
      <c r="J112" s="9">
        <v>5</v>
      </c>
      <c r="K112" s="9" t="s">
        <v>12092</v>
      </c>
      <c r="L112" s="9" t="s">
        <v>12079</v>
      </c>
      <c r="M112" s="9"/>
      <c r="N112" s="10"/>
      <c r="O112" s="9"/>
      <c r="P112" s="9">
        <v>147</v>
      </c>
      <c r="Q112" s="9">
        <v>17.664023071377073</v>
      </c>
      <c r="R112" s="9"/>
      <c r="S112" s="9" t="s">
        <v>12795</v>
      </c>
      <c r="T112" s="9" t="s">
        <v>12795</v>
      </c>
      <c r="U112" s="9"/>
      <c r="V112" s="9"/>
      <c r="W112" s="9"/>
      <c r="X112" s="9"/>
      <c r="Y112" s="9"/>
      <c r="Z112" s="9"/>
      <c r="AA112" s="9"/>
      <c r="AB112" s="9"/>
      <c r="AC112" s="9"/>
      <c r="AD112" s="9"/>
    </row>
    <row r="113" spans="1:30" ht="43.5">
      <c r="A113" s="3" t="s">
        <v>4188</v>
      </c>
      <c r="B113" s="3" t="s">
        <v>10739</v>
      </c>
      <c r="C113" s="3" t="s">
        <v>10740</v>
      </c>
      <c r="G113" s="9" t="s">
        <v>24</v>
      </c>
      <c r="H113" s="9"/>
      <c r="I113" s="9">
        <v>1</v>
      </c>
      <c r="J113" s="9">
        <v>5</v>
      </c>
      <c r="K113" s="9" t="s">
        <v>12125</v>
      </c>
      <c r="L113" s="9" t="s">
        <v>12073</v>
      </c>
      <c r="M113" s="9" t="s">
        <v>12142</v>
      </c>
      <c r="N113" s="10" t="s">
        <v>12170</v>
      </c>
      <c r="O113" s="9" t="s">
        <v>12074</v>
      </c>
      <c r="P113" s="9">
        <v>2042</v>
      </c>
      <c r="Q113" s="9">
        <v>245.37370824321076</v>
      </c>
      <c r="R113" s="9"/>
      <c r="S113" s="9" t="s">
        <v>12795</v>
      </c>
      <c r="T113" s="9" t="s">
        <v>12795</v>
      </c>
      <c r="U113" s="9"/>
      <c r="V113" s="9"/>
      <c r="W113" s="9"/>
      <c r="X113" s="9"/>
      <c r="Y113" s="9"/>
      <c r="Z113" s="9"/>
      <c r="AA113" s="9"/>
      <c r="AB113" s="9"/>
      <c r="AC113" s="9"/>
      <c r="AD113" s="9"/>
    </row>
    <row r="114" spans="1:30" ht="43.5">
      <c r="A114" s="3" t="s">
        <v>4206</v>
      </c>
      <c r="B114" s="3" t="s">
        <v>10777</v>
      </c>
      <c r="C114" s="3" t="s">
        <v>10776</v>
      </c>
      <c r="G114" s="9" t="s">
        <v>24</v>
      </c>
      <c r="H114" s="9"/>
      <c r="I114" s="9">
        <v>1</v>
      </c>
      <c r="J114" s="9">
        <v>6</v>
      </c>
      <c r="K114" s="9" t="s">
        <v>12092</v>
      </c>
      <c r="L114" s="9" t="s">
        <v>12079</v>
      </c>
      <c r="M114" s="9"/>
      <c r="N114" s="10"/>
      <c r="O114" s="9"/>
      <c r="P114" s="9">
        <v>147</v>
      </c>
      <c r="Q114" s="9">
        <v>17.664023071377073</v>
      </c>
      <c r="R114" s="9"/>
      <c r="S114" s="9" t="s">
        <v>12795</v>
      </c>
      <c r="T114" s="9" t="s">
        <v>12795</v>
      </c>
      <c r="U114" s="9"/>
      <c r="V114" s="9"/>
      <c r="W114" s="9"/>
      <c r="X114" s="9"/>
      <c r="Y114" s="9"/>
      <c r="Z114" s="9"/>
      <c r="AA114" s="9"/>
      <c r="AB114" s="9"/>
      <c r="AC114" s="9"/>
      <c r="AD114" s="9"/>
    </row>
    <row r="115" spans="1:30" ht="29">
      <c r="A115" s="3" t="s">
        <v>4302</v>
      </c>
      <c r="B115" s="3" t="s">
        <v>10952</v>
      </c>
      <c r="C115" s="3" t="s">
        <v>10951</v>
      </c>
      <c r="G115" s="9" t="s">
        <v>24</v>
      </c>
      <c r="H115" s="9"/>
      <c r="I115" s="9">
        <v>1</v>
      </c>
      <c r="J115" s="9">
        <v>2</v>
      </c>
      <c r="K115" s="9" t="s">
        <v>12084</v>
      </c>
      <c r="L115" s="9" t="s">
        <v>12119</v>
      </c>
      <c r="M115" s="9"/>
      <c r="N115" s="10"/>
      <c r="O115" s="9"/>
      <c r="P115" s="9">
        <v>207</v>
      </c>
      <c r="Q115" s="9">
        <v>24.873828406633024</v>
      </c>
      <c r="R115" s="9"/>
      <c r="S115" s="9" t="s">
        <v>12795</v>
      </c>
      <c r="T115" s="9" t="s">
        <v>12795</v>
      </c>
      <c r="U115" s="9"/>
      <c r="V115" s="9"/>
      <c r="W115" s="9"/>
      <c r="X115" s="9"/>
      <c r="Y115" s="9"/>
      <c r="Z115" s="9"/>
      <c r="AA115" s="9"/>
      <c r="AB115" s="9"/>
      <c r="AC115" s="9"/>
      <c r="AD115" s="9"/>
    </row>
    <row r="116" spans="1:30" ht="43.5">
      <c r="A116" s="3" t="s">
        <v>4328</v>
      </c>
      <c r="B116" s="3" t="s">
        <v>11020</v>
      </c>
      <c r="C116" s="3" t="s">
        <v>11019</v>
      </c>
      <c r="G116" s="9" t="s">
        <v>24</v>
      </c>
      <c r="H116" s="9"/>
      <c r="I116" s="9">
        <v>1</v>
      </c>
      <c r="J116" s="9">
        <v>5</v>
      </c>
      <c r="K116" s="9" t="s">
        <v>12092</v>
      </c>
      <c r="L116" s="9" t="s">
        <v>12079</v>
      </c>
      <c r="M116" s="9"/>
      <c r="N116" s="10"/>
      <c r="O116" s="9"/>
      <c r="P116" s="9">
        <v>47</v>
      </c>
      <c r="Q116" s="9">
        <v>5.647680845950493</v>
      </c>
      <c r="R116" s="9"/>
      <c r="S116" s="9" t="s">
        <v>12795</v>
      </c>
      <c r="T116" s="9" t="s">
        <v>12795</v>
      </c>
      <c r="U116" s="9"/>
      <c r="V116" s="9"/>
      <c r="W116" s="9"/>
      <c r="X116" s="9"/>
      <c r="Y116" s="9"/>
      <c r="Z116" s="9"/>
      <c r="AA116" s="9"/>
      <c r="AB116" s="9"/>
      <c r="AC116" s="9"/>
      <c r="AD116" s="9"/>
    </row>
    <row r="117" spans="1:30" ht="43.5">
      <c r="A117" s="3" t="s">
        <v>4333</v>
      </c>
      <c r="B117" s="3" t="s">
        <v>11028</v>
      </c>
      <c r="C117" s="3" t="s">
        <v>11029</v>
      </c>
      <c r="G117" s="9" t="s">
        <v>25</v>
      </c>
      <c r="H117" s="9"/>
      <c r="I117" s="9">
        <v>1</v>
      </c>
      <c r="J117" s="9">
        <v>6</v>
      </c>
      <c r="K117" s="9" t="s">
        <v>12092</v>
      </c>
      <c r="L117" s="9" t="s">
        <v>12073</v>
      </c>
      <c r="M117" s="9" t="s">
        <v>12149</v>
      </c>
      <c r="N117" s="10" t="s">
        <v>12143</v>
      </c>
      <c r="O117" s="9"/>
      <c r="P117" s="9">
        <v>128</v>
      </c>
      <c r="Q117" s="9">
        <v>15.380918048546024</v>
      </c>
      <c r="R117" s="9"/>
      <c r="S117" s="9" t="s">
        <v>12795</v>
      </c>
      <c r="T117" s="9" t="s">
        <v>12795</v>
      </c>
      <c r="U117" s="9"/>
      <c r="V117" s="9"/>
      <c r="W117" s="9"/>
      <c r="X117" s="9"/>
      <c r="Y117" s="9"/>
      <c r="Z117" s="9"/>
      <c r="AA117" s="9"/>
      <c r="AB117" s="9"/>
      <c r="AC117" s="9"/>
      <c r="AD117" s="9"/>
    </row>
    <row r="118" spans="1:30" ht="72.5">
      <c r="A118" s="3" t="s">
        <v>4335</v>
      </c>
      <c r="B118" s="3" t="s">
        <v>12946</v>
      </c>
      <c r="C118" s="3" t="s">
        <v>11033</v>
      </c>
      <c r="G118" s="9" t="s">
        <v>24</v>
      </c>
      <c r="H118" s="9"/>
      <c r="I118" s="9">
        <v>1</v>
      </c>
      <c r="J118" s="9">
        <v>6</v>
      </c>
      <c r="K118" s="9" t="s">
        <v>12072</v>
      </c>
      <c r="L118" s="9" t="s">
        <v>12073</v>
      </c>
      <c r="M118" s="9" t="s">
        <v>12142</v>
      </c>
      <c r="N118" s="10" t="s">
        <v>12143</v>
      </c>
      <c r="O118" s="9"/>
      <c r="P118" s="9">
        <v>92</v>
      </c>
      <c r="Q118" s="9">
        <v>11.055034847392454</v>
      </c>
      <c r="R118" s="9"/>
      <c r="S118" s="9" t="s">
        <v>12795</v>
      </c>
      <c r="T118" s="9" t="s">
        <v>12795</v>
      </c>
      <c r="U118" s="9"/>
      <c r="V118" s="9"/>
      <c r="W118" s="9"/>
      <c r="X118" s="9"/>
      <c r="Y118" s="9"/>
      <c r="Z118" s="9"/>
      <c r="AA118" s="9"/>
      <c r="AB118" s="9"/>
      <c r="AC118" s="9"/>
      <c r="AD118" s="9"/>
    </row>
    <row r="119" spans="1:30" ht="58">
      <c r="A119" s="3" t="s">
        <v>4346</v>
      </c>
      <c r="B119" s="3" t="s">
        <v>11066</v>
      </c>
      <c r="C119" s="3" t="s">
        <v>11065</v>
      </c>
      <c r="G119" s="9" t="s">
        <v>25</v>
      </c>
      <c r="H119" s="9"/>
      <c r="I119" s="9">
        <v>1</v>
      </c>
      <c r="J119" s="9">
        <v>4</v>
      </c>
      <c r="K119" s="9" t="s">
        <v>12072</v>
      </c>
      <c r="L119" s="9" t="s">
        <v>12079</v>
      </c>
      <c r="M119" s="9"/>
      <c r="N119" s="10"/>
      <c r="O119" s="9"/>
      <c r="P119" s="9">
        <v>82</v>
      </c>
      <c r="Q119" s="9">
        <v>9.8534006248497956</v>
      </c>
      <c r="R119" s="9"/>
      <c r="S119" s="9" t="s">
        <v>12795</v>
      </c>
      <c r="T119" s="9" t="s">
        <v>12795</v>
      </c>
      <c r="U119" s="9"/>
      <c r="V119" s="9"/>
      <c r="W119" s="9"/>
      <c r="X119" s="9"/>
      <c r="Y119" s="9"/>
      <c r="Z119" s="9"/>
      <c r="AA119" s="9"/>
      <c r="AB119" s="9"/>
      <c r="AC119" s="9"/>
      <c r="AD119" s="9"/>
    </row>
    <row r="120" spans="1:30" ht="43.5">
      <c r="A120" s="3" t="s">
        <v>4512</v>
      </c>
      <c r="B120" s="3" t="s">
        <v>11464</v>
      </c>
      <c r="C120" s="3" t="s">
        <v>11463</v>
      </c>
      <c r="G120" s="9" t="s">
        <v>24</v>
      </c>
      <c r="H120" s="9"/>
      <c r="I120" s="9">
        <v>1</v>
      </c>
      <c r="J120" s="9">
        <v>7</v>
      </c>
      <c r="K120" s="9" t="s">
        <v>12092</v>
      </c>
      <c r="L120" s="9" t="s">
        <v>12079</v>
      </c>
      <c r="M120" s="9"/>
      <c r="N120" s="10"/>
      <c r="O120" s="9"/>
      <c r="P120" s="9">
        <v>1</v>
      </c>
      <c r="Q120" s="9">
        <v>0.12016342225426581</v>
      </c>
      <c r="R120" s="9"/>
      <c r="S120" s="9" t="s">
        <v>12795</v>
      </c>
      <c r="T120" s="9" t="s">
        <v>12795</v>
      </c>
      <c r="U120" s="9"/>
      <c r="V120" s="9"/>
      <c r="W120" s="9"/>
      <c r="X120" s="9"/>
      <c r="Y120" s="9"/>
      <c r="Z120" s="9"/>
      <c r="AA120" s="9"/>
      <c r="AB120" s="9"/>
      <c r="AC120" s="9"/>
      <c r="AD120" s="9"/>
    </row>
    <row r="121" spans="1:30" ht="43.5">
      <c r="A121" s="3" t="s">
        <v>4525</v>
      </c>
      <c r="B121" s="3" t="s">
        <v>11501</v>
      </c>
      <c r="C121" s="3" t="s">
        <v>11500</v>
      </c>
      <c r="G121" s="9" t="s">
        <v>25</v>
      </c>
      <c r="H121" s="9"/>
      <c r="I121" s="9">
        <v>1</v>
      </c>
      <c r="J121" s="9">
        <v>5</v>
      </c>
      <c r="K121" s="9" t="s">
        <v>12125</v>
      </c>
      <c r="L121" s="9" t="s">
        <v>12073</v>
      </c>
      <c r="M121" s="9" t="s">
        <v>12142</v>
      </c>
      <c r="N121" s="10" t="s">
        <v>12143</v>
      </c>
      <c r="O121" s="9"/>
      <c r="P121" s="9">
        <v>1565</v>
      </c>
      <c r="Q121" s="9">
        <v>188.05575582792596</v>
      </c>
      <c r="R121" s="9"/>
      <c r="S121" s="9" t="s">
        <v>12795</v>
      </c>
      <c r="T121" s="9" t="s">
        <v>12795</v>
      </c>
      <c r="U121" s="9"/>
      <c r="V121" s="9"/>
      <c r="W121" s="9"/>
      <c r="X121" s="9"/>
      <c r="Y121" s="9"/>
      <c r="Z121" s="9"/>
      <c r="AA121" s="9"/>
      <c r="AB121" s="9"/>
      <c r="AC121" s="9"/>
      <c r="AD121" s="9"/>
    </row>
    <row r="122" spans="1:30" ht="58">
      <c r="A122" s="3" t="s">
        <v>4563</v>
      </c>
      <c r="B122" s="3" t="s">
        <v>11580</v>
      </c>
      <c r="C122" s="3" t="s">
        <v>11581</v>
      </c>
      <c r="G122" s="9" t="s">
        <v>24</v>
      </c>
      <c r="H122" s="9"/>
      <c r="I122" s="9">
        <v>1</v>
      </c>
      <c r="J122" s="9">
        <v>5</v>
      </c>
      <c r="K122" s="9" t="s">
        <v>12125</v>
      </c>
      <c r="L122" s="9" t="s">
        <v>12079</v>
      </c>
      <c r="M122" s="9"/>
      <c r="N122" s="10"/>
      <c r="O122" s="9"/>
      <c r="P122" s="9">
        <v>2042</v>
      </c>
      <c r="Q122" s="9">
        <v>245.37370824321076</v>
      </c>
      <c r="R122" s="9"/>
      <c r="S122" s="9" t="s">
        <v>12795</v>
      </c>
      <c r="T122" s="9" t="s">
        <v>12795</v>
      </c>
      <c r="U122" s="9"/>
      <c r="V122" s="9"/>
      <c r="W122" s="9"/>
      <c r="X122" s="9"/>
      <c r="Y122" s="9"/>
      <c r="Z122" s="9"/>
      <c r="AA122" s="9"/>
      <c r="AB122" s="9"/>
      <c r="AC122" s="9"/>
      <c r="AD122" s="9"/>
    </row>
    <row r="123" spans="1:30" ht="101.5">
      <c r="A123" s="3" t="s">
        <v>4565</v>
      </c>
      <c r="B123" s="3" t="s">
        <v>11589</v>
      </c>
      <c r="C123" s="3" t="s">
        <v>11591</v>
      </c>
      <c r="G123" s="9" t="s">
        <v>24</v>
      </c>
      <c r="H123" s="9"/>
      <c r="I123" s="9">
        <v>1</v>
      </c>
      <c r="J123" s="9">
        <v>6</v>
      </c>
      <c r="K123" s="9" t="s">
        <v>12092</v>
      </c>
      <c r="L123" s="9" t="s">
        <v>12079</v>
      </c>
      <c r="M123" s="9"/>
      <c r="N123" s="10"/>
      <c r="O123" s="9"/>
      <c r="P123" s="9">
        <v>635</v>
      </c>
      <c r="Q123" s="9">
        <v>76.303773131458783</v>
      </c>
      <c r="R123" s="9"/>
      <c r="S123" s="9" t="s">
        <v>12795</v>
      </c>
      <c r="T123" s="9" t="s">
        <v>12795</v>
      </c>
      <c r="U123" s="9"/>
      <c r="V123" s="9"/>
      <c r="W123" s="9"/>
      <c r="X123" s="9"/>
      <c r="Y123" s="9"/>
      <c r="Z123" s="9"/>
      <c r="AA123" s="9"/>
      <c r="AB123" s="9"/>
      <c r="AC123" s="9"/>
      <c r="AD123" s="9"/>
    </row>
    <row r="124" spans="1:30" ht="58">
      <c r="A124" s="3" t="s">
        <v>4566</v>
      </c>
      <c r="B124" s="3" t="s">
        <v>11593</v>
      </c>
      <c r="C124" s="3" t="s">
        <v>13081</v>
      </c>
      <c r="G124" s="9" t="s">
        <v>25</v>
      </c>
      <c r="H124" s="9"/>
      <c r="I124" s="9">
        <v>1</v>
      </c>
      <c r="J124" s="9">
        <v>3</v>
      </c>
      <c r="K124" s="9" t="s">
        <v>12092</v>
      </c>
      <c r="L124" s="9" t="s">
        <v>12079</v>
      </c>
      <c r="M124" s="9"/>
      <c r="N124" s="10"/>
      <c r="O124" s="9"/>
      <c r="P124" s="9">
        <v>79</v>
      </c>
      <c r="Q124" s="9">
        <v>9.4929103580869985</v>
      </c>
      <c r="R124" s="9"/>
      <c r="S124" s="9" t="s">
        <v>12795</v>
      </c>
      <c r="T124" s="9" t="s">
        <v>12795</v>
      </c>
      <c r="U124" s="9"/>
      <c r="V124" s="9"/>
      <c r="W124" s="9"/>
      <c r="X124" s="9"/>
      <c r="Y124" s="9"/>
      <c r="Z124" s="9"/>
      <c r="AA124" s="9"/>
      <c r="AB124" s="9"/>
      <c r="AC124" s="9"/>
      <c r="AD124" s="9"/>
    </row>
    <row r="125" spans="1:30" ht="58">
      <c r="A125" s="3" t="s">
        <v>4728</v>
      </c>
      <c r="B125" s="3" t="s">
        <v>12004</v>
      </c>
      <c r="C125" s="3" t="s">
        <v>12003</v>
      </c>
      <c r="G125" s="9" t="s">
        <v>24</v>
      </c>
      <c r="H125" s="9"/>
      <c r="I125" s="9">
        <v>1</v>
      </c>
      <c r="J125" s="9">
        <v>7</v>
      </c>
      <c r="K125" s="9" t="s">
        <v>12092</v>
      </c>
      <c r="L125" s="9" t="s">
        <v>12079</v>
      </c>
      <c r="M125" s="9"/>
      <c r="N125" s="10"/>
      <c r="O125" s="9"/>
      <c r="P125" s="9">
        <v>3</v>
      </c>
      <c r="Q125" s="9">
        <v>0.36049026676279744</v>
      </c>
      <c r="R125" s="9"/>
      <c r="S125" s="9" t="s">
        <v>12795</v>
      </c>
      <c r="T125" s="9" t="s">
        <v>12795</v>
      </c>
      <c r="U125" s="9"/>
      <c r="V125" s="9"/>
      <c r="W125" s="9"/>
      <c r="X125" s="9"/>
      <c r="Y125" s="9"/>
      <c r="Z125" s="9"/>
      <c r="AA125" s="9"/>
      <c r="AB125" s="9"/>
      <c r="AC125" s="9"/>
      <c r="AD125" s="9"/>
    </row>
    <row r="126" spans="1:30" ht="58">
      <c r="A126" s="3" t="s">
        <v>4734</v>
      </c>
      <c r="B126" s="3" t="s">
        <v>12010</v>
      </c>
      <c r="C126" s="3" t="s">
        <v>12009</v>
      </c>
      <c r="G126" s="9" t="s">
        <v>24</v>
      </c>
      <c r="H126" s="9"/>
      <c r="I126" s="9">
        <v>1</v>
      </c>
      <c r="J126" s="9">
        <v>8</v>
      </c>
      <c r="K126" s="9" t="s">
        <v>12125</v>
      </c>
      <c r="L126" s="9" t="s">
        <v>12073</v>
      </c>
      <c r="M126" s="9" t="s">
        <v>12142</v>
      </c>
      <c r="N126" s="10" t="s">
        <v>12143</v>
      </c>
      <c r="O126" s="9"/>
      <c r="P126" s="9">
        <v>11</v>
      </c>
      <c r="Q126" s="9">
        <v>1.3217976447969237</v>
      </c>
      <c r="R126" s="9"/>
      <c r="S126" s="9" t="s">
        <v>12795</v>
      </c>
      <c r="T126" s="9" t="s">
        <v>12795</v>
      </c>
      <c r="U126" s="9"/>
      <c r="V126" s="9"/>
      <c r="W126" s="9"/>
      <c r="X126" s="9"/>
      <c r="Y126" s="9"/>
      <c r="Z126" s="9"/>
      <c r="AA126" s="9"/>
      <c r="AB126" s="9"/>
      <c r="AC126" s="9"/>
      <c r="AD126" s="9"/>
    </row>
    <row r="129" spans="4:5">
      <c r="D129" t="s">
        <v>12792</v>
      </c>
      <c r="E129">
        <v>83220</v>
      </c>
    </row>
    <row r="130" spans="4:5">
      <c r="D130" t="s">
        <v>12797</v>
      </c>
      <c r="E130">
        <f>MEDIAN(Q:Q)</f>
        <v>13.338139870223504</v>
      </c>
    </row>
    <row r="133" spans="4:5">
      <c r="D133" t="s">
        <v>12798</v>
      </c>
      <c r="E133">
        <f>COUNTIFS(G:G, "Addition", Q:Q, "&gt;=" &amp; $E$130)</f>
        <v>22</v>
      </c>
    </row>
    <row r="134" spans="4:5">
      <c r="D134" t="s">
        <v>12799</v>
      </c>
      <c r="E134">
        <f>COUNTIFS(G:G, "Omission", Q:Q, "&gt;=" &amp; $E$130)</f>
        <v>41</v>
      </c>
    </row>
    <row r="135" spans="4:5">
      <c r="D135" t="s">
        <v>12800</v>
      </c>
      <c r="E135">
        <f>E133/(E133+E134)</f>
        <v>0.34920634920634919</v>
      </c>
    </row>
    <row r="136" spans="4:5">
      <c r="D136" t="s">
        <v>12801</v>
      </c>
      <c r="E136">
        <f>COUNTIFS(G:G, "Addition", Q:Q, "&lt;" &amp; $E$130)</f>
        <v>23</v>
      </c>
    </row>
    <row r="137" spans="4:5">
      <c r="D137" t="s">
        <v>12802</v>
      </c>
      <c r="E137">
        <f>COUNTIFS(G:G, "Omission", Q:Q, "&lt;" &amp; $E$130)</f>
        <v>39</v>
      </c>
    </row>
    <row r="138" spans="4:5">
      <c r="D138" t="s">
        <v>12803</v>
      </c>
      <c r="E138">
        <f>E136/(E136+E137)</f>
        <v>0.37096774193548387</v>
      </c>
    </row>
    <row r="139" spans="4:5">
      <c r="D139" t="s">
        <v>12818</v>
      </c>
      <c r="E139">
        <f>E135-E138</f>
        <v>-2.1761392729134688E-2</v>
      </c>
    </row>
  </sheetData>
  <conditionalFormatting sqref="G2:G126">
    <cfRule type="expression" dxfId="251" priority="15">
      <formula>$I2&lt;&gt;""</formula>
    </cfRule>
    <cfRule type="expression" dxfId="250" priority="16">
      <formula>$I2=""</formula>
    </cfRule>
  </conditionalFormatting>
  <conditionalFormatting sqref="H2:P68 H69:O69 H70:P126">
    <cfRule type="expression" dxfId="249" priority="34">
      <formula>AND(OR($I2="Addition",$I2="Omission"), H2&lt;&gt;"")</formula>
    </cfRule>
  </conditionalFormatting>
  <conditionalFormatting sqref="K2:K126">
    <cfRule type="expression" dxfId="248" priority="21">
      <formula>AND($K2&lt;&gt;"",$K2&gt;1)</formula>
    </cfRule>
  </conditionalFormatting>
  <conditionalFormatting sqref="M2:N126">
    <cfRule type="expression" dxfId="247" priority="19">
      <formula>AND(OR($I2="Addition",$I2="Omission"), M2="")</formula>
    </cfRule>
    <cfRule type="expression" dxfId="246" priority="20">
      <formula>AND($I2&lt;&gt;"Addition",$I2&lt;&gt;"Omission")</formula>
    </cfRule>
    <cfRule type="expression" dxfId="245" priority="17">
      <formula>$N2="Absent"</formula>
    </cfRule>
    <cfRule type="expression" dxfId="244" priority="18">
      <formula>$N2="NA"</formula>
    </cfRule>
  </conditionalFormatting>
  <conditionalFormatting sqref="O2:O126">
    <cfRule type="expression" dxfId="243" priority="22">
      <formula>OR($I2="Addition",$I2="Omission",$I2 = "Substitution - Word")</formula>
    </cfRule>
  </conditionalFormatting>
  <conditionalFormatting sqref="O69">
    <cfRule type="expression" dxfId="242" priority="7">
      <formula>AND(OR($I69="Addition",$I69="Omission"), O69="")</formula>
    </cfRule>
    <cfRule type="expression" dxfId="241" priority="8">
      <formula>AND($I69&lt;&gt;"Addition",$I69&lt;&gt;"Omission",$I69&lt;&gt;"Substitution - Word")</formula>
    </cfRule>
  </conditionalFormatting>
  <conditionalFormatting sqref="O2:P68 H2:L126 O70:P126">
    <cfRule type="expression" dxfId="240" priority="24">
      <formula>AND($I2&lt;&gt;"Addition",$I2&lt;&gt;"Omission",$I2&lt;&gt;"Substitution - Word")</formula>
    </cfRule>
  </conditionalFormatting>
  <conditionalFormatting sqref="O2:P68 O70:P126 H2:L126">
    <cfRule type="expression" dxfId="239" priority="23">
      <formula>AND(OR($I2="Addition",$I2="Omission"), H2="")</formula>
    </cfRule>
  </conditionalFormatting>
  <conditionalFormatting sqref="P69">
    <cfRule type="expression" dxfId="238" priority="2">
      <formula>AND(AND(LEFT($I69,3)="Sub", RIGHT($I69,4)&lt;&gt;"Form"),$T69="")</formula>
    </cfRule>
    <cfRule type="expression" dxfId="237" priority="3">
      <formula>"&lt;&gt;AND(LEFT($J2,3)=""Sub"", RIGHT($J2,4)&lt;&gt;""Form"")"</formula>
    </cfRule>
    <cfRule type="expression" dxfId="236" priority="4">
      <formula>AND(AND(LEFT($I69,3)="Sub", RIGHT($I69,4)&lt;&gt;"Form"),$T69&lt;&gt;"")</formula>
    </cfRule>
    <cfRule type="expression" dxfId="235" priority="5">
      <formula>AND(AND(LEFT($I69,3)="Sub", RIGHT($I69,4)&lt;&gt;"Form"),$T69="")</formula>
    </cfRule>
    <cfRule type="expression" dxfId="234" priority="6">
      <formula>"&lt;&gt;AND(LEFT($J2,3)=""Sub"", RIGHT($J2,4)&lt;&gt;""Form"")"</formula>
    </cfRule>
    <cfRule type="expression" dxfId="233" priority="1">
      <formula>AND(AND(LEFT($I69,3)="Sub", RIGHT($I69,4)&lt;&gt;"Form"),$T69&lt;&gt;"")</formula>
    </cfRule>
  </conditionalFormatting>
  <conditionalFormatting sqref="Q2:Q126">
    <cfRule type="expression" dxfId="232" priority="11">
      <formula>AND($I2&lt;&gt;"Addition",$I2&lt;&gt;"Omission",$I2&lt;&gt;"Substitution - Word")</formula>
    </cfRule>
    <cfRule type="expression" dxfId="231" priority="10">
      <formula>AND(OR($I2="Addition",$I2="Omission"), Q2="")</formula>
    </cfRule>
    <cfRule type="expression" dxfId="230" priority="9">
      <formula>AND(OR($I2="Addition",$I2="Omission"), Q2&lt;&gt;"")</formula>
    </cfRule>
  </conditionalFormatting>
  <conditionalFormatting sqref="R2:T126">
    <cfRule type="expression" dxfId="229" priority="31">
      <formula>AND(AND(LEFT($I2,3)="Sub", RIGHT($I2,4)&lt;&gt;"Form"),$T2&lt;&gt;"")</formula>
    </cfRule>
    <cfRule type="expression" dxfId="228" priority="32">
      <formula>AND(AND(LEFT($I2,3)="Sub", RIGHT($I2,4)&lt;&gt;"Form"),$T2="")</formula>
    </cfRule>
    <cfRule type="expression" dxfId="227" priority="33">
      <formula>"&lt;&gt;AND(LEFT($J2,3)=""Sub"", RIGHT($J2,4)&lt;&gt;""Form"")"</formula>
    </cfRule>
  </conditionalFormatting>
  <conditionalFormatting sqref="S2:T126">
    <cfRule type="expression" dxfId="226" priority="14">
      <formula>"&lt;&gt;AND(LEFT($J2,3)=""Sub"", RIGHT($J2,4)&lt;&gt;""Form"")"</formula>
    </cfRule>
    <cfRule type="expression" dxfId="225" priority="13">
      <formula>AND(AND(LEFT($I2,3)="Sub", RIGHT($I2,4)&lt;&gt;"Form"),$T2="")</formula>
    </cfRule>
    <cfRule type="expression" dxfId="224" priority="12">
      <formula>AND(AND(LEFT($I2,3)="Sub", RIGHT($I2,4)&lt;&gt;"Form"),$T2&lt;&gt;"")</formula>
    </cfRule>
  </conditionalFormatting>
  <conditionalFormatting sqref="U2:U126">
    <cfRule type="expression" dxfId="223" priority="26">
      <formula>AND($W2&lt;&gt;"",OR($AD2="Yes",$AE2&lt;&gt;""))</formula>
    </cfRule>
    <cfRule type="expression" dxfId="222" priority="27">
      <formula>OR($AD2="Yes",$AE2&lt;&gt;"")</formula>
    </cfRule>
    <cfRule type="expression" dxfId="221" priority="37">
      <formula>AND($AD2&lt;&gt;"Yes",$AE2="")</formula>
    </cfRule>
  </conditionalFormatting>
  <conditionalFormatting sqref="U2:AD126">
    <cfRule type="expression" dxfId="220" priority="35">
      <formula>AND($I2&lt;&gt;"",$I2&lt;&gt;"Unclear due to correction")</formula>
    </cfRule>
    <cfRule type="expression" dxfId="219" priority="36">
      <formula>OR($I2="",$I2="Unclear due to correction")</formula>
    </cfRule>
  </conditionalFormatting>
  <conditionalFormatting sqref="V2:V126">
    <cfRule type="expression" dxfId="218" priority="25">
      <formula>AND($I2&lt;&gt;"",$I2&lt;&gt;"Unclear due to correction",$X2="")</formula>
    </cfRule>
  </conditionalFormatting>
  <conditionalFormatting sqref="W2:W126">
    <cfRule type="expression" dxfId="217" priority="28">
      <formula>AND($X2="Yes",$Y2="")</formula>
    </cfRule>
    <cfRule type="expression" dxfId="216" priority="29">
      <formula>$X2=""</formula>
    </cfRule>
  </conditionalFormatting>
  <conditionalFormatting sqref="AB2:AB126">
    <cfRule type="expression" dxfId="215" priority="30">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57162049-8A15-4186-A5EB-3ECF1D52D43B}">
          <x14:formula1>
            <xm:f>'Data Regularization'!$C$2:$C$29</xm:f>
          </x14:formula1>
          <xm:sqref>F2:F126</xm:sqref>
        </x14:dataValidation>
        <x14:dataValidation type="list" allowBlank="1" showInputMessage="1" showErrorMessage="1" xr:uid="{34DAA8F2-3B3B-4C81-8DD8-49D72E73FF9C}">
          <x14:formula1>
            <xm:f>'Data Regularization'!$D$2:$D$1048576</xm:f>
          </x14:formula1>
          <xm:sqref>G1:G126</xm:sqref>
        </x14:dataValidation>
        <x14:dataValidation type="list" allowBlank="1" showInputMessage="1" showErrorMessage="1" xr:uid="{B0B9B58E-2E74-4653-AFB2-F5D09B14EA31}">
          <x14:formula1>
            <xm:f>'Data Regularization'!$R$2:$R$1048576</xm:f>
          </x14:formula1>
          <xm:sqref>AD2:AD126</xm:sqref>
        </x14:dataValidation>
        <x14:dataValidation type="list" allowBlank="1" showInputMessage="1" xr:uid="{42DAA069-8868-4F6C-938F-A63DE667820E}">
          <x14:formula1>
            <xm:f>'Data Regularization'!$J$2:$J$1048576</xm:f>
          </x14:formula1>
          <xm:sqref>V2:V126</xm:sqref>
        </x14:dataValidation>
        <x14:dataValidation type="list" allowBlank="1" showInputMessage="1" showErrorMessage="1" xr:uid="{D550BC94-BD4E-4FA2-B51E-B9646EA927BF}">
          <x14:formula1>
            <xm:f>'Data Regularization'!$H$2:$H$1048576</xm:f>
          </x14:formula1>
          <xm:sqref>U2:U126</xm:sqref>
        </x14:dataValidation>
        <x14:dataValidation type="list" allowBlank="1" showInputMessage="1" showErrorMessage="1" xr:uid="{EEE4A3EE-3C1A-41D9-BB4A-9E2A8DEAD54F}">
          <x14:formula1>
            <xm:f>'Data Regularization'!$Q$2:$Q$1048576</xm:f>
          </x14:formula1>
          <xm:sqref>AC2:AC126</xm:sqref>
        </x14:dataValidation>
        <x14:dataValidation type="list" allowBlank="1" showInputMessage="1" showErrorMessage="1" xr:uid="{98B9B083-0D60-4A07-A766-665721EA8B16}">
          <x14:formula1>
            <xm:f>'Data Regularization'!$P$2:$P$1048576</xm:f>
          </x14:formula1>
          <xm:sqref>AB2:AB126</xm:sqref>
        </x14:dataValidation>
        <x14:dataValidation type="list" allowBlank="1" showInputMessage="1" showErrorMessage="1" xr:uid="{9A729314-9D36-4CB4-AF54-42F3528A3719}">
          <x14:formula1>
            <xm:f>'Data Regularization'!$O$2:$O$1048576</xm:f>
          </x14:formula1>
          <xm:sqref>Z2:Z126</xm:sqref>
        </x14:dataValidation>
        <x14:dataValidation type="list" allowBlank="1" showInputMessage="1" showErrorMessage="1" xr:uid="{10BC35D1-1AEA-4D4D-807F-F27CE8C5FC6F}">
          <x14:formula1>
            <xm:f>'Data Regularization'!$N$2:$N$1048576</xm:f>
          </x14:formula1>
          <xm:sqref>Y2:Y126</xm:sqref>
        </x14:dataValidation>
        <x14:dataValidation type="list" allowBlank="1" showInputMessage="1" showErrorMessage="1" xr:uid="{3E60478F-4714-4844-9BA4-312232C49C3B}">
          <x14:formula1>
            <xm:f>'Data Regularization'!$L$2:$L$1048576</xm:f>
          </x14:formula1>
          <xm:sqref>X2:X126</xm:sqref>
        </x14:dataValidation>
        <x14:dataValidation type="list" allowBlank="1" showInputMessage="1" showErrorMessage="1" xr:uid="{122C8283-FC09-44BB-8984-BDAAC7031E8D}">
          <x14:formula1>
            <xm:f>'Data Regularization'!$K$2:$K$1048576</xm:f>
          </x14:formula1>
          <xm:sqref>W2:W126</xm:sqref>
        </x14:dataValidation>
        <x14:dataValidation type="list" allowBlank="1" showInputMessage="1" showErrorMessage="1" xr:uid="{8282B159-CE99-4B59-B4E1-F689748F64A9}">
          <x14:formula1>
            <xm:f>'Data Regularization'!$G$2:$G$1048576</xm:f>
          </x14:formula1>
          <xm:sqref>O2:O126</xm:sqref>
        </x14:dataValidation>
        <x14:dataValidation type="list" allowBlank="1" showInputMessage="1" showErrorMessage="1" xr:uid="{996606AC-6DDE-4A3F-9C0E-05407EB4C567}">
          <x14:formula1>
            <xm:f>'Data Regularization'!$F$2:$F$1048576</xm:f>
          </x14:formula1>
          <xm:sqref>L2:L126</xm:sqref>
        </x14:dataValidation>
        <x14:dataValidation type="list" allowBlank="1" showInputMessage="1" showErrorMessage="1" xr:uid="{3A42F414-35B6-4C8C-848E-42B44CD85710}">
          <x14:formula1>
            <xm:f>'Data Regularization'!$E$2:$E$1048576</xm:f>
          </x14:formula1>
          <xm:sqref>K2:K126</xm:sqref>
        </x14:dataValidation>
        <x14:dataValidation type="list" allowBlank="1" showInputMessage="1" showErrorMessage="1" xr:uid="{BA95C483-3C7A-4854-B7F9-17B3C5EC462F}">
          <x14:formula1>
            <xm:f>'Data Regularization'!$A$2:$A$1048576</xm:f>
          </x14:formula1>
          <xm:sqref>D2:D126</xm:sqref>
        </x14:dataValidation>
        <x14:dataValidation type="list" allowBlank="1" showInputMessage="1" showErrorMessage="1" xr:uid="{9AEC2015-091C-4CC1-89F9-930C6A3EC906}">
          <x14:formula1>
            <xm:f>'Data Regularization'!$B$2:$B$1048576</xm:f>
          </x14:formula1>
          <xm:sqref>E2:E126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C9F9-00DA-4C9D-B610-84ACB53C6B9E}">
  <dimension ref="A1:AF372"/>
  <sheetViews>
    <sheetView workbookViewId="0">
      <pane xSplit="3" ySplit="1" topLeftCell="D347" activePane="bottomRight" state="frozen"/>
      <selection pane="topRight" activeCell="D1" sqref="D1"/>
      <selection pane="bottomLeft" activeCell="A2" sqref="A2"/>
      <selection pane="bottomRight" activeCell="K370" sqref="K370"/>
    </sheetView>
  </sheetViews>
  <sheetFormatPr defaultRowHeight="14.5"/>
  <sheetData>
    <row r="1" spans="1:32"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12815</v>
      </c>
      <c r="U1" s="1" t="s">
        <v>12816</v>
      </c>
      <c r="V1" s="1" t="s">
        <v>12817</v>
      </c>
      <c r="W1" s="1" t="s">
        <v>12112</v>
      </c>
      <c r="X1" s="1" t="s">
        <v>12113</v>
      </c>
      <c r="Y1" s="1" t="s">
        <v>12114</v>
      </c>
      <c r="Z1" s="1" t="s">
        <v>12068</v>
      </c>
      <c r="AA1" s="1" t="s">
        <v>12069</v>
      </c>
      <c r="AB1" s="1" t="s">
        <v>12070</v>
      </c>
      <c r="AC1" s="1" t="s">
        <v>12111</v>
      </c>
      <c r="AD1" s="1" t="s">
        <v>12115</v>
      </c>
      <c r="AE1" s="1" t="s">
        <v>12071</v>
      </c>
      <c r="AF1" s="1" t="s">
        <v>12116</v>
      </c>
    </row>
    <row r="2" spans="1:32" ht="29">
      <c r="A2" s="3" t="s">
        <v>89</v>
      </c>
      <c r="B2" s="3" t="s">
        <v>4778</v>
      </c>
      <c r="C2" s="3" t="s">
        <v>4779</v>
      </c>
      <c r="G2" s="9" t="s">
        <v>12118</v>
      </c>
      <c r="H2" s="9"/>
      <c r="I2" s="9"/>
      <c r="J2" s="9"/>
      <c r="K2" s="9"/>
      <c r="L2" s="9"/>
      <c r="M2" s="9"/>
      <c r="N2" s="10"/>
      <c r="O2" s="9"/>
      <c r="P2" s="9"/>
      <c r="Q2" s="9">
        <v>103</v>
      </c>
      <c r="R2" s="9">
        <v>93</v>
      </c>
      <c r="S2" s="9">
        <v>196</v>
      </c>
      <c r="T2" s="13">
        <f t="shared" ref="T2:T33" si="0">IF(ISNUMBER(R2), (R2/$E$353)*10000, "")</f>
        <v>11.175198269646719</v>
      </c>
      <c r="U2" s="13">
        <f t="shared" ref="U2:U33" si="1">IF(ISNUMBER(S2), (S2/$E$353)*10000, "")</f>
        <v>23.5520307618361</v>
      </c>
      <c r="V2" s="13">
        <f>IF(ISNUMBER(Q2), U2-T2, "")</f>
        <v>12.376832492189381</v>
      </c>
      <c r="W2" s="9" t="s">
        <v>12117</v>
      </c>
      <c r="X2" s="9"/>
      <c r="Y2" s="9"/>
      <c r="Z2" s="9"/>
      <c r="AA2" s="9"/>
      <c r="AB2" s="9"/>
      <c r="AC2" s="9"/>
      <c r="AD2" s="9"/>
      <c r="AE2" s="9"/>
      <c r="AF2" s="9"/>
    </row>
    <row r="3" spans="1:32" ht="43.5">
      <c r="A3" s="3" t="s">
        <v>102</v>
      </c>
      <c r="B3" s="3" t="s">
        <v>4794</v>
      </c>
      <c r="C3" s="3" t="s">
        <v>4795</v>
      </c>
      <c r="G3" s="9" t="s">
        <v>12118</v>
      </c>
      <c r="H3" s="9"/>
      <c r="I3" s="9"/>
      <c r="J3" s="9"/>
      <c r="K3" s="9"/>
      <c r="L3" s="9"/>
      <c r="M3" s="9"/>
      <c r="N3" s="10"/>
      <c r="O3" s="9"/>
      <c r="P3" s="9"/>
      <c r="Q3" s="9">
        <v>95</v>
      </c>
      <c r="R3" s="9">
        <v>4</v>
      </c>
      <c r="S3" s="9">
        <v>99</v>
      </c>
      <c r="T3" s="13">
        <f t="shared" si="0"/>
        <v>0.48065368901706323</v>
      </c>
      <c r="U3" s="13">
        <f t="shared" si="1"/>
        <v>11.896178803172315</v>
      </c>
      <c r="V3" s="13">
        <f t="shared" ref="V3:V65" si="2">IF(ISNUMBER(Q3), U3-T3, "")</f>
        <v>11.415525114155251</v>
      </c>
      <c r="W3" s="9" t="s">
        <v>4</v>
      </c>
      <c r="X3" s="9"/>
      <c r="Y3" s="9"/>
      <c r="Z3" s="9"/>
      <c r="AA3" s="9"/>
      <c r="AB3" s="9"/>
      <c r="AC3" s="9"/>
      <c r="AD3" s="9"/>
      <c r="AE3" s="9"/>
      <c r="AF3" s="9"/>
    </row>
    <row r="4" spans="1:32" ht="58">
      <c r="A4" s="3" t="s">
        <v>208</v>
      </c>
      <c r="B4" s="3" t="s">
        <v>4876</v>
      </c>
      <c r="C4" s="3" t="s">
        <v>4877</v>
      </c>
      <c r="G4" s="9" t="s">
        <v>12118</v>
      </c>
      <c r="H4" s="9"/>
      <c r="I4" s="9"/>
      <c r="J4" s="9"/>
      <c r="K4" s="9"/>
      <c r="L4" s="9"/>
      <c r="M4" s="9"/>
      <c r="N4" s="10"/>
      <c r="O4" s="9"/>
      <c r="P4" s="9"/>
      <c r="Q4" s="9">
        <v>-141</v>
      </c>
      <c r="R4" s="9">
        <v>148</v>
      </c>
      <c r="S4" s="9">
        <v>7</v>
      </c>
      <c r="T4" s="13">
        <f t="shared" si="0"/>
        <v>17.784186493631339</v>
      </c>
      <c r="U4" s="13">
        <f t="shared" si="1"/>
        <v>0.84114395577986056</v>
      </c>
      <c r="V4" s="13">
        <f t="shared" si="2"/>
        <v>-16.943042537851479</v>
      </c>
      <c r="W4" s="9"/>
      <c r="X4" s="9"/>
      <c r="Y4" s="9"/>
      <c r="Z4" s="9"/>
      <c r="AA4" s="9"/>
      <c r="AB4" s="9"/>
      <c r="AC4" s="9"/>
      <c r="AD4" s="9"/>
      <c r="AE4" s="9"/>
      <c r="AF4" s="9"/>
    </row>
    <row r="5" spans="1:32" ht="43.5">
      <c r="A5" s="3" t="s">
        <v>249</v>
      </c>
      <c r="B5" s="3" t="s">
        <v>4904</v>
      </c>
      <c r="C5" s="3" t="s">
        <v>4905</v>
      </c>
      <c r="G5" s="9" t="s">
        <v>12118</v>
      </c>
      <c r="H5" s="9"/>
      <c r="I5" s="9"/>
      <c r="J5" s="9"/>
      <c r="K5" s="9"/>
      <c r="L5" s="9"/>
      <c r="M5" s="9"/>
      <c r="N5" s="10"/>
      <c r="O5" s="9"/>
      <c r="P5" s="9"/>
      <c r="Q5" s="9">
        <v>10102</v>
      </c>
      <c r="R5" s="9">
        <v>1741</v>
      </c>
      <c r="S5" s="9">
        <v>11843</v>
      </c>
      <c r="T5" s="13">
        <f t="shared" si="0"/>
        <v>209.20451814467677</v>
      </c>
      <c r="U5" s="13">
        <f t="shared" si="1"/>
        <v>1423.0954097572699</v>
      </c>
      <c r="V5" s="13">
        <f t="shared" si="2"/>
        <v>1213.8908916125931</v>
      </c>
      <c r="W5" s="9" t="s">
        <v>12117</v>
      </c>
      <c r="X5" s="9"/>
      <c r="Y5" s="9"/>
      <c r="Z5" s="9"/>
      <c r="AA5" s="9"/>
      <c r="AB5" s="9"/>
      <c r="AC5" s="9"/>
      <c r="AD5" s="9"/>
      <c r="AE5" s="9"/>
      <c r="AF5" s="9"/>
    </row>
    <row r="6" spans="1:32" ht="43.5">
      <c r="A6" s="3" t="s">
        <v>265</v>
      </c>
      <c r="B6" s="3" t="s">
        <v>4913</v>
      </c>
      <c r="C6" s="3" t="s">
        <v>4914</v>
      </c>
      <c r="G6" s="9" t="s">
        <v>12118</v>
      </c>
      <c r="H6" s="9"/>
      <c r="I6" s="9"/>
      <c r="J6" s="9"/>
      <c r="K6" s="9"/>
      <c r="L6" s="9"/>
      <c r="M6" s="9"/>
      <c r="N6" s="10"/>
      <c r="O6" s="9"/>
      <c r="P6" s="9"/>
      <c r="Q6" s="9">
        <v>-190</v>
      </c>
      <c r="R6" s="9">
        <v>207</v>
      </c>
      <c r="S6" s="9">
        <v>17</v>
      </c>
      <c r="T6" s="13">
        <f t="shared" si="0"/>
        <v>24.873828406633024</v>
      </c>
      <c r="U6" s="13">
        <f t="shared" si="1"/>
        <v>2.0427781783225187</v>
      </c>
      <c r="V6" s="13">
        <f t="shared" si="2"/>
        <v>-22.831050228310506</v>
      </c>
      <c r="W6" s="9"/>
      <c r="X6" s="9"/>
      <c r="Y6" s="9"/>
      <c r="Z6" s="9"/>
      <c r="AA6" s="9"/>
      <c r="AB6" s="9"/>
      <c r="AC6" s="9"/>
      <c r="AD6" s="9"/>
      <c r="AE6" s="9"/>
      <c r="AF6" s="9"/>
    </row>
    <row r="7" spans="1:32" ht="72.5">
      <c r="A7" s="3" t="s">
        <v>353</v>
      </c>
      <c r="B7" s="3" t="s">
        <v>4994</v>
      </c>
      <c r="C7" s="3" t="s">
        <v>4995</v>
      </c>
      <c r="G7" s="9" t="s">
        <v>12118</v>
      </c>
      <c r="H7" s="9"/>
      <c r="I7" s="9"/>
      <c r="J7" s="9"/>
      <c r="K7" s="9"/>
      <c r="L7" s="9"/>
      <c r="M7" s="9"/>
      <c r="N7" s="10"/>
      <c r="O7" s="9"/>
      <c r="P7" s="9"/>
      <c r="Q7" s="9">
        <v>8</v>
      </c>
      <c r="R7" s="9">
        <v>20</v>
      </c>
      <c r="S7" s="9">
        <v>28</v>
      </c>
      <c r="T7" s="13">
        <f t="shared" si="0"/>
        <v>2.4032684450853159</v>
      </c>
      <c r="U7" s="13">
        <f t="shared" si="1"/>
        <v>3.3645758231194423</v>
      </c>
      <c r="V7" s="13">
        <f t="shared" si="2"/>
        <v>0.96130737803412636</v>
      </c>
      <c r="W7" s="9"/>
      <c r="X7" s="9"/>
      <c r="Y7" s="9"/>
      <c r="Z7" s="9"/>
      <c r="AA7" s="9"/>
      <c r="AB7" s="9"/>
      <c r="AC7" s="9"/>
      <c r="AD7" s="9"/>
      <c r="AE7" s="9"/>
      <c r="AF7" s="9"/>
    </row>
    <row r="8" spans="1:32" ht="72.5">
      <c r="A8" s="3" t="s">
        <v>353</v>
      </c>
      <c r="B8" s="3" t="s">
        <v>4996</v>
      </c>
      <c r="C8" s="3" t="s">
        <v>4997</v>
      </c>
      <c r="G8" s="9" t="s">
        <v>12118</v>
      </c>
      <c r="H8" s="9"/>
      <c r="I8" s="9"/>
      <c r="J8" s="9"/>
      <c r="K8" s="9"/>
      <c r="L8" s="9"/>
      <c r="M8" s="9"/>
      <c r="N8" s="10"/>
      <c r="O8" s="9"/>
      <c r="P8" s="9"/>
      <c r="Q8" s="9">
        <v>8</v>
      </c>
      <c r="R8" s="9">
        <v>20</v>
      </c>
      <c r="S8" s="9">
        <v>28</v>
      </c>
      <c r="T8" s="13">
        <f t="shared" si="0"/>
        <v>2.4032684450853159</v>
      </c>
      <c r="U8" s="13">
        <f t="shared" si="1"/>
        <v>3.3645758231194423</v>
      </c>
      <c r="V8" s="13">
        <f t="shared" si="2"/>
        <v>0.96130737803412636</v>
      </c>
      <c r="W8" s="9"/>
      <c r="X8" s="9"/>
      <c r="Y8" s="9"/>
      <c r="Z8" s="9"/>
      <c r="AA8" s="9"/>
      <c r="AB8" s="9"/>
      <c r="AC8" s="9"/>
      <c r="AD8" s="9"/>
      <c r="AE8" s="9"/>
      <c r="AF8" s="9"/>
    </row>
    <row r="9" spans="1:32" ht="43.5">
      <c r="A9" s="3" t="s">
        <v>415</v>
      </c>
      <c r="B9" s="3" t="s">
        <v>5055</v>
      </c>
      <c r="C9" s="3" t="s">
        <v>5056</v>
      </c>
      <c r="G9" s="9" t="s">
        <v>12118</v>
      </c>
      <c r="H9" s="9"/>
      <c r="I9" s="9"/>
      <c r="J9" s="9"/>
      <c r="K9" s="9"/>
      <c r="L9" s="9"/>
      <c r="M9" s="9"/>
      <c r="N9" s="10"/>
      <c r="O9" s="9"/>
      <c r="P9" s="9"/>
      <c r="Q9" s="9">
        <v>37</v>
      </c>
      <c r="R9" s="9">
        <v>17</v>
      </c>
      <c r="S9" s="9">
        <v>54</v>
      </c>
      <c r="T9" s="13">
        <f t="shared" si="0"/>
        <v>2.0427781783225187</v>
      </c>
      <c r="U9" s="13">
        <f t="shared" si="1"/>
        <v>6.4888248017303534</v>
      </c>
      <c r="V9" s="13">
        <f t="shared" si="2"/>
        <v>4.4460466234078346</v>
      </c>
      <c r="W9" s="9" t="s">
        <v>12117</v>
      </c>
      <c r="X9" s="9"/>
      <c r="Y9" s="9"/>
      <c r="Z9" s="9"/>
      <c r="AA9" s="9"/>
      <c r="AB9" s="9"/>
      <c r="AC9" s="9"/>
      <c r="AD9" s="9"/>
      <c r="AE9" s="9"/>
      <c r="AF9" s="9"/>
    </row>
    <row r="10" spans="1:32" ht="29">
      <c r="A10" s="3" t="s">
        <v>476</v>
      </c>
      <c r="B10" s="3" t="s">
        <v>479</v>
      </c>
      <c r="C10" s="3" t="s">
        <v>480</v>
      </c>
      <c r="G10" s="9" t="s">
        <v>12118</v>
      </c>
      <c r="H10" s="9"/>
      <c r="I10" s="9"/>
      <c r="J10" s="9"/>
      <c r="K10" s="9"/>
      <c r="L10" s="9"/>
      <c r="M10" s="9"/>
      <c r="N10" s="10"/>
      <c r="O10" s="9"/>
      <c r="P10" s="9"/>
      <c r="Q10" s="9">
        <v>-30</v>
      </c>
      <c r="R10" s="9">
        <v>40</v>
      </c>
      <c r="S10" s="9">
        <v>10</v>
      </c>
      <c r="T10" s="13">
        <f t="shared" si="0"/>
        <v>4.8065368901706318</v>
      </c>
      <c r="U10" s="13">
        <f t="shared" si="1"/>
        <v>1.2016342225426579</v>
      </c>
      <c r="V10" s="13">
        <f t="shared" si="2"/>
        <v>-3.6049026676279738</v>
      </c>
      <c r="W10" s="9"/>
      <c r="X10" s="9"/>
      <c r="Y10" s="9"/>
      <c r="Z10" s="9"/>
      <c r="AA10" s="9"/>
      <c r="AB10" s="9"/>
      <c r="AC10" s="9"/>
      <c r="AD10" s="9"/>
      <c r="AE10" s="9"/>
      <c r="AF10" s="9"/>
    </row>
    <row r="11" spans="1:32" ht="29">
      <c r="A11" s="3" t="s">
        <v>494</v>
      </c>
      <c r="B11" s="3" t="s">
        <v>5122</v>
      </c>
      <c r="C11" s="3" t="s">
        <v>5123</v>
      </c>
      <c r="G11" s="9" t="s">
        <v>12118</v>
      </c>
      <c r="H11" s="9"/>
      <c r="I11" s="9"/>
      <c r="J11" s="9"/>
      <c r="K11" s="9"/>
      <c r="L11" s="9"/>
      <c r="M11" s="9"/>
      <c r="N11" s="10"/>
      <c r="O11" s="9"/>
      <c r="P11" s="9"/>
      <c r="Q11" s="9">
        <v>21</v>
      </c>
      <c r="R11" s="9">
        <v>165</v>
      </c>
      <c r="S11" s="9">
        <v>186</v>
      </c>
      <c r="T11" s="13">
        <f t="shared" si="0"/>
        <v>19.826964671953856</v>
      </c>
      <c r="U11" s="13">
        <f t="shared" si="1"/>
        <v>22.350396539293438</v>
      </c>
      <c r="V11" s="13">
        <f t="shared" si="2"/>
        <v>2.5234318673395819</v>
      </c>
      <c r="W11" s="9"/>
      <c r="X11" s="9"/>
      <c r="Y11" s="9"/>
      <c r="Z11" s="9"/>
      <c r="AA11" s="9"/>
      <c r="AB11" s="9"/>
      <c r="AC11" s="9"/>
      <c r="AD11" s="9"/>
      <c r="AE11" s="9"/>
      <c r="AF11" s="9"/>
    </row>
    <row r="12" spans="1:32" ht="43.5">
      <c r="A12" s="3" t="s">
        <v>507</v>
      </c>
      <c r="B12" s="3" t="s">
        <v>5134</v>
      </c>
      <c r="C12" s="3" t="s">
        <v>5135</v>
      </c>
      <c r="G12" s="9" t="s">
        <v>12118</v>
      </c>
      <c r="H12" s="9"/>
      <c r="I12" s="9"/>
      <c r="J12" s="9"/>
      <c r="K12" s="9"/>
      <c r="L12" s="9"/>
      <c r="M12" s="9"/>
      <c r="N12" s="10"/>
      <c r="O12" s="9"/>
      <c r="P12" s="9"/>
      <c r="Q12" s="9">
        <v>5483</v>
      </c>
      <c r="R12" s="9">
        <v>193</v>
      </c>
      <c r="S12" s="9">
        <v>5676</v>
      </c>
      <c r="T12" s="13">
        <f t="shared" si="0"/>
        <v>23.191540495073301</v>
      </c>
      <c r="U12" s="13">
        <f t="shared" si="1"/>
        <v>682.04758471521268</v>
      </c>
      <c r="V12" s="13">
        <f t="shared" si="2"/>
        <v>658.85604422013932</v>
      </c>
      <c r="W12" s="9"/>
      <c r="X12" s="9"/>
      <c r="Y12" s="9"/>
      <c r="Z12" s="9"/>
      <c r="AA12" s="9"/>
      <c r="AB12" s="9"/>
      <c r="AC12" s="9"/>
      <c r="AD12" s="9"/>
      <c r="AE12" s="9"/>
      <c r="AF12" s="9"/>
    </row>
    <row r="13" spans="1:32" ht="29">
      <c r="A13" s="3" t="s">
        <v>529</v>
      </c>
      <c r="B13" s="3" t="s">
        <v>5163</v>
      </c>
      <c r="C13" s="3" t="s">
        <v>5164</v>
      </c>
      <c r="G13" s="9" t="s">
        <v>12118</v>
      </c>
      <c r="H13" s="9"/>
      <c r="I13" s="9"/>
      <c r="J13" s="9"/>
      <c r="K13" s="9"/>
      <c r="L13" s="9"/>
      <c r="M13" s="9"/>
      <c r="N13" s="10"/>
      <c r="O13" s="9"/>
      <c r="P13" s="9"/>
      <c r="Q13" s="9">
        <v>5483</v>
      </c>
      <c r="R13" s="9">
        <v>193</v>
      </c>
      <c r="S13" s="9">
        <v>5676</v>
      </c>
      <c r="T13" s="13">
        <f t="shared" si="0"/>
        <v>23.191540495073301</v>
      </c>
      <c r="U13" s="13">
        <f t="shared" si="1"/>
        <v>682.04758471521268</v>
      </c>
      <c r="V13" s="13">
        <f t="shared" si="2"/>
        <v>658.85604422013932</v>
      </c>
      <c r="W13" s="9"/>
      <c r="X13" s="9"/>
      <c r="Y13" s="9"/>
      <c r="Z13" s="9"/>
      <c r="AA13" s="9"/>
      <c r="AB13" s="9"/>
      <c r="AC13" s="9"/>
      <c r="AD13" s="9"/>
      <c r="AE13" s="9"/>
      <c r="AF13" s="9"/>
    </row>
    <row r="14" spans="1:32" ht="29">
      <c r="A14" s="3" t="s">
        <v>543</v>
      </c>
      <c r="B14" s="3" t="s">
        <v>5171</v>
      </c>
      <c r="C14" s="3" t="s">
        <v>5172</v>
      </c>
      <c r="G14" s="9" t="s">
        <v>12118</v>
      </c>
      <c r="H14" s="9"/>
      <c r="I14" s="9"/>
      <c r="J14" s="9"/>
      <c r="K14" s="9"/>
      <c r="L14" s="9"/>
      <c r="M14" s="9"/>
      <c r="N14" s="10"/>
      <c r="O14" s="9"/>
      <c r="P14" s="9"/>
      <c r="Q14" s="9">
        <v>-1874</v>
      </c>
      <c r="R14" s="9">
        <v>1966</v>
      </c>
      <c r="S14" s="9">
        <v>92</v>
      </c>
      <c r="T14" s="13">
        <f t="shared" si="0"/>
        <v>236.24128815188658</v>
      </c>
      <c r="U14" s="13">
        <f t="shared" si="1"/>
        <v>11.055034847392454</v>
      </c>
      <c r="V14" s="13">
        <f t="shared" si="2"/>
        <v>-225.18625330449413</v>
      </c>
      <c r="W14" s="9"/>
      <c r="X14" s="9"/>
      <c r="Y14" s="9"/>
      <c r="Z14" s="9"/>
      <c r="AA14" s="9"/>
      <c r="AB14" s="9"/>
      <c r="AC14" s="9"/>
      <c r="AD14" s="9"/>
      <c r="AE14" s="9"/>
      <c r="AF14" s="9"/>
    </row>
    <row r="15" spans="1:32" ht="29">
      <c r="A15" s="3" t="s">
        <v>556</v>
      </c>
      <c r="B15" s="3" t="s">
        <v>557</v>
      </c>
      <c r="C15" s="3" t="s">
        <v>558</v>
      </c>
      <c r="G15" s="9" t="s">
        <v>12118</v>
      </c>
      <c r="H15" s="9"/>
      <c r="I15" s="9"/>
      <c r="J15" s="9"/>
      <c r="K15" s="9"/>
      <c r="L15" s="9"/>
      <c r="M15" s="9"/>
      <c r="N15" s="10"/>
      <c r="O15" s="9"/>
      <c r="P15" s="9"/>
      <c r="Q15" s="9">
        <v>19</v>
      </c>
      <c r="R15" s="9">
        <v>3</v>
      </c>
      <c r="S15" s="9">
        <v>22</v>
      </c>
      <c r="T15" s="13">
        <f t="shared" si="0"/>
        <v>0.36049026676279744</v>
      </c>
      <c r="U15" s="13">
        <f t="shared" si="1"/>
        <v>2.6435952895938475</v>
      </c>
      <c r="V15" s="13">
        <f t="shared" si="2"/>
        <v>2.2831050228310499</v>
      </c>
      <c r="W15" s="9"/>
      <c r="X15" s="9"/>
      <c r="Y15" s="9"/>
      <c r="Z15" s="9"/>
      <c r="AA15" s="9"/>
      <c r="AB15" s="9"/>
      <c r="AC15" s="9"/>
      <c r="AD15" s="9"/>
      <c r="AE15" s="9"/>
      <c r="AF15" s="9"/>
    </row>
    <row r="16" spans="1:32" ht="29">
      <c r="A16" s="3" t="s">
        <v>628</v>
      </c>
      <c r="B16" s="3" t="s">
        <v>5223</v>
      </c>
      <c r="C16" s="3" t="s">
        <v>5224</v>
      </c>
      <c r="G16" s="9" t="s">
        <v>12118</v>
      </c>
      <c r="H16" s="9"/>
      <c r="I16" s="9"/>
      <c r="J16" s="9"/>
      <c r="K16" s="9"/>
      <c r="L16" s="9"/>
      <c r="M16" s="9"/>
      <c r="N16" s="10"/>
      <c r="O16" s="9"/>
      <c r="P16" s="9"/>
      <c r="Q16" s="9">
        <v>-68</v>
      </c>
      <c r="R16" s="9">
        <v>171</v>
      </c>
      <c r="S16" s="9">
        <v>103</v>
      </c>
      <c r="T16" s="13">
        <f t="shared" si="0"/>
        <v>20.547945205479451</v>
      </c>
      <c r="U16" s="13">
        <f t="shared" si="1"/>
        <v>12.376832492189379</v>
      </c>
      <c r="V16" s="13">
        <f t="shared" si="2"/>
        <v>-8.1711127132900714</v>
      </c>
      <c r="W16" s="9"/>
      <c r="X16" s="9"/>
      <c r="Y16" s="9"/>
      <c r="Z16" s="9"/>
      <c r="AA16" s="9"/>
      <c r="AB16" s="9"/>
      <c r="AC16" s="9"/>
      <c r="AD16" s="9"/>
      <c r="AE16" s="9"/>
      <c r="AF16" s="9"/>
    </row>
    <row r="17" spans="1:32" ht="29">
      <c r="A17" s="3" t="s">
        <v>652</v>
      </c>
      <c r="B17" s="3" t="s">
        <v>653</v>
      </c>
      <c r="C17" s="3" t="s">
        <v>654</v>
      </c>
      <c r="G17" s="9" t="s">
        <v>12118</v>
      </c>
      <c r="H17" s="9"/>
      <c r="I17" s="9"/>
      <c r="J17" s="9"/>
      <c r="K17" s="9"/>
      <c r="L17" s="9"/>
      <c r="M17" s="9"/>
      <c r="N17" s="10"/>
      <c r="O17" s="9"/>
      <c r="P17" s="9"/>
      <c r="Q17" s="9">
        <v>-6</v>
      </c>
      <c r="R17" s="9">
        <v>6</v>
      </c>
      <c r="S17" s="9">
        <v>0</v>
      </c>
      <c r="T17" s="13">
        <f t="shared" si="0"/>
        <v>0.72098053352559488</v>
      </c>
      <c r="U17" s="13">
        <f t="shared" si="1"/>
        <v>0</v>
      </c>
      <c r="V17" s="13">
        <f t="shared" si="2"/>
        <v>-0.72098053352559488</v>
      </c>
      <c r="W17" s="9"/>
      <c r="X17" s="9"/>
      <c r="Y17" s="9"/>
      <c r="Z17" s="9"/>
      <c r="AA17" s="9"/>
      <c r="AB17" s="9"/>
      <c r="AC17" s="9"/>
      <c r="AD17" s="9"/>
      <c r="AE17" s="9"/>
      <c r="AF17" s="9"/>
    </row>
    <row r="18" spans="1:32" ht="58">
      <c r="A18" s="3" t="s">
        <v>693</v>
      </c>
      <c r="B18" s="3" t="s">
        <v>5272</v>
      </c>
      <c r="C18" s="3" t="s">
        <v>5273</v>
      </c>
      <c r="G18" s="9" t="s">
        <v>12118</v>
      </c>
      <c r="H18" s="9"/>
      <c r="I18" s="9"/>
      <c r="J18" s="9"/>
      <c r="K18" s="9"/>
      <c r="L18" s="9"/>
      <c r="M18" s="9"/>
      <c r="N18" s="10"/>
      <c r="O18" s="9"/>
      <c r="P18" s="9"/>
      <c r="Q18" s="9">
        <v>357</v>
      </c>
      <c r="R18" s="9">
        <v>4</v>
      </c>
      <c r="S18" s="9">
        <v>361</v>
      </c>
      <c r="T18" s="13">
        <f t="shared" si="0"/>
        <v>0.48065368901706323</v>
      </c>
      <c r="U18" s="13">
        <f t="shared" si="1"/>
        <v>43.378995433789953</v>
      </c>
      <c r="V18" s="13">
        <f t="shared" si="2"/>
        <v>42.898341744772893</v>
      </c>
      <c r="W18" s="9"/>
      <c r="X18" s="9"/>
      <c r="Y18" s="9"/>
      <c r="Z18" s="9"/>
      <c r="AA18" s="9"/>
      <c r="AB18" s="9"/>
      <c r="AC18" s="9"/>
      <c r="AD18" s="9"/>
      <c r="AE18" s="9"/>
      <c r="AF18" s="9"/>
    </row>
    <row r="19" spans="1:32" ht="29">
      <c r="A19" s="3" t="s">
        <v>726</v>
      </c>
      <c r="B19" s="3" t="s">
        <v>727</v>
      </c>
      <c r="C19" s="3" t="s">
        <v>728</v>
      </c>
      <c r="G19" s="9" t="s">
        <v>12118</v>
      </c>
      <c r="H19" s="9"/>
      <c r="I19" s="9"/>
      <c r="J19" s="9"/>
      <c r="K19" s="9"/>
      <c r="L19" s="9"/>
      <c r="M19" s="9"/>
      <c r="N19" s="10"/>
      <c r="O19" s="9"/>
      <c r="P19" s="9"/>
      <c r="Q19" s="9">
        <v>-50</v>
      </c>
      <c r="R19" s="9">
        <v>87</v>
      </c>
      <c r="S19" s="9">
        <v>37</v>
      </c>
      <c r="T19" s="13">
        <f t="shared" si="0"/>
        <v>10.454217736121125</v>
      </c>
      <c r="U19" s="13">
        <f t="shared" si="1"/>
        <v>4.4460466234078346</v>
      </c>
      <c r="V19" s="13">
        <f t="shared" si="2"/>
        <v>-6.0081711127132902</v>
      </c>
      <c r="W19" s="9"/>
      <c r="X19" s="9"/>
      <c r="Y19" s="9"/>
      <c r="Z19" s="9"/>
      <c r="AA19" s="9"/>
      <c r="AB19" s="9"/>
      <c r="AC19" s="9"/>
      <c r="AD19" s="9"/>
      <c r="AE19" s="9"/>
      <c r="AF19" s="9"/>
    </row>
    <row r="20" spans="1:32" ht="43.5">
      <c r="A20" s="3" t="s">
        <v>741</v>
      </c>
      <c r="B20" s="3" t="s">
        <v>12184</v>
      </c>
      <c r="C20" s="3" t="s">
        <v>12981</v>
      </c>
      <c r="G20" s="9" t="s">
        <v>12118</v>
      </c>
      <c r="H20" s="9"/>
      <c r="I20" s="9"/>
      <c r="J20" s="9"/>
      <c r="K20" s="9"/>
      <c r="L20" s="9"/>
      <c r="M20" s="9"/>
      <c r="N20" s="10"/>
      <c r="O20" s="9"/>
      <c r="P20" s="9"/>
      <c r="Q20" s="9">
        <v>-19</v>
      </c>
      <c r="R20" s="9">
        <v>66</v>
      </c>
      <c r="S20" s="9">
        <v>47</v>
      </c>
      <c r="T20" s="13">
        <f t="shared" si="0"/>
        <v>7.9307858687815429</v>
      </c>
      <c r="U20" s="13">
        <f t="shared" si="1"/>
        <v>5.647680845950493</v>
      </c>
      <c r="V20" s="13">
        <f t="shared" si="2"/>
        <v>-2.2831050228310499</v>
      </c>
      <c r="W20" s="9"/>
      <c r="X20" s="9"/>
      <c r="Y20" s="9"/>
      <c r="Z20" s="9"/>
      <c r="AA20" s="9"/>
      <c r="AB20" s="9"/>
      <c r="AC20" s="9"/>
      <c r="AD20" s="9"/>
      <c r="AE20" s="9"/>
      <c r="AF20" s="9"/>
    </row>
    <row r="21" spans="1:32" ht="58">
      <c r="A21" s="3" t="s">
        <v>749</v>
      </c>
      <c r="B21" s="3" t="s">
        <v>5325</v>
      </c>
      <c r="C21" s="3" t="s">
        <v>5326</v>
      </c>
      <c r="G21" s="9" t="s">
        <v>12118</v>
      </c>
      <c r="H21" s="9"/>
      <c r="I21" s="9"/>
      <c r="J21" s="9"/>
      <c r="K21" s="9"/>
      <c r="L21" s="9"/>
      <c r="M21" s="9"/>
      <c r="N21" s="10"/>
      <c r="O21" s="9"/>
      <c r="P21" s="9"/>
      <c r="Q21" s="9">
        <v>330</v>
      </c>
      <c r="R21" s="9">
        <v>114</v>
      </c>
      <c r="S21" s="9">
        <v>444</v>
      </c>
      <c r="T21" s="13">
        <f t="shared" si="0"/>
        <v>13.698630136986301</v>
      </c>
      <c r="U21" s="13">
        <f t="shared" si="1"/>
        <v>53.352559480894016</v>
      </c>
      <c r="V21" s="13">
        <f t="shared" si="2"/>
        <v>39.653929343907713</v>
      </c>
      <c r="W21" s="9"/>
      <c r="X21" s="9"/>
      <c r="Y21" s="9"/>
      <c r="Z21" s="9"/>
      <c r="AA21" s="9"/>
      <c r="AB21" s="9"/>
      <c r="AC21" s="9"/>
      <c r="AD21" s="9"/>
      <c r="AE21" s="9"/>
      <c r="AF21" s="9"/>
    </row>
    <row r="22" spans="1:32" ht="43.5">
      <c r="A22" s="3" t="s">
        <v>830</v>
      </c>
      <c r="B22" s="3" t="s">
        <v>5395</v>
      </c>
      <c r="C22" s="3" t="s">
        <v>5396</v>
      </c>
      <c r="G22" s="9" t="s">
        <v>12118</v>
      </c>
      <c r="H22" s="9"/>
      <c r="I22" s="9"/>
      <c r="J22" s="9"/>
      <c r="K22" s="9"/>
      <c r="L22" s="9"/>
      <c r="M22" s="9"/>
      <c r="N22" s="10"/>
      <c r="O22" s="9"/>
      <c r="P22" s="9"/>
      <c r="Q22" s="9">
        <v>245</v>
      </c>
      <c r="R22" s="9">
        <v>1496</v>
      </c>
      <c r="S22" s="9">
        <v>1741</v>
      </c>
      <c r="T22" s="13">
        <f t="shared" si="0"/>
        <v>179.76447969238166</v>
      </c>
      <c r="U22" s="13">
        <f t="shared" si="1"/>
        <v>209.20451814467677</v>
      </c>
      <c r="V22" s="13">
        <f t="shared" si="2"/>
        <v>29.440038452295113</v>
      </c>
      <c r="W22" s="9"/>
      <c r="X22" s="9"/>
      <c r="Y22" s="9"/>
      <c r="Z22" s="9"/>
      <c r="AA22" s="9"/>
      <c r="AB22" s="9"/>
      <c r="AC22" s="9"/>
      <c r="AD22" s="9"/>
      <c r="AE22" s="9"/>
      <c r="AF22" s="9"/>
    </row>
    <row r="23" spans="1:32" ht="43.5">
      <c r="A23" s="3" t="s">
        <v>841</v>
      </c>
      <c r="B23" s="3" t="s">
        <v>5431</v>
      </c>
      <c r="C23" s="3" t="s">
        <v>5432</v>
      </c>
      <c r="G23" s="9" t="s">
        <v>12118</v>
      </c>
      <c r="H23" s="9"/>
      <c r="I23" s="9"/>
      <c r="J23" s="9"/>
      <c r="K23" s="9"/>
      <c r="L23" s="9"/>
      <c r="M23" s="9"/>
      <c r="N23" s="10"/>
      <c r="O23" s="9"/>
      <c r="P23" s="9"/>
      <c r="Q23" s="9">
        <v>234</v>
      </c>
      <c r="R23" s="9">
        <v>31</v>
      </c>
      <c r="S23" s="9">
        <v>265</v>
      </c>
      <c r="T23" s="13">
        <f t="shared" si="0"/>
        <v>3.7250660898822399</v>
      </c>
      <c r="U23" s="13">
        <f t="shared" si="1"/>
        <v>31.843306897380437</v>
      </c>
      <c r="V23" s="13">
        <f t="shared" si="2"/>
        <v>28.118240807498196</v>
      </c>
      <c r="W23" s="9"/>
      <c r="X23" s="9"/>
      <c r="Y23" s="9"/>
      <c r="Z23" s="9"/>
      <c r="AA23" s="9"/>
      <c r="AB23" s="9"/>
      <c r="AC23" s="9"/>
      <c r="AD23" s="9"/>
      <c r="AE23" s="9"/>
      <c r="AF23" s="9"/>
    </row>
    <row r="24" spans="1:32" ht="58">
      <c r="A24" s="3" t="s">
        <v>855</v>
      </c>
      <c r="B24" s="3" t="s">
        <v>5441</v>
      </c>
      <c r="C24" s="3" t="s">
        <v>5442</v>
      </c>
      <c r="G24" s="9" t="s">
        <v>12118</v>
      </c>
      <c r="H24" s="9"/>
      <c r="I24" s="9"/>
      <c r="J24" s="9"/>
      <c r="K24" s="9"/>
      <c r="L24" s="9"/>
      <c r="M24" s="9"/>
      <c r="N24" s="10"/>
      <c r="O24" s="9"/>
      <c r="P24" s="9"/>
      <c r="Q24" s="9">
        <v>1610</v>
      </c>
      <c r="R24" s="9">
        <v>356</v>
      </c>
      <c r="S24" s="9">
        <v>1966</v>
      </c>
      <c r="T24" s="13">
        <f t="shared" si="0"/>
        <v>42.778178322518627</v>
      </c>
      <c r="U24" s="13">
        <f t="shared" si="1"/>
        <v>236.24128815188658</v>
      </c>
      <c r="V24" s="13">
        <f t="shared" si="2"/>
        <v>193.46310982936797</v>
      </c>
      <c r="W24" s="9"/>
      <c r="X24" s="9"/>
      <c r="Y24" s="9"/>
      <c r="Z24" s="9"/>
      <c r="AA24" s="9"/>
      <c r="AB24" s="9"/>
      <c r="AC24" s="9"/>
      <c r="AD24" s="9"/>
      <c r="AE24" s="9"/>
      <c r="AF24" s="9"/>
    </row>
    <row r="25" spans="1:32" ht="43.5">
      <c r="A25" s="3" t="s">
        <v>881</v>
      </c>
      <c r="B25" s="3" t="s">
        <v>5471</v>
      </c>
      <c r="C25" s="3" t="s">
        <v>5472</v>
      </c>
      <c r="G25" s="9" t="s">
        <v>12118</v>
      </c>
      <c r="H25" s="9"/>
      <c r="I25" s="9"/>
      <c r="J25" s="9"/>
      <c r="K25" s="9"/>
      <c r="L25" s="9"/>
      <c r="M25" s="9"/>
      <c r="N25" s="10"/>
      <c r="O25" s="9"/>
      <c r="P25" s="9"/>
      <c r="Q25" s="9">
        <v>-293</v>
      </c>
      <c r="R25" s="9">
        <v>472</v>
      </c>
      <c r="S25" s="9">
        <v>179</v>
      </c>
      <c r="T25" s="13">
        <f t="shared" si="0"/>
        <v>56.71713530401346</v>
      </c>
      <c r="U25" s="13">
        <f t="shared" si="1"/>
        <v>21.509252583513579</v>
      </c>
      <c r="V25" s="13">
        <f t="shared" si="2"/>
        <v>-35.207882720499882</v>
      </c>
      <c r="W25" s="9" t="s">
        <v>4</v>
      </c>
      <c r="X25" s="9"/>
      <c r="Y25" s="9"/>
      <c r="Z25" s="9"/>
      <c r="AA25" s="9"/>
      <c r="AB25" s="9"/>
      <c r="AC25" s="9"/>
      <c r="AD25" s="9"/>
      <c r="AE25" s="9"/>
      <c r="AF25" s="9"/>
    </row>
    <row r="26" spans="1:32" ht="43.5">
      <c r="A26" s="3" t="s">
        <v>895</v>
      </c>
      <c r="B26" s="3" t="s">
        <v>5486</v>
      </c>
      <c r="C26" s="3" t="s">
        <v>5487</v>
      </c>
      <c r="G26" s="9" t="s">
        <v>12118</v>
      </c>
      <c r="H26" s="9"/>
      <c r="I26" s="9"/>
      <c r="J26" s="9"/>
      <c r="K26" s="9"/>
      <c r="L26" s="9"/>
      <c r="M26" s="9"/>
      <c r="N26" s="10"/>
      <c r="O26" s="9"/>
      <c r="P26" s="9"/>
      <c r="Q26" s="9">
        <v>186</v>
      </c>
      <c r="R26" s="9">
        <v>0</v>
      </c>
      <c r="S26" s="9">
        <v>186</v>
      </c>
      <c r="T26" s="13">
        <f t="shared" si="0"/>
        <v>0</v>
      </c>
      <c r="U26" s="13">
        <f t="shared" si="1"/>
        <v>22.350396539293438</v>
      </c>
      <c r="V26" s="13">
        <f t="shared" si="2"/>
        <v>22.350396539293438</v>
      </c>
      <c r="W26" s="9"/>
      <c r="X26" s="9"/>
      <c r="Y26" s="9"/>
      <c r="Z26" s="9"/>
      <c r="AA26" s="9"/>
      <c r="AB26" s="9"/>
      <c r="AC26" s="9"/>
      <c r="AD26" s="9"/>
      <c r="AE26" s="9"/>
      <c r="AF26" s="9"/>
    </row>
    <row r="27" spans="1:32" ht="43.5">
      <c r="A27" s="3" t="s">
        <v>910</v>
      </c>
      <c r="B27" s="3" t="s">
        <v>5497</v>
      </c>
      <c r="C27" s="3" t="s">
        <v>5498</v>
      </c>
      <c r="G27" s="9" t="s">
        <v>12118</v>
      </c>
      <c r="H27" s="9"/>
      <c r="I27" s="9"/>
      <c r="J27" s="9"/>
      <c r="K27" s="9"/>
      <c r="L27" s="9"/>
      <c r="M27" s="9"/>
      <c r="N27" s="10"/>
      <c r="O27" s="9"/>
      <c r="P27" s="9"/>
      <c r="Q27" s="9">
        <v>-34</v>
      </c>
      <c r="R27" s="9">
        <v>227</v>
      </c>
      <c r="S27" s="9">
        <v>193</v>
      </c>
      <c r="T27" s="13">
        <f t="shared" si="0"/>
        <v>27.277096851718337</v>
      </c>
      <c r="U27" s="13">
        <f t="shared" si="1"/>
        <v>23.191540495073301</v>
      </c>
      <c r="V27" s="13">
        <f t="shared" si="2"/>
        <v>-4.0855563566450357</v>
      </c>
      <c r="W27" s="9"/>
      <c r="X27" s="9"/>
      <c r="Y27" s="9"/>
      <c r="Z27" s="9"/>
      <c r="AA27" s="9"/>
      <c r="AB27" s="9"/>
      <c r="AC27" s="9"/>
      <c r="AD27" s="9"/>
      <c r="AE27" s="9"/>
      <c r="AF27" s="9"/>
    </row>
    <row r="28" spans="1:32" ht="43.5">
      <c r="A28" s="3" t="s">
        <v>930</v>
      </c>
      <c r="B28" s="3" t="s">
        <v>5533</v>
      </c>
      <c r="C28" s="3" t="s">
        <v>5534</v>
      </c>
      <c r="G28" s="9" t="s">
        <v>12118</v>
      </c>
      <c r="H28" s="9"/>
      <c r="I28" s="9"/>
      <c r="J28" s="9"/>
      <c r="K28" s="9"/>
      <c r="L28" s="9"/>
      <c r="M28" s="9"/>
      <c r="N28" s="10"/>
      <c r="O28" s="9"/>
      <c r="P28" s="9"/>
      <c r="Q28" s="9">
        <v>71</v>
      </c>
      <c r="R28" s="9">
        <v>2</v>
      </c>
      <c r="S28" s="9">
        <v>73</v>
      </c>
      <c r="T28" s="13">
        <f t="shared" si="0"/>
        <v>0.24032684450853162</v>
      </c>
      <c r="U28" s="13">
        <f t="shared" si="1"/>
        <v>8.7719298245614041</v>
      </c>
      <c r="V28" s="13">
        <f t="shared" si="2"/>
        <v>8.5316029800528721</v>
      </c>
      <c r="W28" s="9"/>
      <c r="X28" s="9"/>
      <c r="Y28" s="9"/>
      <c r="Z28" s="9"/>
      <c r="AA28" s="9"/>
      <c r="AB28" s="9"/>
      <c r="AC28" s="9"/>
      <c r="AD28" s="9"/>
      <c r="AE28" s="9"/>
      <c r="AF28" s="9"/>
    </row>
    <row r="29" spans="1:32" ht="58">
      <c r="A29" s="3" t="s">
        <v>1002</v>
      </c>
      <c r="B29" s="3" t="s">
        <v>5604</v>
      </c>
      <c r="C29" s="3" t="s">
        <v>5605</v>
      </c>
      <c r="G29" s="9" t="s">
        <v>12118</v>
      </c>
      <c r="H29" s="9"/>
      <c r="I29" s="9"/>
      <c r="J29" s="9"/>
      <c r="K29" s="9"/>
      <c r="L29" s="9"/>
      <c r="M29" s="9"/>
      <c r="N29" s="10"/>
      <c r="O29" s="9"/>
      <c r="P29" s="9"/>
      <c r="Q29" s="9">
        <v>541</v>
      </c>
      <c r="R29" s="9">
        <v>560</v>
      </c>
      <c r="S29" s="9">
        <v>1101</v>
      </c>
      <c r="T29" s="13">
        <f t="shared" si="0"/>
        <v>67.291516462388842</v>
      </c>
      <c r="U29" s="13">
        <f t="shared" si="1"/>
        <v>132.29992790194663</v>
      </c>
      <c r="V29" s="13">
        <f t="shared" si="2"/>
        <v>65.00841143955779</v>
      </c>
      <c r="W29" s="9"/>
      <c r="X29" s="9"/>
      <c r="Y29" s="9"/>
      <c r="Z29" s="9"/>
      <c r="AA29" s="9"/>
      <c r="AB29" s="9"/>
      <c r="AC29" s="9"/>
      <c r="AD29" s="9"/>
      <c r="AE29" s="9"/>
      <c r="AF29" s="9"/>
    </row>
    <row r="30" spans="1:32" ht="72.5">
      <c r="A30" s="3" t="s">
        <v>1036</v>
      </c>
      <c r="B30" s="3" t="s">
        <v>5633</v>
      </c>
      <c r="C30" s="3" t="s">
        <v>12200</v>
      </c>
      <c r="G30" s="9" t="s">
        <v>12118</v>
      </c>
      <c r="H30" s="9"/>
      <c r="I30" s="9"/>
      <c r="J30" s="9"/>
      <c r="K30" s="9"/>
      <c r="L30" s="9"/>
      <c r="M30" s="9"/>
      <c r="N30" s="10"/>
      <c r="O30" s="9"/>
      <c r="P30" s="9"/>
      <c r="Q30" s="9">
        <v>-1800</v>
      </c>
      <c r="R30" s="9">
        <v>1966</v>
      </c>
      <c r="S30" s="9">
        <v>166</v>
      </c>
      <c r="T30" s="13">
        <f t="shared" si="0"/>
        <v>236.24128815188658</v>
      </c>
      <c r="U30" s="13">
        <f t="shared" si="1"/>
        <v>19.947128094208121</v>
      </c>
      <c r="V30" s="13">
        <f t="shared" si="2"/>
        <v>-216.29416005767845</v>
      </c>
      <c r="W30" s="9"/>
      <c r="X30" s="9"/>
      <c r="Y30" s="9"/>
      <c r="Z30" s="9"/>
      <c r="AA30" s="9"/>
      <c r="AB30" s="9"/>
      <c r="AC30" s="9"/>
      <c r="AD30" s="9"/>
      <c r="AE30" s="9"/>
      <c r="AF30" s="9"/>
    </row>
    <row r="31" spans="1:32" ht="29">
      <c r="A31" s="3" t="s">
        <v>1079</v>
      </c>
      <c r="B31" s="3" t="s">
        <v>5659</v>
      </c>
      <c r="C31" s="3" t="s">
        <v>5660</v>
      </c>
      <c r="G31" s="9" t="s">
        <v>12118</v>
      </c>
      <c r="H31" s="9"/>
      <c r="I31" s="9"/>
      <c r="J31" s="9"/>
      <c r="K31" s="9"/>
      <c r="L31" s="9"/>
      <c r="M31" s="9"/>
      <c r="N31" s="10"/>
      <c r="O31" s="9"/>
      <c r="P31" s="9"/>
      <c r="Q31" s="9">
        <v>-4080</v>
      </c>
      <c r="R31" s="9">
        <v>4240</v>
      </c>
      <c r="S31" s="9">
        <v>160</v>
      </c>
      <c r="T31" s="13">
        <f t="shared" si="0"/>
        <v>509.49291035808699</v>
      </c>
      <c r="U31" s="13">
        <f t="shared" si="1"/>
        <v>19.226147560682527</v>
      </c>
      <c r="V31" s="13">
        <f t="shared" si="2"/>
        <v>-490.26676279740445</v>
      </c>
      <c r="W31" s="9"/>
      <c r="X31" s="9"/>
      <c r="Y31" s="9"/>
      <c r="Z31" s="9"/>
      <c r="AA31" s="9"/>
      <c r="AB31" s="9"/>
      <c r="AC31" s="9"/>
      <c r="AD31" s="9"/>
      <c r="AE31" s="9"/>
      <c r="AF31" s="9"/>
    </row>
    <row r="32" spans="1:32" ht="29">
      <c r="A32" s="3" t="s">
        <v>1133</v>
      </c>
      <c r="B32" s="3" t="s">
        <v>5714</v>
      </c>
      <c r="C32" s="3" t="s">
        <v>5715</v>
      </c>
      <c r="G32" s="9" t="s">
        <v>12118</v>
      </c>
      <c r="H32" s="9"/>
      <c r="I32" s="9"/>
      <c r="J32" s="9"/>
      <c r="K32" s="9"/>
      <c r="L32" s="9"/>
      <c r="M32" s="9"/>
      <c r="N32" s="10"/>
      <c r="O32" s="9"/>
      <c r="P32" s="9"/>
      <c r="Q32" s="9">
        <v>-409</v>
      </c>
      <c r="R32" s="9">
        <v>431</v>
      </c>
      <c r="S32" s="9">
        <v>22</v>
      </c>
      <c r="T32" s="13">
        <f t="shared" si="0"/>
        <v>51.790434991588562</v>
      </c>
      <c r="U32" s="13">
        <f t="shared" si="1"/>
        <v>2.6435952895938475</v>
      </c>
      <c r="V32" s="13">
        <f t="shared" si="2"/>
        <v>-49.146839701994715</v>
      </c>
      <c r="W32" s="9"/>
      <c r="X32" s="9"/>
      <c r="Y32" s="9"/>
      <c r="Z32" s="9"/>
      <c r="AA32" s="9"/>
      <c r="AB32" s="9"/>
      <c r="AC32" s="9"/>
      <c r="AD32" s="9"/>
      <c r="AE32" s="9"/>
      <c r="AF32" s="9"/>
    </row>
    <row r="33" spans="1:32" ht="29">
      <c r="A33" s="3" t="s">
        <v>1138</v>
      </c>
      <c r="B33" s="3" t="s">
        <v>5720</v>
      </c>
      <c r="C33" s="3" t="s">
        <v>5721</v>
      </c>
      <c r="G33" s="9" t="s">
        <v>12118</v>
      </c>
      <c r="H33" s="9"/>
      <c r="I33" s="9"/>
      <c r="J33" s="9"/>
      <c r="K33" s="9"/>
      <c r="L33" s="9"/>
      <c r="M33" s="9"/>
      <c r="N33" s="10"/>
      <c r="O33" s="9"/>
      <c r="P33" s="9"/>
      <c r="Q33" s="9">
        <v>193</v>
      </c>
      <c r="R33" s="9">
        <v>87</v>
      </c>
      <c r="S33" s="9">
        <v>280</v>
      </c>
      <c r="T33" s="13">
        <f t="shared" si="0"/>
        <v>10.454217736121125</v>
      </c>
      <c r="U33" s="13">
        <f t="shared" si="1"/>
        <v>33.645758231194421</v>
      </c>
      <c r="V33" s="13">
        <f t="shared" si="2"/>
        <v>23.191540495073298</v>
      </c>
      <c r="W33" s="9"/>
      <c r="X33" s="9"/>
      <c r="Y33" s="9"/>
      <c r="Z33" s="9"/>
      <c r="AA33" s="9"/>
      <c r="AB33" s="9"/>
      <c r="AC33" s="9"/>
      <c r="AD33" s="9"/>
      <c r="AE33" s="9"/>
      <c r="AF33" s="9"/>
    </row>
    <row r="34" spans="1:32" ht="58">
      <c r="A34" s="3" t="s">
        <v>1139</v>
      </c>
      <c r="B34" s="3" t="s">
        <v>5724</v>
      </c>
      <c r="C34" s="3" t="s">
        <v>5725</v>
      </c>
      <c r="G34" s="9" t="s">
        <v>12118</v>
      </c>
      <c r="H34" s="9"/>
      <c r="I34" s="9"/>
      <c r="J34" s="9"/>
      <c r="K34" s="9"/>
      <c r="L34" s="9"/>
      <c r="M34" s="9"/>
      <c r="N34" s="10"/>
      <c r="O34" s="9"/>
      <c r="P34" s="9"/>
      <c r="Q34" s="9">
        <v>4080</v>
      </c>
      <c r="R34" s="9">
        <v>160</v>
      </c>
      <c r="S34" s="9">
        <v>4240</v>
      </c>
      <c r="T34" s="13">
        <f t="shared" ref="T34:T65" si="3">IF(ISNUMBER(R34), (R34/$E$353)*10000, "")</f>
        <v>19.226147560682527</v>
      </c>
      <c r="U34" s="13">
        <f t="shared" ref="U34:U65" si="4">IF(ISNUMBER(S34), (S34/$E$353)*10000, "")</f>
        <v>509.49291035808699</v>
      </c>
      <c r="V34" s="13">
        <f t="shared" si="2"/>
        <v>490.26676279740445</v>
      </c>
      <c r="W34" s="9" t="s">
        <v>4</v>
      </c>
      <c r="X34" s="9"/>
      <c r="Y34" s="9"/>
      <c r="Z34" s="9"/>
      <c r="AA34" s="9"/>
      <c r="AB34" s="9"/>
      <c r="AC34" s="9"/>
      <c r="AD34" s="9"/>
      <c r="AE34" s="9"/>
      <c r="AF34" s="9"/>
    </row>
    <row r="35" spans="1:32" ht="72.5">
      <c r="A35" s="3" t="s">
        <v>1154</v>
      </c>
      <c r="B35" s="3" t="s">
        <v>5741</v>
      </c>
      <c r="C35" s="3" t="s">
        <v>5742</v>
      </c>
      <c r="G35" s="9" t="s">
        <v>12118</v>
      </c>
      <c r="H35" s="9"/>
      <c r="I35" s="9"/>
      <c r="J35" s="9"/>
      <c r="K35" s="9"/>
      <c r="L35" s="9"/>
      <c r="M35" s="9"/>
      <c r="N35" s="10"/>
      <c r="O35" s="9"/>
      <c r="P35" s="9"/>
      <c r="Q35" s="9">
        <v>9</v>
      </c>
      <c r="R35" s="9">
        <v>0</v>
      </c>
      <c r="S35" s="9">
        <v>9</v>
      </c>
      <c r="T35" s="13">
        <f t="shared" si="3"/>
        <v>0</v>
      </c>
      <c r="U35" s="13">
        <f t="shared" si="4"/>
        <v>1.0814708002883922</v>
      </c>
      <c r="V35" s="13">
        <f t="shared" si="2"/>
        <v>1.0814708002883922</v>
      </c>
      <c r="W35" s="9" t="s">
        <v>12117</v>
      </c>
      <c r="X35" s="9"/>
      <c r="Y35" s="9"/>
      <c r="Z35" s="9"/>
      <c r="AA35" s="9"/>
      <c r="AB35" s="9"/>
      <c r="AC35" s="9"/>
      <c r="AD35" s="9"/>
      <c r="AE35" s="9"/>
      <c r="AF35" s="9"/>
    </row>
    <row r="36" spans="1:32" ht="58">
      <c r="A36" s="3" t="s">
        <v>1156</v>
      </c>
      <c r="B36" s="3" t="s">
        <v>5750</v>
      </c>
      <c r="C36" s="3" t="s">
        <v>5751</v>
      </c>
      <c r="G36" s="9" t="s">
        <v>12118</v>
      </c>
      <c r="H36" s="9"/>
      <c r="I36" s="9"/>
      <c r="J36" s="9"/>
      <c r="K36" s="9"/>
      <c r="L36" s="9"/>
      <c r="M36" s="9"/>
      <c r="N36" s="10"/>
      <c r="O36" s="9"/>
      <c r="P36" s="9"/>
      <c r="Q36" s="9">
        <v>-57</v>
      </c>
      <c r="R36" s="9">
        <v>65</v>
      </c>
      <c r="S36" s="9">
        <v>8</v>
      </c>
      <c r="T36" s="13">
        <f t="shared" si="3"/>
        <v>7.8106224465272769</v>
      </c>
      <c r="U36" s="13">
        <f t="shared" si="4"/>
        <v>0.96130737803412647</v>
      </c>
      <c r="V36" s="13">
        <f t="shared" si="2"/>
        <v>-6.8493150684931505</v>
      </c>
      <c r="W36" s="9"/>
      <c r="X36" s="9"/>
      <c r="Y36" s="9"/>
      <c r="Z36" s="9"/>
      <c r="AA36" s="9"/>
      <c r="AB36" s="9"/>
      <c r="AC36" s="9"/>
      <c r="AD36" s="9"/>
      <c r="AE36" s="9"/>
      <c r="AF36" s="9"/>
    </row>
    <row r="37" spans="1:32" ht="58">
      <c r="A37" s="3" t="s">
        <v>1157</v>
      </c>
      <c r="B37" s="3" t="s">
        <v>5752</v>
      </c>
      <c r="C37" s="3" t="s">
        <v>5753</v>
      </c>
      <c r="G37" s="9" t="s">
        <v>12118</v>
      </c>
      <c r="H37" s="9"/>
      <c r="I37" s="9"/>
      <c r="J37" s="9"/>
      <c r="K37" s="9"/>
      <c r="L37" s="9"/>
      <c r="M37" s="9"/>
      <c r="N37" s="10"/>
      <c r="O37" s="9"/>
      <c r="P37" s="9"/>
      <c r="Q37" s="9">
        <v>57</v>
      </c>
      <c r="R37" s="9">
        <v>8</v>
      </c>
      <c r="S37" s="9">
        <v>65</v>
      </c>
      <c r="T37" s="13">
        <f t="shared" si="3"/>
        <v>0.96130737803412647</v>
      </c>
      <c r="U37" s="13">
        <f t="shared" si="4"/>
        <v>7.8106224465272769</v>
      </c>
      <c r="V37" s="13">
        <f t="shared" si="2"/>
        <v>6.8493150684931505</v>
      </c>
      <c r="W37" s="9"/>
      <c r="X37" s="9"/>
      <c r="Y37" s="9"/>
      <c r="Z37" s="9"/>
      <c r="AA37" s="9"/>
      <c r="AB37" s="9"/>
      <c r="AC37" s="9"/>
      <c r="AD37" s="9"/>
      <c r="AE37" s="9"/>
      <c r="AF37" s="9"/>
    </row>
    <row r="38" spans="1:32" ht="72.5">
      <c r="A38" s="3" t="s">
        <v>1163</v>
      </c>
      <c r="B38" s="3" t="s">
        <v>5761</v>
      </c>
      <c r="C38" s="3" t="s">
        <v>5762</v>
      </c>
      <c r="G38" s="9" t="s">
        <v>12121</v>
      </c>
      <c r="H38" s="9"/>
      <c r="I38" s="9"/>
      <c r="J38" s="9"/>
      <c r="K38" s="9"/>
      <c r="L38" s="9"/>
      <c r="M38" s="9"/>
      <c r="N38" s="10"/>
      <c r="O38" s="9"/>
      <c r="P38" s="9"/>
      <c r="Q38" s="9">
        <v>-15</v>
      </c>
      <c r="R38" s="9">
        <v>92</v>
      </c>
      <c r="S38" s="9">
        <v>77</v>
      </c>
      <c r="T38" s="13">
        <f t="shared" si="3"/>
        <v>11.055034847392454</v>
      </c>
      <c r="U38" s="13">
        <f t="shared" si="4"/>
        <v>9.2525835135784664</v>
      </c>
      <c r="V38" s="13">
        <f t="shared" si="2"/>
        <v>-1.8024513338139876</v>
      </c>
      <c r="W38" s="9"/>
      <c r="X38" s="9"/>
      <c r="Y38" s="9"/>
      <c r="Z38" s="9"/>
      <c r="AA38" s="9"/>
      <c r="AB38" s="9"/>
      <c r="AC38" s="9"/>
      <c r="AD38" s="9"/>
      <c r="AE38" s="9"/>
      <c r="AF38" s="9"/>
    </row>
    <row r="39" spans="1:32" ht="43.5">
      <c r="A39" s="3" t="s">
        <v>1163</v>
      </c>
      <c r="B39" s="3" t="s">
        <v>5764</v>
      </c>
      <c r="C39" s="3" t="s">
        <v>5765</v>
      </c>
      <c r="G39" s="9" t="s">
        <v>12118</v>
      </c>
      <c r="H39" s="9"/>
      <c r="I39" s="9"/>
      <c r="J39" s="9"/>
      <c r="K39" s="9"/>
      <c r="L39" s="9"/>
      <c r="M39" s="9"/>
      <c r="N39" s="10"/>
      <c r="O39" s="9"/>
      <c r="P39" s="9"/>
      <c r="Q39" s="9">
        <v>49</v>
      </c>
      <c r="R39" s="9">
        <v>3</v>
      </c>
      <c r="S39" s="9">
        <v>52</v>
      </c>
      <c r="T39" s="13">
        <f t="shared" si="3"/>
        <v>0.36049026676279744</v>
      </c>
      <c r="U39" s="13">
        <f t="shared" si="4"/>
        <v>6.2484979572218213</v>
      </c>
      <c r="V39" s="13">
        <f t="shared" si="2"/>
        <v>5.8880076904590242</v>
      </c>
      <c r="W39" s="9"/>
      <c r="X39" s="9"/>
      <c r="Y39" s="9"/>
      <c r="Z39" s="9"/>
      <c r="AA39" s="9"/>
      <c r="AB39" s="9"/>
      <c r="AC39" s="9"/>
      <c r="AD39" s="9"/>
      <c r="AE39" s="9"/>
      <c r="AF39" s="9"/>
    </row>
    <row r="40" spans="1:32" ht="58">
      <c r="A40" s="3" t="s">
        <v>1176</v>
      </c>
      <c r="B40" s="3" t="s">
        <v>5772</v>
      </c>
      <c r="C40" s="3" t="s">
        <v>5773</v>
      </c>
      <c r="G40" s="9" t="s">
        <v>12118</v>
      </c>
      <c r="H40" s="9"/>
      <c r="I40" s="9"/>
      <c r="J40" s="9"/>
      <c r="K40" s="9"/>
      <c r="L40" s="9"/>
      <c r="M40" s="9"/>
      <c r="N40" s="10"/>
      <c r="O40" s="9"/>
      <c r="P40" s="9"/>
      <c r="Q40" s="9">
        <v>5483</v>
      </c>
      <c r="R40" s="9">
        <v>193</v>
      </c>
      <c r="S40" s="9">
        <v>5676</v>
      </c>
      <c r="T40" s="13">
        <f t="shared" si="3"/>
        <v>23.191540495073301</v>
      </c>
      <c r="U40" s="13">
        <f t="shared" si="4"/>
        <v>682.04758471521268</v>
      </c>
      <c r="V40" s="13">
        <f t="shared" si="2"/>
        <v>658.85604422013932</v>
      </c>
      <c r="W40" s="9"/>
      <c r="X40" s="9"/>
      <c r="Y40" s="9"/>
      <c r="Z40" s="9"/>
      <c r="AA40" s="9"/>
      <c r="AB40" s="9"/>
      <c r="AC40" s="9"/>
      <c r="AD40" s="9"/>
      <c r="AE40" s="9"/>
      <c r="AF40" s="9"/>
    </row>
    <row r="41" spans="1:32" ht="87">
      <c r="A41" s="3" t="s">
        <v>1184</v>
      </c>
      <c r="B41" s="3" t="s">
        <v>5787</v>
      </c>
      <c r="C41" s="3" t="s">
        <v>5788</v>
      </c>
      <c r="G41" s="9" t="s">
        <v>12118</v>
      </c>
      <c r="H41" s="9"/>
      <c r="I41" s="9"/>
      <c r="J41" s="9"/>
      <c r="K41" s="9"/>
      <c r="L41" s="9"/>
      <c r="M41" s="9"/>
      <c r="N41" s="10"/>
      <c r="O41" s="9"/>
      <c r="P41" s="9"/>
      <c r="Q41" s="9">
        <v>-743</v>
      </c>
      <c r="R41" s="9">
        <v>810</v>
      </c>
      <c r="S41" s="9">
        <v>67</v>
      </c>
      <c r="T41" s="13">
        <f t="shared" si="3"/>
        <v>97.332372025955294</v>
      </c>
      <c r="U41" s="13">
        <f t="shared" si="4"/>
        <v>8.050949291035808</v>
      </c>
      <c r="V41" s="13">
        <f t="shared" si="2"/>
        <v>-89.281422734919488</v>
      </c>
      <c r="W41" s="9"/>
      <c r="X41" s="9"/>
      <c r="Y41" s="9"/>
      <c r="Z41" s="9"/>
      <c r="AA41" s="9"/>
      <c r="AB41" s="9"/>
      <c r="AC41" s="9"/>
      <c r="AD41" s="9"/>
      <c r="AE41" s="9"/>
      <c r="AF41" s="9"/>
    </row>
    <row r="42" spans="1:32" ht="58">
      <c r="A42" s="3" t="s">
        <v>1205</v>
      </c>
      <c r="B42" s="3" t="s">
        <v>5819</v>
      </c>
      <c r="C42" s="3" t="s">
        <v>5820</v>
      </c>
      <c r="G42" s="9" t="s">
        <v>12118</v>
      </c>
      <c r="H42" s="9"/>
      <c r="I42" s="9"/>
      <c r="J42" s="9"/>
      <c r="K42" s="9"/>
      <c r="L42" s="9"/>
      <c r="M42" s="9"/>
      <c r="N42" s="10"/>
      <c r="O42" s="9"/>
      <c r="P42" s="9"/>
      <c r="Q42" s="9">
        <v>-12</v>
      </c>
      <c r="R42" s="9">
        <v>25</v>
      </c>
      <c r="S42" s="9">
        <v>13</v>
      </c>
      <c r="T42" s="13">
        <f t="shared" si="3"/>
        <v>3.0040855563566451</v>
      </c>
      <c r="U42" s="13">
        <f t="shared" si="4"/>
        <v>1.5621244893054553</v>
      </c>
      <c r="V42" s="13">
        <f t="shared" si="2"/>
        <v>-1.4419610670511898</v>
      </c>
      <c r="W42" s="9"/>
      <c r="X42" s="9"/>
      <c r="Y42" s="9"/>
      <c r="Z42" s="9"/>
      <c r="AA42" s="9"/>
      <c r="AB42" s="9"/>
      <c r="AC42" s="9"/>
      <c r="AD42" s="9"/>
      <c r="AE42" s="9"/>
      <c r="AF42" s="9"/>
    </row>
    <row r="43" spans="1:32" ht="29">
      <c r="A43" s="3" t="s">
        <v>1211</v>
      </c>
      <c r="B43" s="3" t="s">
        <v>5821</v>
      </c>
      <c r="C43" s="3" t="s">
        <v>5822</v>
      </c>
      <c r="G43" s="9" t="s">
        <v>12118</v>
      </c>
      <c r="H43" s="9"/>
      <c r="I43" s="9"/>
      <c r="J43" s="9"/>
      <c r="K43" s="9"/>
      <c r="L43" s="9"/>
      <c r="M43" s="9"/>
      <c r="N43" s="10"/>
      <c r="O43" s="9"/>
      <c r="P43" s="9"/>
      <c r="Q43" s="9">
        <v>203</v>
      </c>
      <c r="R43" s="9">
        <v>32</v>
      </c>
      <c r="S43" s="9">
        <v>235</v>
      </c>
      <c r="T43" s="13">
        <f t="shared" si="3"/>
        <v>3.8452295121365059</v>
      </c>
      <c r="U43" s="13">
        <f t="shared" si="4"/>
        <v>28.238404229752462</v>
      </c>
      <c r="V43" s="13">
        <f t="shared" si="2"/>
        <v>24.393174717615956</v>
      </c>
      <c r="W43" s="9"/>
      <c r="X43" s="9"/>
      <c r="Y43" s="9"/>
      <c r="Z43" s="9"/>
      <c r="AA43" s="9"/>
      <c r="AB43" s="9"/>
      <c r="AC43" s="9"/>
      <c r="AD43" s="9"/>
      <c r="AE43" s="9"/>
      <c r="AF43" s="9"/>
    </row>
    <row r="44" spans="1:32" ht="43.5">
      <c r="A44" s="3" t="s">
        <v>1214</v>
      </c>
      <c r="B44" s="3" t="s">
        <v>5827</v>
      </c>
      <c r="C44" s="3" t="s">
        <v>5828</v>
      </c>
      <c r="G44" s="9" t="s">
        <v>12118</v>
      </c>
      <c r="H44" s="9"/>
      <c r="I44" s="9"/>
      <c r="J44" s="9"/>
      <c r="K44" s="9"/>
      <c r="L44" s="9"/>
      <c r="M44" s="9"/>
      <c r="N44" s="10"/>
      <c r="O44" s="9"/>
      <c r="P44" s="9"/>
      <c r="Q44" s="9">
        <v>-21</v>
      </c>
      <c r="R44" s="9">
        <v>186</v>
      </c>
      <c r="S44" s="9">
        <v>165</v>
      </c>
      <c r="T44" s="13">
        <f t="shared" si="3"/>
        <v>22.350396539293438</v>
      </c>
      <c r="U44" s="13">
        <f t="shared" si="4"/>
        <v>19.826964671953856</v>
      </c>
      <c r="V44" s="13">
        <f t="shared" si="2"/>
        <v>-2.5234318673395819</v>
      </c>
      <c r="W44" s="9"/>
      <c r="X44" s="9"/>
      <c r="Y44" s="9"/>
      <c r="Z44" s="9"/>
      <c r="AA44" s="9"/>
      <c r="AB44" s="9"/>
      <c r="AC44" s="9"/>
      <c r="AD44" s="9"/>
      <c r="AE44" s="9"/>
      <c r="AF44" s="9"/>
    </row>
    <row r="45" spans="1:32" ht="29">
      <c r="A45" s="3" t="s">
        <v>1228</v>
      </c>
      <c r="B45" s="3" t="s">
        <v>1229</v>
      </c>
      <c r="C45" s="3" t="s">
        <v>1230</v>
      </c>
      <c r="G45" s="9" t="s">
        <v>12118</v>
      </c>
      <c r="H45" s="9"/>
      <c r="I45" s="9"/>
      <c r="J45" s="9"/>
      <c r="K45" s="9"/>
      <c r="L45" s="9"/>
      <c r="M45" s="9"/>
      <c r="N45" s="10"/>
      <c r="O45" s="9"/>
      <c r="P45" s="9"/>
      <c r="Q45" s="9">
        <v>-69</v>
      </c>
      <c r="R45" s="9">
        <v>77</v>
      </c>
      <c r="S45" s="9">
        <v>8</v>
      </c>
      <c r="T45" s="13">
        <f t="shared" si="3"/>
        <v>9.2525835135784664</v>
      </c>
      <c r="U45" s="13">
        <f t="shared" si="4"/>
        <v>0.96130737803412647</v>
      </c>
      <c r="V45" s="13">
        <f t="shared" si="2"/>
        <v>-8.2912761355443401</v>
      </c>
      <c r="W45" s="9"/>
      <c r="X45" s="9"/>
      <c r="Y45" s="9"/>
      <c r="Z45" s="9"/>
      <c r="AA45" s="9"/>
      <c r="AB45" s="9"/>
      <c r="AC45" s="9"/>
      <c r="AD45" s="9"/>
      <c r="AE45" s="9"/>
      <c r="AF45" s="9"/>
    </row>
    <row r="46" spans="1:32" ht="43.5">
      <c r="A46" s="3" t="s">
        <v>1236</v>
      </c>
      <c r="B46" s="3" t="s">
        <v>5840</v>
      </c>
      <c r="C46" s="3" t="s">
        <v>5841</v>
      </c>
      <c r="G46" s="9" t="s">
        <v>12118</v>
      </c>
      <c r="H46" s="9"/>
      <c r="I46" s="9"/>
      <c r="J46" s="9"/>
      <c r="K46" s="9"/>
      <c r="L46" s="9"/>
      <c r="M46" s="9"/>
      <c r="N46" s="10"/>
      <c r="O46" s="9"/>
      <c r="P46" s="9"/>
      <c r="Q46" s="9">
        <v>3710</v>
      </c>
      <c r="R46" s="9">
        <v>1966</v>
      </c>
      <c r="S46" s="9">
        <v>5676</v>
      </c>
      <c r="T46" s="13">
        <f t="shared" si="3"/>
        <v>236.24128815188658</v>
      </c>
      <c r="U46" s="13">
        <f t="shared" si="4"/>
        <v>682.04758471521268</v>
      </c>
      <c r="V46" s="13">
        <f t="shared" si="2"/>
        <v>445.8062965633261</v>
      </c>
      <c r="W46" s="9"/>
      <c r="X46" s="9"/>
      <c r="Y46" s="9"/>
      <c r="Z46" s="9"/>
      <c r="AA46" s="9"/>
      <c r="AB46" s="9"/>
      <c r="AC46" s="9"/>
      <c r="AD46" s="9"/>
      <c r="AE46" s="9"/>
      <c r="AF46" s="9"/>
    </row>
    <row r="47" spans="1:32" ht="43.5">
      <c r="A47" s="3" t="s">
        <v>1261</v>
      </c>
      <c r="B47" s="3" t="s">
        <v>5873</v>
      </c>
      <c r="C47" s="3" t="s">
        <v>5874</v>
      </c>
      <c r="G47" s="9" t="s">
        <v>12118</v>
      </c>
      <c r="H47" s="9"/>
      <c r="I47" s="9"/>
      <c r="J47" s="9"/>
      <c r="K47" s="9"/>
      <c r="L47" s="9"/>
      <c r="M47" s="9"/>
      <c r="N47" s="10"/>
      <c r="O47" s="9"/>
      <c r="P47" s="9"/>
      <c r="Q47" s="9">
        <v>-268</v>
      </c>
      <c r="R47" s="9">
        <v>309</v>
      </c>
      <c r="S47" s="9">
        <v>41</v>
      </c>
      <c r="T47" s="13">
        <f t="shared" si="3"/>
        <v>37.130497476568131</v>
      </c>
      <c r="U47" s="13">
        <f t="shared" si="4"/>
        <v>4.9267003124248978</v>
      </c>
      <c r="V47" s="13">
        <f t="shared" si="2"/>
        <v>-32.203797164143232</v>
      </c>
      <c r="W47" s="9"/>
      <c r="X47" s="9"/>
      <c r="Y47" s="9"/>
      <c r="Z47" s="9"/>
      <c r="AA47" s="9"/>
      <c r="AB47" s="9"/>
      <c r="AC47" s="9"/>
      <c r="AD47" s="9"/>
      <c r="AE47" s="9"/>
      <c r="AF47" s="9"/>
    </row>
    <row r="48" spans="1:32" ht="43.5">
      <c r="A48" s="3" t="s">
        <v>1264</v>
      </c>
      <c r="B48" s="3" t="s">
        <v>5876</v>
      </c>
      <c r="C48" s="3" t="s">
        <v>5877</v>
      </c>
      <c r="G48" s="9" t="s">
        <v>12118</v>
      </c>
      <c r="H48" s="9"/>
      <c r="I48" s="9"/>
      <c r="J48" s="9"/>
      <c r="K48" s="9"/>
      <c r="L48" s="9"/>
      <c r="M48" s="9"/>
      <c r="N48" s="10"/>
      <c r="O48" s="9"/>
      <c r="P48" s="9"/>
      <c r="Q48" s="9">
        <v>294</v>
      </c>
      <c r="R48" s="9">
        <v>214</v>
      </c>
      <c r="S48" s="9">
        <v>508</v>
      </c>
      <c r="T48" s="13">
        <f t="shared" si="3"/>
        <v>25.71497236241288</v>
      </c>
      <c r="U48" s="13">
        <f t="shared" si="4"/>
        <v>61.043018505167026</v>
      </c>
      <c r="V48" s="13">
        <f t="shared" si="2"/>
        <v>35.328046142754147</v>
      </c>
      <c r="W48" s="9"/>
      <c r="X48" s="9"/>
      <c r="Y48" s="9"/>
      <c r="Z48" s="9"/>
      <c r="AA48" s="9"/>
      <c r="AB48" s="9"/>
      <c r="AC48" s="9"/>
      <c r="AD48" s="9"/>
      <c r="AE48" s="9"/>
      <c r="AF48" s="9"/>
    </row>
    <row r="49" spans="1:32" ht="72.5">
      <c r="A49" s="3" t="s">
        <v>1267</v>
      </c>
      <c r="B49" s="3" t="s">
        <v>5883</v>
      </c>
      <c r="C49" s="3" t="s">
        <v>5884</v>
      </c>
      <c r="G49" s="9" t="s">
        <v>12118</v>
      </c>
      <c r="H49" s="9"/>
      <c r="I49" s="9"/>
      <c r="J49" s="9"/>
      <c r="K49" s="9"/>
      <c r="L49" s="9"/>
      <c r="M49" s="9"/>
      <c r="N49" s="10"/>
      <c r="O49" s="9"/>
      <c r="P49" s="9"/>
      <c r="Q49" s="9">
        <v>-68</v>
      </c>
      <c r="R49" s="9">
        <v>171</v>
      </c>
      <c r="S49" s="9">
        <v>103</v>
      </c>
      <c r="T49" s="13">
        <f t="shared" si="3"/>
        <v>20.547945205479451</v>
      </c>
      <c r="U49" s="13">
        <f t="shared" si="4"/>
        <v>12.376832492189379</v>
      </c>
      <c r="V49" s="13">
        <f t="shared" si="2"/>
        <v>-8.1711127132900714</v>
      </c>
      <c r="W49" s="9"/>
      <c r="X49" s="9"/>
      <c r="Y49" s="9"/>
      <c r="Z49" s="9"/>
      <c r="AA49" s="9"/>
      <c r="AB49" s="9"/>
      <c r="AC49" s="9"/>
      <c r="AD49" s="9"/>
      <c r="AE49" s="9"/>
      <c r="AF49" s="9"/>
    </row>
    <row r="50" spans="1:32" ht="43.5">
      <c r="A50" s="3" t="s">
        <v>1273</v>
      </c>
      <c r="B50" s="3" t="s">
        <v>5888</v>
      </c>
      <c r="C50" s="3" t="s">
        <v>5889</v>
      </c>
      <c r="G50" s="9" t="s">
        <v>12118</v>
      </c>
      <c r="H50" s="9"/>
      <c r="I50" s="9"/>
      <c r="J50" s="9"/>
      <c r="K50" s="9"/>
      <c r="L50" s="9"/>
      <c r="M50" s="9"/>
      <c r="N50" s="10"/>
      <c r="O50" s="9"/>
      <c r="P50" s="9"/>
      <c r="Q50" s="9">
        <v>15</v>
      </c>
      <c r="R50" s="9">
        <v>1</v>
      </c>
      <c r="S50" s="9">
        <v>16</v>
      </c>
      <c r="T50" s="13">
        <f t="shared" si="3"/>
        <v>0.12016342225426581</v>
      </c>
      <c r="U50" s="13">
        <f t="shared" si="4"/>
        <v>1.9226147560682529</v>
      </c>
      <c r="V50" s="13">
        <f t="shared" si="2"/>
        <v>1.8024513338139871</v>
      </c>
      <c r="W50" s="9"/>
      <c r="X50" s="9"/>
      <c r="Y50" s="9"/>
      <c r="Z50" s="9"/>
      <c r="AA50" s="9"/>
      <c r="AB50" s="9"/>
      <c r="AC50" s="9"/>
      <c r="AD50" s="9"/>
      <c r="AE50" s="9"/>
      <c r="AF50" s="9"/>
    </row>
    <row r="51" spans="1:32" ht="43.5">
      <c r="A51" s="3" t="s">
        <v>1298</v>
      </c>
      <c r="B51" s="3" t="s">
        <v>5914</v>
      </c>
      <c r="C51" s="3" t="s">
        <v>5915</v>
      </c>
      <c r="G51" s="9" t="s">
        <v>12118</v>
      </c>
      <c r="H51" s="9"/>
      <c r="I51" s="9"/>
      <c r="J51" s="9"/>
      <c r="K51" s="9"/>
      <c r="L51" s="9"/>
      <c r="M51" s="9"/>
      <c r="N51" s="10"/>
      <c r="O51" s="9"/>
      <c r="P51" s="9"/>
      <c r="Q51" s="9">
        <v>29</v>
      </c>
      <c r="R51" s="9">
        <v>1</v>
      </c>
      <c r="S51" s="9">
        <v>30</v>
      </c>
      <c r="T51" s="13">
        <f t="shared" si="3"/>
        <v>0.12016342225426581</v>
      </c>
      <c r="U51" s="13">
        <f t="shared" si="4"/>
        <v>3.6049026676279738</v>
      </c>
      <c r="V51" s="13">
        <f t="shared" si="2"/>
        <v>3.4847392453737078</v>
      </c>
      <c r="W51" s="9"/>
      <c r="X51" s="9"/>
      <c r="Y51" s="9"/>
      <c r="Z51" s="9"/>
      <c r="AA51" s="9"/>
      <c r="AB51" s="9"/>
      <c r="AC51" s="9"/>
      <c r="AD51" s="9"/>
      <c r="AE51" s="9"/>
      <c r="AF51" s="9"/>
    </row>
    <row r="52" spans="1:32" ht="72.5">
      <c r="A52" s="3" t="s">
        <v>1329</v>
      </c>
      <c r="B52" s="3" t="s">
        <v>5959</v>
      </c>
      <c r="C52" s="3" t="s">
        <v>5960</v>
      </c>
      <c r="F52" t="s">
        <v>19</v>
      </c>
      <c r="G52" s="9" t="s">
        <v>12118</v>
      </c>
      <c r="H52" s="9"/>
      <c r="I52" s="9"/>
      <c r="J52" s="9"/>
      <c r="K52" s="9"/>
      <c r="L52" s="9"/>
      <c r="M52" s="9"/>
      <c r="N52" s="10"/>
      <c r="O52" s="9"/>
      <c r="P52" s="9"/>
      <c r="Q52" s="9">
        <v>0</v>
      </c>
      <c r="R52" s="9">
        <v>3</v>
      </c>
      <c r="S52" s="9">
        <v>3</v>
      </c>
      <c r="T52" s="13">
        <f t="shared" si="3"/>
        <v>0.36049026676279744</v>
      </c>
      <c r="U52" s="13">
        <f t="shared" si="4"/>
        <v>0.36049026676279744</v>
      </c>
      <c r="V52" s="13">
        <f t="shared" si="2"/>
        <v>0</v>
      </c>
      <c r="W52" s="9"/>
      <c r="X52" s="9"/>
      <c r="Y52" s="9"/>
      <c r="Z52" s="9"/>
      <c r="AA52" s="9"/>
      <c r="AB52" s="9"/>
      <c r="AC52" s="9"/>
      <c r="AD52" s="9"/>
      <c r="AE52" s="9"/>
      <c r="AF52" s="9"/>
    </row>
    <row r="53" spans="1:32" ht="43.5">
      <c r="A53" s="3" t="s">
        <v>1331</v>
      </c>
      <c r="B53" s="3" t="s">
        <v>5961</v>
      </c>
      <c r="C53" s="3" t="s">
        <v>5962</v>
      </c>
      <c r="D53" t="s">
        <v>12</v>
      </c>
      <c r="F53" t="s">
        <v>19</v>
      </c>
      <c r="G53" s="9" t="s">
        <v>12118</v>
      </c>
      <c r="H53" s="9"/>
      <c r="I53" s="9"/>
      <c r="J53" s="9"/>
      <c r="K53" s="9"/>
      <c r="L53" s="9"/>
      <c r="M53" s="9"/>
      <c r="N53" s="10"/>
      <c r="O53" s="9"/>
      <c r="P53" s="9"/>
      <c r="Q53" s="9">
        <v>41</v>
      </c>
      <c r="R53" s="9">
        <v>444</v>
      </c>
      <c r="S53" s="9">
        <v>485</v>
      </c>
      <c r="T53" s="13">
        <f t="shared" si="3"/>
        <v>53.352559480894016</v>
      </c>
      <c r="U53" s="13">
        <f t="shared" si="4"/>
        <v>58.279259793318907</v>
      </c>
      <c r="V53" s="13">
        <f t="shared" si="2"/>
        <v>4.9267003124248916</v>
      </c>
      <c r="W53" s="9"/>
      <c r="X53" s="9"/>
      <c r="Y53" s="9"/>
      <c r="Z53" s="9"/>
      <c r="AA53" s="9"/>
      <c r="AB53" s="9"/>
      <c r="AC53" s="9"/>
      <c r="AD53" s="9"/>
      <c r="AE53" s="9"/>
      <c r="AF53" s="9"/>
    </row>
    <row r="54" spans="1:32" ht="72.5">
      <c r="A54" s="3" t="s">
        <v>1343</v>
      </c>
      <c r="B54" s="3" t="s">
        <v>5983</v>
      </c>
      <c r="C54" s="3" t="s">
        <v>5984</v>
      </c>
      <c r="F54" t="s">
        <v>19</v>
      </c>
      <c r="G54" s="9" t="s">
        <v>12118</v>
      </c>
      <c r="H54" s="9"/>
      <c r="I54" s="9"/>
      <c r="J54" s="9"/>
      <c r="K54" s="9"/>
      <c r="L54" s="9"/>
      <c r="M54" s="9"/>
      <c r="N54" s="10"/>
      <c r="O54" s="9"/>
      <c r="P54" s="9"/>
      <c r="Q54" s="9">
        <v>-118</v>
      </c>
      <c r="R54" s="9">
        <v>124</v>
      </c>
      <c r="S54" s="9">
        <v>6</v>
      </c>
      <c r="T54" s="13">
        <f t="shared" si="3"/>
        <v>14.900264359528959</v>
      </c>
      <c r="U54" s="13">
        <f t="shared" si="4"/>
        <v>0.72098053352559488</v>
      </c>
      <c r="V54" s="13">
        <f t="shared" si="2"/>
        <v>-14.179283826003365</v>
      </c>
      <c r="W54" s="9"/>
      <c r="X54" s="9"/>
      <c r="Y54" s="9"/>
      <c r="Z54" s="9"/>
      <c r="AA54" s="9"/>
      <c r="AB54" s="9"/>
      <c r="AC54" s="9"/>
      <c r="AD54" s="9"/>
      <c r="AE54" s="9"/>
      <c r="AF54" s="9"/>
    </row>
    <row r="55" spans="1:32" ht="101.5">
      <c r="A55" s="3" t="s">
        <v>1365</v>
      </c>
      <c r="B55" s="3" t="s">
        <v>6012</v>
      </c>
      <c r="C55" s="3" t="s">
        <v>6013</v>
      </c>
      <c r="F55" t="s">
        <v>19</v>
      </c>
      <c r="G55" s="9" t="s">
        <v>12118</v>
      </c>
      <c r="H55" s="9"/>
      <c r="I55" s="9"/>
      <c r="J55" s="9"/>
      <c r="K55" s="9"/>
      <c r="L55" s="9"/>
      <c r="M55" s="9"/>
      <c r="N55" s="10"/>
      <c r="O55" s="9"/>
      <c r="P55" s="9"/>
      <c r="Q55" s="9">
        <v>-3710</v>
      </c>
      <c r="R55" s="9">
        <v>5676</v>
      </c>
      <c r="S55" s="9">
        <v>1966</v>
      </c>
      <c r="T55" s="13">
        <f t="shared" si="3"/>
        <v>682.04758471521268</v>
      </c>
      <c r="U55" s="13">
        <f t="shared" si="4"/>
        <v>236.24128815188658</v>
      </c>
      <c r="V55" s="13">
        <f t="shared" si="2"/>
        <v>-445.8062965633261</v>
      </c>
      <c r="W55" s="9"/>
      <c r="X55" s="9"/>
      <c r="Y55" s="9"/>
      <c r="Z55" s="9"/>
      <c r="AA55" s="9"/>
      <c r="AB55" s="9"/>
      <c r="AC55" s="9"/>
      <c r="AD55" s="9"/>
      <c r="AE55" s="9"/>
      <c r="AF55" s="9"/>
    </row>
    <row r="56" spans="1:32" ht="29">
      <c r="A56" s="3" t="s">
        <v>1384</v>
      </c>
      <c r="B56" s="3" t="s">
        <v>1229</v>
      </c>
      <c r="C56" s="3" t="s">
        <v>1230</v>
      </c>
      <c r="G56" s="9" t="s">
        <v>12118</v>
      </c>
      <c r="H56" s="9"/>
      <c r="I56" s="9"/>
      <c r="J56" s="9"/>
      <c r="K56" s="9"/>
      <c r="L56" s="9"/>
      <c r="M56" s="9"/>
      <c r="N56" s="10"/>
      <c r="O56" s="9"/>
      <c r="P56" s="9"/>
      <c r="Q56" s="9">
        <v>-69</v>
      </c>
      <c r="R56" s="9">
        <v>77</v>
      </c>
      <c r="S56" s="9">
        <v>8</v>
      </c>
      <c r="T56" s="13">
        <f t="shared" si="3"/>
        <v>9.2525835135784664</v>
      </c>
      <c r="U56" s="13">
        <f t="shared" si="4"/>
        <v>0.96130737803412647</v>
      </c>
      <c r="V56" s="13">
        <f t="shared" si="2"/>
        <v>-8.2912761355443401</v>
      </c>
      <c r="W56" s="9"/>
      <c r="X56" s="9"/>
      <c r="Y56" s="9"/>
      <c r="Z56" s="9"/>
      <c r="AA56" s="9"/>
      <c r="AB56" s="9"/>
      <c r="AC56" s="9"/>
      <c r="AD56" s="9"/>
      <c r="AE56" s="9"/>
      <c r="AF56" s="9"/>
    </row>
    <row r="57" spans="1:32" ht="29">
      <c r="A57" s="3" t="s">
        <v>1402</v>
      </c>
      <c r="B57" s="3" t="s">
        <v>1405</v>
      </c>
      <c r="C57" s="3" t="s">
        <v>1406</v>
      </c>
      <c r="G57" s="9" t="s">
        <v>12118</v>
      </c>
      <c r="H57" s="9"/>
      <c r="I57" s="9"/>
      <c r="J57" s="9"/>
      <c r="K57" s="9"/>
      <c r="L57" s="9"/>
      <c r="M57" s="9"/>
      <c r="N57" s="10"/>
      <c r="O57" s="9"/>
      <c r="P57" s="9"/>
      <c r="Q57" s="9">
        <v>-2</v>
      </c>
      <c r="R57" s="9">
        <v>2</v>
      </c>
      <c r="S57" s="9">
        <v>0</v>
      </c>
      <c r="T57" s="13">
        <f t="shared" si="3"/>
        <v>0.24032684450853162</v>
      </c>
      <c r="U57" s="13">
        <f t="shared" si="4"/>
        <v>0</v>
      </c>
      <c r="V57" s="13">
        <f t="shared" si="2"/>
        <v>-0.24032684450853162</v>
      </c>
      <c r="W57" s="9"/>
      <c r="X57" s="9"/>
      <c r="Y57" s="9"/>
      <c r="Z57" s="9"/>
      <c r="AA57" s="9"/>
      <c r="AB57" s="9"/>
      <c r="AC57" s="9"/>
      <c r="AD57" s="9"/>
      <c r="AE57" s="9"/>
      <c r="AF57" s="9"/>
    </row>
    <row r="58" spans="1:32" ht="58">
      <c r="A58" s="3" t="s">
        <v>1409</v>
      </c>
      <c r="B58" s="3" t="s">
        <v>6058</v>
      </c>
      <c r="C58" s="3" t="s">
        <v>6057</v>
      </c>
      <c r="G58" s="9" t="s">
        <v>12118</v>
      </c>
      <c r="H58" s="9"/>
      <c r="I58" s="9"/>
      <c r="J58" s="9"/>
      <c r="K58" s="9"/>
      <c r="L58" s="9"/>
      <c r="M58" s="9"/>
      <c r="N58" s="10"/>
      <c r="O58" s="9"/>
      <c r="P58" s="9"/>
      <c r="Q58" s="9">
        <v>-25</v>
      </c>
      <c r="R58" s="9">
        <v>27</v>
      </c>
      <c r="S58" s="9">
        <v>2</v>
      </c>
      <c r="T58" s="13">
        <f t="shared" si="3"/>
        <v>3.2444124008651767</v>
      </c>
      <c r="U58" s="13">
        <f t="shared" si="4"/>
        <v>0.24032684450853162</v>
      </c>
      <c r="V58" s="13">
        <f t="shared" si="2"/>
        <v>-3.0040855563566451</v>
      </c>
      <c r="W58" s="9"/>
      <c r="X58" s="9"/>
      <c r="Y58" s="9"/>
      <c r="Z58" s="9"/>
      <c r="AA58" s="9"/>
      <c r="AB58" s="9"/>
      <c r="AC58" s="9"/>
      <c r="AD58" s="9"/>
      <c r="AE58" s="9"/>
      <c r="AF58" s="9"/>
    </row>
    <row r="59" spans="1:32" ht="130.5">
      <c r="A59" s="3" t="s">
        <v>1412</v>
      </c>
      <c r="B59" s="3" t="s">
        <v>6064</v>
      </c>
      <c r="C59" s="3" t="s">
        <v>6065</v>
      </c>
      <c r="G59" s="9" t="s">
        <v>12121</v>
      </c>
      <c r="H59" s="9"/>
      <c r="I59" s="9"/>
      <c r="J59" s="9"/>
      <c r="K59" s="9"/>
      <c r="L59" s="9"/>
      <c r="M59" s="9"/>
      <c r="N59" s="10"/>
      <c r="O59" s="9"/>
      <c r="P59" s="9"/>
      <c r="Q59" s="9">
        <v>-6</v>
      </c>
      <c r="R59" s="9">
        <v>15</v>
      </c>
      <c r="S59" s="9">
        <v>9</v>
      </c>
      <c r="T59" s="13">
        <f t="shared" si="3"/>
        <v>1.8024513338139869</v>
      </c>
      <c r="U59" s="13">
        <f t="shared" si="4"/>
        <v>1.0814708002883922</v>
      </c>
      <c r="V59" s="13">
        <f t="shared" si="2"/>
        <v>-0.72098053352559477</v>
      </c>
      <c r="W59" s="9"/>
      <c r="X59" s="9"/>
      <c r="Y59" s="9"/>
      <c r="Z59" s="9"/>
      <c r="AA59" s="9"/>
      <c r="AB59" s="9"/>
      <c r="AC59" s="9"/>
      <c r="AD59" s="9"/>
      <c r="AE59" s="9"/>
      <c r="AF59" s="9"/>
    </row>
    <row r="60" spans="1:32" ht="43.5">
      <c r="A60" s="3" t="s">
        <v>1417</v>
      </c>
      <c r="B60" s="3" t="s">
        <v>6072</v>
      </c>
      <c r="C60" s="3" t="s">
        <v>6073</v>
      </c>
      <c r="G60" s="9" t="s">
        <v>12118</v>
      </c>
      <c r="H60" s="9"/>
      <c r="I60" s="9"/>
      <c r="J60" s="9"/>
      <c r="K60" s="9"/>
      <c r="L60" s="9"/>
      <c r="M60" s="9"/>
      <c r="N60" s="10"/>
      <c r="O60" s="9"/>
      <c r="P60" s="9"/>
      <c r="Q60" s="9">
        <v>-6</v>
      </c>
      <c r="R60" s="9">
        <v>16</v>
      </c>
      <c r="S60" s="9">
        <v>10</v>
      </c>
      <c r="T60" s="13">
        <f t="shared" si="3"/>
        <v>1.9226147560682529</v>
      </c>
      <c r="U60" s="13">
        <f t="shared" si="4"/>
        <v>1.2016342225426579</v>
      </c>
      <c r="V60" s="13">
        <f t="shared" si="2"/>
        <v>-0.72098053352559499</v>
      </c>
      <c r="W60" s="9"/>
      <c r="X60" s="9"/>
      <c r="Y60" s="9"/>
      <c r="Z60" s="9"/>
      <c r="AA60" s="9"/>
      <c r="AB60" s="9"/>
      <c r="AC60" s="9"/>
      <c r="AD60" s="9"/>
      <c r="AE60" s="9"/>
      <c r="AF60" s="9"/>
    </row>
    <row r="61" spans="1:32" ht="29">
      <c r="A61" s="3" t="s">
        <v>1423</v>
      </c>
      <c r="B61" s="3" t="s">
        <v>1426</v>
      </c>
      <c r="C61" s="3" t="s">
        <v>1427</v>
      </c>
      <c r="G61" s="9" t="s">
        <v>12118</v>
      </c>
      <c r="H61" s="9"/>
      <c r="I61" s="9"/>
      <c r="J61" s="9"/>
      <c r="K61" s="9"/>
      <c r="L61" s="9"/>
      <c r="M61" s="9"/>
      <c r="N61" s="10"/>
      <c r="O61" s="9"/>
      <c r="P61" s="9"/>
      <c r="Q61" s="9">
        <v>0</v>
      </c>
      <c r="R61" s="9">
        <v>0</v>
      </c>
      <c r="S61" s="9">
        <v>0</v>
      </c>
      <c r="T61" s="13">
        <f t="shared" si="3"/>
        <v>0</v>
      </c>
      <c r="U61" s="13">
        <f t="shared" si="4"/>
        <v>0</v>
      </c>
      <c r="V61" s="13">
        <f t="shared" si="2"/>
        <v>0</v>
      </c>
      <c r="W61" s="9"/>
      <c r="X61" s="9"/>
      <c r="Y61" s="9"/>
      <c r="Z61" s="9"/>
      <c r="AA61" s="9"/>
      <c r="AB61" s="9"/>
      <c r="AC61" s="9"/>
      <c r="AD61" s="9"/>
      <c r="AE61" s="9"/>
      <c r="AF61" s="9"/>
    </row>
    <row r="62" spans="1:32" ht="58">
      <c r="A62" s="3" t="s">
        <v>1434</v>
      </c>
      <c r="B62" s="3" t="s">
        <v>6096</v>
      </c>
      <c r="C62" s="3" t="s">
        <v>6097</v>
      </c>
      <c r="G62" s="9" t="s">
        <v>12118</v>
      </c>
      <c r="H62" s="9"/>
      <c r="I62" s="9"/>
      <c r="J62" s="9"/>
      <c r="K62" s="9"/>
      <c r="L62" s="9"/>
      <c r="M62" s="9"/>
      <c r="N62" s="10"/>
      <c r="O62" s="9"/>
      <c r="P62" s="9"/>
      <c r="Q62" s="9">
        <v>-4</v>
      </c>
      <c r="R62" s="9">
        <v>11</v>
      </c>
      <c r="S62" s="9">
        <v>7</v>
      </c>
      <c r="T62" s="13">
        <f t="shared" si="3"/>
        <v>1.3217976447969237</v>
      </c>
      <c r="U62" s="13">
        <f t="shared" si="4"/>
        <v>0.84114395577986056</v>
      </c>
      <c r="V62" s="13">
        <f t="shared" si="2"/>
        <v>-0.48065368901706318</v>
      </c>
      <c r="W62" s="9" t="s">
        <v>4</v>
      </c>
      <c r="X62" s="9"/>
      <c r="Y62" s="9"/>
      <c r="Z62" s="9"/>
      <c r="AA62" s="9"/>
      <c r="AB62" s="9"/>
      <c r="AC62" s="9"/>
      <c r="AD62" s="9"/>
      <c r="AE62" s="9"/>
      <c r="AF62" s="9"/>
    </row>
    <row r="63" spans="1:32" ht="130.5">
      <c r="A63" s="3" t="s">
        <v>1435</v>
      </c>
      <c r="B63" s="3" t="s">
        <v>6101</v>
      </c>
      <c r="C63" s="3" t="s">
        <v>6102</v>
      </c>
      <c r="G63" s="9" t="s">
        <v>12118</v>
      </c>
      <c r="H63" s="9"/>
      <c r="I63" s="9"/>
      <c r="J63" s="9"/>
      <c r="K63" s="9"/>
      <c r="L63" s="9"/>
      <c r="M63" s="9"/>
      <c r="N63" s="10"/>
      <c r="O63" s="9"/>
      <c r="P63" s="9"/>
      <c r="Q63" s="9">
        <v>-38</v>
      </c>
      <c r="R63" s="9">
        <v>42</v>
      </c>
      <c r="S63" s="9">
        <v>4</v>
      </c>
      <c r="T63" s="13">
        <f t="shared" si="3"/>
        <v>5.0468637346791638</v>
      </c>
      <c r="U63" s="13">
        <f t="shared" si="4"/>
        <v>0.48065368901706323</v>
      </c>
      <c r="V63" s="13">
        <f t="shared" si="2"/>
        <v>-4.5662100456621006</v>
      </c>
      <c r="W63" s="9"/>
      <c r="X63" s="9"/>
      <c r="Y63" s="9"/>
      <c r="Z63" s="9"/>
      <c r="AA63" s="9"/>
      <c r="AB63" s="9"/>
      <c r="AC63" s="9"/>
      <c r="AD63" s="9"/>
      <c r="AE63" s="9"/>
      <c r="AF63" s="9"/>
    </row>
    <row r="64" spans="1:32" ht="72.5">
      <c r="A64" s="3" t="s">
        <v>1437</v>
      </c>
      <c r="B64" s="3" t="s">
        <v>6108</v>
      </c>
      <c r="C64" s="3" t="s">
        <v>6109</v>
      </c>
      <c r="G64" s="9" t="s">
        <v>12118</v>
      </c>
      <c r="H64" s="9"/>
      <c r="I64" s="9"/>
      <c r="J64" s="9"/>
      <c r="K64" s="9"/>
      <c r="L64" s="9"/>
      <c r="M64" s="9"/>
      <c r="N64" s="10"/>
      <c r="O64" s="9"/>
      <c r="P64" s="9"/>
      <c r="Q64" s="9">
        <v>-22</v>
      </c>
      <c r="R64" s="9">
        <v>32</v>
      </c>
      <c r="S64" s="9">
        <v>10</v>
      </c>
      <c r="T64" s="13">
        <f t="shared" si="3"/>
        <v>3.8452295121365059</v>
      </c>
      <c r="U64" s="13">
        <f t="shared" si="4"/>
        <v>1.2016342225426579</v>
      </c>
      <c r="V64" s="13">
        <f t="shared" si="2"/>
        <v>-2.6435952895938479</v>
      </c>
      <c r="W64" s="9"/>
      <c r="X64" s="9"/>
      <c r="Y64" s="9"/>
      <c r="Z64" s="9"/>
      <c r="AA64" s="9"/>
      <c r="AB64" s="9"/>
      <c r="AC64" s="9"/>
      <c r="AD64" s="9"/>
      <c r="AE64" s="9"/>
      <c r="AF64" s="9"/>
    </row>
    <row r="65" spans="1:32" ht="87">
      <c r="A65" s="3" t="s">
        <v>1440</v>
      </c>
      <c r="B65" s="3" t="s">
        <v>12230</v>
      </c>
      <c r="C65" s="3" t="s">
        <v>12231</v>
      </c>
      <c r="G65" s="9" t="s">
        <v>12118</v>
      </c>
      <c r="H65" s="9"/>
      <c r="I65" s="9"/>
      <c r="J65" s="9"/>
      <c r="K65" s="9"/>
      <c r="L65" s="9"/>
      <c r="M65" s="9"/>
      <c r="N65" s="10"/>
      <c r="O65" s="9"/>
      <c r="P65" s="9"/>
      <c r="Q65" s="9">
        <v>-143</v>
      </c>
      <c r="R65" s="9">
        <v>171</v>
      </c>
      <c r="S65" s="9">
        <v>28</v>
      </c>
      <c r="T65" s="13">
        <f t="shared" si="3"/>
        <v>20.547945205479451</v>
      </c>
      <c r="U65" s="13">
        <f t="shared" si="4"/>
        <v>3.3645758231194423</v>
      </c>
      <c r="V65" s="13">
        <f t="shared" si="2"/>
        <v>-17.183369382360009</v>
      </c>
      <c r="W65" s="9"/>
      <c r="X65" s="9"/>
      <c r="Y65" s="9"/>
      <c r="Z65" s="9"/>
      <c r="AA65" s="9"/>
      <c r="AB65" s="9"/>
      <c r="AC65" s="9"/>
      <c r="AD65" s="9"/>
      <c r="AE65" s="9"/>
      <c r="AF65" s="9"/>
    </row>
    <row r="66" spans="1:32" ht="72.5">
      <c r="A66" s="3" t="s">
        <v>1450</v>
      </c>
      <c r="B66" s="3" t="s">
        <v>6132</v>
      </c>
      <c r="C66" s="3" t="s">
        <v>6133</v>
      </c>
      <c r="G66" s="9" t="s">
        <v>12118</v>
      </c>
      <c r="H66" s="9"/>
      <c r="I66" s="9"/>
      <c r="J66" s="9"/>
      <c r="K66" s="9"/>
      <c r="L66" s="9"/>
      <c r="M66" s="9"/>
      <c r="N66" s="10"/>
      <c r="O66" s="9"/>
      <c r="P66" s="9"/>
      <c r="Q66" s="9">
        <v>-4204</v>
      </c>
      <c r="R66" s="9">
        <v>4240</v>
      </c>
      <c r="S66" s="9">
        <v>36</v>
      </c>
      <c r="T66" s="13">
        <f t="shared" ref="T66:T129" si="5">IF(ISNUMBER(R66), (R66/$E$353)*10000, "")</f>
        <v>509.49291035808699</v>
      </c>
      <c r="U66" s="13">
        <f t="shared" ref="U66:U129" si="6">IF(ISNUMBER(S66), (S66/$E$353)*10000, "")</f>
        <v>4.3258832011535686</v>
      </c>
      <c r="V66" s="13">
        <f t="shared" ref="V66:V129" si="7">IF(ISNUMBER(Q66), U66-T66, "")</f>
        <v>-505.16702715693344</v>
      </c>
      <c r="W66" s="9"/>
      <c r="X66" s="9"/>
      <c r="Y66" s="9"/>
      <c r="Z66" s="9"/>
      <c r="AA66" s="9"/>
      <c r="AB66" s="9"/>
      <c r="AC66" s="9"/>
      <c r="AD66" s="9"/>
      <c r="AE66" s="9"/>
      <c r="AF66" s="9"/>
    </row>
    <row r="67" spans="1:32" ht="29">
      <c r="A67" s="3" t="s">
        <v>1462</v>
      </c>
      <c r="B67" s="3" t="s">
        <v>6154</v>
      </c>
      <c r="C67" s="3" t="s">
        <v>6155</v>
      </c>
      <c r="G67" s="9" t="s">
        <v>12118</v>
      </c>
      <c r="H67" s="9"/>
      <c r="I67" s="9"/>
      <c r="J67" s="9"/>
      <c r="K67" s="9"/>
      <c r="L67" s="9"/>
      <c r="M67" s="9"/>
      <c r="N67" s="10"/>
      <c r="O67" s="9"/>
      <c r="P67" s="9"/>
      <c r="Q67" s="9">
        <v>79</v>
      </c>
      <c r="R67" s="9">
        <v>148</v>
      </c>
      <c r="S67" s="9">
        <v>227</v>
      </c>
      <c r="T67" s="13">
        <f t="shared" si="5"/>
        <v>17.784186493631339</v>
      </c>
      <c r="U67" s="13">
        <f t="shared" si="6"/>
        <v>27.277096851718337</v>
      </c>
      <c r="V67" s="13">
        <f t="shared" si="7"/>
        <v>9.4929103580869985</v>
      </c>
      <c r="W67" s="9" t="s">
        <v>12117</v>
      </c>
      <c r="X67" s="9"/>
      <c r="Y67" s="9"/>
      <c r="Z67" s="9"/>
      <c r="AA67" s="9"/>
      <c r="AB67" s="9"/>
      <c r="AC67" s="9"/>
      <c r="AD67" s="9"/>
      <c r="AE67" s="9"/>
      <c r="AF67" s="9"/>
    </row>
    <row r="68" spans="1:32" ht="43.5">
      <c r="A68" s="3" t="s">
        <v>1467</v>
      </c>
      <c r="B68" s="3" t="s">
        <v>6169</v>
      </c>
      <c r="C68" s="3" t="s">
        <v>6170</v>
      </c>
      <c r="G68" s="9" t="s">
        <v>12118</v>
      </c>
      <c r="H68" s="9"/>
      <c r="I68" s="9"/>
      <c r="J68" s="9"/>
      <c r="K68" s="9"/>
      <c r="L68" s="9"/>
      <c r="M68" s="9"/>
      <c r="N68" s="10"/>
      <c r="O68" s="9"/>
      <c r="P68" s="9"/>
      <c r="Q68" s="9">
        <v>-207</v>
      </c>
      <c r="R68" s="9">
        <v>214</v>
      </c>
      <c r="S68" s="9">
        <v>7</v>
      </c>
      <c r="T68" s="13">
        <f t="shared" si="5"/>
        <v>25.71497236241288</v>
      </c>
      <c r="U68" s="13">
        <f t="shared" si="6"/>
        <v>0.84114395577986056</v>
      </c>
      <c r="V68" s="13">
        <f t="shared" si="7"/>
        <v>-24.87382840663302</v>
      </c>
      <c r="W68" s="9"/>
      <c r="X68" s="9"/>
      <c r="Y68" s="9"/>
      <c r="Z68" s="9"/>
      <c r="AA68" s="9"/>
      <c r="AB68" s="9"/>
      <c r="AC68" s="9"/>
      <c r="AD68" s="9"/>
      <c r="AE68" s="9"/>
      <c r="AF68" s="9"/>
    </row>
    <row r="69" spans="1:32" ht="72.5">
      <c r="A69" s="3" t="s">
        <v>1469</v>
      </c>
      <c r="B69" s="3" t="s">
        <v>13010</v>
      </c>
      <c r="C69" s="3" t="s">
        <v>13009</v>
      </c>
      <c r="G69" s="9" t="s">
        <v>12118</v>
      </c>
      <c r="H69" s="9"/>
      <c r="I69" s="9"/>
      <c r="J69" s="9"/>
      <c r="K69" s="9"/>
      <c r="L69" s="9"/>
      <c r="M69" s="9"/>
      <c r="N69" s="10"/>
      <c r="O69" s="9"/>
      <c r="P69" s="9"/>
      <c r="Q69" s="9">
        <v>-380</v>
      </c>
      <c r="R69" s="9">
        <v>508</v>
      </c>
      <c r="S69" s="9">
        <v>128</v>
      </c>
      <c r="T69" s="13">
        <f t="shared" si="5"/>
        <v>61.043018505167026</v>
      </c>
      <c r="U69" s="13">
        <f t="shared" si="6"/>
        <v>15.380918048546024</v>
      </c>
      <c r="V69" s="13">
        <f t="shared" si="7"/>
        <v>-45.662100456621005</v>
      </c>
      <c r="W69" s="9"/>
      <c r="X69" s="9"/>
      <c r="Y69" s="9"/>
      <c r="Z69" s="9"/>
      <c r="AA69" s="9"/>
      <c r="AB69" s="9"/>
      <c r="AC69" s="9"/>
      <c r="AD69" s="9"/>
      <c r="AE69" s="9"/>
      <c r="AF69" s="9"/>
    </row>
    <row r="70" spans="1:32" ht="43.5">
      <c r="A70" s="3" t="s">
        <v>1477</v>
      </c>
      <c r="B70" s="3" t="s">
        <v>6180</v>
      </c>
      <c r="C70" s="3" t="s">
        <v>6181</v>
      </c>
      <c r="G70" s="9" t="s">
        <v>12118</v>
      </c>
      <c r="H70" s="9"/>
      <c r="I70" s="9"/>
      <c r="J70" s="9"/>
      <c r="K70" s="9"/>
      <c r="L70" s="9"/>
      <c r="M70" s="9"/>
      <c r="N70" s="10"/>
      <c r="O70" s="9"/>
      <c r="P70" s="9"/>
      <c r="Q70" s="9">
        <v>541</v>
      </c>
      <c r="R70" s="9">
        <v>560</v>
      </c>
      <c r="S70" s="9">
        <v>1101</v>
      </c>
      <c r="T70" s="13">
        <f t="shared" si="5"/>
        <v>67.291516462388842</v>
      </c>
      <c r="U70" s="13">
        <f t="shared" si="6"/>
        <v>132.29992790194663</v>
      </c>
      <c r="V70" s="13">
        <f t="shared" si="7"/>
        <v>65.00841143955779</v>
      </c>
      <c r="W70" s="9"/>
      <c r="X70" s="9"/>
      <c r="Y70" s="9"/>
      <c r="Z70" s="9"/>
      <c r="AA70" s="9"/>
      <c r="AB70" s="9"/>
      <c r="AC70" s="9"/>
      <c r="AD70" s="9"/>
      <c r="AE70" s="9"/>
      <c r="AF70" s="9"/>
    </row>
    <row r="71" spans="1:32" ht="29">
      <c r="A71" s="3" t="s">
        <v>1482</v>
      </c>
      <c r="B71" s="3" t="s">
        <v>6182</v>
      </c>
      <c r="C71" s="3" t="s">
        <v>6183</v>
      </c>
      <c r="G71" s="9" t="s">
        <v>12118</v>
      </c>
      <c r="H71" s="9"/>
      <c r="I71" s="9"/>
      <c r="J71" s="9"/>
      <c r="K71" s="9"/>
      <c r="L71" s="9"/>
      <c r="M71" s="9"/>
      <c r="N71" s="10"/>
      <c r="O71" s="9"/>
      <c r="P71" s="9"/>
      <c r="Q71" s="9">
        <v>-3710</v>
      </c>
      <c r="R71" s="9">
        <v>5676</v>
      </c>
      <c r="S71" s="9">
        <v>1966</v>
      </c>
      <c r="T71" s="13">
        <f t="shared" si="5"/>
        <v>682.04758471521268</v>
      </c>
      <c r="U71" s="13">
        <f t="shared" si="6"/>
        <v>236.24128815188658</v>
      </c>
      <c r="V71" s="13">
        <f t="shared" si="7"/>
        <v>-445.8062965633261</v>
      </c>
      <c r="W71" s="9"/>
      <c r="X71" s="9"/>
      <c r="Y71" s="9"/>
      <c r="Z71" s="9"/>
      <c r="AA71" s="9"/>
      <c r="AB71" s="9"/>
      <c r="AC71" s="9"/>
      <c r="AD71" s="9"/>
      <c r="AE71" s="9"/>
      <c r="AF71" s="9"/>
    </row>
    <row r="72" spans="1:32" ht="43.5">
      <c r="A72" s="3" t="s">
        <v>1487</v>
      </c>
      <c r="B72" s="3" t="s">
        <v>6188</v>
      </c>
      <c r="C72" s="3" t="s">
        <v>6189</v>
      </c>
      <c r="G72" s="9" t="s">
        <v>12118</v>
      </c>
      <c r="H72" s="9"/>
      <c r="I72" s="9"/>
      <c r="J72" s="9"/>
      <c r="K72" s="9"/>
      <c r="L72" s="9"/>
      <c r="M72" s="9"/>
      <c r="N72" s="10"/>
      <c r="O72" s="9"/>
      <c r="P72" s="9"/>
      <c r="Q72" s="9">
        <v>-5483</v>
      </c>
      <c r="R72" s="9">
        <v>5676</v>
      </c>
      <c r="S72" s="9">
        <v>193</v>
      </c>
      <c r="T72" s="13">
        <f t="shared" si="5"/>
        <v>682.04758471521268</v>
      </c>
      <c r="U72" s="13">
        <f t="shared" si="6"/>
        <v>23.191540495073301</v>
      </c>
      <c r="V72" s="13">
        <f t="shared" si="7"/>
        <v>-658.85604422013932</v>
      </c>
      <c r="W72" s="9"/>
      <c r="X72" s="9"/>
      <c r="Y72" s="9"/>
      <c r="Z72" s="9"/>
      <c r="AA72" s="9"/>
      <c r="AB72" s="9"/>
      <c r="AC72" s="9"/>
      <c r="AD72" s="9"/>
      <c r="AE72" s="9"/>
      <c r="AF72" s="9"/>
    </row>
    <row r="73" spans="1:32" ht="87">
      <c r="A73" s="3" t="s">
        <v>1488</v>
      </c>
      <c r="B73" s="3" t="s">
        <v>6193</v>
      </c>
      <c r="C73" s="3" t="s">
        <v>6194</v>
      </c>
      <c r="G73" s="9" t="s">
        <v>12118</v>
      </c>
      <c r="H73" s="9"/>
      <c r="I73" s="9"/>
      <c r="J73" s="9"/>
      <c r="K73" s="9"/>
      <c r="L73" s="9"/>
      <c r="M73" s="9"/>
      <c r="N73" s="10"/>
      <c r="O73" s="9"/>
      <c r="P73" s="9"/>
      <c r="Q73" s="9">
        <v>28</v>
      </c>
      <c r="R73" s="9">
        <v>6</v>
      </c>
      <c r="S73" s="9">
        <v>34</v>
      </c>
      <c r="T73" s="13">
        <f t="shared" si="5"/>
        <v>0.72098053352559488</v>
      </c>
      <c r="U73" s="13">
        <f t="shared" si="6"/>
        <v>4.0855563566450375</v>
      </c>
      <c r="V73" s="13">
        <f t="shared" si="7"/>
        <v>3.3645758231194427</v>
      </c>
      <c r="W73" s="9"/>
      <c r="X73" s="9"/>
      <c r="Y73" s="9"/>
      <c r="Z73" s="9"/>
      <c r="AA73" s="9"/>
      <c r="AB73" s="9"/>
      <c r="AC73" s="9"/>
      <c r="AD73" s="9"/>
      <c r="AE73" s="9"/>
      <c r="AF73" s="9"/>
    </row>
    <row r="74" spans="1:32" ht="29">
      <c r="A74" s="3" t="s">
        <v>1497</v>
      </c>
      <c r="B74" s="3" t="s">
        <v>6200</v>
      </c>
      <c r="C74" s="3" t="s">
        <v>6201</v>
      </c>
      <c r="G74" s="9" t="s">
        <v>12121</v>
      </c>
      <c r="H74" s="9"/>
      <c r="I74" s="9"/>
      <c r="J74" s="9"/>
      <c r="K74" s="9"/>
      <c r="L74" s="9"/>
      <c r="M74" s="9"/>
      <c r="N74" s="10"/>
      <c r="O74" s="9"/>
      <c r="P74" s="9"/>
      <c r="Q74" s="9">
        <v>1</v>
      </c>
      <c r="R74" s="9">
        <v>0</v>
      </c>
      <c r="S74" s="9">
        <v>1</v>
      </c>
      <c r="T74" s="13">
        <f t="shared" si="5"/>
        <v>0</v>
      </c>
      <c r="U74" s="13">
        <f t="shared" si="6"/>
        <v>0.12016342225426581</v>
      </c>
      <c r="V74" s="13">
        <f t="shared" si="7"/>
        <v>0.12016342225426581</v>
      </c>
      <c r="W74" s="9"/>
      <c r="X74" s="9"/>
      <c r="Y74" s="9"/>
      <c r="Z74" s="9"/>
      <c r="AA74" s="9"/>
      <c r="AB74" s="9"/>
      <c r="AC74" s="9"/>
      <c r="AD74" s="9"/>
      <c r="AE74" s="9"/>
      <c r="AF74" s="9"/>
    </row>
    <row r="75" spans="1:32" ht="43.5">
      <c r="A75" s="3" t="s">
        <v>1507</v>
      </c>
      <c r="B75" s="3" t="s">
        <v>6216</v>
      </c>
      <c r="C75" s="3" t="s">
        <v>6217</v>
      </c>
      <c r="G75" s="9" t="s">
        <v>12118</v>
      </c>
      <c r="H75" s="9"/>
      <c r="I75" s="9"/>
      <c r="J75" s="9"/>
      <c r="K75" s="9"/>
      <c r="L75" s="9"/>
      <c r="M75" s="9"/>
      <c r="N75" s="10"/>
      <c r="O75" s="9"/>
      <c r="P75" s="9"/>
      <c r="Q75" s="9">
        <v>-95</v>
      </c>
      <c r="R75" s="9">
        <v>99</v>
      </c>
      <c r="S75" s="9">
        <v>4</v>
      </c>
      <c r="T75" s="13">
        <f t="shared" si="5"/>
        <v>11.896178803172315</v>
      </c>
      <c r="U75" s="13">
        <f t="shared" si="6"/>
        <v>0.48065368901706323</v>
      </c>
      <c r="V75" s="13">
        <f t="shared" si="7"/>
        <v>-11.415525114155251</v>
      </c>
      <c r="W75" s="9"/>
      <c r="X75" s="9"/>
      <c r="Y75" s="9"/>
      <c r="Z75" s="9"/>
      <c r="AA75" s="9"/>
      <c r="AB75" s="9"/>
      <c r="AC75" s="9"/>
      <c r="AD75" s="9"/>
      <c r="AE75" s="9"/>
      <c r="AF75" s="9"/>
    </row>
    <row r="76" spans="1:32" ht="43.5">
      <c r="A76" s="3" t="s">
        <v>1513</v>
      </c>
      <c r="B76" s="3" t="s">
        <v>6224</v>
      </c>
      <c r="C76" s="11" t="s">
        <v>6225</v>
      </c>
      <c r="G76" s="9" t="s">
        <v>12118</v>
      </c>
      <c r="H76" s="9"/>
      <c r="I76" s="9"/>
      <c r="J76" s="9"/>
      <c r="K76" s="9"/>
      <c r="L76" s="9"/>
      <c r="M76" s="9"/>
      <c r="N76" s="10"/>
      <c r="O76" s="9"/>
      <c r="P76" s="9"/>
      <c r="Q76" s="9">
        <v>-8</v>
      </c>
      <c r="R76" s="9">
        <v>10</v>
      </c>
      <c r="S76" s="9">
        <v>2</v>
      </c>
      <c r="T76" s="13">
        <f t="shared" si="5"/>
        <v>1.2016342225426579</v>
      </c>
      <c r="U76" s="13">
        <f t="shared" si="6"/>
        <v>0.24032684450853162</v>
      </c>
      <c r="V76" s="13">
        <f t="shared" si="7"/>
        <v>-0.96130737803412636</v>
      </c>
      <c r="W76" s="9"/>
      <c r="X76" s="9"/>
      <c r="Y76" s="9"/>
      <c r="Z76" s="9"/>
      <c r="AA76" s="9"/>
      <c r="AB76" s="9"/>
      <c r="AC76" s="9"/>
      <c r="AD76" s="9"/>
      <c r="AE76" s="9"/>
      <c r="AF76" s="9"/>
    </row>
    <row r="77" spans="1:32">
      <c r="A77" s="3" t="s">
        <v>1517</v>
      </c>
      <c r="B77" s="3" t="s">
        <v>727</v>
      </c>
      <c r="C77" s="3" t="s">
        <v>728</v>
      </c>
      <c r="G77" s="9" t="s">
        <v>12118</v>
      </c>
      <c r="H77" s="9"/>
      <c r="I77" s="9"/>
      <c r="J77" s="9"/>
      <c r="K77" s="9"/>
      <c r="L77" s="9"/>
      <c r="M77" s="9"/>
      <c r="N77" s="10"/>
      <c r="O77" s="9"/>
      <c r="P77" s="9"/>
      <c r="Q77" s="9">
        <v>-50</v>
      </c>
      <c r="R77" s="9">
        <v>87</v>
      </c>
      <c r="S77" s="9">
        <v>37</v>
      </c>
      <c r="T77" s="13">
        <f t="shared" si="5"/>
        <v>10.454217736121125</v>
      </c>
      <c r="U77" s="13">
        <f t="shared" si="6"/>
        <v>4.4460466234078346</v>
      </c>
      <c r="V77" s="13">
        <f t="shared" si="7"/>
        <v>-6.0081711127132902</v>
      </c>
      <c r="W77" s="9"/>
      <c r="X77" s="9"/>
      <c r="Y77" s="9"/>
      <c r="Z77" s="9"/>
      <c r="AA77" s="9"/>
      <c r="AB77" s="9"/>
      <c r="AC77" s="9"/>
      <c r="AD77" s="9"/>
      <c r="AE77" s="9"/>
      <c r="AF77" s="9"/>
    </row>
    <row r="78" spans="1:32" ht="72.5">
      <c r="A78" s="3" t="s">
        <v>1518</v>
      </c>
      <c r="B78" s="3" t="s">
        <v>6230</v>
      </c>
      <c r="C78" s="3" t="s">
        <v>6231</v>
      </c>
      <c r="G78" s="9" t="s">
        <v>12121</v>
      </c>
      <c r="H78" s="9"/>
      <c r="I78" s="9"/>
      <c r="J78" s="9"/>
      <c r="K78" s="9"/>
      <c r="L78" s="9"/>
      <c r="M78" s="9"/>
      <c r="N78" s="10"/>
      <c r="O78" s="9"/>
      <c r="P78" s="9"/>
      <c r="Q78" s="9">
        <v>111</v>
      </c>
      <c r="R78" s="9">
        <v>45</v>
      </c>
      <c r="S78" s="9">
        <v>156</v>
      </c>
      <c r="T78" s="13">
        <f t="shared" si="5"/>
        <v>5.407354001441961</v>
      </c>
      <c r="U78" s="13">
        <f t="shared" si="6"/>
        <v>18.745493871665467</v>
      </c>
      <c r="V78" s="13">
        <f t="shared" si="7"/>
        <v>13.338139870223506</v>
      </c>
      <c r="W78" s="9"/>
      <c r="X78" s="9"/>
      <c r="Y78" s="9"/>
      <c r="Z78" s="9"/>
      <c r="AA78" s="9"/>
      <c r="AB78" s="9"/>
      <c r="AC78" s="9"/>
      <c r="AD78" s="9"/>
      <c r="AE78" s="9"/>
      <c r="AF78" s="9"/>
    </row>
    <row r="79" spans="1:32" ht="29">
      <c r="A79" s="3" t="s">
        <v>1531</v>
      </c>
      <c r="B79" s="3" t="s">
        <v>6260</v>
      </c>
      <c r="C79" s="3" t="s">
        <v>6261</v>
      </c>
      <c r="G79" s="9" t="s">
        <v>12118</v>
      </c>
      <c r="H79" s="9"/>
      <c r="I79" s="9"/>
      <c r="J79" s="9"/>
      <c r="K79" s="9"/>
      <c r="L79" s="9"/>
      <c r="M79" s="9"/>
      <c r="N79" s="10"/>
      <c r="O79" s="9"/>
      <c r="P79" s="9"/>
      <c r="Q79" s="9">
        <v>-111</v>
      </c>
      <c r="R79" s="9">
        <v>472</v>
      </c>
      <c r="S79" s="9">
        <v>361</v>
      </c>
      <c r="T79" s="13">
        <f t="shared" si="5"/>
        <v>56.71713530401346</v>
      </c>
      <c r="U79" s="13">
        <f t="shared" si="6"/>
        <v>43.378995433789953</v>
      </c>
      <c r="V79" s="13">
        <f t="shared" si="7"/>
        <v>-13.338139870223507</v>
      </c>
      <c r="W79" s="9"/>
      <c r="X79" s="9"/>
      <c r="Y79" s="9"/>
      <c r="Z79" s="9"/>
      <c r="AA79" s="9"/>
      <c r="AB79" s="9"/>
      <c r="AC79" s="9"/>
      <c r="AD79" s="9"/>
      <c r="AE79" s="9"/>
      <c r="AF79" s="9"/>
    </row>
    <row r="80" spans="1:32" ht="58">
      <c r="A80" s="3" t="s">
        <v>1533</v>
      </c>
      <c r="B80" s="3" t="s">
        <v>6266</v>
      </c>
      <c r="C80" s="3" t="s">
        <v>6267</v>
      </c>
      <c r="G80" s="9" t="s">
        <v>12118</v>
      </c>
      <c r="H80" s="9"/>
      <c r="I80" s="9"/>
      <c r="J80" s="9"/>
      <c r="K80" s="9"/>
      <c r="L80" s="9"/>
      <c r="M80" s="9"/>
      <c r="N80" s="10"/>
      <c r="O80" s="9"/>
      <c r="P80" s="9"/>
      <c r="Q80" s="9">
        <v>34</v>
      </c>
      <c r="R80" s="9">
        <v>71</v>
      </c>
      <c r="S80" s="9">
        <v>105</v>
      </c>
      <c r="T80" s="13">
        <f t="shared" si="5"/>
        <v>8.5316029800528721</v>
      </c>
      <c r="U80" s="13">
        <f t="shared" si="6"/>
        <v>12.617159336697908</v>
      </c>
      <c r="V80" s="13">
        <f t="shared" si="7"/>
        <v>4.0855563566450357</v>
      </c>
      <c r="W80" s="9"/>
      <c r="X80" s="9"/>
      <c r="Y80" s="9"/>
      <c r="Z80" s="9"/>
      <c r="AA80" s="9"/>
      <c r="AB80" s="9"/>
      <c r="AC80" s="9"/>
      <c r="AD80" s="9"/>
      <c r="AE80" s="9"/>
      <c r="AF80" s="9"/>
    </row>
    <row r="81" spans="1:32" ht="43.5">
      <c r="A81" s="3" t="s">
        <v>1535</v>
      </c>
      <c r="B81" s="3" t="s">
        <v>6268</v>
      </c>
      <c r="C81" s="3" t="s">
        <v>6269</v>
      </c>
      <c r="G81" s="9" t="s">
        <v>12118</v>
      </c>
      <c r="H81" s="9"/>
      <c r="I81" s="9"/>
      <c r="J81" s="9"/>
      <c r="K81" s="9"/>
      <c r="L81" s="9"/>
      <c r="M81" s="9"/>
      <c r="N81" s="10"/>
      <c r="O81" s="9"/>
      <c r="P81" s="9"/>
      <c r="Q81" s="9">
        <v>541</v>
      </c>
      <c r="R81" s="9">
        <v>560</v>
      </c>
      <c r="S81" s="9">
        <v>1101</v>
      </c>
      <c r="T81" s="13">
        <f t="shared" si="5"/>
        <v>67.291516462388842</v>
      </c>
      <c r="U81" s="13">
        <f t="shared" si="6"/>
        <v>132.29992790194663</v>
      </c>
      <c r="V81" s="13">
        <f t="shared" si="7"/>
        <v>65.00841143955779</v>
      </c>
      <c r="W81" s="9"/>
      <c r="X81" s="9"/>
      <c r="Y81" s="9"/>
      <c r="Z81" s="9"/>
      <c r="AA81" s="9"/>
      <c r="AB81" s="9"/>
      <c r="AC81" s="9"/>
      <c r="AD81" s="9"/>
      <c r="AE81" s="9"/>
      <c r="AF81" s="9"/>
    </row>
    <row r="82" spans="1:32" ht="29">
      <c r="A82" s="3" t="s">
        <v>1578</v>
      </c>
      <c r="B82" s="3" t="s">
        <v>6345</v>
      </c>
      <c r="C82" s="3" t="s">
        <v>6346</v>
      </c>
      <c r="G82" s="9" t="s">
        <v>12118</v>
      </c>
      <c r="H82" s="9"/>
      <c r="I82" s="9"/>
      <c r="J82" s="9"/>
      <c r="K82" s="9"/>
      <c r="L82" s="9"/>
      <c r="M82" s="9"/>
      <c r="N82" s="10"/>
      <c r="O82" s="9"/>
      <c r="P82" s="9"/>
      <c r="Q82" s="9">
        <v>583</v>
      </c>
      <c r="R82" s="9">
        <v>227</v>
      </c>
      <c r="S82" s="9">
        <v>810</v>
      </c>
      <c r="T82" s="13">
        <f t="shared" si="5"/>
        <v>27.277096851718337</v>
      </c>
      <c r="U82" s="13">
        <f t="shared" si="6"/>
        <v>97.332372025955294</v>
      </c>
      <c r="V82" s="13">
        <f t="shared" si="7"/>
        <v>70.055275174236954</v>
      </c>
      <c r="W82" s="9"/>
      <c r="X82" s="9"/>
      <c r="Y82" s="9"/>
      <c r="Z82" s="9"/>
      <c r="AA82" s="9"/>
      <c r="AB82" s="9"/>
      <c r="AC82" s="9"/>
      <c r="AD82" s="9"/>
      <c r="AE82" s="9"/>
      <c r="AF82" s="9"/>
    </row>
    <row r="83" spans="1:32" ht="43.5">
      <c r="A83" s="3" t="s">
        <v>1583</v>
      </c>
      <c r="B83" s="3" t="s">
        <v>6351</v>
      </c>
      <c r="C83" s="3" t="s">
        <v>6352</v>
      </c>
      <c r="G83" s="9" t="s">
        <v>12118</v>
      </c>
      <c r="H83" s="9"/>
      <c r="I83" s="9"/>
      <c r="J83" s="9"/>
      <c r="K83" s="9"/>
      <c r="L83" s="9"/>
      <c r="M83" s="9"/>
      <c r="N83" s="10"/>
      <c r="O83" s="9"/>
      <c r="P83" s="9"/>
      <c r="Q83" s="9">
        <v>3710</v>
      </c>
      <c r="R83" s="9">
        <v>1966</v>
      </c>
      <c r="S83" s="9">
        <v>5676</v>
      </c>
      <c r="T83" s="13">
        <f t="shared" si="5"/>
        <v>236.24128815188658</v>
      </c>
      <c r="U83" s="13">
        <f t="shared" si="6"/>
        <v>682.04758471521268</v>
      </c>
      <c r="V83" s="13">
        <f t="shared" si="7"/>
        <v>445.8062965633261</v>
      </c>
      <c r="W83" s="9"/>
      <c r="X83" s="9"/>
      <c r="Y83" s="9"/>
      <c r="Z83" s="9"/>
      <c r="AA83" s="9"/>
      <c r="AB83" s="9"/>
      <c r="AC83" s="9"/>
      <c r="AD83" s="9"/>
      <c r="AE83" s="9"/>
      <c r="AF83" s="9"/>
    </row>
    <row r="84" spans="1:32" ht="29">
      <c r="A84" s="3" t="s">
        <v>1592</v>
      </c>
      <c r="B84" s="3" t="s">
        <v>6374</v>
      </c>
      <c r="C84" s="3" t="s">
        <v>6375</v>
      </c>
      <c r="G84" s="9" t="s">
        <v>12118</v>
      </c>
      <c r="H84" s="9"/>
      <c r="I84" s="9"/>
      <c r="J84" s="9"/>
      <c r="K84" s="9"/>
      <c r="L84" s="9"/>
      <c r="M84" s="9"/>
      <c r="N84" s="10"/>
      <c r="O84" s="9"/>
      <c r="P84" s="9"/>
      <c r="Q84" s="9">
        <v>734</v>
      </c>
      <c r="R84" s="9">
        <v>560</v>
      </c>
      <c r="S84" s="9">
        <v>1294</v>
      </c>
      <c r="T84" s="13">
        <f t="shared" si="5"/>
        <v>67.291516462388842</v>
      </c>
      <c r="U84" s="13">
        <f t="shared" si="6"/>
        <v>155.49146839701996</v>
      </c>
      <c r="V84" s="13">
        <f t="shared" si="7"/>
        <v>88.199951934631116</v>
      </c>
      <c r="W84" s="9"/>
      <c r="X84" s="9"/>
      <c r="Y84" s="9"/>
      <c r="Z84" s="9"/>
      <c r="AA84" s="9"/>
      <c r="AB84" s="9"/>
      <c r="AC84" s="9"/>
      <c r="AD84" s="9"/>
      <c r="AE84" s="9"/>
      <c r="AF84" s="9"/>
    </row>
    <row r="85" spans="1:32" ht="29">
      <c r="A85" s="3" t="s">
        <v>1606</v>
      </c>
      <c r="B85" s="3" t="s">
        <v>6382</v>
      </c>
      <c r="C85" s="3" t="s">
        <v>6383</v>
      </c>
      <c r="G85" s="9" t="s">
        <v>12118</v>
      </c>
      <c r="H85" s="9"/>
      <c r="I85" s="9"/>
      <c r="J85" s="9"/>
      <c r="K85" s="9"/>
      <c r="L85" s="9"/>
      <c r="M85" s="9"/>
      <c r="N85" s="10"/>
      <c r="O85" s="9"/>
      <c r="P85" s="9"/>
      <c r="Q85" s="9">
        <v>31</v>
      </c>
      <c r="R85" s="9">
        <v>34</v>
      </c>
      <c r="S85" s="9">
        <v>65</v>
      </c>
      <c r="T85" s="13">
        <f t="shared" si="5"/>
        <v>4.0855563566450375</v>
      </c>
      <c r="U85" s="13">
        <f t="shared" si="6"/>
        <v>7.8106224465272769</v>
      </c>
      <c r="V85" s="13">
        <f t="shared" si="7"/>
        <v>3.7250660898822394</v>
      </c>
      <c r="W85" s="9"/>
      <c r="X85" s="9"/>
      <c r="Y85" s="9"/>
      <c r="Z85" s="9"/>
      <c r="AA85" s="9"/>
      <c r="AB85" s="9"/>
      <c r="AC85" s="9"/>
      <c r="AD85" s="9"/>
      <c r="AE85" s="9"/>
      <c r="AF85" s="9"/>
    </row>
    <row r="86" spans="1:32" ht="43.5">
      <c r="A86" s="3" t="s">
        <v>1616</v>
      </c>
      <c r="B86" s="3" t="s">
        <v>6390</v>
      </c>
      <c r="C86" s="3" t="s">
        <v>6391</v>
      </c>
      <c r="G86" s="9" t="s">
        <v>12118</v>
      </c>
      <c r="H86" s="9"/>
      <c r="I86" s="9"/>
      <c r="J86" s="9"/>
      <c r="K86" s="9"/>
      <c r="L86" s="9"/>
      <c r="M86" s="9"/>
      <c r="N86" s="10"/>
      <c r="O86" s="9"/>
      <c r="P86" s="9"/>
      <c r="Q86" s="9">
        <v>-79</v>
      </c>
      <c r="R86" s="9">
        <v>111</v>
      </c>
      <c r="S86" s="9">
        <v>32</v>
      </c>
      <c r="T86" s="13">
        <f t="shared" si="5"/>
        <v>13.338139870223504</v>
      </c>
      <c r="U86" s="13">
        <f t="shared" si="6"/>
        <v>3.8452295121365059</v>
      </c>
      <c r="V86" s="13">
        <f t="shared" si="7"/>
        <v>-9.4929103580869985</v>
      </c>
      <c r="W86" s="9"/>
      <c r="X86" s="9"/>
      <c r="Y86" s="9"/>
      <c r="Z86" s="9"/>
      <c r="AA86" s="9"/>
      <c r="AB86" s="9"/>
      <c r="AC86" s="9"/>
      <c r="AD86" s="9"/>
      <c r="AE86" s="9"/>
      <c r="AF86" s="9"/>
    </row>
    <row r="87" spans="1:32" ht="43.5">
      <c r="A87" s="3" t="s">
        <v>1630</v>
      </c>
      <c r="B87" s="3" t="s">
        <v>6402</v>
      </c>
      <c r="C87" s="3" t="s">
        <v>6403</v>
      </c>
      <c r="G87" s="9" t="s">
        <v>12118</v>
      </c>
      <c r="H87" s="9"/>
      <c r="I87" s="9"/>
      <c r="J87" s="9"/>
      <c r="K87" s="9"/>
      <c r="L87" s="9"/>
      <c r="M87" s="9"/>
      <c r="N87" s="10"/>
      <c r="O87" s="9"/>
      <c r="P87" s="9"/>
      <c r="Q87" s="9">
        <v>342</v>
      </c>
      <c r="R87" s="9">
        <v>165</v>
      </c>
      <c r="S87" s="9">
        <v>507</v>
      </c>
      <c r="T87" s="13">
        <f t="shared" si="5"/>
        <v>19.826964671953856</v>
      </c>
      <c r="U87" s="13">
        <f t="shared" si="6"/>
        <v>60.922855082912768</v>
      </c>
      <c r="V87" s="13">
        <f t="shared" si="7"/>
        <v>41.095890410958916</v>
      </c>
      <c r="W87" s="9"/>
      <c r="X87" s="9"/>
      <c r="Y87" s="9"/>
      <c r="Z87" s="9"/>
      <c r="AA87" s="9"/>
      <c r="AB87" s="9"/>
      <c r="AC87" s="9"/>
      <c r="AD87" s="9"/>
      <c r="AE87" s="9"/>
      <c r="AF87" s="9"/>
    </row>
    <row r="88" spans="1:32" ht="72.5">
      <c r="A88" s="3" t="s">
        <v>1640</v>
      </c>
      <c r="B88" s="3" t="s">
        <v>12271</v>
      </c>
      <c r="C88" s="3" t="s">
        <v>12272</v>
      </c>
      <c r="G88" s="9" t="s">
        <v>12118</v>
      </c>
      <c r="H88" s="9"/>
      <c r="I88" s="9"/>
      <c r="J88" s="9"/>
      <c r="K88" s="9"/>
      <c r="L88" s="9"/>
      <c r="M88" s="9"/>
      <c r="N88" s="10"/>
      <c r="O88" s="9"/>
      <c r="P88" s="9"/>
      <c r="Q88" s="9">
        <v>-3710</v>
      </c>
      <c r="R88" s="9">
        <v>5676</v>
      </c>
      <c r="S88" s="9">
        <v>1966</v>
      </c>
      <c r="T88" s="13">
        <f t="shared" si="5"/>
        <v>682.04758471521268</v>
      </c>
      <c r="U88" s="13">
        <f t="shared" si="6"/>
        <v>236.24128815188658</v>
      </c>
      <c r="V88" s="13">
        <f t="shared" si="7"/>
        <v>-445.8062965633261</v>
      </c>
      <c r="W88" s="9"/>
      <c r="X88" s="9"/>
      <c r="Y88" s="9"/>
      <c r="Z88" s="9"/>
      <c r="AA88" s="9"/>
      <c r="AB88" s="9"/>
      <c r="AC88" s="9"/>
      <c r="AD88" s="9"/>
      <c r="AE88" s="9"/>
      <c r="AF88" s="9"/>
    </row>
    <row r="89" spans="1:32" ht="72.5">
      <c r="A89" s="3" t="s">
        <v>1641</v>
      </c>
      <c r="B89" s="3" t="s">
        <v>6427</v>
      </c>
      <c r="C89" s="3" t="s">
        <v>6428</v>
      </c>
      <c r="G89" s="9" t="s">
        <v>12118</v>
      </c>
      <c r="H89" s="9"/>
      <c r="I89" s="9"/>
      <c r="J89" s="9"/>
      <c r="K89" s="9"/>
      <c r="L89" s="9"/>
      <c r="M89" s="9"/>
      <c r="N89" s="10"/>
      <c r="O89" s="9"/>
      <c r="P89" s="9"/>
      <c r="Q89" s="9">
        <v>182</v>
      </c>
      <c r="R89" s="9">
        <v>249</v>
      </c>
      <c r="S89" s="9">
        <v>431</v>
      </c>
      <c r="T89" s="13">
        <f t="shared" si="5"/>
        <v>29.920692141312184</v>
      </c>
      <c r="U89" s="13">
        <f t="shared" si="6"/>
        <v>51.790434991588562</v>
      </c>
      <c r="V89" s="13">
        <f t="shared" si="7"/>
        <v>21.869742850276378</v>
      </c>
      <c r="W89" s="9"/>
      <c r="X89" s="9"/>
      <c r="Y89" s="9"/>
      <c r="Z89" s="9"/>
      <c r="AA89" s="9"/>
      <c r="AB89" s="9"/>
      <c r="AC89" s="9"/>
      <c r="AD89" s="9"/>
      <c r="AE89" s="9"/>
      <c r="AF89" s="9"/>
    </row>
    <row r="90" spans="1:32" ht="29">
      <c r="A90" s="3" t="s">
        <v>1641</v>
      </c>
      <c r="B90" s="3" t="s">
        <v>1642</v>
      </c>
      <c r="C90" s="3" t="s">
        <v>1643</v>
      </c>
      <c r="G90" s="9" t="s">
        <v>12118</v>
      </c>
      <c r="H90" s="9"/>
      <c r="I90" s="9"/>
      <c r="J90" s="9"/>
      <c r="K90" s="9"/>
      <c r="L90" s="9"/>
      <c r="M90" s="9"/>
      <c r="N90" s="10"/>
      <c r="O90" s="9"/>
      <c r="P90" s="9"/>
      <c r="Q90" s="9">
        <v>46</v>
      </c>
      <c r="R90" s="9">
        <v>0</v>
      </c>
      <c r="S90" s="9">
        <v>46</v>
      </c>
      <c r="T90" s="13">
        <f t="shared" si="5"/>
        <v>0</v>
      </c>
      <c r="U90" s="13">
        <f t="shared" si="6"/>
        <v>5.527517423696227</v>
      </c>
      <c r="V90" s="13">
        <f t="shared" si="7"/>
        <v>5.527517423696227</v>
      </c>
      <c r="W90" s="9"/>
      <c r="X90" s="9"/>
      <c r="Y90" s="9"/>
      <c r="Z90" s="9"/>
      <c r="AA90" s="9"/>
      <c r="AB90" s="9"/>
      <c r="AC90" s="9" t="s">
        <v>12188</v>
      </c>
      <c r="AD90" s="9" t="s">
        <v>20</v>
      </c>
      <c r="AE90" s="9"/>
      <c r="AF90" s="9"/>
    </row>
    <row r="91" spans="1:32" ht="29">
      <c r="A91" s="3" t="s">
        <v>1656</v>
      </c>
      <c r="B91" s="3" t="s">
        <v>1657</v>
      </c>
      <c r="C91" s="3" t="s">
        <v>1658</v>
      </c>
      <c r="G91" s="9" t="s">
        <v>12118</v>
      </c>
      <c r="H91" s="9"/>
      <c r="I91" s="9"/>
      <c r="J91" s="9"/>
      <c r="K91" s="9"/>
      <c r="L91" s="9"/>
      <c r="M91" s="9"/>
      <c r="N91" s="10"/>
      <c r="O91" s="9"/>
      <c r="P91" s="9"/>
      <c r="Q91" s="9">
        <v>1</v>
      </c>
      <c r="R91" s="9">
        <v>0</v>
      </c>
      <c r="S91" s="9">
        <v>1</v>
      </c>
      <c r="T91" s="13">
        <f t="shared" si="5"/>
        <v>0</v>
      </c>
      <c r="U91" s="13">
        <f t="shared" si="6"/>
        <v>0.12016342225426581</v>
      </c>
      <c r="V91" s="13">
        <f t="shared" si="7"/>
        <v>0.12016342225426581</v>
      </c>
      <c r="W91" s="9"/>
      <c r="X91" s="9"/>
      <c r="Y91" s="9"/>
      <c r="Z91" s="9"/>
      <c r="AA91" s="9"/>
      <c r="AB91" s="9"/>
      <c r="AC91" s="9"/>
      <c r="AD91" s="9"/>
      <c r="AE91" s="9"/>
      <c r="AF91" s="9"/>
    </row>
    <row r="92" spans="1:32" ht="58">
      <c r="A92" s="3" t="s">
        <v>1676</v>
      </c>
      <c r="B92" s="3" t="s">
        <v>6459</v>
      </c>
      <c r="C92" s="3" t="s">
        <v>13015</v>
      </c>
      <c r="G92" s="9" t="s">
        <v>12118</v>
      </c>
      <c r="H92" s="9"/>
      <c r="I92" s="9"/>
      <c r="J92" s="9"/>
      <c r="K92" s="9"/>
      <c r="L92" s="9"/>
      <c r="M92" s="9"/>
      <c r="N92" s="10"/>
      <c r="O92" s="9"/>
      <c r="P92" s="9"/>
      <c r="Q92" s="9">
        <v>800</v>
      </c>
      <c r="R92" s="9">
        <v>87</v>
      </c>
      <c r="S92" s="9">
        <v>887</v>
      </c>
      <c r="T92" s="13">
        <f t="shared" si="5"/>
        <v>10.454217736121125</v>
      </c>
      <c r="U92" s="13">
        <f t="shared" si="6"/>
        <v>106.58495553953377</v>
      </c>
      <c r="V92" s="13">
        <f t="shared" si="7"/>
        <v>96.130737803412643</v>
      </c>
      <c r="W92" s="9"/>
      <c r="X92" s="9"/>
      <c r="Y92" s="9"/>
      <c r="Z92" s="9"/>
      <c r="AA92" s="9"/>
      <c r="AB92" s="9"/>
      <c r="AC92" s="9"/>
      <c r="AD92" s="9"/>
      <c r="AE92" s="9"/>
      <c r="AF92" s="9"/>
    </row>
    <row r="93" spans="1:32" ht="29">
      <c r="A93" s="3" t="s">
        <v>1720</v>
      </c>
      <c r="B93" s="3" t="s">
        <v>6541</v>
      </c>
      <c r="C93" s="3" t="s">
        <v>6542</v>
      </c>
      <c r="G93" s="9" t="s">
        <v>12118</v>
      </c>
      <c r="H93" s="9"/>
      <c r="I93" s="9"/>
      <c r="J93" s="9"/>
      <c r="K93" s="9"/>
      <c r="L93" s="9"/>
      <c r="M93" s="9"/>
      <c r="N93" s="10"/>
      <c r="O93" s="9"/>
      <c r="P93" s="9"/>
      <c r="Q93" s="9">
        <v>41</v>
      </c>
      <c r="R93" s="9">
        <v>444</v>
      </c>
      <c r="S93" s="9">
        <v>485</v>
      </c>
      <c r="T93" s="13">
        <f t="shared" si="5"/>
        <v>53.352559480894016</v>
      </c>
      <c r="U93" s="13">
        <f t="shared" si="6"/>
        <v>58.279259793318907</v>
      </c>
      <c r="V93" s="13">
        <f t="shared" si="7"/>
        <v>4.9267003124248916</v>
      </c>
      <c r="W93" s="9" t="s">
        <v>4</v>
      </c>
      <c r="X93" s="9"/>
      <c r="Y93" s="9"/>
      <c r="Z93" s="9"/>
      <c r="AA93" s="9"/>
      <c r="AB93" s="9"/>
      <c r="AC93" s="9"/>
      <c r="AD93" s="9"/>
      <c r="AE93" s="9"/>
      <c r="AF93" s="9"/>
    </row>
    <row r="94" spans="1:32" ht="29">
      <c r="A94" s="3" t="s">
        <v>1720</v>
      </c>
      <c r="B94" s="3" t="s">
        <v>6543</v>
      </c>
      <c r="C94" s="3" t="s">
        <v>6544</v>
      </c>
      <c r="G94" s="9" t="s">
        <v>12118</v>
      </c>
      <c r="H94" s="9"/>
      <c r="I94" s="9"/>
      <c r="J94" s="9"/>
      <c r="K94" s="9"/>
      <c r="L94" s="9"/>
      <c r="M94" s="9"/>
      <c r="N94" s="10"/>
      <c r="O94" s="9"/>
      <c r="P94" s="9"/>
      <c r="Q94" s="9">
        <v>-188</v>
      </c>
      <c r="R94" s="9">
        <v>207</v>
      </c>
      <c r="S94" s="9">
        <v>19</v>
      </c>
      <c r="T94" s="13">
        <f t="shared" si="5"/>
        <v>24.873828406633024</v>
      </c>
      <c r="U94" s="13">
        <f t="shared" si="6"/>
        <v>2.2831050228310503</v>
      </c>
      <c r="V94" s="13">
        <f t="shared" si="7"/>
        <v>-22.590723383801972</v>
      </c>
      <c r="W94" s="9"/>
      <c r="X94" s="9"/>
      <c r="Y94" s="9"/>
      <c r="Z94" s="9"/>
      <c r="AA94" s="9"/>
      <c r="AB94" s="9"/>
      <c r="AC94" s="9"/>
      <c r="AD94" s="9"/>
      <c r="AE94" s="9"/>
      <c r="AF94" s="9"/>
    </row>
    <row r="95" spans="1:32" ht="29">
      <c r="A95" s="3" t="s">
        <v>1722</v>
      </c>
      <c r="B95" s="3" t="s">
        <v>1723</v>
      </c>
      <c r="C95" s="3" t="s">
        <v>96</v>
      </c>
      <c r="G95" s="9" t="s">
        <v>12118</v>
      </c>
      <c r="H95" s="9"/>
      <c r="I95" s="9"/>
      <c r="J95" s="9"/>
      <c r="K95" s="9"/>
      <c r="L95" s="9"/>
      <c r="M95" s="9"/>
      <c r="N95" s="10"/>
      <c r="O95" s="9"/>
      <c r="P95" s="9"/>
      <c r="Q95" s="9">
        <v>-86</v>
      </c>
      <c r="R95" s="9">
        <v>86</v>
      </c>
      <c r="S95" s="9">
        <v>0</v>
      </c>
      <c r="T95" s="13">
        <f t="shared" si="5"/>
        <v>10.33405431386686</v>
      </c>
      <c r="U95" s="13">
        <f t="shared" si="6"/>
        <v>0</v>
      </c>
      <c r="V95" s="13">
        <f t="shared" si="7"/>
        <v>-10.33405431386686</v>
      </c>
      <c r="W95" s="9"/>
      <c r="X95" s="9"/>
      <c r="Y95" s="9"/>
      <c r="Z95" s="9"/>
      <c r="AA95" s="9"/>
      <c r="AB95" s="9"/>
      <c r="AC95" s="9"/>
      <c r="AD95" s="9"/>
      <c r="AE95" s="9"/>
      <c r="AF95" s="9"/>
    </row>
    <row r="96" spans="1:32" ht="58">
      <c r="A96" s="3" t="s">
        <v>1729</v>
      </c>
      <c r="B96" s="3" t="s">
        <v>12877</v>
      </c>
      <c r="C96" s="3" t="s">
        <v>6561</v>
      </c>
      <c r="G96" s="9" t="s">
        <v>12118</v>
      </c>
      <c r="H96" s="9"/>
      <c r="I96" s="9"/>
      <c r="J96" s="9"/>
      <c r="K96" s="9"/>
      <c r="L96" s="9"/>
      <c r="M96" s="9"/>
      <c r="N96" s="10"/>
      <c r="O96" s="9"/>
      <c r="P96" s="9"/>
      <c r="Q96" s="9">
        <v>41</v>
      </c>
      <c r="R96" s="9">
        <v>1</v>
      </c>
      <c r="S96" s="9">
        <v>42</v>
      </c>
      <c r="T96" s="13">
        <f t="shared" si="5"/>
        <v>0.12016342225426581</v>
      </c>
      <c r="U96" s="13">
        <f t="shared" si="6"/>
        <v>5.0468637346791638</v>
      </c>
      <c r="V96" s="13">
        <f t="shared" si="7"/>
        <v>4.9267003124248978</v>
      </c>
      <c r="W96" s="9"/>
      <c r="X96" s="9"/>
      <c r="Y96" s="9"/>
      <c r="Z96" s="9"/>
      <c r="AA96" s="9"/>
      <c r="AB96" s="9"/>
      <c r="AC96" s="9"/>
      <c r="AD96" s="9"/>
      <c r="AE96" s="9"/>
      <c r="AF96" s="9"/>
    </row>
    <row r="97" spans="1:32" ht="43.5">
      <c r="A97" s="3" t="s">
        <v>1730</v>
      </c>
      <c r="B97" s="3" t="s">
        <v>12289</v>
      </c>
      <c r="C97" s="3" t="s">
        <v>12290</v>
      </c>
      <c r="G97" s="9" t="s">
        <v>12118</v>
      </c>
      <c r="H97" s="9"/>
      <c r="I97" s="9"/>
      <c r="J97" s="9"/>
      <c r="K97" s="9"/>
      <c r="L97" s="9"/>
      <c r="M97" s="9"/>
      <c r="N97" s="10"/>
      <c r="O97" s="9"/>
      <c r="P97" s="9"/>
      <c r="Q97" s="9">
        <v>-342</v>
      </c>
      <c r="R97" s="9">
        <v>507</v>
      </c>
      <c r="S97" s="9">
        <v>165</v>
      </c>
      <c r="T97" s="13">
        <f t="shared" si="5"/>
        <v>60.922855082912768</v>
      </c>
      <c r="U97" s="13">
        <f t="shared" si="6"/>
        <v>19.826964671953856</v>
      </c>
      <c r="V97" s="13">
        <f t="shared" si="7"/>
        <v>-41.095890410958916</v>
      </c>
      <c r="W97" s="9"/>
      <c r="X97" s="9"/>
      <c r="Y97" s="9"/>
      <c r="Z97" s="9"/>
      <c r="AA97" s="9"/>
      <c r="AB97" s="9"/>
      <c r="AC97" s="9"/>
      <c r="AD97" s="9"/>
      <c r="AE97" s="9"/>
      <c r="AF97" s="9"/>
    </row>
    <row r="98" spans="1:32" ht="29">
      <c r="A98" s="3" t="s">
        <v>1763</v>
      </c>
      <c r="B98" s="3" t="s">
        <v>883</v>
      </c>
      <c r="C98" s="3" t="s">
        <v>1764</v>
      </c>
      <c r="G98" s="9" t="s">
        <v>12118</v>
      </c>
      <c r="H98" s="9"/>
      <c r="I98" s="9"/>
      <c r="J98" s="9"/>
      <c r="K98" s="9"/>
      <c r="L98" s="9"/>
      <c r="M98" s="9"/>
      <c r="N98" s="10"/>
      <c r="O98" s="9"/>
      <c r="P98" s="9"/>
      <c r="Q98" s="9">
        <v>-12</v>
      </c>
      <c r="R98" s="9">
        <v>12</v>
      </c>
      <c r="S98" s="9">
        <v>0</v>
      </c>
      <c r="T98" s="13">
        <f t="shared" si="5"/>
        <v>1.4419610670511898</v>
      </c>
      <c r="U98" s="13">
        <f t="shared" si="6"/>
        <v>0</v>
      </c>
      <c r="V98" s="13">
        <f t="shared" si="7"/>
        <v>-1.4419610670511898</v>
      </c>
      <c r="W98" s="9"/>
      <c r="X98" s="9"/>
      <c r="Y98" s="9"/>
      <c r="Z98" s="9"/>
      <c r="AA98" s="9"/>
      <c r="AB98" s="9"/>
      <c r="AC98" s="9"/>
      <c r="AD98" s="9"/>
      <c r="AE98" s="9"/>
      <c r="AF98" s="9"/>
    </row>
    <row r="99" spans="1:32" ht="43.5">
      <c r="A99" s="3" t="s">
        <v>1784</v>
      </c>
      <c r="B99" s="3" t="s">
        <v>6623</v>
      </c>
      <c r="C99" s="3" t="s">
        <v>6624</v>
      </c>
      <c r="G99" s="9" t="s">
        <v>12118</v>
      </c>
      <c r="H99" s="9"/>
      <c r="I99" s="9"/>
      <c r="J99" s="9"/>
      <c r="K99" s="9"/>
      <c r="L99" s="9"/>
      <c r="M99" s="9"/>
      <c r="N99" s="10"/>
      <c r="O99" s="9"/>
      <c r="P99" s="9"/>
      <c r="Q99" s="9">
        <v>-1</v>
      </c>
      <c r="R99" s="9">
        <v>2</v>
      </c>
      <c r="S99" s="9">
        <v>1</v>
      </c>
      <c r="T99" s="13">
        <f t="shared" si="5"/>
        <v>0.24032684450853162</v>
      </c>
      <c r="U99" s="13">
        <f t="shared" si="6"/>
        <v>0.12016342225426581</v>
      </c>
      <c r="V99" s="13">
        <f t="shared" si="7"/>
        <v>-0.12016342225426581</v>
      </c>
      <c r="W99" s="9"/>
      <c r="X99" s="9"/>
      <c r="Y99" s="9"/>
      <c r="Z99" s="9"/>
      <c r="AA99" s="9"/>
      <c r="AB99" s="9"/>
      <c r="AC99" s="9"/>
      <c r="AD99" s="9"/>
      <c r="AE99" s="9"/>
      <c r="AF99" s="9"/>
    </row>
    <row r="100" spans="1:32" ht="29">
      <c r="A100" s="3" t="s">
        <v>1797</v>
      </c>
      <c r="B100" s="3" t="s">
        <v>143</v>
      </c>
      <c r="C100" s="3" t="s">
        <v>563</v>
      </c>
      <c r="G100" s="9" t="s">
        <v>12118</v>
      </c>
      <c r="H100" s="9"/>
      <c r="I100" s="9"/>
      <c r="J100" s="9"/>
      <c r="K100" s="9"/>
      <c r="L100" s="9"/>
      <c r="M100" s="9"/>
      <c r="N100" s="10"/>
      <c r="O100" s="9"/>
      <c r="P100" s="9"/>
      <c r="Q100" s="9">
        <v>-19</v>
      </c>
      <c r="R100" s="9">
        <v>51</v>
      </c>
      <c r="S100" s="9">
        <v>32</v>
      </c>
      <c r="T100" s="13">
        <f t="shared" si="5"/>
        <v>6.1283345349675553</v>
      </c>
      <c r="U100" s="13">
        <f t="shared" si="6"/>
        <v>3.8452295121365059</v>
      </c>
      <c r="V100" s="13">
        <f t="shared" si="7"/>
        <v>-2.2831050228310494</v>
      </c>
      <c r="W100" s="9"/>
      <c r="X100" s="9"/>
      <c r="Y100" s="9"/>
      <c r="Z100" s="9"/>
      <c r="AA100" s="9"/>
      <c r="AB100" s="9"/>
      <c r="AC100" s="9"/>
      <c r="AD100" s="9"/>
      <c r="AE100" s="9"/>
      <c r="AF100" s="9"/>
    </row>
    <row r="101" spans="1:32" ht="29">
      <c r="A101" s="3" t="s">
        <v>1805</v>
      </c>
      <c r="B101" s="3" t="s">
        <v>12885</v>
      </c>
      <c r="C101" s="3" t="s">
        <v>1806</v>
      </c>
      <c r="G101" s="9" t="s">
        <v>12118</v>
      </c>
      <c r="H101" s="9"/>
      <c r="I101" s="9"/>
      <c r="J101" s="9"/>
      <c r="K101" s="9"/>
      <c r="L101" s="9"/>
      <c r="M101" s="9"/>
      <c r="N101" s="10"/>
      <c r="O101" s="9"/>
      <c r="P101" s="9"/>
      <c r="Q101" s="9">
        <v>13</v>
      </c>
      <c r="R101" s="9">
        <v>3</v>
      </c>
      <c r="S101" s="9">
        <v>16</v>
      </c>
      <c r="T101" s="13">
        <f t="shared" si="5"/>
        <v>0.36049026676279744</v>
      </c>
      <c r="U101" s="13">
        <f t="shared" si="6"/>
        <v>1.9226147560682529</v>
      </c>
      <c r="V101" s="13">
        <f t="shared" si="7"/>
        <v>1.5621244893054556</v>
      </c>
      <c r="W101" s="9"/>
      <c r="X101" s="9"/>
      <c r="Y101" s="9"/>
      <c r="Z101" s="9"/>
      <c r="AA101" s="9"/>
      <c r="AB101" s="9"/>
      <c r="AC101" s="9"/>
      <c r="AD101" s="9"/>
      <c r="AE101" s="9"/>
      <c r="AF101" s="9"/>
    </row>
    <row r="102" spans="1:32" ht="101.5">
      <c r="A102" s="3" t="s">
        <v>1831</v>
      </c>
      <c r="B102" s="3" t="s">
        <v>6703</v>
      </c>
      <c r="C102" s="3" t="s">
        <v>6704</v>
      </c>
      <c r="G102" s="9" t="s">
        <v>12118</v>
      </c>
      <c r="H102" s="9"/>
      <c r="I102" s="9"/>
      <c r="J102" s="9"/>
      <c r="K102" s="9"/>
      <c r="L102" s="9"/>
      <c r="M102" s="9"/>
      <c r="N102" s="10"/>
      <c r="O102" s="9"/>
      <c r="P102" s="9"/>
      <c r="Q102" s="9">
        <v>193</v>
      </c>
      <c r="R102" s="9">
        <v>1101</v>
      </c>
      <c r="S102" s="9">
        <v>1294</v>
      </c>
      <c r="T102" s="13">
        <f t="shared" si="5"/>
        <v>132.29992790194663</v>
      </c>
      <c r="U102" s="13">
        <f t="shared" si="6"/>
        <v>155.49146839701996</v>
      </c>
      <c r="V102" s="13">
        <f t="shared" si="7"/>
        <v>23.191540495073326</v>
      </c>
      <c r="W102" s="9" t="s">
        <v>4</v>
      </c>
      <c r="X102" s="9"/>
      <c r="Y102" s="9"/>
      <c r="Z102" s="9"/>
      <c r="AA102" s="9"/>
      <c r="AB102" s="9"/>
      <c r="AC102" s="9"/>
      <c r="AD102" s="9"/>
      <c r="AE102" s="9"/>
      <c r="AF102" s="9"/>
    </row>
    <row r="103" spans="1:32" ht="29">
      <c r="A103" s="3" t="s">
        <v>1846</v>
      </c>
      <c r="B103" s="3" t="s">
        <v>727</v>
      </c>
      <c r="C103" s="3" t="s">
        <v>728</v>
      </c>
      <c r="G103" s="9" t="s">
        <v>12118</v>
      </c>
      <c r="H103" s="9"/>
      <c r="I103" s="9"/>
      <c r="J103" s="9"/>
      <c r="K103" s="9"/>
      <c r="L103" s="9"/>
      <c r="M103" s="9"/>
      <c r="N103" s="10"/>
      <c r="O103" s="9"/>
      <c r="P103" s="9"/>
      <c r="Q103" s="9">
        <v>-50</v>
      </c>
      <c r="R103" s="9">
        <v>87</v>
      </c>
      <c r="S103" s="9">
        <v>37</v>
      </c>
      <c r="T103" s="13">
        <f t="shared" si="5"/>
        <v>10.454217736121125</v>
      </c>
      <c r="U103" s="13">
        <f t="shared" si="6"/>
        <v>4.4460466234078346</v>
      </c>
      <c r="V103" s="13">
        <f t="shared" si="7"/>
        <v>-6.0081711127132902</v>
      </c>
      <c r="W103" s="9"/>
      <c r="X103" s="9"/>
      <c r="Y103" s="9"/>
      <c r="Z103" s="9"/>
      <c r="AA103" s="9"/>
      <c r="AB103" s="9"/>
      <c r="AC103" s="9"/>
      <c r="AD103" s="9"/>
      <c r="AE103" s="9"/>
      <c r="AF103" s="9"/>
    </row>
    <row r="104" spans="1:32" ht="43.5">
      <c r="A104" s="3" t="s">
        <v>1872</v>
      </c>
      <c r="B104" s="3" t="s">
        <v>6785</v>
      </c>
      <c r="C104" s="11" t="s">
        <v>6786</v>
      </c>
      <c r="G104" s="9" t="s">
        <v>12118</v>
      </c>
      <c r="H104" s="9"/>
      <c r="I104" s="9"/>
      <c r="J104" s="9"/>
      <c r="K104" s="9"/>
      <c r="L104" s="9"/>
      <c r="M104" s="9"/>
      <c r="N104" s="10"/>
      <c r="O104" s="9"/>
      <c r="P104" s="9"/>
      <c r="Q104" s="9">
        <v>-3310</v>
      </c>
      <c r="R104" s="9">
        <v>4240</v>
      </c>
      <c r="S104" s="9">
        <v>930</v>
      </c>
      <c r="T104" s="13">
        <f t="shared" si="5"/>
        <v>509.49291035808699</v>
      </c>
      <c r="U104" s="13">
        <f t="shared" si="6"/>
        <v>111.75198269646719</v>
      </c>
      <c r="V104" s="13">
        <f t="shared" si="7"/>
        <v>-397.74092766161982</v>
      </c>
      <c r="W104" s="9"/>
      <c r="X104" s="9"/>
      <c r="Y104" s="9"/>
      <c r="Z104" s="9"/>
      <c r="AA104" s="9"/>
      <c r="AB104" s="9"/>
      <c r="AC104" s="9"/>
      <c r="AD104" s="9"/>
      <c r="AE104" s="9"/>
      <c r="AF104" s="9"/>
    </row>
    <row r="105" spans="1:32" ht="29">
      <c r="A105" s="3" t="s">
        <v>1881</v>
      </c>
      <c r="B105" s="3" t="s">
        <v>6790</v>
      </c>
      <c r="C105" s="11" t="s">
        <v>6791</v>
      </c>
      <c r="G105" s="9" t="s">
        <v>12118</v>
      </c>
      <c r="H105" s="9"/>
      <c r="I105" s="9"/>
      <c r="J105" s="9"/>
      <c r="K105" s="9"/>
      <c r="L105" s="9"/>
      <c r="M105" s="9"/>
      <c r="N105" s="10"/>
      <c r="O105" s="9"/>
      <c r="P105" s="9"/>
      <c r="Q105" s="9">
        <v>4</v>
      </c>
      <c r="R105" s="9">
        <v>134</v>
      </c>
      <c r="S105" s="9">
        <v>138</v>
      </c>
      <c r="T105" s="13">
        <f t="shared" si="5"/>
        <v>16.101898582071616</v>
      </c>
      <c r="U105" s="13">
        <f t="shared" si="6"/>
        <v>16.58255227108868</v>
      </c>
      <c r="V105" s="13">
        <f t="shared" si="7"/>
        <v>0.48065368901706407</v>
      </c>
      <c r="W105" s="9"/>
      <c r="X105" s="9"/>
      <c r="Y105" s="9"/>
      <c r="Z105" s="9"/>
      <c r="AA105" s="9"/>
      <c r="AB105" s="9"/>
      <c r="AC105" s="9"/>
      <c r="AD105" s="9"/>
      <c r="AE105" s="9"/>
      <c r="AF105" s="9"/>
    </row>
    <row r="106" spans="1:32" ht="43.5">
      <c r="A106" s="3" t="s">
        <v>1886</v>
      </c>
      <c r="B106" s="3" t="s">
        <v>6805</v>
      </c>
      <c r="C106" s="3" t="s">
        <v>6804</v>
      </c>
      <c r="G106" s="9" t="s">
        <v>12118</v>
      </c>
      <c r="H106" s="9"/>
      <c r="I106" s="9"/>
      <c r="J106" s="9"/>
      <c r="K106" s="9"/>
      <c r="L106" s="9"/>
      <c r="M106" s="9"/>
      <c r="N106" s="10"/>
      <c r="O106" s="9"/>
      <c r="P106" s="9"/>
      <c r="Q106" s="9">
        <v>-118</v>
      </c>
      <c r="R106" s="9">
        <v>124</v>
      </c>
      <c r="S106" s="9">
        <v>6</v>
      </c>
      <c r="T106" s="13">
        <f t="shared" si="5"/>
        <v>14.900264359528959</v>
      </c>
      <c r="U106" s="13">
        <f t="shared" si="6"/>
        <v>0.72098053352559488</v>
      </c>
      <c r="V106" s="13">
        <f t="shared" si="7"/>
        <v>-14.179283826003365</v>
      </c>
      <c r="W106" s="9"/>
      <c r="X106" s="9"/>
      <c r="Y106" s="9"/>
      <c r="Z106" s="9"/>
      <c r="AA106" s="9"/>
      <c r="AB106" s="9"/>
      <c r="AC106" s="9"/>
      <c r="AD106" s="9"/>
      <c r="AE106" s="9"/>
      <c r="AF106" s="9"/>
    </row>
    <row r="107" spans="1:32" ht="58">
      <c r="A107" s="3" t="s">
        <v>1912</v>
      </c>
      <c r="B107" s="3" t="s">
        <v>6850</v>
      </c>
      <c r="C107" s="3" t="s">
        <v>6849</v>
      </c>
      <c r="G107" s="9" t="s">
        <v>12118</v>
      </c>
      <c r="H107" s="9"/>
      <c r="I107" s="9"/>
      <c r="J107" s="9"/>
      <c r="K107" s="9"/>
      <c r="L107" s="9"/>
      <c r="M107" s="9"/>
      <c r="N107" s="10"/>
      <c r="O107" s="9"/>
      <c r="P107" s="9"/>
      <c r="Q107" s="9">
        <v>16</v>
      </c>
      <c r="R107" s="9">
        <v>6</v>
      </c>
      <c r="S107" s="9">
        <v>22</v>
      </c>
      <c r="T107" s="13">
        <f t="shared" si="5"/>
        <v>0.72098053352559488</v>
      </c>
      <c r="U107" s="13">
        <f t="shared" si="6"/>
        <v>2.6435952895938475</v>
      </c>
      <c r="V107" s="13">
        <f t="shared" si="7"/>
        <v>1.9226147560682527</v>
      </c>
      <c r="W107" s="9"/>
      <c r="X107" s="9"/>
      <c r="Y107" s="9"/>
      <c r="Z107" s="9"/>
      <c r="AA107" s="9"/>
      <c r="AB107" s="9"/>
      <c r="AC107" s="9"/>
      <c r="AD107" s="9"/>
      <c r="AE107" s="9"/>
      <c r="AF107" s="9"/>
    </row>
    <row r="108" spans="1:32" ht="43.5">
      <c r="A108" s="3" t="s">
        <v>1915</v>
      </c>
      <c r="B108" s="3" t="s">
        <v>6854</v>
      </c>
      <c r="C108" s="3" t="s">
        <v>6855</v>
      </c>
      <c r="G108" s="9" t="s">
        <v>12118</v>
      </c>
      <c r="H108" s="9"/>
      <c r="I108" s="9"/>
      <c r="J108" s="9"/>
      <c r="K108" s="9"/>
      <c r="L108" s="9"/>
      <c r="M108" s="9"/>
      <c r="N108" s="10"/>
      <c r="O108" s="9"/>
      <c r="P108" s="9"/>
      <c r="Q108" s="9">
        <v>3</v>
      </c>
      <c r="R108" s="9">
        <v>1</v>
      </c>
      <c r="S108" s="9">
        <v>4</v>
      </c>
      <c r="T108" s="13">
        <f t="shared" si="5"/>
        <v>0.12016342225426581</v>
      </c>
      <c r="U108" s="13">
        <f t="shared" si="6"/>
        <v>0.48065368901706323</v>
      </c>
      <c r="V108" s="13">
        <f t="shared" si="7"/>
        <v>0.36049026676279744</v>
      </c>
      <c r="W108" s="9"/>
      <c r="X108" s="9"/>
      <c r="Y108" s="9"/>
      <c r="Z108" s="9"/>
      <c r="AA108" s="9"/>
      <c r="AB108" s="9"/>
      <c r="AC108" s="9"/>
      <c r="AD108" s="9"/>
      <c r="AE108" s="9"/>
      <c r="AF108" s="9"/>
    </row>
    <row r="109" spans="1:32" ht="29">
      <c r="A109" s="3" t="s">
        <v>1921</v>
      </c>
      <c r="B109" s="3" t="s">
        <v>1229</v>
      </c>
      <c r="C109" s="3" t="s">
        <v>1230</v>
      </c>
      <c r="G109" s="9" t="s">
        <v>12118</v>
      </c>
      <c r="H109" s="9"/>
      <c r="I109" s="9"/>
      <c r="J109" s="9"/>
      <c r="K109" s="9"/>
      <c r="L109" s="9"/>
      <c r="M109" s="9"/>
      <c r="N109" s="10"/>
      <c r="O109" s="9"/>
      <c r="P109" s="9"/>
      <c r="Q109" s="9">
        <v>-69</v>
      </c>
      <c r="R109" s="9">
        <v>77</v>
      </c>
      <c r="S109" s="9">
        <v>8</v>
      </c>
      <c r="T109" s="13">
        <f t="shared" si="5"/>
        <v>9.2525835135784664</v>
      </c>
      <c r="U109" s="13">
        <f t="shared" si="6"/>
        <v>0.96130737803412647</v>
      </c>
      <c r="V109" s="13">
        <f t="shared" si="7"/>
        <v>-8.2912761355443401</v>
      </c>
      <c r="W109" s="9"/>
      <c r="X109" s="9"/>
      <c r="Y109" s="9"/>
      <c r="Z109" s="9"/>
      <c r="AA109" s="9"/>
      <c r="AB109" s="9"/>
      <c r="AC109" s="9"/>
      <c r="AD109" s="9"/>
      <c r="AE109" s="9"/>
      <c r="AF109" s="9"/>
    </row>
    <row r="110" spans="1:32" ht="58">
      <c r="A110" s="3" t="s">
        <v>1925</v>
      </c>
      <c r="B110" s="3" t="s">
        <v>6873</v>
      </c>
      <c r="C110" s="3" t="s">
        <v>6874</v>
      </c>
      <c r="G110" s="9" t="s">
        <v>12118</v>
      </c>
      <c r="H110" s="9"/>
      <c r="I110" s="9"/>
      <c r="J110" s="9"/>
      <c r="K110" s="9"/>
      <c r="L110" s="9"/>
      <c r="M110" s="9"/>
      <c r="N110" s="10"/>
      <c r="O110" s="9"/>
      <c r="P110" s="9"/>
      <c r="Q110" s="9">
        <v>-134</v>
      </c>
      <c r="R110" s="9">
        <v>444</v>
      </c>
      <c r="S110" s="9">
        <v>310</v>
      </c>
      <c r="T110" s="13">
        <f t="shared" si="5"/>
        <v>53.352559480894016</v>
      </c>
      <c r="U110" s="13">
        <f t="shared" si="6"/>
        <v>37.250660898822396</v>
      </c>
      <c r="V110" s="13">
        <f t="shared" si="7"/>
        <v>-16.10189858207162</v>
      </c>
      <c r="W110" s="9"/>
      <c r="X110" s="9"/>
      <c r="Y110" s="9"/>
      <c r="Z110" s="9"/>
      <c r="AA110" s="9"/>
      <c r="AB110" s="9"/>
      <c r="AC110" s="9"/>
      <c r="AD110" s="9"/>
      <c r="AE110" s="9"/>
      <c r="AF110" s="9"/>
    </row>
    <row r="111" spans="1:32" ht="43.5">
      <c r="A111" s="3" t="s">
        <v>1929</v>
      </c>
      <c r="B111" s="3" t="s">
        <v>6286</v>
      </c>
      <c r="C111" s="3" t="s">
        <v>6883</v>
      </c>
      <c r="G111" s="9" t="s">
        <v>12118</v>
      </c>
      <c r="H111" s="9"/>
      <c r="I111" s="9"/>
      <c r="J111" s="9"/>
      <c r="K111" s="9"/>
      <c r="L111" s="9"/>
      <c r="M111" s="9"/>
      <c r="N111" s="10"/>
      <c r="O111" s="9"/>
      <c r="P111" s="9"/>
      <c r="Q111" s="9">
        <v>3710</v>
      </c>
      <c r="R111" s="9">
        <v>1966</v>
      </c>
      <c r="S111" s="9">
        <v>5676</v>
      </c>
      <c r="T111" s="13">
        <f t="shared" si="5"/>
        <v>236.24128815188658</v>
      </c>
      <c r="U111" s="13">
        <f t="shared" si="6"/>
        <v>682.04758471521268</v>
      </c>
      <c r="V111" s="13">
        <f t="shared" si="7"/>
        <v>445.8062965633261</v>
      </c>
      <c r="W111" s="9"/>
      <c r="X111" s="9"/>
      <c r="Y111" s="9"/>
      <c r="Z111" s="9"/>
      <c r="AA111" s="9"/>
      <c r="AB111" s="9"/>
      <c r="AC111" s="9"/>
      <c r="AD111" s="9"/>
      <c r="AE111" s="9"/>
      <c r="AF111" s="9"/>
    </row>
    <row r="112" spans="1:32" ht="43.5">
      <c r="A112" s="3" t="s">
        <v>1951</v>
      </c>
      <c r="B112" s="3" t="s">
        <v>6914</v>
      </c>
      <c r="C112" s="3" t="s">
        <v>6915</v>
      </c>
      <c r="G112" s="9" t="s">
        <v>12118</v>
      </c>
      <c r="H112" s="9"/>
      <c r="I112" s="9"/>
      <c r="J112" s="9"/>
      <c r="K112" s="9"/>
      <c r="L112" s="9"/>
      <c r="M112" s="9"/>
      <c r="N112" s="10"/>
      <c r="O112" s="9"/>
      <c r="P112" s="9"/>
      <c r="Q112" s="9">
        <v>-3310</v>
      </c>
      <c r="R112" s="9">
        <v>4240</v>
      </c>
      <c r="S112" s="9">
        <v>930</v>
      </c>
      <c r="T112" s="13">
        <f t="shared" si="5"/>
        <v>509.49291035808699</v>
      </c>
      <c r="U112" s="13">
        <f t="shared" si="6"/>
        <v>111.75198269646719</v>
      </c>
      <c r="V112" s="13">
        <f t="shared" si="7"/>
        <v>-397.74092766161982</v>
      </c>
      <c r="W112" s="9"/>
      <c r="X112" s="9"/>
      <c r="Y112" s="9"/>
      <c r="Z112" s="9"/>
      <c r="AA112" s="9"/>
      <c r="AB112" s="9"/>
      <c r="AC112" s="9"/>
      <c r="AD112" s="9"/>
      <c r="AE112" s="9"/>
      <c r="AF112" s="9"/>
    </row>
    <row r="113" spans="1:32" ht="72.5">
      <c r="A113" s="3" t="s">
        <v>1961</v>
      </c>
      <c r="B113" s="3" t="s">
        <v>12319</v>
      </c>
      <c r="C113" s="3" t="s">
        <v>12318</v>
      </c>
      <c r="G113" s="9" t="s">
        <v>12118</v>
      </c>
      <c r="H113" s="9"/>
      <c r="I113" s="9"/>
      <c r="J113" s="9"/>
      <c r="K113" s="9"/>
      <c r="L113" s="9"/>
      <c r="M113" s="9"/>
      <c r="N113" s="10"/>
      <c r="O113" s="9"/>
      <c r="P113" s="9"/>
      <c r="Q113" s="9">
        <v>11614</v>
      </c>
      <c r="R113" s="9">
        <v>229</v>
      </c>
      <c r="S113" s="9">
        <v>11843</v>
      </c>
      <c r="T113" s="13">
        <f t="shared" si="5"/>
        <v>27.517423696226867</v>
      </c>
      <c r="U113" s="13">
        <f t="shared" si="6"/>
        <v>1423.0954097572699</v>
      </c>
      <c r="V113" s="13">
        <f t="shared" si="7"/>
        <v>1395.577986061043</v>
      </c>
      <c r="W113" s="9"/>
      <c r="X113" s="9"/>
      <c r="Y113" s="9"/>
      <c r="Z113" s="9"/>
      <c r="AA113" s="9"/>
      <c r="AB113" s="9"/>
      <c r="AC113" s="9"/>
      <c r="AD113" s="9"/>
      <c r="AE113" s="9"/>
      <c r="AF113" s="9"/>
    </row>
    <row r="114" spans="1:32" ht="43.5">
      <c r="A114" s="3" t="s">
        <v>1976</v>
      </c>
      <c r="B114" s="3" t="s">
        <v>6941</v>
      </c>
      <c r="C114" s="3" t="s">
        <v>6942</v>
      </c>
      <c r="G114" s="9" t="s">
        <v>12118</v>
      </c>
      <c r="H114" s="9"/>
      <c r="I114" s="9"/>
      <c r="J114" s="9"/>
      <c r="K114" s="9"/>
      <c r="L114" s="9"/>
      <c r="M114" s="9"/>
      <c r="N114" s="10"/>
      <c r="O114" s="9"/>
      <c r="P114" s="9"/>
      <c r="Q114" s="9">
        <v>-9</v>
      </c>
      <c r="R114" s="9">
        <v>59</v>
      </c>
      <c r="S114" s="9">
        <v>50</v>
      </c>
      <c r="T114" s="13">
        <f t="shared" si="5"/>
        <v>7.0896419130016826</v>
      </c>
      <c r="U114" s="13">
        <f t="shared" si="6"/>
        <v>6.0081711127132902</v>
      </c>
      <c r="V114" s="13">
        <f t="shared" si="7"/>
        <v>-1.0814708002883924</v>
      </c>
      <c r="W114" s="9"/>
      <c r="X114" s="9"/>
      <c r="Y114" s="9"/>
      <c r="Z114" s="9"/>
      <c r="AA114" s="9"/>
      <c r="AB114" s="9"/>
      <c r="AC114" s="9"/>
      <c r="AD114" s="9"/>
      <c r="AE114" s="9"/>
      <c r="AF114" s="9"/>
    </row>
    <row r="115" spans="1:32" ht="43.5">
      <c r="A115" s="3" t="s">
        <v>1983</v>
      </c>
      <c r="B115" s="3" t="s">
        <v>6947</v>
      </c>
      <c r="C115" s="3" t="s">
        <v>6948</v>
      </c>
      <c r="G115" s="9" t="s">
        <v>12118</v>
      </c>
      <c r="H115" s="9"/>
      <c r="I115" s="9"/>
      <c r="J115" s="9"/>
      <c r="K115" s="9"/>
      <c r="L115" s="9"/>
      <c r="M115" s="9"/>
      <c r="N115" s="10"/>
      <c r="O115" s="9"/>
      <c r="P115" s="9"/>
      <c r="Q115" s="9">
        <v>29</v>
      </c>
      <c r="R115" s="9">
        <v>1</v>
      </c>
      <c r="S115" s="9">
        <v>30</v>
      </c>
      <c r="T115" s="13">
        <f t="shared" si="5"/>
        <v>0.12016342225426581</v>
      </c>
      <c r="U115" s="13">
        <f t="shared" si="6"/>
        <v>3.6049026676279738</v>
      </c>
      <c r="V115" s="13">
        <f t="shared" si="7"/>
        <v>3.4847392453737078</v>
      </c>
      <c r="W115" s="9"/>
      <c r="X115" s="9"/>
      <c r="Y115" s="9"/>
      <c r="Z115" s="9"/>
      <c r="AA115" s="9"/>
      <c r="AB115" s="9"/>
      <c r="AC115" s="9"/>
      <c r="AD115" s="9"/>
      <c r="AE115" s="9"/>
      <c r="AF115" s="9"/>
    </row>
    <row r="116" spans="1:32" ht="43.5">
      <c r="A116" s="3" t="s">
        <v>1988</v>
      </c>
      <c r="B116" s="3" t="s">
        <v>6951</v>
      </c>
      <c r="C116" s="3" t="s">
        <v>6952</v>
      </c>
      <c r="G116" s="9" t="s">
        <v>12118</v>
      </c>
      <c r="H116" s="9"/>
      <c r="I116" s="9"/>
      <c r="J116" s="9"/>
      <c r="K116" s="9"/>
      <c r="L116" s="9"/>
      <c r="M116" s="9"/>
      <c r="N116" s="10"/>
      <c r="O116" s="9"/>
      <c r="P116" s="9"/>
      <c r="Q116" s="9">
        <v>-3680</v>
      </c>
      <c r="R116" s="9">
        <v>5676</v>
      </c>
      <c r="S116" s="9">
        <v>1996</v>
      </c>
      <c r="T116" s="13">
        <f t="shared" si="5"/>
        <v>682.04758471521268</v>
      </c>
      <c r="U116" s="13">
        <f t="shared" si="6"/>
        <v>239.84619081951456</v>
      </c>
      <c r="V116" s="13">
        <f t="shared" si="7"/>
        <v>-442.20139389569812</v>
      </c>
      <c r="W116" s="9"/>
      <c r="X116" s="9"/>
      <c r="Y116" s="9"/>
      <c r="Z116" s="9"/>
      <c r="AA116" s="9"/>
      <c r="AB116" s="9"/>
      <c r="AC116" s="9"/>
      <c r="AD116" s="9"/>
      <c r="AE116" s="9"/>
      <c r="AF116" s="9"/>
    </row>
    <row r="117" spans="1:32" ht="43.5">
      <c r="A117" s="3" t="s">
        <v>1995</v>
      </c>
      <c r="B117" s="3" t="s">
        <v>6955</v>
      </c>
      <c r="C117" s="3" t="s">
        <v>6956</v>
      </c>
      <c r="G117" s="9" t="s">
        <v>12118</v>
      </c>
      <c r="H117" s="9"/>
      <c r="I117" s="9"/>
      <c r="J117" s="9"/>
      <c r="K117" s="9"/>
      <c r="L117" s="9"/>
      <c r="M117" s="9"/>
      <c r="N117" s="10"/>
      <c r="O117" s="9"/>
      <c r="P117" s="9"/>
      <c r="Q117" s="9">
        <v>-29</v>
      </c>
      <c r="R117" s="9">
        <v>36</v>
      </c>
      <c r="S117" s="9">
        <v>7</v>
      </c>
      <c r="T117" s="13">
        <f t="shared" si="5"/>
        <v>4.3258832011535686</v>
      </c>
      <c r="U117" s="13">
        <f t="shared" si="6"/>
        <v>0.84114395577986056</v>
      </c>
      <c r="V117" s="13">
        <f t="shared" si="7"/>
        <v>-3.4847392453737083</v>
      </c>
      <c r="W117" s="9"/>
      <c r="X117" s="9"/>
      <c r="Y117" s="9"/>
      <c r="Z117" s="9"/>
      <c r="AA117" s="9"/>
      <c r="AB117" s="9"/>
      <c r="AC117" s="9"/>
      <c r="AD117" s="9"/>
      <c r="AE117" s="9"/>
      <c r="AF117" s="9"/>
    </row>
    <row r="118" spans="1:32" ht="116">
      <c r="A118" s="3" t="s">
        <v>2007</v>
      </c>
      <c r="B118" s="3" t="s">
        <v>12333</v>
      </c>
      <c r="C118" s="3" t="s">
        <v>12335</v>
      </c>
      <c r="G118" s="9" t="s">
        <v>12118</v>
      </c>
      <c r="H118" s="9"/>
      <c r="I118" s="9"/>
      <c r="J118" s="9"/>
      <c r="K118" s="9"/>
      <c r="L118" s="9"/>
      <c r="M118" s="9"/>
      <c r="N118" s="10"/>
      <c r="O118" s="9"/>
      <c r="P118" s="9"/>
      <c r="Q118" s="9">
        <v>3710</v>
      </c>
      <c r="R118" s="9">
        <v>1966</v>
      </c>
      <c r="S118" s="9">
        <v>5676</v>
      </c>
      <c r="T118" s="13">
        <f t="shared" si="5"/>
        <v>236.24128815188658</v>
      </c>
      <c r="U118" s="13">
        <f t="shared" si="6"/>
        <v>682.04758471521268</v>
      </c>
      <c r="V118" s="13">
        <f t="shared" si="7"/>
        <v>445.8062965633261</v>
      </c>
      <c r="W118" s="9"/>
      <c r="X118" s="9"/>
      <c r="Y118" s="9"/>
      <c r="Z118" s="9"/>
      <c r="AA118" s="9"/>
      <c r="AB118" s="9"/>
      <c r="AC118" s="9"/>
      <c r="AD118" s="9"/>
      <c r="AE118" s="9"/>
      <c r="AF118" s="9"/>
    </row>
    <row r="119" spans="1:32" ht="87">
      <c r="A119" s="3" t="s">
        <v>2012</v>
      </c>
      <c r="B119" s="3" t="s">
        <v>6983</v>
      </c>
      <c r="C119" s="3" t="s">
        <v>6984</v>
      </c>
      <c r="G119" s="9" t="s">
        <v>12118</v>
      </c>
      <c r="H119" s="9"/>
      <c r="I119" s="9"/>
      <c r="J119" s="9"/>
      <c r="K119" s="9"/>
      <c r="L119" s="9"/>
      <c r="M119" s="9"/>
      <c r="N119" s="10"/>
      <c r="O119" s="9"/>
      <c r="P119" s="9"/>
      <c r="Q119" s="9">
        <v>-31</v>
      </c>
      <c r="R119" s="9">
        <v>65</v>
      </c>
      <c r="S119" s="9">
        <v>34</v>
      </c>
      <c r="T119" s="13">
        <f t="shared" si="5"/>
        <v>7.8106224465272769</v>
      </c>
      <c r="U119" s="13">
        <f t="shared" si="6"/>
        <v>4.0855563566450375</v>
      </c>
      <c r="V119" s="13">
        <f t="shared" si="7"/>
        <v>-3.7250660898822394</v>
      </c>
      <c r="W119" s="9"/>
      <c r="X119" s="9"/>
      <c r="Y119" s="9"/>
      <c r="Z119" s="9"/>
      <c r="AA119" s="9"/>
      <c r="AB119" s="9"/>
      <c r="AC119" s="9"/>
      <c r="AD119" s="9"/>
      <c r="AE119" s="9"/>
      <c r="AF119" s="9"/>
    </row>
    <row r="120" spans="1:32" ht="43.5">
      <c r="A120" s="3" t="s">
        <v>2024</v>
      </c>
      <c r="B120" s="3" t="s">
        <v>7005</v>
      </c>
      <c r="C120" s="3" t="s">
        <v>7006</v>
      </c>
      <c r="G120" s="9" t="s">
        <v>12118</v>
      </c>
      <c r="H120" s="9"/>
      <c r="I120" s="9"/>
      <c r="J120" s="9"/>
      <c r="K120" s="9"/>
      <c r="L120" s="9"/>
      <c r="M120" s="9"/>
      <c r="N120" s="10"/>
      <c r="O120" s="9"/>
      <c r="P120" s="9"/>
      <c r="Q120" s="9">
        <v>-18</v>
      </c>
      <c r="R120" s="9">
        <v>19</v>
      </c>
      <c r="S120" s="9">
        <v>1</v>
      </c>
      <c r="T120" s="13">
        <f t="shared" si="5"/>
        <v>2.2831050228310503</v>
      </c>
      <c r="U120" s="13">
        <f t="shared" si="6"/>
        <v>0.12016342225426581</v>
      </c>
      <c r="V120" s="13">
        <f t="shared" si="7"/>
        <v>-2.1629416005767843</v>
      </c>
      <c r="W120" s="9"/>
      <c r="X120" s="9"/>
      <c r="Y120" s="9"/>
      <c r="Z120" s="9"/>
      <c r="AA120" s="9"/>
      <c r="AB120" s="9"/>
      <c r="AC120" s="9"/>
      <c r="AD120" s="9"/>
      <c r="AE120" s="9"/>
      <c r="AF120" s="9"/>
    </row>
    <row r="121" spans="1:32" ht="72.5">
      <c r="A121" s="3" t="s">
        <v>2028</v>
      </c>
      <c r="B121" s="3" t="s">
        <v>7015</v>
      </c>
      <c r="C121" s="3" t="s">
        <v>12669</v>
      </c>
      <c r="E121" t="s">
        <v>20</v>
      </c>
      <c r="G121" s="9" t="s">
        <v>12118</v>
      </c>
      <c r="H121" s="9"/>
      <c r="I121" s="9"/>
      <c r="J121" s="9"/>
      <c r="K121" s="9"/>
      <c r="L121" s="9"/>
      <c r="M121" s="9"/>
      <c r="N121" s="10"/>
      <c r="O121" s="9"/>
      <c r="P121" s="9"/>
      <c r="Q121" s="9">
        <v>-9877</v>
      </c>
      <c r="R121" s="9">
        <v>11843</v>
      </c>
      <c r="S121" s="9">
        <v>1966</v>
      </c>
      <c r="T121" s="13">
        <f t="shared" si="5"/>
        <v>1423.0954097572699</v>
      </c>
      <c r="U121" s="13">
        <f t="shared" si="6"/>
        <v>236.24128815188658</v>
      </c>
      <c r="V121" s="13">
        <f t="shared" si="7"/>
        <v>-1186.8541216053832</v>
      </c>
      <c r="W121" s="9"/>
      <c r="X121" s="9"/>
      <c r="Y121" s="9"/>
      <c r="Z121" s="9"/>
      <c r="AA121" s="9"/>
      <c r="AB121" s="9"/>
      <c r="AC121" s="9"/>
      <c r="AD121" s="9"/>
      <c r="AE121" s="9"/>
      <c r="AF121" s="9"/>
    </row>
    <row r="122" spans="1:32" ht="43.5">
      <c r="A122" s="3" t="s">
        <v>2055</v>
      </c>
      <c r="B122" s="3" t="s">
        <v>7052</v>
      </c>
      <c r="C122" s="3" t="s">
        <v>7053</v>
      </c>
      <c r="G122" s="9" t="s">
        <v>12118</v>
      </c>
      <c r="H122" s="9"/>
      <c r="I122" s="9"/>
      <c r="J122" s="9"/>
      <c r="K122" s="9"/>
      <c r="L122" s="9"/>
      <c r="M122" s="9"/>
      <c r="N122" s="10"/>
      <c r="O122" s="9"/>
      <c r="P122" s="9"/>
      <c r="Q122" s="9">
        <v>734</v>
      </c>
      <c r="R122" s="9">
        <v>560</v>
      </c>
      <c r="S122" s="9">
        <v>1294</v>
      </c>
      <c r="T122" s="13">
        <f t="shared" si="5"/>
        <v>67.291516462388842</v>
      </c>
      <c r="U122" s="13">
        <f t="shared" si="6"/>
        <v>155.49146839701996</v>
      </c>
      <c r="V122" s="13">
        <f t="shared" si="7"/>
        <v>88.199951934631116</v>
      </c>
      <c r="W122" s="9"/>
      <c r="X122" s="9"/>
      <c r="Y122" s="9"/>
      <c r="Z122" s="9"/>
      <c r="AA122" s="9"/>
      <c r="AB122" s="9"/>
      <c r="AC122" s="9"/>
      <c r="AD122" s="9"/>
      <c r="AE122" s="9"/>
      <c r="AF122" s="9"/>
    </row>
    <row r="123" spans="1:32" ht="43.5">
      <c r="A123" s="3" t="s">
        <v>2144</v>
      </c>
      <c r="B123" s="3" t="s">
        <v>7147</v>
      </c>
      <c r="C123" s="3" t="s">
        <v>7148</v>
      </c>
      <c r="G123" s="9" t="s">
        <v>12118</v>
      </c>
      <c r="H123" s="9"/>
      <c r="I123" s="9"/>
      <c r="J123" s="9"/>
      <c r="K123" s="9"/>
      <c r="L123" s="9"/>
      <c r="M123" s="9"/>
      <c r="N123" s="10"/>
      <c r="O123" s="9"/>
      <c r="P123" s="9"/>
      <c r="Q123" s="9">
        <v>10</v>
      </c>
      <c r="R123" s="9">
        <v>0</v>
      </c>
      <c r="S123" s="9">
        <v>10</v>
      </c>
      <c r="T123" s="13">
        <f t="shared" si="5"/>
        <v>0</v>
      </c>
      <c r="U123" s="13">
        <f t="shared" si="6"/>
        <v>1.2016342225426579</v>
      </c>
      <c r="V123" s="13">
        <f t="shared" si="7"/>
        <v>1.2016342225426579</v>
      </c>
      <c r="W123" s="9"/>
      <c r="X123" s="9"/>
      <c r="Y123" s="9"/>
      <c r="Z123" s="9"/>
      <c r="AA123" s="9"/>
      <c r="AB123" s="9"/>
      <c r="AC123" s="9"/>
      <c r="AD123" s="9"/>
      <c r="AE123" s="9"/>
      <c r="AF123" s="9"/>
    </row>
    <row r="124" spans="1:32" ht="58">
      <c r="A124" s="3" t="s">
        <v>2145</v>
      </c>
      <c r="B124" s="3" t="s">
        <v>7152</v>
      </c>
      <c r="C124" s="3" t="s">
        <v>7151</v>
      </c>
      <c r="G124" s="9" t="s">
        <v>12118</v>
      </c>
      <c r="H124" s="9"/>
      <c r="I124" s="9"/>
      <c r="J124" s="9"/>
      <c r="K124" s="9"/>
      <c r="L124" s="9"/>
      <c r="M124" s="9"/>
      <c r="N124" s="10"/>
      <c r="O124" s="9"/>
      <c r="P124" s="9"/>
      <c r="Q124" s="9">
        <v>-111</v>
      </c>
      <c r="R124" s="9">
        <v>472</v>
      </c>
      <c r="S124" s="9">
        <v>361</v>
      </c>
      <c r="T124" s="13">
        <f t="shared" si="5"/>
        <v>56.71713530401346</v>
      </c>
      <c r="U124" s="13">
        <f t="shared" si="6"/>
        <v>43.378995433789953</v>
      </c>
      <c r="V124" s="13">
        <f t="shared" si="7"/>
        <v>-13.338139870223507</v>
      </c>
      <c r="W124" s="9"/>
      <c r="X124" s="9"/>
      <c r="Y124" s="9"/>
      <c r="Z124" s="9"/>
      <c r="AA124" s="9"/>
      <c r="AB124" s="9"/>
      <c r="AC124" s="9"/>
      <c r="AD124" s="9"/>
      <c r="AE124" s="9"/>
      <c r="AF124" s="9"/>
    </row>
    <row r="125" spans="1:32" ht="43.5">
      <c r="A125" s="3" t="s">
        <v>2158</v>
      </c>
      <c r="B125" s="3" t="s">
        <v>7173</v>
      </c>
      <c r="C125" s="3" t="s">
        <v>7174</v>
      </c>
      <c r="G125" s="9" t="s">
        <v>12118</v>
      </c>
      <c r="H125" s="9"/>
      <c r="I125" s="9"/>
      <c r="J125" s="9"/>
      <c r="K125" s="9"/>
      <c r="L125" s="9"/>
      <c r="M125" s="9"/>
      <c r="N125" s="10"/>
      <c r="O125" s="9"/>
      <c r="P125" s="9"/>
      <c r="Q125" s="9">
        <v>-103</v>
      </c>
      <c r="R125" s="9">
        <v>310</v>
      </c>
      <c r="S125" s="9">
        <v>207</v>
      </c>
      <c r="T125" s="13">
        <f t="shared" si="5"/>
        <v>37.250660898822396</v>
      </c>
      <c r="U125" s="13">
        <f t="shared" si="6"/>
        <v>24.873828406633024</v>
      </c>
      <c r="V125" s="13">
        <f t="shared" si="7"/>
        <v>-12.376832492189372</v>
      </c>
      <c r="W125" s="9"/>
      <c r="X125" s="9"/>
      <c r="Y125" s="9"/>
      <c r="Z125" s="9"/>
      <c r="AA125" s="9"/>
      <c r="AB125" s="9"/>
      <c r="AC125" s="9"/>
      <c r="AD125" s="9"/>
      <c r="AE125" s="9"/>
      <c r="AF125" s="9"/>
    </row>
    <row r="126" spans="1:32" ht="43.5">
      <c r="A126" s="3" t="s">
        <v>2161</v>
      </c>
      <c r="B126" s="3" t="s">
        <v>7182</v>
      </c>
      <c r="C126" s="3" t="s">
        <v>7181</v>
      </c>
      <c r="G126" s="9" t="s">
        <v>12118</v>
      </c>
      <c r="H126" s="9"/>
      <c r="I126" s="9"/>
      <c r="J126" s="9"/>
      <c r="K126" s="9"/>
      <c r="L126" s="9"/>
      <c r="M126" s="9"/>
      <c r="N126" s="10"/>
      <c r="O126" s="9"/>
      <c r="P126" s="9"/>
      <c r="Q126" s="9">
        <v>-3680</v>
      </c>
      <c r="R126" s="9">
        <v>5676</v>
      </c>
      <c r="S126" s="9">
        <v>1996</v>
      </c>
      <c r="T126" s="13">
        <f t="shared" si="5"/>
        <v>682.04758471521268</v>
      </c>
      <c r="U126" s="13">
        <f t="shared" si="6"/>
        <v>239.84619081951456</v>
      </c>
      <c r="V126" s="13">
        <f t="shared" si="7"/>
        <v>-442.20139389569812</v>
      </c>
      <c r="W126" s="9"/>
      <c r="X126" s="9"/>
      <c r="Y126" s="9"/>
      <c r="Z126" s="9"/>
      <c r="AA126" s="9"/>
      <c r="AB126" s="9"/>
      <c r="AC126" s="9"/>
      <c r="AD126" s="9"/>
      <c r="AE126" s="9"/>
      <c r="AF126" s="9"/>
    </row>
    <row r="127" spans="1:32" ht="29">
      <c r="A127" s="3" t="s">
        <v>2179</v>
      </c>
      <c r="B127" s="3" t="s">
        <v>7208</v>
      </c>
      <c r="C127" s="3" t="s">
        <v>7209</v>
      </c>
      <c r="G127" s="9" t="s">
        <v>12118</v>
      </c>
      <c r="H127" s="9"/>
      <c r="I127" s="9"/>
      <c r="J127" s="9"/>
      <c r="K127" s="9"/>
      <c r="L127" s="9"/>
      <c r="M127" s="9"/>
      <c r="N127" s="10"/>
      <c r="O127" s="9"/>
      <c r="P127" s="9"/>
      <c r="Q127" s="9">
        <v>-4080</v>
      </c>
      <c r="R127" s="9">
        <v>4240</v>
      </c>
      <c r="S127" s="9">
        <v>160</v>
      </c>
      <c r="T127" s="13">
        <f t="shared" si="5"/>
        <v>509.49291035808699</v>
      </c>
      <c r="U127" s="13">
        <f t="shared" si="6"/>
        <v>19.226147560682527</v>
      </c>
      <c r="V127" s="13">
        <f t="shared" si="7"/>
        <v>-490.26676279740445</v>
      </c>
      <c r="W127" s="9"/>
      <c r="X127" s="9"/>
      <c r="Y127" s="9"/>
      <c r="Z127" s="9"/>
      <c r="AA127" s="9"/>
      <c r="AB127" s="9"/>
      <c r="AC127" s="9"/>
      <c r="AD127" s="9"/>
      <c r="AE127" s="9"/>
      <c r="AF127" s="9"/>
    </row>
    <row r="128" spans="1:32" ht="58">
      <c r="A128" s="3" t="s">
        <v>2234</v>
      </c>
      <c r="B128" s="3" t="s">
        <v>12361</v>
      </c>
      <c r="C128" s="3" t="s">
        <v>12362</v>
      </c>
      <c r="G128" s="9" t="s">
        <v>12118</v>
      </c>
      <c r="H128" s="9"/>
      <c r="I128" s="9"/>
      <c r="J128" s="9"/>
      <c r="K128" s="9"/>
      <c r="L128" s="9"/>
      <c r="M128" s="9"/>
      <c r="N128" s="10"/>
      <c r="O128" s="9"/>
      <c r="P128" s="9"/>
      <c r="Q128" s="9">
        <v>193</v>
      </c>
      <c r="R128" s="9">
        <v>1101</v>
      </c>
      <c r="S128" s="9">
        <v>1294</v>
      </c>
      <c r="T128" s="13">
        <f t="shared" si="5"/>
        <v>132.29992790194663</v>
      </c>
      <c r="U128" s="13">
        <f t="shared" si="6"/>
        <v>155.49146839701996</v>
      </c>
      <c r="V128" s="13">
        <f t="shared" si="7"/>
        <v>23.191540495073326</v>
      </c>
      <c r="W128" s="9"/>
      <c r="X128" s="9"/>
      <c r="Y128" s="9"/>
      <c r="Z128" s="9"/>
      <c r="AA128" s="9"/>
      <c r="AB128" s="9"/>
      <c r="AC128" s="9"/>
      <c r="AD128" s="9"/>
      <c r="AE128" s="9"/>
      <c r="AF128" s="9"/>
    </row>
    <row r="129" spans="1:32" ht="29">
      <c r="A129" s="3" t="s">
        <v>2256</v>
      </c>
      <c r="B129" s="3" t="s">
        <v>7281</v>
      </c>
      <c r="C129" s="3" t="s">
        <v>7282</v>
      </c>
      <c r="G129" s="9" t="s">
        <v>12118</v>
      </c>
      <c r="H129" s="9"/>
      <c r="I129" s="9"/>
      <c r="J129" s="9"/>
      <c r="K129" s="9"/>
      <c r="L129" s="9"/>
      <c r="M129" s="9"/>
      <c r="N129" s="10"/>
      <c r="O129" s="9"/>
      <c r="P129" s="9"/>
      <c r="Q129" s="9">
        <v>1</v>
      </c>
      <c r="R129" s="9">
        <v>3</v>
      </c>
      <c r="S129" s="9">
        <v>4</v>
      </c>
      <c r="T129" s="13">
        <f t="shared" si="5"/>
        <v>0.36049026676279744</v>
      </c>
      <c r="U129" s="13">
        <f t="shared" si="6"/>
        <v>0.48065368901706323</v>
      </c>
      <c r="V129" s="13">
        <f t="shared" si="7"/>
        <v>0.12016342225426579</v>
      </c>
      <c r="W129" s="9"/>
      <c r="X129" s="9"/>
      <c r="Y129" s="9"/>
      <c r="Z129" s="9"/>
      <c r="AA129" s="9"/>
      <c r="AB129" s="9"/>
      <c r="AC129" s="9"/>
      <c r="AD129" s="9"/>
      <c r="AE129" s="9"/>
      <c r="AF129" s="9"/>
    </row>
    <row r="130" spans="1:32" ht="43.5">
      <c r="A130" s="3" t="s">
        <v>2257</v>
      </c>
      <c r="B130" s="3" t="s">
        <v>7285</v>
      </c>
      <c r="C130" s="3" t="s">
        <v>7286</v>
      </c>
      <c r="G130" s="9" t="s">
        <v>12118</v>
      </c>
      <c r="H130" s="9"/>
      <c r="I130" s="9"/>
      <c r="J130" s="9"/>
      <c r="K130" s="9"/>
      <c r="L130" s="9"/>
      <c r="M130" s="9"/>
      <c r="N130" s="10"/>
      <c r="O130" s="9"/>
      <c r="P130" s="9"/>
      <c r="Q130" s="9">
        <v>-42</v>
      </c>
      <c r="R130" s="9">
        <v>103</v>
      </c>
      <c r="S130" s="9">
        <v>61</v>
      </c>
      <c r="T130" s="13">
        <f t="shared" ref="T130:T193" si="8">IF(ISNUMBER(R130), (R130/$E$353)*10000, "")</f>
        <v>12.376832492189379</v>
      </c>
      <c r="U130" s="13">
        <f t="shared" ref="U130:U193" si="9">IF(ISNUMBER(S130), (S130/$E$353)*10000, "")</f>
        <v>7.3299687575102137</v>
      </c>
      <c r="V130" s="13">
        <f t="shared" ref="V130:V193" si="10">IF(ISNUMBER(Q130), U130-T130, "")</f>
        <v>-5.0468637346791656</v>
      </c>
      <c r="W130" s="9"/>
      <c r="X130" s="9"/>
      <c r="Y130" s="9"/>
      <c r="Z130" s="9"/>
      <c r="AA130" s="9"/>
      <c r="AB130" s="9"/>
      <c r="AC130" s="9"/>
      <c r="AD130" s="9"/>
      <c r="AE130" s="9"/>
      <c r="AF130" s="9"/>
    </row>
    <row r="131" spans="1:32" ht="72.5">
      <c r="A131" s="3" t="s">
        <v>2259</v>
      </c>
      <c r="B131" s="3" t="s">
        <v>12367</v>
      </c>
      <c r="C131" s="3" t="s">
        <v>12368</v>
      </c>
      <c r="G131" s="9" t="s">
        <v>12118</v>
      </c>
      <c r="H131" s="9"/>
      <c r="I131" s="9"/>
      <c r="J131" s="9"/>
      <c r="K131" s="9"/>
      <c r="L131" s="9"/>
      <c r="M131" s="9"/>
      <c r="N131" s="10"/>
      <c r="O131" s="9"/>
      <c r="P131" s="9"/>
      <c r="Q131" s="9">
        <v>-3710</v>
      </c>
      <c r="R131" s="9">
        <v>5676</v>
      </c>
      <c r="S131" s="9">
        <v>1966</v>
      </c>
      <c r="T131" s="13">
        <f t="shared" si="8"/>
        <v>682.04758471521268</v>
      </c>
      <c r="U131" s="13">
        <f t="shared" si="9"/>
        <v>236.24128815188658</v>
      </c>
      <c r="V131" s="13">
        <f t="shared" si="10"/>
        <v>-445.8062965633261</v>
      </c>
      <c r="W131" s="9"/>
      <c r="X131" s="9"/>
      <c r="Y131" s="9"/>
      <c r="Z131" s="9"/>
      <c r="AA131" s="9"/>
      <c r="AB131" s="9"/>
      <c r="AC131" s="9"/>
      <c r="AD131" s="9"/>
      <c r="AE131" s="9"/>
      <c r="AF131" s="9"/>
    </row>
    <row r="132" spans="1:32" ht="43.5">
      <c r="A132" s="3" t="s">
        <v>2265</v>
      </c>
      <c r="B132" s="3" t="s">
        <v>7305</v>
      </c>
      <c r="C132" s="3" t="s">
        <v>7304</v>
      </c>
      <c r="G132" s="9" t="s">
        <v>12118</v>
      </c>
      <c r="H132" s="9"/>
      <c r="I132" s="9"/>
      <c r="J132" s="9"/>
      <c r="K132" s="9"/>
      <c r="L132" s="9"/>
      <c r="M132" s="9"/>
      <c r="N132" s="10"/>
      <c r="O132" s="9"/>
      <c r="P132" s="9"/>
      <c r="Q132" s="9">
        <v>1610</v>
      </c>
      <c r="R132" s="9">
        <v>356</v>
      </c>
      <c r="S132" s="9">
        <v>1966</v>
      </c>
      <c r="T132" s="13">
        <f t="shared" si="8"/>
        <v>42.778178322518627</v>
      </c>
      <c r="U132" s="13">
        <f t="shared" si="9"/>
        <v>236.24128815188658</v>
      </c>
      <c r="V132" s="13">
        <f t="shared" si="10"/>
        <v>193.46310982936797</v>
      </c>
      <c r="W132" s="9"/>
      <c r="X132" s="9"/>
      <c r="Y132" s="9"/>
      <c r="Z132" s="9"/>
      <c r="AA132" s="9"/>
      <c r="AB132" s="9"/>
      <c r="AC132" s="9"/>
      <c r="AD132" s="9"/>
      <c r="AE132" s="9"/>
      <c r="AF132" s="9"/>
    </row>
    <row r="133" spans="1:32" ht="43.5">
      <c r="A133" s="3" t="s">
        <v>2288</v>
      </c>
      <c r="B133" s="3" t="s">
        <v>7337</v>
      </c>
      <c r="C133" s="3" t="s">
        <v>7338</v>
      </c>
      <c r="G133" s="9" t="s">
        <v>12118</v>
      </c>
      <c r="H133" s="9"/>
      <c r="I133" s="9"/>
      <c r="J133" s="9"/>
      <c r="K133" s="9"/>
      <c r="L133" s="9"/>
      <c r="M133" s="9"/>
      <c r="N133" s="10"/>
      <c r="O133" s="9"/>
      <c r="P133" s="9"/>
      <c r="Q133" s="9">
        <v>-7</v>
      </c>
      <c r="R133" s="9">
        <v>7</v>
      </c>
      <c r="S133" s="9">
        <v>0</v>
      </c>
      <c r="T133" s="13">
        <f t="shared" si="8"/>
        <v>0.84114395577986056</v>
      </c>
      <c r="U133" s="13">
        <f t="shared" si="9"/>
        <v>0</v>
      </c>
      <c r="V133" s="13">
        <f t="shared" si="10"/>
        <v>-0.84114395577986056</v>
      </c>
      <c r="W133" s="9"/>
      <c r="X133" s="9"/>
      <c r="Y133" s="9"/>
      <c r="Z133" s="9"/>
      <c r="AA133" s="9"/>
      <c r="AB133" s="9"/>
      <c r="AC133" s="9"/>
      <c r="AD133" s="9"/>
      <c r="AE133" s="9"/>
      <c r="AF133" s="9"/>
    </row>
    <row r="134" spans="1:32" ht="87">
      <c r="A134" s="3" t="s">
        <v>2304</v>
      </c>
      <c r="B134" s="3" t="s">
        <v>7355</v>
      </c>
      <c r="C134" s="3" t="s">
        <v>7354</v>
      </c>
      <c r="G134" s="9" t="s">
        <v>12118</v>
      </c>
      <c r="H134" s="9"/>
      <c r="I134" s="9"/>
      <c r="J134" s="9"/>
      <c r="K134" s="9"/>
      <c r="L134" s="9"/>
      <c r="M134" s="9"/>
      <c r="N134" s="10"/>
      <c r="O134" s="9"/>
      <c r="P134" s="9"/>
      <c r="Q134" s="9">
        <v>11777</v>
      </c>
      <c r="R134" s="9">
        <v>66</v>
      </c>
      <c r="S134" s="9">
        <v>11843</v>
      </c>
      <c r="T134" s="13">
        <f t="shared" si="8"/>
        <v>7.9307858687815429</v>
      </c>
      <c r="U134" s="13">
        <f t="shared" si="9"/>
        <v>1423.0954097572699</v>
      </c>
      <c r="V134" s="13">
        <f t="shared" si="10"/>
        <v>1415.1646238884882</v>
      </c>
      <c r="W134" s="9"/>
      <c r="X134" s="9"/>
      <c r="Y134" s="9"/>
      <c r="Z134" s="9"/>
      <c r="AA134" s="9"/>
      <c r="AB134" s="9"/>
      <c r="AC134" s="9"/>
      <c r="AD134" s="9"/>
      <c r="AE134" s="9"/>
      <c r="AF134" s="9"/>
    </row>
    <row r="135" spans="1:32" ht="29">
      <c r="A135" s="3" t="s">
        <v>2306</v>
      </c>
      <c r="B135" s="3" t="s">
        <v>2307</v>
      </c>
      <c r="C135" s="3" t="s">
        <v>2308</v>
      </c>
      <c r="G135" s="9" t="s">
        <v>12118</v>
      </c>
      <c r="H135" s="9"/>
      <c r="I135" s="9"/>
      <c r="J135" s="9"/>
      <c r="K135" s="9"/>
      <c r="L135" s="9"/>
      <c r="M135" s="9"/>
      <c r="N135" s="10"/>
      <c r="O135" s="9"/>
      <c r="P135" s="9"/>
      <c r="Q135" s="9">
        <v>5</v>
      </c>
      <c r="R135" s="9">
        <v>0</v>
      </c>
      <c r="S135" s="9">
        <v>5</v>
      </c>
      <c r="T135" s="13">
        <f t="shared" si="8"/>
        <v>0</v>
      </c>
      <c r="U135" s="13">
        <f t="shared" si="9"/>
        <v>0.60081711127132897</v>
      </c>
      <c r="V135" s="13">
        <f t="shared" si="10"/>
        <v>0.60081711127132897</v>
      </c>
      <c r="W135" s="9"/>
      <c r="X135" s="9"/>
      <c r="Y135" s="9"/>
      <c r="Z135" s="9"/>
      <c r="AA135" s="9"/>
      <c r="AB135" s="9"/>
      <c r="AC135" s="9"/>
      <c r="AD135" s="9"/>
      <c r="AE135" s="9"/>
      <c r="AF135" s="9"/>
    </row>
    <row r="136" spans="1:32" ht="43.5">
      <c r="A136" s="3" t="s">
        <v>2309</v>
      </c>
      <c r="B136" s="3" t="s">
        <v>7359</v>
      </c>
      <c r="C136" s="3" t="s">
        <v>7360</v>
      </c>
      <c r="G136" s="9" t="s">
        <v>12121</v>
      </c>
      <c r="H136" s="9"/>
      <c r="I136" s="9"/>
      <c r="J136" s="9"/>
      <c r="K136" s="9"/>
      <c r="L136" s="9"/>
      <c r="M136" s="9"/>
      <c r="N136" s="10"/>
      <c r="O136" s="9"/>
      <c r="P136" s="9"/>
      <c r="Q136" s="9">
        <v>20</v>
      </c>
      <c r="R136" s="9">
        <v>1</v>
      </c>
      <c r="S136" s="9">
        <v>21</v>
      </c>
      <c r="T136" s="13">
        <f t="shared" si="8"/>
        <v>0.12016342225426581</v>
      </c>
      <c r="U136" s="13">
        <f t="shared" si="9"/>
        <v>2.5234318673395819</v>
      </c>
      <c r="V136" s="13">
        <f t="shared" si="10"/>
        <v>2.4032684450853159</v>
      </c>
      <c r="W136" s="9"/>
      <c r="X136" s="9"/>
      <c r="Y136" s="9"/>
      <c r="Z136" s="9"/>
      <c r="AA136" s="9"/>
      <c r="AB136" s="9"/>
      <c r="AC136" s="9"/>
      <c r="AD136" s="9"/>
      <c r="AE136" s="9"/>
      <c r="AF136" s="9"/>
    </row>
    <row r="137" spans="1:32" ht="43.5">
      <c r="A137" s="3" t="s">
        <v>2310</v>
      </c>
      <c r="B137" s="3" t="s">
        <v>7361</v>
      </c>
      <c r="C137" s="3" t="s">
        <v>7362</v>
      </c>
      <c r="G137" s="9" t="s">
        <v>12118</v>
      </c>
      <c r="H137" s="9"/>
      <c r="I137" s="9"/>
      <c r="J137" s="9"/>
      <c r="K137" s="9"/>
      <c r="L137" s="9"/>
      <c r="M137" s="9"/>
      <c r="N137" s="10"/>
      <c r="O137" s="9"/>
      <c r="P137" s="9"/>
      <c r="Q137" s="9">
        <v>4</v>
      </c>
      <c r="R137" s="9">
        <v>133</v>
      </c>
      <c r="S137" s="9">
        <v>137</v>
      </c>
      <c r="T137" s="13">
        <f t="shared" si="8"/>
        <v>15.981735159817353</v>
      </c>
      <c r="U137" s="13">
        <f t="shared" si="9"/>
        <v>16.462388848834415</v>
      </c>
      <c r="V137" s="13">
        <f t="shared" si="10"/>
        <v>0.48065368901706229</v>
      </c>
      <c r="W137" s="9"/>
      <c r="X137" s="9"/>
      <c r="Y137" s="9"/>
      <c r="Z137" s="9"/>
      <c r="AA137" s="9"/>
      <c r="AB137" s="9"/>
      <c r="AC137" s="9"/>
      <c r="AD137" s="9"/>
      <c r="AE137" s="9"/>
      <c r="AF137" s="9"/>
    </row>
    <row r="138" spans="1:32" ht="43.5">
      <c r="A138" s="3" t="s">
        <v>2326</v>
      </c>
      <c r="B138" s="3" t="s">
        <v>7378</v>
      </c>
      <c r="C138" s="3" t="s">
        <v>7379</v>
      </c>
      <c r="G138" s="9" t="s">
        <v>12118</v>
      </c>
      <c r="H138" s="9"/>
      <c r="I138" s="9"/>
      <c r="J138" s="9"/>
      <c r="K138" s="9"/>
      <c r="L138" s="9"/>
      <c r="M138" s="9"/>
      <c r="N138" s="10"/>
      <c r="O138" s="9"/>
      <c r="P138" s="9"/>
      <c r="Q138" s="9">
        <v>-3310</v>
      </c>
      <c r="R138" s="9">
        <v>4240</v>
      </c>
      <c r="S138" s="9">
        <v>930</v>
      </c>
      <c r="T138" s="13">
        <f t="shared" si="8"/>
        <v>509.49291035808699</v>
      </c>
      <c r="U138" s="13">
        <f t="shared" si="9"/>
        <v>111.75198269646719</v>
      </c>
      <c r="V138" s="13">
        <f t="shared" si="10"/>
        <v>-397.74092766161982</v>
      </c>
      <c r="W138" s="9"/>
      <c r="X138" s="9"/>
      <c r="Y138" s="9"/>
      <c r="Z138" s="9"/>
      <c r="AA138" s="9"/>
      <c r="AB138" s="9"/>
      <c r="AC138" s="9"/>
      <c r="AD138" s="9"/>
      <c r="AE138" s="9"/>
      <c r="AF138" s="9"/>
    </row>
    <row r="139" spans="1:32" ht="43.5">
      <c r="A139" s="3" t="s">
        <v>2327</v>
      </c>
      <c r="B139" s="3" t="s">
        <v>7378</v>
      </c>
      <c r="C139" s="3" t="s">
        <v>7379</v>
      </c>
      <c r="G139" s="9" t="s">
        <v>12118</v>
      </c>
      <c r="H139" s="9"/>
      <c r="I139" s="9"/>
      <c r="J139" s="9"/>
      <c r="K139" s="9"/>
      <c r="L139" s="9"/>
      <c r="M139" s="9"/>
      <c r="N139" s="10"/>
      <c r="O139" s="9"/>
      <c r="P139" s="9"/>
      <c r="Q139" s="9">
        <v>-3310</v>
      </c>
      <c r="R139" s="9">
        <v>4240</v>
      </c>
      <c r="S139" s="9">
        <v>930</v>
      </c>
      <c r="T139" s="13">
        <f t="shared" si="8"/>
        <v>509.49291035808699</v>
      </c>
      <c r="U139" s="13">
        <f t="shared" si="9"/>
        <v>111.75198269646719</v>
      </c>
      <c r="V139" s="13">
        <f t="shared" si="10"/>
        <v>-397.74092766161982</v>
      </c>
      <c r="W139" s="9"/>
      <c r="X139" s="9"/>
      <c r="Y139" s="9"/>
      <c r="Z139" s="9"/>
      <c r="AA139" s="9"/>
      <c r="AB139" s="9"/>
      <c r="AC139" s="9"/>
      <c r="AD139" s="9"/>
      <c r="AE139" s="9"/>
      <c r="AF139" s="9"/>
    </row>
    <row r="140" spans="1:32" ht="72.5">
      <c r="A140" s="3" t="s">
        <v>2348</v>
      </c>
      <c r="B140" s="3" t="s">
        <v>7402</v>
      </c>
      <c r="C140" s="3" t="s">
        <v>7403</v>
      </c>
      <c r="G140" s="9" t="s">
        <v>12118</v>
      </c>
      <c r="H140" s="9"/>
      <c r="I140" s="9"/>
      <c r="J140" s="9"/>
      <c r="K140" s="9"/>
      <c r="L140" s="9"/>
      <c r="M140" s="9"/>
      <c r="N140" s="10"/>
      <c r="O140" s="9"/>
      <c r="P140" s="9"/>
      <c r="Q140" s="9">
        <v>202</v>
      </c>
      <c r="R140" s="9">
        <v>0</v>
      </c>
      <c r="S140" s="9">
        <v>202</v>
      </c>
      <c r="T140" s="13">
        <f t="shared" si="8"/>
        <v>0</v>
      </c>
      <c r="U140" s="13">
        <f t="shared" si="9"/>
        <v>24.273011295361695</v>
      </c>
      <c r="V140" s="13">
        <f t="shared" si="10"/>
        <v>24.273011295361695</v>
      </c>
      <c r="W140" s="9"/>
      <c r="X140" s="9"/>
      <c r="Y140" s="9"/>
      <c r="Z140" s="9"/>
      <c r="AA140" s="9"/>
      <c r="AB140" s="9"/>
      <c r="AC140" s="9"/>
      <c r="AD140" s="9"/>
      <c r="AE140" s="9"/>
      <c r="AF140" s="9"/>
    </row>
    <row r="141" spans="1:32" ht="43.5">
      <c r="A141" s="3" t="s">
        <v>2360</v>
      </c>
      <c r="B141" s="3" t="s">
        <v>7421</v>
      </c>
      <c r="C141" s="3" t="s">
        <v>7420</v>
      </c>
      <c r="G141" s="9" t="s">
        <v>12118</v>
      </c>
      <c r="H141" s="9"/>
      <c r="I141" s="9"/>
      <c r="J141" s="9"/>
      <c r="K141" s="9"/>
      <c r="L141" s="9"/>
      <c r="M141" s="9"/>
      <c r="N141" s="10"/>
      <c r="O141" s="9"/>
      <c r="P141" s="9"/>
      <c r="Q141" s="9">
        <v>-274</v>
      </c>
      <c r="R141" s="9">
        <v>635</v>
      </c>
      <c r="S141" s="9">
        <v>361</v>
      </c>
      <c r="T141" s="13">
        <f t="shared" si="8"/>
        <v>76.303773131458783</v>
      </c>
      <c r="U141" s="13">
        <f t="shared" si="9"/>
        <v>43.378995433789953</v>
      </c>
      <c r="V141" s="13">
        <f t="shared" si="10"/>
        <v>-32.92477769766883</v>
      </c>
      <c r="W141" s="9"/>
      <c r="X141" s="9"/>
      <c r="Y141" s="9"/>
      <c r="Z141" s="9"/>
      <c r="AA141" s="9"/>
      <c r="AB141" s="9"/>
      <c r="AC141" s="9"/>
      <c r="AD141" s="9"/>
      <c r="AE141" s="9"/>
      <c r="AF141" s="9"/>
    </row>
    <row r="142" spans="1:32" ht="58">
      <c r="A142" s="3" t="s">
        <v>2369</v>
      </c>
      <c r="B142" s="3" t="s">
        <v>7434</v>
      </c>
      <c r="C142" s="3" t="s">
        <v>7435</v>
      </c>
      <c r="G142" s="9" t="s">
        <v>12118</v>
      </c>
      <c r="H142" s="9"/>
      <c r="I142" s="9"/>
      <c r="J142" s="9"/>
      <c r="K142" s="9"/>
      <c r="L142" s="9"/>
      <c r="M142" s="9"/>
      <c r="N142" s="10"/>
      <c r="O142" s="9"/>
      <c r="P142" s="9"/>
      <c r="Q142" s="9">
        <v>-81</v>
      </c>
      <c r="R142" s="9">
        <v>83</v>
      </c>
      <c r="S142" s="9">
        <v>2</v>
      </c>
      <c r="T142" s="13">
        <f t="shared" si="8"/>
        <v>9.9735640471040607</v>
      </c>
      <c r="U142" s="13">
        <f t="shared" si="9"/>
        <v>0.24032684450853162</v>
      </c>
      <c r="V142" s="13">
        <f t="shared" si="10"/>
        <v>-9.7332372025955287</v>
      </c>
      <c r="W142" s="9"/>
      <c r="X142" s="9"/>
      <c r="Y142" s="9"/>
      <c r="Z142" s="9"/>
      <c r="AA142" s="9"/>
      <c r="AB142" s="9"/>
      <c r="AC142" s="9"/>
      <c r="AD142" s="9"/>
      <c r="AE142" s="9"/>
      <c r="AF142" s="9"/>
    </row>
    <row r="143" spans="1:32" ht="43.5">
      <c r="A143" s="3" t="s">
        <v>2410</v>
      </c>
      <c r="B143" s="3" t="s">
        <v>7489</v>
      </c>
      <c r="C143" s="3" t="s">
        <v>7490</v>
      </c>
      <c r="G143" s="9" t="s">
        <v>12118</v>
      </c>
      <c r="H143" s="9"/>
      <c r="I143" s="9"/>
      <c r="J143" s="9"/>
      <c r="K143" s="9"/>
      <c r="L143" s="9"/>
      <c r="M143" s="9"/>
      <c r="N143" s="10"/>
      <c r="O143" s="9"/>
      <c r="P143" s="9"/>
      <c r="Q143" s="9">
        <v>-1128</v>
      </c>
      <c r="R143" s="9">
        <v>1565</v>
      </c>
      <c r="S143" s="9">
        <v>437</v>
      </c>
      <c r="T143" s="13">
        <f t="shared" si="8"/>
        <v>188.05575582792596</v>
      </c>
      <c r="U143" s="13">
        <f t="shared" si="9"/>
        <v>52.51141552511416</v>
      </c>
      <c r="V143" s="13">
        <f t="shared" si="10"/>
        <v>-135.5443403028118</v>
      </c>
      <c r="W143" s="9"/>
      <c r="X143" s="9"/>
      <c r="Y143" s="9"/>
      <c r="Z143" s="9"/>
      <c r="AA143" s="9"/>
      <c r="AB143" s="9"/>
      <c r="AC143" s="9"/>
      <c r="AD143" s="9"/>
      <c r="AE143" s="9"/>
      <c r="AF143" s="9"/>
    </row>
    <row r="144" spans="1:32" ht="43.5">
      <c r="A144" s="3" t="s">
        <v>2451</v>
      </c>
      <c r="B144" s="3" t="s">
        <v>7553</v>
      </c>
      <c r="C144" s="3" t="s">
        <v>7554</v>
      </c>
      <c r="G144" s="9" t="s">
        <v>12118</v>
      </c>
      <c r="H144" s="9"/>
      <c r="I144" s="9"/>
      <c r="J144" s="9"/>
      <c r="K144" s="9"/>
      <c r="L144" s="9"/>
      <c r="M144" s="9"/>
      <c r="N144" s="10"/>
      <c r="O144" s="9"/>
      <c r="P144" s="9"/>
      <c r="Q144" s="9">
        <v>-2</v>
      </c>
      <c r="R144" s="9">
        <v>2</v>
      </c>
      <c r="S144" s="9">
        <v>0</v>
      </c>
      <c r="T144" s="13">
        <f t="shared" si="8"/>
        <v>0.24032684450853162</v>
      </c>
      <c r="U144" s="13">
        <f t="shared" si="9"/>
        <v>0</v>
      </c>
      <c r="V144" s="13">
        <f t="shared" si="10"/>
        <v>-0.24032684450853162</v>
      </c>
      <c r="W144" s="9"/>
      <c r="X144" s="9"/>
      <c r="Y144" s="9"/>
      <c r="Z144" s="9"/>
      <c r="AA144" s="9"/>
      <c r="AB144" s="9"/>
      <c r="AC144" s="9"/>
      <c r="AD144" s="9"/>
      <c r="AE144" s="9"/>
      <c r="AF144" s="9"/>
    </row>
    <row r="145" spans="1:32" ht="58">
      <c r="A145" s="3" t="s">
        <v>2463</v>
      </c>
      <c r="B145" s="3" t="s">
        <v>7567</v>
      </c>
      <c r="C145" s="3" t="s">
        <v>7568</v>
      </c>
      <c r="G145" s="9" t="s">
        <v>12118</v>
      </c>
      <c r="H145" s="9"/>
      <c r="I145" s="9"/>
      <c r="J145" s="9"/>
      <c r="K145" s="9"/>
      <c r="L145" s="9"/>
      <c r="M145" s="9"/>
      <c r="N145" s="10"/>
      <c r="O145" s="9"/>
      <c r="P145" s="9"/>
      <c r="Q145" s="9">
        <v>0</v>
      </c>
      <c r="R145" s="9">
        <v>4</v>
      </c>
      <c r="S145" s="9">
        <v>4</v>
      </c>
      <c r="T145" s="13">
        <f t="shared" si="8"/>
        <v>0.48065368901706323</v>
      </c>
      <c r="U145" s="13">
        <f t="shared" si="9"/>
        <v>0.48065368901706323</v>
      </c>
      <c r="V145" s="13">
        <f t="shared" si="10"/>
        <v>0</v>
      </c>
      <c r="W145" s="9"/>
      <c r="X145" s="9"/>
      <c r="Y145" s="9"/>
      <c r="Z145" s="9"/>
      <c r="AA145" s="9"/>
      <c r="AB145" s="9"/>
      <c r="AC145" s="9"/>
      <c r="AD145" s="9"/>
      <c r="AE145" s="9"/>
      <c r="AF145" s="9"/>
    </row>
    <row r="146" spans="1:32" ht="58">
      <c r="A146" s="3" t="s">
        <v>2490</v>
      </c>
      <c r="B146" s="3" t="s">
        <v>7591</v>
      </c>
      <c r="C146" s="3" t="s">
        <v>7592</v>
      </c>
      <c r="G146" s="9" t="s">
        <v>12118</v>
      </c>
      <c r="H146" s="9"/>
      <c r="I146" s="9"/>
      <c r="J146" s="9"/>
      <c r="K146" s="9"/>
      <c r="L146" s="9"/>
      <c r="M146" s="9"/>
      <c r="N146" s="10"/>
      <c r="O146" s="9"/>
      <c r="P146" s="9"/>
      <c r="Q146" s="9">
        <v>193</v>
      </c>
      <c r="R146" s="9">
        <v>1101</v>
      </c>
      <c r="S146" s="9">
        <v>1294</v>
      </c>
      <c r="T146" s="13">
        <f t="shared" si="8"/>
        <v>132.29992790194663</v>
      </c>
      <c r="U146" s="13">
        <f t="shared" si="9"/>
        <v>155.49146839701996</v>
      </c>
      <c r="V146" s="13">
        <f t="shared" si="10"/>
        <v>23.191540495073326</v>
      </c>
      <c r="W146" s="9"/>
      <c r="X146" s="9"/>
      <c r="Y146" s="9"/>
      <c r="Z146" s="9"/>
      <c r="AA146" s="9"/>
      <c r="AB146" s="9"/>
      <c r="AC146" s="9"/>
      <c r="AD146" s="9"/>
      <c r="AE146" s="9"/>
      <c r="AF146" s="9"/>
    </row>
    <row r="147" spans="1:32" ht="43.5">
      <c r="A147" s="3" t="s">
        <v>2491</v>
      </c>
      <c r="B147" s="3" t="s">
        <v>7593</v>
      </c>
      <c r="C147" s="3" t="s">
        <v>7594</v>
      </c>
      <c r="G147" s="9" t="s">
        <v>12118</v>
      </c>
      <c r="H147" s="9"/>
      <c r="I147" s="9"/>
      <c r="J147" s="9"/>
      <c r="K147" s="9"/>
      <c r="L147" s="9"/>
      <c r="M147" s="9"/>
      <c r="N147" s="10"/>
      <c r="O147" s="9"/>
      <c r="P147" s="9"/>
      <c r="Q147" s="9">
        <v>-3768</v>
      </c>
      <c r="R147" s="9">
        <v>4240</v>
      </c>
      <c r="S147" s="9">
        <v>472</v>
      </c>
      <c r="T147" s="13">
        <f t="shared" si="8"/>
        <v>509.49291035808699</v>
      </c>
      <c r="U147" s="13">
        <f t="shared" si="9"/>
        <v>56.71713530401346</v>
      </c>
      <c r="V147" s="13">
        <f t="shared" si="10"/>
        <v>-452.77577505407351</v>
      </c>
      <c r="W147" s="9"/>
      <c r="X147" s="9"/>
      <c r="Y147" s="9"/>
      <c r="Z147" s="9"/>
      <c r="AA147" s="9"/>
      <c r="AB147" s="9"/>
      <c r="AC147" s="9"/>
      <c r="AD147" s="9"/>
      <c r="AE147" s="9"/>
      <c r="AF147" s="9"/>
    </row>
    <row r="148" spans="1:32" ht="43.5">
      <c r="A148" s="3" t="s">
        <v>2493</v>
      </c>
      <c r="B148" s="3" t="s">
        <v>7605</v>
      </c>
      <c r="C148" s="3" t="s">
        <v>7606</v>
      </c>
      <c r="G148" s="9" t="s">
        <v>12118</v>
      </c>
      <c r="H148" s="9"/>
      <c r="I148" s="9"/>
      <c r="J148" s="9"/>
      <c r="K148" s="9"/>
      <c r="L148" s="9"/>
      <c r="M148" s="9"/>
      <c r="N148" s="10"/>
      <c r="O148" s="9"/>
      <c r="P148" s="9"/>
      <c r="Q148" s="9">
        <v>-1846</v>
      </c>
      <c r="R148" s="9">
        <v>2042</v>
      </c>
      <c r="S148" s="9">
        <v>196</v>
      </c>
      <c r="T148" s="13">
        <f t="shared" si="8"/>
        <v>245.37370824321076</v>
      </c>
      <c r="U148" s="13">
        <f t="shared" si="9"/>
        <v>23.5520307618361</v>
      </c>
      <c r="V148" s="13">
        <f t="shared" si="10"/>
        <v>-221.82167748137465</v>
      </c>
      <c r="W148" s="9"/>
      <c r="X148" s="9"/>
      <c r="Y148" s="9"/>
      <c r="Z148" s="9"/>
      <c r="AA148" s="9"/>
      <c r="AB148" s="9"/>
      <c r="AC148" s="9"/>
      <c r="AD148" s="9"/>
      <c r="AE148" s="9"/>
      <c r="AF148" s="9"/>
    </row>
    <row r="149" spans="1:32" ht="58">
      <c r="A149" s="3" t="s">
        <v>2531</v>
      </c>
      <c r="B149" s="3" t="s">
        <v>12903</v>
      </c>
      <c r="C149" s="3" t="s">
        <v>12904</v>
      </c>
      <c r="G149" s="9" t="s">
        <v>12118</v>
      </c>
      <c r="H149" s="9"/>
      <c r="I149" s="9"/>
      <c r="J149" s="9"/>
      <c r="K149" s="9"/>
      <c r="L149" s="9"/>
      <c r="M149" s="9"/>
      <c r="N149" s="10"/>
      <c r="O149" s="9"/>
      <c r="P149" s="9"/>
      <c r="Q149" s="9">
        <v>-5646</v>
      </c>
      <c r="R149" s="9">
        <v>5676</v>
      </c>
      <c r="S149" s="9">
        <v>30</v>
      </c>
      <c r="T149" s="13">
        <f t="shared" si="8"/>
        <v>682.04758471521268</v>
      </c>
      <c r="U149" s="13">
        <f t="shared" si="9"/>
        <v>3.6049026676279738</v>
      </c>
      <c r="V149" s="13">
        <f t="shared" si="10"/>
        <v>-678.44268204758475</v>
      </c>
      <c r="W149" s="9"/>
      <c r="X149" s="9"/>
      <c r="Y149" s="9"/>
      <c r="Z149" s="9"/>
      <c r="AA149" s="9"/>
      <c r="AB149" s="9"/>
      <c r="AC149" s="9"/>
      <c r="AD149" s="9"/>
      <c r="AE149" s="9"/>
      <c r="AF149" s="9"/>
    </row>
    <row r="150" spans="1:32" ht="29">
      <c r="A150" s="3" t="s">
        <v>2569</v>
      </c>
      <c r="B150" s="3" t="s">
        <v>7702</v>
      </c>
      <c r="C150" s="3" t="s">
        <v>7703</v>
      </c>
      <c r="G150" s="9" t="s">
        <v>12118</v>
      </c>
      <c r="H150" s="9"/>
      <c r="I150" s="9"/>
      <c r="J150" s="9"/>
      <c r="K150" s="9"/>
      <c r="L150" s="9"/>
      <c r="M150" s="9"/>
      <c r="N150" s="10"/>
      <c r="O150" s="9"/>
      <c r="P150" s="9"/>
      <c r="Q150" s="9">
        <v>41</v>
      </c>
      <c r="R150" s="9">
        <v>444</v>
      </c>
      <c r="S150" s="9">
        <v>485</v>
      </c>
      <c r="T150" s="13">
        <f t="shared" si="8"/>
        <v>53.352559480894016</v>
      </c>
      <c r="U150" s="13">
        <f t="shared" si="9"/>
        <v>58.279259793318907</v>
      </c>
      <c r="V150" s="13">
        <f t="shared" si="10"/>
        <v>4.9267003124248916</v>
      </c>
      <c r="W150" s="9"/>
      <c r="X150" s="9"/>
      <c r="Y150" s="9"/>
      <c r="Z150" s="9"/>
      <c r="AA150" s="9"/>
      <c r="AB150" s="9"/>
      <c r="AC150" s="9"/>
      <c r="AD150" s="9"/>
      <c r="AE150" s="9"/>
      <c r="AF150" s="9"/>
    </row>
    <row r="151" spans="1:32" ht="29">
      <c r="A151" s="3" t="s">
        <v>2576</v>
      </c>
      <c r="B151" s="3" t="s">
        <v>7709</v>
      </c>
      <c r="C151" s="3" t="s">
        <v>7708</v>
      </c>
      <c r="G151" s="9" t="s">
        <v>12118</v>
      </c>
      <c r="H151" s="9"/>
      <c r="I151" s="9"/>
      <c r="J151" s="9"/>
      <c r="K151" s="9"/>
      <c r="L151" s="9"/>
      <c r="M151" s="9"/>
      <c r="N151" s="10"/>
      <c r="O151" s="9" t="s">
        <v>12074</v>
      </c>
      <c r="P151" s="9"/>
      <c r="Q151" s="9">
        <v>34</v>
      </c>
      <c r="R151" s="9">
        <v>193</v>
      </c>
      <c r="S151" s="9">
        <v>227</v>
      </c>
      <c r="T151" s="13">
        <f t="shared" si="8"/>
        <v>23.191540495073301</v>
      </c>
      <c r="U151" s="13">
        <f t="shared" si="9"/>
        <v>27.277096851718337</v>
      </c>
      <c r="V151" s="13">
        <f t="shared" si="10"/>
        <v>4.0855563566450357</v>
      </c>
      <c r="W151" s="9"/>
      <c r="X151" s="9"/>
      <c r="Y151" s="9"/>
      <c r="Z151" s="9"/>
      <c r="AA151" s="9"/>
      <c r="AB151" s="9"/>
      <c r="AC151" s="9"/>
      <c r="AD151" s="9"/>
      <c r="AE151" s="9"/>
      <c r="AF151" s="9"/>
    </row>
    <row r="152" spans="1:32" ht="43.5">
      <c r="A152" s="3" t="s">
        <v>2589</v>
      </c>
      <c r="B152" s="3" t="s">
        <v>7722</v>
      </c>
      <c r="C152" s="3" t="s">
        <v>7723</v>
      </c>
      <c r="G152" s="9" t="s">
        <v>12118</v>
      </c>
      <c r="H152" s="9"/>
      <c r="I152" s="9"/>
      <c r="J152" s="9"/>
      <c r="K152" s="9"/>
      <c r="L152" s="9"/>
      <c r="M152" s="9"/>
      <c r="N152" s="10"/>
      <c r="O152" s="9"/>
      <c r="P152" s="9"/>
      <c r="Q152" s="9">
        <v>-89</v>
      </c>
      <c r="R152" s="9">
        <v>92</v>
      </c>
      <c r="S152" s="9">
        <v>3</v>
      </c>
      <c r="T152" s="13">
        <f t="shared" si="8"/>
        <v>11.055034847392454</v>
      </c>
      <c r="U152" s="13">
        <f t="shared" si="9"/>
        <v>0.36049026676279744</v>
      </c>
      <c r="V152" s="13">
        <f t="shared" si="10"/>
        <v>-10.694544580629657</v>
      </c>
      <c r="W152" s="9"/>
      <c r="X152" s="9"/>
      <c r="Y152" s="9"/>
      <c r="Z152" s="9"/>
      <c r="AA152" s="9"/>
      <c r="AB152" s="9"/>
      <c r="AC152" s="9"/>
      <c r="AD152" s="9"/>
      <c r="AE152" s="9"/>
      <c r="AF152" s="9"/>
    </row>
    <row r="153" spans="1:32" ht="72.5">
      <c r="A153" s="3" t="s">
        <v>2602</v>
      </c>
      <c r="B153" s="3" t="s">
        <v>7736</v>
      </c>
      <c r="C153" s="3" t="s">
        <v>7737</v>
      </c>
      <c r="G153" s="9" t="s">
        <v>12118</v>
      </c>
      <c r="H153" s="9"/>
      <c r="I153" s="9"/>
      <c r="J153" s="9"/>
      <c r="K153" s="9"/>
      <c r="L153" s="9"/>
      <c r="M153" s="9"/>
      <c r="N153" s="10"/>
      <c r="O153" s="9"/>
      <c r="P153" s="9"/>
      <c r="Q153" s="9">
        <v>5150</v>
      </c>
      <c r="R153" s="9">
        <v>526</v>
      </c>
      <c r="S153" s="9">
        <v>5676</v>
      </c>
      <c r="T153" s="13">
        <f t="shared" si="8"/>
        <v>63.205960105743813</v>
      </c>
      <c r="U153" s="13">
        <f t="shared" si="9"/>
        <v>682.04758471521268</v>
      </c>
      <c r="V153" s="13">
        <f t="shared" si="10"/>
        <v>618.84162460946891</v>
      </c>
      <c r="W153" s="9"/>
      <c r="X153" s="9"/>
      <c r="Y153" s="9"/>
      <c r="Z153" s="9"/>
      <c r="AA153" s="9"/>
      <c r="AB153" s="9"/>
      <c r="AC153" s="9"/>
      <c r="AD153" s="9"/>
      <c r="AE153" s="9"/>
      <c r="AF153" s="9"/>
    </row>
    <row r="154" spans="1:32" ht="29">
      <c r="A154" s="3" t="s">
        <v>2607</v>
      </c>
      <c r="B154" s="3" t="s">
        <v>2608</v>
      </c>
      <c r="C154" s="3" t="s">
        <v>2609</v>
      </c>
      <c r="G154" s="9" t="s">
        <v>12118</v>
      </c>
      <c r="H154" s="9"/>
      <c r="I154" s="9"/>
      <c r="J154" s="9"/>
      <c r="K154" s="9"/>
      <c r="L154" s="9"/>
      <c r="M154" s="9"/>
      <c r="N154" s="10"/>
      <c r="O154" s="9"/>
      <c r="P154" s="9"/>
      <c r="Q154" s="9">
        <v>147</v>
      </c>
      <c r="R154" s="9">
        <v>18</v>
      </c>
      <c r="S154" s="9">
        <v>165</v>
      </c>
      <c r="T154" s="13">
        <f t="shared" si="8"/>
        <v>2.1629416005767843</v>
      </c>
      <c r="U154" s="13">
        <f t="shared" si="9"/>
        <v>19.826964671953856</v>
      </c>
      <c r="V154" s="13">
        <f t="shared" si="10"/>
        <v>17.664023071377073</v>
      </c>
      <c r="W154" s="9"/>
      <c r="X154" s="9"/>
      <c r="Y154" s="9"/>
      <c r="Z154" s="9"/>
      <c r="AA154" s="9"/>
      <c r="AB154" s="9"/>
      <c r="AC154" s="9"/>
      <c r="AD154" s="9"/>
      <c r="AE154" s="9"/>
      <c r="AF154" s="9"/>
    </row>
    <row r="155" spans="1:32" ht="29">
      <c r="A155" s="3" t="s">
        <v>2617</v>
      </c>
      <c r="B155" s="3" t="s">
        <v>7755</v>
      </c>
      <c r="C155" s="3" t="s">
        <v>7756</v>
      </c>
      <c r="G155" s="9" t="s">
        <v>12118</v>
      </c>
      <c r="H155" s="9"/>
      <c r="I155" s="9"/>
      <c r="J155" s="9"/>
      <c r="K155" s="9"/>
      <c r="L155" s="9"/>
      <c r="M155" s="9"/>
      <c r="N155" s="10"/>
      <c r="O155" s="9"/>
      <c r="P155" s="9"/>
      <c r="Q155" s="9">
        <v>498</v>
      </c>
      <c r="R155" s="9">
        <v>28</v>
      </c>
      <c r="S155" s="9">
        <v>526</v>
      </c>
      <c r="T155" s="13">
        <f t="shared" si="8"/>
        <v>3.3645758231194423</v>
      </c>
      <c r="U155" s="13">
        <f t="shared" si="9"/>
        <v>63.205960105743813</v>
      </c>
      <c r="V155" s="13">
        <f t="shared" si="10"/>
        <v>59.841384282624368</v>
      </c>
      <c r="W155" s="9"/>
      <c r="X155" s="9"/>
      <c r="Y155" s="9"/>
      <c r="Z155" s="9"/>
      <c r="AA155" s="9"/>
      <c r="AB155" s="9"/>
      <c r="AC155" s="9"/>
      <c r="AD155" s="9"/>
      <c r="AE155" s="9"/>
      <c r="AF155" s="9"/>
    </row>
    <row r="156" spans="1:32" ht="43.5">
      <c r="A156" s="3" t="s">
        <v>2648</v>
      </c>
      <c r="B156" s="3" t="s">
        <v>7786</v>
      </c>
      <c r="C156" s="3" t="s">
        <v>7785</v>
      </c>
      <c r="G156" s="9" t="s">
        <v>12118</v>
      </c>
      <c r="H156" s="9"/>
      <c r="I156" s="9"/>
      <c r="J156" s="9"/>
      <c r="K156" s="9"/>
      <c r="L156" s="9"/>
      <c r="M156" s="9"/>
      <c r="N156" s="10"/>
      <c r="O156" s="9"/>
      <c r="P156" s="9"/>
      <c r="Q156" s="9">
        <v>122</v>
      </c>
      <c r="R156" s="9">
        <v>20</v>
      </c>
      <c r="S156" s="9">
        <v>142</v>
      </c>
      <c r="T156" s="13">
        <f t="shared" si="8"/>
        <v>2.4032684450853159</v>
      </c>
      <c r="U156" s="13">
        <f t="shared" si="9"/>
        <v>17.063205960105744</v>
      </c>
      <c r="V156" s="13">
        <f t="shared" si="10"/>
        <v>14.659937515020427</v>
      </c>
      <c r="W156" s="9"/>
      <c r="X156" s="9"/>
      <c r="Y156" s="9"/>
      <c r="Z156" s="9"/>
      <c r="AA156" s="9"/>
      <c r="AB156" s="9"/>
      <c r="AC156" s="9"/>
      <c r="AD156" s="9"/>
      <c r="AE156" s="9"/>
      <c r="AF156" s="9"/>
    </row>
    <row r="157" spans="1:32" ht="43.5">
      <c r="A157" s="3" t="s">
        <v>2651</v>
      </c>
      <c r="B157" s="3" t="s">
        <v>7792</v>
      </c>
      <c r="C157" s="3" t="s">
        <v>7791</v>
      </c>
      <c r="G157" s="9" t="s">
        <v>12118</v>
      </c>
      <c r="H157" s="9"/>
      <c r="I157" s="9"/>
      <c r="J157" s="9"/>
      <c r="K157" s="9"/>
      <c r="L157" s="9"/>
      <c r="M157" s="9"/>
      <c r="N157" s="10"/>
      <c r="O157" s="9"/>
      <c r="P157" s="9"/>
      <c r="Q157" s="9">
        <v>11063</v>
      </c>
      <c r="R157" s="9">
        <v>780</v>
      </c>
      <c r="S157" s="9">
        <v>11843</v>
      </c>
      <c r="T157" s="13">
        <f t="shared" si="8"/>
        <v>93.727469358327326</v>
      </c>
      <c r="U157" s="13">
        <f t="shared" si="9"/>
        <v>1423.0954097572699</v>
      </c>
      <c r="V157" s="13">
        <f t="shared" si="10"/>
        <v>1329.3679403989424</v>
      </c>
      <c r="W157" s="9"/>
      <c r="X157" s="9"/>
      <c r="Y157" s="9"/>
      <c r="Z157" s="9"/>
      <c r="AA157" s="9"/>
      <c r="AB157" s="9"/>
      <c r="AC157" s="9"/>
      <c r="AD157" s="9"/>
      <c r="AE157" s="9"/>
      <c r="AF157" s="9"/>
    </row>
    <row r="158" spans="1:32" ht="43.5">
      <c r="A158" s="3" t="s">
        <v>2657</v>
      </c>
      <c r="B158" s="3" t="s">
        <v>7802</v>
      </c>
      <c r="C158" s="3" t="s">
        <v>7803</v>
      </c>
      <c r="G158" s="9" t="s">
        <v>12118</v>
      </c>
      <c r="H158" s="9"/>
      <c r="I158" s="9"/>
      <c r="J158" s="9"/>
      <c r="K158" s="9"/>
      <c r="L158" s="9"/>
      <c r="M158" s="9"/>
      <c r="N158" s="10"/>
      <c r="O158" s="9"/>
      <c r="P158" s="9"/>
      <c r="Q158" s="9">
        <v>-316</v>
      </c>
      <c r="R158" s="9">
        <v>444</v>
      </c>
      <c r="S158" s="9">
        <v>128</v>
      </c>
      <c r="T158" s="13">
        <f t="shared" si="8"/>
        <v>53.352559480894016</v>
      </c>
      <c r="U158" s="13">
        <f t="shared" si="9"/>
        <v>15.380918048546024</v>
      </c>
      <c r="V158" s="13">
        <f t="shared" si="10"/>
        <v>-37.971641432347994</v>
      </c>
      <c r="W158" s="9"/>
      <c r="X158" s="9"/>
      <c r="Y158" s="9"/>
      <c r="Z158" s="9"/>
      <c r="AA158" s="9"/>
      <c r="AB158" s="9"/>
      <c r="AC158" s="9"/>
      <c r="AD158" s="9"/>
      <c r="AE158" s="9"/>
      <c r="AF158" s="9"/>
    </row>
    <row r="159" spans="1:32" ht="29">
      <c r="A159" s="3" t="s">
        <v>2659</v>
      </c>
      <c r="B159" s="3" t="s">
        <v>2660</v>
      </c>
      <c r="C159" s="3" t="s">
        <v>2661</v>
      </c>
      <c r="G159" s="9" t="s">
        <v>12118</v>
      </c>
      <c r="H159" s="9"/>
      <c r="I159" s="9"/>
      <c r="J159" s="9"/>
      <c r="K159" s="9"/>
      <c r="L159" s="9"/>
      <c r="M159" s="9"/>
      <c r="N159" s="10"/>
      <c r="O159" s="9"/>
      <c r="P159" s="9"/>
      <c r="Q159" s="9">
        <v>1</v>
      </c>
      <c r="R159" s="9">
        <v>5</v>
      </c>
      <c r="S159" s="9">
        <v>6</v>
      </c>
      <c r="T159" s="13">
        <f t="shared" si="8"/>
        <v>0.60081711127132897</v>
      </c>
      <c r="U159" s="13">
        <f t="shared" si="9"/>
        <v>0.72098053352559488</v>
      </c>
      <c r="V159" s="13">
        <f t="shared" si="10"/>
        <v>0.12016342225426591</v>
      </c>
      <c r="W159" s="9"/>
      <c r="X159" s="9"/>
      <c r="Y159" s="9"/>
      <c r="Z159" s="9"/>
      <c r="AA159" s="9"/>
      <c r="AB159" s="9"/>
      <c r="AC159" s="9"/>
      <c r="AD159" s="9"/>
      <c r="AE159" s="9"/>
      <c r="AF159" s="9"/>
    </row>
    <row r="160" spans="1:32" ht="43.5">
      <c r="A160" s="3" t="s">
        <v>2680</v>
      </c>
      <c r="B160" s="3" t="s">
        <v>7817</v>
      </c>
      <c r="C160" s="3" t="s">
        <v>7818</v>
      </c>
      <c r="G160" s="9" t="s">
        <v>12118</v>
      </c>
      <c r="H160" s="9"/>
      <c r="I160" s="9"/>
      <c r="J160" s="9"/>
      <c r="K160" s="9"/>
      <c r="L160" s="9"/>
      <c r="M160" s="9"/>
      <c r="N160" s="10"/>
      <c r="O160" s="9"/>
      <c r="P160" s="9"/>
      <c r="Q160" s="9">
        <v>-561</v>
      </c>
      <c r="R160" s="9">
        <v>810</v>
      </c>
      <c r="S160" s="9">
        <v>249</v>
      </c>
      <c r="T160" s="13">
        <f t="shared" si="8"/>
        <v>97.332372025955294</v>
      </c>
      <c r="U160" s="13">
        <f t="shared" si="9"/>
        <v>29.920692141312184</v>
      </c>
      <c r="V160" s="13">
        <f t="shared" si="10"/>
        <v>-67.411679884643107</v>
      </c>
      <c r="W160" s="9" t="s">
        <v>4</v>
      </c>
      <c r="X160" s="9"/>
      <c r="Y160" s="9"/>
      <c r="Z160" s="9"/>
      <c r="AA160" s="9"/>
      <c r="AB160" s="9"/>
      <c r="AC160" s="9"/>
      <c r="AD160" s="9"/>
      <c r="AE160" s="9"/>
      <c r="AF160" s="9"/>
    </row>
    <row r="161" spans="1:32" ht="29">
      <c r="A161" s="3" t="s">
        <v>2683</v>
      </c>
      <c r="B161" s="3" t="s">
        <v>7819</v>
      </c>
      <c r="C161" s="3" t="s">
        <v>7820</v>
      </c>
      <c r="G161" s="9" t="s">
        <v>12118</v>
      </c>
      <c r="H161" s="9"/>
      <c r="I161" s="9"/>
      <c r="J161" s="9"/>
      <c r="K161" s="9"/>
      <c r="L161" s="9"/>
      <c r="M161" s="9"/>
      <c r="N161" s="10"/>
      <c r="O161" s="9"/>
      <c r="P161" s="9"/>
      <c r="Q161" s="9">
        <v>361</v>
      </c>
      <c r="R161" s="9">
        <v>526</v>
      </c>
      <c r="S161" s="9">
        <v>887</v>
      </c>
      <c r="T161" s="13">
        <f t="shared" si="8"/>
        <v>63.205960105743813</v>
      </c>
      <c r="U161" s="13">
        <f t="shared" si="9"/>
        <v>106.58495553953377</v>
      </c>
      <c r="V161" s="13">
        <f t="shared" si="10"/>
        <v>43.378995433789953</v>
      </c>
      <c r="W161" s="9"/>
      <c r="X161" s="9"/>
      <c r="Y161" s="9"/>
      <c r="Z161" s="9"/>
      <c r="AA161" s="9"/>
      <c r="AB161" s="9"/>
      <c r="AC161" s="9"/>
      <c r="AD161" s="9"/>
      <c r="AE161" s="9"/>
      <c r="AF161" s="9"/>
    </row>
    <row r="162" spans="1:32" ht="58">
      <c r="A162" s="3" t="s">
        <v>2684</v>
      </c>
      <c r="B162" s="3" t="s">
        <v>7824</v>
      </c>
      <c r="C162" s="3" t="s">
        <v>7823</v>
      </c>
      <c r="G162" s="9" t="s">
        <v>12118</v>
      </c>
      <c r="H162" s="9"/>
      <c r="I162" s="9"/>
      <c r="J162" s="9"/>
      <c r="K162" s="9"/>
      <c r="L162" s="9"/>
      <c r="M162" s="9"/>
      <c r="N162" s="10"/>
      <c r="O162" s="9"/>
      <c r="P162" s="9"/>
      <c r="Q162" s="9">
        <v>116</v>
      </c>
      <c r="R162" s="9">
        <v>444</v>
      </c>
      <c r="S162" s="9">
        <v>560</v>
      </c>
      <c r="T162" s="13">
        <f t="shared" si="8"/>
        <v>53.352559480894016</v>
      </c>
      <c r="U162" s="13">
        <f t="shared" si="9"/>
        <v>67.291516462388842</v>
      </c>
      <c r="V162" s="13">
        <f t="shared" si="10"/>
        <v>13.938956981494826</v>
      </c>
      <c r="W162" s="9"/>
      <c r="X162" s="9"/>
      <c r="Y162" s="9"/>
      <c r="Z162" s="9"/>
      <c r="AA162" s="9"/>
      <c r="AB162" s="9"/>
      <c r="AC162" s="9"/>
      <c r="AD162" s="9"/>
      <c r="AE162" s="9"/>
      <c r="AF162" s="9"/>
    </row>
    <row r="163" spans="1:32" ht="29">
      <c r="A163" s="3" t="s">
        <v>2696</v>
      </c>
      <c r="B163" s="3" t="s">
        <v>7845</v>
      </c>
      <c r="C163" s="3" t="s">
        <v>7844</v>
      </c>
      <c r="G163" s="9" t="s">
        <v>12118</v>
      </c>
      <c r="H163" s="9"/>
      <c r="I163" s="9"/>
      <c r="J163" s="9"/>
      <c r="K163" s="9"/>
      <c r="L163" s="9"/>
      <c r="M163" s="9"/>
      <c r="N163" s="10"/>
      <c r="O163" s="9"/>
      <c r="P163" s="9"/>
      <c r="Q163" s="9">
        <v>-5483</v>
      </c>
      <c r="R163" s="9">
        <v>5676</v>
      </c>
      <c r="S163" s="9">
        <v>193</v>
      </c>
      <c r="T163" s="13">
        <f t="shared" si="8"/>
        <v>682.04758471521268</v>
      </c>
      <c r="U163" s="13">
        <f t="shared" si="9"/>
        <v>23.191540495073301</v>
      </c>
      <c r="V163" s="13">
        <f t="shared" si="10"/>
        <v>-658.85604422013932</v>
      </c>
      <c r="W163" s="9"/>
      <c r="X163" s="9"/>
      <c r="Y163" s="9"/>
      <c r="Z163" s="9"/>
      <c r="AA163" s="9"/>
      <c r="AB163" s="9"/>
      <c r="AC163" s="9"/>
      <c r="AD163" s="9"/>
      <c r="AE163" s="9"/>
      <c r="AF163" s="9"/>
    </row>
    <row r="164" spans="1:32" ht="58">
      <c r="A164" s="3" t="s">
        <v>2697</v>
      </c>
      <c r="B164" s="3" t="s">
        <v>7849</v>
      </c>
      <c r="C164" s="3" t="s">
        <v>7848</v>
      </c>
      <c r="G164" s="9" t="s">
        <v>12118</v>
      </c>
      <c r="H164" s="9"/>
      <c r="I164" s="9"/>
      <c r="J164" s="9"/>
      <c r="K164" s="9"/>
      <c r="L164" s="9"/>
      <c r="M164" s="9"/>
      <c r="N164" s="10"/>
      <c r="O164" s="9"/>
      <c r="P164" s="9"/>
      <c r="Q164" s="9">
        <v>-22</v>
      </c>
      <c r="R164" s="9">
        <v>31</v>
      </c>
      <c r="S164" s="9">
        <v>9</v>
      </c>
      <c r="T164" s="13">
        <f t="shared" si="8"/>
        <v>3.7250660898822399</v>
      </c>
      <c r="U164" s="13">
        <f t="shared" si="9"/>
        <v>1.0814708002883922</v>
      </c>
      <c r="V164" s="13">
        <f t="shared" si="10"/>
        <v>-2.6435952895938479</v>
      </c>
      <c r="W164" s="9"/>
      <c r="X164" s="9"/>
      <c r="Y164" s="9"/>
      <c r="Z164" s="9"/>
      <c r="AA164" s="9"/>
      <c r="AB164" s="9"/>
      <c r="AC164" s="9"/>
      <c r="AD164" s="9"/>
      <c r="AE164" s="9"/>
      <c r="AF164" s="9"/>
    </row>
    <row r="165" spans="1:32" ht="58">
      <c r="A165" s="3" t="s">
        <v>2698</v>
      </c>
      <c r="B165" s="3" t="s">
        <v>7851</v>
      </c>
      <c r="C165" s="3" t="s">
        <v>7850</v>
      </c>
      <c r="G165" s="9" t="s">
        <v>12118</v>
      </c>
      <c r="H165" s="9"/>
      <c r="I165" s="9"/>
      <c r="J165" s="9"/>
      <c r="K165" s="9"/>
      <c r="L165" s="9"/>
      <c r="M165" s="9"/>
      <c r="N165" s="10"/>
      <c r="O165" s="9"/>
      <c r="P165" s="9"/>
      <c r="Q165" s="9">
        <v>222</v>
      </c>
      <c r="R165" s="9">
        <v>134</v>
      </c>
      <c r="S165" s="9">
        <v>356</v>
      </c>
      <c r="T165" s="13">
        <f t="shared" si="8"/>
        <v>16.101898582071616</v>
      </c>
      <c r="U165" s="13">
        <f t="shared" si="9"/>
        <v>42.778178322518627</v>
      </c>
      <c r="V165" s="13">
        <f t="shared" si="10"/>
        <v>26.676279740447011</v>
      </c>
      <c r="W165" s="9"/>
      <c r="X165" s="9"/>
      <c r="Y165" s="9"/>
      <c r="Z165" s="9"/>
      <c r="AA165" s="9"/>
      <c r="AB165" s="9"/>
      <c r="AC165" s="9"/>
      <c r="AD165" s="9"/>
      <c r="AE165" s="9"/>
      <c r="AF165" s="9"/>
    </row>
    <row r="166" spans="1:32" ht="58">
      <c r="A166" s="3" t="s">
        <v>2712</v>
      </c>
      <c r="B166" s="3" t="s">
        <v>7863</v>
      </c>
      <c r="C166" s="3" t="s">
        <v>7862</v>
      </c>
      <c r="E166" t="s">
        <v>20</v>
      </c>
      <c r="G166" s="9" t="s">
        <v>12121</v>
      </c>
      <c r="H166" s="9"/>
      <c r="I166" s="9"/>
      <c r="J166" s="9"/>
      <c r="K166" s="9"/>
      <c r="L166" s="9"/>
      <c r="M166" s="9"/>
      <c r="N166" s="10"/>
      <c r="O166" s="9"/>
      <c r="P166" s="9"/>
      <c r="Q166" s="9">
        <v>24</v>
      </c>
      <c r="R166" s="9">
        <v>92</v>
      </c>
      <c r="S166" s="9">
        <v>116</v>
      </c>
      <c r="T166" s="13">
        <f t="shared" si="8"/>
        <v>11.055034847392454</v>
      </c>
      <c r="U166" s="13">
        <f t="shared" si="9"/>
        <v>13.938956981494833</v>
      </c>
      <c r="V166" s="13">
        <f t="shared" si="10"/>
        <v>2.8839221341023791</v>
      </c>
      <c r="W166" s="9"/>
      <c r="X166" s="9"/>
      <c r="Y166" s="9"/>
      <c r="Z166" s="9"/>
      <c r="AA166" s="9"/>
      <c r="AB166" s="9"/>
      <c r="AC166" s="9"/>
      <c r="AD166" s="9"/>
      <c r="AE166" s="9"/>
      <c r="AF166" s="9"/>
    </row>
    <row r="167" spans="1:32" ht="29">
      <c r="A167" s="3" t="s">
        <v>2735</v>
      </c>
      <c r="B167" s="3" t="s">
        <v>7904</v>
      </c>
      <c r="C167" s="3" t="s">
        <v>7903</v>
      </c>
      <c r="G167" s="9" t="s">
        <v>12121</v>
      </c>
      <c r="H167" s="9"/>
      <c r="I167" s="9"/>
      <c r="J167" s="9"/>
      <c r="K167" s="9"/>
      <c r="L167" s="9"/>
      <c r="M167" s="9"/>
      <c r="N167" s="10"/>
      <c r="O167" s="9"/>
      <c r="P167" s="9"/>
      <c r="Q167" s="9">
        <v>-635</v>
      </c>
      <c r="R167" s="9">
        <v>1565</v>
      </c>
      <c r="S167" s="9">
        <v>930</v>
      </c>
      <c r="T167" s="13">
        <f t="shared" si="8"/>
        <v>188.05575582792596</v>
      </c>
      <c r="U167" s="13">
        <f t="shared" si="9"/>
        <v>111.75198269646719</v>
      </c>
      <c r="V167" s="13">
        <f t="shared" si="10"/>
        <v>-76.303773131458769</v>
      </c>
      <c r="W167" s="9"/>
      <c r="X167" s="9"/>
      <c r="Y167" s="9"/>
      <c r="Z167" s="9"/>
      <c r="AA167" s="9"/>
      <c r="AB167" s="9"/>
      <c r="AC167" s="9"/>
      <c r="AD167" s="9"/>
      <c r="AE167" s="9"/>
      <c r="AF167" s="9"/>
    </row>
    <row r="168" spans="1:32" ht="72.5">
      <c r="A168" s="3" t="s">
        <v>2751</v>
      </c>
      <c r="B168" s="3" t="s">
        <v>7927</v>
      </c>
      <c r="C168" s="3" t="s">
        <v>7928</v>
      </c>
      <c r="G168" s="9" t="s">
        <v>12118</v>
      </c>
      <c r="H168" s="9"/>
      <c r="I168" s="9"/>
      <c r="J168" s="9"/>
      <c r="K168" s="9"/>
      <c r="L168" s="9"/>
      <c r="M168" s="9"/>
      <c r="N168" s="10"/>
      <c r="O168" s="9"/>
      <c r="P168" s="9"/>
      <c r="Q168" s="9">
        <v>-4</v>
      </c>
      <c r="R168" s="9">
        <v>6</v>
      </c>
      <c r="S168" s="9">
        <v>2</v>
      </c>
      <c r="T168" s="13">
        <f t="shared" si="8"/>
        <v>0.72098053352559488</v>
      </c>
      <c r="U168" s="13">
        <f t="shared" si="9"/>
        <v>0.24032684450853162</v>
      </c>
      <c r="V168" s="13">
        <f t="shared" si="10"/>
        <v>-0.48065368901706329</v>
      </c>
      <c r="W168" s="9"/>
      <c r="X168" s="9"/>
      <c r="Y168" s="9"/>
      <c r="Z168" s="9"/>
      <c r="AA168" s="9"/>
      <c r="AB168" s="9"/>
      <c r="AC168" s="9"/>
      <c r="AD168" s="9"/>
      <c r="AE168" s="9"/>
      <c r="AF168" s="9"/>
    </row>
    <row r="169" spans="1:32" ht="58">
      <c r="A169" s="3" t="s">
        <v>2771</v>
      </c>
      <c r="B169" s="3" t="s">
        <v>7950</v>
      </c>
      <c r="C169" s="3" t="s">
        <v>7949</v>
      </c>
      <c r="G169" s="9" t="s">
        <v>12118</v>
      </c>
      <c r="H169" s="9"/>
      <c r="I169" s="9"/>
      <c r="J169" s="9"/>
      <c r="K169" s="9"/>
      <c r="L169" s="9"/>
      <c r="M169" s="9"/>
      <c r="N169" s="10"/>
      <c r="O169" s="9"/>
      <c r="P169" s="9"/>
      <c r="Q169" s="9">
        <v>36</v>
      </c>
      <c r="R169" s="9">
        <v>0</v>
      </c>
      <c r="S169" s="9">
        <v>36</v>
      </c>
      <c r="T169" s="13">
        <f t="shared" si="8"/>
        <v>0</v>
      </c>
      <c r="U169" s="13">
        <f t="shared" si="9"/>
        <v>4.3258832011535686</v>
      </c>
      <c r="V169" s="13">
        <f t="shared" si="10"/>
        <v>4.3258832011535686</v>
      </c>
      <c r="W169" s="9"/>
      <c r="X169" s="9"/>
      <c r="Y169" s="9"/>
      <c r="Z169" s="9"/>
      <c r="AA169" s="9"/>
      <c r="AB169" s="9"/>
      <c r="AC169" s="9"/>
      <c r="AD169" s="9"/>
      <c r="AE169" s="9"/>
      <c r="AF169" s="9"/>
    </row>
    <row r="170" spans="1:32" ht="29">
      <c r="A170" s="3" t="s">
        <v>2793</v>
      </c>
      <c r="B170" s="3" t="s">
        <v>354</v>
      </c>
      <c r="C170" s="3" t="s">
        <v>355</v>
      </c>
      <c r="G170" s="9" t="s">
        <v>12118</v>
      </c>
      <c r="H170" s="9"/>
      <c r="I170" s="9"/>
      <c r="J170" s="9"/>
      <c r="K170" s="9"/>
      <c r="L170" s="9"/>
      <c r="M170" s="9"/>
      <c r="N170" s="10"/>
      <c r="O170" s="9"/>
      <c r="P170" s="9"/>
      <c r="Q170" s="9">
        <v>8</v>
      </c>
      <c r="R170" s="9">
        <v>20</v>
      </c>
      <c r="S170" s="9">
        <v>28</v>
      </c>
      <c r="T170" s="13">
        <f t="shared" si="8"/>
        <v>2.4032684450853159</v>
      </c>
      <c r="U170" s="13">
        <f t="shared" si="9"/>
        <v>3.3645758231194423</v>
      </c>
      <c r="V170" s="13">
        <f t="shared" si="10"/>
        <v>0.96130737803412636</v>
      </c>
      <c r="W170" s="9"/>
      <c r="X170" s="9"/>
      <c r="Y170" s="9"/>
      <c r="Z170" s="9"/>
      <c r="AA170" s="9"/>
      <c r="AB170" s="9"/>
      <c r="AC170" s="9"/>
      <c r="AD170" s="9"/>
      <c r="AE170" s="9"/>
      <c r="AF170" s="9"/>
    </row>
    <row r="171" spans="1:32" ht="43.5">
      <c r="A171" s="3" t="s">
        <v>2814</v>
      </c>
      <c r="B171" s="3" t="s">
        <v>8045</v>
      </c>
      <c r="C171" s="3" t="s">
        <v>8046</v>
      </c>
      <c r="G171" s="9" t="s">
        <v>12118</v>
      </c>
      <c r="H171" s="9"/>
      <c r="I171" s="9"/>
      <c r="J171" s="9"/>
      <c r="K171" s="9"/>
      <c r="L171" s="9"/>
      <c r="M171" s="9"/>
      <c r="N171" s="10"/>
      <c r="O171" s="9"/>
      <c r="P171" s="9"/>
      <c r="Q171" s="9">
        <v>7</v>
      </c>
      <c r="R171" s="9">
        <v>20</v>
      </c>
      <c r="S171" s="9">
        <v>27</v>
      </c>
      <c r="T171" s="13">
        <f t="shared" si="8"/>
        <v>2.4032684450853159</v>
      </c>
      <c r="U171" s="13">
        <f t="shared" si="9"/>
        <v>3.2444124008651767</v>
      </c>
      <c r="V171" s="13">
        <f t="shared" si="10"/>
        <v>0.84114395577986079</v>
      </c>
      <c r="W171" s="9"/>
      <c r="X171" s="9"/>
      <c r="Y171" s="9"/>
      <c r="Z171" s="9"/>
      <c r="AA171" s="9"/>
      <c r="AB171" s="9"/>
      <c r="AC171" s="9"/>
      <c r="AD171" s="9"/>
      <c r="AE171" s="9"/>
      <c r="AF171" s="9"/>
    </row>
    <row r="172" spans="1:32" ht="58">
      <c r="A172" s="3" t="s">
        <v>2818</v>
      </c>
      <c r="B172" s="3" t="s">
        <v>8048</v>
      </c>
      <c r="C172" s="3" t="s">
        <v>8047</v>
      </c>
      <c r="G172" s="9" t="s">
        <v>12118</v>
      </c>
      <c r="H172" s="9"/>
      <c r="I172" s="9"/>
      <c r="J172" s="9"/>
      <c r="K172" s="9"/>
      <c r="L172" s="9"/>
      <c r="M172" s="9"/>
      <c r="N172" s="10"/>
      <c r="O172" s="9"/>
      <c r="P172" s="9"/>
      <c r="Q172" s="9">
        <v>64</v>
      </c>
      <c r="R172" s="9">
        <v>2</v>
      </c>
      <c r="S172" s="9">
        <v>66</v>
      </c>
      <c r="T172" s="13">
        <f t="shared" si="8"/>
        <v>0.24032684450853162</v>
      </c>
      <c r="U172" s="13">
        <f t="shared" si="9"/>
        <v>7.9307858687815429</v>
      </c>
      <c r="V172" s="13">
        <f t="shared" si="10"/>
        <v>7.6904590242730109</v>
      </c>
      <c r="W172" s="9"/>
      <c r="X172" s="9"/>
      <c r="Y172" s="9"/>
      <c r="Z172" s="9"/>
      <c r="AA172" s="9"/>
      <c r="AB172" s="9"/>
      <c r="AC172" s="9"/>
      <c r="AD172" s="9"/>
      <c r="AE172" s="9"/>
      <c r="AF172" s="9"/>
    </row>
    <row r="173" spans="1:32" ht="174">
      <c r="A173" s="3" t="s">
        <v>2823</v>
      </c>
      <c r="B173" s="3" t="s">
        <v>8055</v>
      </c>
      <c r="C173" s="3" t="s">
        <v>8056</v>
      </c>
      <c r="G173" s="9" t="s">
        <v>12118</v>
      </c>
      <c r="H173" s="9"/>
      <c r="I173" s="9"/>
      <c r="J173" s="9"/>
      <c r="K173" s="9"/>
      <c r="L173" s="9"/>
      <c r="M173" s="9"/>
      <c r="N173" s="10"/>
      <c r="O173" s="9"/>
      <c r="P173" s="9"/>
      <c r="Q173" s="9">
        <v>302</v>
      </c>
      <c r="R173" s="9">
        <v>508</v>
      </c>
      <c r="S173" s="9">
        <v>810</v>
      </c>
      <c r="T173" s="13">
        <f t="shared" si="8"/>
        <v>61.043018505167026</v>
      </c>
      <c r="U173" s="13">
        <f t="shared" si="9"/>
        <v>97.332372025955294</v>
      </c>
      <c r="V173" s="13">
        <f t="shared" si="10"/>
        <v>36.289353520788268</v>
      </c>
      <c r="W173" s="9"/>
      <c r="X173" s="9"/>
      <c r="Y173" s="9"/>
      <c r="Z173" s="9"/>
      <c r="AA173" s="9"/>
      <c r="AB173" s="9"/>
      <c r="AC173" s="9"/>
      <c r="AD173" s="9"/>
      <c r="AE173" s="9"/>
      <c r="AF173" s="9"/>
    </row>
    <row r="174" spans="1:32" ht="145">
      <c r="A174" s="3" t="s">
        <v>2833</v>
      </c>
      <c r="B174" s="3" t="s">
        <v>8080</v>
      </c>
      <c r="C174" s="3" t="s">
        <v>8079</v>
      </c>
      <c r="G174" s="9" t="s">
        <v>12118</v>
      </c>
      <c r="H174" s="9"/>
      <c r="I174" s="9"/>
      <c r="J174" s="9"/>
      <c r="K174" s="9"/>
      <c r="L174" s="9"/>
      <c r="M174" s="9"/>
      <c r="N174" s="10"/>
      <c r="O174" s="9"/>
      <c r="P174" s="9"/>
      <c r="Q174" s="9">
        <v>-361</v>
      </c>
      <c r="R174" s="9">
        <v>887</v>
      </c>
      <c r="S174" s="9">
        <v>526</v>
      </c>
      <c r="T174" s="13">
        <f t="shared" si="8"/>
        <v>106.58495553953377</v>
      </c>
      <c r="U174" s="13">
        <f t="shared" si="9"/>
        <v>63.205960105743813</v>
      </c>
      <c r="V174" s="13">
        <f t="shared" si="10"/>
        <v>-43.378995433789953</v>
      </c>
      <c r="W174" s="9"/>
      <c r="X174" s="9"/>
      <c r="Y174" s="9"/>
      <c r="Z174" s="9"/>
      <c r="AA174" s="9"/>
      <c r="AB174" s="9"/>
      <c r="AC174" s="9"/>
      <c r="AD174" s="9"/>
      <c r="AE174" s="9"/>
      <c r="AF174" s="9"/>
    </row>
    <row r="175" spans="1:32" ht="145">
      <c r="A175" s="3" t="s">
        <v>2833</v>
      </c>
      <c r="B175" s="3" t="s">
        <v>8082</v>
      </c>
      <c r="C175" s="3" t="s">
        <v>8083</v>
      </c>
      <c r="G175" s="9" t="s">
        <v>12118</v>
      </c>
      <c r="H175" s="9"/>
      <c r="I175" s="9"/>
      <c r="J175" s="9"/>
      <c r="K175" s="9"/>
      <c r="L175" s="9"/>
      <c r="M175" s="9"/>
      <c r="N175" s="10"/>
      <c r="O175" s="9"/>
      <c r="P175" s="9"/>
      <c r="Q175" s="9">
        <v>361</v>
      </c>
      <c r="R175" s="9">
        <v>526</v>
      </c>
      <c r="S175" s="9">
        <v>887</v>
      </c>
      <c r="T175" s="13">
        <f t="shared" si="8"/>
        <v>63.205960105743813</v>
      </c>
      <c r="U175" s="13">
        <f t="shared" si="9"/>
        <v>106.58495553953377</v>
      </c>
      <c r="V175" s="13">
        <f t="shared" si="10"/>
        <v>43.378995433789953</v>
      </c>
      <c r="W175" s="9"/>
      <c r="X175" s="9"/>
      <c r="Y175" s="9"/>
      <c r="Z175" s="9"/>
      <c r="AA175" s="9"/>
      <c r="AB175" s="9"/>
      <c r="AC175" s="9"/>
      <c r="AD175" s="9"/>
      <c r="AE175" s="9"/>
      <c r="AF175" s="9"/>
    </row>
    <row r="176" spans="1:32" ht="43.5">
      <c r="A176" s="3" t="s">
        <v>2834</v>
      </c>
      <c r="B176" s="3" t="s">
        <v>8086</v>
      </c>
      <c r="C176" s="3" t="s">
        <v>8087</v>
      </c>
      <c r="G176" s="9" t="s">
        <v>12118</v>
      </c>
      <c r="H176" s="9"/>
      <c r="I176" s="9"/>
      <c r="J176" s="9"/>
      <c r="K176" s="9"/>
      <c r="L176" s="9"/>
      <c r="M176" s="9"/>
      <c r="N176" s="10"/>
      <c r="O176" s="9"/>
      <c r="P176" s="9"/>
      <c r="Q176" s="9">
        <v>768</v>
      </c>
      <c r="R176" s="9">
        <v>42</v>
      </c>
      <c r="S176" s="9">
        <v>810</v>
      </c>
      <c r="T176" s="13">
        <f t="shared" si="8"/>
        <v>5.0468637346791638</v>
      </c>
      <c r="U176" s="13">
        <f t="shared" si="9"/>
        <v>97.332372025955294</v>
      </c>
      <c r="V176" s="13">
        <f t="shared" si="10"/>
        <v>92.28550829127613</v>
      </c>
      <c r="W176" s="9"/>
      <c r="X176" s="9"/>
      <c r="Y176" s="9"/>
      <c r="Z176" s="9"/>
      <c r="AA176" s="9"/>
      <c r="AB176" s="9"/>
      <c r="AC176" s="9"/>
      <c r="AD176" s="9"/>
      <c r="AE176" s="9"/>
      <c r="AF176" s="9"/>
    </row>
    <row r="177" spans="1:32" ht="29">
      <c r="A177" s="3" t="s">
        <v>2836</v>
      </c>
      <c r="B177" s="3" t="s">
        <v>8093</v>
      </c>
      <c r="C177" s="3" t="s">
        <v>8094</v>
      </c>
      <c r="G177" s="9" t="s">
        <v>12118</v>
      </c>
      <c r="H177" s="9"/>
      <c r="I177" s="9"/>
      <c r="J177" s="9"/>
      <c r="K177" s="9"/>
      <c r="L177" s="9"/>
      <c r="M177" s="9"/>
      <c r="N177" s="10"/>
      <c r="O177" s="9"/>
      <c r="P177" s="9"/>
      <c r="Q177" s="9">
        <v>342</v>
      </c>
      <c r="R177" s="9">
        <v>165</v>
      </c>
      <c r="S177" s="9">
        <v>507</v>
      </c>
      <c r="T177" s="13">
        <f t="shared" si="8"/>
        <v>19.826964671953856</v>
      </c>
      <c r="U177" s="13">
        <f t="shared" si="9"/>
        <v>60.922855082912768</v>
      </c>
      <c r="V177" s="13">
        <f t="shared" si="10"/>
        <v>41.095890410958916</v>
      </c>
      <c r="W177" s="9"/>
      <c r="X177" s="9"/>
      <c r="Y177" s="9"/>
      <c r="Z177" s="9"/>
      <c r="AA177" s="9"/>
      <c r="AB177" s="9"/>
      <c r="AC177" s="9"/>
      <c r="AD177" s="9"/>
      <c r="AE177" s="9"/>
      <c r="AF177" s="9"/>
    </row>
    <row r="178" spans="1:32" ht="29">
      <c r="A178" s="3" t="s">
        <v>2837</v>
      </c>
      <c r="B178" s="3" t="s">
        <v>8097</v>
      </c>
      <c r="C178" s="3" t="s">
        <v>8098</v>
      </c>
      <c r="G178" s="9" t="s">
        <v>12118</v>
      </c>
      <c r="H178" s="9"/>
      <c r="I178" s="9"/>
      <c r="J178" s="9"/>
      <c r="K178" s="9"/>
      <c r="L178" s="9"/>
      <c r="M178" s="9"/>
      <c r="N178" s="10"/>
      <c r="O178" s="9"/>
      <c r="P178" s="9"/>
      <c r="Q178" s="9">
        <v>-163</v>
      </c>
      <c r="R178" s="9">
        <v>169</v>
      </c>
      <c r="S178" s="9">
        <v>6</v>
      </c>
      <c r="T178" s="13">
        <f t="shared" si="8"/>
        <v>20.30761836097092</v>
      </c>
      <c r="U178" s="13">
        <f t="shared" si="9"/>
        <v>0.72098053352559488</v>
      </c>
      <c r="V178" s="13">
        <f t="shared" si="10"/>
        <v>-19.586637827445326</v>
      </c>
      <c r="W178" s="9"/>
      <c r="X178" s="9"/>
      <c r="Y178" s="9"/>
      <c r="Z178" s="9"/>
      <c r="AA178" s="9"/>
      <c r="AB178" s="9"/>
      <c r="AC178" s="9"/>
      <c r="AD178" s="9"/>
      <c r="AE178" s="9"/>
      <c r="AF178" s="9"/>
    </row>
    <row r="179" spans="1:32" ht="43.5">
      <c r="A179" s="3" t="s">
        <v>2862</v>
      </c>
      <c r="B179" s="3" t="s">
        <v>8122</v>
      </c>
      <c r="C179" s="3" t="s">
        <v>8123</v>
      </c>
      <c r="G179" s="9" t="s">
        <v>12118</v>
      </c>
      <c r="H179" s="9"/>
      <c r="I179" s="9"/>
      <c r="J179" s="9"/>
      <c r="K179" s="9"/>
      <c r="L179" s="9"/>
      <c r="M179" s="9"/>
      <c r="N179" s="10"/>
      <c r="O179" s="9"/>
      <c r="P179" s="9"/>
      <c r="Q179" s="9">
        <v>-1610</v>
      </c>
      <c r="R179" s="9">
        <v>1966</v>
      </c>
      <c r="S179" s="9">
        <v>356</v>
      </c>
      <c r="T179" s="13">
        <f t="shared" si="8"/>
        <v>236.24128815188658</v>
      </c>
      <c r="U179" s="13">
        <f t="shared" si="9"/>
        <v>42.778178322518627</v>
      </c>
      <c r="V179" s="13">
        <f t="shared" si="10"/>
        <v>-193.46310982936797</v>
      </c>
      <c r="W179" s="9"/>
      <c r="X179" s="9"/>
      <c r="Y179" s="9"/>
      <c r="Z179" s="9"/>
      <c r="AA179" s="9"/>
      <c r="AB179" s="9"/>
      <c r="AC179" s="9"/>
      <c r="AD179" s="9"/>
      <c r="AE179" s="9"/>
      <c r="AF179" s="9"/>
    </row>
    <row r="180" spans="1:32" ht="29">
      <c r="A180" s="3" t="s">
        <v>2892</v>
      </c>
      <c r="B180" s="3" t="s">
        <v>8166</v>
      </c>
      <c r="C180" s="3" t="s">
        <v>8167</v>
      </c>
      <c r="G180" s="9" t="s">
        <v>12118</v>
      </c>
      <c r="H180" s="9"/>
      <c r="I180" s="9"/>
      <c r="J180" s="9"/>
      <c r="K180" s="9"/>
      <c r="L180" s="9"/>
      <c r="M180" s="9"/>
      <c r="N180" s="10"/>
      <c r="O180" s="9"/>
      <c r="P180" s="9"/>
      <c r="Q180" s="9">
        <v>-91</v>
      </c>
      <c r="R180" s="9">
        <v>105</v>
      </c>
      <c r="S180" s="9">
        <v>14</v>
      </c>
      <c r="T180" s="13">
        <f t="shared" si="8"/>
        <v>12.617159336697908</v>
      </c>
      <c r="U180" s="13">
        <f t="shared" si="9"/>
        <v>1.6822879115597211</v>
      </c>
      <c r="V180" s="13">
        <f t="shared" si="10"/>
        <v>-10.934871425138187</v>
      </c>
      <c r="W180" s="9"/>
      <c r="X180" s="9"/>
      <c r="Y180" s="9"/>
      <c r="Z180" s="9"/>
      <c r="AA180" s="9"/>
      <c r="AB180" s="9"/>
      <c r="AC180" s="9"/>
      <c r="AD180" s="9"/>
      <c r="AE180" s="9"/>
      <c r="AF180" s="9"/>
    </row>
    <row r="181" spans="1:32" ht="29">
      <c r="A181" s="3" t="s">
        <v>2894</v>
      </c>
      <c r="B181" s="3" t="s">
        <v>8169</v>
      </c>
      <c r="C181" s="3" t="s">
        <v>8168</v>
      </c>
      <c r="G181" s="9" t="s">
        <v>12118</v>
      </c>
      <c r="H181" s="9"/>
      <c r="I181" s="9"/>
      <c r="J181" s="9"/>
      <c r="K181" s="9"/>
      <c r="L181" s="9"/>
      <c r="M181" s="9"/>
      <c r="N181" s="10"/>
      <c r="O181" s="9"/>
      <c r="P181" s="9"/>
      <c r="Q181" s="9">
        <v>4896</v>
      </c>
      <c r="R181" s="9">
        <v>780</v>
      </c>
      <c r="S181" s="9">
        <v>5676</v>
      </c>
      <c r="T181" s="13">
        <f t="shared" si="8"/>
        <v>93.727469358327326</v>
      </c>
      <c r="U181" s="13">
        <f t="shared" si="9"/>
        <v>682.04758471521268</v>
      </c>
      <c r="V181" s="13">
        <f t="shared" si="10"/>
        <v>588.32011535688537</v>
      </c>
      <c r="W181" s="9"/>
      <c r="X181" s="9"/>
      <c r="Y181" s="9"/>
      <c r="Z181" s="9"/>
      <c r="AA181" s="9"/>
      <c r="AB181" s="9"/>
      <c r="AC181" s="9"/>
      <c r="AD181" s="9"/>
      <c r="AE181" s="9"/>
      <c r="AF181" s="9"/>
    </row>
    <row r="182" spans="1:32" ht="29">
      <c r="A182" s="3" t="s">
        <v>2896</v>
      </c>
      <c r="B182" s="3" t="s">
        <v>8174</v>
      </c>
      <c r="C182" s="3" t="s">
        <v>8175</v>
      </c>
      <c r="G182" s="9" t="s">
        <v>12118</v>
      </c>
      <c r="H182" s="9"/>
      <c r="I182" s="9"/>
      <c r="J182" s="9"/>
      <c r="K182" s="9"/>
      <c r="L182" s="9"/>
      <c r="M182" s="9"/>
      <c r="N182" s="10"/>
      <c r="O182" s="9"/>
      <c r="P182" s="9"/>
      <c r="Q182" s="9">
        <v>560</v>
      </c>
      <c r="R182" s="9">
        <v>31</v>
      </c>
      <c r="S182" s="9">
        <v>591</v>
      </c>
      <c r="T182" s="13">
        <f t="shared" si="8"/>
        <v>3.7250660898822399</v>
      </c>
      <c r="U182" s="13">
        <f t="shared" si="9"/>
        <v>71.016582552271089</v>
      </c>
      <c r="V182" s="13">
        <f t="shared" si="10"/>
        <v>67.291516462388856</v>
      </c>
      <c r="W182" s="9"/>
      <c r="X182" s="9"/>
      <c r="Y182" s="9"/>
      <c r="Z182" s="9"/>
      <c r="AA182" s="9"/>
      <c r="AB182" s="9"/>
      <c r="AC182" s="9"/>
      <c r="AD182" s="9"/>
      <c r="AE182" s="9"/>
      <c r="AF182" s="9"/>
    </row>
    <row r="183" spans="1:32" ht="58">
      <c r="A183" s="3" t="s">
        <v>2909</v>
      </c>
      <c r="B183" s="3" t="s">
        <v>8183</v>
      </c>
      <c r="C183" s="3" t="s">
        <v>8184</v>
      </c>
      <c r="G183" s="9" t="s">
        <v>12118</v>
      </c>
      <c r="H183" s="9"/>
      <c r="I183" s="9"/>
      <c r="J183" s="9"/>
      <c r="K183" s="9"/>
      <c r="L183" s="9"/>
      <c r="M183" s="9"/>
      <c r="N183" s="10"/>
      <c r="O183" s="9"/>
      <c r="P183" s="9"/>
      <c r="Q183" s="9">
        <v>-11</v>
      </c>
      <c r="R183" s="9">
        <v>17</v>
      </c>
      <c r="S183" s="9">
        <v>6</v>
      </c>
      <c r="T183" s="13">
        <f t="shared" si="8"/>
        <v>2.0427781783225187</v>
      </c>
      <c r="U183" s="13">
        <f t="shared" si="9"/>
        <v>0.72098053352559488</v>
      </c>
      <c r="V183" s="13">
        <f t="shared" si="10"/>
        <v>-1.321797644796924</v>
      </c>
      <c r="W183" s="9"/>
      <c r="X183" s="9"/>
      <c r="Y183" s="9"/>
      <c r="Z183" s="9"/>
      <c r="AA183" s="9"/>
      <c r="AB183" s="9"/>
      <c r="AC183" s="9"/>
      <c r="AD183" s="9"/>
      <c r="AE183" s="9"/>
      <c r="AF183" s="9"/>
    </row>
    <row r="184" spans="1:32" ht="29">
      <c r="A184" s="3" t="s">
        <v>2917</v>
      </c>
      <c r="B184" s="3" t="s">
        <v>2918</v>
      </c>
      <c r="C184" s="3" t="s">
        <v>2919</v>
      </c>
      <c r="G184" s="9" t="s">
        <v>12118</v>
      </c>
      <c r="H184" s="9"/>
      <c r="I184" s="9"/>
      <c r="J184" s="9"/>
      <c r="K184" s="9"/>
      <c r="L184" s="9"/>
      <c r="M184" s="9"/>
      <c r="N184" s="10"/>
      <c r="O184" s="9"/>
      <c r="P184" s="9"/>
      <c r="Q184" s="9">
        <v>7</v>
      </c>
      <c r="R184" s="9">
        <v>0</v>
      </c>
      <c r="S184" s="9">
        <v>7</v>
      </c>
      <c r="T184" s="13">
        <f t="shared" si="8"/>
        <v>0</v>
      </c>
      <c r="U184" s="13">
        <f t="shared" si="9"/>
        <v>0.84114395577986056</v>
      </c>
      <c r="V184" s="13">
        <f t="shared" si="10"/>
        <v>0.84114395577986056</v>
      </c>
      <c r="W184" s="9"/>
      <c r="X184" s="9"/>
      <c r="Y184" s="9"/>
      <c r="Z184" s="9"/>
      <c r="AA184" s="9"/>
      <c r="AB184" s="9"/>
      <c r="AC184" s="9"/>
      <c r="AD184" s="9"/>
      <c r="AE184" s="9"/>
      <c r="AF184" s="9"/>
    </row>
    <row r="185" spans="1:32" ht="43.5">
      <c r="A185" s="3" t="s">
        <v>2920</v>
      </c>
      <c r="B185" s="3" t="s">
        <v>8196</v>
      </c>
      <c r="C185" s="3" t="s">
        <v>8197</v>
      </c>
      <c r="G185" s="9" t="s">
        <v>12118</v>
      </c>
      <c r="H185" s="9"/>
      <c r="I185" s="9"/>
      <c r="J185" s="9"/>
      <c r="K185" s="9"/>
      <c r="L185" s="9"/>
      <c r="M185" s="9"/>
      <c r="N185" s="10"/>
      <c r="O185" s="9"/>
      <c r="P185" s="9"/>
      <c r="Q185" s="9">
        <v>0</v>
      </c>
      <c r="R185" s="9">
        <v>73</v>
      </c>
      <c r="S185" s="9">
        <v>73</v>
      </c>
      <c r="T185" s="13">
        <f t="shared" si="8"/>
        <v>8.7719298245614041</v>
      </c>
      <c r="U185" s="13">
        <f t="shared" si="9"/>
        <v>8.7719298245614041</v>
      </c>
      <c r="V185" s="13">
        <f t="shared" si="10"/>
        <v>0</v>
      </c>
      <c r="W185" s="9"/>
      <c r="X185" s="9"/>
      <c r="Y185" s="9"/>
      <c r="Z185" s="9"/>
      <c r="AA185" s="9"/>
      <c r="AB185" s="9"/>
      <c r="AC185" s="9"/>
      <c r="AD185" s="9"/>
      <c r="AE185" s="9"/>
      <c r="AF185" s="9"/>
    </row>
    <row r="186" spans="1:32" ht="43.5">
      <c r="A186" s="3" t="s">
        <v>2921</v>
      </c>
      <c r="B186" s="3" t="s">
        <v>8199</v>
      </c>
      <c r="C186" s="3" t="s">
        <v>8198</v>
      </c>
      <c r="G186" s="9" t="s">
        <v>12118</v>
      </c>
      <c r="H186" s="9"/>
      <c r="I186" s="9"/>
      <c r="J186" s="9"/>
      <c r="K186" s="9"/>
      <c r="L186" s="9"/>
      <c r="M186" s="9"/>
      <c r="N186" s="10"/>
      <c r="O186" s="9"/>
      <c r="P186" s="9"/>
      <c r="Q186" s="9">
        <v>-1949</v>
      </c>
      <c r="R186" s="9">
        <v>2042</v>
      </c>
      <c r="S186" s="9">
        <v>93</v>
      </c>
      <c r="T186" s="13">
        <f t="shared" si="8"/>
        <v>245.37370824321076</v>
      </c>
      <c r="U186" s="13">
        <f t="shared" si="9"/>
        <v>11.175198269646719</v>
      </c>
      <c r="V186" s="13">
        <f t="shared" si="10"/>
        <v>-234.19850997356403</v>
      </c>
      <c r="W186" s="9"/>
      <c r="X186" s="9"/>
      <c r="Y186" s="9"/>
      <c r="Z186" s="9"/>
      <c r="AA186" s="9"/>
      <c r="AB186" s="9"/>
      <c r="AC186" s="9"/>
      <c r="AD186" s="9"/>
      <c r="AE186" s="9"/>
      <c r="AF186" s="9"/>
    </row>
    <row r="187" spans="1:32" ht="58">
      <c r="A187" s="3" t="s">
        <v>2962</v>
      </c>
      <c r="B187" s="3" t="s">
        <v>8242</v>
      </c>
      <c r="C187" s="3" t="s">
        <v>8243</v>
      </c>
      <c r="F187" t="s">
        <v>19</v>
      </c>
      <c r="G187" s="9" t="s">
        <v>12118</v>
      </c>
      <c r="H187" s="9"/>
      <c r="I187" s="9"/>
      <c r="J187" s="9"/>
      <c r="K187" s="9"/>
      <c r="L187" s="9"/>
      <c r="M187" s="9"/>
      <c r="N187" s="10"/>
      <c r="O187" s="9"/>
      <c r="P187" s="9"/>
      <c r="Q187" s="9">
        <v>11750</v>
      </c>
      <c r="R187" s="9">
        <v>93</v>
      </c>
      <c r="S187" s="9">
        <v>11843</v>
      </c>
      <c r="T187" s="13">
        <f t="shared" si="8"/>
        <v>11.175198269646719</v>
      </c>
      <c r="U187" s="13">
        <f t="shared" si="9"/>
        <v>1423.0954097572699</v>
      </c>
      <c r="V187" s="13">
        <f t="shared" si="10"/>
        <v>1411.9202114876232</v>
      </c>
      <c r="W187" s="9"/>
      <c r="X187" s="9"/>
      <c r="Y187" s="9"/>
      <c r="Z187" s="9"/>
      <c r="AA187" s="9"/>
      <c r="AB187" s="9"/>
      <c r="AC187" s="9"/>
      <c r="AD187" s="9"/>
      <c r="AE187" s="9"/>
      <c r="AF187" s="9"/>
    </row>
    <row r="188" spans="1:32" ht="29">
      <c r="A188" s="3" t="s">
        <v>2979</v>
      </c>
      <c r="B188" s="3" t="s">
        <v>8274</v>
      </c>
      <c r="C188" s="3" t="s">
        <v>8273</v>
      </c>
      <c r="G188" s="9" t="s">
        <v>12118</v>
      </c>
      <c r="H188" s="9"/>
      <c r="I188" s="9"/>
      <c r="J188" s="9"/>
      <c r="K188" s="9"/>
      <c r="L188" s="9"/>
      <c r="M188" s="9"/>
      <c r="N188" s="10"/>
      <c r="O188" s="9"/>
      <c r="P188" s="9"/>
      <c r="Q188" s="9">
        <v>-3710</v>
      </c>
      <c r="R188" s="9">
        <v>5676</v>
      </c>
      <c r="S188" s="9">
        <v>1966</v>
      </c>
      <c r="T188" s="13">
        <f t="shared" si="8"/>
        <v>682.04758471521268</v>
      </c>
      <c r="U188" s="13">
        <f t="shared" si="9"/>
        <v>236.24128815188658</v>
      </c>
      <c r="V188" s="13">
        <f t="shared" si="10"/>
        <v>-445.8062965633261</v>
      </c>
      <c r="W188" s="9"/>
      <c r="X188" s="9"/>
      <c r="Y188" s="9"/>
      <c r="Z188" s="9"/>
      <c r="AA188" s="9"/>
      <c r="AB188" s="9"/>
      <c r="AC188" s="9"/>
      <c r="AD188" s="9"/>
      <c r="AE188" s="9"/>
      <c r="AF188" s="9"/>
    </row>
    <row r="189" spans="1:32" ht="58">
      <c r="A189" s="3" t="s">
        <v>2997</v>
      </c>
      <c r="B189" s="3" t="s">
        <v>8311</v>
      </c>
      <c r="C189" s="3" t="s">
        <v>8312</v>
      </c>
      <c r="G189" s="9" t="s">
        <v>12118</v>
      </c>
      <c r="H189" s="9"/>
      <c r="I189" s="9"/>
      <c r="J189" s="9"/>
      <c r="K189" s="9"/>
      <c r="L189" s="9"/>
      <c r="M189" s="9"/>
      <c r="N189" s="10"/>
      <c r="O189" s="9"/>
      <c r="P189" s="9"/>
      <c r="Q189" s="9">
        <v>-7603</v>
      </c>
      <c r="R189" s="9">
        <v>11843</v>
      </c>
      <c r="S189" s="9">
        <v>4240</v>
      </c>
      <c r="T189" s="13">
        <f t="shared" si="8"/>
        <v>1423.0954097572699</v>
      </c>
      <c r="U189" s="13">
        <f t="shared" si="9"/>
        <v>509.49291035808699</v>
      </c>
      <c r="V189" s="13">
        <f t="shared" si="10"/>
        <v>-913.60249939918288</v>
      </c>
      <c r="W189" s="9"/>
      <c r="X189" s="9"/>
      <c r="Y189" s="9"/>
      <c r="Z189" s="9"/>
      <c r="AA189" s="9"/>
      <c r="AB189" s="9"/>
      <c r="AC189" s="9"/>
      <c r="AD189" s="9"/>
      <c r="AE189" s="9"/>
      <c r="AF189" s="9"/>
    </row>
    <row r="190" spans="1:32" ht="43.5">
      <c r="A190" s="3" t="s">
        <v>3010</v>
      </c>
      <c r="B190" s="3" t="s">
        <v>8334</v>
      </c>
      <c r="C190" s="3" t="s">
        <v>8333</v>
      </c>
      <c r="G190" s="9" t="s">
        <v>12118</v>
      </c>
      <c r="H190" s="9"/>
      <c r="I190" s="9"/>
      <c r="J190" s="9"/>
      <c r="K190" s="9"/>
      <c r="L190" s="9"/>
      <c r="M190" s="9"/>
      <c r="N190" s="10"/>
      <c r="O190" s="9"/>
      <c r="P190" s="9"/>
      <c r="Q190" s="9">
        <v>-274</v>
      </c>
      <c r="R190" s="9">
        <v>635</v>
      </c>
      <c r="S190" s="9">
        <v>361</v>
      </c>
      <c r="T190" s="13">
        <f t="shared" si="8"/>
        <v>76.303773131458783</v>
      </c>
      <c r="U190" s="13">
        <f t="shared" si="9"/>
        <v>43.378995433789953</v>
      </c>
      <c r="V190" s="13">
        <f t="shared" si="10"/>
        <v>-32.92477769766883</v>
      </c>
      <c r="W190" s="9"/>
      <c r="X190" s="9"/>
      <c r="Y190" s="9"/>
      <c r="Z190" s="9"/>
      <c r="AA190" s="9"/>
      <c r="AB190" s="9"/>
      <c r="AC190" s="9"/>
      <c r="AD190" s="9"/>
      <c r="AE190" s="9"/>
      <c r="AF190" s="9"/>
    </row>
    <row r="191" spans="1:32" ht="43.5">
      <c r="A191" s="3" t="s">
        <v>3024</v>
      </c>
      <c r="B191" s="3" t="s">
        <v>8367</v>
      </c>
      <c r="C191" s="3" t="s">
        <v>8368</v>
      </c>
      <c r="G191" s="9" t="s">
        <v>12118</v>
      </c>
      <c r="H191" s="9"/>
      <c r="I191" s="9"/>
      <c r="J191" s="9"/>
      <c r="K191" s="9"/>
      <c r="L191" s="9"/>
      <c r="M191" s="9"/>
      <c r="N191" s="10"/>
      <c r="O191" s="9"/>
      <c r="P191" s="9"/>
      <c r="Q191" s="9">
        <v>23</v>
      </c>
      <c r="R191" s="9">
        <v>4</v>
      </c>
      <c r="S191" s="9">
        <v>27</v>
      </c>
      <c r="T191" s="13">
        <f t="shared" si="8"/>
        <v>0.48065368901706323</v>
      </c>
      <c r="U191" s="13">
        <f t="shared" si="9"/>
        <v>3.2444124008651767</v>
      </c>
      <c r="V191" s="13">
        <f t="shared" si="10"/>
        <v>2.7637587118481135</v>
      </c>
      <c r="W191" s="9"/>
      <c r="X191" s="9"/>
      <c r="Y191" s="9"/>
      <c r="Z191" s="9"/>
      <c r="AA191" s="9"/>
      <c r="AB191" s="9"/>
      <c r="AC191" s="9"/>
      <c r="AD191" s="9"/>
      <c r="AE191" s="9"/>
      <c r="AF191" s="9"/>
    </row>
    <row r="192" spans="1:32" ht="43.5">
      <c r="A192" s="3" t="s">
        <v>3026</v>
      </c>
      <c r="B192" s="3" t="s">
        <v>8371</v>
      </c>
      <c r="C192" s="5" t="s">
        <v>8372</v>
      </c>
      <c r="D192" t="s">
        <v>32</v>
      </c>
      <c r="E192" t="s">
        <v>20</v>
      </c>
      <c r="G192" s="9" t="s">
        <v>12118</v>
      </c>
      <c r="H192" s="9"/>
      <c r="I192" s="9"/>
      <c r="J192" s="9"/>
      <c r="K192" s="9"/>
      <c r="L192" s="9"/>
      <c r="M192" s="9"/>
      <c r="N192" s="10"/>
      <c r="O192" s="9" t="s">
        <v>12074</v>
      </c>
      <c r="P192" s="9"/>
      <c r="Q192" s="9">
        <v>-11806</v>
      </c>
      <c r="R192" s="9">
        <v>11843</v>
      </c>
      <c r="S192" s="9">
        <v>37</v>
      </c>
      <c r="T192" s="13">
        <f t="shared" si="8"/>
        <v>1423.0954097572699</v>
      </c>
      <c r="U192" s="13">
        <f t="shared" si="9"/>
        <v>4.4460466234078346</v>
      </c>
      <c r="V192" s="13">
        <f t="shared" si="10"/>
        <v>-1418.6493631338619</v>
      </c>
      <c r="W192" s="9"/>
      <c r="X192" s="9"/>
      <c r="Y192" s="9"/>
      <c r="Z192" s="9"/>
      <c r="AA192" s="9"/>
      <c r="AB192" s="9"/>
      <c r="AC192" s="9"/>
      <c r="AD192" s="9"/>
      <c r="AE192" s="9"/>
      <c r="AF192" s="9"/>
    </row>
    <row r="193" spans="1:32" ht="43.5">
      <c r="A193" s="3" t="s">
        <v>3039</v>
      </c>
      <c r="B193" s="3" t="s">
        <v>8395</v>
      </c>
      <c r="C193" s="3" t="s">
        <v>8394</v>
      </c>
      <c r="G193" s="9" t="s">
        <v>12118</v>
      </c>
      <c r="H193" s="9"/>
      <c r="I193" s="9"/>
      <c r="J193" s="9"/>
      <c r="K193" s="9"/>
      <c r="L193" s="9"/>
      <c r="M193" s="9"/>
      <c r="N193" s="10"/>
      <c r="O193" s="9"/>
      <c r="P193" s="9"/>
      <c r="Q193" s="9">
        <v>-3710</v>
      </c>
      <c r="R193" s="9">
        <v>5676</v>
      </c>
      <c r="S193" s="9">
        <v>1966</v>
      </c>
      <c r="T193" s="13">
        <f t="shared" si="8"/>
        <v>682.04758471521268</v>
      </c>
      <c r="U193" s="13">
        <f t="shared" si="9"/>
        <v>236.24128815188658</v>
      </c>
      <c r="V193" s="13">
        <f t="shared" si="10"/>
        <v>-445.8062965633261</v>
      </c>
      <c r="W193" s="9"/>
      <c r="X193" s="9"/>
      <c r="Y193" s="9"/>
      <c r="Z193" s="9"/>
      <c r="AA193" s="9"/>
      <c r="AB193" s="9"/>
      <c r="AC193" s="9"/>
      <c r="AD193" s="9"/>
      <c r="AE193" s="9"/>
      <c r="AF193" s="9"/>
    </row>
    <row r="194" spans="1:32" ht="43.5">
      <c r="A194" s="3" t="s">
        <v>3043</v>
      </c>
      <c r="B194" s="3" t="s">
        <v>8399</v>
      </c>
      <c r="C194" s="3" t="s">
        <v>8398</v>
      </c>
      <c r="G194" s="9" t="s">
        <v>12118</v>
      </c>
      <c r="H194" s="9"/>
      <c r="I194" s="9"/>
      <c r="J194" s="9"/>
      <c r="K194" s="9"/>
      <c r="L194" s="9"/>
      <c r="M194" s="9"/>
      <c r="N194" s="10"/>
      <c r="O194" s="9"/>
      <c r="P194" s="9"/>
      <c r="Q194" s="9">
        <v>72</v>
      </c>
      <c r="R194" s="9">
        <v>2</v>
      </c>
      <c r="S194" s="9">
        <v>74</v>
      </c>
      <c r="T194" s="13">
        <f t="shared" ref="T194:T257" si="11">IF(ISNUMBER(R194), (R194/$E$353)*10000, "")</f>
        <v>0.24032684450853162</v>
      </c>
      <c r="U194" s="13">
        <f t="shared" ref="U194:U257" si="12">IF(ISNUMBER(S194), (S194/$E$353)*10000, "")</f>
        <v>8.8920932468156693</v>
      </c>
      <c r="V194" s="13">
        <f t="shared" ref="V194:V257" si="13">IF(ISNUMBER(Q194), U194-T194, "")</f>
        <v>8.6517664023071372</v>
      </c>
      <c r="W194" s="9"/>
      <c r="X194" s="9"/>
      <c r="Y194" s="9"/>
      <c r="Z194" s="9"/>
      <c r="AA194" s="9"/>
      <c r="AB194" s="9"/>
      <c r="AC194" s="9"/>
      <c r="AD194" s="9"/>
      <c r="AE194" s="9"/>
      <c r="AF194" s="9"/>
    </row>
    <row r="195" spans="1:32" ht="29">
      <c r="A195" s="3" t="s">
        <v>3054</v>
      </c>
      <c r="B195" s="3" t="s">
        <v>8413</v>
      </c>
      <c r="C195" s="3" t="s">
        <v>8412</v>
      </c>
      <c r="G195" s="9" t="s">
        <v>12121</v>
      </c>
      <c r="H195" s="9"/>
      <c r="I195" s="9"/>
      <c r="J195" s="9"/>
      <c r="K195" s="9"/>
      <c r="L195" s="9"/>
      <c r="M195" s="9"/>
      <c r="N195" s="10"/>
      <c r="O195" s="9"/>
      <c r="P195" s="9"/>
      <c r="Q195" s="9">
        <v>-1</v>
      </c>
      <c r="R195" s="9">
        <v>1</v>
      </c>
      <c r="S195" s="9">
        <v>0</v>
      </c>
      <c r="T195" s="13">
        <f t="shared" si="11"/>
        <v>0.12016342225426581</v>
      </c>
      <c r="U195" s="13">
        <f t="shared" si="12"/>
        <v>0</v>
      </c>
      <c r="V195" s="13">
        <f t="shared" si="13"/>
        <v>-0.12016342225426581</v>
      </c>
      <c r="W195" s="9"/>
      <c r="X195" s="9"/>
      <c r="Y195" s="9"/>
      <c r="Z195" s="9"/>
      <c r="AA195" s="9"/>
      <c r="AB195" s="9"/>
      <c r="AC195" s="9"/>
      <c r="AD195" s="9"/>
      <c r="AE195" s="9"/>
      <c r="AF195" s="9"/>
    </row>
    <row r="196" spans="1:32" ht="43.5">
      <c r="A196" s="3" t="s">
        <v>3073</v>
      </c>
      <c r="B196" s="3" t="s">
        <v>8435</v>
      </c>
      <c r="C196" s="11" t="s">
        <v>8436</v>
      </c>
      <c r="G196" s="9" t="s">
        <v>12118</v>
      </c>
      <c r="H196" s="9"/>
      <c r="I196" s="9"/>
      <c r="J196" s="9"/>
      <c r="K196" s="9"/>
      <c r="L196" s="9"/>
      <c r="M196" s="9"/>
      <c r="N196" s="10"/>
      <c r="O196" s="9"/>
      <c r="P196" s="9"/>
      <c r="Q196" s="9">
        <v>0</v>
      </c>
      <c r="R196" s="9">
        <v>4</v>
      </c>
      <c r="S196" s="9">
        <v>4</v>
      </c>
      <c r="T196" s="13">
        <f t="shared" si="11"/>
        <v>0.48065368901706323</v>
      </c>
      <c r="U196" s="13">
        <f t="shared" si="12"/>
        <v>0.48065368901706323</v>
      </c>
      <c r="V196" s="13">
        <f t="shared" si="13"/>
        <v>0</v>
      </c>
      <c r="W196" s="9"/>
      <c r="X196" s="9"/>
      <c r="Y196" s="9"/>
      <c r="Z196" s="9"/>
      <c r="AA196" s="9"/>
      <c r="AB196" s="9"/>
      <c r="AC196" s="9"/>
      <c r="AD196" s="9"/>
      <c r="AE196" s="9"/>
      <c r="AF196" s="9"/>
    </row>
    <row r="197" spans="1:32" ht="43.5">
      <c r="A197" s="3" t="s">
        <v>3106</v>
      </c>
      <c r="B197" s="3" t="s">
        <v>8497</v>
      </c>
      <c r="C197" s="3" t="s">
        <v>8496</v>
      </c>
      <c r="G197" s="9" t="s">
        <v>12118</v>
      </c>
      <c r="H197" s="9"/>
      <c r="I197" s="9"/>
      <c r="J197" s="9"/>
      <c r="K197" s="9"/>
      <c r="L197" s="9"/>
      <c r="M197" s="9"/>
      <c r="N197" s="10"/>
      <c r="O197" s="9"/>
      <c r="P197" s="9"/>
      <c r="Q197" s="9">
        <v>731</v>
      </c>
      <c r="R197" s="9">
        <v>156</v>
      </c>
      <c r="S197" s="9">
        <v>887</v>
      </c>
      <c r="T197" s="13">
        <f t="shared" si="11"/>
        <v>18.745493871665467</v>
      </c>
      <c r="U197" s="13">
        <f t="shared" si="12"/>
        <v>106.58495553953377</v>
      </c>
      <c r="V197" s="13">
        <f t="shared" si="13"/>
        <v>87.839461667868306</v>
      </c>
      <c r="W197" s="9"/>
      <c r="X197" s="9"/>
      <c r="Y197" s="9"/>
      <c r="Z197" s="9"/>
      <c r="AA197" s="9"/>
      <c r="AB197" s="9"/>
      <c r="AC197" s="9"/>
      <c r="AD197" s="9"/>
      <c r="AE197" s="9"/>
      <c r="AF197" s="9"/>
    </row>
    <row r="198" spans="1:32" ht="43.5">
      <c r="A198" s="3" t="s">
        <v>3119</v>
      </c>
      <c r="B198" s="3" t="s">
        <v>8537</v>
      </c>
      <c r="C198" s="3" t="s">
        <v>8536</v>
      </c>
      <c r="G198" s="9" t="s">
        <v>12118</v>
      </c>
      <c r="H198" s="9"/>
      <c r="I198" s="9"/>
      <c r="J198" s="9"/>
      <c r="K198" s="9"/>
      <c r="L198" s="9"/>
      <c r="M198" s="9"/>
      <c r="N198" s="10"/>
      <c r="O198" s="9"/>
      <c r="P198" s="9"/>
      <c r="Q198" s="9">
        <v>-274</v>
      </c>
      <c r="R198" s="9">
        <v>635</v>
      </c>
      <c r="S198" s="9">
        <v>361</v>
      </c>
      <c r="T198" s="13">
        <f t="shared" si="11"/>
        <v>76.303773131458783</v>
      </c>
      <c r="U198" s="13">
        <f t="shared" si="12"/>
        <v>43.378995433789953</v>
      </c>
      <c r="V198" s="13">
        <f t="shared" si="13"/>
        <v>-32.92477769766883</v>
      </c>
      <c r="W198" s="9"/>
      <c r="X198" s="9"/>
      <c r="Y198" s="9"/>
      <c r="Z198" s="9"/>
      <c r="AA198" s="9"/>
      <c r="AB198" s="9"/>
      <c r="AC198" s="9"/>
      <c r="AD198" s="9"/>
      <c r="AE198" s="9"/>
      <c r="AF198" s="9"/>
    </row>
    <row r="199" spans="1:32" ht="29">
      <c r="A199" s="3" t="s">
        <v>3126</v>
      </c>
      <c r="B199" s="3" t="s">
        <v>8540</v>
      </c>
      <c r="C199" s="3" t="s">
        <v>8541</v>
      </c>
      <c r="G199" s="9" t="s">
        <v>12118</v>
      </c>
      <c r="H199" s="9"/>
      <c r="I199" s="9"/>
      <c r="J199" s="9"/>
      <c r="K199" s="9"/>
      <c r="L199" s="9"/>
      <c r="M199" s="9"/>
      <c r="N199" s="10"/>
      <c r="O199" s="9"/>
      <c r="P199" s="9"/>
      <c r="Q199" s="9">
        <v>-188</v>
      </c>
      <c r="R199" s="9">
        <v>207</v>
      </c>
      <c r="S199" s="9">
        <v>19</v>
      </c>
      <c r="T199" s="13">
        <f t="shared" si="11"/>
        <v>24.873828406633024</v>
      </c>
      <c r="U199" s="13">
        <f t="shared" si="12"/>
        <v>2.2831050228310503</v>
      </c>
      <c r="V199" s="13">
        <f t="shared" si="13"/>
        <v>-22.590723383801972</v>
      </c>
      <c r="W199" s="9"/>
      <c r="X199" s="9"/>
      <c r="Y199" s="9"/>
      <c r="Z199" s="9"/>
      <c r="AA199" s="9"/>
      <c r="AB199" s="9"/>
      <c r="AC199" s="9"/>
      <c r="AD199" s="9"/>
      <c r="AE199" s="9"/>
      <c r="AF199" s="9"/>
    </row>
    <row r="200" spans="1:32" ht="29">
      <c r="A200" s="3" t="s">
        <v>3130</v>
      </c>
      <c r="B200" s="3" t="s">
        <v>727</v>
      </c>
      <c r="C200" s="3" t="s">
        <v>728</v>
      </c>
      <c r="G200" s="9" t="s">
        <v>12118</v>
      </c>
      <c r="H200" s="9"/>
      <c r="I200" s="9"/>
      <c r="J200" s="9"/>
      <c r="K200" s="9"/>
      <c r="L200" s="9"/>
      <c r="M200" s="9"/>
      <c r="N200" s="10"/>
      <c r="O200" s="9"/>
      <c r="P200" s="9"/>
      <c r="Q200" s="9">
        <v>-50</v>
      </c>
      <c r="R200" s="9">
        <v>87</v>
      </c>
      <c r="S200" s="9">
        <v>37</v>
      </c>
      <c r="T200" s="13">
        <f t="shared" si="11"/>
        <v>10.454217736121125</v>
      </c>
      <c r="U200" s="13">
        <f t="shared" si="12"/>
        <v>4.4460466234078346</v>
      </c>
      <c r="V200" s="13">
        <f t="shared" si="13"/>
        <v>-6.0081711127132902</v>
      </c>
      <c r="W200" s="9"/>
      <c r="X200" s="9"/>
      <c r="Y200" s="9"/>
      <c r="Z200" s="9"/>
      <c r="AA200" s="9"/>
      <c r="AB200" s="9"/>
      <c r="AC200" s="9"/>
      <c r="AD200" s="9"/>
      <c r="AE200" s="9"/>
      <c r="AF200" s="9"/>
    </row>
    <row r="201" spans="1:32" ht="58">
      <c r="A201" s="3" t="s">
        <v>3157</v>
      </c>
      <c r="B201" s="3" t="s">
        <v>8606</v>
      </c>
      <c r="C201" s="3" t="s">
        <v>8607</v>
      </c>
      <c r="G201" s="9" t="s">
        <v>12118</v>
      </c>
      <c r="H201" s="9"/>
      <c r="I201" s="9"/>
      <c r="J201" s="9"/>
      <c r="K201" s="9"/>
      <c r="L201" s="9"/>
      <c r="M201" s="9"/>
      <c r="N201" s="10"/>
      <c r="O201" s="9"/>
      <c r="P201" s="9"/>
      <c r="Q201" s="9">
        <v>-253</v>
      </c>
      <c r="R201" s="9">
        <v>277</v>
      </c>
      <c r="S201" s="9">
        <v>24</v>
      </c>
      <c r="T201" s="13">
        <f t="shared" si="11"/>
        <v>33.285267964431625</v>
      </c>
      <c r="U201" s="13">
        <f t="shared" si="12"/>
        <v>2.8839221341023795</v>
      </c>
      <c r="V201" s="13">
        <f t="shared" si="13"/>
        <v>-30.401345830329245</v>
      </c>
      <c r="W201" s="9" t="s">
        <v>12117</v>
      </c>
      <c r="X201" s="9"/>
      <c r="Y201" s="9"/>
      <c r="Z201" s="9"/>
      <c r="AA201" s="9"/>
      <c r="AB201" s="9"/>
      <c r="AC201" s="9"/>
      <c r="AD201" s="9"/>
      <c r="AE201" s="9"/>
      <c r="AF201" s="9"/>
    </row>
    <row r="202" spans="1:32" ht="58">
      <c r="A202" s="3" t="s">
        <v>3183</v>
      </c>
      <c r="B202" s="3" t="s">
        <v>8637</v>
      </c>
      <c r="C202" s="3" t="s">
        <v>8638</v>
      </c>
      <c r="G202" s="9" t="s">
        <v>12118</v>
      </c>
      <c r="H202" s="9"/>
      <c r="I202" s="9"/>
      <c r="J202" s="9"/>
      <c r="K202" s="9"/>
      <c r="L202" s="9"/>
      <c r="M202" s="9"/>
      <c r="N202" s="10"/>
      <c r="O202" s="9"/>
      <c r="P202" s="9"/>
      <c r="Q202" s="9">
        <v>-190</v>
      </c>
      <c r="R202" s="9">
        <v>207</v>
      </c>
      <c r="S202" s="9">
        <v>17</v>
      </c>
      <c r="T202" s="13">
        <f t="shared" si="11"/>
        <v>24.873828406633024</v>
      </c>
      <c r="U202" s="13">
        <f t="shared" si="12"/>
        <v>2.0427781783225187</v>
      </c>
      <c r="V202" s="13">
        <f t="shared" si="13"/>
        <v>-22.831050228310506</v>
      </c>
      <c r="W202" s="9"/>
      <c r="X202" s="9"/>
      <c r="Y202" s="9"/>
      <c r="Z202" s="9"/>
      <c r="AA202" s="9"/>
      <c r="AB202" s="9"/>
      <c r="AC202" s="9"/>
      <c r="AD202" s="9"/>
      <c r="AE202" s="9"/>
      <c r="AF202" s="9"/>
    </row>
    <row r="203" spans="1:32" ht="72.5">
      <c r="A203" s="3" t="s">
        <v>3195</v>
      </c>
      <c r="B203" s="3" t="s">
        <v>8662</v>
      </c>
      <c r="C203" s="3" t="s">
        <v>8663</v>
      </c>
      <c r="G203" s="9" t="s">
        <v>12118</v>
      </c>
      <c r="H203" s="9"/>
      <c r="I203" s="9"/>
      <c r="J203" s="9"/>
      <c r="K203" s="9"/>
      <c r="L203" s="9"/>
      <c r="M203" s="9"/>
      <c r="N203" s="10"/>
      <c r="O203" s="9"/>
      <c r="P203" s="9"/>
      <c r="Q203" s="9">
        <v>50</v>
      </c>
      <c r="R203" s="9">
        <v>37</v>
      </c>
      <c r="S203" s="9">
        <v>87</v>
      </c>
      <c r="T203" s="13">
        <f t="shared" si="11"/>
        <v>4.4460466234078346</v>
      </c>
      <c r="U203" s="13">
        <f t="shared" si="12"/>
        <v>10.454217736121125</v>
      </c>
      <c r="V203" s="13">
        <f t="shared" si="13"/>
        <v>6.0081711127132902</v>
      </c>
      <c r="W203" s="9"/>
      <c r="X203" s="9"/>
      <c r="Y203" s="9"/>
      <c r="Z203" s="9"/>
      <c r="AA203" s="9"/>
      <c r="AB203" s="9"/>
      <c r="AC203" s="9"/>
      <c r="AD203" s="9"/>
      <c r="AE203" s="9"/>
      <c r="AF203" s="9"/>
    </row>
    <row r="204" spans="1:32" ht="43.5">
      <c r="A204" s="3" t="s">
        <v>3213</v>
      </c>
      <c r="B204" s="3" t="s">
        <v>8690</v>
      </c>
      <c r="C204" s="3" t="s">
        <v>8689</v>
      </c>
      <c r="G204" s="9" t="s">
        <v>12118</v>
      </c>
      <c r="H204" s="9"/>
      <c r="I204" s="9"/>
      <c r="J204" s="9"/>
      <c r="K204" s="9"/>
      <c r="L204" s="9"/>
      <c r="M204" s="9"/>
      <c r="N204" s="10"/>
      <c r="O204" s="9"/>
      <c r="P204" s="9"/>
      <c r="Q204" s="9">
        <v>-188</v>
      </c>
      <c r="R204" s="9">
        <v>207</v>
      </c>
      <c r="S204" s="9">
        <v>19</v>
      </c>
      <c r="T204" s="13">
        <f t="shared" si="11"/>
        <v>24.873828406633024</v>
      </c>
      <c r="U204" s="13">
        <f t="shared" si="12"/>
        <v>2.2831050228310503</v>
      </c>
      <c r="V204" s="13">
        <f t="shared" si="13"/>
        <v>-22.590723383801972</v>
      </c>
      <c r="W204" s="9"/>
      <c r="X204" s="9"/>
      <c r="Y204" s="9"/>
      <c r="Z204" s="9"/>
      <c r="AA204" s="9"/>
      <c r="AB204" s="9"/>
      <c r="AC204" s="9"/>
      <c r="AD204" s="9"/>
      <c r="AE204" s="9"/>
      <c r="AF204" s="9"/>
    </row>
    <row r="205" spans="1:32" ht="29">
      <c r="A205" s="3" t="s">
        <v>3217</v>
      </c>
      <c r="B205" s="3" t="s">
        <v>8699</v>
      </c>
      <c r="C205" s="3" t="s">
        <v>8700</v>
      </c>
      <c r="G205" s="9" t="s">
        <v>12118</v>
      </c>
      <c r="H205" s="9"/>
      <c r="I205" s="9"/>
      <c r="J205" s="9"/>
      <c r="K205" s="9"/>
      <c r="L205" s="9"/>
      <c r="M205" s="9"/>
      <c r="N205" s="10"/>
      <c r="O205" s="9"/>
      <c r="P205" s="9"/>
      <c r="Q205" s="9">
        <v>18</v>
      </c>
      <c r="R205" s="9">
        <v>19</v>
      </c>
      <c r="S205" s="9">
        <v>37</v>
      </c>
      <c r="T205" s="13">
        <f t="shared" si="11"/>
        <v>2.2831050228310503</v>
      </c>
      <c r="U205" s="13">
        <f t="shared" si="12"/>
        <v>4.4460466234078346</v>
      </c>
      <c r="V205" s="13">
        <f t="shared" si="13"/>
        <v>2.1629416005767843</v>
      </c>
      <c r="W205" s="9"/>
      <c r="X205" s="9"/>
      <c r="Y205" s="9"/>
      <c r="Z205" s="9"/>
      <c r="AA205" s="9"/>
      <c r="AB205" s="9"/>
      <c r="AC205" s="9"/>
      <c r="AD205" s="9"/>
      <c r="AE205" s="9"/>
      <c r="AF205" s="9"/>
    </row>
    <row r="206" spans="1:32" ht="29">
      <c r="A206" s="3" t="s">
        <v>3218</v>
      </c>
      <c r="B206" s="3" t="s">
        <v>8701</v>
      </c>
      <c r="C206" s="3" t="s">
        <v>8702</v>
      </c>
      <c r="G206" s="9" t="s">
        <v>12118</v>
      </c>
      <c r="H206" s="9"/>
      <c r="I206" s="9"/>
      <c r="J206" s="9"/>
      <c r="K206" s="9"/>
      <c r="L206" s="9"/>
      <c r="M206" s="9"/>
      <c r="N206" s="10"/>
      <c r="O206" s="9"/>
      <c r="P206" s="9"/>
      <c r="Q206" s="9">
        <v>188</v>
      </c>
      <c r="R206" s="9">
        <v>19</v>
      </c>
      <c r="S206" s="9">
        <v>207</v>
      </c>
      <c r="T206" s="13">
        <f t="shared" si="11"/>
        <v>2.2831050228310503</v>
      </c>
      <c r="U206" s="13">
        <f t="shared" si="12"/>
        <v>24.873828406633024</v>
      </c>
      <c r="V206" s="13">
        <f t="shared" si="13"/>
        <v>22.590723383801972</v>
      </c>
      <c r="W206" s="9"/>
      <c r="X206" s="9"/>
      <c r="Y206" s="9"/>
      <c r="Z206" s="9"/>
      <c r="AA206" s="9"/>
      <c r="AB206" s="9"/>
      <c r="AC206" s="9"/>
      <c r="AD206" s="9"/>
      <c r="AE206" s="9"/>
      <c r="AF206" s="9"/>
    </row>
    <row r="207" spans="1:32" ht="29">
      <c r="A207" s="3" t="s">
        <v>3220</v>
      </c>
      <c r="B207" s="3" t="s">
        <v>8707</v>
      </c>
      <c r="C207" s="3" t="s">
        <v>8708</v>
      </c>
      <c r="G207" s="9" t="s">
        <v>12121</v>
      </c>
      <c r="H207" s="9"/>
      <c r="I207" s="9"/>
      <c r="J207" s="9"/>
      <c r="K207" s="9"/>
      <c r="L207" s="9"/>
      <c r="M207" s="9"/>
      <c r="N207" s="10"/>
      <c r="O207" s="9"/>
      <c r="P207" s="9"/>
      <c r="Q207" s="9">
        <v>146</v>
      </c>
      <c r="R207" s="9">
        <v>103</v>
      </c>
      <c r="S207" s="9">
        <v>249</v>
      </c>
      <c r="T207" s="13">
        <f t="shared" si="11"/>
        <v>12.376832492189379</v>
      </c>
      <c r="U207" s="13">
        <f t="shared" si="12"/>
        <v>29.920692141312184</v>
      </c>
      <c r="V207" s="13">
        <f t="shared" si="13"/>
        <v>17.543859649122805</v>
      </c>
      <c r="W207" s="9"/>
      <c r="X207" s="9"/>
      <c r="Y207" s="9"/>
      <c r="Z207" s="9"/>
      <c r="AA207" s="9"/>
      <c r="AB207" s="9"/>
      <c r="AC207" s="9"/>
      <c r="AD207" s="9"/>
      <c r="AE207" s="9"/>
      <c r="AF207" s="9"/>
    </row>
    <row r="208" spans="1:32" ht="29">
      <c r="A208" s="3" t="s">
        <v>3243</v>
      </c>
      <c r="B208" s="3" t="s">
        <v>8747</v>
      </c>
      <c r="C208" s="3" t="s">
        <v>8746</v>
      </c>
      <c r="G208" s="9" t="s">
        <v>12118</v>
      </c>
      <c r="H208" s="9"/>
      <c r="I208" s="9"/>
      <c r="J208" s="9"/>
      <c r="K208" s="9"/>
      <c r="L208" s="9"/>
      <c r="M208" s="9"/>
      <c r="N208" s="10"/>
      <c r="O208" s="9"/>
      <c r="P208" s="9"/>
      <c r="Q208" s="9">
        <v>-560</v>
      </c>
      <c r="R208" s="9">
        <v>591</v>
      </c>
      <c r="S208" s="9">
        <v>31</v>
      </c>
      <c r="T208" s="13">
        <f t="shared" si="11"/>
        <v>71.016582552271089</v>
      </c>
      <c r="U208" s="13">
        <f t="shared" si="12"/>
        <v>3.7250660898822399</v>
      </c>
      <c r="V208" s="13">
        <f t="shared" si="13"/>
        <v>-67.291516462388856</v>
      </c>
      <c r="W208" s="9"/>
      <c r="X208" s="9"/>
      <c r="Y208" s="9"/>
      <c r="Z208" s="9"/>
      <c r="AA208" s="9"/>
      <c r="AB208" s="9"/>
      <c r="AC208" s="9"/>
      <c r="AD208" s="9"/>
      <c r="AE208" s="9"/>
      <c r="AF208" s="9"/>
    </row>
    <row r="209" spans="1:32" ht="43.5">
      <c r="A209" s="3" t="s">
        <v>3245</v>
      </c>
      <c r="B209" s="3" t="s">
        <v>8751</v>
      </c>
      <c r="C209" s="3" t="s">
        <v>8750</v>
      </c>
      <c r="G209" s="9" t="s">
        <v>12118</v>
      </c>
      <c r="H209" s="9"/>
      <c r="I209" s="9"/>
      <c r="J209" s="9"/>
      <c r="K209" s="9"/>
      <c r="L209" s="9"/>
      <c r="M209" s="9"/>
      <c r="N209" s="10"/>
      <c r="O209" s="9"/>
      <c r="P209" s="9"/>
      <c r="Q209" s="9">
        <v>-1610</v>
      </c>
      <c r="R209" s="9">
        <v>1966</v>
      </c>
      <c r="S209" s="9">
        <v>356</v>
      </c>
      <c r="T209" s="13">
        <f t="shared" si="11"/>
        <v>236.24128815188658</v>
      </c>
      <c r="U209" s="13">
        <f t="shared" si="12"/>
        <v>42.778178322518627</v>
      </c>
      <c r="V209" s="13">
        <f t="shared" si="13"/>
        <v>-193.46310982936797</v>
      </c>
      <c r="W209" s="9"/>
      <c r="X209" s="9"/>
      <c r="Y209" s="9"/>
      <c r="Z209" s="9"/>
      <c r="AA209" s="9"/>
      <c r="AB209" s="9"/>
      <c r="AC209" s="9"/>
      <c r="AD209" s="9"/>
      <c r="AE209" s="9"/>
      <c r="AF209" s="9"/>
    </row>
    <row r="210" spans="1:32" ht="29">
      <c r="A210" s="3" t="s">
        <v>3246</v>
      </c>
      <c r="B210" s="3" t="s">
        <v>8754</v>
      </c>
      <c r="C210" s="3" t="s">
        <v>8755</v>
      </c>
      <c r="G210" s="9" t="s">
        <v>12118</v>
      </c>
      <c r="H210" s="9"/>
      <c r="I210" s="9"/>
      <c r="J210" s="9"/>
      <c r="K210" s="9"/>
      <c r="L210" s="9"/>
      <c r="M210" s="9"/>
      <c r="N210" s="10"/>
      <c r="O210" s="9"/>
      <c r="P210" s="9"/>
      <c r="Q210" s="9">
        <v>4080</v>
      </c>
      <c r="R210" s="9">
        <v>160</v>
      </c>
      <c r="S210" s="9">
        <v>4240</v>
      </c>
      <c r="T210" s="13">
        <f t="shared" si="11"/>
        <v>19.226147560682527</v>
      </c>
      <c r="U210" s="13">
        <f t="shared" si="12"/>
        <v>509.49291035808699</v>
      </c>
      <c r="V210" s="13">
        <f t="shared" si="13"/>
        <v>490.26676279740445</v>
      </c>
      <c r="W210" s="9"/>
      <c r="X210" s="9"/>
      <c r="Y210" s="9"/>
      <c r="Z210" s="9"/>
      <c r="AA210" s="9"/>
      <c r="AB210" s="9"/>
      <c r="AC210" s="9"/>
      <c r="AD210" s="9"/>
      <c r="AE210" s="9"/>
      <c r="AF210" s="9"/>
    </row>
    <row r="211" spans="1:32" ht="43.5">
      <c r="A211" s="3" t="s">
        <v>3262</v>
      </c>
      <c r="B211" s="3" t="s">
        <v>8798</v>
      </c>
      <c r="C211" s="3" t="s">
        <v>8797</v>
      </c>
      <c r="G211" s="9" t="s">
        <v>12118</v>
      </c>
      <c r="H211" s="9"/>
      <c r="I211" s="9"/>
      <c r="J211" s="9"/>
      <c r="K211" s="9"/>
      <c r="L211" s="9"/>
      <c r="M211" s="9"/>
      <c r="N211" s="10"/>
      <c r="O211" s="9"/>
      <c r="P211" s="9"/>
      <c r="Q211" s="9">
        <v>-22</v>
      </c>
      <c r="R211" s="9">
        <v>61</v>
      </c>
      <c r="S211" s="9">
        <v>39</v>
      </c>
      <c r="T211" s="13">
        <f t="shared" si="11"/>
        <v>7.3299687575102137</v>
      </c>
      <c r="U211" s="13">
        <f t="shared" si="12"/>
        <v>4.6863734679163667</v>
      </c>
      <c r="V211" s="13">
        <f t="shared" si="13"/>
        <v>-2.643595289593847</v>
      </c>
      <c r="W211" s="9"/>
      <c r="X211" s="9"/>
      <c r="Y211" s="9"/>
      <c r="Z211" s="9"/>
      <c r="AA211" s="9"/>
      <c r="AB211" s="9"/>
      <c r="AC211" s="9"/>
      <c r="AD211" s="9"/>
      <c r="AE211" s="9"/>
      <c r="AF211" s="9"/>
    </row>
    <row r="212" spans="1:32" ht="58">
      <c r="A212" s="3" t="s">
        <v>3273</v>
      </c>
      <c r="B212" s="3" t="s">
        <v>8817</v>
      </c>
      <c r="C212" s="3" t="s">
        <v>8818</v>
      </c>
      <c r="G212" s="9" t="s">
        <v>12118</v>
      </c>
      <c r="H212" s="9"/>
      <c r="I212" s="9"/>
      <c r="J212" s="9"/>
      <c r="K212" s="9"/>
      <c r="L212" s="9"/>
      <c r="M212" s="9"/>
      <c r="N212" s="10"/>
      <c r="O212" s="9"/>
      <c r="P212" s="9"/>
      <c r="Q212" s="9">
        <v>-1150</v>
      </c>
      <c r="R212" s="9">
        <v>1741</v>
      </c>
      <c r="S212" s="9">
        <v>591</v>
      </c>
      <c r="T212" s="13">
        <f t="shared" si="11"/>
        <v>209.20451814467677</v>
      </c>
      <c r="U212" s="13">
        <f t="shared" si="12"/>
        <v>71.016582552271089</v>
      </c>
      <c r="V212" s="13">
        <f t="shared" si="13"/>
        <v>-138.18793559240567</v>
      </c>
      <c r="W212" s="9"/>
      <c r="X212" s="9"/>
      <c r="Y212" s="9"/>
      <c r="Z212" s="9"/>
      <c r="AA212" s="9"/>
      <c r="AB212" s="9"/>
      <c r="AC212" s="9"/>
      <c r="AD212" s="9"/>
      <c r="AE212" s="9"/>
      <c r="AF212" s="9"/>
    </row>
    <row r="213" spans="1:32" ht="29">
      <c r="A213" s="3" t="s">
        <v>3281</v>
      </c>
      <c r="B213" s="3" t="s">
        <v>8828</v>
      </c>
      <c r="C213" s="3" t="s">
        <v>8829</v>
      </c>
      <c r="G213" s="9" t="s">
        <v>12118</v>
      </c>
      <c r="H213" s="9"/>
      <c r="I213" s="9"/>
      <c r="J213" s="9"/>
      <c r="K213" s="9"/>
      <c r="L213" s="9"/>
      <c r="M213" s="9"/>
      <c r="N213" s="10"/>
      <c r="O213" s="9"/>
      <c r="P213" s="9"/>
      <c r="Q213" s="9">
        <v>-514</v>
      </c>
      <c r="R213" s="9">
        <v>526</v>
      </c>
      <c r="S213" s="9">
        <v>12</v>
      </c>
      <c r="T213" s="13">
        <f t="shared" si="11"/>
        <v>63.205960105743813</v>
      </c>
      <c r="U213" s="13">
        <f t="shared" si="12"/>
        <v>1.4419610670511898</v>
      </c>
      <c r="V213" s="13">
        <f t="shared" si="13"/>
        <v>-61.763999038692624</v>
      </c>
      <c r="W213" s="9"/>
      <c r="X213" s="9"/>
      <c r="Y213" s="9"/>
      <c r="Z213" s="9"/>
      <c r="AA213" s="9"/>
      <c r="AB213" s="9"/>
      <c r="AC213" s="9"/>
      <c r="AD213" s="9"/>
      <c r="AE213" s="9"/>
      <c r="AF213" s="9"/>
    </row>
    <row r="214" spans="1:32" ht="58">
      <c r="A214" s="3" t="s">
        <v>3285</v>
      </c>
      <c r="B214" s="3" t="s">
        <v>8837</v>
      </c>
      <c r="C214" s="3" t="s">
        <v>8838</v>
      </c>
      <c r="G214" s="9" t="s">
        <v>12118</v>
      </c>
      <c r="H214" s="9"/>
      <c r="I214" s="9"/>
      <c r="J214" s="9"/>
      <c r="K214" s="9"/>
      <c r="L214" s="9"/>
      <c r="M214" s="9"/>
      <c r="N214" s="10"/>
      <c r="O214" s="9"/>
      <c r="P214" s="9"/>
      <c r="Q214" s="9">
        <v>514</v>
      </c>
      <c r="R214" s="9">
        <v>12</v>
      </c>
      <c r="S214" s="9">
        <v>526</v>
      </c>
      <c r="T214" s="13">
        <f t="shared" si="11"/>
        <v>1.4419610670511898</v>
      </c>
      <c r="U214" s="13">
        <f t="shared" si="12"/>
        <v>63.205960105743813</v>
      </c>
      <c r="V214" s="13">
        <f t="shared" si="13"/>
        <v>61.763999038692624</v>
      </c>
      <c r="W214" s="9"/>
      <c r="X214" s="9"/>
      <c r="Y214" s="9"/>
      <c r="Z214" s="9"/>
      <c r="AA214" s="9"/>
      <c r="AB214" s="9"/>
      <c r="AC214" s="9"/>
      <c r="AD214" s="9"/>
      <c r="AE214" s="9"/>
      <c r="AF214" s="9"/>
    </row>
    <row r="215" spans="1:32" ht="43.5">
      <c r="A215" s="3" t="s">
        <v>3299</v>
      </c>
      <c r="B215" s="3" t="s">
        <v>8872</v>
      </c>
      <c r="C215" s="3" t="s">
        <v>8873</v>
      </c>
      <c r="G215" s="9" t="s">
        <v>12118</v>
      </c>
      <c r="H215" s="9"/>
      <c r="I215" s="9"/>
      <c r="J215" s="9"/>
      <c r="K215" s="9"/>
      <c r="L215" s="9"/>
      <c r="M215" s="9"/>
      <c r="N215" s="10"/>
      <c r="O215" s="9"/>
      <c r="P215" s="9"/>
      <c r="Q215" s="9">
        <v>-89</v>
      </c>
      <c r="R215" s="9">
        <v>92</v>
      </c>
      <c r="S215" s="9">
        <v>3</v>
      </c>
      <c r="T215" s="13">
        <f t="shared" si="11"/>
        <v>11.055034847392454</v>
      </c>
      <c r="U215" s="13">
        <f t="shared" si="12"/>
        <v>0.36049026676279744</v>
      </c>
      <c r="V215" s="13">
        <f t="shared" si="13"/>
        <v>-10.694544580629657</v>
      </c>
      <c r="W215" s="9"/>
      <c r="X215" s="9"/>
      <c r="Y215" s="9"/>
      <c r="Z215" s="9"/>
      <c r="AA215" s="9"/>
      <c r="AB215" s="9"/>
      <c r="AC215" s="9"/>
      <c r="AD215" s="9"/>
      <c r="AE215" s="9"/>
      <c r="AF215" s="9"/>
    </row>
    <row r="216" spans="1:32" ht="130.5">
      <c r="A216" s="3" t="s">
        <v>3302</v>
      </c>
      <c r="B216" s="3" t="s">
        <v>8880</v>
      </c>
      <c r="C216" s="3" t="s">
        <v>8881</v>
      </c>
      <c r="G216" s="9" t="s">
        <v>12118</v>
      </c>
      <c r="H216" s="9"/>
      <c r="I216" s="9"/>
      <c r="J216" s="9"/>
      <c r="K216" s="9"/>
      <c r="L216" s="9"/>
      <c r="M216" s="9"/>
      <c r="N216" s="10"/>
      <c r="O216" s="9"/>
      <c r="P216" s="9"/>
      <c r="Q216" s="9">
        <v>-161</v>
      </c>
      <c r="R216" s="9">
        <v>169</v>
      </c>
      <c r="S216" s="9">
        <v>8</v>
      </c>
      <c r="T216" s="13">
        <f t="shared" si="11"/>
        <v>20.30761836097092</v>
      </c>
      <c r="U216" s="13">
        <f t="shared" si="12"/>
        <v>0.96130737803412647</v>
      </c>
      <c r="V216" s="13">
        <f t="shared" si="13"/>
        <v>-19.346310982936792</v>
      </c>
      <c r="W216" s="9"/>
      <c r="X216" s="9"/>
      <c r="Y216" s="9"/>
      <c r="Z216" s="9"/>
      <c r="AA216" s="9"/>
      <c r="AB216" s="9"/>
      <c r="AC216" s="9"/>
      <c r="AD216" s="9"/>
      <c r="AE216" s="9"/>
      <c r="AF216" s="9"/>
    </row>
    <row r="217" spans="1:32" ht="58">
      <c r="A217" s="3" t="s">
        <v>3318</v>
      </c>
      <c r="B217" s="3" t="s">
        <v>8904</v>
      </c>
      <c r="C217" s="3" t="s">
        <v>8905</v>
      </c>
      <c r="G217" s="9" t="s">
        <v>12118</v>
      </c>
      <c r="H217" s="9"/>
      <c r="I217" s="9"/>
      <c r="J217" s="9"/>
      <c r="K217" s="9"/>
      <c r="L217" s="9"/>
      <c r="M217" s="9"/>
      <c r="N217" s="10"/>
      <c r="O217" s="9"/>
      <c r="P217" s="9"/>
      <c r="Q217" s="9">
        <v>-4</v>
      </c>
      <c r="R217" s="9">
        <v>6</v>
      </c>
      <c r="S217" s="9">
        <v>2</v>
      </c>
      <c r="T217" s="13">
        <f t="shared" si="11"/>
        <v>0.72098053352559488</v>
      </c>
      <c r="U217" s="13">
        <f t="shared" si="12"/>
        <v>0.24032684450853162</v>
      </c>
      <c r="V217" s="13">
        <f t="shared" si="13"/>
        <v>-0.48065368901706329</v>
      </c>
      <c r="W217" s="9"/>
      <c r="X217" s="9"/>
      <c r="Y217" s="9"/>
      <c r="Z217" s="9"/>
      <c r="AA217" s="9"/>
      <c r="AB217" s="9"/>
      <c r="AC217" s="9"/>
      <c r="AD217" s="9"/>
      <c r="AE217" s="9"/>
      <c r="AF217" s="9"/>
    </row>
    <row r="218" spans="1:32" ht="58">
      <c r="A218" s="3" t="s">
        <v>3326</v>
      </c>
      <c r="B218" s="3" t="s">
        <v>8921</v>
      </c>
      <c r="C218" s="3" t="s">
        <v>8920</v>
      </c>
      <c r="E218" t="s">
        <v>20</v>
      </c>
      <c r="G218" s="9" t="s">
        <v>12118</v>
      </c>
      <c r="H218" s="9"/>
      <c r="I218" s="9"/>
      <c r="J218" s="9"/>
      <c r="K218" s="9"/>
      <c r="L218" s="9"/>
      <c r="M218" s="9"/>
      <c r="N218" s="10"/>
      <c r="O218" s="9"/>
      <c r="P218" s="9"/>
      <c r="Q218" s="9">
        <v>1846</v>
      </c>
      <c r="R218" s="9">
        <v>196</v>
      </c>
      <c r="S218" s="9">
        <v>2042</v>
      </c>
      <c r="T218" s="13">
        <f t="shared" si="11"/>
        <v>23.5520307618361</v>
      </c>
      <c r="U218" s="13">
        <f t="shared" si="12"/>
        <v>245.37370824321076</v>
      </c>
      <c r="V218" s="13">
        <f t="shared" si="13"/>
        <v>221.82167748137465</v>
      </c>
      <c r="W218" s="9" t="s">
        <v>12117</v>
      </c>
      <c r="X218" s="9"/>
      <c r="Y218" s="9"/>
      <c r="Z218" s="9"/>
      <c r="AA218" s="9"/>
      <c r="AB218" s="9"/>
      <c r="AC218" s="9"/>
      <c r="AD218" s="9"/>
      <c r="AE218" s="9"/>
      <c r="AF218" s="9"/>
    </row>
    <row r="219" spans="1:32" ht="29">
      <c r="A219" s="3" t="s">
        <v>3334</v>
      </c>
      <c r="B219" s="3" t="s">
        <v>12469</v>
      </c>
      <c r="C219" s="3" t="s">
        <v>12468</v>
      </c>
      <c r="G219" s="9" t="s">
        <v>12118</v>
      </c>
      <c r="H219" s="9"/>
      <c r="I219" s="9"/>
      <c r="J219" s="9"/>
      <c r="K219" s="9"/>
      <c r="L219" s="9"/>
      <c r="M219" s="9"/>
      <c r="N219" s="10"/>
      <c r="O219" s="9"/>
      <c r="P219" s="9"/>
      <c r="Q219" s="9">
        <v>245</v>
      </c>
      <c r="R219" s="9">
        <v>1496</v>
      </c>
      <c r="S219" s="9">
        <v>1741</v>
      </c>
      <c r="T219" s="13">
        <f t="shared" si="11"/>
        <v>179.76447969238166</v>
      </c>
      <c r="U219" s="13">
        <f t="shared" si="12"/>
        <v>209.20451814467677</v>
      </c>
      <c r="V219" s="13">
        <f t="shared" si="13"/>
        <v>29.440038452295113</v>
      </c>
      <c r="W219" s="9"/>
      <c r="X219" s="9"/>
      <c r="Y219" s="9"/>
      <c r="Z219" s="9"/>
      <c r="AA219" s="9"/>
      <c r="AB219" s="9"/>
      <c r="AC219" s="9"/>
      <c r="AD219" s="9"/>
      <c r="AE219" s="9"/>
      <c r="AF219" s="9"/>
    </row>
    <row r="220" spans="1:32" ht="29">
      <c r="A220" s="3" t="s">
        <v>3340</v>
      </c>
      <c r="B220" s="3" t="s">
        <v>8942</v>
      </c>
      <c r="C220" s="3" t="s">
        <v>8941</v>
      </c>
      <c r="G220" s="9" t="s">
        <v>12118</v>
      </c>
      <c r="H220" s="9"/>
      <c r="I220" s="9"/>
      <c r="J220" s="9"/>
      <c r="K220" s="9"/>
      <c r="L220" s="9"/>
      <c r="M220" s="9"/>
      <c r="N220" s="10"/>
      <c r="O220" s="9"/>
      <c r="P220" s="9"/>
      <c r="Q220" s="9">
        <v>-800</v>
      </c>
      <c r="R220" s="9">
        <v>887</v>
      </c>
      <c r="S220" s="9">
        <v>87</v>
      </c>
      <c r="T220" s="13">
        <f t="shared" si="11"/>
        <v>106.58495553953377</v>
      </c>
      <c r="U220" s="13">
        <f t="shared" si="12"/>
        <v>10.454217736121125</v>
      </c>
      <c r="V220" s="13">
        <f t="shared" si="13"/>
        <v>-96.130737803412643</v>
      </c>
      <c r="W220" s="9"/>
      <c r="X220" s="9"/>
      <c r="Y220" s="9"/>
      <c r="Z220" s="9"/>
      <c r="AA220" s="9"/>
      <c r="AB220" s="9"/>
      <c r="AC220" s="9"/>
      <c r="AD220" s="9"/>
      <c r="AE220" s="9"/>
      <c r="AF220" s="9"/>
    </row>
    <row r="221" spans="1:32" ht="29">
      <c r="A221" s="3" t="s">
        <v>3361</v>
      </c>
      <c r="B221" s="3" t="s">
        <v>8992</v>
      </c>
      <c r="C221" s="3" t="s">
        <v>8993</v>
      </c>
      <c r="G221" s="9" t="s">
        <v>12118</v>
      </c>
      <c r="H221" s="9"/>
      <c r="I221" s="9"/>
      <c r="J221" s="9"/>
      <c r="K221" s="9"/>
      <c r="L221" s="9"/>
      <c r="M221" s="9"/>
      <c r="N221" s="10"/>
      <c r="O221" s="9"/>
      <c r="P221" s="9"/>
      <c r="Q221" s="9">
        <v>42</v>
      </c>
      <c r="R221" s="9">
        <v>61</v>
      </c>
      <c r="S221" s="9">
        <v>103</v>
      </c>
      <c r="T221" s="13">
        <f t="shared" si="11"/>
        <v>7.3299687575102137</v>
      </c>
      <c r="U221" s="13">
        <f t="shared" si="12"/>
        <v>12.376832492189379</v>
      </c>
      <c r="V221" s="13">
        <f t="shared" si="13"/>
        <v>5.0468637346791656</v>
      </c>
      <c r="W221" s="9"/>
      <c r="X221" s="9"/>
      <c r="Y221" s="9"/>
      <c r="Z221" s="9"/>
      <c r="AA221" s="9"/>
      <c r="AB221" s="9"/>
      <c r="AC221" s="9"/>
      <c r="AD221" s="9"/>
      <c r="AE221" s="9"/>
      <c r="AF221" s="9"/>
    </row>
    <row r="222" spans="1:32" ht="43.5">
      <c r="A222" s="3" t="s">
        <v>3396</v>
      </c>
      <c r="B222" s="3" t="s">
        <v>9063</v>
      </c>
      <c r="C222" s="3" t="s">
        <v>9062</v>
      </c>
      <c r="G222" s="9" t="s">
        <v>12118</v>
      </c>
      <c r="H222" s="9"/>
      <c r="I222" s="9"/>
      <c r="J222" s="9"/>
      <c r="K222" s="9"/>
      <c r="L222" s="9"/>
      <c r="M222" s="9"/>
      <c r="N222" s="10"/>
      <c r="O222" s="9"/>
      <c r="P222" s="9"/>
      <c r="Q222" s="9">
        <v>-556</v>
      </c>
      <c r="R222" s="9">
        <v>591</v>
      </c>
      <c r="S222" s="9">
        <v>35</v>
      </c>
      <c r="T222" s="13">
        <f t="shared" si="11"/>
        <v>71.016582552271089</v>
      </c>
      <c r="U222" s="13">
        <f t="shared" si="12"/>
        <v>4.2057197788993026</v>
      </c>
      <c r="V222" s="13">
        <f t="shared" si="13"/>
        <v>-66.810862773371781</v>
      </c>
      <c r="W222" s="9"/>
      <c r="X222" s="9"/>
      <c r="Y222" s="9"/>
      <c r="Z222" s="9"/>
      <c r="AA222" s="9"/>
      <c r="AB222" s="9"/>
      <c r="AC222" s="9"/>
      <c r="AD222" s="9"/>
      <c r="AE222" s="9"/>
      <c r="AF222" s="9"/>
    </row>
    <row r="223" spans="1:32" ht="72.5">
      <c r="A223" s="3" t="s">
        <v>3419</v>
      </c>
      <c r="B223" s="3" t="s">
        <v>9098</v>
      </c>
      <c r="C223" s="3" t="s">
        <v>9099</v>
      </c>
      <c r="G223" s="9" t="s">
        <v>12118</v>
      </c>
      <c r="H223" s="9"/>
      <c r="I223" s="9"/>
      <c r="J223" s="9"/>
      <c r="K223" s="9"/>
      <c r="L223" s="9"/>
      <c r="M223" s="9"/>
      <c r="N223" s="10"/>
      <c r="O223" s="9"/>
      <c r="P223" s="9"/>
      <c r="Q223" s="9">
        <v>-5320</v>
      </c>
      <c r="R223" s="9">
        <v>5676</v>
      </c>
      <c r="S223" s="9">
        <v>356</v>
      </c>
      <c r="T223" s="13">
        <f t="shared" si="11"/>
        <v>682.04758471521268</v>
      </c>
      <c r="U223" s="13">
        <f t="shared" si="12"/>
        <v>42.778178322518627</v>
      </c>
      <c r="V223" s="13">
        <f t="shared" si="13"/>
        <v>-639.26940639269401</v>
      </c>
      <c r="W223" s="9"/>
      <c r="X223" s="9"/>
      <c r="Y223" s="9"/>
      <c r="Z223" s="9"/>
      <c r="AA223" s="9"/>
      <c r="AB223" s="9"/>
      <c r="AC223" s="9"/>
      <c r="AD223" s="9"/>
      <c r="AE223" s="9"/>
      <c r="AF223" s="9"/>
    </row>
    <row r="224" spans="1:32" ht="72.5">
      <c r="A224" s="3" t="s">
        <v>3427</v>
      </c>
      <c r="B224" s="3" t="s">
        <v>9110</v>
      </c>
      <c r="C224" s="3" t="s">
        <v>9111</v>
      </c>
      <c r="G224" s="9" t="s">
        <v>12118</v>
      </c>
      <c r="H224" s="9"/>
      <c r="I224" s="9"/>
      <c r="J224" s="9"/>
      <c r="K224" s="9"/>
      <c r="L224" s="9"/>
      <c r="M224" s="9"/>
      <c r="N224" s="10"/>
      <c r="O224" s="9"/>
      <c r="P224" s="9"/>
      <c r="Q224" s="9">
        <v>-3605</v>
      </c>
      <c r="R224" s="9">
        <v>4240</v>
      </c>
      <c r="S224" s="9">
        <v>635</v>
      </c>
      <c r="T224" s="13">
        <f t="shared" si="11"/>
        <v>509.49291035808699</v>
      </c>
      <c r="U224" s="13">
        <f t="shared" si="12"/>
        <v>76.303773131458783</v>
      </c>
      <c r="V224" s="13">
        <f t="shared" si="13"/>
        <v>-433.18913722662819</v>
      </c>
      <c r="W224" s="9"/>
      <c r="X224" s="9"/>
      <c r="Y224" s="9"/>
      <c r="Z224" s="9"/>
      <c r="AA224" s="9"/>
      <c r="AB224" s="9"/>
      <c r="AC224" s="9"/>
      <c r="AD224" s="9"/>
      <c r="AE224" s="9"/>
      <c r="AF224" s="9"/>
    </row>
    <row r="225" spans="1:32" ht="43.5">
      <c r="A225" s="3" t="s">
        <v>3446</v>
      </c>
      <c r="B225" s="3" t="s">
        <v>9151</v>
      </c>
      <c r="C225" s="3" t="s">
        <v>9150</v>
      </c>
      <c r="G225" s="9" t="s">
        <v>12118</v>
      </c>
      <c r="H225" s="9"/>
      <c r="I225" s="9"/>
      <c r="J225" s="9"/>
      <c r="K225" s="9"/>
      <c r="L225" s="9"/>
      <c r="M225" s="9"/>
      <c r="N225" s="10"/>
      <c r="O225" s="9"/>
      <c r="P225" s="9"/>
      <c r="Q225" s="9">
        <v>2000</v>
      </c>
      <c r="R225" s="9">
        <v>42</v>
      </c>
      <c r="S225" s="9">
        <v>2042</v>
      </c>
      <c r="T225" s="13">
        <f t="shared" si="11"/>
        <v>5.0468637346791638</v>
      </c>
      <c r="U225" s="13">
        <f t="shared" si="12"/>
        <v>245.37370824321076</v>
      </c>
      <c r="V225" s="13">
        <f t="shared" si="13"/>
        <v>240.32684450853159</v>
      </c>
      <c r="W225" s="9"/>
      <c r="X225" s="9"/>
      <c r="Y225" s="9"/>
      <c r="Z225" s="9"/>
      <c r="AA225" s="9"/>
      <c r="AB225" s="9"/>
      <c r="AC225" s="9"/>
      <c r="AD225" s="9"/>
      <c r="AE225" s="9"/>
      <c r="AF225" s="9"/>
    </row>
    <row r="226" spans="1:32" ht="72.5">
      <c r="A226" s="3" t="s">
        <v>3450</v>
      </c>
      <c r="B226" s="3" t="s">
        <v>9168</v>
      </c>
      <c r="C226" s="3" t="s">
        <v>9167</v>
      </c>
      <c r="G226" s="9" t="s">
        <v>12118</v>
      </c>
      <c r="H226" s="9"/>
      <c r="I226" s="9"/>
      <c r="J226" s="9"/>
      <c r="K226" s="9"/>
      <c r="L226" s="9"/>
      <c r="M226" s="9"/>
      <c r="N226" s="10"/>
      <c r="O226" s="9"/>
      <c r="P226" s="9"/>
      <c r="Q226" s="9">
        <v>73</v>
      </c>
      <c r="R226" s="9">
        <v>0</v>
      </c>
      <c r="S226" s="9">
        <v>73</v>
      </c>
      <c r="T226" s="13">
        <f t="shared" si="11"/>
        <v>0</v>
      </c>
      <c r="U226" s="13">
        <f t="shared" si="12"/>
        <v>8.7719298245614041</v>
      </c>
      <c r="V226" s="13">
        <f t="shared" si="13"/>
        <v>8.7719298245614041</v>
      </c>
      <c r="W226" s="9"/>
      <c r="X226" s="9"/>
      <c r="Y226" s="9"/>
      <c r="Z226" s="9"/>
      <c r="AA226" s="9"/>
      <c r="AB226" s="9"/>
      <c r="AC226" s="9"/>
      <c r="AD226" s="9"/>
      <c r="AE226" s="9"/>
      <c r="AF226" s="9"/>
    </row>
    <row r="227" spans="1:32" ht="87">
      <c r="A227" s="3" t="s">
        <v>3484</v>
      </c>
      <c r="B227" s="3" t="s">
        <v>13061</v>
      </c>
      <c r="C227" s="3" t="s">
        <v>13064</v>
      </c>
      <c r="G227" s="9" t="s">
        <v>12118</v>
      </c>
      <c r="H227" s="9"/>
      <c r="I227" s="9"/>
      <c r="J227" s="9"/>
      <c r="K227" s="9"/>
      <c r="L227" s="9"/>
      <c r="M227" s="9"/>
      <c r="N227" s="10"/>
      <c r="O227" s="9"/>
      <c r="P227" s="9"/>
      <c r="Q227" s="9">
        <v>-45</v>
      </c>
      <c r="R227" s="9">
        <v>309</v>
      </c>
      <c r="S227" s="9">
        <v>264</v>
      </c>
      <c r="T227" s="13">
        <f t="shared" si="11"/>
        <v>37.130497476568131</v>
      </c>
      <c r="U227" s="13">
        <f t="shared" si="12"/>
        <v>31.723143475126172</v>
      </c>
      <c r="V227" s="13">
        <f t="shared" si="13"/>
        <v>-5.4073540014419592</v>
      </c>
      <c r="W227" s="9"/>
      <c r="X227" s="9"/>
      <c r="Y227" s="9"/>
      <c r="Z227" s="9"/>
      <c r="AA227" s="9"/>
      <c r="AB227" s="9"/>
      <c r="AC227" s="9"/>
      <c r="AD227" s="9"/>
      <c r="AE227" s="9"/>
      <c r="AF227" s="9"/>
    </row>
    <row r="228" spans="1:32" ht="29">
      <c r="A228" s="3" t="s">
        <v>3488</v>
      </c>
      <c r="B228" s="3" t="s">
        <v>3489</v>
      </c>
      <c r="C228" s="3" t="s">
        <v>3490</v>
      </c>
      <c r="G228" s="9" t="s">
        <v>12118</v>
      </c>
      <c r="H228" s="9"/>
      <c r="I228" s="9"/>
      <c r="J228" s="9"/>
      <c r="K228" s="9"/>
      <c r="L228" s="9"/>
      <c r="M228" s="9"/>
      <c r="N228" s="10"/>
      <c r="O228" s="9"/>
      <c r="P228" s="9"/>
      <c r="Q228" s="9">
        <v>0</v>
      </c>
      <c r="R228" s="9">
        <v>1</v>
      </c>
      <c r="S228" s="9">
        <v>1</v>
      </c>
      <c r="T228" s="13">
        <f t="shared" si="11"/>
        <v>0.12016342225426581</v>
      </c>
      <c r="U228" s="13">
        <f t="shared" si="12"/>
        <v>0.12016342225426581</v>
      </c>
      <c r="V228" s="13">
        <f t="shared" si="13"/>
        <v>0</v>
      </c>
      <c r="W228" s="9"/>
      <c r="X228" s="9"/>
      <c r="Y228" s="9"/>
      <c r="Z228" s="9"/>
      <c r="AA228" s="9"/>
      <c r="AB228" s="9"/>
      <c r="AC228" s="9"/>
      <c r="AD228" s="9"/>
      <c r="AE228" s="9"/>
      <c r="AF228" s="9"/>
    </row>
    <row r="229" spans="1:32" ht="29">
      <c r="A229" s="3" t="s">
        <v>3502</v>
      </c>
      <c r="B229" s="3" t="s">
        <v>9239</v>
      </c>
      <c r="C229" s="3" t="s">
        <v>9238</v>
      </c>
      <c r="G229" s="9" t="s">
        <v>12118</v>
      </c>
      <c r="H229" s="9"/>
      <c r="I229" s="9"/>
      <c r="J229" s="9"/>
      <c r="K229" s="9"/>
      <c r="L229" s="9"/>
      <c r="M229" s="9"/>
      <c r="N229" s="10"/>
      <c r="O229" s="9"/>
      <c r="P229" s="9"/>
      <c r="Q229" s="9">
        <v>-14</v>
      </c>
      <c r="R229" s="9">
        <v>148</v>
      </c>
      <c r="S229" s="9">
        <v>134</v>
      </c>
      <c r="T229" s="13">
        <f t="shared" si="11"/>
        <v>17.784186493631339</v>
      </c>
      <c r="U229" s="13">
        <f t="shared" si="12"/>
        <v>16.101898582071616</v>
      </c>
      <c r="V229" s="13">
        <f t="shared" si="13"/>
        <v>-1.6822879115597225</v>
      </c>
      <c r="W229" s="9"/>
      <c r="X229" s="9"/>
      <c r="Y229" s="9"/>
      <c r="Z229" s="9"/>
      <c r="AA229" s="9"/>
      <c r="AB229" s="9"/>
      <c r="AC229" s="9"/>
      <c r="AD229" s="9"/>
      <c r="AE229" s="9"/>
      <c r="AF229" s="9"/>
    </row>
    <row r="230" spans="1:32" ht="29">
      <c r="A230" s="3" t="s">
        <v>3504</v>
      </c>
      <c r="B230" s="3" t="s">
        <v>9245</v>
      </c>
      <c r="C230" s="3" t="s">
        <v>9244</v>
      </c>
      <c r="G230" s="9" t="s">
        <v>12118</v>
      </c>
      <c r="H230" s="9"/>
      <c r="I230" s="9"/>
      <c r="J230" s="9"/>
      <c r="K230" s="9"/>
      <c r="L230" s="9"/>
      <c r="M230" s="9"/>
      <c r="N230" s="10"/>
      <c r="O230" s="9"/>
      <c r="P230" s="9"/>
      <c r="Q230" s="9">
        <v>-16</v>
      </c>
      <c r="R230" s="9">
        <v>29</v>
      </c>
      <c r="S230" s="9">
        <v>13</v>
      </c>
      <c r="T230" s="13">
        <f t="shared" si="11"/>
        <v>3.4847392453737083</v>
      </c>
      <c r="U230" s="13">
        <f t="shared" si="12"/>
        <v>1.5621244893054553</v>
      </c>
      <c r="V230" s="13">
        <f t="shared" si="13"/>
        <v>-1.9226147560682529</v>
      </c>
      <c r="W230" s="9"/>
      <c r="X230" s="9"/>
      <c r="Y230" s="9"/>
      <c r="Z230" s="9"/>
      <c r="AA230" s="9"/>
      <c r="AB230" s="9"/>
      <c r="AC230" s="9"/>
      <c r="AD230" s="9"/>
      <c r="AE230" s="9"/>
      <c r="AF230" s="9"/>
    </row>
    <row r="231" spans="1:32" ht="29">
      <c r="A231" s="3" t="s">
        <v>3512</v>
      </c>
      <c r="B231" s="3" t="s">
        <v>1900</v>
      </c>
      <c r="C231" s="3" t="s">
        <v>1234</v>
      </c>
      <c r="G231" s="9" t="s">
        <v>12118</v>
      </c>
      <c r="H231" s="9"/>
      <c r="I231" s="9"/>
      <c r="J231" s="9"/>
      <c r="K231" s="9"/>
      <c r="L231" s="9"/>
      <c r="M231" s="9"/>
      <c r="N231" s="10"/>
      <c r="O231" s="9"/>
      <c r="P231" s="9"/>
      <c r="Q231" s="9">
        <v>155</v>
      </c>
      <c r="R231" s="9">
        <v>352</v>
      </c>
      <c r="S231" s="9">
        <v>507</v>
      </c>
      <c r="T231" s="13">
        <f t="shared" si="11"/>
        <v>42.29752463350156</v>
      </c>
      <c r="U231" s="13">
        <f t="shared" si="12"/>
        <v>60.922855082912768</v>
      </c>
      <c r="V231" s="13">
        <f t="shared" si="13"/>
        <v>18.625330449411209</v>
      </c>
      <c r="W231" s="9"/>
      <c r="X231" s="9"/>
      <c r="Y231" s="9"/>
      <c r="Z231" s="9"/>
      <c r="AA231" s="9"/>
      <c r="AB231" s="9"/>
      <c r="AC231" s="9"/>
      <c r="AD231" s="9"/>
      <c r="AE231" s="9"/>
      <c r="AF231" s="9"/>
    </row>
    <row r="232" spans="1:32" ht="43.5">
      <c r="A232" s="3" t="s">
        <v>3516</v>
      </c>
      <c r="B232" s="3" t="s">
        <v>9269</v>
      </c>
      <c r="C232" s="3" t="s">
        <v>9270</v>
      </c>
      <c r="G232" s="9" t="s">
        <v>12118</v>
      </c>
      <c r="H232" s="9"/>
      <c r="I232" s="9"/>
      <c r="J232" s="9"/>
      <c r="K232" s="9"/>
      <c r="L232" s="9"/>
      <c r="M232" s="9"/>
      <c r="N232" s="10"/>
      <c r="O232" s="9"/>
      <c r="P232" s="9"/>
      <c r="Q232" s="9">
        <v>-4866</v>
      </c>
      <c r="R232" s="9">
        <v>5676</v>
      </c>
      <c r="S232" s="9">
        <v>810</v>
      </c>
      <c r="T232" s="13">
        <f t="shared" si="11"/>
        <v>682.04758471521268</v>
      </c>
      <c r="U232" s="13">
        <f t="shared" si="12"/>
        <v>97.332372025955294</v>
      </c>
      <c r="V232" s="13">
        <f t="shared" si="13"/>
        <v>-584.71521268925744</v>
      </c>
      <c r="W232" s="9"/>
      <c r="X232" s="9"/>
      <c r="Y232" s="9"/>
      <c r="Z232" s="9"/>
      <c r="AA232" s="9"/>
      <c r="AB232" s="9"/>
      <c r="AC232" s="9"/>
      <c r="AD232" s="9"/>
      <c r="AE232" s="9"/>
      <c r="AF232" s="9"/>
    </row>
    <row r="233" spans="1:32" ht="43.5">
      <c r="A233" s="3" t="s">
        <v>3516</v>
      </c>
      <c r="B233" s="3" t="s">
        <v>9272</v>
      </c>
      <c r="C233" s="3" t="s">
        <v>9271</v>
      </c>
      <c r="G233" s="9" t="s">
        <v>12118</v>
      </c>
      <c r="H233" s="9"/>
      <c r="I233" s="9"/>
      <c r="J233" s="9"/>
      <c r="K233" s="9"/>
      <c r="L233" s="9"/>
      <c r="M233" s="9"/>
      <c r="N233" s="10"/>
      <c r="O233" s="9"/>
      <c r="P233" s="9"/>
      <c r="Q233" s="9">
        <v>-333</v>
      </c>
      <c r="R233" s="9">
        <v>431</v>
      </c>
      <c r="S233" s="9">
        <v>98</v>
      </c>
      <c r="T233" s="13">
        <f t="shared" si="11"/>
        <v>51.790434991588562</v>
      </c>
      <c r="U233" s="13">
        <f t="shared" si="12"/>
        <v>11.77601538091805</v>
      </c>
      <c r="V233" s="13">
        <f t="shared" si="13"/>
        <v>-40.014419610670515</v>
      </c>
      <c r="W233" s="9"/>
      <c r="X233" s="9"/>
      <c r="Y233" s="9"/>
      <c r="Z233" s="9"/>
      <c r="AA233" s="9"/>
      <c r="AB233" s="9"/>
      <c r="AC233" s="9"/>
      <c r="AD233" s="9"/>
      <c r="AE233" s="9"/>
      <c r="AF233" s="9"/>
    </row>
    <row r="234" spans="1:32" ht="29">
      <c r="A234" s="3" t="s">
        <v>3520</v>
      </c>
      <c r="B234" s="3" t="s">
        <v>9279</v>
      </c>
      <c r="C234" s="3" t="s">
        <v>9280</v>
      </c>
      <c r="G234" s="9" t="s">
        <v>12118</v>
      </c>
      <c r="H234" s="9"/>
      <c r="I234" s="9"/>
      <c r="J234" s="9"/>
      <c r="K234" s="9"/>
      <c r="L234" s="9"/>
      <c r="M234" s="9"/>
      <c r="N234" s="10"/>
      <c r="O234" s="9"/>
      <c r="P234" s="9"/>
      <c r="Q234" s="9">
        <v>743</v>
      </c>
      <c r="R234" s="9">
        <v>67</v>
      </c>
      <c r="S234" s="9">
        <v>810</v>
      </c>
      <c r="T234" s="13">
        <f t="shared" si="11"/>
        <v>8.050949291035808</v>
      </c>
      <c r="U234" s="13">
        <f t="shared" si="12"/>
        <v>97.332372025955294</v>
      </c>
      <c r="V234" s="13">
        <f t="shared" si="13"/>
        <v>89.281422734919488</v>
      </c>
      <c r="W234" s="9"/>
      <c r="X234" s="9"/>
      <c r="Y234" s="9"/>
      <c r="Z234" s="9"/>
      <c r="AA234" s="9"/>
      <c r="AB234" s="9"/>
      <c r="AC234" s="9"/>
      <c r="AD234" s="9"/>
      <c r="AE234" s="9"/>
      <c r="AF234" s="9"/>
    </row>
    <row r="235" spans="1:32" ht="29">
      <c r="A235" s="3" t="s">
        <v>3591</v>
      </c>
      <c r="B235" s="3" t="s">
        <v>9441</v>
      </c>
      <c r="C235" s="3" t="s">
        <v>9440</v>
      </c>
      <c r="G235" s="9" t="s">
        <v>12118</v>
      </c>
      <c r="H235" s="9"/>
      <c r="I235" s="9"/>
      <c r="J235" s="9"/>
      <c r="K235" s="9"/>
      <c r="L235" s="9"/>
      <c r="M235" s="9"/>
      <c r="N235" s="10"/>
      <c r="O235" s="9"/>
      <c r="P235" s="9"/>
      <c r="Q235" s="9">
        <v>-1500</v>
      </c>
      <c r="R235" s="9">
        <v>1565</v>
      </c>
      <c r="S235" s="9">
        <v>65</v>
      </c>
      <c r="T235" s="13">
        <f t="shared" si="11"/>
        <v>188.05575582792596</v>
      </c>
      <c r="U235" s="13">
        <f t="shared" si="12"/>
        <v>7.8106224465272769</v>
      </c>
      <c r="V235" s="13">
        <f t="shared" si="13"/>
        <v>-180.24513338139869</v>
      </c>
      <c r="W235" s="9"/>
      <c r="X235" s="9"/>
      <c r="Y235" s="9"/>
      <c r="Z235" s="9"/>
      <c r="AA235" s="9"/>
      <c r="AB235" s="9"/>
      <c r="AC235" s="9"/>
      <c r="AD235" s="9"/>
      <c r="AE235" s="9"/>
      <c r="AF235" s="9"/>
    </row>
    <row r="236" spans="1:32" ht="43.5">
      <c r="A236" s="3" t="s">
        <v>3612</v>
      </c>
      <c r="B236" s="3" t="s">
        <v>9477</v>
      </c>
      <c r="C236" s="3" t="s">
        <v>9478</v>
      </c>
      <c r="G236" s="9" t="s">
        <v>12118</v>
      </c>
      <c r="H236" s="9"/>
      <c r="I236" s="9"/>
      <c r="J236" s="9"/>
      <c r="K236" s="9"/>
      <c r="L236" s="9"/>
      <c r="M236" s="9"/>
      <c r="N236" s="10"/>
      <c r="O236" s="9"/>
      <c r="P236" s="9"/>
      <c r="Q236" s="9">
        <v>860</v>
      </c>
      <c r="R236" s="9">
        <v>27</v>
      </c>
      <c r="S236" s="9">
        <v>887</v>
      </c>
      <c r="T236" s="13">
        <f t="shared" si="11"/>
        <v>3.2444124008651767</v>
      </c>
      <c r="U236" s="13">
        <f t="shared" si="12"/>
        <v>106.58495553953377</v>
      </c>
      <c r="V236" s="13">
        <f t="shared" si="13"/>
        <v>103.34054313866859</v>
      </c>
      <c r="W236" s="9"/>
      <c r="X236" s="9"/>
      <c r="Y236" s="9"/>
      <c r="Z236" s="9"/>
      <c r="AA236" s="9"/>
      <c r="AB236" s="9"/>
      <c r="AC236" s="9"/>
      <c r="AD236" s="9"/>
      <c r="AE236" s="9"/>
      <c r="AF236" s="9"/>
    </row>
    <row r="237" spans="1:32" ht="43.5">
      <c r="A237" s="3" t="s">
        <v>3621</v>
      </c>
      <c r="B237" s="3" t="s">
        <v>9493</v>
      </c>
      <c r="C237" s="3" t="s">
        <v>9492</v>
      </c>
      <c r="G237" s="9" t="s">
        <v>12118</v>
      </c>
      <c r="H237" s="9"/>
      <c r="I237" s="9"/>
      <c r="J237" s="9"/>
      <c r="K237" s="9"/>
      <c r="L237" s="9"/>
      <c r="M237" s="9"/>
      <c r="N237" s="10"/>
      <c r="O237" s="9"/>
      <c r="P237" s="9"/>
      <c r="Q237" s="9">
        <v>164</v>
      </c>
      <c r="R237" s="9">
        <v>308</v>
      </c>
      <c r="S237" s="9">
        <v>472</v>
      </c>
      <c r="T237" s="13">
        <f t="shared" si="11"/>
        <v>37.010334054313866</v>
      </c>
      <c r="U237" s="13">
        <f t="shared" si="12"/>
        <v>56.71713530401346</v>
      </c>
      <c r="V237" s="13">
        <f t="shared" si="13"/>
        <v>19.706801249699595</v>
      </c>
      <c r="W237" s="9"/>
      <c r="X237" s="9"/>
      <c r="Y237" s="9"/>
      <c r="Z237" s="9"/>
      <c r="AA237" s="9"/>
      <c r="AB237" s="9"/>
      <c r="AC237" s="9"/>
      <c r="AD237" s="9"/>
      <c r="AE237" s="9"/>
      <c r="AF237" s="9"/>
    </row>
    <row r="238" spans="1:32" ht="58">
      <c r="A238" s="3" t="s">
        <v>3631</v>
      </c>
      <c r="B238" s="3" t="s">
        <v>9523</v>
      </c>
      <c r="C238" s="3" t="s">
        <v>9524</v>
      </c>
      <c r="F238" t="s">
        <v>19</v>
      </c>
      <c r="G238" s="9" t="s">
        <v>12118</v>
      </c>
      <c r="H238" s="9"/>
      <c r="I238" s="9"/>
      <c r="J238" s="9"/>
      <c r="K238" s="9"/>
      <c r="L238" s="9"/>
      <c r="M238" s="9"/>
      <c r="N238" s="10"/>
      <c r="O238" s="9"/>
      <c r="P238" s="9"/>
      <c r="Q238" s="9">
        <v>-11063</v>
      </c>
      <c r="R238" s="9">
        <v>11843</v>
      </c>
      <c r="S238" s="9">
        <v>780</v>
      </c>
      <c r="T238" s="13">
        <f t="shared" si="11"/>
        <v>1423.0954097572699</v>
      </c>
      <c r="U238" s="13">
        <f t="shared" si="12"/>
        <v>93.727469358327326</v>
      </c>
      <c r="V238" s="13">
        <f t="shared" si="13"/>
        <v>-1329.3679403989424</v>
      </c>
      <c r="W238" s="9"/>
      <c r="X238" s="9"/>
      <c r="Y238" s="9"/>
      <c r="Z238" s="9"/>
      <c r="AA238" s="9"/>
      <c r="AB238" s="9"/>
      <c r="AC238" s="9"/>
      <c r="AD238" s="9"/>
      <c r="AE238" s="9"/>
      <c r="AF238" s="9"/>
    </row>
    <row r="239" spans="1:32" ht="29">
      <c r="A239" s="3" t="s">
        <v>3665</v>
      </c>
      <c r="B239" s="3" t="s">
        <v>3666</v>
      </c>
      <c r="C239" s="3" t="s">
        <v>3667</v>
      </c>
      <c r="G239" s="9" t="s">
        <v>12118</v>
      </c>
      <c r="H239" s="9"/>
      <c r="I239" s="9"/>
      <c r="J239" s="9"/>
      <c r="K239" s="9"/>
      <c r="L239" s="9"/>
      <c r="M239" s="9"/>
      <c r="N239" s="10"/>
      <c r="O239" s="9"/>
      <c r="P239" s="9"/>
      <c r="Q239" s="9">
        <v>70</v>
      </c>
      <c r="R239" s="9">
        <v>5</v>
      </c>
      <c r="S239" s="9">
        <v>75</v>
      </c>
      <c r="T239" s="13">
        <f t="shared" si="11"/>
        <v>0.60081711127132897</v>
      </c>
      <c r="U239" s="13">
        <f t="shared" si="12"/>
        <v>9.0122566690699344</v>
      </c>
      <c r="V239" s="13">
        <f t="shared" si="13"/>
        <v>8.4114395577986052</v>
      </c>
      <c r="W239" s="9"/>
      <c r="X239" s="9"/>
      <c r="Y239" s="9"/>
      <c r="Z239" s="9"/>
      <c r="AA239" s="9"/>
      <c r="AB239" s="9"/>
      <c r="AC239" s="9"/>
      <c r="AD239" s="9"/>
      <c r="AE239" s="9"/>
      <c r="AF239" s="9"/>
    </row>
    <row r="240" spans="1:32" ht="29">
      <c r="A240" s="3" t="s">
        <v>3665</v>
      </c>
      <c r="B240" s="3" t="s">
        <v>9576</v>
      </c>
      <c r="C240" s="3" t="s">
        <v>9577</v>
      </c>
      <c r="G240" s="9" t="s">
        <v>12118</v>
      </c>
      <c r="H240" s="9"/>
      <c r="I240" s="9"/>
      <c r="J240" s="9"/>
      <c r="K240" s="9"/>
      <c r="L240" s="9"/>
      <c r="M240" s="9"/>
      <c r="N240" s="10"/>
      <c r="O240" s="9"/>
      <c r="P240" s="9"/>
      <c r="Q240" s="9">
        <v>1706</v>
      </c>
      <c r="R240" s="9">
        <v>336</v>
      </c>
      <c r="S240" s="9">
        <v>2042</v>
      </c>
      <c r="T240" s="13">
        <f t="shared" si="11"/>
        <v>40.374909877433311</v>
      </c>
      <c r="U240" s="13">
        <f t="shared" si="12"/>
        <v>245.37370824321076</v>
      </c>
      <c r="V240" s="13">
        <f t="shared" si="13"/>
        <v>204.99879836577745</v>
      </c>
      <c r="W240" s="9"/>
      <c r="X240" s="9"/>
      <c r="Y240" s="9"/>
      <c r="Z240" s="9"/>
      <c r="AA240" s="9"/>
      <c r="AB240" s="9"/>
      <c r="AC240" s="9"/>
      <c r="AD240" s="9"/>
      <c r="AE240" s="9"/>
      <c r="AF240" s="9"/>
    </row>
    <row r="241" spans="1:32" ht="29">
      <c r="A241" s="3" t="s">
        <v>3696</v>
      </c>
      <c r="B241" s="3" t="s">
        <v>3698</v>
      </c>
      <c r="C241" s="3" t="s">
        <v>3697</v>
      </c>
      <c r="G241" s="9" t="s">
        <v>12118</v>
      </c>
      <c r="H241" s="9"/>
      <c r="I241" s="9"/>
      <c r="J241" s="9"/>
      <c r="K241" s="9"/>
      <c r="L241" s="9"/>
      <c r="M241" s="9"/>
      <c r="N241" s="10"/>
      <c r="O241" s="9"/>
      <c r="P241" s="9"/>
      <c r="Q241" s="9">
        <v>36</v>
      </c>
      <c r="R241" s="9">
        <v>1</v>
      </c>
      <c r="S241" s="9">
        <v>37</v>
      </c>
      <c r="T241" s="13">
        <f t="shared" si="11"/>
        <v>0.12016342225426581</v>
      </c>
      <c r="U241" s="13">
        <f t="shared" si="12"/>
        <v>4.4460466234078346</v>
      </c>
      <c r="V241" s="13">
        <f t="shared" si="13"/>
        <v>4.3258832011535686</v>
      </c>
      <c r="W241" s="9"/>
      <c r="X241" s="9"/>
      <c r="Y241" s="9"/>
      <c r="Z241" s="9"/>
      <c r="AA241" s="9"/>
      <c r="AB241" s="9"/>
      <c r="AC241" s="9"/>
      <c r="AD241" s="9"/>
      <c r="AE241" s="9"/>
      <c r="AF241" s="9"/>
    </row>
    <row r="242" spans="1:32" ht="43.5">
      <c r="A242" s="3" t="s">
        <v>3703</v>
      </c>
      <c r="B242" s="3" t="s">
        <v>9613</v>
      </c>
      <c r="C242" s="3" t="s">
        <v>9614</v>
      </c>
      <c r="G242" s="9" t="s">
        <v>12118</v>
      </c>
      <c r="H242" s="9"/>
      <c r="I242" s="9"/>
      <c r="J242" s="9"/>
      <c r="K242" s="9"/>
      <c r="L242" s="9"/>
      <c r="M242" s="9"/>
      <c r="N242" s="10"/>
      <c r="O242" s="9"/>
      <c r="P242" s="9"/>
      <c r="Q242" s="9">
        <v>-531</v>
      </c>
      <c r="R242" s="9">
        <v>887</v>
      </c>
      <c r="S242" s="9">
        <v>356</v>
      </c>
      <c r="T242" s="13">
        <f t="shared" si="11"/>
        <v>106.58495553953377</v>
      </c>
      <c r="U242" s="13">
        <f t="shared" si="12"/>
        <v>42.778178322518627</v>
      </c>
      <c r="V242" s="13">
        <f t="shared" si="13"/>
        <v>-63.806777217015139</v>
      </c>
      <c r="W242" s="9"/>
      <c r="X242" s="9"/>
      <c r="Y242" s="9"/>
      <c r="Z242" s="9"/>
      <c r="AA242" s="9"/>
      <c r="AB242" s="9"/>
      <c r="AC242" s="9"/>
      <c r="AD242" s="9"/>
      <c r="AE242" s="9"/>
      <c r="AF242" s="9"/>
    </row>
    <row r="243" spans="1:32" ht="29">
      <c r="A243" s="3" t="s">
        <v>3709</v>
      </c>
      <c r="B243" s="3" t="s">
        <v>3711</v>
      </c>
      <c r="C243" s="3" t="s">
        <v>3710</v>
      </c>
      <c r="F243" t="s">
        <v>19</v>
      </c>
      <c r="G243" s="9" t="s">
        <v>12118</v>
      </c>
      <c r="H243" s="9"/>
      <c r="I243" s="9"/>
      <c r="J243" s="9"/>
      <c r="K243" s="9"/>
      <c r="L243" s="9"/>
      <c r="M243" s="9"/>
      <c r="N243" s="10"/>
      <c r="O243" s="9"/>
      <c r="P243" s="9"/>
      <c r="Q243" s="9">
        <v>-25</v>
      </c>
      <c r="R243" s="9">
        <v>27</v>
      </c>
      <c r="S243" s="9">
        <v>2</v>
      </c>
      <c r="T243" s="13">
        <f t="shared" si="11"/>
        <v>3.2444124008651767</v>
      </c>
      <c r="U243" s="13">
        <f t="shared" si="12"/>
        <v>0.24032684450853162</v>
      </c>
      <c r="V243" s="13">
        <f t="shared" si="13"/>
        <v>-3.0040855563566451</v>
      </c>
      <c r="W243" s="9"/>
      <c r="X243" s="9"/>
      <c r="Y243" s="9"/>
      <c r="Z243" s="9"/>
      <c r="AA243" s="9"/>
      <c r="AB243" s="9"/>
      <c r="AC243" s="9"/>
      <c r="AD243" s="9"/>
      <c r="AE243" s="9"/>
      <c r="AF243" s="9"/>
    </row>
    <row r="244" spans="1:32" ht="29">
      <c r="A244" s="3" t="s">
        <v>3721</v>
      </c>
      <c r="B244" s="3" t="s">
        <v>9650</v>
      </c>
      <c r="C244" s="3" t="s">
        <v>9651</v>
      </c>
      <c r="G244" s="9" t="s">
        <v>12118</v>
      </c>
      <c r="H244" s="9"/>
      <c r="I244" s="9"/>
      <c r="J244" s="9"/>
      <c r="K244" s="9"/>
      <c r="L244" s="9"/>
      <c r="M244" s="9"/>
      <c r="N244" s="10"/>
      <c r="O244" s="9"/>
      <c r="P244" s="9"/>
      <c r="Q244" s="9">
        <v>-188</v>
      </c>
      <c r="R244" s="9">
        <v>207</v>
      </c>
      <c r="S244" s="9">
        <v>19</v>
      </c>
      <c r="T244" s="13">
        <f t="shared" si="11"/>
        <v>24.873828406633024</v>
      </c>
      <c r="U244" s="13">
        <f t="shared" si="12"/>
        <v>2.2831050228310503</v>
      </c>
      <c r="V244" s="13">
        <f t="shared" si="13"/>
        <v>-22.590723383801972</v>
      </c>
      <c r="W244" s="9"/>
      <c r="X244" s="9"/>
      <c r="Y244" s="9"/>
      <c r="Z244" s="9"/>
      <c r="AA244" s="9"/>
      <c r="AB244" s="9"/>
      <c r="AC244" s="9"/>
      <c r="AD244" s="9"/>
      <c r="AE244" s="9"/>
      <c r="AF244" s="9"/>
    </row>
    <row r="245" spans="1:32" ht="43.5">
      <c r="A245" s="3" t="s">
        <v>3742</v>
      </c>
      <c r="B245" s="3" t="s">
        <v>9676</v>
      </c>
      <c r="C245" s="3" t="s">
        <v>9675</v>
      </c>
      <c r="G245" s="9" t="s">
        <v>12118</v>
      </c>
      <c r="H245" s="9"/>
      <c r="I245" s="9"/>
      <c r="J245" s="9"/>
      <c r="K245" s="9"/>
      <c r="L245" s="9"/>
      <c r="M245" s="9"/>
      <c r="N245" s="10"/>
      <c r="O245" s="9"/>
      <c r="P245" s="9"/>
      <c r="Q245" s="9">
        <v>-14</v>
      </c>
      <c r="R245" s="9">
        <v>148</v>
      </c>
      <c r="S245" s="9">
        <v>134</v>
      </c>
      <c r="T245" s="13">
        <f t="shared" si="11"/>
        <v>17.784186493631339</v>
      </c>
      <c r="U245" s="13">
        <f t="shared" si="12"/>
        <v>16.101898582071616</v>
      </c>
      <c r="V245" s="13">
        <f t="shared" si="13"/>
        <v>-1.6822879115597225</v>
      </c>
      <c r="W245" s="9"/>
      <c r="X245" s="9"/>
      <c r="Y245" s="9"/>
      <c r="Z245" s="9"/>
      <c r="AA245" s="9"/>
      <c r="AB245" s="9"/>
      <c r="AC245" s="9"/>
      <c r="AD245" s="9"/>
      <c r="AE245" s="9"/>
      <c r="AF245" s="9"/>
    </row>
    <row r="246" spans="1:32" ht="29">
      <c r="A246" s="3" t="s">
        <v>3746</v>
      </c>
      <c r="B246" s="3" t="s">
        <v>2919</v>
      </c>
      <c r="C246" s="3" t="s">
        <v>3747</v>
      </c>
      <c r="G246" s="9" t="s">
        <v>12118</v>
      </c>
      <c r="H246" s="9"/>
      <c r="I246" s="9"/>
      <c r="J246" s="9"/>
      <c r="K246" s="9"/>
      <c r="L246" s="9"/>
      <c r="M246" s="9"/>
      <c r="N246" s="10"/>
      <c r="O246" s="9"/>
      <c r="P246" s="9"/>
      <c r="Q246" s="9">
        <v>0</v>
      </c>
      <c r="R246" s="9">
        <v>7</v>
      </c>
      <c r="S246" s="9">
        <v>7</v>
      </c>
      <c r="T246" s="13">
        <f t="shared" si="11"/>
        <v>0.84114395577986056</v>
      </c>
      <c r="U246" s="13">
        <f t="shared" si="12"/>
        <v>0.84114395577986056</v>
      </c>
      <c r="V246" s="13">
        <f t="shared" si="13"/>
        <v>0</v>
      </c>
      <c r="W246" s="9"/>
      <c r="X246" s="9"/>
      <c r="Y246" s="9"/>
      <c r="Z246" s="9"/>
      <c r="AA246" s="9"/>
      <c r="AB246" s="9"/>
      <c r="AC246" s="9"/>
      <c r="AD246" s="9"/>
      <c r="AE246" s="9"/>
      <c r="AF246" s="9"/>
    </row>
    <row r="247" spans="1:32" ht="101.5">
      <c r="A247" s="3" t="s">
        <v>3775</v>
      </c>
      <c r="B247" s="3" t="s">
        <v>9751</v>
      </c>
      <c r="C247" s="3" t="s">
        <v>9752</v>
      </c>
      <c r="G247" s="9" t="s">
        <v>12118</v>
      </c>
      <c r="H247" s="9"/>
      <c r="I247" s="9"/>
      <c r="J247" s="9"/>
      <c r="K247" s="9"/>
      <c r="L247" s="9"/>
      <c r="M247" s="9"/>
      <c r="N247" s="10"/>
      <c r="O247" s="9"/>
      <c r="P247" s="9"/>
      <c r="Q247" s="9">
        <v>10913</v>
      </c>
      <c r="R247" s="9">
        <v>930</v>
      </c>
      <c r="S247" s="9">
        <v>11843</v>
      </c>
      <c r="T247" s="13">
        <f t="shared" si="11"/>
        <v>111.75198269646719</v>
      </c>
      <c r="U247" s="13">
        <f t="shared" si="12"/>
        <v>1423.0954097572699</v>
      </c>
      <c r="V247" s="13">
        <f t="shared" si="13"/>
        <v>1311.3434270608027</v>
      </c>
      <c r="W247" s="9"/>
      <c r="X247" s="9"/>
      <c r="Y247" s="9"/>
      <c r="Z247" s="9"/>
      <c r="AA247" s="9"/>
      <c r="AB247" s="9"/>
      <c r="AC247" s="9"/>
      <c r="AD247" s="9"/>
      <c r="AE247" s="9"/>
      <c r="AF247" s="9"/>
    </row>
    <row r="248" spans="1:32" ht="43.5">
      <c r="A248" s="3" t="s">
        <v>3778</v>
      </c>
      <c r="B248" s="3" t="s">
        <v>9762</v>
      </c>
      <c r="C248" s="3" t="s">
        <v>12506</v>
      </c>
      <c r="G248" s="9" t="s">
        <v>12118</v>
      </c>
      <c r="H248" s="9"/>
      <c r="I248" s="9"/>
      <c r="J248" s="9"/>
      <c r="K248" s="9"/>
      <c r="L248" s="9"/>
      <c r="M248" s="9"/>
      <c r="N248" s="10"/>
      <c r="O248" s="9"/>
      <c r="P248" s="9"/>
      <c r="Q248" s="9">
        <v>930</v>
      </c>
      <c r="R248" s="9">
        <v>0</v>
      </c>
      <c r="S248" s="9">
        <v>930</v>
      </c>
      <c r="T248" s="13">
        <f t="shared" si="11"/>
        <v>0</v>
      </c>
      <c r="U248" s="13">
        <f t="shared" si="12"/>
        <v>111.75198269646719</v>
      </c>
      <c r="V248" s="13">
        <f t="shared" si="13"/>
        <v>111.75198269646719</v>
      </c>
      <c r="W248" s="9"/>
      <c r="X248" s="9"/>
      <c r="Y248" s="9"/>
      <c r="Z248" s="9"/>
      <c r="AA248" s="9"/>
      <c r="AB248" s="9"/>
      <c r="AC248" s="9"/>
      <c r="AD248" s="9"/>
      <c r="AE248" s="9"/>
      <c r="AF248" s="9"/>
    </row>
    <row r="249" spans="1:32" ht="29">
      <c r="A249" s="3" t="s">
        <v>3778</v>
      </c>
      <c r="B249" s="3" t="s">
        <v>3779</v>
      </c>
      <c r="C249" s="3" t="s">
        <v>3780</v>
      </c>
      <c r="G249" s="9" t="s">
        <v>12118</v>
      </c>
      <c r="H249" s="9"/>
      <c r="I249" s="9"/>
      <c r="J249" s="9"/>
      <c r="K249" s="9"/>
      <c r="L249" s="9"/>
      <c r="M249" s="9"/>
      <c r="N249" s="10"/>
      <c r="O249" s="9"/>
      <c r="P249" s="9"/>
      <c r="Q249" s="9">
        <v>3</v>
      </c>
      <c r="R249" s="9">
        <v>1</v>
      </c>
      <c r="S249" s="9">
        <v>4</v>
      </c>
      <c r="T249" s="13">
        <f t="shared" si="11"/>
        <v>0.12016342225426581</v>
      </c>
      <c r="U249" s="13">
        <f t="shared" si="12"/>
        <v>0.48065368901706323</v>
      </c>
      <c r="V249" s="13">
        <f t="shared" si="13"/>
        <v>0.36049026676279744</v>
      </c>
      <c r="W249" s="9"/>
      <c r="X249" s="9"/>
      <c r="Y249" s="9"/>
      <c r="Z249" s="9"/>
      <c r="AA249" s="9"/>
      <c r="AB249" s="9"/>
      <c r="AC249" s="9"/>
      <c r="AD249" s="9"/>
      <c r="AE249" s="9"/>
      <c r="AF249" s="9"/>
    </row>
    <row r="250" spans="1:32" ht="29">
      <c r="A250" s="3" t="s">
        <v>3797</v>
      </c>
      <c r="B250" s="3" t="s">
        <v>9792</v>
      </c>
      <c r="C250" s="3" t="s">
        <v>9791</v>
      </c>
      <c r="G250" s="9" t="s">
        <v>12118</v>
      </c>
      <c r="H250" s="9"/>
      <c r="I250" s="9"/>
      <c r="J250" s="9"/>
      <c r="K250" s="9"/>
      <c r="L250" s="9"/>
      <c r="M250" s="9"/>
      <c r="N250" s="10"/>
      <c r="O250" s="9"/>
      <c r="P250" s="9"/>
      <c r="Q250" s="9">
        <v>-3710</v>
      </c>
      <c r="R250" s="9">
        <v>5676</v>
      </c>
      <c r="S250" s="9">
        <v>1966</v>
      </c>
      <c r="T250" s="13">
        <f t="shared" si="11"/>
        <v>682.04758471521268</v>
      </c>
      <c r="U250" s="13">
        <f t="shared" si="12"/>
        <v>236.24128815188658</v>
      </c>
      <c r="V250" s="13">
        <f t="shared" si="13"/>
        <v>-445.8062965633261</v>
      </c>
      <c r="W250" s="9"/>
      <c r="X250" s="9"/>
      <c r="Y250" s="9"/>
      <c r="Z250" s="9"/>
      <c r="AA250" s="9"/>
      <c r="AB250" s="9"/>
      <c r="AC250" s="9"/>
      <c r="AD250" s="9"/>
      <c r="AE250" s="9"/>
      <c r="AF250" s="9"/>
    </row>
    <row r="251" spans="1:32" ht="29">
      <c r="A251" s="3" t="s">
        <v>3817</v>
      </c>
      <c r="B251" s="3" t="s">
        <v>9829</v>
      </c>
      <c r="C251" s="3" t="s">
        <v>9830</v>
      </c>
      <c r="G251" s="9" t="s">
        <v>12118</v>
      </c>
      <c r="H251" s="9"/>
      <c r="I251" s="9"/>
      <c r="J251" s="9"/>
      <c r="K251" s="9"/>
      <c r="L251" s="9"/>
      <c r="M251" s="9"/>
      <c r="N251" s="10"/>
      <c r="O251" s="9"/>
      <c r="P251" s="9"/>
      <c r="Q251" s="9">
        <v>560</v>
      </c>
      <c r="R251" s="9">
        <v>31</v>
      </c>
      <c r="S251" s="9">
        <v>591</v>
      </c>
      <c r="T251" s="13">
        <f t="shared" si="11"/>
        <v>3.7250660898822399</v>
      </c>
      <c r="U251" s="13">
        <f t="shared" si="12"/>
        <v>71.016582552271089</v>
      </c>
      <c r="V251" s="13">
        <f t="shared" si="13"/>
        <v>67.291516462388856</v>
      </c>
      <c r="W251" s="9"/>
      <c r="X251" s="9"/>
      <c r="Y251" s="9"/>
      <c r="Z251" s="9"/>
      <c r="AA251" s="9"/>
      <c r="AB251" s="9"/>
      <c r="AC251" s="9"/>
      <c r="AD251" s="9"/>
      <c r="AE251" s="9"/>
      <c r="AF251" s="9"/>
    </row>
    <row r="252" spans="1:32" ht="43.5">
      <c r="A252" s="3" t="s">
        <v>3832</v>
      </c>
      <c r="B252" s="3" t="s">
        <v>12510</v>
      </c>
      <c r="C252" s="3" t="s">
        <v>12511</v>
      </c>
      <c r="G252" s="9" t="s">
        <v>12118</v>
      </c>
      <c r="H252" s="9"/>
      <c r="I252" s="9"/>
      <c r="J252" s="9"/>
      <c r="K252" s="9"/>
      <c r="L252" s="9"/>
      <c r="M252" s="9"/>
      <c r="N252" s="10"/>
      <c r="O252" s="9"/>
      <c r="P252" s="9"/>
      <c r="Q252" s="9">
        <v>111</v>
      </c>
      <c r="R252" s="9">
        <v>361</v>
      </c>
      <c r="S252" s="9">
        <v>472</v>
      </c>
      <c r="T252" s="13">
        <f t="shared" si="11"/>
        <v>43.378995433789953</v>
      </c>
      <c r="U252" s="13">
        <f t="shared" si="12"/>
        <v>56.71713530401346</v>
      </c>
      <c r="V252" s="13">
        <f t="shared" si="13"/>
        <v>13.338139870223507</v>
      </c>
      <c r="W252" s="9"/>
      <c r="X252" s="9"/>
      <c r="Y252" s="9"/>
      <c r="Z252" s="9"/>
      <c r="AA252" s="9"/>
      <c r="AB252" s="9"/>
      <c r="AC252" s="9"/>
      <c r="AD252" s="9"/>
      <c r="AE252" s="9"/>
      <c r="AF252" s="9"/>
    </row>
    <row r="253" spans="1:32" ht="29">
      <c r="A253" s="3" t="s">
        <v>3851</v>
      </c>
      <c r="B253" s="3" t="s">
        <v>9913</v>
      </c>
      <c r="C253" s="3" t="s">
        <v>9914</v>
      </c>
      <c r="G253" s="9" t="s">
        <v>12118</v>
      </c>
      <c r="H253" s="9"/>
      <c r="I253" s="9"/>
      <c r="J253" s="9"/>
      <c r="K253" s="9"/>
      <c r="L253" s="9"/>
      <c r="M253" s="9"/>
      <c r="N253" s="10"/>
      <c r="O253" s="9"/>
      <c r="P253" s="9"/>
      <c r="Q253" s="9">
        <v>-33</v>
      </c>
      <c r="R253" s="9">
        <v>40</v>
      </c>
      <c r="S253" s="9">
        <v>7</v>
      </c>
      <c r="T253" s="13">
        <f t="shared" si="11"/>
        <v>4.8065368901706318</v>
      </c>
      <c r="U253" s="13">
        <f t="shared" si="12"/>
        <v>0.84114395577986056</v>
      </c>
      <c r="V253" s="13">
        <f t="shared" si="13"/>
        <v>-3.9653929343907715</v>
      </c>
      <c r="W253" s="9"/>
      <c r="X253" s="9"/>
      <c r="Y253" s="9"/>
      <c r="Z253" s="9"/>
      <c r="AA253" s="9"/>
      <c r="AB253" s="9"/>
      <c r="AC253" s="9"/>
      <c r="AD253" s="9"/>
      <c r="AE253" s="9"/>
      <c r="AF253" s="9"/>
    </row>
    <row r="254" spans="1:32" ht="43.5">
      <c r="A254" s="3" t="s">
        <v>3851</v>
      </c>
      <c r="B254" s="3" t="s">
        <v>9917</v>
      </c>
      <c r="C254" s="3" t="s">
        <v>9918</v>
      </c>
      <c r="G254" s="9" t="s">
        <v>12118</v>
      </c>
      <c r="H254" s="9"/>
      <c r="I254" s="9"/>
      <c r="J254" s="9"/>
      <c r="K254" s="9"/>
      <c r="L254" s="9"/>
      <c r="M254" s="9"/>
      <c r="N254" s="10"/>
      <c r="O254" s="9"/>
      <c r="P254" s="9"/>
      <c r="Q254" s="9">
        <v>-15</v>
      </c>
      <c r="R254" s="9">
        <v>21</v>
      </c>
      <c r="S254" s="9">
        <v>6</v>
      </c>
      <c r="T254" s="13">
        <f t="shared" si="11"/>
        <v>2.5234318673395819</v>
      </c>
      <c r="U254" s="13">
        <f t="shared" si="12"/>
        <v>0.72098053352559488</v>
      </c>
      <c r="V254" s="13">
        <f t="shared" si="13"/>
        <v>-1.8024513338139871</v>
      </c>
      <c r="W254" s="9"/>
      <c r="X254" s="9"/>
      <c r="Y254" s="9"/>
      <c r="Z254" s="9"/>
      <c r="AA254" s="9"/>
      <c r="AB254" s="9"/>
      <c r="AC254" s="9"/>
      <c r="AD254" s="9"/>
      <c r="AE254" s="9"/>
      <c r="AF254" s="9"/>
    </row>
    <row r="255" spans="1:32" ht="29">
      <c r="A255" s="3" t="s">
        <v>3853</v>
      </c>
      <c r="B255" s="3" t="s">
        <v>9931</v>
      </c>
      <c r="C255" s="3" t="s">
        <v>9932</v>
      </c>
      <c r="G255" s="9" t="s">
        <v>12118</v>
      </c>
      <c r="H255" s="9"/>
      <c r="I255" s="9"/>
      <c r="J255" s="9"/>
      <c r="K255" s="9"/>
      <c r="L255" s="9"/>
      <c r="M255" s="9"/>
      <c r="N255" s="10"/>
      <c r="O255" s="9"/>
      <c r="P255" s="9"/>
      <c r="Q255" s="9">
        <v>50</v>
      </c>
      <c r="R255" s="9">
        <v>37</v>
      </c>
      <c r="S255" s="9">
        <v>87</v>
      </c>
      <c r="T255" s="13">
        <f t="shared" si="11"/>
        <v>4.4460466234078346</v>
      </c>
      <c r="U255" s="13">
        <f t="shared" si="12"/>
        <v>10.454217736121125</v>
      </c>
      <c r="V255" s="13">
        <f t="shared" si="13"/>
        <v>6.0081711127132902</v>
      </c>
      <c r="W255" s="9"/>
      <c r="X255" s="9"/>
      <c r="Y255" s="9"/>
      <c r="Z255" s="9"/>
      <c r="AA255" s="9"/>
      <c r="AB255" s="9"/>
      <c r="AC255" s="9"/>
      <c r="AD255" s="9"/>
      <c r="AE255" s="9"/>
      <c r="AF255" s="9"/>
    </row>
    <row r="256" spans="1:32" ht="58">
      <c r="A256" s="3" t="s">
        <v>3858</v>
      </c>
      <c r="B256" s="3" t="s">
        <v>9943</v>
      </c>
      <c r="C256" s="3" t="s">
        <v>9944</v>
      </c>
      <c r="G256" s="9" t="s">
        <v>12118</v>
      </c>
      <c r="H256" s="9"/>
      <c r="I256" s="9"/>
      <c r="J256" s="9"/>
      <c r="K256" s="9"/>
      <c r="L256" s="9"/>
      <c r="M256" s="9"/>
      <c r="N256" s="10"/>
      <c r="O256" s="9"/>
      <c r="P256" s="9"/>
      <c r="Q256" s="9">
        <v>-245</v>
      </c>
      <c r="R256" s="9">
        <v>1741</v>
      </c>
      <c r="S256" s="9">
        <v>1496</v>
      </c>
      <c r="T256" s="13">
        <f t="shared" si="11"/>
        <v>209.20451814467677</v>
      </c>
      <c r="U256" s="13">
        <f t="shared" si="12"/>
        <v>179.76447969238166</v>
      </c>
      <c r="V256" s="13">
        <f t="shared" si="13"/>
        <v>-29.440038452295113</v>
      </c>
      <c r="W256" s="9"/>
      <c r="X256" s="9"/>
      <c r="Y256" s="9"/>
      <c r="Z256" s="9"/>
      <c r="AA256" s="9"/>
      <c r="AB256" s="9"/>
      <c r="AC256" s="9"/>
      <c r="AD256" s="9"/>
      <c r="AE256" s="9"/>
      <c r="AF256" s="9"/>
    </row>
    <row r="257" spans="1:32" ht="29">
      <c r="A257" s="3" t="s">
        <v>3862</v>
      </c>
      <c r="B257" s="3" t="s">
        <v>9966</v>
      </c>
      <c r="C257" s="3" t="s">
        <v>9965</v>
      </c>
      <c r="G257" s="9" t="s">
        <v>12118</v>
      </c>
      <c r="H257" s="9"/>
      <c r="I257" s="9"/>
      <c r="J257" s="9"/>
      <c r="K257" s="9"/>
      <c r="L257" s="9"/>
      <c r="M257" s="9"/>
      <c r="N257" s="10"/>
      <c r="O257" s="9"/>
      <c r="P257" s="9"/>
      <c r="Q257" s="9">
        <v>-734</v>
      </c>
      <c r="R257" s="9">
        <v>1294</v>
      </c>
      <c r="S257" s="9">
        <v>560</v>
      </c>
      <c r="T257" s="13">
        <f t="shared" si="11"/>
        <v>155.49146839701996</v>
      </c>
      <c r="U257" s="13">
        <f t="shared" si="12"/>
        <v>67.291516462388842</v>
      </c>
      <c r="V257" s="13">
        <f t="shared" si="13"/>
        <v>-88.199951934631116</v>
      </c>
      <c r="W257" s="9"/>
      <c r="X257" s="9"/>
      <c r="Y257" s="9"/>
      <c r="Z257" s="9"/>
      <c r="AA257" s="9"/>
      <c r="AB257" s="9"/>
      <c r="AC257" s="9"/>
      <c r="AD257" s="9"/>
      <c r="AE257" s="9"/>
      <c r="AF257" s="9"/>
    </row>
    <row r="258" spans="1:32" ht="130.5">
      <c r="A258" s="3" t="s">
        <v>3882</v>
      </c>
      <c r="B258" s="3" t="s">
        <v>9993</v>
      </c>
      <c r="C258" s="3" t="s">
        <v>9994</v>
      </c>
      <c r="G258" s="9" t="s">
        <v>12118</v>
      </c>
      <c r="H258" s="9"/>
      <c r="I258" s="9"/>
      <c r="J258" s="9"/>
      <c r="K258" s="9"/>
      <c r="L258" s="9"/>
      <c r="M258" s="9"/>
      <c r="N258" s="10"/>
      <c r="O258" s="9"/>
      <c r="P258" s="9"/>
      <c r="Q258" s="9">
        <v>7603</v>
      </c>
      <c r="R258" s="9">
        <v>4240</v>
      </c>
      <c r="S258" s="9">
        <v>11843</v>
      </c>
      <c r="T258" s="13">
        <f t="shared" ref="T258:T321" si="14">IF(ISNUMBER(R258), (R258/$E$353)*10000, "")</f>
        <v>509.49291035808699</v>
      </c>
      <c r="U258" s="13">
        <f t="shared" ref="U258:U321" si="15">IF(ISNUMBER(S258), (S258/$E$353)*10000, "")</f>
        <v>1423.0954097572699</v>
      </c>
      <c r="V258" s="13">
        <f t="shared" ref="V258:V321" si="16">IF(ISNUMBER(Q258), U258-T258, "")</f>
        <v>913.60249939918288</v>
      </c>
      <c r="W258" s="9"/>
      <c r="X258" s="9"/>
      <c r="Y258" s="9"/>
      <c r="Z258" s="9"/>
      <c r="AA258" s="9"/>
      <c r="AB258" s="9"/>
      <c r="AC258" s="9"/>
      <c r="AD258" s="9"/>
      <c r="AE258" s="9"/>
      <c r="AF258" s="9"/>
    </row>
    <row r="259" spans="1:32" ht="72.5">
      <c r="A259" s="3" t="s">
        <v>3885</v>
      </c>
      <c r="B259" s="3" t="s">
        <v>10011</v>
      </c>
      <c r="C259" s="3" t="s">
        <v>10012</v>
      </c>
      <c r="G259" s="9" t="s">
        <v>12118</v>
      </c>
      <c r="H259" s="9"/>
      <c r="I259" s="9"/>
      <c r="J259" s="9"/>
      <c r="K259" s="9"/>
      <c r="L259" s="9"/>
      <c r="M259" s="9"/>
      <c r="N259" s="10"/>
      <c r="O259" s="9"/>
      <c r="P259" s="9"/>
      <c r="Q259" s="9">
        <v>0</v>
      </c>
      <c r="R259" s="9">
        <v>12</v>
      </c>
      <c r="S259" s="9">
        <v>12</v>
      </c>
      <c r="T259" s="13">
        <f t="shared" si="14"/>
        <v>1.4419610670511898</v>
      </c>
      <c r="U259" s="13">
        <f t="shared" si="15"/>
        <v>1.4419610670511898</v>
      </c>
      <c r="V259" s="13">
        <f t="shared" si="16"/>
        <v>0</v>
      </c>
      <c r="W259" s="9"/>
      <c r="X259" s="9"/>
      <c r="Y259" s="9"/>
      <c r="Z259" s="9"/>
      <c r="AA259" s="9"/>
      <c r="AB259" s="9"/>
      <c r="AC259" s="9"/>
      <c r="AD259" s="9"/>
      <c r="AE259" s="9"/>
      <c r="AF259" s="9"/>
    </row>
    <row r="260" spans="1:32" ht="29">
      <c r="A260" s="3" t="s">
        <v>3890</v>
      </c>
      <c r="B260" s="3" t="s">
        <v>3892</v>
      </c>
      <c r="C260" s="3" t="s">
        <v>3893</v>
      </c>
      <c r="G260" s="9" t="s">
        <v>12118</v>
      </c>
      <c r="H260" s="9"/>
      <c r="I260" s="9"/>
      <c r="J260" s="9"/>
      <c r="K260" s="9"/>
      <c r="L260" s="9"/>
      <c r="M260" s="9"/>
      <c r="N260" s="10"/>
      <c r="O260" s="9"/>
      <c r="P260" s="9"/>
      <c r="Q260" s="9">
        <v>7</v>
      </c>
      <c r="R260" s="9">
        <v>0</v>
      </c>
      <c r="S260" s="9">
        <v>7</v>
      </c>
      <c r="T260" s="13">
        <f t="shared" si="14"/>
        <v>0</v>
      </c>
      <c r="U260" s="13">
        <f t="shared" si="15"/>
        <v>0.84114395577986056</v>
      </c>
      <c r="V260" s="13">
        <f t="shared" si="16"/>
        <v>0.84114395577986056</v>
      </c>
      <c r="W260" s="9"/>
      <c r="X260" s="9"/>
      <c r="Y260" s="9"/>
      <c r="Z260" s="9"/>
      <c r="AA260" s="9"/>
      <c r="AB260" s="9"/>
      <c r="AC260" s="9"/>
      <c r="AD260" s="9"/>
      <c r="AE260" s="9"/>
      <c r="AF260" s="9"/>
    </row>
    <row r="261" spans="1:32">
      <c r="A261" s="3" t="s">
        <v>3897</v>
      </c>
      <c r="B261" s="3" t="s">
        <v>10037</v>
      </c>
      <c r="C261" s="3" t="s">
        <v>10036</v>
      </c>
      <c r="G261" s="9" t="s">
        <v>12118</v>
      </c>
      <c r="H261" s="9"/>
      <c r="I261" s="9"/>
      <c r="J261" s="9"/>
      <c r="K261" s="9"/>
      <c r="L261" s="9"/>
      <c r="M261" s="9"/>
      <c r="N261" s="10"/>
      <c r="O261" s="9"/>
      <c r="P261" s="9"/>
      <c r="Q261" s="9">
        <v>245</v>
      </c>
      <c r="R261" s="9">
        <v>1496</v>
      </c>
      <c r="S261" s="9">
        <v>1741</v>
      </c>
      <c r="T261" s="13">
        <f t="shared" si="14"/>
        <v>179.76447969238166</v>
      </c>
      <c r="U261" s="13">
        <f t="shared" si="15"/>
        <v>209.20451814467677</v>
      </c>
      <c r="V261" s="13">
        <f t="shared" si="16"/>
        <v>29.440038452295113</v>
      </c>
      <c r="W261" s="9"/>
      <c r="X261" s="9"/>
      <c r="Y261" s="9"/>
      <c r="Z261" s="9"/>
      <c r="AA261" s="9"/>
      <c r="AB261" s="9"/>
      <c r="AC261" s="9"/>
      <c r="AD261" s="9"/>
      <c r="AE261" s="9"/>
      <c r="AF261" s="9"/>
    </row>
    <row r="262" spans="1:32" ht="29">
      <c r="A262" s="3" t="s">
        <v>3906</v>
      </c>
      <c r="B262" s="3" t="s">
        <v>12936</v>
      </c>
      <c r="C262" s="3" t="s">
        <v>10060</v>
      </c>
      <c r="G262" s="9" t="s">
        <v>12118</v>
      </c>
      <c r="H262" s="9"/>
      <c r="I262" s="9"/>
      <c r="J262" s="9"/>
      <c r="K262" s="9"/>
      <c r="L262" s="9"/>
      <c r="M262" s="9"/>
      <c r="N262" s="10"/>
      <c r="O262" s="9"/>
      <c r="P262" s="9"/>
      <c r="Q262" s="9">
        <v>-245</v>
      </c>
      <c r="R262" s="9">
        <v>1741</v>
      </c>
      <c r="S262" s="9">
        <v>1496</v>
      </c>
      <c r="T262" s="13">
        <f t="shared" si="14"/>
        <v>209.20451814467677</v>
      </c>
      <c r="U262" s="13">
        <f t="shared" si="15"/>
        <v>179.76447969238166</v>
      </c>
      <c r="V262" s="13">
        <f t="shared" si="16"/>
        <v>-29.440038452295113</v>
      </c>
      <c r="W262" s="9"/>
      <c r="X262" s="9"/>
      <c r="Y262" s="9"/>
      <c r="Z262" s="9"/>
      <c r="AA262" s="9"/>
      <c r="AB262" s="9"/>
      <c r="AC262" s="9"/>
      <c r="AD262" s="9"/>
      <c r="AE262" s="9"/>
      <c r="AF262" s="9"/>
    </row>
    <row r="263" spans="1:32" ht="101.5">
      <c r="A263" s="3" t="s">
        <v>3911</v>
      </c>
      <c r="B263" s="3" t="s">
        <v>10074</v>
      </c>
      <c r="C263" s="3" t="s">
        <v>10075</v>
      </c>
      <c r="G263" s="9" t="s">
        <v>12118</v>
      </c>
      <c r="H263" s="9"/>
      <c r="I263" s="9"/>
      <c r="J263" s="9"/>
      <c r="K263" s="9"/>
      <c r="L263" s="9"/>
      <c r="M263" s="9"/>
      <c r="N263" s="10"/>
      <c r="O263" s="9"/>
      <c r="P263" s="9"/>
      <c r="Q263" s="9">
        <v>11677</v>
      </c>
      <c r="R263" s="9">
        <v>166</v>
      </c>
      <c r="S263" s="9">
        <v>11843</v>
      </c>
      <c r="T263" s="13">
        <f t="shared" si="14"/>
        <v>19.947128094208121</v>
      </c>
      <c r="U263" s="13">
        <f t="shared" si="15"/>
        <v>1423.0954097572699</v>
      </c>
      <c r="V263" s="13">
        <f t="shared" si="16"/>
        <v>1403.1482816630617</v>
      </c>
      <c r="W263" s="9"/>
      <c r="X263" s="9"/>
      <c r="Y263" s="9"/>
      <c r="Z263" s="9"/>
      <c r="AA263" s="9"/>
      <c r="AB263" s="9"/>
      <c r="AC263" s="9"/>
      <c r="AD263" s="9"/>
      <c r="AE263" s="9"/>
      <c r="AF263" s="9"/>
    </row>
    <row r="264" spans="1:32" ht="29">
      <c r="A264" s="3" t="s">
        <v>3914</v>
      </c>
      <c r="B264" s="3" t="s">
        <v>10091</v>
      </c>
      <c r="C264" s="3" t="s">
        <v>10092</v>
      </c>
      <c r="G264" s="9" t="s">
        <v>12118</v>
      </c>
      <c r="H264" s="9"/>
      <c r="I264" s="9"/>
      <c r="J264" s="9"/>
      <c r="K264" s="9"/>
      <c r="L264" s="9"/>
      <c r="M264" s="9"/>
      <c r="N264" s="10"/>
      <c r="O264" s="9"/>
      <c r="P264" s="9"/>
      <c r="Q264" s="9">
        <v>-188</v>
      </c>
      <c r="R264" s="9">
        <v>207</v>
      </c>
      <c r="S264" s="9">
        <v>19</v>
      </c>
      <c r="T264" s="13">
        <f t="shared" si="14"/>
        <v>24.873828406633024</v>
      </c>
      <c r="U264" s="13">
        <f t="shared" si="15"/>
        <v>2.2831050228310503</v>
      </c>
      <c r="V264" s="13">
        <f t="shared" si="16"/>
        <v>-22.590723383801972</v>
      </c>
      <c r="W264" s="9"/>
      <c r="X264" s="9"/>
      <c r="Y264" s="9"/>
      <c r="Z264" s="9"/>
      <c r="AA264" s="9"/>
      <c r="AB264" s="9"/>
      <c r="AC264" s="9"/>
      <c r="AD264" s="9"/>
      <c r="AE264" s="9"/>
      <c r="AF264" s="9"/>
    </row>
    <row r="265" spans="1:32">
      <c r="A265" s="3" t="s">
        <v>3921</v>
      </c>
      <c r="B265" s="3" t="s">
        <v>10099</v>
      </c>
      <c r="C265" s="3" t="s">
        <v>10100</v>
      </c>
      <c r="G265" s="9" t="s">
        <v>12118</v>
      </c>
      <c r="H265" s="9"/>
      <c r="I265" s="9"/>
      <c r="J265" s="9"/>
      <c r="K265" s="9"/>
      <c r="L265" s="9"/>
      <c r="M265" s="9"/>
      <c r="N265" s="10"/>
      <c r="O265" s="9"/>
      <c r="P265" s="9"/>
      <c r="Q265" s="9">
        <v>245</v>
      </c>
      <c r="R265" s="9">
        <v>1496</v>
      </c>
      <c r="S265" s="9">
        <v>1741</v>
      </c>
      <c r="T265" s="13">
        <f t="shared" si="14"/>
        <v>179.76447969238166</v>
      </c>
      <c r="U265" s="13">
        <f t="shared" si="15"/>
        <v>209.20451814467677</v>
      </c>
      <c r="V265" s="13">
        <f t="shared" si="16"/>
        <v>29.440038452295113</v>
      </c>
      <c r="W265" s="9"/>
      <c r="X265" s="9"/>
      <c r="Y265" s="9"/>
      <c r="Z265" s="9"/>
      <c r="AA265" s="9"/>
      <c r="AB265" s="9"/>
      <c r="AC265" s="9"/>
      <c r="AD265" s="9"/>
      <c r="AE265" s="9"/>
      <c r="AF265" s="9"/>
    </row>
    <row r="266" spans="1:32" ht="58">
      <c r="A266" s="3" t="s">
        <v>3943</v>
      </c>
      <c r="B266" s="3" t="s">
        <v>10131</v>
      </c>
      <c r="C266" s="3" t="s">
        <v>10132</v>
      </c>
      <c r="G266" s="9" t="s">
        <v>12118</v>
      </c>
      <c r="H266" s="9"/>
      <c r="I266" s="9"/>
      <c r="J266" s="9"/>
      <c r="K266" s="9"/>
      <c r="L266" s="9"/>
      <c r="M266" s="9"/>
      <c r="N266" s="10"/>
      <c r="O266" s="9"/>
      <c r="P266" s="9"/>
      <c r="Q266" s="9">
        <v>-34</v>
      </c>
      <c r="R266" s="9">
        <v>74</v>
      </c>
      <c r="S266" s="9">
        <v>40</v>
      </c>
      <c r="T266" s="13">
        <f t="shared" si="14"/>
        <v>8.8920932468156693</v>
      </c>
      <c r="U266" s="13">
        <f t="shared" si="15"/>
        <v>4.8065368901706318</v>
      </c>
      <c r="V266" s="13">
        <f t="shared" si="16"/>
        <v>-4.0855563566450375</v>
      </c>
      <c r="W266" s="9"/>
      <c r="X266" s="9"/>
      <c r="Y266" s="9"/>
      <c r="Z266" s="9"/>
      <c r="AA266" s="9"/>
      <c r="AB266" s="9"/>
      <c r="AC266" s="9"/>
      <c r="AD266" s="9"/>
      <c r="AE266" s="9"/>
      <c r="AF266" s="9"/>
    </row>
    <row r="267" spans="1:32" ht="58">
      <c r="A267" s="3" t="s">
        <v>3995</v>
      </c>
      <c r="B267" s="3" t="s">
        <v>10208</v>
      </c>
      <c r="C267" s="3" t="s">
        <v>10209</v>
      </c>
      <c r="G267" s="9" t="s">
        <v>12118</v>
      </c>
      <c r="H267" s="9"/>
      <c r="I267" s="9"/>
      <c r="J267" s="9"/>
      <c r="K267" s="9"/>
      <c r="L267" s="9"/>
      <c r="M267" s="9"/>
      <c r="N267" s="10"/>
      <c r="O267" s="9"/>
      <c r="P267" s="9"/>
      <c r="Q267" s="9">
        <v>-330</v>
      </c>
      <c r="R267" s="9">
        <v>444</v>
      </c>
      <c r="S267" s="9">
        <v>114</v>
      </c>
      <c r="T267" s="13">
        <f t="shared" si="14"/>
        <v>53.352559480894016</v>
      </c>
      <c r="U267" s="13">
        <f t="shared" si="15"/>
        <v>13.698630136986301</v>
      </c>
      <c r="V267" s="13">
        <f t="shared" si="16"/>
        <v>-39.653929343907713</v>
      </c>
      <c r="W267" s="9"/>
      <c r="X267" s="9"/>
      <c r="Y267" s="9"/>
      <c r="Z267" s="9"/>
      <c r="AA267" s="9"/>
      <c r="AB267" s="9"/>
      <c r="AC267" s="9"/>
      <c r="AD267" s="9"/>
      <c r="AE267" s="9"/>
      <c r="AF267" s="9"/>
    </row>
    <row r="268" spans="1:32" ht="58">
      <c r="A268" s="3" t="s">
        <v>3996</v>
      </c>
      <c r="B268" s="3" t="s">
        <v>12523</v>
      </c>
      <c r="C268" s="3" t="s">
        <v>10212</v>
      </c>
      <c r="G268" s="9" t="s">
        <v>12118</v>
      </c>
      <c r="H268" s="9"/>
      <c r="I268" s="9"/>
      <c r="J268" s="9"/>
      <c r="K268" s="9"/>
      <c r="L268" s="9"/>
      <c r="M268" s="9"/>
      <c r="N268" s="10"/>
      <c r="O268" s="9"/>
      <c r="P268" s="9"/>
      <c r="Q268" s="9">
        <v>-24</v>
      </c>
      <c r="R268" s="9">
        <v>24</v>
      </c>
      <c r="S268" s="9">
        <v>0</v>
      </c>
      <c r="T268" s="13">
        <f t="shared" si="14"/>
        <v>2.8839221341023795</v>
      </c>
      <c r="U268" s="13">
        <f t="shared" si="15"/>
        <v>0</v>
      </c>
      <c r="V268" s="13">
        <f t="shared" si="16"/>
        <v>-2.8839221341023795</v>
      </c>
      <c r="W268" s="9"/>
      <c r="X268" s="9"/>
      <c r="Y268" s="9"/>
      <c r="Z268" s="9"/>
      <c r="AA268" s="9"/>
      <c r="AB268" s="9"/>
      <c r="AC268" s="9"/>
      <c r="AD268" s="9"/>
      <c r="AE268" s="9"/>
      <c r="AF268" s="9"/>
    </row>
    <row r="269" spans="1:32" ht="72.5">
      <c r="A269" s="3" t="s">
        <v>4001</v>
      </c>
      <c r="B269" s="3" t="s">
        <v>10225</v>
      </c>
      <c r="C269" s="3" t="s">
        <v>10224</v>
      </c>
      <c r="F269" t="s">
        <v>19</v>
      </c>
      <c r="G269" s="9" t="s">
        <v>12118</v>
      </c>
      <c r="H269" s="9"/>
      <c r="I269" s="9"/>
      <c r="J269" s="9"/>
      <c r="K269" s="9"/>
      <c r="L269" s="9"/>
      <c r="M269" s="9"/>
      <c r="N269" s="10"/>
      <c r="O269" s="9"/>
      <c r="P269" s="9"/>
      <c r="Q269" s="9">
        <v>-3710</v>
      </c>
      <c r="R269" s="9">
        <v>5676</v>
      </c>
      <c r="S269" s="9">
        <v>1966</v>
      </c>
      <c r="T269" s="13">
        <f t="shared" si="14"/>
        <v>682.04758471521268</v>
      </c>
      <c r="U269" s="13">
        <f t="shared" si="15"/>
        <v>236.24128815188658</v>
      </c>
      <c r="V269" s="13">
        <f t="shared" si="16"/>
        <v>-445.8062965633261</v>
      </c>
      <c r="W269" s="9"/>
      <c r="X269" s="9"/>
      <c r="Y269" s="9"/>
      <c r="Z269" s="9"/>
      <c r="AA269" s="9"/>
      <c r="AB269" s="9"/>
      <c r="AC269" s="9"/>
      <c r="AD269" s="9"/>
      <c r="AE269" s="9"/>
      <c r="AF269" s="9"/>
    </row>
    <row r="270" spans="1:32" ht="43.5">
      <c r="A270" s="3" t="s">
        <v>4008</v>
      </c>
      <c r="B270" s="3" t="s">
        <v>10245</v>
      </c>
      <c r="C270" s="3" t="s">
        <v>10244</v>
      </c>
      <c r="G270" s="9" t="s">
        <v>12118</v>
      </c>
      <c r="H270" s="9"/>
      <c r="I270" s="9"/>
      <c r="J270" s="9"/>
      <c r="K270" s="9"/>
      <c r="L270" s="9"/>
      <c r="M270" s="9"/>
      <c r="N270" s="10"/>
      <c r="O270" s="9"/>
      <c r="P270" s="9"/>
      <c r="Q270" s="9">
        <v>91</v>
      </c>
      <c r="R270" s="9">
        <v>14</v>
      </c>
      <c r="S270" s="9">
        <v>105</v>
      </c>
      <c r="T270" s="13">
        <f t="shared" si="14"/>
        <v>1.6822879115597211</v>
      </c>
      <c r="U270" s="13">
        <f t="shared" si="15"/>
        <v>12.617159336697908</v>
      </c>
      <c r="V270" s="13">
        <f t="shared" si="16"/>
        <v>10.934871425138187</v>
      </c>
      <c r="W270" s="9"/>
      <c r="X270" s="9"/>
      <c r="Y270" s="9"/>
      <c r="Z270" s="9"/>
      <c r="AA270" s="9"/>
      <c r="AB270" s="9"/>
      <c r="AC270" s="9"/>
      <c r="AD270" s="9"/>
      <c r="AE270" s="9"/>
      <c r="AF270" s="9"/>
    </row>
    <row r="271" spans="1:32" ht="87">
      <c r="A271" s="3" t="s">
        <v>4016</v>
      </c>
      <c r="B271" s="3" t="s">
        <v>10278</v>
      </c>
      <c r="C271" s="3" t="s">
        <v>10279</v>
      </c>
      <c r="G271" s="9" t="s">
        <v>12118</v>
      </c>
      <c r="H271" s="9"/>
      <c r="I271" s="9"/>
      <c r="J271" s="9"/>
      <c r="K271" s="9"/>
      <c r="L271" s="9"/>
      <c r="M271" s="9"/>
      <c r="N271" s="10"/>
      <c r="O271" s="9"/>
      <c r="P271" s="9"/>
      <c r="Q271" s="9">
        <v>-188</v>
      </c>
      <c r="R271" s="9">
        <v>207</v>
      </c>
      <c r="S271" s="9">
        <v>19</v>
      </c>
      <c r="T271" s="13">
        <f t="shared" si="14"/>
        <v>24.873828406633024</v>
      </c>
      <c r="U271" s="13">
        <f t="shared" si="15"/>
        <v>2.2831050228310503</v>
      </c>
      <c r="V271" s="13">
        <f t="shared" si="16"/>
        <v>-22.590723383801972</v>
      </c>
      <c r="W271" s="9"/>
      <c r="X271" s="9"/>
      <c r="Y271" s="9"/>
      <c r="Z271" s="9"/>
      <c r="AA271" s="9"/>
      <c r="AB271" s="9"/>
      <c r="AC271" s="9"/>
      <c r="AD271" s="9"/>
      <c r="AE271" s="9"/>
      <c r="AF271" s="9"/>
    </row>
    <row r="272" spans="1:32" ht="43.5">
      <c r="A272" s="3" t="s">
        <v>4016</v>
      </c>
      <c r="B272" s="3" t="s">
        <v>10286</v>
      </c>
      <c r="C272" s="3" t="s">
        <v>10287</v>
      </c>
      <c r="G272" s="9" t="s">
        <v>12118</v>
      </c>
      <c r="H272" s="9"/>
      <c r="I272" s="9"/>
      <c r="J272" s="9"/>
      <c r="K272" s="9"/>
      <c r="L272" s="9"/>
      <c r="M272" s="9"/>
      <c r="N272" s="10"/>
      <c r="O272" s="9"/>
      <c r="P272" s="9"/>
      <c r="Q272" s="9">
        <v>151</v>
      </c>
      <c r="R272" s="9">
        <v>5</v>
      </c>
      <c r="S272" s="9">
        <v>156</v>
      </c>
      <c r="T272" s="13">
        <f t="shared" si="14"/>
        <v>0.60081711127132897</v>
      </c>
      <c r="U272" s="13">
        <f t="shared" si="15"/>
        <v>18.745493871665467</v>
      </c>
      <c r="V272" s="13">
        <f t="shared" si="16"/>
        <v>18.144676760394137</v>
      </c>
      <c r="W272" s="9"/>
      <c r="X272" s="9"/>
      <c r="Y272" s="9"/>
      <c r="Z272" s="9"/>
      <c r="AA272" s="9"/>
      <c r="AB272" s="9"/>
      <c r="AC272" s="9"/>
      <c r="AD272" s="9"/>
      <c r="AE272" s="9"/>
      <c r="AF272" s="9"/>
    </row>
    <row r="273" spans="1:32" ht="29">
      <c r="A273" s="3" t="s">
        <v>4025</v>
      </c>
      <c r="B273" s="3" t="s">
        <v>10303</v>
      </c>
      <c r="C273" s="3" t="s">
        <v>10304</v>
      </c>
      <c r="G273" s="9" t="s">
        <v>12118</v>
      </c>
      <c r="H273" s="9"/>
      <c r="I273" s="9"/>
      <c r="J273" s="9"/>
      <c r="K273" s="9"/>
      <c r="L273" s="9"/>
      <c r="M273" s="9"/>
      <c r="N273" s="10"/>
      <c r="O273" s="9"/>
      <c r="P273" s="9"/>
      <c r="Q273" s="9">
        <v>-1800</v>
      </c>
      <c r="R273" s="9">
        <v>1966</v>
      </c>
      <c r="S273" s="9">
        <v>166</v>
      </c>
      <c r="T273" s="13">
        <f t="shared" si="14"/>
        <v>236.24128815188658</v>
      </c>
      <c r="U273" s="13">
        <f t="shared" si="15"/>
        <v>19.947128094208121</v>
      </c>
      <c r="V273" s="13">
        <f t="shared" si="16"/>
        <v>-216.29416005767845</v>
      </c>
      <c r="W273" s="9"/>
      <c r="X273" s="9"/>
      <c r="Y273" s="9"/>
      <c r="Z273" s="9"/>
      <c r="AA273" s="9"/>
      <c r="AB273" s="9"/>
      <c r="AC273" s="9"/>
      <c r="AD273" s="9"/>
      <c r="AE273" s="9"/>
      <c r="AF273" s="9"/>
    </row>
    <row r="274" spans="1:32" ht="29">
      <c r="A274" s="3" t="s">
        <v>4036</v>
      </c>
      <c r="B274" s="3" t="s">
        <v>10323</v>
      </c>
      <c r="C274" s="3" t="s">
        <v>10322</v>
      </c>
      <c r="G274" s="9" t="s">
        <v>12118</v>
      </c>
      <c r="H274" s="9"/>
      <c r="I274" s="9"/>
      <c r="J274" s="9"/>
      <c r="K274" s="9"/>
      <c r="L274" s="9"/>
      <c r="M274" s="9"/>
      <c r="N274" s="10"/>
      <c r="O274" s="9"/>
      <c r="P274" s="9"/>
      <c r="Q274" s="9">
        <v>108</v>
      </c>
      <c r="R274" s="9">
        <v>364</v>
      </c>
      <c r="S274" s="9">
        <v>472</v>
      </c>
      <c r="T274" s="13">
        <f t="shared" si="14"/>
        <v>43.739485700552756</v>
      </c>
      <c r="U274" s="13">
        <f t="shared" si="15"/>
        <v>56.71713530401346</v>
      </c>
      <c r="V274" s="13">
        <f t="shared" si="16"/>
        <v>12.977649603460705</v>
      </c>
      <c r="W274" s="9"/>
      <c r="X274" s="9"/>
      <c r="Y274" s="9"/>
      <c r="Z274" s="9"/>
      <c r="AA274" s="9"/>
      <c r="AB274" s="9"/>
      <c r="AC274" s="9"/>
      <c r="AD274" s="9"/>
      <c r="AE274" s="9"/>
      <c r="AF274" s="9"/>
    </row>
    <row r="275" spans="1:32" ht="29">
      <c r="A275" s="3" t="s">
        <v>4043</v>
      </c>
      <c r="B275" s="3" t="s">
        <v>10332</v>
      </c>
      <c r="C275" s="3" t="s">
        <v>10333</v>
      </c>
      <c r="G275" s="9" t="s">
        <v>12118</v>
      </c>
      <c r="H275" s="9"/>
      <c r="I275" s="9"/>
      <c r="J275" s="9"/>
      <c r="K275" s="9"/>
      <c r="L275" s="9"/>
      <c r="M275" s="9"/>
      <c r="N275" s="10"/>
      <c r="O275" s="9"/>
      <c r="P275" s="9"/>
      <c r="Q275" s="9">
        <v>11063</v>
      </c>
      <c r="R275" s="9">
        <v>780</v>
      </c>
      <c r="S275" s="9">
        <v>11843</v>
      </c>
      <c r="T275" s="13">
        <f t="shared" si="14"/>
        <v>93.727469358327326</v>
      </c>
      <c r="U275" s="13">
        <f t="shared" si="15"/>
        <v>1423.0954097572699</v>
      </c>
      <c r="V275" s="13">
        <f t="shared" si="16"/>
        <v>1329.3679403989424</v>
      </c>
      <c r="W275" s="9"/>
      <c r="X275" s="9"/>
      <c r="Y275" s="9"/>
      <c r="Z275" s="9"/>
      <c r="AA275" s="9"/>
      <c r="AB275" s="9"/>
      <c r="AC275" s="9"/>
      <c r="AD275" s="9"/>
      <c r="AE275" s="9"/>
      <c r="AF275" s="9"/>
    </row>
    <row r="276" spans="1:32" ht="29">
      <c r="A276" s="3" t="s">
        <v>4046</v>
      </c>
      <c r="B276" s="3" t="s">
        <v>10347</v>
      </c>
      <c r="C276" s="3" t="s">
        <v>10348</v>
      </c>
      <c r="G276" s="9" t="s">
        <v>12118</v>
      </c>
      <c r="H276" s="9"/>
      <c r="I276" s="9"/>
      <c r="J276" s="9"/>
      <c r="K276" s="9"/>
      <c r="L276" s="9"/>
      <c r="M276" s="9"/>
      <c r="N276" s="10"/>
      <c r="O276" s="9"/>
      <c r="P276" s="9"/>
      <c r="Q276" s="9">
        <v>245</v>
      </c>
      <c r="R276" s="9">
        <v>1496</v>
      </c>
      <c r="S276" s="9">
        <v>1741</v>
      </c>
      <c r="T276" s="13">
        <f t="shared" si="14"/>
        <v>179.76447969238166</v>
      </c>
      <c r="U276" s="13">
        <f t="shared" si="15"/>
        <v>209.20451814467677</v>
      </c>
      <c r="V276" s="13">
        <f t="shared" si="16"/>
        <v>29.440038452295113</v>
      </c>
      <c r="W276" s="9"/>
      <c r="X276" s="9"/>
      <c r="Y276" s="9"/>
      <c r="Z276" s="9"/>
      <c r="AA276" s="9"/>
      <c r="AB276" s="9"/>
      <c r="AC276" s="9"/>
      <c r="AD276" s="9"/>
      <c r="AE276" s="9"/>
      <c r="AF276" s="9"/>
    </row>
    <row r="277" spans="1:32" ht="58">
      <c r="A277" s="3" t="s">
        <v>4071</v>
      </c>
      <c r="B277" s="3" t="s">
        <v>10405</v>
      </c>
      <c r="C277" s="3" t="s">
        <v>10406</v>
      </c>
      <c r="G277" s="9" t="s">
        <v>12118</v>
      </c>
      <c r="H277" s="9"/>
      <c r="I277" s="9"/>
      <c r="J277" s="9"/>
      <c r="K277" s="9"/>
      <c r="L277" s="9"/>
      <c r="M277" s="9"/>
      <c r="N277" s="10"/>
      <c r="O277" s="9"/>
      <c r="P277" s="9"/>
      <c r="Q277" s="9">
        <v>149</v>
      </c>
      <c r="R277" s="9">
        <v>7</v>
      </c>
      <c r="S277" s="9">
        <v>156</v>
      </c>
      <c r="T277" s="13">
        <f t="shared" si="14"/>
        <v>0.84114395577986056</v>
      </c>
      <c r="U277" s="13">
        <f t="shared" si="15"/>
        <v>18.745493871665467</v>
      </c>
      <c r="V277" s="13">
        <f t="shared" si="16"/>
        <v>17.904349915885607</v>
      </c>
      <c r="W277" s="9"/>
      <c r="X277" s="9"/>
      <c r="Y277" s="9"/>
      <c r="Z277" s="9"/>
      <c r="AA277" s="9"/>
      <c r="AB277" s="9"/>
      <c r="AC277" s="9"/>
      <c r="AD277" s="9"/>
      <c r="AE277" s="9"/>
      <c r="AF277" s="9"/>
    </row>
    <row r="278" spans="1:32" ht="101.5">
      <c r="A278" s="3" t="s">
        <v>4076</v>
      </c>
      <c r="B278" s="3" t="s">
        <v>12527</v>
      </c>
      <c r="C278" s="3" t="s">
        <v>12528</v>
      </c>
      <c r="G278" s="9" t="s">
        <v>12118</v>
      </c>
      <c r="H278" s="9"/>
      <c r="I278" s="9"/>
      <c r="J278" s="9"/>
      <c r="K278" s="9"/>
      <c r="L278" s="9"/>
      <c r="M278" s="9"/>
      <c r="N278" s="10"/>
      <c r="O278" s="9"/>
      <c r="P278" s="9"/>
      <c r="Q278" s="9">
        <v>-4080</v>
      </c>
      <c r="R278" s="9">
        <v>4240</v>
      </c>
      <c r="S278" s="9">
        <v>160</v>
      </c>
      <c r="T278" s="13">
        <f t="shared" si="14"/>
        <v>509.49291035808699</v>
      </c>
      <c r="U278" s="13">
        <f t="shared" si="15"/>
        <v>19.226147560682527</v>
      </c>
      <c r="V278" s="13">
        <f t="shared" si="16"/>
        <v>-490.26676279740445</v>
      </c>
      <c r="W278" s="9"/>
      <c r="X278" s="9"/>
      <c r="Y278" s="9"/>
      <c r="Z278" s="9"/>
      <c r="AA278" s="9"/>
      <c r="AB278" s="9"/>
      <c r="AC278" s="9"/>
      <c r="AD278" s="9"/>
      <c r="AE278" s="9"/>
      <c r="AF278" s="9"/>
    </row>
    <row r="279" spans="1:32" ht="29">
      <c r="A279" s="3" t="s">
        <v>4079</v>
      </c>
      <c r="B279" s="3" t="s">
        <v>10420</v>
      </c>
      <c r="C279" s="3" t="s">
        <v>10421</v>
      </c>
      <c r="G279" s="9" t="s">
        <v>12118</v>
      </c>
      <c r="H279" s="9"/>
      <c r="I279" s="9"/>
      <c r="J279" s="9"/>
      <c r="K279" s="9"/>
      <c r="L279" s="9"/>
      <c r="M279" s="9"/>
      <c r="N279" s="10"/>
      <c r="O279" s="9"/>
      <c r="P279" s="9"/>
      <c r="Q279" s="9">
        <v>1800</v>
      </c>
      <c r="R279" s="9">
        <v>166</v>
      </c>
      <c r="S279" s="9">
        <v>1966</v>
      </c>
      <c r="T279" s="13">
        <f t="shared" si="14"/>
        <v>19.947128094208121</v>
      </c>
      <c r="U279" s="13">
        <f t="shared" si="15"/>
        <v>236.24128815188658</v>
      </c>
      <c r="V279" s="13">
        <f t="shared" si="16"/>
        <v>216.29416005767845</v>
      </c>
      <c r="W279" s="9"/>
      <c r="X279" s="9"/>
      <c r="Y279" s="9"/>
      <c r="Z279" s="9"/>
      <c r="AA279" s="9"/>
      <c r="AB279" s="9"/>
      <c r="AC279" s="9"/>
      <c r="AD279" s="9"/>
      <c r="AE279" s="9"/>
      <c r="AF279" s="9"/>
    </row>
    <row r="280" spans="1:32" ht="72.5">
      <c r="A280" s="3" t="s">
        <v>4113</v>
      </c>
      <c r="B280" s="3" t="s">
        <v>10529</v>
      </c>
      <c r="C280" s="3" t="s">
        <v>10530</v>
      </c>
      <c r="G280" s="9" t="s">
        <v>12118</v>
      </c>
      <c r="H280" s="9"/>
      <c r="I280" s="9"/>
      <c r="J280" s="9"/>
      <c r="K280" s="9"/>
      <c r="L280" s="9"/>
      <c r="M280" s="9"/>
      <c r="N280" s="10"/>
      <c r="O280" s="9"/>
      <c r="P280" s="9"/>
      <c r="Q280" s="9">
        <v>-186</v>
      </c>
      <c r="R280" s="9">
        <v>207</v>
      </c>
      <c r="S280" s="9">
        <v>21</v>
      </c>
      <c r="T280" s="13">
        <f t="shared" si="14"/>
        <v>24.873828406633024</v>
      </c>
      <c r="U280" s="13">
        <f t="shared" si="15"/>
        <v>2.5234318673395819</v>
      </c>
      <c r="V280" s="13">
        <f t="shared" si="16"/>
        <v>-22.350396539293442</v>
      </c>
      <c r="W280" s="9"/>
      <c r="X280" s="9"/>
      <c r="Y280" s="9"/>
      <c r="Z280" s="9"/>
      <c r="AA280" s="9"/>
      <c r="AB280" s="9"/>
      <c r="AC280" s="9"/>
      <c r="AD280" s="9"/>
      <c r="AE280" s="9"/>
      <c r="AF280" s="9"/>
    </row>
    <row r="281" spans="1:32" ht="58">
      <c r="A281" s="3" t="s">
        <v>4129</v>
      </c>
      <c r="B281" s="3" t="s">
        <v>10557</v>
      </c>
      <c r="C281" s="3" t="s">
        <v>10556</v>
      </c>
      <c r="G281" s="9" t="s">
        <v>12118</v>
      </c>
      <c r="H281" s="9"/>
      <c r="I281" s="9"/>
      <c r="J281" s="9"/>
      <c r="K281" s="9"/>
      <c r="L281" s="9"/>
      <c r="M281" s="9"/>
      <c r="N281" s="10"/>
      <c r="O281" s="9"/>
      <c r="P281" s="9"/>
      <c r="Q281" s="9">
        <v>-1800</v>
      </c>
      <c r="R281" s="9">
        <v>1966</v>
      </c>
      <c r="S281" s="9">
        <v>166</v>
      </c>
      <c r="T281" s="13">
        <f t="shared" si="14"/>
        <v>236.24128815188658</v>
      </c>
      <c r="U281" s="13">
        <f t="shared" si="15"/>
        <v>19.947128094208121</v>
      </c>
      <c r="V281" s="13">
        <f t="shared" si="16"/>
        <v>-216.29416005767845</v>
      </c>
      <c r="W281" s="9"/>
      <c r="X281" s="9"/>
      <c r="Y281" s="9"/>
      <c r="Z281" s="9"/>
      <c r="AA281" s="9"/>
      <c r="AB281" s="9"/>
      <c r="AC281" s="9"/>
      <c r="AD281" s="9"/>
      <c r="AE281" s="9"/>
      <c r="AF281" s="9"/>
    </row>
    <row r="282" spans="1:32" ht="174">
      <c r="A282" s="3" t="s">
        <v>4129</v>
      </c>
      <c r="B282" s="3" t="s">
        <v>10560</v>
      </c>
      <c r="C282" s="3" t="s">
        <v>10561</v>
      </c>
      <c r="G282" s="9" t="s">
        <v>12118</v>
      </c>
      <c r="H282" s="9"/>
      <c r="I282" s="9"/>
      <c r="J282" s="9"/>
      <c r="K282" s="9"/>
      <c r="L282" s="9"/>
      <c r="M282" s="9"/>
      <c r="N282" s="10"/>
      <c r="O282" s="9"/>
      <c r="P282" s="9"/>
      <c r="Q282" s="9">
        <v>-63</v>
      </c>
      <c r="R282" s="9">
        <v>65</v>
      </c>
      <c r="S282" s="9">
        <v>2</v>
      </c>
      <c r="T282" s="13">
        <f t="shared" si="14"/>
        <v>7.8106224465272769</v>
      </c>
      <c r="U282" s="13">
        <f t="shared" si="15"/>
        <v>0.24032684450853162</v>
      </c>
      <c r="V282" s="13">
        <f t="shared" si="16"/>
        <v>-7.5702956020187449</v>
      </c>
      <c r="W282" s="9"/>
      <c r="X282" s="9"/>
      <c r="Y282" s="9"/>
      <c r="Z282" s="9"/>
      <c r="AA282" s="9"/>
      <c r="AB282" s="9"/>
      <c r="AC282" s="9"/>
      <c r="AD282" s="9"/>
      <c r="AE282" s="9"/>
      <c r="AF282" s="9"/>
    </row>
    <row r="283" spans="1:32" ht="43.5">
      <c r="A283" s="3" t="s">
        <v>4158</v>
      </c>
      <c r="B283" s="3" t="s">
        <v>10627</v>
      </c>
      <c r="C283" s="3" t="s">
        <v>10628</v>
      </c>
      <c r="G283" s="9" t="s">
        <v>12118</v>
      </c>
      <c r="H283" s="9"/>
      <c r="I283" s="9"/>
      <c r="J283" s="9"/>
      <c r="K283" s="9"/>
      <c r="L283" s="9"/>
      <c r="M283" s="9"/>
      <c r="N283" s="10"/>
      <c r="O283" s="9"/>
      <c r="P283" s="9"/>
      <c r="Q283" s="9">
        <v>-111</v>
      </c>
      <c r="R283" s="9">
        <v>472</v>
      </c>
      <c r="S283" s="9">
        <v>361</v>
      </c>
      <c r="T283" s="13">
        <f t="shared" si="14"/>
        <v>56.71713530401346</v>
      </c>
      <c r="U283" s="13">
        <f t="shared" si="15"/>
        <v>43.378995433789953</v>
      </c>
      <c r="V283" s="13">
        <f t="shared" si="16"/>
        <v>-13.338139870223507</v>
      </c>
      <c r="W283" s="9"/>
      <c r="X283" s="9"/>
      <c r="Y283" s="9"/>
      <c r="Z283" s="9"/>
      <c r="AA283" s="9"/>
      <c r="AB283" s="9"/>
      <c r="AC283" s="9"/>
      <c r="AD283" s="9"/>
      <c r="AE283" s="9"/>
      <c r="AF283" s="9"/>
    </row>
    <row r="284" spans="1:32" ht="58">
      <c r="A284" s="3" t="s">
        <v>4162</v>
      </c>
      <c r="B284" s="3" t="s">
        <v>10632</v>
      </c>
      <c r="C284" s="3" t="s">
        <v>10633</v>
      </c>
      <c r="G284" s="9" t="s">
        <v>12118</v>
      </c>
      <c r="H284" s="9"/>
      <c r="I284" s="9"/>
      <c r="J284" s="9"/>
      <c r="K284" s="9"/>
      <c r="L284" s="9"/>
      <c r="M284" s="9"/>
      <c r="N284" s="10"/>
      <c r="O284" s="9"/>
      <c r="P284" s="9"/>
      <c r="Q284" s="9">
        <v>103</v>
      </c>
      <c r="R284" s="9">
        <v>207</v>
      </c>
      <c r="S284" s="9">
        <v>310</v>
      </c>
      <c r="T284" s="13">
        <f t="shared" si="14"/>
        <v>24.873828406633024</v>
      </c>
      <c r="U284" s="13">
        <f t="shared" si="15"/>
        <v>37.250660898822396</v>
      </c>
      <c r="V284" s="13">
        <f t="shared" si="16"/>
        <v>12.376832492189372</v>
      </c>
      <c r="W284" s="9"/>
      <c r="X284" s="9"/>
      <c r="Y284" s="9"/>
      <c r="Z284" s="9"/>
      <c r="AA284" s="9"/>
      <c r="AB284" s="9"/>
      <c r="AC284" s="9"/>
      <c r="AD284" s="9"/>
      <c r="AE284" s="9"/>
      <c r="AF284" s="9"/>
    </row>
    <row r="285" spans="1:32" ht="58">
      <c r="A285" s="3" t="s">
        <v>4171</v>
      </c>
      <c r="B285" s="3" t="s">
        <v>10669</v>
      </c>
      <c r="C285" s="3" t="s">
        <v>10670</v>
      </c>
      <c r="G285" s="9" t="s">
        <v>12118</v>
      </c>
      <c r="H285" s="9"/>
      <c r="I285" s="9"/>
      <c r="J285" s="9"/>
      <c r="K285" s="9"/>
      <c r="L285" s="9"/>
      <c r="M285" s="9"/>
      <c r="N285" s="10"/>
      <c r="O285" s="9"/>
      <c r="P285" s="9"/>
      <c r="Q285" s="9">
        <v>52</v>
      </c>
      <c r="R285" s="9">
        <v>508</v>
      </c>
      <c r="S285" s="9">
        <v>560</v>
      </c>
      <c r="T285" s="13">
        <f t="shared" si="14"/>
        <v>61.043018505167026</v>
      </c>
      <c r="U285" s="13">
        <f t="shared" si="15"/>
        <v>67.291516462388842</v>
      </c>
      <c r="V285" s="13">
        <f t="shared" si="16"/>
        <v>6.2484979572218151</v>
      </c>
      <c r="W285" s="9"/>
      <c r="X285" s="9"/>
      <c r="Y285" s="9"/>
      <c r="Z285" s="9"/>
      <c r="AA285" s="9"/>
      <c r="AB285" s="9"/>
      <c r="AC285" s="9"/>
      <c r="AD285" s="9"/>
      <c r="AE285" s="9"/>
      <c r="AF285" s="9"/>
    </row>
    <row r="286" spans="1:32" ht="29">
      <c r="A286" s="3" t="s">
        <v>4177</v>
      </c>
      <c r="B286" s="3" t="s">
        <v>10719</v>
      </c>
      <c r="C286" s="3" t="s">
        <v>10718</v>
      </c>
      <c r="G286" s="9" t="s">
        <v>12118</v>
      </c>
      <c r="H286" s="9"/>
      <c r="I286" s="9"/>
      <c r="J286" s="9"/>
      <c r="K286" s="9"/>
      <c r="L286" s="9"/>
      <c r="M286" s="9"/>
      <c r="N286" s="10"/>
      <c r="O286" s="9"/>
      <c r="P286" s="9"/>
      <c r="Q286" s="9">
        <v>-330</v>
      </c>
      <c r="R286" s="9">
        <v>444</v>
      </c>
      <c r="S286" s="9">
        <v>114</v>
      </c>
      <c r="T286" s="13">
        <f t="shared" si="14"/>
        <v>53.352559480894016</v>
      </c>
      <c r="U286" s="13">
        <f t="shared" si="15"/>
        <v>13.698630136986301</v>
      </c>
      <c r="V286" s="13">
        <f t="shared" si="16"/>
        <v>-39.653929343907713</v>
      </c>
      <c r="W286" s="9"/>
      <c r="X286" s="9"/>
      <c r="Y286" s="9"/>
      <c r="Z286" s="9"/>
      <c r="AA286" s="9"/>
      <c r="AB286" s="9"/>
      <c r="AC286" s="9"/>
      <c r="AD286" s="9"/>
      <c r="AE286" s="9"/>
      <c r="AF286" s="9"/>
    </row>
    <row r="287" spans="1:32" ht="29">
      <c r="A287" s="3" t="s">
        <v>4189</v>
      </c>
      <c r="B287" s="3" t="s">
        <v>10747</v>
      </c>
      <c r="C287" s="3" t="s">
        <v>10746</v>
      </c>
      <c r="G287" s="9" t="s">
        <v>12118</v>
      </c>
      <c r="H287" s="9"/>
      <c r="I287" s="9"/>
      <c r="J287" s="9"/>
      <c r="K287" s="9"/>
      <c r="L287" s="9"/>
      <c r="M287" s="9"/>
      <c r="N287" s="10"/>
      <c r="O287" s="9"/>
      <c r="P287" s="9"/>
      <c r="Q287" s="9">
        <v>245</v>
      </c>
      <c r="R287" s="9">
        <v>1496</v>
      </c>
      <c r="S287" s="9">
        <v>1741</v>
      </c>
      <c r="T287" s="13">
        <f t="shared" si="14"/>
        <v>179.76447969238166</v>
      </c>
      <c r="U287" s="13">
        <f t="shared" si="15"/>
        <v>209.20451814467677</v>
      </c>
      <c r="V287" s="13">
        <f t="shared" si="16"/>
        <v>29.440038452295113</v>
      </c>
      <c r="W287" s="9"/>
      <c r="X287" s="9"/>
      <c r="Y287" s="9"/>
      <c r="Z287" s="9"/>
      <c r="AA287" s="9"/>
      <c r="AB287" s="9"/>
      <c r="AC287" s="9"/>
      <c r="AD287" s="9"/>
      <c r="AE287" s="9"/>
      <c r="AF287" s="9"/>
    </row>
    <row r="288" spans="1:32" ht="58">
      <c r="A288" s="3" t="s">
        <v>4207</v>
      </c>
      <c r="B288" s="3" t="s">
        <v>10779</v>
      </c>
      <c r="C288" s="3" t="s">
        <v>10778</v>
      </c>
      <c r="G288" s="9" t="s">
        <v>12118</v>
      </c>
      <c r="H288" s="9"/>
      <c r="I288" s="9"/>
      <c r="J288" s="9"/>
      <c r="K288" s="9"/>
      <c r="L288" s="9"/>
      <c r="M288" s="9"/>
      <c r="N288" s="10"/>
      <c r="O288" s="9"/>
      <c r="P288" s="9"/>
      <c r="Q288" s="9">
        <v>-190</v>
      </c>
      <c r="R288" s="9">
        <v>207</v>
      </c>
      <c r="S288" s="9">
        <v>17</v>
      </c>
      <c r="T288" s="13">
        <f t="shared" si="14"/>
        <v>24.873828406633024</v>
      </c>
      <c r="U288" s="13">
        <f t="shared" si="15"/>
        <v>2.0427781783225187</v>
      </c>
      <c r="V288" s="13">
        <f t="shared" si="16"/>
        <v>-22.831050228310506</v>
      </c>
      <c r="W288" s="9"/>
      <c r="X288" s="9"/>
      <c r="Y288" s="9"/>
      <c r="Z288" s="9"/>
      <c r="AA288" s="9"/>
      <c r="AB288" s="9"/>
      <c r="AC288" s="9"/>
      <c r="AD288" s="9"/>
      <c r="AE288" s="9"/>
      <c r="AF288" s="9"/>
    </row>
    <row r="289" spans="1:32" ht="29">
      <c r="A289" s="3" t="s">
        <v>4217</v>
      </c>
      <c r="B289" s="3" t="s">
        <v>4218</v>
      </c>
      <c r="C289" s="3" t="s">
        <v>4219</v>
      </c>
      <c r="G289" s="9" t="s">
        <v>12118</v>
      </c>
      <c r="H289" s="9"/>
      <c r="I289" s="9"/>
      <c r="J289" s="9"/>
      <c r="K289" s="9"/>
      <c r="L289" s="9"/>
      <c r="M289" s="9"/>
      <c r="N289" s="10"/>
      <c r="O289" s="9"/>
      <c r="P289" s="9"/>
      <c r="Q289" s="9">
        <v>16</v>
      </c>
      <c r="R289" s="9">
        <v>0</v>
      </c>
      <c r="S289" s="9">
        <v>16</v>
      </c>
      <c r="T289" s="13">
        <f t="shared" si="14"/>
        <v>0</v>
      </c>
      <c r="U289" s="13">
        <f t="shared" si="15"/>
        <v>1.9226147560682529</v>
      </c>
      <c r="V289" s="13">
        <f t="shared" si="16"/>
        <v>1.9226147560682529</v>
      </c>
      <c r="W289" s="9"/>
      <c r="X289" s="9"/>
      <c r="Y289" s="9"/>
      <c r="Z289" s="9"/>
      <c r="AA289" s="9"/>
      <c r="AB289" s="9"/>
      <c r="AC289" s="9"/>
      <c r="AD289" s="9"/>
      <c r="AE289" s="9"/>
      <c r="AF289" s="9"/>
    </row>
    <row r="290" spans="1:32" ht="43.5">
      <c r="A290" s="3" t="s">
        <v>4223</v>
      </c>
      <c r="B290" s="3" t="s">
        <v>10802</v>
      </c>
      <c r="C290" s="3" t="s">
        <v>10803</v>
      </c>
      <c r="G290" s="9" t="s">
        <v>12118</v>
      </c>
      <c r="H290" s="9"/>
      <c r="I290" s="9"/>
      <c r="J290" s="9"/>
      <c r="K290" s="9"/>
      <c r="L290" s="9"/>
      <c r="M290" s="9"/>
      <c r="N290" s="10"/>
      <c r="O290" s="9"/>
      <c r="P290" s="9"/>
      <c r="Q290" s="9">
        <v>-21</v>
      </c>
      <c r="R290" s="9">
        <v>186</v>
      </c>
      <c r="S290" s="9">
        <v>165</v>
      </c>
      <c r="T290" s="13">
        <f t="shared" si="14"/>
        <v>22.350396539293438</v>
      </c>
      <c r="U290" s="13">
        <f t="shared" si="15"/>
        <v>19.826964671953856</v>
      </c>
      <c r="V290" s="13">
        <f t="shared" si="16"/>
        <v>-2.5234318673395819</v>
      </c>
      <c r="W290" s="9"/>
      <c r="X290" s="9"/>
      <c r="Y290" s="9"/>
      <c r="Z290" s="9"/>
      <c r="AA290" s="9"/>
      <c r="AB290" s="9"/>
      <c r="AC290" s="9"/>
      <c r="AD290" s="9"/>
      <c r="AE290" s="9"/>
      <c r="AF290" s="9"/>
    </row>
    <row r="291" spans="1:32" ht="43.5">
      <c r="A291" s="3" t="s">
        <v>4233</v>
      </c>
      <c r="B291" s="3" t="s">
        <v>10815</v>
      </c>
      <c r="C291" s="3" t="s">
        <v>10816</v>
      </c>
      <c r="G291" s="9" t="s">
        <v>12118</v>
      </c>
      <c r="H291" s="9"/>
      <c r="I291" s="9"/>
      <c r="J291" s="9"/>
      <c r="K291" s="9"/>
      <c r="L291" s="9"/>
      <c r="M291" s="9"/>
      <c r="N291" s="10"/>
      <c r="O291" s="9"/>
      <c r="P291" s="9"/>
      <c r="Q291" s="9">
        <v>541</v>
      </c>
      <c r="R291" s="9">
        <v>560</v>
      </c>
      <c r="S291" s="9">
        <v>1101</v>
      </c>
      <c r="T291" s="13">
        <f t="shared" si="14"/>
        <v>67.291516462388842</v>
      </c>
      <c r="U291" s="13">
        <f t="shared" si="15"/>
        <v>132.29992790194663</v>
      </c>
      <c r="V291" s="13">
        <f t="shared" si="16"/>
        <v>65.00841143955779</v>
      </c>
      <c r="W291" s="9"/>
      <c r="X291" s="9"/>
      <c r="Y291" s="9"/>
      <c r="Z291" s="9"/>
      <c r="AA291" s="9"/>
      <c r="AB291" s="9"/>
      <c r="AC291" s="9"/>
      <c r="AD291" s="9"/>
      <c r="AE291" s="9"/>
      <c r="AF291" s="9"/>
    </row>
    <row r="292" spans="1:32" ht="87">
      <c r="A292" s="3" t="s">
        <v>4235</v>
      </c>
      <c r="B292" s="3" t="s">
        <v>10823</v>
      </c>
      <c r="C292" s="3" t="s">
        <v>10824</v>
      </c>
      <c r="G292" s="9" t="s">
        <v>12118</v>
      </c>
      <c r="H292" s="9"/>
      <c r="I292" s="9"/>
      <c r="J292" s="9"/>
      <c r="K292" s="9"/>
      <c r="L292" s="9"/>
      <c r="M292" s="9"/>
      <c r="N292" s="10"/>
      <c r="O292" s="9"/>
      <c r="P292" s="9"/>
      <c r="Q292" s="9">
        <v>-330</v>
      </c>
      <c r="R292" s="9">
        <v>444</v>
      </c>
      <c r="S292" s="9">
        <v>114</v>
      </c>
      <c r="T292" s="13">
        <f t="shared" si="14"/>
        <v>53.352559480894016</v>
      </c>
      <c r="U292" s="13">
        <f t="shared" si="15"/>
        <v>13.698630136986301</v>
      </c>
      <c r="V292" s="13">
        <f t="shared" si="16"/>
        <v>-39.653929343907713</v>
      </c>
      <c r="W292" s="9"/>
      <c r="X292" s="9"/>
      <c r="Y292" s="9"/>
      <c r="Z292" s="9"/>
      <c r="AA292" s="9"/>
      <c r="AB292" s="9"/>
      <c r="AC292" s="9"/>
      <c r="AD292" s="9"/>
      <c r="AE292" s="9"/>
      <c r="AF292" s="9"/>
    </row>
    <row r="293" spans="1:32" ht="58">
      <c r="A293" s="3" t="s">
        <v>4248</v>
      </c>
      <c r="B293" s="3" t="s">
        <v>10841</v>
      </c>
      <c r="C293" s="3" t="s">
        <v>10842</v>
      </c>
      <c r="G293" s="9" t="s">
        <v>12118</v>
      </c>
      <c r="H293" s="9"/>
      <c r="I293" s="9"/>
      <c r="J293" s="9"/>
      <c r="K293" s="9"/>
      <c r="L293" s="9"/>
      <c r="M293" s="9"/>
      <c r="N293" s="10"/>
      <c r="O293" s="9"/>
      <c r="P293" s="9"/>
      <c r="Q293" s="9">
        <v>-5510</v>
      </c>
      <c r="R293" s="9">
        <v>5676</v>
      </c>
      <c r="S293" s="9">
        <v>166</v>
      </c>
      <c r="T293" s="13">
        <f t="shared" si="14"/>
        <v>682.04758471521268</v>
      </c>
      <c r="U293" s="13">
        <f t="shared" si="15"/>
        <v>19.947128094208121</v>
      </c>
      <c r="V293" s="13">
        <f t="shared" si="16"/>
        <v>-662.10045662100458</v>
      </c>
      <c r="W293" s="9"/>
      <c r="X293" s="9"/>
      <c r="Y293" s="9"/>
      <c r="Z293" s="9"/>
      <c r="AA293" s="9"/>
      <c r="AB293" s="9"/>
      <c r="AC293" s="9"/>
      <c r="AD293" s="9"/>
      <c r="AE293" s="9"/>
      <c r="AF293" s="9"/>
    </row>
    <row r="294" spans="1:32" ht="43.5">
      <c r="A294" s="3" t="s">
        <v>4262</v>
      </c>
      <c r="B294" s="3" t="s">
        <v>10861</v>
      </c>
      <c r="C294" s="3" t="s">
        <v>10860</v>
      </c>
      <c r="G294" s="9" t="s">
        <v>12118</v>
      </c>
      <c r="H294" s="9"/>
      <c r="I294" s="9"/>
      <c r="J294" s="9"/>
      <c r="K294" s="9"/>
      <c r="L294" s="9"/>
      <c r="M294" s="9"/>
      <c r="N294" s="10"/>
      <c r="O294" s="9"/>
      <c r="P294" s="9"/>
      <c r="Q294" s="9">
        <v>-7603</v>
      </c>
      <c r="R294" s="9">
        <v>11843</v>
      </c>
      <c r="S294" s="9">
        <v>4240</v>
      </c>
      <c r="T294" s="13">
        <f t="shared" si="14"/>
        <v>1423.0954097572699</v>
      </c>
      <c r="U294" s="13">
        <f t="shared" si="15"/>
        <v>509.49291035808699</v>
      </c>
      <c r="V294" s="13">
        <f t="shared" si="16"/>
        <v>-913.60249939918288</v>
      </c>
      <c r="W294" s="9"/>
      <c r="X294" s="9"/>
      <c r="Y294" s="9"/>
      <c r="Z294" s="9"/>
      <c r="AA294" s="9"/>
      <c r="AB294" s="9"/>
      <c r="AC294" s="9"/>
      <c r="AD294" s="9"/>
      <c r="AE294" s="9"/>
      <c r="AF294" s="9"/>
    </row>
    <row r="295" spans="1:32" ht="58">
      <c r="A295" s="3" t="s">
        <v>4267</v>
      </c>
      <c r="B295" s="3" t="s">
        <v>10880</v>
      </c>
      <c r="C295" s="3" t="s">
        <v>10881</v>
      </c>
      <c r="G295" s="9" t="s">
        <v>12118</v>
      </c>
      <c r="H295" s="9"/>
      <c r="I295" s="9"/>
      <c r="J295" s="9"/>
      <c r="K295" s="9"/>
      <c r="L295" s="9"/>
      <c r="M295" s="9"/>
      <c r="N295" s="10"/>
      <c r="O295" s="9"/>
      <c r="P295" s="9"/>
      <c r="Q295" s="9">
        <v>113</v>
      </c>
      <c r="R295" s="9">
        <v>15</v>
      </c>
      <c r="S295" s="9">
        <v>128</v>
      </c>
      <c r="T295" s="13">
        <f t="shared" si="14"/>
        <v>1.8024513338139869</v>
      </c>
      <c r="U295" s="13">
        <f t="shared" si="15"/>
        <v>15.380918048546024</v>
      </c>
      <c r="V295" s="13">
        <f t="shared" si="16"/>
        <v>13.578466714732036</v>
      </c>
      <c r="W295" s="9"/>
      <c r="X295" s="9"/>
      <c r="Y295" s="9"/>
      <c r="Z295" s="9"/>
      <c r="AA295" s="9"/>
      <c r="AB295" s="9"/>
      <c r="AC295" s="9"/>
      <c r="AD295" s="9"/>
      <c r="AE295" s="9"/>
      <c r="AF295" s="9"/>
    </row>
    <row r="296" spans="1:32" ht="58">
      <c r="A296" s="3" t="s">
        <v>4267</v>
      </c>
      <c r="B296" s="3" t="s">
        <v>10883</v>
      </c>
      <c r="C296" s="3" t="s">
        <v>10882</v>
      </c>
      <c r="G296" s="9" t="s">
        <v>12118</v>
      </c>
      <c r="H296" s="9"/>
      <c r="I296" s="9"/>
      <c r="J296" s="9"/>
      <c r="K296" s="9"/>
      <c r="L296" s="9"/>
      <c r="M296" s="9"/>
      <c r="N296" s="10"/>
      <c r="O296" s="9"/>
      <c r="P296" s="9"/>
      <c r="Q296" s="9">
        <v>28</v>
      </c>
      <c r="R296" s="9">
        <v>4</v>
      </c>
      <c r="S296" s="9">
        <v>32</v>
      </c>
      <c r="T296" s="13">
        <f t="shared" si="14"/>
        <v>0.48065368901706323</v>
      </c>
      <c r="U296" s="13">
        <f t="shared" si="15"/>
        <v>3.8452295121365059</v>
      </c>
      <c r="V296" s="13">
        <f t="shared" si="16"/>
        <v>3.3645758231194427</v>
      </c>
      <c r="W296" s="9"/>
      <c r="X296" s="9"/>
      <c r="Y296" s="9"/>
      <c r="Z296" s="9"/>
      <c r="AA296" s="9"/>
      <c r="AB296" s="9"/>
      <c r="AC296" s="9"/>
      <c r="AD296" s="9"/>
      <c r="AE296" s="9"/>
      <c r="AF296" s="9"/>
    </row>
    <row r="297" spans="1:32" ht="43.5">
      <c r="A297" s="3" t="s">
        <v>4273</v>
      </c>
      <c r="B297" s="3" t="s">
        <v>10908</v>
      </c>
      <c r="C297" s="3" t="s">
        <v>10909</v>
      </c>
      <c r="G297" s="9" t="s">
        <v>12118</v>
      </c>
      <c r="H297" s="9"/>
      <c r="I297" s="9"/>
      <c r="J297" s="9"/>
      <c r="K297" s="9"/>
      <c r="L297" s="9"/>
      <c r="M297" s="9"/>
      <c r="N297" s="10"/>
      <c r="O297" s="9"/>
      <c r="P297" s="9"/>
      <c r="Q297" s="9">
        <v>111</v>
      </c>
      <c r="R297" s="9">
        <v>361</v>
      </c>
      <c r="S297" s="9">
        <v>472</v>
      </c>
      <c r="T297" s="13">
        <f t="shared" si="14"/>
        <v>43.378995433789953</v>
      </c>
      <c r="U297" s="13">
        <f t="shared" si="15"/>
        <v>56.71713530401346</v>
      </c>
      <c r="V297" s="13">
        <f t="shared" si="16"/>
        <v>13.338139870223507</v>
      </c>
      <c r="W297" s="9"/>
      <c r="X297" s="9"/>
      <c r="Y297" s="9"/>
      <c r="Z297" s="9"/>
      <c r="AA297" s="9"/>
      <c r="AB297" s="9"/>
      <c r="AC297" s="9"/>
      <c r="AD297" s="9"/>
      <c r="AE297" s="9"/>
      <c r="AF297" s="9"/>
    </row>
    <row r="298" spans="1:32" ht="29">
      <c r="A298" s="3" t="s">
        <v>4278</v>
      </c>
      <c r="B298" s="3" t="s">
        <v>10912</v>
      </c>
      <c r="C298" s="3" t="s">
        <v>10913</v>
      </c>
      <c r="G298" s="9" t="s">
        <v>12118</v>
      </c>
      <c r="H298" s="9"/>
      <c r="I298" s="9"/>
      <c r="J298" s="9"/>
      <c r="K298" s="9"/>
      <c r="L298" s="9"/>
      <c r="M298" s="9"/>
      <c r="N298" s="10"/>
      <c r="O298" s="9"/>
      <c r="P298" s="9"/>
      <c r="Q298" s="9">
        <v>-4</v>
      </c>
      <c r="R298" s="9">
        <v>6</v>
      </c>
      <c r="S298" s="9">
        <v>2</v>
      </c>
      <c r="T298" s="13">
        <f t="shared" si="14"/>
        <v>0.72098053352559488</v>
      </c>
      <c r="U298" s="13">
        <f t="shared" si="15"/>
        <v>0.24032684450853162</v>
      </c>
      <c r="V298" s="13">
        <f t="shared" si="16"/>
        <v>-0.48065368901706329</v>
      </c>
      <c r="W298" s="9"/>
      <c r="X298" s="9"/>
      <c r="Y298" s="9"/>
      <c r="Z298" s="9"/>
      <c r="AA298" s="9"/>
      <c r="AB298" s="9"/>
      <c r="AC298" s="9"/>
      <c r="AD298" s="9"/>
      <c r="AE298" s="9"/>
      <c r="AF298" s="9"/>
    </row>
    <row r="299" spans="1:32" ht="130.5">
      <c r="A299" s="3" t="s">
        <v>4292</v>
      </c>
      <c r="B299" s="3" t="s">
        <v>10934</v>
      </c>
      <c r="C299" s="3" t="s">
        <v>13069</v>
      </c>
      <c r="G299" s="9" t="s">
        <v>12121</v>
      </c>
      <c r="H299" s="9"/>
      <c r="I299" s="9"/>
      <c r="J299" s="9"/>
      <c r="K299" s="9"/>
      <c r="L299" s="9"/>
      <c r="M299" s="9"/>
      <c r="N299" s="10"/>
      <c r="O299" s="9"/>
      <c r="P299" s="9"/>
      <c r="Q299" s="9">
        <v>5204</v>
      </c>
      <c r="R299" s="9">
        <v>472</v>
      </c>
      <c r="S299" s="9">
        <v>5676</v>
      </c>
      <c r="T299" s="13">
        <f t="shared" si="14"/>
        <v>56.71713530401346</v>
      </c>
      <c r="U299" s="13">
        <f t="shared" si="15"/>
        <v>682.04758471521268</v>
      </c>
      <c r="V299" s="13">
        <f t="shared" si="16"/>
        <v>625.3304494111992</v>
      </c>
      <c r="W299" s="9"/>
      <c r="X299" s="9"/>
      <c r="Y299" s="9"/>
      <c r="Z299" s="9"/>
      <c r="AA299" s="9"/>
      <c r="AB299" s="9"/>
      <c r="AC299" s="9"/>
      <c r="AD299" s="9"/>
      <c r="AE299" s="9"/>
      <c r="AF299" s="9"/>
    </row>
    <row r="300" spans="1:32" ht="29">
      <c r="A300" s="3" t="s">
        <v>4319</v>
      </c>
      <c r="B300" s="3" t="s">
        <v>10995</v>
      </c>
      <c r="C300" s="3" t="s">
        <v>10996</v>
      </c>
      <c r="G300" s="9" t="s">
        <v>12118</v>
      </c>
      <c r="H300" s="9"/>
      <c r="I300" s="9"/>
      <c r="J300" s="9"/>
      <c r="K300" s="9"/>
      <c r="L300" s="9"/>
      <c r="M300" s="9"/>
      <c r="N300" s="10"/>
      <c r="O300" s="9"/>
      <c r="P300" s="9"/>
      <c r="Q300" s="9">
        <v>-15</v>
      </c>
      <c r="R300" s="9">
        <v>21</v>
      </c>
      <c r="S300" s="9">
        <v>6</v>
      </c>
      <c r="T300" s="13">
        <f t="shared" si="14"/>
        <v>2.5234318673395819</v>
      </c>
      <c r="U300" s="13">
        <f t="shared" si="15"/>
        <v>0.72098053352559488</v>
      </c>
      <c r="V300" s="13">
        <f t="shared" si="16"/>
        <v>-1.8024513338139871</v>
      </c>
      <c r="W300" s="9"/>
      <c r="X300" s="9"/>
      <c r="Y300" s="9"/>
      <c r="Z300" s="9"/>
      <c r="AA300" s="9"/>
      <c r="AB300" s="9"/>
      <c r="AC300" s="9"/>
      <c r="AD300" s="9"/>
      <c r="AE300" s="9"/>
      <c r="AF300" s="9"/>
    </row>
    <row r="301" spans="1:32" ht="43.5">
      <c r="A301" s="3" t="s">
        <v>4323</v>
      </c>
      <c r="B301" s="3" t="s">
        <v>11004</v>
      </c>
      <c r="C301" s="3" t="s">
        <v>11003</v>
      </c>
      <c r="G301" s="9" t="s">
        <v>12118</v>
      </c>
      <c r="H301" s="9"/>
      <c r="I301" s="9"/>
      <c r="J301" s="9"/>
      <c r="K301" s="9"/>
      <c r="L301" s="9"/>
      <c r="M301" s="9"/>
      <c r="N301" s="10"/>
      <c r="O301" s="9"/>
      <c r="P301" s="9"/>
      <c r="Q301" s="9">
        <v>743</v>
      </c>
      <c r="R301" s="9">
        <v>67</v>
      </c>
      <c r="S301" s="9">
        <v>810</v>
      </c>
      <c r="T301" s="13">
        <f t="shared" si="14"/>
        <v>8.050949291035808</v>
      </c>
      <c r="U301" s="13">
        <f t="shared" si="15"/>
        <v>97.332372025955294</v>
      </c>
      <c r="V301" s="13">
        <f t="shared" si="16"/>
        <v>89.281422734919488</v>
      </c>
      <c r="W301" s="9"/>
      <c r="X301" s="9"/>
      <c r="Y301" s="9"/>
      <c r="Z301" s="9"/>
      <c r="AA301" s="9"/>
      <c r="AB301" s="9"/>
      <c r="AC301" s="9"/>
      <c r="AD301" s="9"/>
      <c r="AE301" s="9"/>
      <c r="AF301" s="9"/>
    </row>
    <row r="302" spans="1:32" ht="43.5">
      <c r="A302" s="3" t="s">
        <v>4338</v>
      </c>
      <c r="B302" s="3" t="s">
        <v>11046</v>
      </c>
      <c r="C302" s="3" t="s">
        <v>11045</v>
      </c>
      <c r="G302" s="9" t="s">
        <v>12118</v>
      </c>
      <c r="H302" s="9"/>
      <c r="I302" s="9"/>
      <c r="J302" s="9"/>
      <c r="K302" s="9"/>
      <c r="L302" s="9"/>
      <c r="M302" s="9"/>
      <c r="N302" s="10"/>
      <c r="O302" s="9"/>
      <c r="P302" s="9"/>
      <c r="Q302" s="9">
        <v>-111</v>
      </c>
      <c r="R302" s="9">
        <v>472</v>
      </c>
      <c r="S302" s="9">
        <v>361</v>
      </c>
      <c r="T302" s="13">
        <f t="shared" si="14"/>
        <v>56.71713530401346</v>
      </c>
      <c r="U302" s="13">
        <f t="shared" si="15"/>
        <v>43.378995433789953</v>
      </c>
      <c r="V302" s="13">
        <f t="shared" si="16"/>
        <v>-13.338139870223507</v>
      </c>
      <c r="W302" s="9"/>
      <c r="X302" s="9"/>
      <c r="Y302" s="9"/>
      <c r="Z302" s="9"/>
      <c r="AA302" s="9"/>
      <c r="AB302" s="9"/>
      <c r="AC302" s="9"/>
      <c r="AD302" s="9"/>
      <c r="AE302" s="9"/>
      <c r="AF302" s="9"/>
    </row>
    <row r="303" spans="1:32" ht="29">
      <c r="A303" s="3" t="s">
        <v>4357</v>
      </c>
      <c r="B303" s="3" t="s">
        <v>11084</v>
      </c>
      <c r="C303" s="3" t="s">
        <v>11085</v>
      </c>
      <c r="G303" s="9" t="s">
        <v>12118</v>
      </c>
      <c r="H303" s="9"/>
      <c r="I303" s="9"/>
      <c r="J303" s="9"/>
      <c r="K303" s="9"/>
      <c r="L303" s="9"/>
      <c r="M303" s="9"/>
      <c r="N303" s="10"/>
      <c r="O303" s="9"/>
      <c r="P303" s="9"/>
      <c r="Q303" s="9">
        <v>11</v>
      </c>
      <c r="R303" s="9">
        <v>0</v>
      </c>
      <c r="S303" s="9">
        <v>11</v>
      </c>
      <c r="T303" s="13">
        <f t="shared" si="14"/>
        <v>0</v>
      </c>
      <c r="U303" s="13">
        <f t="shared" si="15"/>
        <v>1.3217976447969237</v>
      </c>
      <c r="V303" s="13">
        <f t="shared" si="16"/>
        <v>1.3217976447969237</v>
      </c>
      <c r="W303" s="9"/>
      <c r="X303" s="9"/>
      <c r="Y303" s="9"/>
      <c r="Z303" s="9"/>
      <c r="AA303" s="9"/>
      <c r="AB303" s="9"/>
      <c r="AC303" s="9"/>
      <c r="AD303" s="9"/>
      <c r="AE303" s="9"/>
      <c r="AF303" s="9"/>
    </row>
    <row r="304" spans="1:32" ht="29">
      <c r="A304" s="3" t="s">
        <v>4362</v>
      </c>
      <c r="B304" s="3" t="s">
        <v>11097</v>
      </c>
      <c r="C304" s="3" t="s">
        <v>11096</v>
      </c>
      <c r="G304" s="9" t="s">
        <v>12118</v>
      </c>
      <c r="H304" s="9"/>
      <c r="I304" s="9"/>
      <c r="J304" s="9"/>
      <c r="K304" s="9"/>
      <c r="L304" s="9"/>
      <c r="M304" s="9"/>
      <c r="N304" s="10"/>
      <c r="O304" s="9"/>
      <c r="P304" s="9"/>
      <c r="Q304" s="9">
        <v>-3460</v>
      </c>
      <c r="R304" s="9">
        <v>4240</v>
      </c>
      <c r="S304" s="9">
        <v>780</v>
      </c>
      <c r="T304" s="13">
        <f t="shared" si="14"/>
        <v>509.49291035808699</v>
      </c>
      <c r="U304" s="13">
        <f t="shared" si="15"/>
        <v>93.727469358327326</v>
      </c>
      <c r="V304" s="13">
        <f t="shared" si="16"/>
        <v>-415.76544099975968</v>
      </c>
      <c r="W304" s="9"/>
      <c r="X304" s="9"/>
      <c r="Y304" s="9"/>
      <c r="Z304" s="9"/>
      <c r="AA304" s="9"/>
      <c r="AB304" s="9"/>
      <c r="AC304" s="9"/>
      <c r="AD304" s="9"/>
      <c r="AE304" s="9"/>
      <c r="AF304" s="9"/>
    </row>
    <row r="305" spans="1:32" ht="43.5">
      <c r="A305" s="3" t="s">
        <v>4366</v>
      </c>
      <c r="B305" s="3" t="s">
        <v>11120</v>
      </c>
      <c r="C305" s="3" t="s">
        <v>11121</v>
      </c>
      <c r="G305" s="9" t="s">
        <v>12118</v>
      </c>
      <c r="H305" s="9"/>
      <c r="I305" s="9"/>
      <c r="J305" s="9"/>
      <c r="K305" s="9"/>
      <c r="L305" s="9"/>
      <c r="M305" s="9"/>
      <c r="N305" s="10"/>
      <c r="O305" s="9"/>
      <c r="P305" s="9"/>
      <c r="Q305" s="9">
        <v>-1800</v>
      </c>
      <c r="R305" s="9">
        <v>1966</v>
      </c>
      <c r="S305" s="9">
        <v>166</v>
      </c>
      <c r="T305" s="13">
        <f t="shared" si="14"/>
        <v>236.24128815188658</v>
      </c>
      <c r="U305" s="13">
        <f t="shared" si="15"/>
        <v>19.947128094208121</v>
      </c>
      <c r="V305" s="13">
        <f t="shared" si="16"/>
        <v>-216.29416005767845</v>
      </c>
      <c r="W305" s="9"/>
      <c r="X305" s="9"/>
      <c r="Y305" s="9"/>
      <c r="Z305" s="9"/>
      <c r="AA305" s="9"/>
      <c r="AB305" s="9"/>
      <c r="AC305" s="9"/>
      <c r="AD305" s="9"/>
      <c r="AE305" s="9"/>
      <c r="AF305" s="9"/>
    </row>
    <row r="306" spans="1:32" ht="29">
      <c r="A306" s="3" t="s">
        <v>4372</v>
      </c>
      <c r="B306" s="3" t="s">
        <v>3892</v>
      </c>
      <c r="C306" s="3" t="s">
        <v>3893</v>
      </c>
      <c r="G306" s="9" t="s">
        <v>12118</v>
      </c>
      <c r="H306" s="9"/>
      <c r="I306" s="9"/>
      <c r="J306" s="9"/>
      <c r="K306" s="9"/>
      <c r="L306" s="9"/>
      <c r="M306" s="9"/>
      <c r="N306" s="10"/>
      <c r="O306" s="9"/>
      <c r="P306" s="9"/>
      <c r="Q306" s="9">
        <v>7</v>
      </c>
      <c r="R306" s="9">
        <v>0</v>
      </c>
      <c r="S306" s="9">
        <v>7</v>
      </c>
      <c r="T306" s="13">
        <f t="shared" si="14"/>
        <v>0</v>
      </c>
      <c r="U306" s="13">
        <f t="shared" si="15"/>
        <v>0.84114395577986056</v>
      </c>
      <c r="V306" s="13">
        <f t="shared" si="16"/>
        <v>0.84114395577986056</v>
      </c>
      <c r="W306" s="9"/>
      <c r="X306" s="9"/>
      <c r="Y306" s="9"/>
      <c r="Z306" s="9"/>
      <c r="AA306" s="9"/>
      <c r="AB306" s="9"/>
      <c r="AC306" s="9"/>
      <c r="AD306" s="9"/>
      <c r="AE306" s="9"/>
      <c r="AF306" s="9"/>
    </row>
    <row r="307" spans="1:32" ht="43.5">
      <c r="A307" s="3" t="s">
        <v>4387</v>
      </c>
      <c r="B307" s="3" t="s">
        <v>11181</v>
      </c>
      <c r="C307" s="3" t="s">
        <v>11182</v>
      </c>
      <c r="G307" s="9" t="s">
        <v>12118</v>
      </c>
      <c r="H307" s="9"/>
      <c r="I307" s="9"/>
      <c r="J307" s="9"/>
      <c r="K307" s="9"/>
      <c r="L307" s="9"/>
      <c r="M307" s="9"/>
      <c r="N307" s="10"/>
      <c r="O307" s="9"/>
      <c r="P307" s="9"/>
      <c r="Q307" s="9">
        <v>-111</v>
      </c>
      <c r="R307" s="9">
        <v>472</v>
      </c>
      <c r="S307" s="9">
        <v>361</v>
      </c>
      <c r="T307" s="13">
        <f t="shared" si="14"/>
        <v>56.71713530401346</v>
      </c>
      <c r="U307" s="13">
        <f t="shared" si="15"/>
        <v>43.378995433789953</v>
      </c>
      <c r="V307" s="13">
        <f t="shared" si="16"/>
        <v>-13.338139870223507</v>
      </c>
      <c r="W307" s="9"/>
      <c r="X307" s="9"/>
      <c r="Y307" s="9"/>
      <c r="Z307" s="9"/>
      <c r="AA307" s="9"/>
      <c r="AB307" s="9"/>
      <c r="AC307" s="9"/>
      <c r="AD307" s="9"/>
      <c r="AE307" s="9"/>
      <c r="AF307" s="9"/>
    </row>
    <row r="308" spans="1:32" ht="29">
      <c r="A308" s="3" t="s">
        <v>4392</v>
      </c>
      <c r="B308" s="3" t="s">
        <v>11197</v>
      </c>
      <c r="C308" s="3" t="s">
        <v>11196</v>
      </c>
      <c r="G308" s="9" t="s">
        <v>12118</v>
      </c>
      <c r="H308" s="9"/>
      <c r="I308" s="9"/>
      <c r="J308" s="9"/>
      <c r="K308" s="9"/>
      <c r="L308" s="9"/>
      <c r="M308" s="9"/>
      <c r="N308" s="10"/>
      <c r="O308" s="9"/>
      <c r="P308" s="9"/>
      <c r="Q308" s="9">
        <v>-245</v>
      </c>
      <c r="R308" s="9">
        <v>1741</v>
      </c>
      <c r="S308" s="9">
        <v>1496</v>
      </c>
      <c r="T308" s="13">
        <f t="shared" si="14"/>
        <v>209.20451814467677</v>
      </c>
      <c r="U308" s="13">
        <f t="shared" si="15"/>
        <v>179.76447969238166</v>
      </c>
      <c r="V308" s="13">
        <f t="shared" si="16"/>
        <v>-29.440038452295113</v>
      </c>
      <c r="W308" s="9"/>
      <c r="X308" s="9"/>
      <c r="Y308" s="9"/>
      <c r="Z308" s="9"/>
      <c r="AA308" s="9"/>
      <c r="AB308" s="9"/>
      <c r="AC308" s="9"/>
      <c r="AD308" s="9"/>
      <c r="AE308" s="9"/>
      <c r="AF308" s="9"/>
    </row>
    <row r="309" spans="1:32" ht="43.5">
      <c r="A309" s="3" t="s">
        <v>4395</v>
      </c>
      <c r="B309" s="3" t="s">
        <v>11200</v>
      </c>
      <c r="C309" s="3" t="s">
        <v>11201</v>
      </c>
      <c r="G309" s="9" t="s">
        <v>12118</v>
      </c>
      <c r="H309" s="9"/>
      <c r="I309" s="9"/>
      <c r="J309" s="9"/>
      <c r="K309" s="9"/>
      <c r="L309" s="9"/>
      <c r="M309" s="9"/>
      <c r="N309" s="10"/>
      <c r="O309" s="9"/>
      <c r="P309" s="9"/>
      <c r="Q309" s="9">
        <v>3310</v>
      </c>
      <c r="R309" s="9">
        <v>930</v>
      </c>
      <c r="S309" s="9">
        <v>4240</v>
      </c>
      <c r="T309" s="13">
        <f t="shared" si="14"/>
        <v>111.75198269646719</v>
      </c>
      <c r="U309" s="13">
        <f t="shared" si="15"/>
        <v>509.49291035808699</v>
      </c>
      <c r="V309" s="13">
        <f t="shared" si="16"/>
        <v>397.74092766161982</v>
      </c>
      <c r="W309" s="9"/>
      <c r="X309" s="9"/>
      <c r="Y309" s="9"/>
      <c r="Z309" s="9"/>
      <c r="AA309" s="9"/>
      <c r="AB309" s="9"/>
      <c r="AC309" s="9"/>
      <c r="AD309" s="9"/>
      <c r="AE309" s="9"/>
      <c r="AF309" s="9"/>
    </row>
    <row r="310" spans="1:32" ht="29">
      <c r="A310" s="3" t="s">
        <v>4416</v>
      </c>
      <c r="B310" s="3" t="s">
        <v>4417</v>
      </c>
      <c r="C310" s="3" t="s">
        <v>4418</v>
      </c>
      <c r="G310" s="9" t="s">
        <v>12118</v>
      </c>
      <c r="H310" s="9"/>
      <c r="I310" s="9"/>
      <c r="J310" s="9"/>
      <c r="K310" s="9"/>
      <c r="L310" s="9"/>
      <c r="M310" s="9"/>
      <c r="N310" s="10"/>
      <c r="O310" s="9"/>
      <c r="P310" s="9"/>
      <c r="Q310" s="9">
        <v>2</v>
      </c>
      <c r="R310" s="9">
        <v>0</v>
      </c>
      <c r="S310" s="9">
        <v>2</v>
      </c>
      <c r="T310" s="13">
        <f t="shared" si="14"/>
        <v>0</v>
      </c>
      <c r="U310" s="13">
        <f t="shared" si="15"/>
        <v>0.24032684450853162</v>
      </c>
      <c r="V310" s="13">
        <f t="shared" si="16"/>
        <v>0.24032684450853162</v>
      </c>
      <c r="W310" s="9"/>
      <c r="X310" s="9"/>
      <c r="Y310" s="9"/>
      <c r="Z310" s="9"/>
      <c r="AA310" s="9"/>
      <c r="AB310" s="9"/>
      <c r="AC310" s="9"/>
      <c r="AD310" s="9"/>
      <c r="AE310" s="9"/>
      <c r="AF310" s="9"/>
    </row>
    <row r="311" spans="1:32" ht="29">
      <c r="A311" s="3" t="s">
        <v>4420</v>
      </c>
      <c r="B311" s="3" t="s">
        <v>11243</v>
      </c>
      <c r="C311" s="3" t="s">
        <v>11244</v>
      </c>
      <c r="G311" s="9" t="s">
        <v>12118</v>
      </c>
      <c r="H311" s="9"/>
      <c r="I311" s="9"/>
      <c r="J311" s="9"/>
      <c r="K311" s="9"/>
      <c r="L311" s="9"/>
      <c r="M311" s="9"/>
      <c r="N311" s="10"/>
      <c r="O311" s="9"/>
      <c r="P311" s="9"/>
      <c r="Q311" s="9">
        <v>-560</v>
      </c>
      <c r="R311" s="9">
        <v>591</v>
      </c>
      <c r="S311" s="9">
        <v>31</v>
      </c>
      <c r="T311" s="13">
        <f t="shared" si="14"/>
        <v>71.016582552271089</v>
      </c>
      <c r="U311" s="13">
        <f t="shared" si="15"/>
        <v>3.7250660898822399</v>
      </c>
      <c r="V311" s="13">
        <f t="shared" si="16"/>
        <v>-67.291516462388856</v>
      </c>
      <c r="W311" s="9"/>
      <c r="X311" s="9"/>
      <c r="Y311" s="9"/>
      <c r="Z311" s="9"/>
      <c r="AA311" s="9"/>
      <c r="AB311" s="9"/>
      <c r="AC311" s="9"/>
      <c r="AD311" s="9"/>
      <c r="AE311" s="9"/>
      <c r="AF311" s="9"/>
    </row>
    <row r="312" spans="1:32" ht="29">
      <c r="A312" s="3" t="s">
        <v>4446</v>
      </c>
      <c r="B312" s="3" t="s">
        <v>728</v>
      </c>
      <c r="C312" s="3" t="s">
        <v>727</v>
      </c>
      <c r="G312" s="9" t="s">
        <v>12118</v>
      </c>
      <c r="H312" s="9"/>
      <c r="I312" s="9"/>
      <c r="J312" s="9"/>
      <c r="K312" s="9"/>
      <c r="L312" s="9"/>
      <c r="M312" s="9"/>
      <c r="N312" s="10"/>
      <c r="O312" s="9"/>
      <c r="P312" s="9"/>
      <c r="Q312" s="9">
        <v>50</v>
      </c>
      <c r="R312" s="9">
        <v>37</v>
      </c>
      <c r="S312" s="9">
        <v>87</v>
      </c>
      <c r="T312" s="13">
        <f t="shared" si="14"/>
        <v>4.4460466234078346</v>
      </c>
      <c r="U312" s="13">
        <f t="shared" si="15"/>
        <v>10.454217736121125</v>
      </c>
      <c r="V312" s="13">
        <f t="shared" si="16"/>
        <v>6.0081711127132902</v>
      </c>
      <c r="W312" s="9"/>
      <c r="X312" s="9"/>
      <c r="Y312" s="9"/>
      <c r="Z312" s="9"/>
      <c r="AA312" s="9"/>
      <c r="AB312" s="9"/>
      <c r="AC312" s="9"/>
      <c r="AD312" s="9"/>
      <c r="AE312" s="9"/>
      <c r="AF312" s="9"/>
    </row>
    <row r="313" spans="1:32" ht="58">
      <c r="A313" s="3" t="s">
        <v>4455</v>
      </c>
      <c r="B313" s="3" t="s">
        <v>11313</v>
      </c>
      <c r="C313" s="3" t="s">
        <v>11312</v>
      </c>
      <c r="G313" s="9" t="s">
        <v>12118</v>
      </c>
      <c r="H313" s="9"/>
      <c r="I313" s="9"/>
      <c r="J313" s="9"/>
      <c r="K313" s="9"/>
      <c r="L313" s="9"/>
      <c r="M313" s="9"/>
      <c r="N313" s="10"/>
      <c r="O313" s="9"/>
      <c r="P313" s="9"/>
      <c r="Q313" s="9">
        <v>-1800</v>
      </c>
      <c r="R313" s="9">
        <v>1966</v>
      </c>
      <c r="S313" s="9">
        <v>166</v>
      </c>
      <c r="T313" s="13">
        <f t="shared" si="14"/>
        <v>236.24128815188658</v>
      </c>
      <c r="U313" s="13">
        <f t="shared" si="15"/>
        <v>19.947128094208121</v>
      </c>
      <c r="V313" s="13">
        <f t="shared" si="16"/>
        <v>-216.29416005767845</v>
      </c>
      <c r="W313" s="9"/>
      <c r="X313" s="9"/>
      <c r="Y313" s="9"/>
      <c r="Z313" s="9"/>
      <c r="AA313" s="9"/>
      <c r="AB313" s="9"/>
      <c r="AC313" s="9"/>
      <c r="AD313" s="9"/>
      <c r="AE313" s="9"/>
      <c r="AF313" s="9"/>
    </row>
    <row r="314" spans="1:32" ht="29">
      <c r="A314" s="3" t="s">
        <v>4461</v>
      </c>
      <c r="B314" s="3" t="s">
        <v>4463</v>
      </c>
      <c r="C314" s="3" t="s">
        <v>4464</v>
      </c>
      <c r="G314" s="9" t="s">
        <v>12118</v>
      </c>
      <c r="H314" s="9"/>
      <c r="I314" s="9"/>
      <c r="J314" s="9"/>
      <c r="K314" s="9"/>
      <c r="L314" s="9"/>
      <c r="M314" s="9"/>
      <c r="N314" s="10"/>
      <c r="O314" s="9"/>
      <c r="P314" s="9"/>
      <c r="Q314" s="9">
        <v>-36</v>
      </c>
      <c r="R314" s="9">
        <v>37</v>
      </c>
      <c r="S314" s="9">
        <v>1</v>
      </c>
      <c r="T314" s="13">
        <f t="shared" si="14"/>
        <v>4.4460466234078346</v>
      </c>
      <c r="U314" s="13">
        <f t="shared" si="15"/>
        <v>0.12016342225426581</v>
      </c>
      <c r="V314" s="13">
        <f t="shared" si="16"/>
        <v>-4.3258832011535686</v>
      </c>
      <c r="W314" s="9"/>
      <c r="X314" s="9"/>
      <c r="Y314" s="9"/>
      <c r="Z314" s="9"/>
      <c r="AA314" s="9"/>
      <c r="AB314" s="9"/>
      <c r="AC314" s="9"/>
      <c r="AD314" s="9"/>
      <c r="AE314" s="9"/>
      <c r="AF314" s="9"/>
    </row>
    <row r="315" spans="1:32" ht="29">
      <c r="A315" s="3" t="s">
        <v>4468</v>
      </c>
      <c r="B315" s="3" t="s">
        <v>4469</v>
      </c>
      <c r="C315" s="3" t="s">
        <v>4470</v>
      </c>
      <c r="G315" s="9" t="s">
        <v>12118</v>
      </c>
      <c r="H315" s="9"/>
      <c r="I315" s="9"/>
      <c r="J315" s="9"/>
      <c r="K315" s="9"/>
      <c r="L315" s="9"/>
      <c r="M315" s="9"/>
      <c r="N315" s="10"/>
      <c r="O315" s="9"/>
      <c r="P315" s="9"/>
      <c r="Q315" s="9">
        <v>-30</v>
      </c>
      <c r="R315" s="9">
        <v>40</v>
      </c>
      <c r="S315" s="9">
        <v>10</v>
      </c>
      <c r="T315" s="13">
        <f t="shared" si="14"/>
        <v>4.8065368901706318</v>
      </c>
      <c r="U315" s="13">
        <f t="shared" si="15"/>
        <v>1.2016342225426579</v>
      </c>
      <c r="V315" s="13">
        <f t="shared" si="16"/>
        <v>-3.6049026676279738</v>
      </c>
      <c r="W315" s="9"/>
      <c r="X315" s="9"/>
      <c r="Y315" s="9"/>
      <c r="Z315" s="9"/>
      <c r="AA315" s="9"/>
      <c r="AB315" s="9"/>
      <c r="AC315" s="9"/>
      <c r="AD315" s="9"/>
      <c r="AE315" s="9"/>
      <c r="AF315" s="9"/>
    </row>
    <row r="316" spans="1:32" ht="43.5">
      <c r="A316" s="3" t="s">
        <v>4497</v>
      </c>
      <c r="B316" s="3" t="s">
        <v>11398</v>
      </c>
      <c r="C316" s="3" t="s">
        <v>11399</v>
      </c>
      <c r="G316" s="9" t="s">
        <v>12118</v>
      </c>
      <c r="H316" s="9"/>
      <c r="I316" s="9"/>
      <c r="J316" s="9"/>
      <c r="K316" s="9"/>
      <c r="L316" s="9"/>
      <c r="M316" s="9"/>
      <c r="N316" s="10"/>
      <c r="O316" s="9"/>
      <c r="P316" s="9"/>
      <c r="Q316" s="9">
        <v>-10742</v>
      </c>
      <c r="R316" s="9">
        <v>11843</v>
      </c>
      <c r="S316" s="9">
        <v>1101</v>
      </c>
      <c r="T316" s="13">
        <f t="shared" si="14"/>
        <v>1423.0954097572699</v>
      </c>
      <c r="U316" s="13">
        <f t="shared" si="15"/>
        <v>132.29992790194663</v>
      </c>
      <c r="V316" s="13">
        <f t="shared" si="16"/>
        <v>-1290.7954818553233</v>
      </c>
      <c r="W316" s="9"/>
      <c r="X316" s="9"/>
      <c r="Y316" s="9"/>
      <c r="Z316" s="9"/>
      <c r="AA316" s="9"/>
      <c r="AB316" s="9"/>
      <c r="AC316" s="9"/>
      <c r="AD316" s="9"/>
      <c r="AE316" s="9"/>
      <c r="AF316" s="9"/>
    </row>
    <row r="317" spans="1:32" ht="29">
      <c r="A317" s="3" t="s">
        <v>4502</v>
      </c>
      <c r="B317" s="3" t="s">
        <v>2269</v>
      </c>
      <c r="C317" s="3" t="s">
        <v>11411</v>
      </c>
      <c r="G317" s="9" t="s">
        <v>12121</v>
      </c>
      <c r="H317" s="9"/>
      <c r="I317" s="9"/>
      <c r="J317" s="9"/>
      <c r="K317" s="9"/>
      <c r="L317" s="9"/>
      <c r="M317" s="9"/>
      <c r="N317" s="10"/>
      <c r="O317" s="9"/>
      <c r="P317" s="9"/>
      <c r="Q317" s="9">
        <v>-8</v>
      </c>
      <c r="R317" s="9">
        <v>14</v>
      </c>
      <c r="S317" s="9">
        <v>6</v>
      </c>
      <c r="T317" s="13">
        <f t="shared" si="14"/>
        <v>1.6822879115597211</v>
      </c>
      <c r="U317" s="13">
        <f t="shared" si="15"/>
        <v>0.72098053352559488</v>
      </c>
      <c r="V317" s="13">
        <f t="shared" si="16"/>
        <v>-0.96130737803412625</v>
      </c>
      <c r="W317" s="9"/>
      <c r="X317" s="9"/>
      <c r="Y317" s="9"/>
      <c r="Z317" s="9"/>
      <c r="AA317" s="9"/>
      <c r="AB317" s="9"/>
      <c r="AC317" s="9"/>
      <c r="AD317" s="9"/>
      <c r="AE317" s="9"/>
      <c r="AF317" s="9"/>
    </row>
    <row r="318" spans="1:32" ht="29">
      <c r="A318" s="3" t="s">
        <v>4502</v>
      </c>
      <c r="B318" s="3" t="s">
        <v>11414</v>
      </c>
      <c r="C318" s="3" t="s">
        <v>11415</v>
      </c>
      <c r="G318" s="9" t="s">
        <v>12118</v>
      </c>
      <c r="H318" s="9"/>
      <c r="I318" s="9"/>
      <c r="J318" s="9"/>
      <c r="K318" s="9"/>
      <c r="L318" s="9"/>
      <c r="M318" s="9"/>
      <c r="N318" s="10"/>
      <c r="O318" s="9"/>
      <c r="P318" s="9"/>
      <c r="Q318" s="9">
        <v>-1846</v>
      </c>
      <c r="R318" s="9">
        <v>2042</v>
      </c>
      <c r="S318" s="9">
        <v>196</v>
      </c>
      <c r="T318" s="13">
        <f t="shared" si="14"/>
        <v>245.37370824321076</v>
      </c>
      <c r="U318" s="13">
        <f t="shared" si="15"/>
        <v>23.5520307618361</v>
      </c>
      <c r="V318" s="13">
        <f t="shared" si="16"/>
        <v>-221.82167748137465</v>
      </c>
      <c r="W318" s="9"/>
      <c r="X318" s="9"/>
      <c r="Y318" s="9"/>
      <c r="Z318" s="9"/>
      <c r="AA318" s="9"/>
      <c r="AB318" s="9"/>
      <c r="AC318" s="9"/>
      <c r="AD318" s="9"/>
      <c r="AE318" s="9"/>
      <c r="AF318" s="9"/>
    </row>
    <row r="319" spans="1:32" ht="72.5">
      <c r="A319" s="3" t="s">
        <v>4510</v>
      </c>
      <c r="B319" s="3" t="s">
        <v>11444</v>
      </c>
      <c r="C319" s="3" t="s">
        <v>11445</v>
      </c>
      <c r="G319" s="9" t="s">
        <v>12118</v>
      </c>
      <c r="H319" s="9"/>
      <c r="I319" s="9"/>
      <c r="J319" s="9"/>
      <c r="K319" s="9"/>
      <c r="L319" s="9"/>
      <c r="M319" s="9"/>
      <c r="N319" s="10"/>
      <c r="O319" s="9"/>
      <c r="P319" s="9"/>
      <c r="Q319" s="9">
        <v>5469</v>
      </c>
      <c r="R319" s="9">
        <v>207</v>
      </c>
      <c r="S319" s="9">
        <v>5676</v>
      </c>
      <c r="T319" s="13">
        <f t="shared" si="14"/>
        <v>24.873828406633024</v>
      </c>
      <c r="U319" s="13">
        <f t="shared" si="15"/>
        <v>682.04758471521268</v>
      </c>
      <c r="V319" s="13">
        <f t="shared" si="16"/>
        <v>657.17375630857964</v>
      </c>
      <c r="W319" s="9"/>
      <c r="X319" s="9"/>
      <c r="Y319" s="9"/>
      <c r="Z319" s="9"/>
      <c r="AA319" s="9"/>
      <c r="AB319" s="9"/>
      <c r="AC319" s="9"/>
      <c r="AD319" s="9"/>
      <c r="AE319" s="9"/>
      <c r="AF319" s="9"/>
    </row>
    <row r="320" spans="1:32" ht="43.5">
      <c r="A320" s="3" t="s">
        <v>4512</v>
      </c>
      <c r="B320" s="3" t="s">
        <v>11462</v>
      </c>
      <c r="C320" s="3" t="s">
        <v>11461</v>
      </c>
      <c r="G320" s="9" t="s">
        <v>12118</v>
      </c>
      <c r="H320" s="9"/>
      <c r="I320" s="9"/>
      <c r="J320" s="9"/>
      <c r="K320" s="9"/>
      <c r="L320" s="9"/>
      <c r="M320" s="9"/>
      <c r="N320" s="10"/>
      <c r="O320" s="9"/>
      <c r="P320" s="9"/>
      <c r="Q320" s="9">
        <v>190</v>
      </c>
      <c r="R320" s="9">
        <v>17</v>
      </c>
      <c r="S320" s="9">
        <v>207</v>
      </c>
      <c r="T320" s="13">
        <f t="shared" si="14"/>
        <v>2.0427781783225187</v>
      </c>
      <c r="U320" s="13">
        <f t="shared" si="15"/>
        <v>24.873828406633024</v>
      </c>
      <c r="V320" s="13">
        <f t="shared" si="16"/>
        <v>22.831050228310506</v>
      </c>
      <c r="W320" s="9"/>
      <c r="X320" s="9"/>
      <c r="Y320" s="9"/>
      <c r="Z320" s="9"/>
      <c r="AA320" s="9"/>
      <c r="AB320" s="9"/>
      <c r="AC320" s="9"/>
      <c r="AD320" s="9"/>
      <c r="AE320" s="9"/>
      <c r="AF320" s="9"/>
    </row>
    <row r="321" spans="1:32" ht="58">
      <c r="A321" s="3" t="s">
        <v>4513</v>
      </c>
      <c r="B321" s="3" t="s">
        <v>11470</v>
      </c>
      <c r="C321" s="3" t="s">
        <v>11469</v>
      </c>
      <c r="G321" s="9" t="s">
        <v>12118</v>
      </c>
      <c r="H321" s="9"/>
      <c r="I321" s="9"/>
      <c r="J321" s="9"/>
      <c r="K321" s="9"/>
      <c r="L321" s="9"/>
      <c r="M321" s="9"/>
      <c r="N321" s="10"/>
      <c r="O321" s="9"/>
      <c r="P321" s="9"/>
      <c r="Q321" s="9">
        <v>75</v>
      </c>
      <c r="R321" s="9">
        <v>356</v>
      </c>
      <c r="S321" s="9">
        <v>431</v>
      </c>
      <c r="T321" s="13">
        <f t="shared" si="14"/>
        <v>42.778178322518627</v>
      </c>
      <c r="U321" s="13">
        <f t="shared" si="15"/>
        <v>51.790434991588562</v>
      </c>
      <c r="V321" s="13">
        <f t="shared" si="16"/>
        <v>9.0122566690699344</v>
      </c>
      <c r="W321" s="9"/>
      <c r="X321" s="9"/>
      <c r="Y321" s="9"/>
      <c r="Z321" s="9"/>
      <c r="AA321" s="9"/>
      <c r="AB321" s="9"/>
      <c r="AC321" s="9"/>
      <c r="AD321" s="9"/>
      <c r="AE321" s="9"/>
      <c r="AF321" s="9"/>
    </row>
    <row r="322" spans="1:32" ht="43.5">
      <c r="A322" s="3" t="s">
        <v>4515</v>
      </c>
      <c r="B322" s="3" t="s">
        <v>11480</v>
      </c>
      <c r="C322" s="3" t="s">
        <v>11479</v>
      </c>
      <c r="G322" s="9" t="s">
        <v>12118</v>
      </c>
      <c r="H322" s="9"/>
      <c r="I322" s="9"/>
      <c r="J322" s="9"/>
      <c r="K322" s="9"/>
      <c r="L322" s="9"/>
      <c r="M322" s="9"/>
      <c r="N322" s="10"/>
      <c r="O322" s="9"/>
      <c r="P322" s="9"/>
      <c r="Q322" s="9">
        <v>2</v>
      </c>
      <c r="R322" s="9">
        <v>6</v>
      </c>
      <c r="S322" s="9">
        <v>8</v>
      </c>
      <c r="T322" s="13">
        <f t="shared" ref="T322:T350" si="17">IF(ISNUMBER(R322), (R322/$E$353)*10000, "")</f>
        <v>0.72098053352559488</v>
      </c>
      <c r="U322" s="13">
        <f t="shared" ref="U322:U350" si="18">IF(ISNUMBER(S322), (S322/$E$353)*10000, "")</f>
        <v>0.96130737803412647</v>
      </c>
      <c r="V322" s="13">
        <f t="shared" ref="V322:V350" si="19">IF(ISNUMBER(Q322), U322-T322, "")</f>
        <v>0.24032684450853159</v>
      </c>
      <c r="W322" s="9"/>
      <c r="X322" s="9"/>
      <c r="Y322" s="9"/>
      <c r="Z322" s="9"/>
      <c r="AA322" s="9"/>
      <c r="AB322" s="9"/>
      <c r="AC322" s="9"/>
      <c r="AD322" s="9"/>
      <c r="AE322" s="9"/>
      <c r="AF322" s="9"/>
    </row>
    <row r="323" spans="1:32" ht="29">
      <c r="A323" s="3" t="s">
        <v>4527</v>
      </c>
      <c r="B323" s="3" t="s">
        <v>4528</v>
      </c>
      <c r="C323" s="3" t="s">
        <v>4529</v>
      </c>
      <c r="G323" s="9" t="s">
        <v>12118</v>
      </c>
      <c r="H323" s="9"/>
      <c r="I323" s="9"/>
      <c r="J323" s="9"/>
      <c r="K323" s="9"/>
      <c r="L323" s="9"/>
      <c r="M323" s="9"/>
      <c r="N323" s="10"/>
      <c r="O323" s="9"/>
      <c r="P323" s="9"/>
      <c r="Q323" s="9">
        <v>-4</v>
      </c>
      <c r="R323" s="9">
        <v>4</v>
      </c>
      <c r="S323" s="9">
        <v>0</v>
      </c>
      <c r="T323" s="13">
        <f t="shared" si="17"/>
        <v>0.48065368901706323</v>
      </c>
      <c r="U323" s="13">
        <f t="shared" si="18"/>
        <v>0</v>
      </c>
      <c r="V323" s="13">
        <f t="shared" si="19"/>
        <v>-0.48065368901706323</v>
      </c>
      <c r="W323" s="9"/>
      <c r="X323" s="9"/>
      <c r="Y323" s="9"/>
      <c r="Z323" s="9"/>
      <c r="AA323" s="9"/>
      <c r="AB323" s="9"/>
      <c r="AC323" s="9"/>
      <c r="AD323" s="9"/>
      <c r="AE323" s="9"/>
      <c r="AF323" s="9"/>
    </row>
    <row r="324" spans="1:32" ht="58">
      <c r="A324" s="3" t="s">
        <v>4538</v>
      </c>
      <c r="B324" s="3" t="s">
        <v>11531</v>
      </c>
      <c r="C324" s="3" t="s">
        <v>11532</v>
      </c>
      <c r="G324" s="9" t="s">
        <v>12118</v>
      </c>
      <c r="H324" s="9"/>
      <c r="I324" s="9"/>
      <c r="J324" s="9"/>
      <c r="K324" s="9"/>
      <c r="L324" s="9"/>
      <c r="M324" s="9"/>
      <c r="N324" s="10"/>
      <c r="O324" s="9"/>
      <c r="P324" s="9"/>
      <c r="Q324" s="9">
        <v>1800</v>
      </c>
      <c r="R324" s="9">
        <v>166</v>
      </c>
      <c r="S324" s="9">
        <v>1966</v>
      </c>
      <c r="T324" s="13">
        <f t="shared" si="17"/>
        <v>19.947128094208121</v>
      </c>
      <c r="U324" s="13">
        <f t="shared" si="18"/>
        <v>236.24128815188658</v>
      </c>
      <c r="V324" s="13">
        <f t="shared" si="19"/>
        <v>216.29416005767845</v>
      </c>
      <c r="W324" s="9"/>
      <c r="X324" s="9"/>
      <c r="Y324" s="9"/>
      <c r="Z324" s="9"/>
      <c r="AA324" s="9"/>
      <c r="AB324" s="9"/>
      <c r="AC324" s="9"/>
      <c r="AD324" s="9"/>
      <c r="AE324" s="9"/>
      <c r="AF324" s="9"/>
    </row>
    <row r="325" spans="1:32" ht="58">
      <c r="A325" s="3" t="s">
        <v>4554</v>
      </c>
      <c r="B325" s="3" t="s">
        <v>12954</v>
      </c>
      <c r="C325" s="3" t="s">
        <v>13079</v>
      </c>
      <c r="G325" s="9" t="s">
        <v>12118</v>
      </c>
      <c r="H325" s="9"/>
      <c r="I325" s="9"/>
      <c r="J325" s="9"/>
      <c r="K325" s="9"/>
      <c r="L325" s="9"/>
      <c r="M325" s="9"/>
      <c r="N325" s="10"/>
      <c r="O325" s="9"/>
      <c r="P325" s="9">
        <v>11843</v>
      </c>
      <c r="Q325" s="9">
        <v>11563</v>
      </c>
      <c r="R325" s="9">
        <v>280</v>
      </c>
      <c r="S325" s="9">
        <v>11843</v>
      </c>
      <c r="T325" s="13">
        <f t="shared" si="17"/>
        <v>33.645758231194421</v>
      </c>
      <c r="U325" s="13">
        <f t="shared" si="18"/>
        <v>1423.0954097572699</v>
      </c>
      <c r="V325" s="13">
        <f t="shared" si="19"/>
        <v>1389.4496515260755</v>
      </c>
      <c r="W325" s="9"/>
      <c r="X325" s="9"/>
      <c r="Y325" s="9"/>
      <c r="Z325" s="9"/>
      <c r="AA325" s="9"/>
      <c r="AB325" s="9"/>
      <c r="AC325" s="9"/>
      <c r="AD325" s="9"/>
      <c r="AE325" s="9"/>
      <c r="AF325" s="9"/>
    </row>
    <row r="326" spans="1:32" ht="72.5">
      <c r="A326" s="3" t="s">
        <v>4567</v>
      </c>
      <c r="B326" s="3" t="s">
        <v>11601</v>
      </c>
      <c r="C326" s="3" t="s">
        <v>11602</v>
      </c>
      <c r="G326" s="9" t="s">
        <v>12118</v>
      </c>
      <c r="H326" s="9"/>
      <c r="I326" s="9"/>
      <c r="J326" s="9"/>
      <c r="K326" s="9"/>
      <c r="L326" s="9"/>
      <c r="M326" s="9"/>
      <c r="N326" s="10"/>
      <c r="O326" s="9"/>
      <c r="P326" s="9"/>
      <c r="Q326" s="9">
        <v>-1800</v>
      </c>
      <c r="R326" s="9">
        <v>1966</v>
      </c>
      <c r="S326" s="9">
        <v>166</v>
      </c>
      <c r="T326" s="13">
        <f t="shared" si="17"/>
        <v>236.24128815188658</v>
      </c>
      <c r="U326" s="13">
        <f t="shared" si="18"/>
        <v>19.947128094208121</v>
      </c>
      <c r="V326" s="13">
        <f t="shared" si="19"/>
        <v>-216.29416005767845</v>
      </c>
      <c r="W326" s="9"/>
      <c r="X326" s="9"/>
      <c r="Y326" s="9"/>
      <c r="Z326" s="9"/>
      <c r="AA326" s="9"/>
      <c r="AB326" s="9"/>
      <c r="AC326" s="9"/>
      <c r="AD326" s="9"/>
      <c r="AE326" s="9"/>
      <c r="AF326" s="9"/>
    </row>
    <row r="327" spans="1:32" ht="58">
      <c r="A327" s="3" t="s">
        <v>4576</v>
      </c>
      <c r="B327" s="3" t="s">
        <v>11626</v>
      </c>
      <c r="C327" s="3" t="s">
        <v>11625</v>
      </c>
      <c r="G327" s="9" t="s">
        <v>12118</v>
      </c>
      <c r="H327" s="9"/>
      <c r="I327" s="9"/>
      <c r="J327" s="9"/>
      <c r="K327" s="9"/>
      <c r="L327" s="9"/>
      <c r="M327" s="9"/>
      <c r="N327" s="10"/>
      <c r="O327" s="9"/>
      <c r="P327" s="9"/>
      <c r="Q327" s="9">
        <v>26</v>
      </c>
      <c r="R327" s="9">
        <v>21</v>
      </c>
      <c r="S327" s="9">
        <v>47</v>
      </c>
      <c r="T327" s="13">
        <f t="shared" si="17"/>
        <v>2.5234318673395819</v>
      </c>
      <c r="U327" s="13">
        <f t="shared" si="18"/>
        <v>5.647680845950493</v>
      </c>
      <c r="V327" s="13">
        <f t="shared" si="19"/>
        <v>3.1242489786109111</v>
      </c>
      <c r="W327" s="9"/>
      <c r="X327" s="9"/>
      <c r="Y327" s="9"/>
      <c r="Z327" s="9"/>
      <c r="AA327" s="9"/>
      <c r="AB327" s="9"/>
      <c r="AC327" s="9"/>
      <c r="AD327" s="9"/>
      <c r="AE327" s="9"/>
      <c r="AF327" s="9"/>
    </row>
    <row r="328" spans="1:32" ht="58">
      <c r="A328" s="3" t="s">
        <v>4617</v>
      </c>
      <c r="B328" s="3" t="s">
        <v>11701</v>
      </c>
      <c r="C328" s="3" t="s">
        <v>11702</v>
      </c>
      <c r="G328" s="9" t="s">
        <v>12118</v>
      </c>
      <c r="H328" s="9"/>
      <c r="I328" s="9"/>
      <c r="J328" s="9"/>
      <c r="K328" s="9"/>
      <c r="L328" s="9"/>
      <c r="M328" s="9"/>
      <c r="N328" s="10"/>
      <c r="O328" s="9"/>
      <c r="P328" s="9"/>
      <c r="Q328" s="9">
        <v>245</v>
      </c>
      <c r="R328" s="9">
        <v>1496</v>
      </c>
      <c r="S328" s="9">
        <v>1741</v>
      </c>
      <c r="T328" s="13">
        <f t="shared" si="17"/>
        <v>179.76447969238166</v>
      </c>
      <c r="U328" s="13">
        <f t="shared" si="18"/>
        <v>209.20451814467677</v>
      </c>
      <c r="V328" s="13">
        <f t="shared" si="19"/>
        <v>29.440038452295113</v>
      </c>
      <c r="W328" s="9"/>
      <c r="X328" s="9"/>
      <c r="Y328" s="9"/>
      <c r="Z328" s="9"/>
      <c r="AA328" s="9"/>
      <c r="AB328" s="9"/>
      <c r="AC328" s="9"/>
      <c r="AD328" s="9"/>
      <c r="AE328" s="9"/>
      <c r="AF328" s="9"/>
    </row>
    <row r="329" spans="1:32" ht="43.5">
      <c r="A329" s="3" t="s">
        <v>4621</v>
      </c>
      <c r="B329" s="3" t="s">
        <v>11707</v>
      </c>
      <c r="C329" s="3" t="s">
        <v>11708</v>
      </c>
      <c r="G329" s="9" t="s">
        <v>12118</v>
      </c>
      <c r="H329" s="9"/>
      <c r="I329" s="9"/>
      <c r="J329" s="9"/>
      <c r="K329" s="9"/>
      <c r="L329" s="9"/>
      <c r="M329" s="9"/>
      <c r="N329" s="10"/>
      <c r="O329" s="9"/>
      <c r="P329" s="9"/>
      <c r="Q329" s="9">
        <v>85</v>
      </c>
      <c r="R329" s="9">
        <v>8</v>
      </c>
      <c r="S329" s="9">
        <v>93</v>
      </c>
      <c r="T329" s="13">
        <f t="shared" si="17"/>
        <v>0.96130737803412647</v>
      </c>
      <c r="U329" s="13">
        <f t="shared" si="18"/>
        <v>11.175198269646719</v>
      </c>
      <c r="V329" s="13">
        <f t="shared" si="19"/>
        <v>10.213890891612593</v>
      </c>
      <c r="W329" s="9"/>
      <c r="X329" s="9"/>
      <c r="Y329" s="9"/>
      <c r="Z329" s="9"/>
      <c r="AA329" s="9"/>
      <c r="AB329" s="9"/>
      <c r="AC329" s="9"/>
      <c r="AD329" s="9"/>
      <c r="AE329" s="9"/>
      <c r="AF329" s="9"/>
    </row>
    <row r="330" spans="1:32" ht="72.5">
      <c r="A330" s="3" t="s">
        <v>4621</v>
      </c>
      <c r="B330" s="3" t="s">
        <v>12615</v>
      </c>
      <c r="C330" s="3" t="s">
        <v>12616</v>
      </c>
      <c r="G330" s="9" t="s">
        <v>12118</v>
      </c>
      <c r="H330" s="9"/>
      <c r="I330" s="9"/>
      <c r="J330" s="9"/>
      <c r="K330" s="9"/>
      <c r="L330" s="9"/>
      <c r="M330" s="9"/>
      <c r="N330" s="10"/>
      <c r="O330" s="9"/>
      <c r="P330" s="9"/>
      <c r="Q330" s="9">
        <v>-48</v>
      </c>
      <c r="R330" s="9">
        <v>49</v>
      </c>
      <c r="S330" s="9">
        <v>1</v>
      </c>
      <c r="T330" s="13">
        <f t="shared" si="17"/>
        <v>5.8880076904590251</v>
      </c>
      <c r="U330" s="13">
        <f t="shared" si="18"/>
        <v>0.12016342225426581</v>
      </c>
      <c r="V330" s="13">
        <f t="shared" si="19"/>
        <v>-5.767844268204759</v>
      </c>
      <c r="W330" s="9"/>
      <c r="X330" s="9"/>
      <c r="Y330" s="9"/>
      <c r="Z330" s="9"/>
      <c r="AA330" s="9"/>
      <c r="AB330" s="9"/>
      <c r="AC330" s="9"/>
      <c r="AD330" s="9"/>
      <c r="AE330" s="9"/>
      <c r="AF330" s="9"/>
    </row>
    <row r="331" spans="1:32" ht="29">
      <c r="A331" s="3" t="s">
        <v>4634</v>
      </c>
      <c r="B331" s="3" t="s">
        <v>11746</v>
      </c>
      <c r="C331" s="3" t="s">
        <v>11745</v>
      </c>
      <c r="G331" s="9" t="s">
        <v>12118</v>
      </c>
      <c r="H331" s="9"/>
      <c r="I331" s="9"/>
      <c r="J331" s="9"/>
      <c r="K331" s="9"/>
      <c r="L331" s="9"/>
      <c r="M331" s="9"/>
      <c r="N331" s="10"/>
      <c r="O331" s="9"/>
      <c r="P331" s="9"/>
      <c r="Q331" s="9">
        <v>1800</v>
      </c>
      <c r="R331" s="9">
        <v>166</v>
      </c>
      <c r="S331" s="9">
        <v>1966</v>
      </c>
      <c r="T331" s="13">
        <f t="shared" si="17"/>
        <v>19.947128094208121</v>
      </c>
      <c r="U331" s="13">
        <f t="shared" si="18"/>
        <v>236.24128815188658</v>
      </c>
      <c r="V331" s="13">
        <f t="shared" si="19"/>
        <v>216.29416005767845</v>
      </c>
      <c r="W331" s="9"/>
      <c r="X331" s="9"/>
      <c r="Y331" s="9"/>
      <c r="Z331" s="9"/>
      <c r="AA331" s="9"/>
      <c r="AB331" s="9"/>
      <c r="AC331" s="9"/>
      <c r="AD331" s="9"/>
      <c r="AE331" s="9"/>
      <c r="AF331" s="9"/>
    </row>
    <row r="332" spans="1:32" ht="29">
      <c r="A332" s="3" t="s">
        <v>4635</v>
      </c>
      <c r="B332" s="3" t="s">
        <v>4636</v>
      </c>
      <c r="C332" s="3" t="s">
        <v>4637</v>
      </c>
      <c r="G332" s="9" t="s">
        <v>12121</v>
      </c>
      <c r="H332" s="9"/>
      <c r="I332" s="9"/>
      <c r="J332" s="9"/>
      <c r="K332" s="9"/>
      <c r="L332" s="9"/>
      <c r="M332" s="9"/>
      <c r="N332" s="10"/>
      <c r="O332" s="9"/>
      <c r="P332" s="9"/>
      <c r="Q332" s="9">
        <v>46</v>
      </c>
      <c r="R332" s="9">
        <v>7</v>
      </c>
      <c r="S332" s="9">
        <v>53</v>
      </c>
      <c r="T332" s="13">
        <f t="shared" si="17"/>
        <v>0.84114395577986056</v>
      </c>
      <c r="U332" s="13">
        <f t="shared" si="18"/>
        <v>6.3686613794760873</v>
      </c>
      <c r="V332" s="13">
        <f t="shared" si="19"/>
        <v>5.527517423696227</v>
      </c>
      <c r="W332" s="9"/>
      <c r="X332" s="9"/>
      <c r="Y332" s="9"/>
      <c r="Z332" s="9"/>
      <c r="AA332" s="9"/>
      <c r="AB332" s="9"/>
      <c r="AC332" s="9"/>
      <c r="AD332" s="9"/>
      <c r="AE332" s="9"/>
      <c r="AF332" s="9"/>
    </row>
    <row r="333" spans="1:32" ht="43.5">
      <c r="A333" s="3" t="s">
        <v>4635</v>
      </c>
      <c r="B333" s="3" t="s">
        <v>11753</v>
      </c>
      <c r="C333" s="3" t="s">
        <v>11754</v>
      </c>
      <c r="G333" s="9" t="s">
        <v>12118</v>
      </c>
      <c r="H333" s="9"/>
      <c r="I333" s="9"/>
      <c r="J333" s="9"/>
      <c r="K333" s="9"/>
      <c r="L333" s="9"/>
      <c r="M333" s="9"/>
      <c r="N333" s="10"/>
      <c r="O333" s="9"/>
      <c r="P333" s="9"/>
      <c r="Q333" s="9">
        <v>348</v>
      </c>
      <c r="R333" s="9">
        <v>4</v>
      </c>
      <c r="S333" s="9">
        <v>352</v>
      </c>
      <c r="T333" s="13">
        <f t="shared" si="17"/>
        <v>0.48065368901706323</v>
      </c>
      <c r="U333" s="13">
        <f t="shared" si="18"/>
        <v>42.29752463350156</v>
      </c>
      <c r="V333" s="13">
        <f t="shared" si="19"/>
        <v>41.816870944484499</v>
      </c>
      <c r="W333" s="9"/>
      <c r="X333" s="9"/>
      <c r="Y333" s="9"/>
      <c r="Z333" s="9"/>
      <c r="AA333" s="9"/>
      <c r="AB333" s="9"/>
      <c r="AC333" s="9"/>
      <c r="AD333" s="9"/>
      <c r="AE333" s="9"/>
      <c r="AF333" s="9"/>
    </row>
    <row r="334" spans="1:32" ht="29">
      <c r="A334" s="3" t="s">
        <v>4635</v>
      </c>
      <c r="B334" s="3" t="s">
        <v>12617</v>
      </c>
      <c r="C334" s="3" t="s">
        <v>12618</v>
      </c>
      <c r="G334" s="9" t="s">
        <v>12118</v>
      </c>
      <c r="H334" s="9"/>
      <c r="I334" s="9"/>
      <c r="J334" s="9"/>
      <c r="K334" s="9"/>
      <c r="L334" s="9"/>
      <c r="M334" s="9"/>
      <c r="N334" s="10"/>
      <c r="O334" s="9"/>
      <c r="P334" s="9"/>
      <c r="Q334" s="9">
        <v>-1</v>
      </c>
      <c r="R334" s="9">
        <v>4</v>
      </c>
      <c r="S334" s="9">
        <v>3</v>
      </c>
      <c r="T334" s="13">
        <f t="shared" si="17"/>
        <v>0.48065368901706323</v>
      </c>
      <c r="U334" s="13">
        <f t="shared" si="18"/>
        <v>0.36049026676279744</v>
      </c>
      <c r="V334" s="13">
        <f t="shared" si="19"/>
        <v>-0.12016342225426579</v>
      </c>
      <c r="W334" s="9"/>
      <c r="X334" s="9"/>
      <c r="Y334" s="9"/>
      <c r="Z334" s="9"/>
      <c r="AA334" s="9"/>
      <c r="AB334" s="9"/>
      <c r="AC334" s="9"/>
      <c r="AD334" s="9"/>
      <c r="AE334" s="9"/>
      <c r="AF334" s="9"/>
    </row>
    <row r="335" spans="1:32" ht="43.5">
      <c r="A335" s="3" t="s">
        <v>4640</v>
      </c>
      <c r="B335" s="3" t="s">
        <v>11761</v>
      </c>
      <c r="C335" s="3" t="s">
        <v>11762</v>
      </c>
      <c r="G335" s="9" t="s">
        <v>12118</v>
      </c>
      <c r="H335" s="9"/>
      <c r="I335" s="9"/>
      <c r="J335" s="9"/>
      <c r="K335" s="9"/>
      <c r="L335" s="9"/>
      <c r="M335" s="9"/>
      <c r="N335" s="10"/>
      <c r="O335" s="9"/>
      <c r="P335" s="9"/>
      <c r="Q335" s="9">
        <v>-541</v>
      </c>
      <c r="R335" s="9">
        <v>1101</v>
      </c>
      <c r="S335" s="9">
        <v>560</v>
      </c>
      <c r="T335" s="13">
        <f t="shared" si="17"/>
        <v>132.29992790194663</v>
      </c>
      <c r="U335" s="13">
        <f t="shared" si="18"/>
        <v>67.291516462388842</v>
      </c>
      <c r="V335" s="13">
        <f t="shared" si="19"/>
        <v>-65.00841143955779</v>
      </c>
      <c r="W335" s="9"/>
      <c r="X335" s="9"/>
      <c r="Y335" s="9"/>
      <c r="Z335" s="9"/>
      <c r="AA335" s="9"/>
      <c r="AB335" s="9"/>
      <c r="AC335" s="9"/>
      <c r="AD335" s="9"/>
      <c r="AE335" s="9"/>
      <c r="AF335" s="9"/>
    </row>
    <row r="336" spans="1:32" ht="29">
      <c r="A336" s="3" t="s">
        <v>4642</v>
      </c>
      <c r="B336" s="3" t="s">
        <v>11767</v>
      </c>
      <c r="C336" s="3" t="s">
        <v>11768</v>
      </c>
      <c r="G336" s="9" t="s">
        <v>12118</v>
      </c>
      <c r="H336" s="9"/>
      <c r="I336" s="9"/>
      <c r="J336" s="9"/>
      <c r="K336" s="9"/>
      <c r="L336" s="9"/>
      <c r="M336" s="9"/>
      <c r="N336" s="10"/>
      <c r="O336" s="9"/>
      <c r="P336" s="9"/>
      <c r="Q336" s="9">
        <v>-1</v>
      </c>
      <c r="R336" s="9">
        <v>1</v>
      </c>
      <c r="S336" s="9">
        <v>0</v>
      </c>
      <c r="T336" s="13">
        <f t="shared" si="17"/>
        <v>0.12016342225426581</v>
      </c>
      <c r="U336" s="13">
        <f t="shared" si="18"/>
        <v>0</v>
      </c>
      <c r="V336" s="13">
        <f t="shared" si="19"/>
        <v>-0.12016342225426581</v>
      </c>
      <c r="W336" s="9"/>
      <c r="X336" s="9"/>
      <c r="Y336" s="9"/>
      <c r="Z336" s="9"/>
      <c r="AA336" s="9"/>
      <c r="AB336" s="9"/>
      <c r="AC336" s="9"/>
      <c r="AD336" s="9"/>
      <c r="AE336" s="9"/>
      <c r="AF336" s="9"/>
    </row>
    <row r="337" spans="1:32" ht="43.5">
      <c r="A337" s="3" t="s">
        <v>4646</v>
      </c>
      <c r="B337" s="3" t="s">
        <v>11794</v>
      </c>
      <c r="C337" s="3" t="s">
        <v>11795</v>
      </c>
      <c r="G337" s="9" t="s">
        <v>12118</v>
      </c>
      <c r="H337" s="9"/>
      <c r="I337" s="9"/>
      <c r="J337" s="9"/>
      <c r="K337" s="9"/>
      <c r="L337" s="9"/>
      <c r="M337" s="9"/>
      <c r="N337" s="10"/>
      <c r="O337" s="9"/>
      <c r="P337" s="9"/>
      <c r="Q337" s="9">
        <v>118</v>
      </c>
      <c r="R337" s="9">
        <v>2</v>
      </c>
      <c r="S337" s="9">
        <v>120</v>
      </c>
      <c r="T337" s="13">
        <f t="shared" si="17"/>
        <v>0.24032684450853162</v>
      </c>
      <c r="U337" s="13">
        <f t="shared" si="18"/>
        <v>14.419610670511895</v>
      </c>
      <c r="V337" s="13">
        <f t="shared" si="19"/>
        <v>14.179283826003363</v>
      </c>
      <c r="W337" s="9"/>
      <c r="X337" s="9"/>
      <c r="Y337" s="9"/>
      <c r="Z337" s="9"/>
      <c r="AA337" s="9"/>
      <c r="AB337" s="9"/>
      <c r="AC337" s="9"/>
      <c r="AD337" s="9"/>
      <c r="AE337" s="9"/>
      <c r="AF337" s="9"/>
    </row>
    <row r="338" spans="1:32" ht="58">
      <c r="A338" s="3" t="s">
        <v>4651</v>
      </c>
      <c r="B338" s="3" t="s">
        <v>11801</v>
      </c>
      <c r="C338" s="3" t="s">
        <v>11800</v>
      </c>
      <c r="G338" s="9" t="s">
        <v>12121</v>
      </c>
      <c r="H338" s="9"/>
      <c r="I338" s="9"/>
      <c r="J338" s="9"/>
      <c r="K338" s="9"/>
      <c r="L338" s="9"/>
      <c r="M338" s="9"/>
      <c r="N338" s="10"/>
      <c r="O338" s="9"/>
      <c r="P338" s="9"/>
      <c r="Q338" s="9">
        <v>7</v>
      </c>
      <c r="R338" s="9">
        <v>59</v>
      </c>
      <c r="S338" s="9">
        <v>66</v>
      </c>
      <c r="T338" s="13">
        <f t="shared" si="17"/>
        <v>7.0896419130016826</v>
      </c>
      <c r="U338" s="13">
        <f t="shared" si="18"/>
        <v>7.9307858687815429</v>
      </c>
      <c r="V338" s="13">
        <f t="shared" si="19"/>
        <v>0.84114395577986034</v>
      </c>
      <c r="W338" s="9"/>
      <c r="X338" s="9"/>
      <c r="Y338" s="9"/>
      <c r="Z338" s="9"/>
      <c r="AA338" s="9"/>
      <c r="AB338" s="9"/>
      <c r="AC338" s="9"/>
      <c r="AD338" s="9"/>
      <c r="AE338" s="9"/>
      <c r="AF338" s="9"/>
    </row>
    <row r="339" spans="1:32" ht="43.5">
      <c r="A339" s="3" t="s">
        <v>4654</v>
      </c>
      <c r="B339" s="3" t="s">
        <v>11821</v>
      </c>
      <c r="C339" s="3" t="s">
        <v>11820</v>
      </c>
      <c r="G339" s="9" t="s">
        <v>12118</v>
      </c>
      <c r="H339" s="9"/>
      <c r="I339" s="9"/>
      <c r="J339" s="9"/>
      <c r="K339" s="9"/>
      <c r="L339" s="9"/>
      <c r="M339" s="9"/>
      <c r="N339" s="10"/>
      <c r="O339" s="9"/>
      <c r="P339" s="9"/>
      <c r="Q339" s="9">
        <v>-163</v>
      </c>
      <c r="R339" s="9">
        <v>635</v>
      </c>
      <c r="S339" s="9">
        <v>472</v>
      </c>
      <c r="T339" s="13">
        <f t="shared" si="17"/>
        <v>76.303773131458783</v>
      </c>
      <c r="U339" s="13">
        <f t="shared" si="18"/>
        <v>56.71713530401346</v>
      </c>
      <c r="V339" s="13">
        <f t="shared" si="19"/>
        <v>-19.586637827445323</v>
      </c>
      <c r="W339" s="9"/>
      <c r="X339" s="9"/>
      <c r="Y339" s="9"/>
      <c r="Z339" s="9"/>
      <c r="AA339" s="9"/>
      <c r="AB339" s="9"/>
      <c r="AC339" s="9"/>
      <c r="AD339" s="9"/>
      <c r="AE339" s="9"/>
      <c r="AF339" s="9"/>
    </row>
    <row r="340" spans="1:32" ht="43.5">
      <c r="A340" s="3" t="s">
        <v>4672</v>
      </c>
      <c r="B340" s="3" t="s">
        <v>11872</v>
      </c>
      <c r="C340" s="3" t="s">
        <v>11873</v>
      </c>
      <c r="G340" s="9" t="s">
        <v>12118</v>
      </c>
      <c r="H340" s="9"/>
      <c r="I340" s="9"/>
      <c r="J340" s="9"/>
      <c r="K340" s="9"/>
      <c r="L340" s="9"/>
      <c r="M340" s="9"/>
      <c r="N340" s="10"/>
      <c r="O340" s="9"/>
      <c r="P340" s="9"/>
      <c r="Q340" s="9">
        <v>541</v>
      </c>
      <c r="R340" s="9">
        <v>560</v>
      </c>
      <c r="S340" s="9">
        <v>1101</v>
      </c>
      <c r="T340" s="13">
        <f t="shared" si="17"/>
        <v>67.291516462388842</v>
      </c>
      <c r="U340" s="13">
        <f t="shared" si="18"/>
        <v>132.29992790194663</v>
      </c>
      <c r="V340" s="13">
        <f t="shared" si="19"/>
        <v>65.00841143955779</v>
      </c>
      <c r="W340" s="9"/>
      <c r="X340" s="9"/>
      <c r="Y340" s="9"/>
      <c r="Z340" s="9"/>
      <c r="AA340" s="9"/>
      <c r="AB340" s="9"/>
      <c r="AC340" s="9"/>
      <c r="AD340" s="9"/>
      <c r="AE340" s="9"/>
      <c r="AF340" s="9"/>
    </row>
    <row r="341" spans="1:32" ht="43.5">
      <c r="A341" s="3" t="s">
        <v>4673</v>
      </c>
      <c r="B341" s="3" t="s">
        <v>11884</v>
      </c>
      <c r="C341" s="3" t="s">
        <v>11885</v>
      </c>
      <c r="G341" s="9" t="s">
        <v>12118</v>
      </c>
      <c r="H341" s="9"/>
      <c r="I341" s="9"/>
      <c r="J341" s="9"/>
      <c r="K341" s="9"/>
      <c r="L341" s="9"/>
      <c r="M341" s="9"/>
      <c r="N341" s="10"/>
      <c r="O341" s="9"/>
      <c r="P341" s="9"/>
      <c r="Q341" s="9">
        <v>493</v>
      </c>
      <c r="R341" s="9">
        <v>14</v>
      </c>
      <c r="S341" s="9">
        <v>507</v>
      </c>
      <c r="T341" s="13">
        <f t="shared" si="17"/>
        <v>1.6822879115597211</v>
      </c>
      <c r="U341" s="13">
        <f t="shared" si="18"/>
        <v>60.922855082912768</v>
      </c>
      <c r="V341" s="13">
        <f t="shared" si="19"/>
        <v>59.24056717135305</v>
      </c>
      <c r="W341" s="9"/>
      <c r="X341" s="9"/>
      <c r="Y341" s="9"/>
      <c r="Z341" s="9"/>
      <c r="AA341" s="9"/>
      <c r="AB341" s="9"/>
      <c r="AC341" s="9"/>
      <c r="AD341" s="9"/>
      <c r="AE341" s="9"/>
      <c r="AF341" s="9"/>
    </row>
    <row r="342" spans="1:32" ht="29">
      <c r="A342" s="3" t="s">
        <v>4690</v>
      </c>
      <c r="B342" s="3" t="s">
        <v>11905</v>
      </c>
      <c r="C342" s="3" t="s">
        <v>11906</v>
      </c>
      <c r="G342" s="9" t="s">
        <v>12118</v>
      </c>
      <c r="H342" s="9"/>
      <c r="I342" s="9"/>
      <c r="J342" s="9"/>
      <c r="K342" s="9"/>
      <c r="L342" s="9"/>
      <c r="M342" s="9"/>
      <c r="N342" s="10"/>
      <c r="O342" s="9"/>
      <c r="P342" s="9"/>
      <c r="Q342" s="9">
        <v>-111</v>
      </c>
      <c r="R342" s="9">
        <v>472</v>
      </c>
      <c r="S342" s="9">
        <v>361</v>
      </c>
      <c r="T342" s="13">
        <f t="shared" si="17"/>
        <v>56.71713530401346</v>
      </c>
      <c r="U342" s="13">
        <f t="shared" si="18"/>
        <v>43.378995433789953</v>
      </c>
      <c r="V342" s="13">
        <f t="shared" si="19"/>
        <v>-13.338139870223507</v>
      </c>
      <c r="W342" s="9"/>
      <c r="X342" s="9"/>
      <c r="Y342" s="9"/>
      <c r="Z342" s="9"/>
      <c r="AA342" s="9"/>
      <c r="AB342" s="9"/>
      <c r="AC342" s="9"/>
      <c r="AD342" s="9"/>
      <c r="AE342" s="9"/>
      <c r="AF342" s="9"/>
    </row>
    <row r="343" spans="1:32" ht="43.5">
      <c r="A343" s="3" t="s">
        <v>4701</v>
      </c>
      <c r="B343" s="3" t="s">
        <v>11946</v>
      </c>
      <c r="C343" s="3" t="s">
        <v>11945</v>
      </c>
      <c r="G343" s="9" t="s">
        <v>12118</v>
      </c>
      <c r="H343" s="9"/>
      <c r="I343" s="9"/>
      <c r="J343" s="9"/>
      <c r="K343" s="9"/>
      <c r="L343" s="9"/>
      <c r="M343" s="9"/>
      <c r="N343" s="10"/>
      <c r="O343" s="9"/>
      <c r="P343" s="9"/>
      <c r="Q343" s="9">
        <v>-116</v>
      </c>
      <c r="R343" s="9">
        <v>560</v>
      </c>
      <c r="S343" s="9">
        <v>444</v>
      </c>
      <c r="T343" s="13">
        <f t="shared" si="17"/>
        <v>67.291516462388842</v>
      </c>
      <c r="U343" s="13">
        <f t="shared" si="18"/>
        <v>53.352559480894016</v>
      </c>
      <c r="V343" s="13">
        <f t="shared" si="19"/>
        <v>-13.938956981494826</v>
      </c>
      <c r="W343" s="9"/>
      <c r="X343" s="9"/>
      <c r="Y343" s="9"/>
      <c r="Z343" s="9"/>
      <c r="AA343" s="9"/>
      <c r="AB343" s="9"/>
      <c r="AC343" s="9"/>
      <c r="AD343" s="9"/>
      <c r="AE343" s="9"/>
      <c r="AF343" s="9"/>
    </row>
    <row r="344" spans="1:32" ht="58">
      <c r="A344" s="3" t="s">
        <v>4707</v>
      </c>
      <c r="B344" s="3" t="s">
        <v>11963</v>
      </c>
      <c r="C344" s="3" t="s">
        <v>11964</v>
      </c>
      <c r="G344" s="9" t="s">
        <v>12121</v>
      </c>
      <c r="H344" s="9"/>
      <c r="I344" s="9"/>
      <c r="J344" s="9"/>
      <c r="K344" s="9"/>
      <c r="L344" s="9"/>
      <c r="M344" s="9"/>
      <c r="N344" s="10"/>
      <c r="O344" s="9"/>
      <c r="P344" s="9"/>
      <c r="Q344" s="9">
        <v>-13</v>
      </c>
      <c r="R344" s="9">
        <v>16</v>
      </c>
      <c r="S344" s="9">
        <v>3</v>
      </c>
      <c r="T344" s="13">
        <f t="shared" si="17"/>
        <v>1.9226147560682529</v>
      </c>
      <c r="U344" s="13">
        <f t="shared" si="18"/>
        <v>0.36049026676279744</v>
      </c>
      <c r="V344" s="13">
        <f t="shared" si="19"/>
        <v>-1.5621244893054556</v>
      </c>
      <c r="W344" s="9"/>
      <c r="X344" s="9"/>
      <c r="Y344" s="9"/>
      <c r="Z344" s="9"/>
      <c r="AA344" s="9"/>
      <c r="AB344" s="9"/>
      <c r="AC344" s="9"/>
      <c r="AD344" s="9"/>
      <c r="AE344" s="9"/>
      <c r="AF344" s="9"/>
    </row>
    <row r="345" spans="1:32" ht="29">
      <c r="A345" s="3" t="s">
        <v>4714</v>
      </c>
      <c r="B345" s="3" t="s">
        <v>4715</v>
      </c>
      <c r="C345" s="3" t="s">
        <v>4716</v>
      </c>
      <c r="G345" s="9" t="s">
        <v>12118</v>
      </c>
      <c r="H345" s="9"/>
      <c r="I345" s="9"/>
      <c r="J345" s="9"/>
      <c r="K345" s="9"/>
      <c r="L345" s="9"/>
      <c r="M345" s="9"/>
      <c r="N345" s="10"/>
      <c r="O345" s="9"/>
      <c r="P345" s="9"/>
      <c r="Q345" s="9">
        <v>-3</v>
      </c>
      <c r="R345" s="9">
        <v>3</v>
      </c>
      <c r="S345" s="9">
        <v>0</v>
      </c>
      <c r="T345" s="13">
        <f t="shared" si="17"/>
        <v>0.36049026676279744</v>
      </c>
      <c r="U345" s="13">
        <f t="shared" si="18"/>
        <v>0</v>
      </c>
      <c r="V345" s="13">
        <f t="shared" si="19"/>
        <v>-0.36049026676279744</v>
      </c>
      <c r="W345" s="9"/>
      <c r="X345" s="9"/>
      <c r="Y345" s="9"/>
      <c r="Z345" s="9"/>
      <c r="AA345" s="9"/>
      <c r="AB345" s="9"/>
      <c r="AC345" s="9"/>
      <c r="AD345" s="9"/>
      <c r="AE345" s="9"/>
      <c r="AF345" s="9"/>
    </row>
    <row r="346" spans="1:32" ht="29">
      <c r="A346" s="3" t="s">
        <v>4720</v>
      </c>
      <c r="B346" s="3" t="s">
        <v>4721</v>
      </c>
      <c r="C346" s="3" t="s">
        <v>11980</v>
      </c>
      <c r="G346" s="9" t="s">
        <v>12118</v>
      </c>
      <c r="H346" s="9"/>
      <c r="I346" s="9"/>
      <c r="J346" s="9"/>
      <c r="K346" s="9"/>
      <c r="L346" s="9"/>
      <c r="M346" s="9"/>
      <c r="N346" s="10"/>
      <c r="O346" s="9"/>
      <c r="P346" s="9"/>
      <c r="Q346" s="9">
        <v>-20</v>
      </c>
      <c r="R346" s="9">
        <v>20</v>
      </c>
      <c r="S346" s="9">
        <v>0</v>
      </c>
      <c r="T346" s="13">
        <f t="shared" si="17"/>
        <v>2.4032684450853159</v>
      </c>
      <c r="U346" s="13">
        <f t="shared" si="18"/>
        <v>0</v>
      </c>
      <c r="V346" s="13">
        <f t="shared" si="19"/>
        <v>-2.4032684450853159</v>
      </c>
      <c r="W346" s="9"/>
      <c r="X346" s="9"/>
      <c r="Y346" s="9"/>
      <c r="Z346" s="9"/>
      <c r="AA346" s="9"/>
      <c r="AB346" s="9"/>
      <c r="AC346" s="9"/>
      <c r="AD346" s="9"/>
      <c r="AE346" s="9"/>
      <c r="AF346" s="9"/>
    </row>
    <row r="347" spans="1:32" ht="43.5">
      <c r="A347" s="3" t="s">
        <v>4725</v>
      </c>
      <c r="B347" s="3" t="s">
        <v>11991</v>
      </c>
      <c r="C347" s="3" t="s">
        <v>11992</v>
      </c>
      <c r="G347" s="9" t="s">
        <v>12118</v>
      </c>
      <c r="H347" s="9"/>
      <c r="I347" s="9"/>
      <c r="J347" s="9"/>
      <c r="K347" s="9"/>
      <c r="L347" s="9"/>
      <c r="M347" s="9"/>
      <c r="N347" s="10"/>
      <c r="O347" s="9"/>
      <c r="P347" s="9"/>
      <c r="Q347" s="9">
        <v>22</v>
      </c>
      <c r="R347" s="9">
        <v>0</v>
      </c>
      <c r="S347" s="9">
        <v>22</v>
      </c>
      <c r="T347" s="13">
        <f t="shared" si="17"/>
        <v>0</v>
      </c>
      <c r="U347" s="13">
        <f t="shared" si="18"/>
        <v>2.6435952895938475</v>
      </c>
      <c r="V347" s="13">
        <f t="shared" si="19"/>
        <v>2.6435952895938475</v>
      </c>
      <c r="W347" s="9"/>
      <c r="X347" s="9"/>
      <c r="Y347" s="9"/>
      <c r="Z347" s="9"/>
      <c r="AA347" s="9"/>
      <c r="AB347" s="9"/>
      <c r="AC347" s="9"/>
      <c r="AD347" s="9"/>
      <c r="AE347" s="9"/>
      <c r="AF347" s="9"/>
    </row>
    <row r="348" spans="1:32" ht="58">
      <c r="A348" s="3" t="s">
        <v>4767</v>
      </c>
      <c r="B348" s="3" t="s">
        <v>12050</v>
      </c>
      <c r="C348" s="3" t="s">
        <v>12051</v>
      </c>
      <c r="G348" s="9" t="s">
        <v>12118</v>
      </c>
      <c r="H348" s="9"/>
      <c r="I348" s="9"/>
      <c r="J348" s="9"/>
      <c r="K348" s="9"/>
      <c r="L348" s="9"/>
      <c r="M348" s="9"/>
      <c r="N348" s="10"/>
      <c r="O348" s="9"/>
      <c r="P348" s="9"/>
      <c r="Q348" s="9">
        <v>-20</v>
      </c>
      <c r="R348" s="9">
        <v>20</v>
      </c>
      <c r="S348" s="9">
        <v>0</v>
      </c>
      <c r="T348" s="13">
        <f t="shared" si="17"/>
        <v>2.4032684450853159</v>
      </c>
      <c r="U348" s="13">
        <f t="shared" si="18"/>
        <v>0</v>
      </c>
      <c r="V348" s="13">
        <f t="shared" si="19"/>
        <v>-2.4032684450853159</v>
      </c>
      <c r="W348" s="9"/>
      <c r="X348" s="9"/>
      <c r="Y348" s="9"/>
      <c r="Z348" s="9"/>
      <c r="AA348" s="9"/>
      <c r="AB348" s="9"/>
      <c r="AC348" s="9"/>
      <c r="AD348" s="9"/>
      <c r="AE348" s="9"/>
      <c r="AF348" s="9"/>
    </row>
    <row r="349" spans="1:32" ht="29">
      <c r="A349" s="3" t="s">
        <v>4768</v>
      </c>
      <c r="B349" s="3" t="s">
        <v>4769</v>
      </c>
      <c r="C349" s="3" t="s">
        <v>4770</v>
      </c>
      <c r="G349" s="9" t="s">
        <v>12118</v>
      </c>
      <c r="H349" s="9"/>
      <c r="I349" s="9"/>
      <c r="J349" s="9"/>
      <c r="K349" s="9"/>
      <c r="L349" s="9"/>
      <c r="M349" s="9"/>
      <c r="N349" s="10"/>
      <c r="O349" s="9"/>
      <c r="P349" s="9"/>
      <c r="Q349" s="9">
        <v>-20</v>
      </c>
      <c r="R349" s="9">
        <v>20</v>
      </c>
      <c r="S349" s="9">
        <v>0</v>
      </c>
      <c r="T349" s="13">
        <f t="shared" si="17"/>
        <v>2.4032684450853159</v>
      </c>
      <c r="U349" s="13">
        <f t="shared" si="18"/>
        <v>0</v>
      </c>
      <c r="V349" s="13">
        <f t="shared" si="19"/>
        <v>-2.4032684450853159</v>
      </c>
      <c r="W349" s="9"/>
      <c r="X349" s="9"/>
      <c r="Y349" s="9"/>
      <c r="Z349" s="9"/>
      <c r="AA349" s="9"/>
      <c r="AB349" s="9"/>
      <c r="AC349" s="9"/>
      <c r="AD349" s="9"/>
      <c r="AE349" s="9"/>
      <c r="AF349" s="9"/>
    </row>
    <row r="350" spans="1:32" ht="72.5">
      <c r="A350" s="3" t="s">
        <v>4768</v>
      </c>
      <c r="B350" s="3" t="s">
        <v>12059</v>
      </c>
      <c r="C350" s="3" t="s">
        <v>12060</v>
      </c>
      <c r="G350" s="9" t="s">
        <v>12118</v>
      </c>
      <c r="H350" s="9"/>
      <c r="I350" s="9"/>
      <c r="J350" s="9"/>
      <c r="K350" s="9"/>
      <c r="L350" s="9"/>
      <c r="M350" s="9"/>
      <c r="N350" s="10"/>
      <c r="O350" s="9"/>
      <c r="P350" s="9"/>
      <c r="Q350" s="9">
        <v>-2198</v>
      </c>
      <c r="R350" s="9">
        <v>4240</v>
      </c>
      <c r="S350" s="9">
        <v>2042</v>
      </c>
      <c r="T350" s="13">
        <f t="shared" si="17"/>
        <v>509.49291035808699</v>
      </c>
      <c r="U350" s="13">
        <f t="shared" si="18"/>
        <v>245.37370824321076</v>
      </c>
      <c r="V350" s="13">
        <f t="shared" si="19"/>
        <v>-264.1192021148762</v>
      </c>
      <c r="W350" s="9"/>
      <c r="X350" s="9"/>
      <c r="Y350" s="9"/>
      <c r="Z350" s="9"/>
      <c r="AA350" s="9"/>
      <c r="AB350" s="9"/>
      <c r="AC350" s="9"/>
      <c r="AD350" s="9"/>
      <c r="AE350" s="9"/>
      <c r="AF350" s="9"/>
    </row>
    <row r="353" spans="4:5">
      <c r="D353" t="s">
        <v>12792</v>
      </c>
      <c r="E353">
        <v>83220</v>
      </c>
    </row>
    <row r="356" spans="4:5">
      <c r="D356" t="s">
        <v>12808</v>
      </c>
      <c r="E356">
        <f>COUNTIF(Q:Q, "&gt;0")</f>
        <v>163</v>
      </c>
    </row>
    <row r="357" spans="4:5">
      <c r="D357" t="s">
        <v>12809</v>
      </c>
      <c r="E357">
        <f>COUNTIF(Q:Q, "&lt;0")</f>
        <v>178</v>
      </c>
    </row>
    <row r="358" spans="4:5">
      <c r="D358" t="s">
        <v>12810</v>
      </c>
      <c r="E358">
        <f>_xlfn.BINOM.DIST(MIN(E356,E357),(E356+E357),0.5,TRUE)*2</f>
        <v>0.44841330441518301</v>
      </c>
    </row>
    <row r="360" spans="4:5">
      <c r="D360" t="s">
        <v>12811</v>
      </c>
      <c r="E360">
        <f>AVERAGE(Q:Q)</f>
        <v>-10.604584527220631</v>
      </c>
    </row>
    <row r="361" spans="4:5">
      <c r="D361" t="s">
        <v>12812</v>
      </c>
      <c r="E361">
        <f>_xlfn.STDEV.S(Q:Q)</f>
        <v>2757.5647768220651</v>
      </c>
    </row>
    <row r="364" spans="4:5">
      <c r="D364" t="s">
        <v>12813</v>
      </c>
      <c r="E364">
        <f>AVERAGE(V:V)</f>
        <v>-1.2742831683754656</v>
      </c>
    </row>
    <row r="365" spans="4:5">
      <c r="D365" t="s">
        <v>12814</v>
      </c>
      <c r="E365">
        <f>_xlfn.STDEV.S(V:V)</f>
        <v>331.35842067075981</v>
      </c>
    </row>
    <row r="368" spans="4:5">
      <c r="D368" t="s">
        <v>12819</v>
      </c>
      <c r="E368">
        <f>COUNT(V:V)</f>
        <v>349</v>
      </c>
    </row>
    <row r="369" spans="4:5">
      <c r="D369" t="s">
        <v>12820</v>
      </c>
      <c r="E369">
        <f>_xlfn.STDEV.P(V:V)</f>
        <v>330.8833545903762</v>
      </c>
    </row>
    <row r="371" spans="4:5">
      <c r="D371">
        <f>MIN(V:V)</f>
        <v>-1418.6493631338619</v>
      </c>
    </row>
    <row r="372" spans="4:5">
      <c r="D372">
        <f>MAX(V:V)</f>
        <v>1415.1646238884882</v>
      </c>
    </row>
  </sheetData>
  <conditionalFormatting sqref="G2:G350">
    <cfRule type="expression" dxfId="214" priority="13">
      <formula>$I2&lt;&gt;""</formula>
    </cfRule>
    <cfRule type="expression" dxfId="213" priority="14">
      <formula>$I2=""</formula>
    </cfRule>
  </conditionalFormatting>
  <conditionalFormatting sqref="H2:L350 O2:P350">
    <cfRule type="expression" dxfId="212" priority="22">
      <formula>AND($I2&lt;&gt;"Addition",$I2&lt;&gt;"Omission",$I2&lt;&gt;"Substitution - Word")</formula>
    </cfRule>
  </conditionalFormatting>
  <conditionalFormatting sqref="H2:P350">
    <cfRule type="expression" dxfId="211" priority="32">
      <formula>AND(OR($I2="Addition",$I2="Omission"), H2&lt;&gt;"")</formula>
    </cfRule>
  </conditionalFormatting>
  <conditionalFormatting sqref="K2:K350">
    <cfRule type="expression" dxfId="210" priority="19">
      <formula>AND($K2&lt;&gt;"",$K2&gt;1)</formula>
    </cfRule>
  </conditionalFormatting>
  <conditionalFormatting sqref="M2:N350">
    <cfRule type="expression" dxfId="209" priority="15">
      <formula>$N2="Absent"</formula>
    </cfRule>
    <cfRule type="expression" dxfId="208" priority="16">
      <formula>$N2="NA"</formula>
    </cfRule>
    <cfRule type="expression" dxfId="207" priority="17">
      <formula>AND(OR($I2="Addition",$I2="Omission"), M2="")</formula>
    </cfRule>
    <cfRule type="expression" dxfId="206" priority="18">
      <formula>AND($I2&lt;&gt;"Addition",$I2&lt;&gt;"Omission")</formula>
    </cfRule>
  </conditionalFormatting>
  <conditionalFormatting sqref="O2:O350">
    <cfRule type="expression" dxfId="205" priority="20">
      <formula>OR($I2="Addition",$I2="Omission",$I2 = "Substitution - Word")</formula>
    </cfRule>
  </conditionalFormatting>
  <conditionalFormatting sqref="O2:P350 H2:L350">
    <cfRule type="expression" dxfId="204" priority="21">
      <formula>AND(OR($I2="Addition",$I2="Omission"), H2="")</formula>
    </cfRule>
  </conditionalFormatting>
  <conditionalFormatting sqref="Q74">
    <cfRule type="expression" dxfId="203" priority="7">
      <formula>AND(AND(LEFT($I74,3)="Sub", RIGHT($I74,4)&lt;&gt;"Form"),$X74&lt;&gt;"")</formula>
    </cfRule>
    <cfRule type="expression" dxfId="202" priority="8">
      <formula>AND(AND(LEFT($I74,3)="Sub", RIGHT($I74,4)&lt;&gt;"Form"),$X74="")</formula>
    </cfRule>
    <cfRule type="expression" dxfId="201" priority="9">
      <formula>"&lt;&gt;AND(LEFT($J2,3)=""Sub"", RIGHT($J2,4)&lt;&gt;""Form"")"</formula>
    </cfRule>
  </conditionalFormatting>
  <conditionalFormatting sqref="Q2:S73 R2:V350 Q75:S350">
    <cfRule type="expression" dxfId="200" priority="29">
      <formula>AND(AND(LEFT($I2,3)="Sub", RIGHT($I2,4)&lt;&gt;"Form"),$S2&lt;&gt;"")</formula>
    </cfRule>
    <cfRule type="expression" dxfId="199" priority="30">
      <formula>AND(AND(LEFT($I2,3)="Sub", RIGHT($I2,4)&lt;&gt;"Form"),$S2="")</formula>
    </cfRule>
    <cfRule type="expression" dxfId="198" priority="31">
      <formula>"&lt;&gt;AND(LEFT($J2,3)=""Sub"", RIGHT($J2,4)&lt;&gt;""Form"")"</formula>
    </cfRule>
  </conditionalFormatting>
  <conditionalFormatting sqref="W2:W350">
    <cfRule type="expression" dxfId="197" priority="24">
      <formula>AND($Y2&lt;&gt;"",OR($AF2="Yes",$AG2&lt;&gt;""))</formula>
    </cfRule>
    <cfRule type="expression" dxfId="196" priority="25">
      <formula>OR($AF2="Yes",$AG2&lt;&gt;"")</formula>
    </cfRule>
    <cfRule type="expression" dxfId="195" priority="35">
      <formula>AND($AF2&lt;&gt;"Yes",$AG2="")</formula>
    </cfRule>
  </conditionalFormatting>
  <conditionalFormatting sqref="W2:AF350">
    <cfRule type="expression" dxfId="194" priority="33">
      <formula>AND($I2&lt;&gt;"",$I2&lt;&gt;"Unclear due to correction")</formula>
    </cfRule>
    <cfRule type="expression" dxfId="193" priority="34">
      <formula>OR($I2="",$I2="Unclear due to correction")</formula>
    </cfRule>
  </conditionalFormatting>
  <conditionalFormatting sqref="X2:X350">
    <cfRule type="expression" dxfId="192" priority="23">
      <formula>AND($I2&lt;&gt;"",$I2&lt;&gt;"Unclear due to correction",$Z2="")</formula>
    </cfRule>
  </conditionalFormatting>
  <conditionalFormatting sqref="Y2:Y350">
    <cfRule type="expression" dxfId="191" priority="26">
      <formula>AND($Z2="Yes",$AA2="")</formula>
    </cfRule>
    <cfRule type="expression" dxfId="190" priority="27">
      <formula>$Z2=""</formula>
    </cfRule>
  </conditionalFormatting>
  <conditionalFormatting sqref="AD2:AD350">
    <cfRule type="expression" dxfId="189" priority="28">
      <formula>AND(OR($AD2&lt;&gt;"",$AE2&lt;&gt;""),$AF2="")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328C6B12-962A-41BE-8017-F28574153715}">
          <x14:formula1>
            <xm:f>'Data Regularization'!$C$2:$C$29</xm:f>
          </x14:formula1>
          <xm:sqref>F2:F350</xm:sqref>
        </x14:dataValidation>
        <x14:dataValidation type="list" allowBlank="1" showInputMessage="1" showErrorMessage="1" xr:uid="{EA52EDDE-3D6C-4DDA-B2E4-F398F5703FA5}">
          <x14:formula1>
            <xm:f>'Data Regularization'!$B$2:$B$1048576</xm:f>
          </x14:formula1>
          <xm:sqref>E2:E350</xm:sqref>
        </x14:dataValidation>
        <x14:dataValidation type="list" allowBlank="1" showInputMessage="1" showErrorMessage="1" xr:uid="{4DD238D9-5964-4360-BE97-453CFBED2986}">
          <x14:formula1>
            <xm:f>'Data Regularization'!$A$2:$A$1048576</xm:f>
          </x14:formula1>
          <xm:sqref>D2:D350</xm:sqref>
        </x14:dataValidation>
        <x14:dataValidation type="list" allowBlank="1" showInputMessage="1" showErrorMessage="1" xr:uid="{DF71FF6F-F824-4AD8-BB5F-428EC104499C}">
          <x14:formula1>
            <xm:f>'Data Regularization'!$E$2:$E$1048576</xm:f>
          </x14:formula1>
          <xm:sqref>K2:K350</xm:sqref>
        </x14:dataValidation>
        <x14:dataValidation type="list" allowBlank="1" showInputMessage="1" showErrorMessage="1" xr:uid="{825DEB41-5B57-44DD-BCB3-0C146BDF4374}">
          <x14:formula1>
            <xm:f>'Data Regularization'!$F$2:$F$1048576</xm:f>
          </x14:formula1>
          <xm:sqref>L2:L350</xm:sqref>
        </x14:dataValidation>
        <x14:dataValidation type="list" allowBlank="1" showInputMessage="1" showErrorMessage="1" xr:uid="{ECCC1D81-89B6-4135-A0AD-031F1715085A}">
          <x14:formula1>
            <xm:f>'Data Regularization'!$G$2:$G$1048576</xm:f>
          </x14:formula1>
          <xm:sqref>O2:O350</xm:sqref>
        </x14:dataValidation>
        <x14:dataValidation type="list" allowBlank="1" showInputMessage="1" showErrorMessage="1" xr:uid="{6BD896D7-2A36-4A1A-9D83-424123157AFA}">
          <x14:formula1>
            <xm:f>'Data Regularization'!$K$2:$K$1048576</xm:f>
          </x14:formula1>
          <xm:sqref>Y2:Y350</xm:sqref>
        </x14:dataValidation>
        <x14:dataValidation type="list" allowBlank="1" showInputMessage="1" showErrorMessage="1" xr:uid="{08367C86-074E-48B1-AD8B-CA05D7A72E9C}">
          <x14:formula1>
            <xm:f>'Data Regularization'!$L$2:$L$1048576</xm:f>
          </x14:formula1>
          <xm:sqref>Z2:Z350</xm:sqref>
        </x14:dataValidation>
        <x14:dataValidation type="list" allowBlank="1" showInputMessage="1" showErrorMessage="1" xr:uid="{320E7D67-DCA2-4AE1-8FE9-B87753F6B58D}">
          <x14:formula1>
            <xm:f>'Data Regularization'!$N$2:$N$1048576</xm:f>
          </x14:formula1>
          <xm:sqref>AA2:AA350</xm:sqref>
        </x14:dataValidation>
        <x14:dataValidation type="list" allowBlank="1" showInputMessage="1" showErrorMessage="1" xr:uid="{74C12E9C-5BEF-47DB-AA12-55E01875A0AD}">
          <x14:formula1>
            <xm:f>'Data Regularization'!$O$2:$O$1048576</xm:f>
          </x14:formula1>
          <xm:sqref>AB2:AB350</xm:sqref>
        </x14:dataValidation>
        <x14:dataValidation type="list" allowBlank="1" showInputMessage="1" showErrorMessage="1" xr:uid="{AF790AE6-E980-4F89-9CF6-69BBEE689DB6}">
          <x14:formula1>
            <xm:f>'Data Regularization'!$P$2:$P$1048576</xm:f>
          </x14:formula1>
          <xm:sqref>AD2:AD350</xm:sqref>
        </x14:dataValidation>
        <x14:dataValidation type="list" allowBlank="1" showInputMessage="1" showErrorMessage="1" xr:uid="{970E2B65-4779-41BD-8346-57A0CCC9025A}">
          <x14:formula1>
            <xm:f>'Data Regularization'!$Q$2:$Q$1048576</xm:f>
          </x14:formula1>
          <xm:sqref>AE2:AE350</xm:sqref>
        </x14:dataValidation>
        <x14:dataValidation type="list" allowBlank="1" showInputMessage="1" showErrorMessage="1" xr:uid="{6A663689-B2A1-4D81-9762-7EBB5AC87248}">
          <x14:formula1>
            <xm:f>'Data Regularization'!$H$2:$H$1048576</xm:f>
          </x14:formula1>
          <xm:sqref>W2:W350</xm:sqref>
        </x14:dataValidation>
        <x14:dataValidation type="list" allowBlank="1" showInputMessage="1" xr:uid="{BB80B028-64D3-4AD8-B135-A4A2BC40E961}">
          <x14:formula1>
            <xm:f>'Data Regularization'!$J$2:$J$1048576</xm:f>
          </x14:formula1>
          <xm:sqref>X2:X350</xm:sqref>
        </x14:dataValidation>
        <x14:dataValidation type="list" allowBlank="1" showInputMessage="1" showErrorMessage="1" xr:uid="{6FF06436-1A08-492B-92EB-A1B485184B22}">
          <x14:formula1>
            <xm:f>'Data Regularization'!$R$2:$R$1048576</xm:f>
          </x14:formula1>
          <xm:sqref>AF2:AF350</xm:sqref>
        </x14:dataValidation>
        <x14:dataValidation type="list" allowBlank="1" showInputMessage="1" showErrorMessage="1" xr:uid="{4CE29F37-7E73-4D67-ADD3-C895FB0BCB23}">
          <x14:formula1>
            <xm:f>'Data Regularization'!$D$2:$D$1048576</xm:f>
          </x14:formula1>
          <xm:sqref>G1:G350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DCE8-CFD2-4B48-AA07-83C1BA519A4B}">
  <sheetPr filterMode="1"/>
  <dimension ref="A1:AF78"/>
  <sheetViews>
    <sheetView workbookViewId="0">
      <pane xSplit="3" ySplit="1" topLeftCell="D38" activePane="bottomRight" state="frozen"/>
      <selection pane="topRight" activeCell="D1" sqref="D1"/>
      <selection pane="bottomLeft" activeCell="A2" sqref="A2"/>
      <selection pane="bottomRight" activeCell="D69" sqref="D69:J78"/>
    </sheetView>
  </sheetViews>
  <sheetFormatPr defaultRowHeight="14.5"/>
  <cols>
    <col min="1" max="1" width="10.81640625" customWidth="1"/>
  </cols>
  <sheetData>
    <row r="1" spans="1:32" s="1" customFormat="1">
      <c r="A1" s="1" t="s">
        <v>0</v>
      </c>
      <c r="B1" s="1" t="s">
        <v>5</v>
      </c>
      <c r="C1" s="1" t="s">
        <v>6</v>
      </c>
      <c r="D1" s="1" t="s">
        <v>12100</v>
      </c>
      <c r="E1" s="1" t="s">
        <v>12101</v>
      </c>
      <c r="F1" s="1" t="s">
        <v>12102</v>
      </c>
      <c r="G1" s="1" t="s">
        <v>7</v>
      </c>
      <c r="H1" s="1" t="s">
        <v>3</v>
      </c>
      <c r="I1" s="1" t="s">
        <v>12103</v>
      </c>
      <c r="J1" s="1" t="s">
        <v>12104</v>
      </c>
      <c r="K1" s="1" t="s">
        <v>12105</v>
      </c>
      <c r="L1" s="1" t="s">
        <v>12106</v>
      </c>
      <c r="M1" s="1" t="s">
        <v>12066</v>
      </c>
      <c r="N1" s="1" t="s">
        <v>12107</v>
      </c>
      <c r="O1" s="8" t="s">
        <v>12108</v>
      </c>
      <c r="P1" s="1" t="s">
        <v>12067</v>
      </c>
      <c r="Q1" s="1" t="s">
        <v>12109</v>
      </c>
      <c r="R1" s="1" t="s">
        <v>12110</v>
      </c>
      <c r="S1" s="1" t="s">
        <v>12793</v>
      </c>
      <c r="T1" s="1" t="s">
        <v>12794</v>
      </c>
      <c r="U1" s="1" t="s">
        <v>12112</v>
      </c>
      <c r="V1" s="1" t="s">
        <v>13129</v>
      </c>
      <c r="W1" s="1" t="s">
        <v>12113</v>
      </c>
      <c r="X1" s="1" t="s">
        <v>12114</v>
      </c>
      <c r="Y1" s="1" t="s">
        <v>12068</v>
      </c>
      <c r="Z1" s="1" t="s">
        <v>12069</v>
      </c>
      <c r="AA1" s="1" t="s">
        <v>12070</v>
      </c>
      <c r="AB1" s="1" t="s">
        <v>12111</v>
      </c>
      <c r="AC1" s="1" t="s">
        <v>12115</v>
      </c>
      <c r="AD1" s="1" t="s">
        <v>12071</v>
      </c>
      <c r="AE1" s="1" t="s">
        <v>12116</v>
      </c>
      <c r="AF1" s="1" t="s">
        <v>13140</v>
      </c>
    </row>
    <row r="2" spans="1:32" ht="29">
      <c r="A2" s="3" t="s">
        <v>89</v>
      </c>
      <c r="B2" s="3" t="s">
        <v>4778</v>
      </c>
      <c r="C2" s="3" t="s">
        <v>4779</v>
      </c>
      <c r="G2" t="s">
        <v>12630</v>
      </c>
      <c r="H2" s="9" t="s">
        <v>12118</v>
      </c>
      <c r="I2" s="9"/>
      <c r="J2" s="9"/>
      <c r="K2" s="9"/>
      <c r="L2" s="9"/>
      <c r="M2" s="9"/>
      <c r="N2" s="9"/>
      <c r="O2" s="10"/>
      <c r="P2" s="9"/>
      <c r="Q2" s="9"/>
      <c r="R2" s="9">
        <v>103</v>
      </c>
      <c r="S2" s="9">
        <v>93</v>
      </c>
      <c r="T2" s="9">
        <v>196</v>
      </c>
      <c r="U2" s="9" t="s">
        <v>12117</v>
      </c>
      <c r="V2" s="9" t="s">
        <v>13130</v>
      </c>
      <c r="W2" s="9"/>
      <c r="X2" s="9"/>
      <c r="Y2" s="9"/>
      <c r="Z2" s="9"/>
      <c r="AA2" s="9"/>
      <c r="AB2" s="9"/>
      <c r="AC2" s="9"/>
      <c r="AD2" s="9"/>
      <c r="AE2" s="9"/>
      <c r="AF2" s="9" t="s">
        <v>20</v>
      </c>
    </row>
    <row r="3" spans="1:32" ht="43.5" hidden="1">
      <c r="A3" s="3" t="s">
        <v>102</v>
      </c>
      <c r="B3" s="3" t="s">
        <v>4794</v>
      </c>
      <c r="C3" s="3" t="s">
        <v>4795</v>
      </c>
      <c r="G3" t="s">
        <v>12631</v>
      </c>
      <c r="H3" s="9" t="s">
        <v>12118</v>
      </c>
      <c r="I3" s="9"/>
      <c r="J3" s="9"/>
      <c r="K3" s="9"/>
      <c r="L3" s="9"/>
      <c r="M3" s="9"/>
      <c r="N3" s="9"/>
      <c r="O3" s="10"/>
      <c r="P3" s="9"/>
      <c r="Q3" s="9"/>
      <c r="R3" s="9">
        <v>95</v>
      </c>
      <c r="S3" s="9">
        <v>4</v>
      </c>
      <c r="T3" s="9">
        <v>99</v>
      </c>
      <c r="U3" s="9" t="s">
        <v>4</v>
      </c>
      <c r="V3" s="9" t="s">
        <v>13132</v>
      </c>
      <c r="W3" s="9"/>
      <c r="X3" s="9"/>
      <c r="Y3" s="9"/>
      <c r="Z3" s="9"/>
      <c r="AA3" s="9"/>
      <c r="AB3" s="9"/>
      <c r="AC3" s="9"/>
      <c r="AD3" s="9"/>
      <c r="AE3" s="9"/>
      <c r="AF3" s="9" t="s">
        <v>19</v>
      </c>
    </row>
    <row r="4" spans="1:32" ht="43.5" hidden="1">
      <c r="A4" s="3" t="s">
        <v>152</v>
      </c>
      <c r="B4" s="3" t="s">
        <v>4833</v>
      </c>
      <c r="C4" s="3" t="s">
        <v>4834</v>
      </c>
      <c r="G4" t="s">
        <v>12633</v>
      </c>
      <c r="H4" s="9" t="s">
        <v>25</v>
      </c>
      <c r="I4" s="9"/>
      <c r="J4" s="9">
        <v>1</v>
      </c>
      <c r="K4" s="9">
        <v>4</v>
      </c>
      <c r="L4" s="9" t="s">
        <v>12094</v>
      </c>
      <c r="M4" s="9" t="s">
        <v>12079</v>
      </c>
      <c r="N4" s="9"/>
      <c r="O4" s="10"/>
      <c r="P4" s="9"/>
      <c r="Q4" s="9">
        <v>4240</v>
      </c>
      <c r="R4" s="9"/>
      <c r="S4" s="9" t="s">
        <v>12795</v>
      </c>
      <c r="T4" s="9" t="s">
        <v>12795</v>
      </c>
      <c r="U4" s="9" t="s">
        <v>4</v>
      </c>
      <c r="V4" s="9" t="s">
        <v>13131</v>
      </c>
      <c r="W4" s="9"/>
      <c r="X4" s="9"/>
      <c r="Y4" s="9"/>
      <c r="Z4" s="9"/>
      <c r="AA4" s="9"/>
      <c r="AB4" s="9"/>
      <c r="AC4" s="9"/>
      <c r="AD4" s="9"/>
      <c r="AE4" s="9"/>
      <c r="AF4" s="9" t="s">
        <v>19</v>
      </c>
    </row>
    <row r="5" spans="1:32" ht="43.5">
      <c r="A5" s="3" t="s">
        <v>247</v>
      </c>
      <c r="B5" s="3" t="s">
        <v>4900</v>
      </c>
      <c r="C5" s="3" t="s">
        <v>4901</v>
      </c>
      <c r="G5" t="s">
        <v>12636</v>
      </c>
      <c r="H5" s="9" t="s">
        <v>25</v>
      </c>
      <c r="I5" s="9"/>
      <c r="J5" s="9">
        <v>1</v>
      </c>
      <c r="K5" s="9">
        <v>2</v>
      </c>
      <c r="L5" s="9" t="s">
        <v>12078</v>
      </c>
      <c r="M5" s="9" t="s">
        <v>12119</v>
      </c>
      <c r="N5" s="9"/>
      <c r="O5" s="10"/>
      <c r="P5" s="9"/>
      <c r="Q5" s="9">
        <v>11843</v>
      </c>
      <c r="R5" s="9"/>
      <c r="S5" s="9" t="s">
        <v>12795</v>
      </c>
      <c r="T5" s="9" t="s">
        <v>12795</v>
      </c>
      <c r="U5" s="9" t="s">
        <v>12117</v>
      </c>
      <c r="V5" s="9" t="s">
        <v>13132</v>
      </c>
      <c r="W5" s="9"/>
      <c r="X5" s="9"/>
      <c r="Y5" s="9"/>
      <c r="Z5" s="9"/>
      <c r="AA5" s="9"/>
      <c r="AB5" s="9"/>
      <c r="AC5" s="9"/>
      <c r="AD5" s="9"/>
      <c r="AE5" s="9"/>
      <c r="AF5" s="9" t="s">
        <v>20</v>
      </c>
    </row>
    <row r="6" spans="1:32" ht="43.5">
      <c r="A6" s="3" t="s">
        <v>249</v>
      </c>
      <c r="B6" s="3" t="s">
        <v>4904</v>
      </c>
      <c r="C6" s="3" t="s">
        <v>4905</v>
      </c>
      <c r="G6" t="s">
        <v>13128</v>
      </c>
      <c r="H6" s="9" t="s">
        <v>12118</v>
      </c>
      <c r="I6" s="9"/>
      <c r="J6" s="9"/>
      <c r="K6" s="9"/>
      <c r="L6" s="9"/>
      <c r="M6" s="9"/>
      <c r="N6" s="9"/>
      <c r="O6" s="10"/>
      <c r="P6" s="9"/>
      <c r="Q6" s="9"/>
      <c r="R6" s="9">
        <v>10102</v>
      </c>
      <c r="S6" s="9">
        <v>1741</v>
      </c>
      <c r="T6" s="9">
        <v>11843</v>
      </c>
      <c r="U6" s="9" t="s">
        <v>12117</v>
      </c>
      <c r="V6" s="9" t="s">
        <v>13132</v>
      </c>
      <c r="W6" s="9"/>
      <c r="X6" s="9"/>
      <c r="Y6" s="9"/>
      <c r="Z6" s="9"/>
      <c r="AA6" s="9"/>
      <c r="AB6" s="9"/>
      <c r="AC6" s="9"/>
      <c r="AD6" s="9"/>
      <c r="AE6" s="9"/>
      <c r="AF6" s="9" t="s">
        <v>20</v>
      </c>
    </row>
    <row r="7" spans="1:32" ht="29" hidden="1">
      <c r="A7" s="3" t="s">
        <v>388</v>
      </c>
      <c r="B7" s="3" t="s">
        <v>5022</v>
      </c>
      <c r="C7" s="3" t="s">
        <v>5023</v>
      </c>
      <c r="G7" t="s">
        <v>13133</v>
      </c>
      <c r="H7" s="9" t="s">
        <v>24</v>
      </c>
      <c r="I7" s="9"/>
      <c r="J7" s="9">
        <v>1</v>
      </c>
      <c r="K7" s="9">
        <v>3</v>
      </c>
      <c r="L7" s="9" t="s">
        <v>12078</v>
      </c>
      <c r="M7" s="9" t="s">
        <v>12079</v>
      </c>
      <c r="N7" s="9"/>
      <c r="O7" s="10"/>
      <c r="P7" s="9"/>
      <c r="Q7" s="9">
        <v>11843</v>
      </c>
      <c r="R7" s="9"/>
      <c r="S7" s="9" t="s">
        <v>12795</v>
      </c>
      <c r="T7" s="9" t="s">
        <v>12795</v>
      </c>
      <c r="U7" s="9" t="s">
        <v>4</v>
      </c>
      <c r="V7" s="9" t="s">
        <v>13131</v>
      </c>
      <c r="W7" s="9"/>
      <c r="X7" s="9"/>
      <c r="Y7" s="9"/>
      <c r="Z7" s="9"/>
      <c r="AA7" s="9"/>
      <c r="AB7" s="9"/>
      <c r="AC7" s="9"/>
      <c r="AD7" s="9"/>
      <c r="AE7" s="9"/>
      <c r="AF7" s="9" t="s">
        <v>19</v>
      </c>
    </row>
    <row r="8" spans="1:32" ht="43.5">
      <c r="A8" s="3" t="s">
        <v>415</v>
      </c>
      <c r="B8" s="3" t="s">
        <v>5055</v>
      </c>
      <c r="C8" s="3" t="s">
        <v>5056</v>
      </c>
      <c r="G8" t="s">
        <v>12640</v>
      </c>
      <c r="H8" s="9" t="s">
        <v>12118</v>
      </c>
      <c r="I8" s="9"/>
      <c r="J8" s="9"/>
      <c r="K8" s="9"/>
      <c r="L8" s="9"/>
      <c r="M8" s="9"/>
      <c r="N8" s="9"/>
      <c r="O8" s="10"/>
      <c r="P8" s="9"/>
      <c r="Q8" s="9"/>
      <c r="R8" s="9">
        <v>37</v>
      </c>
      <c r="S8" s="9">
        <v>17</v>
      </c>
      <c r="T8" s="9">
        <v>54</v>
      </c>
      <c r="U8" s="9" t="s">
        <v>12117</v>
      </c>
      <c r="V8" s="9" t="s">
        <v>13131</v>
      </c>
      <c r="W8" s="9"/>
      <c r="X8" s="9"/>
      <c r="Y8" s="9"/>
      <c r="Z8" s="9"/>
      <c r="AA8" s="9"/>
      <c r="AB8" s="9"/>
      <c r="AC8" s="9"/>
      <c r="AD8" s="9"/>
      <c r="AE8" s="9"/>
      <c r="AF8" s="9" t="s">
        <v>20</v>
      </c>
    </row>
    <row r="9" spans="1:32">
      <c r="A9" s="3" t="s">
        <v>538</v>
      </c>
      <c r="B9" s="3" t="s">
        <v>541</v>
      </c>
      <c r="C9" s="3" t="s">
        <v>542</v>
      </c>
      <c r="G9" t="s">
        <v>12642</v>
      </c>
      <c r="H9" s="9" t="s">
        <v>12120</v>
      </c>
      <c r="I9" s="9"/>
      <c r="J9" s="9"/>
      <c r="K9" s="9"/>
      <c r="L9" s="9"/>
      <c r="M9" s="9"/>
      <c r="N9" s="9"/>
      <c r="O9" s="10"/>
      <c r="P9" s="9"/>
      <c r="Q9" s="9"/>
      <c r="R9" s="9"/>
      <c r="S9" s="9" t="s">
        <v>12795</v>
      </c>
      <c r="T9" s="9" t="s">
        <v>12795</v>
      </c>
      <c r="U9" s="9" t="s">
        <v>12117</v>
      </c>
      <c r="V9" s="9" t="s">
        <v>13131</v>
      </c>
      <c r="W9" s="9"/>
      <c r="X9" s="9"/>
      <c r="Y9" s="9"/>
      <c r="Z9" s="9"/>
      <c r="AA9" s="9"/>
      <c r="AB9" s="9"/>
      <c r="AC9" s="9"/>
      <c r="AD9" s="9"/>
      <c r="AE9" s="9"/>
      <c r="AF9" s="9" t="s">
        <v>20</v>
      </c>
    </row>
    <row r="10" spans="1:32" ht="58">
      <c r="A10" s="3" t="s">
        <v>673</v>
      </c>
      <c r="B10" s="3" t="s">
        <v>5261</v>
      </c>
      <c r="C10" s="3" t="s">
        <v>5258</v>
      </c>
      <c r="G10" t="s">
        <v>12643</v>
      </c>
      <c r="H10" s="9" t="s">
        <v>25</v>
      </c>
      <c r="I10" s="9"/>
      <c r="J10" s="9">
        <v>2</v>
      </c>
      <c r="K10" s="9">
        <v>11</v>
      </c>
      <c r="L10" s="9"/>
      <c r="M10" s="9" t="s">
        <v>12073</v>
      </c>
      <c r="N10" s="9" t="s">
        <v>12140</v>
      </c>
      <c r="O10" s="10" t="s">
        <v>12136</v>
      </c>
      <c r="P10" s="9"/>
      <c r="Q10" s="9">
        <v>371</v>
      </c>
      <c r="R10" s="9"/>
      <c r="S10" s="9" t="s">
        <v>12795</v>
      </c>
      <c r="T10" s="9" t="s">
        <v>12795</v>
      </c>
      <c r="U10" s="9" t="s">
        <v>12117</v>
      </c>
      <c r="V10" s="9" t="s">
        <v>13131</v>
      </c>
      <c r="W10" s="9"/>
      <c r="X10" s="9"/>
      <c r="Y10" s="9"/>
      <c r="Z10" s="9"/>
      <c r="AA10" s="9"/>
      <c r="AB10" s="9"/>
      <c r="AC10" s="9"/>
      <c r="AD10" s="9"/>
      <c r="AE10" s="9"/>
      <c r="AF10" s="9" t="s">
        <v>20</v>
      </c>
    </row>
    <row r="11" spans="1:32" ht="72.5">
      <c r="A11" s="3" t="s">
        <v>673</v>
      </c>
      <c r="B11" s="3" t="s">
        <v>5262</v>
      </c>
      <c r="C11" s="3" t="s">
        <v>5263</v>
      </c>
      <c r="G11" t="s">
        <v>12644</v>
      </c>
      <c r="H11" s="9" t="s">
        <v>25</v>
      </c>
      <c r="I11" s="9"/>
      <c r="J11" s="9">
        <v>1</v>
      </c>
      <c r="K11" s="9">
        <v>3</v>
      </c>
      <c r="L11" s="9" t="s">
        <v>12078</v>
      </c>
      <c r="M11" s="9" t="s">
        <v>12079</v>
      </c>
      <c r="N11" s="9"/>
      <c r="O11" s="10"/>
      <c r="P11" s="9"/>
      <c r="Q11" s="9">
        <v>11843</v>
      </c>
      <c r="R11" s="9"/>
      <c r="S11" s="9" t="s">
        <v>12795</v>
      </c>
      <c r="T11" s="9" t="s">
        <v>12795</v>
      </c>
      <c r="U11" s="9" t="s">
        <v>12117</v>
      </c>
      <c r="V11" s="9" t="s">
        <v>13132</v>
      </c>
      <c r="W11" s="9"/>
      <c r="X11" s="9"/>
      <c r="Y11" s="9"/>
      <c r="Z11" s="9"/>
      <c r="AA11" s="9"/>
      <c r="AB11" s="9"/>
      <c r="AC11" s="9"/>
      <c r="AD11" s="9"/>
      <c r="AE11" s="9"/>
      <c r="AF11" s="9" t="s">
        <v>20</v>
      </c>
    </row>
    <row r="12" spans="1:32" ht="72.5">
      <c r="A12" s="3" t="s">
        <v>733</v>
      </c>
      <c r="B12" s="3" t="s">
        <v>5305</v>
      </c>
      <c r="C12" s="3" t="s">
        <v>5306</v>
      </c>
      <c r="G12" t="s">
        <v>12646</v>
      </c>
      <c r="H12" s="9" t="s">
        <v>26</v>
      </c>
      <c r="I12" s="9"/>
      <c r="J12" s="9"/>
      <c r="K12" s="9"/>
      <c r="L12" s="9"/>
      <c r="M12" s="9"/>
      <c r="N12" s="9"/>
      <c r="O12" s="10"/>
      <c r="P12" s="9"/>
      <c r="Q12" s="9"/>
      <c r="R12" s="9"/>
      <c r="S12" s="9" t="s">
        <v>12795</v>
      </c>
      <c r="T12" s="9" t="s">
        <v>12795</v>
      </c>
      <c r="U12" s="9" t="s">
        <v>12117</v>
      </c>
      <c r="V12" s="9" t="s">
        <v>13131</v>
      </c>
      <c r="W12" s="9"/>
      <c r="X12" s="9"/>
      <c r="Y12" s="9"/>
      <c r="Z12" s="9"/>
      <c r="AA12" s="9"/>
      <c r="AB12" s="9"/>
      <c r="AC12" s="9"/>
      <c r="AD12" s="9"/>
      <c r="AE12" s="9"/>
      <c r="AF12" s="9" t="s">
        <v>20</v>
      </c>
    </row>
    <row r="13" spans="1:32" ht="29">
      <c r="A13" s="3" t="s">
        <v>818</v>
      </c>
      <c r="B13" s="3" t="s">
        <v>5385</v>
      </c>
      <c r="C13" s="3" t="s">
        <v>5386</v>
      </c>
      <c r="G13" t="s">
        <v>12647</v>
      </c>
      <c r="H13" s="9" t="s">
        <v>12120</v>
      </c>
      <c r="I13" s="9"/>
      <c r="J13" s="9"/>
      <c r="K13" s="9"/>
      <c r="L13" s="9"/>
      <c r="M13" s="9"/>
      <c r="N13" s="9"/>
      <c r="O13" s="10"/>
      <c r="P13" s="9"/>
      <c r="Q13" s="9"/>
      <c r="R13" s="9"/>
      <c r="S13" s="9" t="s">
        <v>12795</v>
      </c>
      <c r="T13" s="9" t="s">
        <v>12795</v>
      </c>
      <c r="U13" s="9" t="s">
        <v>12117</v>
      </c>
      <c r="V13" s="9" t="s">
        <v>13131</v>
      </c>
      <c r="W13" s="9"/>
      <c r="X13" s="9"/>
      <c r="Y13" s="9"/>
      <c r="Z13" s="9"/>
      <c r="AA13" s="9"/>
      <c r="AB13" s="9"/>
      <c r="AC13" s="9"/>
      <c r="AD13" s="9"/>
      <c r="AE13" s="9"/>
      <c r="AF13" s="9" t="s">
        <v>20</v>
      </c>
    </row>
    <row r="14" spans="1:32" ht="43.5">
      <c r="A14" s="3" t="s">
        <v>881</v>
      </c>
      <c r="B14" s="3" t="s">
        <v>5471</v>
      </c>
      <c r="C14" s="3" t="s">
        <v>5472</v>
      </c>
      <c r="G14" t="s">
        <v>12648</v>
      </c>
      <c r="H14" s="9" t="s">
        <v>12118</v>
      </c>
      <c r="I14" s="9"/>
      <c r="J14" s="9"/>
      <c r="K14" s="9"/>
      <c r="L14" s="9"/>
      <c r="M14" s="9"/>
      <c r="N14" s="9"/>
      <c r="O14" s="10"/>
      <c r="P14" s="9"/>
      <c r="Q14" s="9"/>
      <c r="R14" s="9">
        <v>-293</v>
      </c>
      <c r="S14" s="9">
        <v>472</v>
      </c>
      <c r="T14" s="9">
        <v>179</v>
      </c>
      <c r="U14" s="9" t="s">
        <v>4</v>
      </c>
      <c r="V14" s="9" t="s">
        <v>13130</v>
      </c>
      <c r="W14" s="9"/>
      <c r="X14" s="9"/>
      <c r="Y14" s="9"/>
      <c r="Z14" s="9"/>
      <c r="AA14" s="9"/>
      <c r="AB14" s="9"/>
      <c r="AC14" s="9"/>
      <c r="AD14" s="9"/>
      <c r="AE14" s="9"/>
      <c r="AF14" s="9" t="s">
        <v>20</v>
      </c>
    </row>
    <row r="15" spans="1:32" ht="29">
      <c r="A15" s="3" t="s">
        <v>895</v>
      </c>
      <c r="B15" s="3" t="s">
        <v>5488</v>
      </c>
      <c r="C15" s="3" t="s">
        <v>5489</v>
      </c>
      <c r="G15" t="s">
        <v>12649</v>
      </c>
      <c r="H15" s="9" t="s">
        <v>24</v>
      </c>
      <c r="I15" s="9"/>
      <c r="J15" s="9">
        <v>1</v>
      </c>
      <c r="K15" s="9">
        <v>3</v>
      </c>
      <c r="L15" s="9" t="s">
        <v>12078</v>
      </c>
      <c r="M15" s="9" t="s">
        <v>12079</v>
      </c>
      <c r="N15" s="9"/>
      <c r="O15" s="10"/>
      <c r="P15" s="9"/>
      <c r="Q15" s="9">
        <v>11843</v>
      </c>
      <c r="R15" s="9"/>
      <c r="S15" s="9" t="s">
        <v>12795</v>
      </c>
      <c r="T15" s="9" t="s">
        <v>12795</v>
      </c>
      <c r="U15" s="9" t="s">
        <v>12117</v>
      </c>
      <c r="V15" s="9" t="s">
        <v>13131</v>
      </c>
      <c r="W15" s="9"/>
      <c r="X15" s="9"/>
      <c r="Y15" s="9"/>
      <c r="Z15" s="9"/>
      <c r="AA15" s="9"/>
      <c r="AB15" s="9"/>
      <c r="AC15" s="9"/>
      <c r="AD15" s="9"/>
      <c r="AE15" s="9"/>
      <c r="AF15" s="9" t="s">
        <v>13141</v>
      </c>
    </row>
    <row r="16" spans="1:32" ht="145">
      <c r="A16" s="3" t="s">
        <v>919</v>
      </c>
      <c r="B16" s="3" t="s">
        <v>5507</v>
      </c>
      <c r="C16" s="3" t="s">
        <v>5509</v>
      </c>
      <c r="F16" t="s">
        <v>22</v>
      </c>
      <c r="G16" t="s">
        <v>12650</v>
      </c>
      <c r="H16" s="9" t="s">
        <v>25</v>
      </c>
      <c r="I16" s="9"/>
      <c r="J16" s="9">
        <v>4</v>
      </c>
      <c r="K16" s="9">
        <v>16</v>
      </c>
      <c r="L16" s="9"/>
      <c r="M16" s="9" t="s">
        <v>12073</v>
      </c>
      <c r="N16" s="9" t="s">
        <v>12140</v>
      </c>
      <c r="O16" s="10" t="s">
        <v>12136</v>
      </c>
      <c r="P16" s="9"/>
      <c r="Q16" s="9">
        <v>8</v>
      </c>
      <c r="R16" s="9"/>
      <c r="S16" s="9" t="s">
        <v>12795</v>
      </c>
      <c r="T16" s="9" t="s">
        <v>12795</v>
      </c>
      <c r="U16" s="9" t="s">
        <v>12117</v>
      </c>
      <c r="V16" s="9" t="s">
        <v>13130</v>
      </c>
      <c r="W16" s="9"/>
      <c r="X16" s="9"/>
      <c r="Y16" s="9"/>
      <c r="Z16" s="9"/>
      <c r="AA16" s="9"/>
      <c r="AB16" s="9"/>
      <c r="AC16" s="9"/>
      <c r="AD16" s="9"/>
      <c r="AE16" s="9"/>
      <c r="AF16" s="9" t="s">
        <v>20</v>
      </c>
    </row>
    <row r="17" spans="1:32" ht="72.5">
      <c r="A17" s="3" t="s">
        <v>928</v>
      </c>
      <c r="B17" s="3" t="s">
        <v>5526</v>
      </c>
      <c r="C17" s="3" t="s">
        <v>5525</v>
      </c>
      <c r="G17" t="s">
        <v>12651</v>
      </c>
      <c r="H17" s="9" t="s">
        <v>26</v>
      </c>
      <c r="I17" s="9"/>
      <c r="J17" s="9"/>
      <c r="K17" s="9"/>
      <c r="L17" s="9"/>
      <c r="M17" s="9"/>
      <c r="N17" s="9"/>
      <c r="O17" s="10"/>
      <c r="P17" s="9"/>
      <c r="Q17" s="9"/>
      <c r="R17" s="9"/>
      <c r="S17" s="9" t="s">
        <v>12795</v>
      </c>
      <c r="T17" s="9" t="s">
        <v>12795</v>
      </c>
      <c r="U17" s="9" t="s">
        <v>12117</v>
      </c>
      <c r="V17" s="9" t="s">
        <v>13130</v>
      </c>
      <c r="W17" s="9"/>
      <c r="X17" s="9"/>
      <c r="Y17" s="9"/>
      <c r="Z17" s="9"/>
      <c r="AA17" s="9"/>
      <c r="AB17" s="9"/>
      <c r="AC17" s="9"/>
      <c r="AD17" s="9"/>
      <c r="AE17" s="9"/>
      <c r="AF17" s="9" t="s">
        <v>20</v>
      </c>
    </row>
    <row r="18" spans="1:32" ht="58" hidden="1">
      <c r="A18" s="3" t="s">
        <v>1139</v>
      </c>
      <c r="B18" s="3" t="s">
        <v>5724</v>
      </c>
      <c r="C18" s="3" t="s">
        <v>5725</v>
      </c>
      <c r="G18" t="s">
        <v>12653</v>
      </c>
      <c r="H18" s="9" t="s">
        <v>12118</v>
      </c>
      <c r="I18" s="9"/>
      <c r="J18" s="9"/>
      <c r="K18" s="9"/>
      <c r="L18" s="9"/>
      <c r="M18" s="9"/>
      <c r="N18" s="9"/>
      <c r="O18" s="10"/>
      <c r="P18" s="9"/>
      <c r="Q18" s="9"/>
      <c r="R18" s="9">
        <v>4080</v>
      </c>
      <c r="S18" s="9">
        <v>160</v>
      </c>
      <c r="T18" s="9">
        <v>4240</v>
      </c>
      <c r="U18" s="9" t="s">
        <v>4</v>
      </c>
      <c r="V18" s="9" t="s">
        <v>13131</v>
      </c>
      <c r="W18" s="9"/>
      <c r="X18" s="9"/>
      <c r="Y18" s="9"/>
      <c r="Z18" s="9"/>
      <c r="AA18" s="9"/>
      <c r="AB18" s="9"/>
      <c r="AC18" s="9"/>
      <c r="AD18" s="9"/>
      <c r="AE18" s="9"/>
      <c r="AF18" s="9" t="s">
        <v>19</v>
      </c>
    </row>
    <row r="19" spans="1:32" ht="72.5" hidden="1">
      <c r="A19" s="3" t="s">
        <v>1154</v>
      </c>
      <c r="B19" s="3" t="s">
        <v>5741</v>
      </c>
      <c r="C19" s="3" t="s">
        <v>5742</v>
      </c>
      <c r="G19" t="s">
        <v>12654</v>
      </c>
      <c r="H19" s="9" t="s">
        <v>12118</v>
      </c>
      <c r="I19" s="9"/>
      <c r="J19" s="9"/>
      <c r="K19" s="9"/>
      <c r="L19" s="9"/>
      <c r="M19" s="9"/>
      <c r="N19" s="9"/>
      <c r="O19" s="10"/>
      <c r="P19" s="9"/>
      <c r="Q19" s="9"/>
      <c r="R19" s="9">
        <v>9</v>
      </c>
      <c r="S19" s="9">
        <v>0</v>
      </c>
      <c r="T19" s="9">
        <v>9</v>
      </c>
      <c r="U19" s="9" t="s">
        <v>12117</v>
      </c>
      <c r="V19" s="9" t="s">
        <v>13130</v>
      </c>
      <c r="W19" s="9"/>
      <c r="X19" s="9"/>
      <c r="Y19" s="9"/>
      <c r="Z19" s="9"/>
      <c r="AA19" s="9"/>
      <c r="AB19" s="9"/>
      <c r="AC19" s="9"/>
      <c r="AD19" s="9"/>
      <c r="AE19" s="9"/>
      <c r="AF19" s="9" t="s">
        <v>19</v>
      </c>
    </row>
    <row r="20" spans="1:32" ht="72.5" hidden="1">
      <c r="A20" s="3" t="s">
        <v>1154</v>
      </c>
      <c r="B20" s="3" t="s">
        <v>5740</v>
      </c>
      <c r="C20" s="3" t="s">
        <v>5743</v>
      </c>
      <c r="G20" t="s">
        <v>12654</v>
      </c>
      <c r="H20" s="9" t="s">
        <v>24</v>
      </c>
      <c r="I20" s="9"/>
      <c r="J20" s="9">
        <v>2</v>
      </c>
      <c r="K20" s="9">
        <v>8</v>
      </c>
      <c r="L20" s="9"/>
      <c r="M20" s="9" t="s">
        <v>12079</v>
      </c>
      <c r="N20" s="9"/>
      <c r="O20" s="10"/>
      <c r="P20" s="9"/>
      <c r="Q20" s="9">
        <v>560</v>
      </c>
      <c r="R20" s="9"/>
      <c r="S20" s="9" t="s">
        <v>12795</v>
      </c>
      <c r="T20" s="9" t="s">
        <v>12795</v>
      </c>
      <c r="U20" s="9" t="s">
        <v>12117</v>
      </c>
      <c r="V20" s="9" t="s">
        <v>13130</v>
      </c>
      <c r="W20" s="9"/>
      <c r="X20" s="9"/>
      <c r="Y20" s="9"/>
      <c r="Z20" s="9"/>
      <c r="AA20" s="9"/>
      <c r="AB20" s="9"/>
      <c r="AC20" s="9"/>
      <c r="AD20" s="9"/>
      <c r="AE20" s="9"/>
      <c r="AF20" s="9" t="s">
        <v>19</v>
      </c>
    </row>
    <row r="21" spans="1:32" ht="58">
      <c r="A21" s="3" t="s">
        <v>1434</v>
      </c>
      <c r="B21" s="3" t="s">
        <v>6094</v>
      </c>
      <c r="C21" s="3" t="s">
        <v>6095</v>
      </c>
      <c r="E21" t="s">
        <v>20</v>
      </c>
      <c r="G21" t="s">
        <v>13108</v>
      </c>
      <c r="H21" s="9" t="s">
        <v>26</v>
      </c>
      <c r="I21" s="9"/>
      <c r="J21" s="9"/>
      <c r="K21" s="9"/>
      <c r="L21" s="9"/>
      <c r="M21" s="9"/>
      <c r="N21" s="9"/>
      <c r="O21" s="10"/>
      <c r="P21" s="9"/>
      <c r="Q21" s="9"/>
      <c r="R21" s="9"/>
      <c r="S21" s="9" t="s">
        <v>12795</v>
      </c>
      <c r="T21" s="9" t="s">
        <v>12795</v>
      </c>
      <c r="U21" s="9" t="s">
        <v>4</v>
      </c>
      <c r="V21" s="9" t="s">
        <v>13130</v>
      </c>
      <c r="W21" s="9"/>
      <c r="X21" s="9"/>
      <c r="Y21" s="9"/>
      <c r="Z21" s="9"/>
      <c r="AA21" s="9"/>
      <c r="AB21" s="9"/>
      <c r="AC21" s="9"/>
      <c r="AD21" s="9"/>
      <c r="AE21" s="9"/>
      <c r="AF21" s="9" t="s">
        <v>20</v>
      </c>
    </row>
    <row r="22" spans="1:32" ht="58">
      <c r="A22" s="3" t="s">
        <v>1434</v>
      </c>
      <c r="B22" s="3" t="s">
        <v>6096</v>
      </c>
      <c r="C22" s="3" t="s">
        <v>6097</v>
      </c>
      <c r="G22" t="s">
        <v>12656</v>
      </c>
      <c r="H22" s="9" t="s">
        <v>12118</v>
      </c>
      <c r="I22" s="9"/>
      <c r="J22" s="9"/>
      <c r="K22" s="9"/>
      <c r="L22" s="9"/>
      <c r="M22" s="9"/>
      <c r="N22" s="9"/>
      <c r="O22" s="10"/>
      <c r="P22" s="9"/>
      <c r="Q22" s="9"/>
      <c r="R22" s="9">
        <v>-4</v>
      </c>
      <c r="S22" s="9">
        <v>11</v>
      </c>
      <c r="T22" s="9">
        <v>7</v>
      </c>
      <c r="U22" s="9" t="s">
        <v>4</v>
      </c>
      <c r="V22" s="9" t="s">
        <v>13130</v>
      </c>
      <c r="W22" s="9"/>
      <c r="X22" s="9"/>
      <c r="Y22" s="9"/>
      <c r="Z22" s="9"/>
      <c r="AA22" s="9"/>
      <c r="AB22" s="9"/>
      <c r="AC22" s="9"/>
      <c r="AD22" s="9"/>
      <c r="AE22" s="9"/>
      <c r="AF22" s="9" t="s">
        <v>20</v>
      </c>
    </row>
    <row r="23" spans="1:32" ht="43.5">
      <c r="A23" s="3" t="s">
        <v>1458</v>
      </c>
      <c r="B23" s="3" t="s">
        <v>6152</v>
      </c>
      <c r="C23" s="3" t="s">
        <v>6153</v>
      </c>
      <c r="G23" t="s">
        <v>12657</v>
      </c>
      <c r="H23" s="9" t="s">
        <v>24</v>
      </c>
      <c r="I23" s="9"/>
      <c r="J23" s="9">
        <v>1</v>
      </c>
      <c r="K23" s="9">
        <v>2</v>
      </c>
      <c r="L23" s="9" t="s">
        <v>12123</v>
      </c>
      <c r="M23" s="9" t="s">
        <v>12119</v>
      </c>
      <c r="N23" s="9"/>
      <c r="O23" s="10"/>
      <c r="P23" s="9" t="s">
        <v>12074</v>
      </c>
      <c r="Q23" s="9">
        <v>887</v>
      </c>
      <c r="R23" s="9"/>
      <c r="S23" s="9" t="s">
        <v>12795</v>
      </c>
      <c r="T23" s="9" t="s">
        <v>12795</v>
      </c>
      <c r="U23" s="9" t="s">
        <v>12117</v>
      </c>
      <c r="V23" s="9" t="s">
        <v>13131</v>
      </c>
      <c r="W23" s="9"/>
      <c r="X23" s="9"/>
      <c r="Y23" s="9"/>
      <c r="Z23" s="9"/>
      <c r="AA23" s="9"/>
      <c r="AB23" s="9"/>
      <c r="AC23" s="9"/>
      <c r="AD23" s="9"/>
      <c r="AE23" s="9"/>
      <c r="AF23" s="9" t="s">
        <v>20</v>
      </c>
    </row>
    <row r="24" spans="1:32" ht="29" hidden="1">
      <c r="A24" s="3" t="s">
        <v>1462</v>
      </c>
      <c r="B24" s="3" t="s">
        <v>6154</v>
      </c>
      <c r="C24" s="3" t="s">
        <v>6155</v>
      </c>
      <c r="G24" t="s">
        <v>12658</v>
      </c>
      <c r="H24" s="9" t="s">
        <v>12118</v>
      </c>
      <c r="I24" s="9"/>
      <c r="J24" s="9"/>
      <c r="K24" s="9"/>
      <c r="L24" s="9"/>
      <c r="M24" s="9"/>
      <c r="N24" s="9"/>
      <c r="O24" s="10"/>
      <c r="P24" s="9"/>
      <c r="Q24" s="9"/>
      <c r="R24" s="9">
        <v>79</v>
      </c>
      <c r="S24" s="9">
        <v>148</v>
      </c>
      <c r="T24" s="9">
        <v>227</v>
      </c>
      <c r="U24" s="9" t="s">
        <v>12117</v>
      </c>
      <c r="V24" s="9" t="s">
        <v>13130</v>
      </c>
      <c r="W24" s="9"/>
      <c r="X24" s="9"/>
      <c r="Y24" s="9"/>
      <c r="Z24" s="9"/>
      <c r="AA24" s="9"/>
      <c r="AB24" s="9"/>
      <c r="AC24" s="9"/>
      <c r="AD24" s="9"/>
      <c r="AE24" s="9"/>
      <c r="AF24" s="9" t="s">
        <v>19</v>
      </c>
    </row>
    <row r="25" spans="1:32" ht="29">
      <c r="A25" s="3" t="s">
        <v>1536</v>
      </c>
      <c r="B25" s="3" t="s">
        <v>6273</v>
      </c>
      <c r="C25" s="3" t="s">
        <v>6275</v>
      </c>
      <c r="G25" t="s">
        <v>12659</v>
      </c>
      <c r="H25" s="9" t="s">
        <v>25</v>
      </c>
      <c r="I25" s="9"/>
      <c r="J25" s="9">
        <v>1</v>
      </c>
      <c r="K25" s="9">
        <v>5</v>
      </c>
      <c r="L25" s="9" t="s">
        <v>12094</v>
      </c>
      <c r="M25" s="9" t="s">
        <v>12073</v>
      </c>
      <c r="N25" s="9" t="s">
        <v>12142</v>
      </c>
      <c r="O25" s="10" t="s">
        <v>12160</v>
      </c>
      <c r="P25" s="9"/>
      <c r="Q25" s="9">
        <v>4240</v>
      </c>
      <c r="R25" s="9"/>
      <c r="S25" s="9" t="s">
        <v>12795</v>
      </c>
      <c r="T25" s="9" t="s">
        <v>12795</v>
      </c>
      <c r="U25" s="9" t="s">
        <v>4</v>
      </c>
      <c r="V25" s="9" t="s">
        <v>13131</v>
      </c>
      <c r="W25" s="9"/>
      <c r="X25" s="9"/>
      <c r="Y25" s="9"/>
      <c r="Z25" s="9"/>
      <c r="AA25" s="9"/>
      <c r="AB25" s="9"/>
      <c r="AC25" s="9"/>
      <c r="AD25" s="9"/>
      <c r="AE25" s="9"/>
      <c r="AF25" s="9" t="s">
        <v>20</v>
      </c>
    </row>
    <row r="26" spans="1:32" ht="29">
      <c r="A26" s="3" t="s">
        <v>1720</v>
      </c>
      <c r="B26" s="3" t="s">
        <v>6541</v>
      </c>
      <c r="C26" s="3" t="s">
        <v>6542</v>
      </c>
      <c r="G26" t="s">
        <v>12660</v>
      </c>
      <c r="H26" s="9" t="s">
        <v>12118</v>
      </c>
      <c r="I26" s="9"/>
      <c r="J26" s="9"/>
      <c r="K26" s="9"/>
      <c r="L26" s="9"/>
      <c r="M26" s="9"/>
      <c r="N26" s="9"/>
      <c r="O26" s="10"/>
      <c r="P26" s="9"/>
      <c r="Q26" s="9"/>
      <c r="R26" s="9">
        <v>41</v>
      </c>
      <c r="S26" s="9">
        <v>444</v>
      </c>
      <c r="T26" s="9">
        <v>485</v>
      </c>
      <c r="U26" s="9" t="s">
        <v>4</v>
      </c>
      <c r="V26" s="9" t="s">
        <v>13130</v>
      </c>
      <c r="W26" s="9"/>
      <c r="X26" s="9"/>
      <c r="Y26" s="9"/>
      <c r="Z26" s="9"/>
      <c r="AA26" s="9"/>
      <c r="AB26" s="9"/>
      <c r="AC26" s="9"/>
      <c r="AD26" s="9"/>
      <c r="AE26" s="9"/>
      <c r="AF26" s="9" t="s">
        <v>20</v>
      </c>
    </row>
    <row r="27" spans="1:32" ht="72.5" hidden="1">
      <c r="A27" s="3" t="s">
        <v>1735</v>
      </c>
      <c r="B27" s="3" t="s">
        <v>6573</v>
      </c>
      <c r="C27" s="3" t="s">
        <v>6576</v>
      </c>
      <c r="G27" t="s">
        <v>12661</v>
      </c>
      <c r="H27" s="9" t="s">
        <v>24</v>
      </c>
      <c r="I27" s="9"/>
      <c r="J27" s="9">
        <v>2</v>
      </c>
      <c r="K27" s="9">
        <v>8</v>
      </c>
      <c r="L27" s="9"/>
      <c r="M27" s="9" t="s">
        <v>12079</v>
      </c>
      <c r="N27" s="9"/>
      <c r="O27" s="10"/>
      <c r="P27" s="9"/>
      <c r="Q27" s="9">
        <v>28</v>
      </c>
      <c r="R27" s="9"/>
      <c r="S27" s="9" t="s">
        <v>12795</v>
      </c>
      <c r="T27" s="9" t="s">
        <v>12795</v>
      </c>
      <c r="U27" s="9" t="s">
        <v>12117</v>
      </c>
      <c r="V27" s="9" t="s">
        <v>13130</v>
      </c>
      <c r="W27" s="9"/>
      <c r="X27" s="9"/>
      <c r="Y27" s="9"/>
      <c r="Z27" s="9"/>
      <c r="AA27" s="9"/>
      <c r="AB27" s="9"/>
      <c r="AC27" s="9"/>
      <c r="AD27" s="9"/>
      <c r="AE27" s="9"/>
      <c r="AF27" s="9" t="s">
        <v>19</v>
      </c>
    </row>
    <row r="28" spans="1:32" ht="101.5" hidden="1">
      <c r="A28" s="3" t="s">
        <v>1831</v>
      </c>
      <c r="B28" s="3" t="s">
        <v>6703</v>
      </c>
      <c r="C28" s="3" t="s">
        <v>6704</v>
      </c>
      <c r="G28" t="s">
        <v>12664</v>
      </c>
      <c r="H28" s="9" t="s">
        <v>12118</v>
      </c>
      <c r="I28" s="9"/>
      <c r="J28" s="9"/>
      <c r="K28" s="9"/>
      <c r="L28" s="9"/>
      <c r="M28" s="9"/>
      <c r="N28" s="9"/>
      <c r="O28" s="10"/>
      <c r="P28" s="9"/>
      <c r="Q28" s="9"/>
      <c r="R28" s="9">
        <v>193</v>
      </c>
      <c r="S28" s="9">
        <v>1101</v>
      </c>
      <c r="T28" s="9">
        <v>1294</v>
      </c>
      <c r="U28" s="9" t="s">
        <v>4</v>
      </c>
      <c r="V28" s="9" t="s">
        <v>13130</v>
      </c>
      <c r="W28" s="9"/>
      <c r="X28" s="9"/>
      <c r="Y28" s="9"/>
      <c r="Z28" s="9"/>
      <c r="AA28" s="9"/>
      <c r="AB28" s="9"/>
      <c r="AC28" s="9"/>
      <c r="AD28" s="9"/>
      <c r="AE28" s="9"/>
      <c r="AF28" s="9" t="s">
        <v>19</v>
      </c>
    </row>
    <row r="29" spans="1:32" ht="72.5" hidden="1">
      <c r="A29" s="3" t="s">
        <v>1938</v>
      </c>
      <c r="B29" s="3" t="s">
        <v>6889</v>
      </c>
      <c r="C29" s="3" t="s">
        <v>6888</v>
      </c>
      <c r="E29" t="s">
        <v>20</v>
      </c>
      <c r="G29" t="s">
        <v>12667</v>
      </c>
      <c r="H29" s="9" t="s">
        <v>25</v>
      </c>
      <c r="I29" s="9"/>
      <c r="J29" s="9">
        <v>1</v>
      </c>
      <c r="K29" s="9">
        <v>6</v>
      </c>
      <c r="L29" s="9" t="s">
        <v>12125</v>
      </c>
      <c r="M29" s="9" t="s">
        <v>12073</v>
      </c>
      <c r="N29" s="9" t="s">
        <v>12142</v>
      </c>
      <c r="O29" s="10" t="s">
        <v>12160</v>
      </c>
      <c r="P29" s="9"/>
      <c r="Q29" s="9">
        <v>2042</v>
      </c>
      <c r="R29" s="9"/>
      <c r="S29" s="9" t="s">
        <v>12795</v>
      </c>
      <c r="T29" s="9" t="s">
        <v>12795</v>
      </c>
      <c r="U29" s="9" t="s">
        <v>12117</v>
      </c>
      <c r="V29" s="9" t="s">
        <v>13131</v>
      </c>
      <c r="W29" s="9"/>
      <c r="X29" s="9"/>
      <c r="Y29" s="9"/>
      <c r="Z29" s="9"/>
      <c r="AA29" s="9"/>
      <c r="AB29" s="9"/>
      <c r="AC29" s="9"/>
      <c r="AD29" s="9"/>
      <c r="AE29" s="9"/>
      <c r="AF29" s="9" t="s">
        <v>19</v>
      </c>
    </row>
    <row r="30" spans="1:32" ht="43.5" hidden="1">
      <c r="A30" s="3" t="s">
        <v>2112</v>
      </c>
      <c r="B30" s="3" t="s">
        <v>7098</v>
      </c>
      <c r="C30" s="3" t="s">
        <v>7099</v>
      </c>
      <c r="G30" t="s">
        <v>12670</v>
      </c>
      <c r="H30" s="9" t="s">
        <v>24</v>
      </c>
      <c r="I30" s="9"/>
      <c r="J30" s="9">
        <v>1</v>
      </c>
      <c r="K30" s="9">
        <v>3</v>
      </c>
      <c r="L30" s="9" t="s">
        <v>12078</v>
      </c>
      <c r="M30" s="9" t="s">
        <v>12079</v>
      </c>
      <c r="N30" s="9"/>
      <c r="O30" s="10"/>
      <c r="P30" s="9"/>
      <c r="Q30" s="9">
        <v>11843</v>
      </c>
      <c r="R30" s="9"/>
      <c r="S30" s="9" t="s">
        <v>12795</v>
      </c>
      <c r="T30" s="9" t="s">
        <v>12795</v>
      </c>
      <c r="U30" s="9" t="s">
        <v>12117</v>
      </c>
      <c r="V30" s="9" t="s">
        <v>13130</v>
      </c>
      <c r="W30" s="9"/>
      <c r="X30" s="9"/>
      <c r="Y30" s="9"/>
      <c r="Z30" s="9"/>
      <c r="AA30" s="9"/>
      <c r="AB30" s="9"/>
      <c r="AC30" s="9"/>
      <c r="AD30" s="9"/>
      <c r="AE30" s="9"/>
      <c r="AF30" s="9" t="s">
        <v>19</v>
      </c>
    </row>
    <row r="31" spans="1:32" ht="29" hidden="1">
      <c r="A31" s="3" t="s">
        <v>2209</v>
      </c>
      <c r="B31" s="3" t="s">
        <v>7226</v>
      </c>
      <c r="C31" s="3" t="s">
        <v>6698</v>
      </c>
      <c r="G31" t="s">
        <v>12671</v>
      </c>
      <c r="H31" s="9" t="s">
        <v>25</v>
      </c>
      <c r="I31" s="9"/>
      <c r="J31" s="9">
        <v>1</v>
      </c>
      <c r="K31" s="9">
        <v>1</v>
      </c>
      <c r="L31" s="9" t="s">
        <v>12078</v>
      </c>
      <c r="M31" s="9" t="s">
        <v>12119</v>
      </c>
      <c r="N31" s="9"/>
      <c r="O31" s="10"/>
      <c r="P31" s="9"/>
      <c r="Q31" s="9">
        <v>11843</v>
      </c>
      <c r="R31" s="9"/>
      <c r="S31" s="9" t="s">
        <v>12795</v>
      </c>
      <c r="T31" s="9" t="s">
        <v>12795</v>
      </c>
      <c r="U31" s="9" t="s">
        <v>12117</v>
      </c>
      <c r="V31" s="9" t="s">
        <v>13131</v>
      </c>
      <c r="W31" s="9"/>
      <c r="X31" s="9"/>
      <c r="Y31" s="9"/>
      <c r="Z31" s="9"/>
      <c r="AA31" s="9"/>
      <c r="AB31" s="9"/>
      <c r="AC31" s="9"/>
      <c r="AD31" s="9"/>
      <c r="AE31" s="9"/>
      <c r="AF31" s="9" t="s">
        <v>19</v>
      </c>
    </row>
    <row r="32" spans="1:32" ht="29" hidden="1">
      <c r="A32" s="3" t="s">
        <v>2209</v>
      </c>
      <c r="B32" s="3" t="s">
        <v>7228</v>
      </c>
      <c r="C32" s="3" t="s">
        <v>7227</v>
      </c>
      <c r="G32" t="s">
        <v>12671</v>
      </c>
      <c r="H32" s="9" t="s">
        <v>24</v>
      </c>
      <c r="I32" s="9"/>
      <c r="J32" s="9">
        <v>1</v>
      </c>
      <c r="K32" s="9">
        <v>3</v>
      </c>
      <c r="L32" s="9" t="s">
        <v>12087</v>
      </c>
      <c r="M32" s="9" t="s">
        <v>12079</v>
      </c>
      <c r="N32" s="9"/>
      <c r="O32" s="10"/>
      <c r="P32" s="9"/>
      <c r="Q32" s="9">
        <v>810</v>
      </c>
      <c r="R32" s="9"/>
      <c r="S32" s="9" t="s">
        <v>12795</v>
      </c>
      <c r="T32" s="9" t="s">
        <v>12795</v>
      </c>
      <c r="U32" s="9" t="s">
        <v>12117</v>
      </c>
      <c r="V32" s="9" t="s">
        <v>13131</v>
      </c>
      <c r="W32" s="9"/>
      <c r="X32" s="9"/>
      <c r="Y32" s="9"/>
      <c r="Z32" s="9"/>
      <c r="AA32" s="9"/>
      <c r="AB32" s="9"/>
      <c r="AC32" s="9"/>
      <c r="AD32" s="9"/>
      <c r="AE32" s="9"/>
      <c r="AF32" s="9" t="s">
        <v>19</v>
      </c>
    </row>
    <row r="33" spans="1:32" ht="72.5" hidden="1">
      <c r="A33" s="3" t="s">
        <v>2285</v>
      </c>
      <c r="B33" s="3" t="s">
        <v>7328</v>
      </c>
      <c r="C33" s="3" t="s">
        <v>7329</v>
      </c>
      <c r="G33" t="s">
        <v>12673</v>
      </c>
      <c r="H33" s="9" t="s">
        <v>12120</v>
      </c>
      <c r="I33" s="9"/>
      <c r="J33" s="9"/>
      <c r="K33" s="9"/>
      <c r="L33" s="9"/>
      <c r="M33" s="9"/>
      <c r="N33" s="9"/>
      <c r="O33" s="10"/>
      <c r="P33" s="9"/>
      <c r="Q33" s="9"/>
      <c r="R33" s="9"/>
      <c r="S33" s="9" t="s">
        <v>12795</v>
      </c>
      <c r="T33" s="9" t="s">
        <v>12795</v>
      </c>
      <c r="U33" s="9" t="s">
        <v>12117</v>
      </c>
      <c r="V33" s="9" t="s">
        <v>13130</v>
      </c>
      <c r="W33" s="9"/>
      <c r="X33" s="9"/>
      <c r="Y33" s="9"/>
      <c r="Z33" s="9"/>
      <c r="AA33" s="9"/>
      <c r="AB33" s="9"/>
      <c r="AC33" s="9"/>
      <c r="AD33" s="9"/>
      <c r="AE33" s="9"/>
      <c r="AF33" s="9" t="s">
        <v>19</v>
      </c>
    </row>
    <row r="34" spans="1:32" ht="72.5" hidden="1">
      <c r="A34" s="3" t="s">
        <v>2285</v>
      </c>
      <c r="B34" s="3" t="s">
        <v>7327</v>
      </c>
      <c r="C34" s="3" t="s">
        <v>7330</v>
      </c>
      <c r="G34" t="s">
        <v>12673</v>
      </c>
      <c r="H34" s="9" t="s">
        <v>24</v>
      </c>
      <c r="I34" s="9"/>
      <c r="J34" s="9">
        <v>1</v>
      </c>
      <c r="K34" s="9">
        <v>3</v>
      </c>
      <c r="L34" s="9" t="s">
        <v>12094</v>
      </c>
      <c r="M34" s="9" t="s">
        <v>12079</v>
      </c>
      <c r="N34" s="9"/>
      <c r="O34" s="10"/>
      <c r="P34" s="9"/>
      <c r="Q34" s="9">
        <v>1741</v>
      </c>
      <c r="R34" s="9"/>
      <c r="S34" s="9" t="s">
        <v>12795</v>
      </c>
      <c r="T34" s="9" t="s">
        <v>12795</v>
      </c>
      <c r="U34" s="9" t="s">
        <v>12117</v>
      </c>
      <c r="V34" s="9" t="s">
        <v>13130</v>
      </c>
      <c r="W34" s="9"/>
      <c r="X34" s="9"/>
      <c r="Y34" s="9"/>
      <c r="Z34" s="9"/>
      <c r="AA34" s="9"/>
      <c r="AB34" s="9"/>
      <c r="AC34" s="9"/>
      <c r="AD34" s="9"/>
      <c r="AE34" s="9"/>
      <c r="AF34" s="9" t="s">
        <v>19</v>
      </c>
    </row>
    <row r="35" spans="1:32" ht="43.5" hidden="1">
      <c r="A35" s="3" t="s">
        <v>2369</v>
      </c>
      <c r="B35" s="3" t="s">
        <v>7436</v>
      </c>
      <c r="C35" s="3" t="s">
        <v>7437</v>
      </c>
      <c r="G35" t="s">
        <v>12674</v>
      </c>
      <c r="H35" s="9" t="s">
        <v>12120</v>
      </c>
      <c r="I35" s="9"/>
      <c r="J35" s="9"/>
      <c r="K35" s="9"/>
      <c r="L35" s="9"/>
      <c r="M35" s="9"/>
      <c r="N35" s="9"/>
      <c r="O35" s="10"/>
      <c r="P35" s="9"/>
      <c r="Q35" s="9"/>
      <c r="R35" s="9"/>
      <c r="S35" s="9" t="s">
        <v>12795</v>
      </c>
      <c r="T35" s="9" t="s">
        <v>12795</v>
      </c>
      <c r="U35" s="9" t="s">
        <v>12117</v>
      </c>
      <c r="V35" s="9" t="s">
        <v>13131</v>
      </c>
      <c r="W35" s="9"/>
      <c r="X35" s="9"/>
      <c r="Y35" s="9"/>
      <c r="Z35" s="9"/>
      <c r="AA35" s="9"/>
      <c r="AB35" s="9"/>
      <c r="AC35" s="9"/>
      <c r="AD35" s="9"/>
      <c r="AE35" s="9"/>
      <c r="AF35" s="9" t="s">
        <v>19</v>
      </c>
    </row>
    <row r="36" spans="1:32" ht="87">
      <c r="A36" s="3" t="s">
        <v>2381</v>
      </c>
      <c r="B36" s="3" t="s">
        <v>7451</v>
      </c>
      <c r="C36" s="3" t="s">
        <v>7452</v>
      </c>
      <c r="G36" t="s">
        <v>12675</v>
      </c>
      <c r="H36" s="9" t="s">
        <v>26</v>
      </c>
      <c r="I36" s="9"/>
      <c r="J36" s="9"/>
      <c r="K36" s="9"/>
      <c r="L36" s="9"/>
      <c r="M36" s="9"/>
      <c r="N36" s="9"/>
      <c r="O36" s="10"/>
      <c r="P36" s="9"/>
      <c r="Q36" s="9"/>
      <c r="R36" s="9"/>
      <c r="S36" s="9" t="s">
        <v>12795</v>
      </c>
      <c r="T36" s="9" t="s">
        <v>12795</v>
      </c>
      <c r="U36" s="9" t="s">
        <v>12117</v>
      </c>
      <c r="V36" s="9" t="s">
        <v>13131</v>
      </c>
      <c r="W36" s="9"/>
      <c r="X36" s="9"/>
      <c r="Y36" s="9"/>
      <c r="Z36" s="9"/>
      <c r="AA36" s="9"/>
      <c r="AB36" s="9"/>
      <c r="AC36" s="9"/>
      <c r="AD36" s="9"/>
      <c r="AE36" s="9"/>
      <c r="AF36" s="9" t="s">
        <v>20</v>
      </c>
    </row>
    <row r="37" spans="1:32" ht="43.5" hidden="1">
      <c r="A37" s="3" t="s">
        <v>2412</v>
      </c>
      <c r="B37" s="3" t="s">
        <v>7494</v>
      </c>
      <c r="C37" s="3" t="s">
        <v>7493</v>
      </c>
      <c r="G37" t="s">
        <v>12676</v>
      </c>
      <c r="H37" s="9" t="s">
        <v>24</v>
      </c>
      <c r="I37" s="9"/>
      <c r="J37" s="9">
        <v>1</v>
      </c>
      <c r="K37" s="9">
        <v>3</v>
      </c>
      <c r="L37" s="9" t="s">
        <v>12087</v>
      </c>
      <c r="M37" s="9" t="s">
        <v>12079</v>
      </c>
      <c r="N37" s="9"/>
      <c r="O37" s="10"/>
      <c r="P37" s="9"/>
      <c r="Q37" s="9">
        <v>5676</v>
      </c>
      <c r="R37" s="9"/>
      <c r="S37" s="9" t="s">
        <v>12795</v>
      </c>
      <c r="T37" s="9" t="s">
        <v>12795</v>
      </c>
      <c r="U37" s="9" t="s">
        <v>12117</v>
      </c>
      <c r="V37" s="9" t="s">
        <v>13130</v>
      </c>
      <c r="W37" s="9"/>
      <c r="X37" s="9"/>
      <c r="Y37" s="9"/>
      <c r="Z37" s="9"/>
      <c r="AA37" s="9"/>
      <c r="AB37" s="9"/>
      <c r="AC37" s="9"/>
      <c r="AD37" s="9"/>
      <c r="AE37" s="9"/>
      <c r="AF37" s="9" t="s">
        <v>19</v>
      </c>
    </row>
    <row r="38" spans="1:32" ht="87">
      <c r="A38" s="3" t="s">
        <v>2513</v>
      </c>
      <c r="B38" s="3" t="s">
        <v>7632</v>
      </c>
      <c r="C38" s="3" t="s">
        <v>7631</v>
      </c>
      <c r="G38" t="s">
        <v>12678</v>
      </c>
      <c r="H38" s="9" t="s">
        <v>26</v>
      </c>
      <c r="I38" s="9"/>
      <c r="J38" s="9"/>
      <c r="K38" s="9"/>
      <c r="L38" s="9"/>
      <c r="M38" s="9"/>
      <c r="N38" s="9"/>
      <c r="O38" s="10"/>
      <c r="P38" s="9"/>
      <c r="Q38" s="9"/>
      <c r="R38" s="9"/>
      <c r="S38" s="9" t="s">
        <v>12795</v>
      </c>
      <c r="T38" s="9" t="s">
        <v>12795</v>
      </c>
      <c r="U38" s="9" t="s">
        <v>12117</v>
      </c>
      <c r="V38" s="9" t="s">
        <v>13130</v>
      </c>
      <c r="W38" s="9"/>
      <c r="X38" s="9"/>
      <c r="Y38" s="9"/>
      <c r="Z38" s="9"/>
      <c r="AA38" s="9"/>
      <c r="AB38" s="9"/>
      <c r="AC38" s="9"/>
      <c r="AD38" s="9"/>
      <c r="AE38" s="9"/>
      <c r="AF38" s="9" t="s">
        <v>20</v>
      </c>
    </row>
    <row r="39" spans="1:32" ht="87" hidden="1">
      <c r="A39" s="3" t="s">
        <v>2521</v>
      </c>
      <c r="B39" s="3" t="s">
        <v>7637</v>
      </c>
      <c r="C39" s="3" t="s">
        <v>7638</v>
      </c>
      <c r="G39" t="s">
        <v>12680</v>
      </c>
      <c r="H39" s="9" t="s">
        <v>12120</v>
      </c>
      <c r="I39" s="9"/>
      <c r="J39" s="9"/>
      <c r="K39" s="9"/>
      <c r="L39" s="9"/>
      <c r="M39" s="9"/>
      <c r="N39" s="9"/>
      <c r="O39" s="10"/>
      <c r="P39" s="9"/>
      <c r="Q39" s="9"/>
      <c r="R39" s="9"/>
      <c r="S39" s="9" t="s">
        <v>12795</v>
      </c>
      <c r="T39" s="9" t="s">
        <v>12795</v>
      </c>
      <c r="U39" s="9" t="s">
        <v>12117</v>
      </c>
      <c r="V39" s="9" t="s">
        <v>13131</v>
      </c>
      <c r="W39" s="9"/>
      <c r="X39" s="9"/>
      <c r="Y39" s="9"/>
      <c r="Z39" s="9"/>
      <c r="AA39" s="9"/>
      <c r="AB39" s="9"/>
      <c r="AC39" s="9"/>
      <c r="AD39" s="9"/>
      <c r="AE39" s="9"/>
      <c r="AF39" s="9" t="s">
        <v>19</v>
      </c>
    </row>
    <row r="40" spans="1:32" ht="43.5" hidden="1">
      <c r="A40" s="3" t="s">
        <v>2680</v>
      </c>
      <c r="B40" s="3" t="s">
        <v>7817</v>
      </c>
      <c r="C40" s="3" t="s">
        <v>7818</v>
      </c>
      <c r="G40" t="s">
        <v>12682</v>
      </c>
      <c r="H40" s="9" t="s">
        <v>12118</v>
      </c>
      <c r="I40" s="9"/>
      <c r="J40" s="9"/>
      <c r="K40" s="9"/>
      <c r="L40" s="9"/>
      <c r="M40" s="9"/>
      <c r="N40" s="9"/>
      <c r="O40" s="10"/>
      <c r="P40" s="9"/>
      <c r="Q40" s="9"/>
      <c r="R40" s="9">
        <v>-561</v>
      </c>
      <c r="S40" s="9">
        <v>810</v>
      </c>
      <c r="T40" s="9">
        <v>249</v>
      </c>
      <c r="U40" s="9" t="s">
        <v>4</v>
      </c>
      <c r="V40" s="9" t="s">
        <v>13130</v>
      </c>
      <c r="W40" s="9"/>
      <c r="X40" s="9"/>
      <c r="Y40" s="9"/>
      <c r="Z40" s="9"/>
      <c r="AA40" s="9"/>
      <c r="AB40" s="9"/>
      <c r="AC40" s="9"/>
      <c r="AD40" s="9"/>
      <c r="AE40" s="9"/>
      <c r="AF40" s="9" t="s">
        <v>19</v>
      </c>
    </row>
    <row r="41" spans="1:32" ht="29" hidden="1">
      <c r="A41" s="3" t="s">
        <v>2702</v>
      </c>
      <c r="B41" s="3" t="s">
        <v>7854</v>
      </c>
      <c r="C41" s="3" t="s">
        <v>7855</v>
      </c>
      <c r="G41" t="s">
        <v>12684</v>
      </c>
      <c r="H41" s="9" t="s">
        <v>25</v>
      </c>
      <c r="I41" s="9"/>
      <c r="J41" s="9">
        <v>1</v>
      </c>
      <c r="K41" s="9">
        <v>2</v>
      </c>
      <c r="L41" s="9" t="s">
        <v>12078</v>
      </c>
      <c r="M41" s="9" t="s">
        <v>12119</v>
      </c>
      <c r="N41" s="9"/>
      <c r="O41" s="10"/>
      <c r="P41" s="9"/>
      <c r="Q41" s="9">
        <v>11843</v>
      </c>
      <c r="R41" s="9"/>
      <c r="S41" s="9" t="s">
        <v>12795</v>
      </c>
      <c r="T41" s="9" t="s">
        <v>12795</v>
      </c>
      <c r="U41" s="9" t="s">
        <v>12117</v>
      </c>
      <c r="V41" s="9" t="s">
        <v>13131</v>
      </c>
      <c r="W41" s="9"/>
      <c r="X41" s="9"/>
      <c r="Y41" s="9"/>
      <c r="Z41" s="9"/>
      <c r="AA41" s="9"/>
      <c r="AB41" s="9"/>
      <c r="AC41" s="9"/>
      <c r="AD41" s="9"/>
      <c r="AE41" s="9"/>
      <c r="AF41" s="9" t="s">
        <v>19</v>
      </c>
    </row>
    <row r="42" spans="1:32" ht="43.5" hidden="1">
      <c r="A42" s="3" t="s">
        <v>2763</v>
      </c>
      <c r="B42" s="3" t="s">
        <v>7941</v>
      </c>
      <c r="C42" s="3" t="s">
        <v>7940</v>
      </c>
      <c r="G42" t="s">
        <v>12685</v>
      </c>
      <c r="H42" s="9" t="s">
        <v>24</v>
      </c>
      <c r="I42" s="9"/>
      <c r="J42" s="9">
        <v>1</v>
      </c>
      <c r="K42" s="9">
        <v>3</v>
      </c>
      <c r="L42" s="9" t="s">
        <v>12087</v>
      </c>
      <c r="M42" s="9" t="s">
        <v>12079</v>
      </c>
      <c r="N42" s="9"/>
      <c r="O42" s="10"/>
      <c r="P42" s="9"/>
      <c r="Q42" s="9">
        <v>5676</v>
      </c>
      <c r="R42" s="9"/>
      <c r="S42" s="9" t="s">
        <v>12795</v>
      </c>
      <c r="T42" s="9" t="s">
        <v>12795</v>
      </c>
      <c r="U42" s="9" t="s">
        <v>12117</v>
      </c>
      <c r="V42" s="9" t="s">
        <v>13130</v>
      </c>
      <c r="W42" s="9"/>
      <c r="X42" s="9"/>
      <c r="Y42" s="9"/>
      <c r="Z42" s="9"/>
      <c r="AA42" s="9"/>
      <c r="AB42" s="9"/>
      <c r="AC42" s="9"/>
      <c r="AD42" s="9"/>
      <c r="AE42" s="9"/>
      <c r="AF42" s="9" t="s">
        <v>19</v>
      </c>
    </row>
    <row r="43" spans="1:32" ht="29" hidden="1">
      <c r="A43" s="3" t="s">
        <v>3029</v>
      </c>
      <c r="B43" s="3" t="s">
        <v>6321</v>
      </c>
      <c r="C43" s="3" t="s">
        <v>6322</v>
      </c>
      <c r="G43" t="s">
        <v>12686</v>
      </c>
      <c r="H43" s="9" t="s">
        <v>24</v>
      </c>
      <c r="I43" s="9"/>
      <c r="J43" s="9">
        <v>1</v>
      </c>
      <c r="K43" s="9">
        <v>3</v>
      </c>
      <c r="L43" s="9" t="s">
        <v>12078</v>
      </c>
      <c r="M43" s="9" t="s">
        <v>12079</v>
      </c>
      <c r="N43" s="9"/>
      <c r="O43" s="10"/>
      <c r="P43" s="9"/>
      <c r="Q43" s="9">
        <v>11843</v>
      </c>
      <c r="R43" s="9"/>
      <c r="S43" s="9" t="s">
        <v>12795</v>
      </c>
      <c r="T43" s="9" t="s">
        <v>12795</v>
      </c>
      <c r="U43" s="9" t="s">
        <v>12117</v>
      </c>
      <c r="V43" s="9" t="s">
        <v>13130</v>
      </c>
      <c r="W43" s="9"/>
      <c r="X43" s="9"/>
      <c r="Y43" s="9"/>
      <c r="Z43" s="9"/>
      <c r="AA43" s="9"/>
      <c r="AB43" s="9"/>
      <c r="AC43" s="9"/>
      <c r="AD43" s="9"/>
      <c r="AE43" s="9"/>
      <c r="AF43" s="9" t="s">
        <v>19</v>
      </c>
    </row>
    <row r="44" spans="1:32" ht="43.5">
      <c r="A44" s="3" t="s">
        <v>3134</v>
      </c>
      <c r="B44" s="3" t="s">
        <v>8558</v>
      </c>
      <c r="C44" s="3" t="s">
        <v>8559</v>
      </c>
      <c r="G44" t="s">
        <v>12687</v>
      </c>
      <c r="H44" s="9" t="s">
        <v>26</v>
      </c>
      <c r="I44" s="9"/>
      <c r="J44" s="9"/>
      <c r="K44" s="9"/>
      <c r="L44" s="9"/>
      <c r="M44" s="9"/>
      <c r="N44" s="9"/>
      <c r="O44" s="10"/>
      <c r="P44" s="9"/>
      <c r="Q44" s="9"/>
      <c r="R44" s="9"/>
      <c r="S44" s="9" t="s">
        <v>12795</v>
      </c>
      <c r="T44" s="9" t="s">
        <v>12795</v>
      </c>
      <c r="U44" s="9" t="s">
        <v>12117</v>
      </c>
      <c r="V44" s="9" t="s">
        <v>13131</v>
      </c>
      <c r="W44" s="9"/>
      <c r="X44" s="9"/>
      <c r="Y44" s="9"/>
      <c r="Z44" s="9"/>
      <c r="AA44" s="9"/>
      <c r="AB44" s="9"/>
      <c r="AC44" s="9"/>
      <c r="AD44" s="9"/>
      <c r="AE44" s="9"/>
      <c r="AF44" s="9" t="s">
        <v>20</v>
      </c>
    </row>
    <row r="45" spans="1:32" ht="58" hidden="1">
      <c r="A45" s="3" t="s">
        <v>3157</v>
      </c>
      <c r="B45" s="3" t="s">
        <v>8606</v>
      </c>
      <c r="C45" s="3" t="s">
        <v>8607</v>
      </c>
      <c r="G45" t="s">
        <v>12688</v>
      </c>
      <c r="H45" s="9" t="s">
        <v>12118</v>
      </c>
      <c r="I45" s="9"/>
      <c r="J45" s="9"/>
      <c r="K45" s="9"/>
      <c r="L45" s="9"/>
      <c r="M45" s="9"/>
      <c r="N45" s="9"/>
      <c r="O45" s="10"/>
      <c r="P45" s="9"/>
      <c r="Q45" s="9"/>
      <c r="R45" s="9">
        <v>-253</v>
      </c>
      <c r="S45" s="9">
        <v>277</v>
      </c>
      <c r="T45" s="9">
        <v>24</v>
      </c>
      <c r="U45" s="9" t="s">
        <v>12117</v>
      </c>
      <c r="V45" s="9" t="s">
        <v>13132</v>
      </c>
      <c r="W45" s="9"/>
      <c r="X45" s="9"/>
      <c r="Y45" s="9"/>
      <c r="Z45" s="9"/>
      <c r="AA45" s="9"/>
      <c r="AB45" s="9"/>
      <c r="AC45" s="9"/>
      <c r="AD45" s="9"/>
      <c r="AE45" s="9"/>
      <c r="AF45" s="9" t="s">
        <v>19</v>
      </c>
    </row>
    <row r="46" spans="1:32" ht="58" hidden="1">
      <c r="A46" s="3" t="s">
        <v>3189</v>
      </c>
      <c r="B46" s="3" t="s">
        <v>8646</v>
      </c>
      <c r="C46" s="3" t="s">
        <v>8648</v>
      </c>
      <c r="G46" t="s">
        <v>12689</v>
      </c>
      <c r="H46" s="9" t="s">
        <v>12120</v>
      </c>
      <c r="I46" s="9"/>
      <c r="J46" s="9"/>
      <c r="K46" s="9"/>
      <c r="L46" s="9"/>
      <c r="M46" s="9"/>
      <c r="N46" s="9"/>
      <c r="O46" s="10"/>
      <c r="P46" s="9"/>
      <c r="Q46" s="9"/>
      <c r="R46" s="9"/>
      <c r="S46" s="9" t="s">
        <v>12795</v>
      </c>
      <c r="T46" s="9" t="s">
        <v>12795</v>
      </c>
      <c r="U46" s="9" t="s">
        <v>12117</v>
      </c>
      <c r="V46" s="9" t="s">
        <v>13131</v>
      </c>
      <c r="W46" s="9"/>
      <c r="X46" s="9"/>
      <c r="Y46" s="9"/>
      <c r="Z46" s="9"/>
      <c r="AA46" s="9"/>
      <c r="AB46" s="9"/>
      <c r="AC46" s="9"/>
      <c r="AD46" s="9"/>
      <c r="AE46" s="9"/>
      <c r="AF46" s="9" t="s">
        <v>19</v>
      </c>
    </row>
    <row r="47" spans="1:32" ht="58" hidden="1">
      <c r="A47" s="3" t="s">
        <v>3240</v>
      </c>
      <c r="B47" s="3" t="s">
        <v>8742</v>
      </c>
      <c r="C47" s="3" t="s">
        <v>8743</v>
      </c>
      <c r="G47" t="s">
        <v>13134</v>
      </c>
      <c r="H47" s="9" t="s">
        <v>25</v>
      </c>
      <c r="I47" s="9"/>
      <c r="J47" s="9">
        <v>1</v>
      </c>
      <c r="K47" s="9">
        <v>5</v>
      </c>
      <c r="L47" s="9" t="s">
        <v>12092</v>
      </c>
      <c r="M47" s="9" t="s">
        <v>12079</v>
      </c>
      <c r="N47" s="9"/>
      <c r="O47" s="10"/>
      <c r="P47" s="9"/>
      <c r="Q47" s="9">
        <v>308</v>
      </c>
      <c r="R47" s="9"/>
      <c r="S47" s="9" t="s">
        <v>12795</v>
      </c>
      <c r="T47" s="9" t="s">
        <v>12795</v>
      </c>
      <c r="U47" s="9" t="s">
        <v>12117</v>
      </c>
      <c r="V47" s="9" t="s">
        <v>13131</v>
      </c>
      <c r="W47" s="9"/>
      <c r="X47" s="9"/>
      <c r="Y47" s="9"/>
      <c r="Z47" s="9"/>
      <c r="AA47" s="9"/>
      <c r="AB47" s="9"/>
      <c r="AC47" s="9"/>
      <c r="AD47" s="9"/>
      <c r="AE47" s="9"/>
      <c r="AF47" s="9" t="s">
        <v>19</v>
      </c>
    </row>
    <row r="48" spans="1:32" ht="43.5">
      <c r="A48" s="3" t="s">
        <v>3244</v>
      </c>
      <c r="B48" s="3" t="s">
        <v>8749</v>
      </c>
      <c r="C48" s="3" t="s">
        <v>8748</v>
      </c>
      <c r="G48" t="s">
        <v>12691</v>
      </c>
      <c r="H48" s="9" t="s">
        <v>25</v>
      </c>
      <c r="I48" s="9"/>
      <c r="J48" s="9">
        <v>1</v>
      </c>
      <c r="K48" s="9">
        <v>2</v>
      </c>
      <c r="L48" s="9" t="s">
        <v>12096</v>
      </c>
      <c r="M48" s="9" t="s">
        <v>12119</v>
      </c>
      <c r="N48" s="9"/>
      <c r="O48" s="10"/>
      <c r="P48" s="9"/>
      <c r="Q48" s="9">
        <v>1294</v>
      </c>
      <c r="R48" s="9"/>
      <c r="S48" s="9" t="s">
        <v>12795</v>
      </c>
      <c r="T48" s="9" t="s">
        <v>12795</v>
      </c>
      <c r="U48" s="9" t="s">
        <v>12117</v>
      </c>
      <c r="V48" s="9" t="s">
        <v>13132</v>
      </c>
      <c r="W48" s="9"/>
      <c r="X48" s="9"/>
      <c r="Y48" s="9"/>
      <c r="Z48" s="9"/>
      <c r="AA48" s="9"/>
      <c r="AB48" s="9"/>
      <c r="AC48" s="9"/>
      <c r="AD48" s="9"/>
      <c r="AE48" s="9"/>
      <c r="AF48" s="9" t="s">
        <v>20</v>
      </c>
    </row>
    <row r="49" spans="1:32" ht="87">
      <c r="A49" s="3" t="s">
        <v>3247</v>
      </c>
      <c r="B49" s="3" t="s">
        <v>8757</v>
      </c>
      <c r="C49" s="3" t="s">
        <v>8756</v>
      </c>
      <c r="G49" t="s">
        <v>12692</v>
      </c>
      <c r="H49" s="9" t="s">
        <v>25</v>
      </c>
      <c r="I49" s="9"/>
      <c r="J49" s="9">
        <v>1</v>
      </c>
      <c r="K49" s="9">
        <v>1</v>
      </c>
      <c r="L49" s="9" t="s">
        <v>12078</v>
      </c>
      <c r="M49" s="9" t="s">
        <v>12119</v>
      </c>
      <c r="N49" s="9"/>
      <c r="O49" s="10"/>
      <c r="P49" s="9"/>
      <c r="Q49" s="9">
        <v>11843</v>
      </c>
      <c r="R49" s="9"/>
      <c r="S49" s="9" t="s">
        <v>12795</v>
      </c>
      <c r="T49" s="9" t="s">
        <v>12795</v>
      </c>
      <c r="U49" s="9" t="s">
        <v>12117</v>
      </c>
      <c r="V49" s="9" t="s">
        <v>13131</v>
      </c>
      <c r="W49" s="9"/>
      <c r="X49" s="9"/>
      <c r="Y49" s="9"/>
      <c r="Z49" s="9"/>
      <c r="AA49" s="9"/>
      <c r="AB49" s="9"/>
      <c r="AC49" s="9"/>
      <c r="AD49" s="9"/>
      <c r="AE49" s="9"/>
      <c r="AF49" s="9" t="s">
        <v>20</v>
      </c>
    </row>
    <row r="50" spans="1:32" ht="43.5">
      <c r="A50" s="3" t="s">
        <v>3255</v>
      </c>
      <c r="B50" s="3" t="s">
        <v>8775</v>
      </c>
      <c r="C50" s="3" t="s">
        <v>8774</v>
      </c>
      <c r="G50" t="s">
        <v>12693</v>
      </c>
      <c r="H50" s="9" t="s">
        <v>26</v>
      </c>
      <c r="I50" s="9"/>
      <c r="J50" s="9"/>
      <c r="K50" s="9"/>
      <c r="L50" s="9"/>
      <c r="M50" s="9"/>
      <c r="N50" s="9"/>
      <c r="O50" s="10"/>
      <c r="P50" s="9"/>
      <c r="Q50" s="9"/>
      <c r="R50" s="9"/>
      <c r="S50" s="9" t="s">
        <v>12795</v>
      </c>
      <c r="T50" s="9" t="s">
        <v>12795</v>
      </c>
      <c r="U50" s="9" t="s">
        <v>4</v>
      </c>
      <c r="V50" s="9" t="s">
        <v>13131</v>
      </c>
      <c r="W50" s="9"/>
      <c r="X50" s="9"/>
      <c r="Y50" s="9"/>
      <c r="Z50" s="9"/>
      <c r="AA50" s="9"/>
      <c r="AB50" s="9"/>
      <c r="AC50" s="9"/>
      <c r="AD50" s="9"/>
      <c r="AE50" s="9"/>
      <c r="AF50" s="9" t="s">
        <v>20</v>
      </c>
    </row>
    <row r="51" spans="1:32" ht="43.5" hidden="1">
      <c r="A51" s="3" t="s">
        <v>3270</v>
      </c>
      <c r="B51" s="3" t="s">
        <v>8814</v>
      </c>
      <c r="C51" s="3" t="s">
        <v>8811</v>
      </c>
      <c r="G51" t="s">
        <v>12694</v>
      </c>
      <c r="H51" s="9" t="s">
        <v>12120</v>
      </c>
      <c r="I51" s="9"/>
      <c r="J51" s="9"/>
      <c r="K51" s="9"/>
      <c r="L51" s="9"/>
      <c r="M51" s="9"/>
      <c r="N51" s="9"/>
      <c r="O51" s="10"/>
      <c r="P51" s="9"/>
      <c r="Q51" s="9"/>
      <c r="R51" s="9"/>
      <c r="S51" s="9" t="s">
        <v>12795</v>
      </c>
      <c r="T51" s="9" t="s">
        <v>12795</v>
      </c>
      <c r="U51" s="9" t="s">
        <v>12117</v>
      </c>
      <c r="V51" s="9" t="s">
        <v>13131</v>
      </c>
      <c r="W51" s="9"/>
      <c r="X51" s="9"/>
      <c r="Y51" s="9"/>
      <c r="Z51" s="9"/>
      <c r="AA51" s="9"/>
      <c r="AB51" s="9"/>
      <c r="AC51" s="9"/>
      <c r="AD51" s="9"/>
      <c r="AE51" s="9"/>
      <c r="AF51" s="9" t="s">
        <v>19</v>
      </c>
    </row>
    <row r="52" spans="1:32" ht="29" hidden="1">
      <c r="A52" s="3" t="s">
        <v>3291</v>
      </c>
      <c r="B52" s="3" t="s">
        <v>8693</v>
      </c>
      <c r="C52" s="3" t="s">
        <v>8694</v>
      </c>
      <c r="G52" t="s">
        <v>12698</v>
      </c>
      <c r="H52" s="9" t="s">
        <v>25</v>
      </c>
      <c r="I52" s="9"/>
      <c r="J52" s="9">
        <v>1</v>
      </c>
      <c r="K52" s="9">
        <v>3</v>
      </c>
      <c r="L52" s="9" t="s">
        <v>12087</v>
      </c>
      <c r="M52" s="9" t="s">
        <v>12079</v>
      </c>
      <c r="N52" s="9"/>
      <c r="O52" s="10"/>
      <c r="P52" s="9"/>
      <c r="Q52" s="9">
        <v>810</v>
      </c>
      <c r="R52" s="9"/>
      <c r="S52" s="9" t="s">
        <v>12795</v>
      </c>
      <c r="T52" s="9" t="s">
        <v>12795</v>
      </c>
      <c r="U52" s="9" t="s">
        <v>12117</v>
      </c>
      <c r="V52" s="9" t="s">
        <v>13130</v>
      </c>
      <c r="W52" s="9"/>
      <c r="X52" s="9"/>
      <c r="Y52" s="9"/>
      <c r="Z52" s="9"/>
      <c r="AA52" s="9"/>
      <c r="AB52" s="9"/>
      <c r="AC52" s="9"/>
      <c r="AD52" s="9"/>
      <c r="AE52" s="9"/>
      <c r="AF52" s="9" t="s">
        <v>19</v>
      </c>
    </row>
    <row r="53" spans="1:32" ht="72.5" hidden="1">
      <c r="A53" s="3" t="s">
        <v>3307</v>
      </c>
      <c r="B53" s="3" t="s">
        <v>8891</v>
      </c>
      <c r="C53" s="3" t="s">
        <v>8890</v>
      </c>
      <c r="G53" t="s">
        <v>12699</v>
      </c>
      <c r="H53" s="9" t="s">
        <v>25</v>
      </c>
      <c r="I53" s="9"/>
      <c r="J53" s="9">
        <v>2</v>
      </c>
      <c r="K53" s="9">
        <v>9</v>
      </c>
      <c r="L53" s="9"/>
      <c r="M53" s="9" t="s">
        <v>12073</v>
      </c>
      <c r="N53" s="9" t="s">
        <v>12140</v>
      </c>
      <c r="O53" s="10" t="s">
        <v>12136</v>
      </c>
      <c r="P53" s="9"/>
      <c r="Q53" s="9">
        <v>8</v>
      </c>
      <c r="R53" s="9"/>
      <c r="S53" s="9" t="s">
        <v>12795</v>
      </c>
      <c r="T53" s="9" t="s">
        <v>12795</v>
      </c>
      <c r="U53" s="9" t="s">
        <v>12117</v>
      </c>
      <c r="V53" s="9" t="s">
        <v>13130</v>
      </c>
      <c r="W53" s="9"/>
      <c r="X53" s="9"/>
      <c r="Y53" s="9"/>
      <c r="Z53" s="9"/>
      <c r="AA53" s="9"/>
      <c r="AB53" s="9"/>
      <c r="AC53" s="9"/>
      <c r="AD53" s="9"/>
      <c r="AE53" s="9"/>
      <c r="AF53" s="9" t="s">
        <v>19</v>
      </c>
    </row>
    <row r="54" spans="1:32" ht="29" hidden="1">
      <c r="A54" s="3" t="s">
        <v>3321</v>
      </c>
      <c r="B54" s="3" t="s">
        <v>8908</v>
      </c>
      <c r="C54" s="3" t="s">
        <v>8911</v>
      </c>
      <c r="G54" t="s">
        <v>12700</v>
      </c>
      <c r="H54" s="9" t="s">
        <v>24</v>
      </c>
      <c r="I54" s="9"/>
      <c r="J54" s="9">
        <v>1</v>
      </c>
      <c r="K54" s="9">
        <v>1</v>
      </c>
      <c r="L54" s="9" t="s">
        <v>12078</v>
      </c>
      <c r="M54" s="9" t="s">
        <v>12119</v>
      </c>
      <c r="N54" s="9"/>
      <c r="O54" s="10"/>
      <c r="P54" s="9"/>
      <c r="Q54" s="9">
        <v>11843</v>
      </c>
      <c r="R54" s="9"/>
      <c r="S54" s="9" t="s">
        <v>12795</v>
      </c>
      <c r="T54" s="9" t="s">
        <v>12795</v>
      </c>
      <c r="U54" s="9" t="s">
        <v>12117</v>
      </c>
      <c r="V54" s="9" t="s">
        <v>13130</v>
      </c>
      <c r="W54" s="9"/>
      <c r="X54" s="9"/>
      <c r="Y54" s="9"/>
      <c r="Z54" s="9"/>
      <c r="AA54" s="9"/>
      <c r="AB54" s="9"/>
      <c r="AC54" s="9"/>
      <c r="AD54" s="9"/>
      <c r="AE54" s="9"/>
      <c r="AF54" s="9" t="s">
        <v>19</v>
      </c>
    </row>
    <row r="55" spans="1:32" ht="43.5" hidden="1">
      <c r="A55" s="3" t="s">
        <v>3322</v>
      </c>
      <c r="B55" s="3" t="s">
        <v>8915</v>
      </c>
      <c r="C55" s="3" t="s">
        <v>8914</v>
      </c>
      <c r="G55" t="s">
        <v>12701</v>
      </c>
      <c r="H55" s="9" t="s">
        <v>24</v>
      </c>
      <c r="I55" s="9"/>
      <c r="J55" s="9">
        <v>2</v>
      </c>
      <c r="K55" s="9">
        <v>7</v>
      </c>
      <c r="L55" s="9"/>
      <c r="M55" s="9" t="s">
        <v>12079</v>
      </c>
      <c r="N55" s="9"/>
      <c r="O55" s="10"/>
      <c r="P55" s="9"/>
      <c r="Q55" s="9">
        <v>635</v>
      </c>
      <c r="R55" s="9"/>
      <c r="S55" s="9" t="s">
        <v>12795</v>
      </c>
      <c r="T55" s="9" t="s">
        <v>12795</v>
      </c>
      <c r="U55" s="9" t="s">
        <v>4</v>
      </c>
      <c r="V55" s="9" t="s">
        <v>13132</v>
      </c>
      <c r="W55" s="9"/>
      <c r="X55" s="9"/>
      <c r="Y55" s="9"/>
      <c r="Z55" s="9"/>
      <c r="AA55" s="9"/>
      <c r="AB55" s="9"/>
      <c r="AC55" s="9"/>
      <c r="AD55" s="9"/>
      <c r="AE55" s="9"/>
      <c r="AF55" s="9" t="s">
        <v>19</v>
      </c>
    </row>
    <row r="56" spans="1:32" ht="58" hidden="1">
      <c r="A56" s="3" t="s">
        <v>3326</v>
      </c>
      <c r="B56" s="3" t="s">
        <v>8921</v>
      </c>
      <c r="C56" s="3" t="s">
        <v>8920</v>
      </c>
      <c r="E56" t="s">
        <v>20</v>
      </c>
      <c r="G56" t="s">
        <v>12702</v>
      </c>
      <c r="H56" s="9" t="s">
        <v>12118</v>
      </c>
      <c r="I56" s="9"/>
      <c r="J56" s="9"/>
      <c r="K56" s="9"/>
      <c r="L56" s="9"/>
      <c r="M56" s="9"/>
      <c r="N56" s="9"/>
      <c r="O56" s="10"/>
      <c r="P56" s="9"/>
      <c r="Q56" s="9"/>
      <c r="R56" s="9">
        <v>1846</v>
      </c>
      <c r="S56" s="9">
        <v>196</v>
      </c>
      <c r="T56" s="9">
        <v>2042</v>
      </c>
      <c r="U56" s="9" t="s">
        <v>12117</v>
      </c>
      <c r="V56" s="9" t="s">
        <v>13131</v>
      </c>
      <c r="W56" s="9"/>
      <c r="X56" s="9"/>
      <c r="Y56" s="9"/>
      <c r="Z56" s="9"/>
      <c r="AA56" s="9"/>
      <c r="AB56" s="9"/>
      <c r="AC56" s="9"/>
      <c r="AD56" s="9"/>
      <c r="AE56" s="9"/>
      <c r="AF56" s="9" t="s">
        <v>19</v>
      </c>
    </row>
    <row r="57" spans="1:32" ht="29" hidden="1">
      <c r="A57" s="3" t="s">
        <v>3335</v>
      </c>
      <c r="B57" s="3" t="s">
        <v>8933</v>
      </c>
      <c r="C57" s="3" t="s">
        <v>8934</v>
      </c>
      <c r="G57" t="s">
        <v>12704</v>
      </c>
      <c r="H57" s="9" t="s">
        <v>12120</v>
      </c>
      <c r="I57" s="9"/>
      <c r="J57" s="9"/>
      <c r="K57" s="9"/>
      <c r="L57" s="9"/>
      <c r="M57" s="9"/>
      <c r="N57" s="9"/>
      <c r="O57" s="10"/>
      <c r="P57" s="9"/>
      <c r="Q57" s="9"/>
      <c r="R57" s="9"/>
      <c r="S57" s="9" t="s">
        <v>12795</v>
      </c>
      <c r="T57" s="9" t="s">
        <v>12795</v>
      </c>
      <c r="U57" s="9" t="s">
        <v>12117</v>
      </c>
      <c r="V57" s="9" t="s">
        <v>13130</v>
      </c>
      <c r="W57" s="9"/>
      <c r="X57" s="9"/>
      <c r="Y57" s="9"/>
      <c r="Z57" s="9"/>
      <c r="AA57" s="9"/>
      <c r="AB57" s="9"/>
      <c r="AC57" s="9"/>
      <c r="AD57" s="9"/>
      <c r="AE57" s="9"/>
      <c r="AF57" s="9" t="s">
        <v>19</v>
      </c>
    </row>
    <row r="58" spans="1:32" hidden="1">
      <c r="A58" s="3" t="s">
        <v>3368</v>
      </c>
      <c r="B58" s="3" t="s">
        <v>1269</v>
      </c>
      <c r="C58" s="3" t="s">
        <v>1248</v>
      </c>
      <c r="G58" t="s">
        <v>12705</v>
      </c>
      <c r="H58" s="9" t="s">
        <v>12120</v>
      </c>
      <c r="I58" s="9"/>
      <c r="J58" s="9"/>
      <c r="K58" s="9"/>
      <c r="L58" s="9"/>
      <c r="M58" s="9"/>
      <c r="N58" s="9"/>
      <c r="O58" s="10"/>
      <c r="P58" s="9"/>
      <c r="Q58" s="9"/>
      <c r="R58" s="9"/>
      <c r="S58" s="9" t="s">
        <v>12795</v>
      </c>
      <c r="T58" s="9" t="s">
        <v>12795</v>
      </c>
      <c r="U58" s="9" t="s">
        <v>4</v>
      </c>
      <c r="V58" s="9" t="s">
        <v>13130</v>
      </c>
      <c r="W58" s="9"/>
      <c r="X58" s="9"/>
      <c r="Y58" s="9"/>
      <c r="Z58" s="9"/>
      <c r="AA58" s="9"/>
      <c r="AB58" s="9"/>
      <c r="AC58" s="9"/>
      <c r="AD58" s="9"/>
      <c r="AE58" s="9"/>
      <c r="AF58" s="9" t="s">
        <v>19</v>
      </c>
    </row>
    <row r="59" spans="1:32" ht="43.5" hidden="1">
      <c r="A59" s="3" t="s">
        <v>3400</v>
      </c>
      <c r="B59" s="3" t="s">
        <v>9075</v>
      </c>
      <c r="C59" s="3" t="s">
        <v>9074</v>
      </c>
      <c r="G59" t="s">
        <v>12707</v>
      </c>
      <c r="H59" s="9" t="s">
        <v>24</v>
      </c>
      <c r="I59" s="9"/>
      <c r="J59" s="9">
        <v>1</v>
      </c>
      <c r="K59" s="9">
        <v>3</v>
      </c>
      <c r="L59" s="9" t="s">
        <v>12094</v>
      </c>
      <c r="M59" s="9" t="s">
        <v>12079</v>
      </c>
      <c r="N59" s="9"/>
      <c r="O59" s="10"/>
      <c r="P59" s="9"/>
      <c r="Q59" s="9">
        <v>1496</v>
      </c>
      <c r="R59" s="9"/>
      <c r="S59" s="9" t="s">
        <v>12795</v>
      </c>
      <c r="T59" s="9" t="s">
        <v>12795</v>
      </c>
      <c r="U59" s="9" t="s">
        <v>4</v>
      </c>
      <c r="V59" s="9" t="s">
        <v>13130</v>
      </c>
      <c r="W59" s="9"/>
      <c r="X59" s="9"/>
      <c r="Y59" s="9"/>
      <c r="Z59" s="9"/>
      <c r="AA59" s="9"/>
      <c r="AB59" s="9"/>
      <c r="AC59" s="9"/>
      <c r="AD59" s="9"/>
      <c r="AE59" s="9"/>
      <c r="AF59" s="9" t="s">
        <v>19</v>
      </c>
    </row>
    <row r="60" spans="1:32" ht="87">
      <c r="A60" s="3" t="s">
        <v>3439</v>
      </c>
      <c r="B60" s="3" t="s">
        <v>9127</v>
      </c>
      <c r="C60" s="3" t="s">
        <v>9126</v>
      </c>
      <c r="G60" t="s">
        <v>12708</v>
      </c>
      <c r="H60" s="9" t="s">
        <v>26</v>
      </c>
      <c r="I60" s="9"/>
      <c r="J60" s="9"/>
      <c r="K60" s="9"/>
      <c r="L60" s="9"/>
      <c r="M60" s="9"/>
      <c r="N60" s="9"/>
      <c r="O60" s="10"/>
      <c r="P60" s="9"/>
      <c r="Q60" s="9"/>
      <c r="R60" s="9"/>
      <c r="S60" s="9" t="s">
        <v>12795</v>
      </c>
      <c r="T60" s="9" t="s">
        <v>12795</v>
      </c>
      <c r="U60" s="9" t="s">
        <v>12117</v>
      </c>
      <c r="V60" s="9" t="s">
        <v>13131</v>
      </c>
      <c r="W60" s="9"/>
      <c r="X60" s="9"/>
      <c r="Y60" s="9"/>
      <c r="Z60" s="9"/>
      <c r="AA60" s="9"/>
      <c r="AB60" s="9"/>
      <c r="AC60" s="9"/>
      <c r="AD60" s="9"/>
      <c r="AE60" s="9"/>
      <c r="AF60" s="9" t="s">
        <v>20</v>
      </c>
    </row>
    <row r="61" spans="1:32" ht="43.5">
      <c r="A61" s="3" t="s">
        <v>3502</v>
      </c>
      <c r="B61" s="3" t="s">
        <v>9233</v>
      </c>
      <c r="C61" s="3" t="s">
        <v>9232</v>
      </c>
      <c r="G61" t="s">
        <v>12709</v>
      </c>
      <c r="H61" s="9" t="s">
        <v>26</v>
      </c>
      <c r="I61" s="9"/>
      <c r="J61" s="9"/>
      <c r="K61" s="9"/>
      <c r="L61" s="9"/>
      <c r="M61" s="9"/>
      <c r="N61" s="9"/>
      <c r="O61" s="10"/>
      <c r="P61" s="9"/>
      <c r="Q61" s="9"/>
      <c r="R61" s="9"/>
      <c r="S61" s="9" t="s">
        <v>12795</v>
      </c>
      <c r="T61" s="9" t="s">
        <v>12795</v>
      </c>
      <c r="U61" s="9" t="s">
        <v>12117</v>
      </c>
      <c r="V61" s="9" t="s">
        <v>13131</v>
      </c>
      <c r="W61" s="9"/>
      <c r="X61" s="9"/>
      <c r="Y61" s="9"/>
      <c r="Z61" s="9"/>
      <c r="AA61" s="9"/>
      <c r="AB61" s="9"/>
      <c r="AC61" s="9"/>
      <c r="AD61" s="9"/>
      <c r="AE61" s="9"/>
      <c r="AF61" s="9" t="s">
        <v>20</v>
      </c>
    </row>
    <row r="62" spans="1:32" ht="43.5">
      <c r="A62" s="3" t="s">
        <v>3535</v>
      </c>
      <c r="B62" s="3" t="s">
        <v>9317</v>
      </c>
      <c r="C62" s="3" t="s">
        <v>9316</v>
      </c>
      <c r="F62" t="s">
        <v>19</v>
      </c>
      <c r="G62" t="s">
        <v>12710</v>
      </c>
      <c r="H62" s="9" t="s">
        <v>25</v>
      </c>
      <c r="I62" s="9"/>
      <c r="J62" s="9">
        <v>1</v>
      </c>
      <c r="K62" s="9">
        <v>2</v>
      </c>
      <c r="L62" s="9" t="s">
        <v>12092</v>
      </c>
      <c r="M62" s="9" t="s">
        <v>12119</v>
      </c>
      <c r="N62" s="9"/>
      <c r="O62" s="10"/>
      <c r="P62" s="9"/>
      <c r="Q62" s="9">
        <v>361</v>
      </c>
      <c r="R62" s="9"/>
      <c r="S62" s="9" t="s">
        <v>12795</v>
      </c>
      <c r="T62" s="9" t="s">
        <v>12795</v>
      </c>
      <c r="U62" s="9" t="s">
        <v>12117</v>
      </c>
      <c r="V62" s="9" t="s">
        <v>13130</v>
      </c>
      <c r="W62" s="9"/>
      <c r="X62" s="9"/>
      <c r="Y62" s="9"/>
      <c r="Z62" s="9"/>
      <c r="AA62" s="9"/>
      <c r="AB62" s="9"/>
      <c r="AC62" s="9"/>
      <c r="AD62" s="9"/>
      <c r="AE62" s="9"/>
      <c r="AF62" s="9" t="s">
        <v>20</v>
      </c>
    </row>
    <row r="63" spans="1:32" ht="87" hidden="1">
      <c r="A63" s="3" t="s">
        <v>3632</v>
      </c>
      <c r="B63" s="3" t="s">
        <v>12927</v>
      </c>
      <c r="C63" s="3" t="s">
        <v>12928</v>
      </c>
      <c r="G63" t="s">
        <v>12712</v>
      </c>
      <c r="H63" s="9" t="s">
        <v>24</v>
      </c>
      <c r="I63" s="9"/>
      <c r="J63" s="9">
        <v>3</v>
      </c>
      <c r="K63" s="9">
        <v>9</v>
      </c>
      <c r="L63" s="9"/>
      <c r="M63" s="9" t="s">
        <v>12079</v>
      </c>
      <c r="N63" s="9"/>
      <c r="O63" s="10"/>
      <c r="P63" s="9"/>
      <c r="Q63" s="9">
        <v>94</v>
      </c>
      <c r="R63" s="9"/>
      <c r="S63" s="9" t="s">
        <v>12795</v>
      </c>
      <c r="T63" s="9" t="s">
        <v>12795</v>
      </c>
      <c r="U63" s="9" t="s">
        <v>12117</v>
      </c>
      <c r="V63" s="9" t="s">
        <v>13130</v>
      </c>
      <c r="W63" s="9"/>
      <c r="X63" s="9"/>
      <c r="Y63" s="9"/>
      <c r="Z63" s="9"/>
      <c r="AA63" s="9"/>
      <c r="AB63" s="9"/>
      <c r="AC63" s="9"/>
      <c r="AD63" s="9"/>
      <c r="AE63" s="9"/>
      <c r="AF63" s="9" t="s">
        <v>19</v>
      </c>
    </row>
    <row r="64" spans="1:32" ht="43.5" hidden="1">
      <c r="A64" s="3" t="s">
        <v>3763</v>
      </c>
      <c r="B64" s="3" t="s">
        <v>9729</v>
      </c>
      <c r="C64" s="3" t="s">
        <v>9728</v>
      </c>
      <c r="G64" t="s">
        <v>12713</v>
      </c>
      <c r="H64" s="9" t="s">
        <v>24</v>
      </c>
      <c r="I64" s="9"/>
      <c r="J64" s="9">
        <v>1</v>
      </c>
      <c r="K64" s="9">
        <v>2</v>
      </c>
      <c r="L64" s="9" t="s">
        <v>12094</v>
      </c>
      <c r="M64" s="9" t="s">
        <v>12119</v>
      </c>
      <c r="N64" s="9"/>
      <c r="O64" s="10"/>
      <c r="P64" s="9"/>
      <c r="Q64" s="9">
        <v>412</v>
      </c>
      <c r="R64" s="9"/>
      <c r="S64" s="9" t="s">
        <v>12795</v>
      </c>
      <c r="T64" s="9" t="s">
        <v>12795</v>
      </c>
      <c r="U64" s="9" t="s">
        <v>4</v>
      </c>
      <c r="V64" s="9" t="s">
        <v>13130</v>
      </c>
      <c r="W64" s="9"/>
      <c r="X64" s="9"/>
      <c r="Y64" s="9"/>
      <c r="Z64" s="9"/>
      <c r="AA64" s="9"/>
      <c r="AB64" s="9"/>
      <c r="AC64" s="9"/>
      <c r="AD64" s="9"/>
      <c r="AE64" s="9"/>
      <c r="AF64" s="9" t="s">
        <v>19</v>
      </c>
    </row>
    <row r="65" spans="1:32" ht="43.5" hidden="1">
      <c r="A65" s="3" t="s">
        <v>4096</v>
      </c>
      <c r="B65" s="3" t="s">
        <v>10482</v>
      </c>
      <c r="C65" s="3" t="s">
        <v>10481</v>
      </c>
      <c r="G65" t="s">
        <v>12726</v>
      </c>
      <c r="H65" s="9" t="s">
        <v>25</v>
      </c>
      <c r="I65" s="9"/>
      <c r="J65" s="9">
        <v>2</v>
      </c>
      <c r="K65" s="9">
        <v>6</v>
      </c>
      <c r="L65" s="9"/>
      <c r="M65" s="9" t="s">
        <v>12079</v>
      </c>
      <c r="N65" s="9"/>
      <c r="O65" s="10"/>
      <c r="P65" s="9"/>
      <c r="Q65" s="9">
        <v>560</v>
      </c>
      <c r="R65" s="9"/>
      <c r="S65" s="9" t="s">
        <v>12795</v>
      </c>
      <c r="T65" s="9" t="s">
        <v>12795</v>
      </c>
      <c r="U65" s="9" t="s">
        <v>12117</v>
      </c>
      <c r="V65" s="9" t="s">
        <v>13130</v>
      </c>
      <c r="W65" s="9"/>
      <c r="X65" s="9"/>
      <c r="Y65" s="9"/>
      <c r="Z65" s="9"/>
      <c r="AA65" s="9"/>
      <c r="AB65" s="9"/>
      <c r="AC65" s="9"/>
      <c r="AD65" s="9"/>
      <c r="AE65" s="9"/>
      <c r="AF65" s="9" t="s">
        <v>19</v>
      </c>
    </row>
    <row r="66" spans="1:32" ht="29">
      <c r="A66" s="3" t="s">
        <v>4653</v>
      </c>
      <c r="B66" s="3" t="s">
        <v>11815</v>
      </c>
      <c r="C66" s="3" t="s">
        <v>11814</v>
      </c>
      <c r="G66" t="s">
        <v>12736</v>
      </c>
      <c r="H66" s="9" t="s">
        <v>24</v>
      </c>
      <c r="I66" s="9"/>
      <c r="J66" s="9">
        <v>1</v>
      </c>
      <c r="K66" s="9">
        <v>2</v>
      </c>
      <c r="L66" s="9" t="s">
        <v>12087</v>
      </c>
      <c r="M66" s="9" t="s">
        <v>12119</v>
      </c>
      <c r="N66" s="9"/>
      <c r="O66" s="10"/>
      <c r="P66" s="9"/>
      <c r="Q66" s="9">
        <v>166</v>
      </c>
      <c r="R66" s="9"/>
      <c r="S66" s="9" t="s">
        <v>12795</v>
      </c>
      <c r="T66" s="9" t="s">
        <v>12795</v>
      </c>
      <c r="U66" s="9" t="s">
        <v>4</v>
      </c>
      <c r="V66" s="9" t="s">
        <v>13130</v>
      </c>
      <c r="W66" s="9"/>
      <c r="X66" s="9"/>
      <c r="Y66" s="9"/>
      <c r="Z66" s="9"/>
      <c r="AA66" s="9"/>
      <c r="AB66" s="9"/>
      <c r="AC66" s="9"/>
      <c r="AD66" s="9"/>
      <c r="AE66" s="9"/>
      <c r="AF66" s="9" t="s">
        <v>20</v>
      </c>
    </row>
    <row r="69" spans="1:32">
      <c r="D69" t="s">
        <v>12821</v>
      </c>
      <c r="E69">
        <f>COUNTIF(U:U, "Harmonizing")</f>
        <v>17</v>
      </c>
    </row>
    <row r="70" spans="1:32">
      <c r="D70" t="s">
        <v>12822</v>
      </c>
      <c r="E70">
        <f>COUNTIF(U:U, "Disharmonizing")</f>
        <v>48</v>
      </c>
    </row>
    <row r="71" spans="1:32">
      <c r="D71" t="s">
        <v>12823</v>
      </c>
      <c r="E71">
        <f>E69/(E69+E70)</f>
        <v>0.26153846153846155</v>
      </c>
    </row>
    <row r="74" spans="1:32">
      <c r="E74" s="22" t="s">
        <v>13135</v>
      </c>
      <c r="F74" s="22"/>
      <c r="G74" s="22"/>
      <c r="H74" s="22"/>
    </row>
    <row r="75" spans="1:32">
      <c r="E75" t="s">
        <v>13136</v>
      </c>
      <c r="F75" t="s">
        <v>13137</v>
      </c>
      <c r="G75" t="s">
        <v>13138</v>
      </c>
      <c r="H75" t="s">
        <v>13139</v>
      </c>
      <c r="I75" t="s">
        <v>13132</v>
      </c>
      <c r="J75" t="s">
        <v>12782</v>
      </c>
    </row>
    <row r="76" spans="1:32">
      <c r="D76" t="s">
        <v>12821</v>
      </c>
      <c r="E76">
        <f>COUNTIFS($U$2:$U$66,"Harmonizing",$V$2:$V$66,"forward")</f>
        <v>10</v>
      </c>
      <c r="F76">
        <f>COUNTIFS($U$2:$U$66,"Harmonizing",$V$2:$V$66,"forward") + COUNTIFS($U$2:$U$66,"Harmonizing",$V$2:$V$66,"both")</f>
        <v>12</v>
      </c>
      <c r="G76">
        <f>COUNTIFS($U$2:$U$66,"Harmonizing",$V$2:$V$66,"backward")</f>
        <v>5</v>
      </c>
      <c r="H76">
        <f>COUNTIFS($U$2:$U$66,"Harmonizing",$V$2:$V$66,"backward") + COUNTIFS($U$2:$U$66,"Harmonizing",$V$2:$V$66,"both")</f>
        <v>7</v>
      </c>
      <c r="I76">
        <f>COUNTIFS($U$2:$U$66,"Harmonizing",$V$2:$V$66,"both")</f>
        <v>2</v>
      </c>
      <c r="J76">
        <f>COUNTIFS($U$2:$U$66,"Harmonizing",$V$2:$V$66,"both") + COUNTIFS($U$2:$U$66,"Harmonizing",$V$2:$V$66,"forward") + COUNTIFS($U$2:$U$66,"Harmonizing",$V$2:$V$66,"backward")</f>
        <v>17</v>
      </c>
    </row>
    <row r="77" spans="1:32">
      <c r="D77" t="s">
        <v>12822</v>
      </c>
      <c r="E77">
        <f>COUNTIFS($U$2:$U$66,"Disharmonizing",$V$2:$V$66,"forward")</f>
        <v>21</v>
      </c>
      <c r="F77">
        <f>COUNTIFS($U$2:$U$66,"Disharmonizing",$V$2:$V$66,"forward") + COUNTIFS($U$2:$U$66,"Disharmonizing",$V$2:$V$66,"both")</f>
        <v>26</v>
      </c>
      <c r="G77">
        <f>COUNTIFS($U$2:$U$66,"Disharmonizing",$V$2:$V$66,"backward")</f>
        <v>22</v>
      </c>
      <c r="H77">
        <f>COUNTIFS($U$2:$U$66,"Disharmonizing",$V$2:$V$66,"backward") + COUNTIFS($U$2:$U$66,"Disharmonizing",$V$2:$V$66,"both")</f>
        <v>27</v>
      </c>
      <c r="I77">
        <f>COUNTIFS($U$2:$U$66,"Disharmonizing",$V$2:$V$66,"both")</f>
        <v>5</v>
      </c>
      <c r="J77">
        <f>COUNTIFS($U$2:$U$66,"Disharmonizing",$V$2:$V$66,"both") + COUNTIFS($U$2:$U$66,"Disharmonizing",$V$2:$V$66,"forward") + COUNTIFS($U$2:$U$66,"Disharmonizing",$V$2:$V$66,"backward")</f>
        <v>48</v>
      </c>
    </row>
    <row r="78" spans="1:32">
      <c r="D78" t="s">
        <v>12823</v>
      </c>
      <c r="E78">
        <f t="shared" ref="E78:G78" si="0">E76/(E76+E77)</f>
        <v>0.32258064516129031</v>
      </c>
      <c r="F78">
        <f t="shared" si="0"/>
        <v>0.31578947368421051</v>
      </c>
      <c r="G78">
        <f t="shared" si="0"/>
        <v>0.18518518518518517</v>
      </c>
      <c r="H78">
        <f t="shared" ref="H78:J78" si="1">H76/(H76+H77)</f>
        <v>0.20588235294117646</v>
      </c>
      <c r="I78">
        <f t="shared" si="1"/>
        <v>0.2857142857142857</v>
      </c>
      <c r="J78">
        <f t="shared" si="1"/>
        <v>0.26153846153846155</v>
      </c>
    </row>
  </sheetData>
  <autoFilter ref="A1:AF66" xr:uid="{3DDEDCE8-CFD2-4B48-AA07-83C1BA519A4B}">
    <filterColumn colId="31">
      <filters>
        <filter val="No"/>
        <filter val="Partial"/>
      </filters>
    </filterColumn>
  </autoFilter>
  <mergeCells count="1">
    <mergeCell ref="E74:H74"/>
  </mergeCells>
  <conditionalFormatting sqref="H2:H66">
    <cfRule type="expression" dxfId="188" priority="6">
      <formula>$J2&lt;&gt;""</formula>
    </cfRule>
    <cfRule type="expression" dxfId="187" priority="7">
      <formula>$J2=""</formula>
    </cfRule>
  </conditionalFormatting>
  <conditionalFormatting sqref="I2:M66 P2:Q66">
    <cfRule type="expression" dxfId="186" priority="15">
      <formula>AND($J2&lt;&gt;"Addition",$J2&lt;&gt;"Omission",$J2&lt;&gt;"Substitution - Word")</formula>
    </cfRule>
  </conditionalFormatting>
  <conditionalFormatting sqref="I2:Q66">
    <cfRule type="expression" dxfId="185" priority="25">
      <formula>AND(OR($J2="Addition",$J2="Omission"), I2&lt;&gt;"")</formula>
    </cfRule>
  </conditionalFormatting>
  <conditionalFormatting sqref="L2:L66">
    <cfRule type="expression" dxfId="184" priority="12">
      <formula>AND($L2&lt;&gt;"",$L2&gt;1)</formula>
    </cfRule>
  </conditionalFormatting>
  <conditionalFormatting sqref="N2:O66">
    <cfRule type="expression" dxfId="183" priority="8">
      <formula>$O2="Absent"</formula>
    </cfRule>
    <cfRule type="expression" dxfId="182" priority="9">
      <formula>$O2="NA"</formula>
    </cfRule>
    <cfRule type="expression" dxfId="181" priority="10">
      <formula>AND(OR($J2="Addition",$J2="Omission"), N2="")</formula>
    </cfRule>
    <cfRule type="expression" dxfId="180" priority="11">
      <formula>AND($J2&lt;&gt;"Addition",$J2&lt;&gt;"Omission")</formula>
    </cfRule>
  </conditionalFormatting>
  <conditionalFormatting sqref="P2:P66">
    <cfRule type="expression" dxfId="179" priority="13">
      <formula>OR($J2="Addition",$J2="Omission",$J2 = "Substitution - Word")</formula>
    </cfRule>
  </conditionalFormatting>
  <conditionalFormatting sqref="P2:Q66 I2:M66">
    <cfRule type="expression" dxfId="178" priority="14">
      <formula>AND(OR($J2="Addition",$J2="Omission"), I2="")</formula>
    </cfRule>
  </conditionalFormatting>
  <conditionalFormatting sqref="R2:T66">
    <cfRule type="expression" dxfId="177" priority="22">
      <formula>AND(AND(LEFT($J2,3)="Sub", RIGHT($J2,4)&lt;&gt;"Form"),$T2&lt;&gt;"")</formula>
    </cfRule>
    <cfRule type="expression" dxfId="176" priority="23">
      <formula>AND(AND(LEFT($J2,3)="Sub", RIGHT($J2,4)&lt;&gt;"Form"),$T2="")</formula>
    </cfRule>
    <cfRule type="expression" dxfId="175" priority="24">
      <formula>"&lt;&gt;AND(LEFT($J2,3)=""Sub"", RIGHT($J2,4)&lt;&gt;""Form"")"</formula>
    </cfRule>
  </conditionalFormatting>
  <conditionalFormatting sqref="S2:T66">
    <cfRule type="expression" dxfId="174" priority="3">
      <formula>AND(AND(LEFT($J2,3)="Sub", RIGHT($J2,4)&lt;&gt;"Form"),$T2&lt;&gt;"")</formula>
    </cfRule>
    <cfRule type="expression" dxfId="173" priority="4">
      <formula>AND(AND(LEFT($J2,3)="Sub", RIGHT($J2,4)&lt;&gt;"Form"),$T2="")</formula>
    </cfRule>
    <cfRule type="expression" dxfId="172" priority="5">
      <formula>"&lt;&gt;AND(LEFT($J2,3)=""Sub"", RIGHT($J2,4)&lt;&gt;""Form"")"</formula>
    </cfRule>
  </conditionalFormatting>
  <conditionalFormatting sqref="U2:V66">
    <cfRule type="expression" dxfId="171" priority="17">
      <formula>AND($X2&lt;&gt;"",OR($AE2="Yes",$AF2&lt;&gt;""))</formula>
    </cfRule>
    <cfRule type="expression" dxfId="170" priority="18">
      <formula>OR($AE2="Yes",$AF2&lt;&gt;"")</formula>
    </cfRule>
    <cfRule type="expression" dxfId="169" priority="28">
      <formula>AND($AE2&lt;&gt;"Yes",$AF2="")</formula>
    </cfRule>
  </conditionalFormatting>
  <conditionalFormatting sqref="U2:AE66">
    <cfRule type="expression" dxfId="168" priority="26">
      <formula>AND($J2&lt;&gt;"",$J2&lt;&gt;"Unclear due to correction")</formula>
    </cfRule>
    <cfRule type="expression" dxfId="167" priority="27">
      <formula>OR($J2="",$J2="Unclear due to correction")</formula>
    </cfRule>
  </conditionalFormatting>
  <conditionalFormatting sqref="W2:W66">
    <cfRule type="expression" dxfId="166" priority="16">
      <formula>AND($J2&lt;&gt;"",$J2&lt;&gt;"Unclear due to correction",$Y2="")</formula>
    </cfRule>
  </conditionalFormatting>
  <conditionalFormatting sqref="X2:X66">
    <cfRule type="expression" dxfId="165" priority="19">
      <formula>AND($Y2="Yes",$Z2="")</formula>
    </cfRule>
    <cfRule type="expression" dxfId="164" priority="20">
      <formula>$Y2=""</formula>
    </cfRule>
  </conditionalFormatting>
  <conditionalFormatting sqref="AC2:AC66">
    <cfRule type="expression" dxfId="163" priority="21">
      <formula>AND(OR($AC2&lt;&gt;"",$AD2&lt;&gt;""),$AE2="")</formula>
    </cfRule>
  </conditionalFormatting>
  <conditionalFormatting sqref="AF2:AF66">
    <cfRule type="expression" dxfId="162" priority="1">
      <formula>AND($J2&lt;&gt;"",$J2&lt;&gt;"Unclear due to correction")</formula>
    </cfRule>
    <cfRule type="expression" dxfId="161" priority="2">
      <formula>OR($J2="",$J2="Unclear due to correction")</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18">
        <x14:dataValidation type="list" allowBlank="1" showInputMessage="1" showErrorMessage="1" xr:uid="{1262EA9A-BECB-4FBF-9088-BEB2B288F9EE}">
          <x14:formula1>
            <xm:f>'Data Regularization'!$C$2:$C$29</xm:f>
          </x14:formula1>
          <xm:sqref>F2:F66</xm:sqref>
        </x14:dataValidation>
        <x14:dataValidation type="list" allowBlank="1" showInputMessage="1" showErrorMessage="1" xr:uid="{334648D6-42EC-4636-A5F9-418CAE2D2C02}">
          <x14:formula1>
            <xm:f>'Data Regularization'!$B$2:$B$1048576</xm:f>
          </x14:formula1>
          <xm:sqref>E2:E66</xm:sqref>
        </x14:dataValidation>
        <x14:dataValidation type="list" allowBlank="1" showInputMessage="1" showErrorMessage="1" xr:uid="{A3A13924-6DA4-4CD1-A61B-85C04805CD68}">
          <x14:formula1>
            <xm:f>'Data Regularization'!$A$2:$A$1048576</xm:f>
          </x14:formula1>
          <xm:sqref>D2:D66</xm:sqref>
        </x14:dataValidation>
        <x14:dataValidation type="list" allowBlank="1" showInputMessage="1" showErrorMessage="1" xr:uid="{16CEAFFB-3315-494C-BC3F-B36E1F67F389}">
          <x14:formula1>
            <xm:f>'Data Regularization'!$E$2:$E$1048576</xm:f>
          </x14:formula1>
          <xm:sqref>L2:L66</xm:sqref>
        </x14:dataValidation>
        <x14:dataValidation type="list" allowBlank="1" showInputMessage="1" showErrorMessage="1" xr:uid="{85BB6730-769C-4834-A7E0-75F1CE232461}">
          <x14:formula1>
            <xm:f>'Data Regularization'!$F$2:$F$1048576</xm:f>
          </x14:formula1>
          <xm:sqref>M2:M66</xm:sqref>
        </x14:dataValidation>
        <x14:dataValidation type="list" allowBlank="1" showInputMessage="1" showErrorMessage="1" xr:uid="{07F6DC49-6730-4422-8D06-857C0A503588}">
          <x14:formula1>
            <xm:f>'Data Regularization'!$G$2:$G$1048576</xm:f>
          </x14:formula1>
          <xm:sqref>P2:P66</xm:sqref>
        </x14:dataValidation>
        <x14:dataValidation type="list" allowBlank="1" showInputMessage="1" showErrorMessage="1" xr:uid="{ACEEB1EC-6F73-4D39-AC8F-84BD7B495B5C}">
          <x14:formula1>
            <xm:f>'Data Regularization'!$K$2:$K$1048576</xm:f>
          </x14:formula1>
          <xm:sqref>X2:X66</xm:sqref>
        </x14:dataValidation>
        <x14:dataValidation type="list" allowBlank="1" showInputMessage="1" showErrorMessage="1" xr:uid="{2868F930-44D4-4312-A7DF-2D2C4690D4E3}">
          <x14:formula1>
            <xm:f>'Data Regularization'!$L$2:$L$1048576</xm:f>
          </x14:formula1>
          <xm:sqref>Y2:Y66</xm:sqref>
        </x14:dataValidation>
        <x14:dataValidation type="list" allowBlank="1" showInputMessage="1" showErrorMessage="1" xr:uid="{7CF0FA2E-BE18-4407-93F5-A719E488F1CE}">
          <x14:formula1>
            <xm:f>'Data Regularization'!$N$2:$N$1048576</xm:f>
          </x14:formula1>
          <xm:sqref>Z2:Z66</xm:sqref>
        </x14:dataValidation>
        <x14:dataValidation type="list" allowBlank="1" showInputMessage="1" showErrorMessage="1" xr:uid="{960817B6-78B3-48FB-ACB6-BD665116F878}">
          <x14:formula1>
            <xm:f>'Data Regularization'!$O$2:$O$1048576</xm:f>
          </x14:formula1>
          <xm:sqref>AA2:AA66</xm:sqref>
        </x14:dataValidation>
        <x14:dataValidation type="list" allowBlank="1" showInputMessage="1" showErrorMessage="1" xr:uid="{44D8BFAE-8A8A-4DA1-9E99-A7F03C2DDDFC}">
          <x14:formula1>
            <xm:f>'Data Regularization'!$P$2:$P$1048576</xm:f>
          </x14:formula1>
          <xm:sqref>AC2:AC66</xm:sqref>
        </x14:dataValidation>
        <x14:dataValidation type="list" allowBlank="1" showInputMessage="1" showErrorMessage="1" xr:uid="{2ACC0AC2-FF35-4658-A425-ACFF7A63D959}">
          <x14:formula1>
            <xm:f>'Data Regularization'!$Q$2:$Q$1048576</xm:f>
          </x14:formula1>
          <xm:sqref>AD2:AD66</xm:sqref>
        </x14:dataValidation>
        <x14:dataValidation type="list" allowBlank="1" showInputMessage="1" showErrorMessage="1" xr:uid="{4D49522F-B738-424D-B71D-6536380DEA94}">
          <x14:formula1>
            <xm:f>'Data Regularization'!$H$2:$H$1048576</xm:f>
          </x14:formula1>
          <xm:sqref>U2:U66</xm:sqref>
        </x14:dataValidation>
        <x14:dataValidation type="list" allowBlank="1" showInputMessage="1" xr:uid="{9C06AD87-B8D8-453F-B8FD-3331D0D49E08}">
          <x14:formula1>
            <xm:f>'Data Regularization'!$J$2:$J$1048576</xm:f>
          </x14:formula1>
          <xm:sqref>W2:W66</xm:sqref>
        </x14:dataValidation>
        <x14:dataValidation type="list" allowBlank="1" showInputMessage="1" showErrorMessage="1" xr:uid="{D0B33744-42DE-4949-BE97-8BE57BEF57C9}">
          <x14:formula1>
            <xm:f>'Data Regularization'!$R$2:$R$1048576</xm:f>
          </x14:formula1>
          <xm:sqref>AE2:AE66</xm:sqref>
        </x14:dataValidation>
        <x14:dataValidation type="list" allowBlank="1" showInputMessage="1" showErrorMessage="1" xr:uid="{F4A06A40-9B19-4853-95E0-EBC3938AA80B}">
          <x14:formula1>
            <xm:f>'Data Regularization'!$D$2:$D$1048576</xm:f>
          </x14:formula1>
          <xm:sqref>H1:H66</xm:sqref>
        </x14:dataValidation>
        <x14:dataValidation type="list" allowBlank="1" showInputMessage="1" showErrorMessage="1" xr:uid="{7BDBE2CC-AFA7-4B23-A988-200380A7674A}">
          <x14:formula1>
            <xm:f>'Data Regularization'!$I$2:$I$5</xm:f>
          </x14:formula1>
          <xm:sqref>V2:V66</xm:sqref>
        </x14:dataValidation>
        <x14:dataValidation type="list" allowBlank="1" showInputMessage="1" showErrorMessage="1" xr:uid="{1D87EBA7-EB39-4515-B835-9B631EB55B06}">
          <x14:formula1>
            <xm:f>'Data Regularization'!$S$2:$S$5</xm:f>
          </x14:formula1>
          <xm:sqref>AF2:AF66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B209-BA7F-457E-AB52-00FFE7B0BC44}">
  <dimension ref="A1:AD848"/>
  <sheetViews>
    <sheetView topLeftCell="A846" workbookViewId="0">
      <selection activeCell="A848" sqref="A848"/>
    </sheetView>
  </sheetViews>
  <sheetFormatPr defaultRowHeight="14.5"/>
  <sheetData>
    <row r="1" spans="1:30"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12112</v>
      </c>
      <c r="U1" s="1" t="s">
        <v>12113</v>
      </c>
      <c r="V1" s="1" t="s">
        <v>12114</v>
      </c>
      <c r="W1" s="1" t="s">
        <v>12068</v>
      </c>
      <c r="X1" s="1" t="s">
        <v>12069</v>
      </c>
      <c r="Y1" s="1" t="s">
        <v>12070</v>
      </c>
      <c r="Z1" s="1" t="s">
        <v>12111</v>
      </c>
      <c r="AA1" s="1" t="s">
        <v>12115</v>
      </c>
      <c r="AB1" s="1" t="s">
        <v>12071</v>
      </c>
      <c r="AC1" s="1" t="s">
        <v>12116</v>
      </c>
      <c r="AD1" s="1" t="s">
        <v>13140</v>
      </c>
    </row>
    <row r="2" spans="1:30" ht="29">
      <c r="A2" s="3" t="s">
        <v>89</v>
      </c>
      <c r="B2" s="3" t="s">
        <v>4778</v>
      </c>
      <c r="C2" s="3" t="s">
        <v>4779</v>
      </c>
      <c r="G2" s="9" t="s">
        <v>12118</v>
      </c>
      <c r="H2" s="9"/>
      <c r="I2" s="9"/>
      <c r="J2" s="9"/>
      <c r="K2" s="9"/>
      <c r="L2" s="9"/>
      <c r="M2" s="9"/>
      <c r="N2" s="10"/>
      <c r="O2" s="9"/>
      <c r="P2" s="9"/>
      <c r="Q2" s="9">
        <v>103</v>
      </c>
      <c r="R2" s="9">
        <v>93</v>
      </c>
      <c r="S2" s="9">
        <v>196</v>
      </c>
      <c r="T2" s="9" t="s">
        <v>12117</v>
      </c>
      <c r="U2" s="9"/>
      <c r="V2" s="9"/>
      <c r="W2" s="9"/>
      <c r="X2" s="9"/>
      <c r="Y2" s="9"/>
      <c r="Z2" s="9"/>
      <c r="AA2" s="9"/>
      <c r="AB2" s="9"/>
      <c r="AC2" s="9"/>
      <c r="AD2" s="9" t="s">
        <v>20</v>
      </c>
    </row>
    <row r="3" spans="1:30" ht="43.5">
      <c r="A3" s="3" t="s">
        <v>100</v>
      </c>
      <c r="B3" s="3" t="s">
        <v>4792</v>
      </c>
      <c r="C3" s="3" t="s">
        <v>4793</v>
      </c>
      <c r="G3" s="9" t="s">
        <v>12120</v>
      </c>
      <c r="H3" s="9"/>
      <c r="I3" s="9"/>
      <c r="J3" s="9"/>
      <c r="K3" s="9"/>
      <c r="L3" s="9"/>
      <c r="M3" s="9"/>
      <c r="N3" s="10"/>
      <c r="O3" s="9"/>
      <c r="P3" s="9"/>
      <c r="Q3" s="9"/>
      <c r="R3" s="9" t="s">
        <v>12795</v>
      </c>
      <c r="S3" s="9" t="s">
        <v>12795</v>
      </c>
      <c r="T3" s="9"/>
      <c r="U3" s="9"/>
      <c r="V3" s="9"/>
      <c r="W3" s="9"/>
      <c r="X3" s="9"/>
      <c r="Y3" s="9"/>
      <c r="Z3" s="9"/>
      <c r="AA3" s="9"/>
      <c r="AB3" s="9"/>
      <c r="AC3" s="9"/>
      <c r="AD3" s="9" t="s">
        <v>20</v>
      </c>
    </row>
    <row r="4" spans="1:30" ht="43.5">
      <c r="A4" s="3" t="s">
        <v>108</v>
      </c>
      <c r="B4" s="3" t="s">
        <v>4804</v>
      </c>
      <c r="C4" s="3" t="s">
        <v>4805</v>
      </c>
      <c r="F4" t="s">
        <v>19</v>
      </c>
      <c r="G4" s="9" t="s">
        <v>25</v>
      </c>
      <c r="H4" s="9"/>
      <c r="I4" s="9">
        <v>1</v>
      </c>
      <c r="J4" s="9">
        <v>2</v>
      </c>
      <c r="K4" s="9" t="s">
        <v>12078</v>
      </c>
      <c r="L4" s="9" t="s">
        <v>12119</v>
      </c>
      <c r="M4" s="9"/>
      <c r="N4" s="10"/>
      <c r="O4" s="9"/>
      <c r="P4" s="9">
        <v>11843</v>
      </c>
      <c r="Q4" s="9"/>
      <c r="R4" s="9" t="s">
        <v>12795</v>
      </c>
      <c r="S4" s="9" t="s">
        <v>12795</v>
      </c>
      <c r="T4" s="9"/>
      <c r="U4" s="9"/>
      <c r="V4" s="9"/>
      <c r="W4" s="9"/>
      <c r="X4" s="9"/>
      <c r="Y4" s="9"/>
      <c r="Z4" s="9"/>
      <c r="AA4" s="9"/>
      <c r="AB4" s="9"/>
      <c r="AC4" s="9"/>
      <c r="AD4" s="9" t="s">
        <v>20</v>
      </c>
    </row>
    <row r="5" spans="1:30" ht="58">
      <c r="A5" s="3" t="s">
        <v>140</v>
      </c>
      <c r="B5" s="3" t="s">
        <v>4824</v>
      </c>
      <c r="C5" s="3" t="s">
        <v>4825</v>
      </c>
      <c r="F5" t="s">
        <v>19</v>
      </c>
      <c r="G5" s="9" t="s">
        <v>12120</v>
      </c>
      <c r="H5" s="9"/>
      <c r="I5" s="9"/>
      <c r="J5" s="9"/>
      <c r="K5" s="9"/>
      <c r="L5" s="9"/>
      <c r="M5" s="9"/>
      <c r="N5" s="10"/>
      <c r="O5" s="9"/>
      <c r="P5" s="9"/>
      <c r="Q5" s="9"/>
      <c r="R5" s="9" t="s">
        <v>12795</v>
      </c>
      <c r="S5" s="9" t="s">
        <v>12795</v>
      </c>
      <c r="T5" s="9"/>
      <c r="U5" s="9"/>
      <c r="V5" s="9"/>
      <c r="W5" s="9"/>
      <c r="X5" s="9"/>
      <c r="Y5" s="9"/>
      <c r="Z5" s="9"/>
      <c r="AA5" s="9"/>
      <c r="AB5" s="9"/>
      <c r="AC5" s="9"/>
      <c r="AD5" s="9" t="s">
        <v>20</v>
      </c>
    </row>
    <row r="6" spans="1:30" ht="116">
      <c r="A6" s="3" t="s">
        <v>142</v>
      </c>
      <c r="B6" s="3" t="s">
        <v>4828</v>
      </c>
      <c r="C6" s="3" t="s">
        <v>12959</v>
      </c>
      <c r="G6" s="9" t="s">
        <v>25</v>
      </c>
      <c r="H6" s="9"/>
      <c r="I6" s="9">
        <v>4</v>
      </c>
      <c r="J6" s="9">
        <v>20</v>
      </c>
      <c r="K6" s="9"/>
      <c r="L6" s="9" t="s">
        <v>12073</v>
      </c>
      <c r="M6" s="9" t="s">
        <v>12135</v>
      </c>
      <c r="N6" s="10" t="s">
        <v>12136</v>
      </c>
      <c r="O6" s="9"/>
      <c r="P6" s="9">
        <v>507</v>
      </c>
      <c r="Q6" s="9"/>
      <c r="R6" s="9" t="s">
        <v>12795</v>
      </c>
      <c r="S6" s="9" t="s">
        <v>12795</v>
      </c>
      <c r="T6" s="9"/>
      <c r="U6" s="9"/>
      <c r="V6" s="9"/>
      <c r="W6" s="9"/>
      <c r="X6" s="9"/>
      <c r="Y6" s="9"/>
      <c r="Z6" s="9"/>
      <c r="AA6" s="9"/>
      <c r="AB6" s="9"/>
      <c r="AC6" s="9"/>
      <c r="AD6" s="9" t="s">
        <v>20</v>
      </c>
    </row>
    <row r="7" spans="1:30" ht="43.5">
      <c r="A7" s="3" t="s">
        <v>148</v>
      </c>
      <c r="B7" s="3" t="s">
        <v>4831</v>
      </c>
      <c r="C7" s="3" t="s">
        <v>4832</v>
      </c>
      <c r="G7" s="9" t="s">
        <v>25</v>
      </c>
      <c r="H7" s="9"/>
      <c r="I7" s="9">
        <v>1</v>
      </c>
      <c r="J7" s="9">
        <v>3</v>
      </c>
      <c r="K7" s="9" t="s">
        <v>12078</v>
      </c>
      <c r="L7" s="9" t="s">
        <v>12079</v>
      </c>
      <c r="M7" s="9"/>
      <c r="N7" s="10"/>
      <c r="O7" s="9"/>
      <c r="P7" s="9">
        <v>11843</v>
      </c>
      <c r="Q7" s="9"/>
      <c r="R7" s="9" t="s">
        <v>12795</v>
      </c>
      <c r="S7" s="9" t="s">
        <v>12795</v>
      </c>
      <c r="T7" s="9"/>
      <c r="U7" s="9"/>
      <c r="V7" s="9"/>
      <c r="W7" s="9"/>
      <c r="X7" s="9"/>
      <c r="Y7" s="9"/>
      <c r="Z7" s="9"/>
      <c r="AA7" s="9"/>
      <c r="AB7" s="9"/>
      <c r="AC7" s="9"/>
      <c r="AD7" s="9" t="s">
        <v>20</v>
      </c>
    </row>
    <row r="8" spans="1:30" ht="101.5">
      <c r="A8" s="3" t="s">
        <v>173</v>
      </c>
      <c r="B8" s="3" t="s">
        <v>12634</v>
      </c>
      <c r="C8" s="3" t="s">
        <v>12635</v>
      </c>
      <c r="G8" s="9" t="s">
        <v>25</v>
      </c>
      <c r="H8" s="9"/>
      <c r="I8" s="9">
        <v>2</v>
      </c>
      <c r="J8" s="9">
        <v>15</v>
      </c>
      <c r="K8" s="9"/>
      <c r="L8" s="9" t="s">
        <v>12073</v>
      </c>
      <c r="M8" s="9" t="s">
        <v>12140</v>
      </c>
      <c r="N8" s="10" t="s">
        <v>12137</v>
      </c>
      <c r="O8" s="9"/>
      <c r="P8" s="9">
        <v>83</v>
      </c>
      <c r="Q8" s="9"/>
      <c r="R8" s="9" t="s">
        <v>12795</v>
      </c>
      <c r="S8" s="9" t="s">
        <v>12795</v>
      </c>
      <c r="T8" s="9"/>
      <c r="U8" s="9"/>
      <c r="V8" s="9"/>
      <c r="W8" s="9"/>
      <c r="X8" s="9"/>
      <c r="Y8" s="9"/>
      <c r="Z8" s="9"/>
      <c r="AA8" s="9"/>
      <c r="AB8" s="9"/>
      <c r="AC8" s="9"/>
      <c r="AD8" s="9" t="s">
        <v>20</v>
      </c>
    </row>
    <row r="9" spans="1:30" ht="130.5">
      <c r="A9" s="3" t="s">
        <v>177</v>
      </c>
      <c r="B9" s="3" t="s">
        <v>4849</v>
      </c>
      <c r="C9" s="3" t="s">
        <v>4850</v>
      </c>
      <c r="G9" s="9" t="s">
        <v>26</v>
      </c>
      <c r="H9" s="9"/>
      <c r="I9" s="9"/>
      <c r="J9" s="9"/>
      <c r="K9" s="9"/>
      <c r="L9" s="9"/>
      <c r="M9" s="9"/>
      <c r="N9" s="10"/>
      <c r="O9" s="9"/>
      <c r="P9" s="9"/>
      <c r="Q9" s="9"/>
      <c r="R9" s="9" t="s">
        <v>12795</v>
      </c>
      <c r="S9" s="9" t="s">
        <v>12795</v>
      </c>
      <c r="T9" s="9"/>
      <c r="U9" s="9"/>
      <c r="V9" s="9"/>
      <c r="W9" s="9"/>
      <c r="X9" s="9"/>
      <c r="Y9" s="9"/>
      <c r="Z9" s="9"/>
      <c r="AA9" s="9"/>
      <c r="AB9" s="9"/>
      <c r="AC9" s="9"/>
      <c r="AD9" s="9" t="s">
        <v>20</v>
      </c>
    </row>
    <row r="10" spans="1:30" ht="58">
      <c r="A10" s="3" t="s">
        <v>188</v>
      </c>
      <c r="B10" s="3" t="s">
        <v>4857</v>
      </c>
      <c r="C10" s="3" t="s">
        <v>4858</v>
      </c>
      <c r="F10" t="s">
        <v>19</v>
      </c>
      <c r="G10" s="9" t="s">
        <v>25</v>
      </c>
      <c r="H10" s="9"/>
      <c r="I10" s="9">
        <v>1</v>
      </c>
      <c r="J10" s="9">
        <v>4</v>
      </c>
      <c r="K10" s="9" t="s">
        <v>12078</v>
      </c>
      <c r="L10" s="9" t="s">
        <v>12079</v>
      </c>
      <c r="M10" s="9"/>
      <c r="N10" s="10"/>
      <c r="O10" s="9"/>
      <c r="P10" s="9">
        <v>11843</v>
      </c>
      <c r="Q10" s="9"/>
      <c r="R10" s="9" t="s">
        <v>12795</v>
      </c>
      <c r="S10" s="9" t="s">
        <v>12795</v>
      </c>
      <c r="T10" s="9"/>
      <c r="U10" s="9"/>
      <c r="V10" s="9"/>
      <c r="W10" s="9"/>
      <c r="X10" s="9"/>
      <c r="Y10" s="9"/>
      <c r="Z10" s="9"/>
      <c r="AA10" s="9"/>
      <c r="AB10" s="9"/>
      <c r="AC10" s="9"/>
      <c r="AD10" s="9" t="s">
        <v>20</v>
      </c>
    </row>
    <row r="11" spans="1:30" ht="43.5">
      <c r="A11" s="3" t="s">
        <v>200</v>
      </c>
      <c r="B11" s="3" t="s">
        <v>4869</v>
      </c>
      <c r="C11" s="3" t="s">
        <v>4870</v>
      </c>
      <c r="G11" s="9" t="s">
        <v>26</v>
      </c>
      <c r="H11" s="9"/>
      <c r="I11" s="9">
        <v>1</v>
      </c>
      <c r="J11" s="9">
        <v>2</v>
      </c>
      <c r="K11" s="9" t="s">
        <v>12123</v>
      </c>
      <c r="L11" s="9" t="s">
        <v>12119</v>
      </c>
      <c r="M11" s="9"/>
      <c r="N11" s="10"/>
      <c r="O11" s="9"/>
      <c r="P11" s="9">
        <v>134</v>
      </c>
      <c r="Q11" s="9"/>
      <c r="R11" s="9" t="s">
        <v>12795</v>
      </c>
      <c r="S11" s="9" t="s">
        <v>12795</v>
      </c>
      <c r="T11" s="9"/>
      <c r="U11" s="9"/>
      <c r="V11" s="9"/>
      <c r="W11" s="9"/>
      <c r="X11" s="9"/>
      <c r="Y11" s="9"/>
      <c r="Z11" s="9"/>
      <c r="AA11" s="9"/>
      <c r="AB11" s="9"/>
      <c r="AC11" s="9"/>
      <c r="AD11" s="9" t="s">
        <v>20</v>
      </c>
    </row>
    <row r="12" spans="1:30" ht="29">
      <c r="A12" s="3" t="s">
        <v>201</v>
      </c>
      <c r="B12" s="3" t="s">
        <v>4871</v>
      </c>
      <c r="C12" s="3" t="s">
        <v>4872</v>
      </c>
      <c r="E12" t="s">
        <v>20</v>
      </c>
      <c r="G12" s="9" t="s">
        <v>24</v>
      </c>
      <c r="H12" s="9"/>
      <c r="I12" s="9">
        <v>1</v>
      </c>
      <c r="J12" s="9">
        <v>2</v>
      </c>
      <c r="K12" s="9" t="s">
        <v>12087</v>
      </c>
      <c r="L12" s="9" t="s">
        <v>12119</v>
      </c>
      <c r="M12" s="9"/>
      <c r="N12" s="10"/>
      <c r="O12" s="9"/>
      <c r="P12" s="9">
        <v>1966</v>
      </c>
      <c r="Q12" s="9"/>
      <c r="R12" s="9" t="s">
        <v>12795</v>
      </c>
      <c r="S12" s="9" t="s">
        <v>12795</v>
      </c>
      <c r="T12" s="9"/>
      <c r="U12" s="9"/>
      <c r="V12" s="9"/>
      <c r="W12" s="9"/>
      <c r="X12" s="9"/>
      <c r="Y12" s="9"/>
      <c r="Z12" s="9"/>
      <c r="AA12" s="9"/>
      <c r="AB12" s="9"/>
      <c r="AC12" s="9"/>
      <c r="AD12" s="9" t="s">
        <v>20</v>
      </c>
    </row>
    <row r="13" spans="1:30" ht="58">
      <c r="A13" s="3" t="s">
        <v>208</v>
      </c>
      <c r="B13" s="3" t="s">
        <v>4876</v>
      </c>
      <c r="C13" s="3" t="s">
        <v>4877</v>
      </c>
      <c r="G13" s="9" t="s">
        <v>12118</v>
      </c>
      <c r="H13" s="9"/>
      <c r="I13" s="9"/>
      <c r="J13" s="9"/>
      <c r="K13" s="9"/>
      <c r="L13" s="9"/>
      <c r="M13" s="9"/>
      <c r="N13" s="10"/>
      <c r="O13" s="9"/>
      <c r="P13" s="9"/>
      <c r="Q13" s="9">
        <v>-141</v>
      </c>
      <c r="R13" s="9">
        <v>148</v>
      </c>
      <c r="S13" s="9">
        <v>7</v>
      </c>
      <c r="T13" s="9"/>
      <c r="U13" s="9"/>
      <c r="V13" s="9"/>
      <c r="W13" s="9"/>
      <c r="X13" s="9"/>
      <c r="Y13" s="9"/>
      <c r="Z13" s="9"/>
      <c r="AA13" s="9"/>
      <c r="AB13" s="9"/>
      <c r="AC13" s="9"/>
      <c r="AD13" s="9" t="s">
        <v>20</v>
      </c>
    </row>
    <row r="14" spans="1:30" ht="43.5">
      <c r="A14" s="3" t="s">
        <v>246</v>
      </c>
      <c r="B14" s="3" t="s">
        <v>4898</v>
      </c>
      <c r="C14" s="3" t="s">
        <v>4899</v>
      </c>
      <c r="G14" s="9" t="s">
        <v>25</v>
      </c>
      <c r="H14" s="9"/>
      <c r="I14" s="9">
        <v>1</v>
      </c>
      <c r="J14" s="9">
        <v>1</v>
      </c>
      <c r="K14" s="9" t="s">
        <v>12078</v>
      </c>
      <c r="L14" s="9" t="s">
        <v>12119</v>
      </c>
      <c r="M14" s="9"/>
      <c r="N14" s="10"/>
      <c r="O14" s="9"/>
      <c r="P14" s="9">
        <v>11843</v>
      </c>
      <c r="Q14" s="9"/>
      <c r="R14" s="9" t="s">
        <v>12795</v>
      </c>
      <c r="S14" s="9" t="s">
        <v>12795</v>
      </c>
      <c r="T14" s="9"/>
      <c r="U14" s="9"/>
      <c r="V14" s="9"/>
      <c r="W14" s="9"/>
      <c r="X14" s="9"/>
      <c r="Y14" s="9"/>
      <c r="Z14" s="9"/>
      <c r="AA14" s="9"/>
      <c r="AB14" s="9"/>
      <c r="AC14" s="9"/>
      <c r="AD14" s="9" t="s">
        <v>20</v>
      </c>
    </row>
    <row r="15" spans="1:30" ht="43.5">
      <c r="A15" s="3" t="s">
        <v>247</v>
      </c>
      <c r="B15" s="3" t="s">
        <v>4900</v>
      </c>
      <c r="C15" s="3" t="s">
        <v>4901</v>
      </c>
      <c r="G15" s="9" t="s">
        <v>25</v>
      </c>
      <c r="H15" s="9"/>
      <c r="I15" s="9">
        <v>1</v>
      </c>
      <c r="J15" s="9">
        <v>2</v>
      </c>
      <c r="K15" s="9" t="s">
        <v>12078</v>
      </c>
      <c r="L15" s="9" t="s">
        <v>12119</v>
      </c>
      <c r="M15" s="9"/>
      <c r="N15" s="10"/>
      <c r="O15" s="9"/>
      <c r="P15" s="9">
        <v>11843</v>
      </c>
      <c r="Q15" s="9"/>
      <c r="R15" s="9" t="s">
        <v>12795</v>
      </c>
      <c r="S15" s="9" t="s">
        <v>12795</v>
      </c>
      <c r="T15" s="9" t="s">
        <v>12117</v>
      </c>
      <c r="U15" s="9"/>
      <c r="V15" s="9"/>
      <c r="W15" s="9"/>
      <c r="X15" s="9"/>
      <c r="Y15" s="9"/>
      <c r="Z15" s="9"/>
      <c r="AA15" s="9"/>
      <c r="AB15" s="9"/>
      <c r="AC15" s="9"/>
      <c r="AD15" s="9" t="s">
        <v>20</v>
      </c>
    </row>
    <row r="16" spans="1:30" ht="43.5">
      <c r="A16" s="3" t="s">
        <v>249</v>
      </c>
      <c r="B16" s="3" t="s">
        <v>4904</v>
      </c>
      <c r="C16" s="3" t="s">
        <v>4905</v>
      </c>
      <c r="G16" s="9" t="s">
        <v>12118</v>
      </c>
      <c r="H16" s="9"/>
      <c r="I16" s="9"/>
      <c r="J16" s="9"/>
      <c r="K16" s="9"/>
      <c r="L16" s="9"/>
      <c r="M16" s="9"/>
      <c r="N16" s="10"/>
      <c r="O16" s="9"/>
      <c r="P16" s="9"/>
      <c r="Q16" s="9">
        <v>10102</v>
      </c>
      <c r="R16" s="9">
        <v>1741</v>
      </c>
      <c r="S16" s="9">
        <v>11843</v>
      </c>
      <c r="T16" s="9" t="s">
        <v>12117</v>
      </c>
      <c r="U16" s="9"/>
      <c r="V16" s="9"/>
      <c r="W16" s="9"/>
      <c r="X16" s="9"/>
      <c r="Y16" s="9"/>
      <c r="Z16" s="9"/>
      <c r="AA16" s="9"/>
      <c r="AB16" s="9"/>
      <c r="AC16" s="9"/>
      <c r="AD16" s="9" t="s">
        <v>20</v>
      </c>
    </row>
    <row r="17" spans="1:30" ht="43.5">
      <c r="A17" s="3" t="s">
        <v>268</v>
      </c>
      <c r="B17" s="3" t="s">
        <v>4917</v>
      </c>
      <c r="C17" s="3" t="s">
        <v>4918</v>
      </c>
      <c r="G17" s="9" t="s">
        <v>25</v>
      </c>
      <c r="H17" s="9"/>
      <c r="I17" s="9">
        <v>1</v>
      </c>
      <c r="J17" s="9">
        <v>2</v>
      </c>
      <c r="K17" s="9" t="s">
        <v>12078</v>
      </c>
      <c r="L17" s="9" t="s">
        <v>12119</v>
      </c>
      <c r="M17" s="9"/>
      <c r="N17" s="10"/>
      <c r="O17" s="9"/>
      <c r="P17" s="9">
        <v>11843</v>
      </c>
      <c r="Q17" s="9"/>
      <c r="R17" s="9" t="s">
        <v>12795</v>
      </c>
      <c r="S17" s="9" t="s">
        <v>12795</v>
      </c>
      <c r="T17" s="9"/>
      <c r="U17" s="9"/>
      <c r="V17" s="9"/>
      <c r="W17" s="9"/>
      <c r="X17" s="9"/>
      <c r="Y17" s="9"/>
      <c r="Z17" s="9"/>
      <c r="AA17" s="9"/>
      <c r="AB17" s="9"/>
      <c r="AC17" s="9"/>
      <c r="AD17" s="9" t="s">
        <v>20</v>
      </c>
    </row>
    <row r="18" spans="1:30" ht="29">
      <c r="A18" s="3" t="s">
        <v>272</v>
      </c>
      <c r="B18" s="3" t="s">
        <v>273</v>
      </c>
      <c r="C18" s="3" t="s">
        <v>274</v>
      </c>
      <c r="G18" s="9" t="s">
        <v>12120</v>
      </c>
      <c r="H18" s="9"/>
      <c r="I18" s="9"/>
      <c r="J18" s="9"/>
      <c r="K18" s="9"/>
      <c r="L18" s="9"/>
      <c r="M18" s="9"/>
      <c r="N18" s="10"/>
      <c r="O18" s="9"/>
      <c r="P18" s="9"/>
      <c r="Q18" s="9"/>
      <c r="R18" s="9" t="s">
        <v>12795</v>
      </c>
      <c r="S18" s="9" t="s">
        <v>12795</v>
      </c>
      <c r="T18" s="9"/>
      <c r="U18" s="9"/>
      <c r="V18" s="9"/>
      <c r="W18" s="9"/>
      <c r="X18" s="9"/>
      <c r="Y18" s="9"/>
      <c r="Z18" s="9"/>
      <c r="AA18" s="9"/>
      <c r="AB18" s="9"/>
      <c r="AC18" s="9"/>
      <c r="AD18" s="9" t="s">
        <v>13141</v>
      </c>
    </row>
    <row r="19" spans="1:30" ht="72.5">
      <c r="A19" s="3" t="s">
        <v>306</v>
      </c>
      <c r="B19" s="3" t="s">
        <v>4950</v>
      </c>
      <c r="C19" s="3" t="s">
        <v>4949</v>
      </c>
      <c r="G19" s="9" t="s">
        <v>25</v>
      </c>
      <c r="H19" s="9"/>
      <c r="I19" s="9">
        <v>4</v>
      </c>
      <c r="J19" s="9">
        <v>8</v>
      </c>
      <c r="K19" s="9"/>
      <c r="L19" s="9" t="s">
        <v>12079</v>
      </c>
      <c r="M19" s="9"/>
      <c r="N19" s="10"/>
      <c r="O19" s="9"/>
      <c r="P19" s="9">
        <v>16</v>
      </c>
      <c r="Q19" s="9"/>
      <c r="R19" s="9" t="s">
        <v>12795</v>
      </c>
      <c r="S19" s="9" t="s">
        <v>12795</v>
      </c>
      <c r="T19" s="9"/>
      <c r="U19" s="9"/>
      <c r="V19" s="9"/>
      <c r="W19" s="9"/>
      <c r="X19" s="9"/>
      <c r="Y19" s="9"/>
      <c r="Z19" s="9"/>
      <c r="AA19" s="9"/>
      <c r="AB19" s="9"/>
      <c r="AC19" s="9"/>
      <c r="AD19" s="9" t="s">
        <v>20</v>
      </c>
    </row>
    <row r="20" spans="1:30" ht="43.5">
      <c r="A20" s="3" t="s">
        <v>332</v>
      </c>
      <c r="B20" s="3" t="s">
        <v>4970</v>
      </c>
      <c r="C20" s="3" t="s">
        <v>4971</v>
      </c>
      <c r="F20" t="s">
        <v>19</v>
      </c>
      <c r="G20" s="9" t="s">
        <v>25</v>
      </c>
      <c r="H20" s="9"/>
      <c r="I20" s="9">
        <v>1</v>
      </c>
      <c r="J20" s="9">
        <v>4</v>
      </c>
      <c r="K20" s="9" t="s">
        <v>12078</v>
      </c>
      <c r="L20" s="9" t="s">
        <v>12073</v>
      </c>
      <c r="M20" s="9" t="s">
        <v>12149</v>
      </c>
      <c r="N20" s="10" t="s">
        <v>12143</v>
      </c>
      <c r="O20" s="9"/>
      <c r="P20" s="9">
        <v>11843</v>
      </c>
      <c r="Q20" s="9"/>
      <c r="R20" s="9" t="s">
        <v>12795</v>
      </c>
      <c r="S20" s="9" t="s">
        <v>12795</v>
      </c>
      <c r="T20" s="9"/>
      <c r="U20" s="9"/>
      <c r="V20" s="9"/>
      <c r="W20" s="9"/>
      <c r="X20" s="9"/>
      <c r="Y20" s="9"/>
      <c r="Z20" s="9"/>
      <c r="AA20" s="9"/>
      <c r="AB20" s="9"/>
      <c r="AC20" s="9"/>
      <c r="AD20" s="9" t="s">
        <v>20</v>
      </c>
    </row>
    <row r="21" spans="1:30" ht="29">
      <c r="A21" s="3" t="s">
        <v>335</v>
      </c>
      <c r="B21" s="3" t="s">
        <v>4974</v>
      </c>
      <c r="C21" s="3" t="s">
        <v>4975</v>
      </c>
      <c r="G21" s="9" t="s">
        <v>25</v>
      </c>
      <c r="H21" s="9"/>
      <c r="I21" s="9">
        <v>1</v>
      </c>
      <c r="J21" s="9">
        <v>2</v>
      </c>
      <c r="K21" s="9" t="s">
        <v>12087</v>
      </c>
      <c r="L21" s="9" t="s">
        <v>12119</v>
      </c>
      <c r="M21" s="9"/>
      <c r="N21" s="10"/>
      <c r="O21" s="9"/>
      <c r="P21" s="9">
        <v>1966</v>
      </c>
      <c r="Q21" s="9"/>
      <c r="R21" s="9" t="s">
        <v>12795</v>
      </c>
      <c r="S21" s="9" t="s">
        <v>12795</v>
      </c>
      <c r="T21" s="9"/>
      <c r="U21" s="9"/>
      <c r="V21" s="9"/>
      <c r="W21" s="9"/>
      <c r="X21" s="9"/>
      <c r="Y21" s="9"/>
      <c r="Z21" s="9"/>
      <c r="AA21" s="9"/>
      <c r="AB21" s="9"/>
      <c r="AC21" s="9"/>
      <c r="AD21" s="9" t="s">
        <v>20</v>
      </c>
    </row>
    <row r="22" spans="1:30" ht="58">
      <c r="A22" s="3" t="s">
        <v>350</v>
      </c>
      <c r="B22" s="3" t="s">
        <v>4993</v>
      </c>
      <c r="C22" s="3" t="s">
        <v>4990</v>
      </c>
      <c r="G22" s="9" t="s">
        <v>25</v>
      </c>
      <c r="H22" s="9"/>
      <c r="I22" s="9">
        <v>1</v>
      </c>
      <c r="J22" s="9">
        <v>3</v>
      </c>
      <c r="K22" s="9" t="s">
        <v>12087</v>
      </c>
      <c r="L22" s="9" t="s">
        <v>12073</v>
      </c>
      <c r="M22" s="9" t="s">
        <v>12142</v>
      </c>
      <c r="N22" s="10" t="s">
        <v>12143</v>
      </c>
      <c r="O22" s="9"/>
      <c r="P22" s="9">
        <v>5676</v>
      </c>
      <c r="Q22" s="9"/>
      <c r="R22" s="9" t="s">
        <v>12795</v>
      </c>
      <c r="S22" s="9" t="s">
        <v>12795</v>
      </c>
      <c r="T22" s="9"/>
      <c r="U22" s="9"/>
      <c r="V22" s="9"/>
      <c r="W22" s="9"/>
      <c r="X22" s="9"/>
      <c r="Y22" s="9"/>
      <c r="Z22" s="9"/>
      <c r="AA22" s="9"/>
      <c r="AB22" s="9"/>
      <c r="AC22" s="9"/>
      <c r="AD22" s="9" t="s">
        <v>20</v>
      </c>
    </row>
    <row r="23" spans="1:30" ht="43.5">
      <c r="A23" s="3" t="s">
        <v>365</v>
      </c>
      <c r="B23" s="3" t="s">
        <v>5003</v>
      </c>
      <c r="C23" s="3" t="s">
        <v>5004</v>
      </c>
      <c r="G23" s="9" t="s">
        <v>25</v>
      </c>
      <c r="H23" s="9"/>
      <c r="I23" s="9">
        <v>1</v>
      </c>
      <c r="J23" s="9">
        <v>2</v>
      </c>
      <c r="K23" s="9" t="s">
        <v>12078</v>
      </c>
      <c r="L23" s="9" t="s">
        <v>12119</v>
      </c>
      <c r="M23" s="9"/>
      <c r="N23" s="10"/>
      <c r="O23" s="9"/>
      <c r="P23" s="9">
        <v>11843</v>
      </c>
      <c r="Q23" s="9"/>
      <c r="R23" s="9" t="s">
        <v>12795</v>
      </c>
      <c r="S23" s="9" t="s">
        <v>12795</v>
      </c>
      <c r="T23" s="9"/>
      <c r="U23" s="9"/>
      <c r="V23" s="9"/>
      <c r="W23" s="9"/>
      <c r="X23" s="9"/>
      <c r="Y23" s="9"/>
      <c r="Z23" s="9"/>
      <c r="AA23" s="9"/>
      <c r="AB23" s="9"/>
      <c r="AC23" s="9"/>
      <c r="AD23" s="9" t="s">
        <v>20</v>
      </c>
    </row>
    <row r="24" spans="1:30" ht="43.5">
      <c r="A24" s="3" t="s">
        <v>377</v>
      </c>
      <c r="B24" s="3" t="s">
        <v>5007</v>
      </c>
      <c r="C24" s="3" t="s">
        <v>5008</v>
      </c>
      <c r="G24" s="9" t="s">
        <v>24</v>
      </c>
      <c r="H24" s="9"/>
      <c r="I24" s="9">
        <v>1</v>
      </c>
      <c r="J24" s="9">
        <v>2</v>
      </c>
      <c r="K24" s="9" t="s">
        <v>12087</v>
      </c>
      <c r="L24" s="9" t="s">
        <v>12119</v>
      </c>
      <c r="M24" s="9"/>
      <c r="N24" s="10"/>
      <c r="O24" s="9"/>
      <c r="P24" s="9">
        <v>1966</v>
      </c>
      <c r="Q24" s="9"/>
      <c r="R24" s="9" t="s">
        <v>12795</v>
      </c>
      <c r="S24" s="9" t="s">
        <v>12795</v>
      </c>
      <c r="T24" s="9"/>
      <c r="U24" s="9"/>
      <c r="V24" s="9"/>
      <c r="W24" s="9"/>
      <c r="X24" s="9"/>
      <c r="Y24" s="9"/>
      <c r="Z24" s="9"/>
      <c r="AA24" s="9"/>
      <c r="AB24" s="9"/>
      <c r="AC24" s="9"/>
      <c r="AD24" s="9" t="s">
        <v>20</v>
      </c>
    </row>
    <row r="25" spans="1:30" ht="116">
      <c r="A25" s="3" t="s">
        <v>388</v>
      </c>
      <c r="B25" s="3" t="s">
        <v>5024</v>
      </c>
      <c r="C25" s="3" t="s">
        <v>5025</v>
      </c>
      <c r="G25" s="9" t="s">
        <v>25</v>
      </c>
      <c r="H25" s="9"/>
      <c r="I25" s="9">
        <v>6</v>
      </c>
      <c r="J25" s="9">
        <v>29</v>
      </c>
      <c r="K25" s="9"/>
      <c r="L25" s="9" t="s">
        <v>12073</v>
      </c>
      <c r="M25" s="9" t="s">
        <v>12154</v>
      </c>
      <c r="N25" s="10" t="s">
        <v>12155</v>
      </c>
      <c r="O25" s="9"/>
      <c r="P25" s="9">
        <v>4</v>
      </c>
      <c r="Q25" s="9"/>
      <c r="R25" s="9" t="s">
        <v>12795</v>
      </c>
      <c r="S25" s="9" t="s">
        <v>12795</v>
      </c>
      <c r="T25" s="9"/>
      <c r="U25" s="9"/>
      <c r="V25" s="9"/>
      <c r="W25" s="9"/>
      <c r="X25" s="9"/>
      <c r="Y25" s="9"/>
      <c r="Z25" s="9"/>
      <c r="AA25" s="9"/>
      <c r="AB25" s="9"/>
      <c r="AC25" s="9"/>
      <c r="AD25" s="9" t="s">
        <v>20</v>
      </c>
    </row>
    <row r="26" spans="1:30" ht="72.5">
      <c r="A26" s="3" t="s">
        <v>393</v>
      </c>
      <c r="B26" s="3" t="s">
        <v>5027</v>
      </c>
      <c r="C26" s="3" t="s">
        <v>5026</v>
      </c>
      <c r="G26" s="9" t="s">
        <v>26</v>
      </c>
      <c r="H26" s="9"/>
      <c r="I26" s="9"/>
      <c r="J26" s="9"/>
      <c r="K26" s="9"/>
      <c r="L26" s="9"/>
      <c r="M26" s="9"/>
      <c r="N26" s="10"/>
      <c r="O26" s="9"/>
      <c r="P26" s="9"/>
      <c r="Q26" s="9"/>
      <c r="R26" s="9" t="s">
        <v>12795</v>
      </c>
      <c r="S26" s="9" t="s">
        <v>12795</v>
      </c>
      <c r="T26" s="9"/>
      <c r="U26" s="9"/>
      <c r="V26" s="9"/>
      <c r="W26" s="9"/>
      <c r="X26" s="9"/>
      <c r="Y26" s="9"/>
      <c r="Z26" s="9"/>
      <c r="AA26" s="9"/>
      <c r="AB26" s="9"/>
      <c r="AC26" s="9"/>
      <c r="AD26" s="9" t="s">
        <v>20</v>
      </c>
    </row>
    <row r="27" spans="1:30" ht="43.5">
      <c r="A27" s="3" t="s">
        <v>398</v>
      </c>
      <c r="B27" s="3" t="s">
        <v>5028</v>
      </c>
      <c r="C27" s="3" t="s">
        <v>5029</v>
      </c>
      <c r="F27" t="s">
        <v>19</v>
      </c>
      <c r="G27" s="9" t="s">
        <v>25</v>
      </c>
      <c r="H27" s="9"/>
      <c r="I27" s="9">
        <v>1</v>
      </c>
      <c r="J27" s="9">
        <v>4</v>
      </c>
      <c r="K27" s="9" t="s">
        <v>12078</v>
      </c>
      <c r="L27" s="9" t="s">
        <v>12079</v>
      </c>
      <c r="M27" s="9"/>
      <c r="N27" s="10"/>
      <c r="O27" s="9"/>
      <c r="P27" s="9">
        <v>11843</v>
      </c>
      <c r="Q27" s="9"/>
      <c r="R27" s="9" t="s">
        <v>12795</v>
      </c>
      <c r="S27" s="9" t="s">
        <v>12795</v>
      </c>
      <c r="T27" s="9"/>
      <c r="U27" s="9"/>
      <c r="V27" s="9"/>
      <c r="W27" s="9"/>
      <c r="X27" s="9"/>
      <c r="Y27" s="9"/>
      <c r="Z27" s="9"/>
      <c r="AA27" s="9"/>
      <c r="AB27" s="9"/>
      <c r="AC27" s="9"/>
      <c r="AD27" s="9" t="s">
        <v>20</v>
      </c>
    </row>
    <row r="28" spans="1:30" ht="43.5">
      <c r="A28" s="3" t="s">
        <v>400</v>
      </c>
      <c r="B28" s="3" t="s">
        <v>5032</v>
      </c>
      <c r="C28" s="3" t="s">
        <v>5033</v>
      </c>
      <c r="G28" s="9" t="s">
        <v>24</v>
      </c>
      <c r="H28" s="9"/>
      <c r="I28" s="9">
        <v>1</v>
      </c>
      <c r="J28" s="9">
        <v>2</v>
      </c>
      <c r="K28" s="9" t="s">
        <v>12078</v>
      </c>
      <c r="L28" s="9" t="s">
        <v>12119</v>
      </c>
      <c r="M28" s="9"/>
      <c r="N28" s="10"/>
      <c r="O28" s="9"/>
      <c r="P28" s="9">
        <v>11843</v>
      </c>
      <c r="Q28" s="9"/>
      <c r="R28" s="9" t="s">
        <v>12795</v>
      </c>
      <c r="S28" s="9" t="s">
        <v>12795</v>
      </c>
      <c r="T28" s="9"/>
      <c r="U28" s="9"/>
      <c r="V28" s="9"/>
      <c r="W28" s="9"/>
      <c r="X28" s="9"/>
      <c r="Y28" s="9"/>
      <c r="Z28" s="9"/>
      <c r="AA28" s="9"/>
      <c r="AB28" s="9"/>
      <c r="AC28" s="9"/>
      <c r="AD28" s="9" t="s">
        <v>20</v>
      </c>
    </row>
    <row r="29" spans="1:30" ht="58">
      <c r="A29" s="3" t="s">
        <v>412</v>
      </c>
      <c r="B29" s="3" t="s">
        <v>5048</v>
      </c>
      <c r="C29" s="3" t="s">
        <v>5049</v>
      </c>
      <c r="G29" s="9" t="s">
        <v>26</v>
      </c>
      <c r="H29" s="9"/>
      <c r="I29" s="9"/>
      <c r="J29" s="9"/>
      <c r="K29" s="9"/>
      <c r="L29" s="9"/>
      <c r="M29" s="9"/>
      <c r="N29" s="10"/>
      <c r="O29" s="9"/>
      <c r="P29" s="9"/>
      <c r="Q29" s="9"/>
      <c r="R29" s="9" t="s">
        <v>12795</v>
      </c>
      <c r="S29" s="9" t="s">
        <v>12795</v>
      </c>
      <c r="T29" s="9"/>
      <c r="U29" s="9"/>
      <c r="V29" s="9"/>
      <c r="W29" s="9"/>
      <c r="X29" s="9"/>
      <c r="Y29" s="9"/>
      <c r="Z29" s="9"/>
      <c r="AA29" s="9"/>
      <c r="AB29" s="9"/>
      <c r="AC29" s="9"/>
      <c r="AD29" s="9" t="s">
        <v>20</v>
      </c>
    </row>
    <row r="30" spans="1:30" ht="58">
      <c r="A30" s="3" t="s">
        <v>414</v>
      </c>
      <c r="B30" s="3" t="s">
        <v>5054</v>
      </c>
      <c r="C30" s="3" t="s">
        <v>12159</v>
      </c>
      <c r="G30" s="9" t="s">
        <v>25</v>
      </c>
      <c r="H30" s="9"/>
      <c r="I30" s="9">
        <v>1</v>
      </c>
      <c r="J30" s="9">
        <v>4</v>
      </c>
      <c r="K30" s="9" t="s">
        <v>12078</v>
      </c>
      <c r="L30" s="9" t="s">
        <v>12073</v>
      </c>
      <c r="M30" s="9" t="s">
        <v>12149</v>
      </c>
      <c r="N30" s="10" t="s">
        <v>12160</v>
      </c>
      <c r="O30" s="9"/>
      <c r="P30" s="9">
        <v>11843</v>
      </c>
      <c r="Q30" s="9"/>
      <c r="R30" s="9" t="s">
        <v>12795</v>
      </c>
      <c r="S30" s="9" t="s">
        <v>12795</v>
      </c>
      <c r="T30" s="9"/>
      <c r="U30" s="9"/>
      <c r="V30" s="9"/>
      <c r="W30" s="9"/>
      <c r="X30" s="9"/>
      <c r="Y30" s="9"/>
      <c r="Z30" s="9"/>
      <c r="AA30" s="9"/>
      <c r="AB30" s="9"/>
      <c r="AC30" s="9"/>
      <c r="AD30" s="9" t="s">
        <v>20</v>
      </c>
    </row>
    <row r="31" spans="1:30" ht="43.5">
      <c r="A31" s="3" t="s">
        <v>415</v>
      </c>
      <c r="B31" s="3" t="s">
        <v>5055</v>
      </c>
      <c r="C31" s="3" t="s">
        <v>5056</v>
      </c>
      <c r="G31" s="9" t="s">
        <v>12118</v>
      </c>
      <c r="H31" s="9"/>
      <c r="I31" s="9"/>
      <c r="J31" s="9"/>
      <c r="K31" s="9"/>
      <c r="L31" s="9"/>
      <c r="M31" s="9"/>
      <c r="N31" s="10"/>
      <c r="O31" s="9"/>
      <c r="P31" s="9"/>
      <c r="Q31" s="9">
        <v>37</v>
      </c>
      <c r="R31" s="9">
        <v>17</v>
      </c>
      <c r="S31" s="9">
        <v>54</v>
      </c>
      <c r="T31" s="9" t="s">
        <v>12117</v>
      </c>
      <c r="U31" s="9"/>
      <c r="V31" s="9"/>
      <c r="W31" s="9"/>
      <c r="X31" s="9"/>
      <c r="Y31" s="9"/>
      <c r="Z31" s="9"/>
      <c r="AA31" s="9"/>
      <c r="AB31" s="9"/>
      <c r="AC31" s="9"/>
      <c r="AD31" s="9" t="s">
        <v>20</v>
      </c>
    </row>
    <row r="32" spans="1:30" ht="58">
      <c r="A32" s="3" t="s">
        <v>429</v>
      </c>
      <c r="B32" s="3" t="s">
        <v>5070</v>
      </c>
      <c r="C32" s="3" t="s">
        <v>5071</v>
      </c>
      <c r="G32" s="9" t="s">
        <v>26</v>
      </c>
      <c r="H32" s="9"/>
      <c r="I32" s="9"/>
      <c r="J32" s="9"/>
      <c r="K32" s="9"/>
      <c r="L32" s="9"/>
      <c r="M32" s="9"/>
      <c r="N32" s="10"/>
      <c r="O32" s="9"/>
      <c r="P32" s="9"/>
      <c r="Q32" s="9">
        <v>0</v>
      </c>
      <c r="R32" s="9">
        <v>3</v>
      </c>
      <c r="S32" s="9">
        <v>3</v>
      </c>
      <c r="T32" s="9"/>
      <c r="U32" s="9"/>
      <c r="V32" s="9"/>
      <c r="W32" s="9"/>
      <c r="X32" s="9"/>
      <c r="Y32" s="9"/>
      <c r="Z32" s="9"/>
      <c r="AA32" s="9"/>
      <c r="AB32" s="9"/>
      <c r="AC32" s="9"/>
      <c r="AD32" s="9" t="s">
        <v>20</v>
      </c>
    </row>
    <row r="33" spans="1:30" ht="72.5">
      <c r="A33" s="3" t="s">
        <v>435</v>
      </c>
      <c r="B33" s="3" t="s">
        <v>5075</v>
      </c>
      <c r="C33" s="3" t="s">
        <v>5074</v>
      </c>
      <c r="G33" s="9" t="s">
        <v>25</v>
      </c>
      <c r="H33" s="9"/>
      <c r="I33" s="9">
        <v>1</v>
      </c>
      <c r="J33" s="9">
        <v>3</v>
      </c>
      <c r="K33" s="9" t="s">
        <v>12094</v>
      </c>
      <c r="L33" s="9" t="s">
        <v>12079</v>
      </c>
      <c r="M33" s="9"/>
      <c r="N33" s="10"/>
      <c r="O33" s="9"/>
      <c r="P33" s="9">
        <v>301</v>
      </c>
      <c r="Q33" s="9"/>
      <c r="R33" s="9" t="s">
        <v>12795</v>
      </c>
      <c r="S33" s="9" t="s">
        <v>12795</v>
      </c>
      <c r="T33" s="9"/>
      <c r="U33" s="9"/>
      <c r="V33" s="9"/>
      <c r="W33" s="9"/>
      <c r="X33" s="9"/>
      <c r="Y33" s="9"/>
      <c r="Z33" s="9"/>
      <c r="AA33" s="9"/>
      <c r="AB33" s="9"/>
      <c r="AC33" s="9"/>
      <c r="AD33" s="9" t="s">
        <v>20</v>
      </c>
    </row>
    <row r="34" spans="1:30" ht="58">
      <c r="A34" s="3" t="s">
        <v>441</v>
      </c>
      <c r="B34" s="3" t="s">
        <v>12164</v>
      </c>
      <c r="C34" s="3" t="s">
        <v>12165</v>
      </c>
      <c r="G34" s="9" t="s">
        <v>25</v>
      </c>
      <c r="H34" s="9"/>
      <c r="I34" s="9">
        <v>1</v>
      </c>
      <c r="J34" s="9">
        <v>3</v>
      </c>
      <c r="K34" s="9" t="s">
        <v>12078</v>
      </c>
      <c r="L34" s="9" t="s">
        <v>12079</v>
      </c>
      <c r="M34" s="9"/>
      <c r="N34" s="10"/>
      <c r="O34" s="9"/>
      <c r="P34" s="9">
        <v>11843</v>
      </c>
      <c r="Q34" s="9"/>
      <c r="R34" s="9" t="s">
        <v>12795</v>
      </c>
      <c r="S34" s="9" t="s">
        <v>12795</v>
      </c>
      <c r="T34" s="9"/>
      <c r="U34" s="9"/>
      <c r="V34" s="9"/>
      <c r="W34" s="9"/>
      <c r="X34" s="9"/>
      <c r="Y34" s="9"/>
      <c r="Z34" s="9"/>
      <c r="AA34" s="9"/>
      <c r="AB34" s="9"/>
      <c r="AC34" s="9"/>
      <c r="AD34" s="9" t="s">
        <v>20</v>
      </c>
    </row>
    <row r="35" spans="1:30" ht="58">
      <c r="A35" s="3" t="s">
        <v>444</v>
      </c>
      <c r="B35" s="3" t="s">
        <v>5079</v>
      </c>
      <c r="C35" s="3" t="s">
        <v>5080</v>
      </c>
      <c r="G35" s="9" t="s">
        <v>26</v>
      </c>
      <c r="H35" s="9"/>
      <c r="I35" s="9"/>
      <c r="J35" s="9"/>
      <c r="K35" s="9"/>
      <c r="L35" s="9"/>
      <c r="M35" s="9"/>
      <c r="N35" s="10"/>
      <c r="O35" s="9"/>
      <c r="P35" s="9"/>
      <c r="Q35" s="9"/>
      <c r="R35" s="9" t="s">
        <v>12795</v>
      </c>
      <c r="S35" s="9" t="s">
        <v>12795</v>
      </c>
      <c r="T35" s="9"/>
      <c r="U35" s="9"/>
      <c r="V35" s="9"/>
      <c r="W35" s="9"/>
      <c r="X35" s="9"/>
      <c r="Y35" s="9"/>
      <c r="Z35" s="9"/>
      <c r="AA35" s="9"/>
      <c r="AB35" s="9"/>
      <c r="AC35" s="9"/>
      <c r="AD35" s="9" t="s">
        <v>20</v>
      </c>
    </row>
    <row r="36" spans="1:30" ht="43.5">
      <c r="A36" s="3" t="s">
        <v>448</v>
      </c>
      <c r="B36" s="3" t="s">
        <v>5084</v>
      </c>
      <c r="C36" s="3" t="s">
        <v>5085</v>
      </c>
      <c r="G36" s="9" t="s">
        <v>24</v>
      </c>
      <c r="H36" s="9"/>
      <c r="I36" s="9">
        <v>1</v>
      </c>
      <c r="J36" s="9">
        <v>3</v>
      </c>
      <c r="K36" s="9" t="s">
        <v>12123</v>
      </c>
      <c r="L36" s="9" t="s">
        <v>12079</v>
      </c>
      <c r="M36" s="9"/>
      <c r="N36" s="10"/>
      <c r="O36" s="9"/>
      <c r="P36" s="9">
        <v>92</v>
      </c>
      <c r="Q36" s="9"/>
      <c r="R36" s="9" t="s">
        <v>12795</v>
      </c>
      <c r="S36" s="9" t="s">
        <v>12795</v>
      </c>
      <c r="T36" s="9"/>
      <c r="U36" s="9"/>
      <c r="V36" s="9"/>
      <c r="W36" s="9"/>
      <c r="X36" s="9"/>
      <c r="Y36" s="9"/>
      <c r="Z36" s="9"/>
      <c r="AA36" s="9"/>
      <c r="AB36" s="9"/>
      <c r="AC36" s="9"/>
      <c r="AD36" s="9" t="s">
        <v>20</v>
      </c>
    </row>
    <row r="37" spans="1:30" ht="43.5">
      <c r="A37" s="3" t="s">
        <v>451</v>
      </c>
      <c r="B37" s="3" t="s">
        <v>5088</v>
      </c>
      <c r="C37" s="3" t="s">
        <v>5089</v>
      </c>
      <c r="G37" s="9" t="s">
        <v>24</v>
      </c>
      <c r="H37" s="9"/>
      <c r="I37" s="9">
        <v>1</v>
      </c>
      <c r="J37" s="9">
        <v>1</v>
      </c>
      <c r="K37" s="9" t="s">
        <v>12078</v>
      </c>
      <c r="L37" s="9" t="s">
        <v>12119</v>
      </c>
      <c r="M37" s="9"/>
      <c r="N37" s="10"/>
      <c r="O37" s="9"/>
      <c r="P37" s="9">
        <v>11843</v>
      </c>
      <c r="Q37" s="9"/>
      <c r="R37" s="9" t="s">
        <v>12795</v>
      </c>
      <c r="S37" s="9" t="s">
        <v>12795</v>
      </c>
      <c r="T37" s="9"/>
      <c r="U37" s="9"/>
      <c r="V37" s="9"/>
      <c r="W37" s="9"/>
      <c r="X37" s="9"/>
      <c r="Y37" s="9"/>
      <c r="Z37" s="9"/>
      <c r="AA37" s="9"/>
      <c r="AB37" s="9"/>
      <c r="AC37" s="9"/>
      <c r="AD37" s="9" t="s">
        <v>20</v>
      </c>
    </row>
    <row r="38" spans="1:30" ht="29">
      <c r="A38" s="3" t="s">
        <v>476</v>
      </c>
      <c r="B38" s="3" t="s">
        <v>479</v>
      </c>
      <c r="C38" s="3" t="s">
        <v>480</v>
      </c>
      <c r="G38" s="9" t="s">
        <v>12118</v>
      </c>
      <c r="H38" s="9"/>
      <c r="I38" s="9"/>
      <c r="J38" s="9"/>
      <c r="K38" s="9"/>
      <c r="L38" s="9"/>
      <c r="M38" s="9"/>
      <c r="N38" s="10"/>
      <c r="O38" s="9"/>
      <c r="P38" s="9"/>
      <c r="Q38" s="9">
        <v>-30</v>
      </c>
      <c r="R38" s="9">
        <v>40</v>
      </c>
      <c r="S38" s="9">
        <v>10</v>
      </c>
      <c r="T38" s="9"/>
      <c r="U38" s="9"/>
      <c r="V38" s="9"/>
      <c r="W38" s="9"/>
      <c r="X38" s="9"/>
      <c r="Y38" s="9"/>
      <c r="Z38" s="9"/>
      <c r="AA38" s="9"/>
      <c r="AB38" s="9"/>
      <c r="AC38" s="9"/>
      <c r="AD38" s="9" t="s">
        <v>20</v>
      </c>
    </row>
    <row r="39" spans="1:30" ht="29">
      <c r="A39" s="3" t="s">
        <v>485</v>
      </c>
      <c r="B39" s="3" t="s">
        <v>5110</v>
      </c>
      <c r="C39" s="3" t="s">
        <v>5111</v>
      </c>
      <c r="G39" s="9" t="s">
        <v>25</v>
      </c>
      <c r="H39" s="9"/>
      <c r="I39" s="9">
        <v>1</v>
      </c>
      <c r="J39" s="9">
        <v>3</v>
      </c>
      <c r="K39" s="9" t="s">
        <v>12078</v>
      </c>
      <c r="L39" s="9" t="s">
        <v>12079</v>
      </c>
      <c r="M39" s="9"/>
      <c r="N39" s="10"/>
      <c r="O39" s="9"/>
      <c r="P39" s="9">
        <v>11843</v>
      </c>
      <c r="Q39" s="9"/>
      <c r="R39" s="9" t="s">
        <v>12795</v>
      </c>
      <c r="S39" s="9" t="s">
        <v>12795</v>
      </c>
      <c r="T39" s="9"/>
      <c r="U39" s="9"/>
      <c r="V39" s="9"/>
      <c r="W39" s="9"/>
      <c r="X39" s="9"/>
      <c r="Y39" s="9"/>
      <c r="Z39" s="9"/>
      <c r="AA39" s="9"/>
      <c r="AB39" s="9"/>
      <c r="AC39" s="9"/>
      <c r="AD39" s="9" t="s">
        <v>20</v>
      </c>
    </row>
    <row r="40" spans="1:30" ht="29">
      <c r="A40" s="3" t="s">
        <v>486</v>
      </c>
      <c r="B40" s="3" t="s">
        <v>5114</v>
      </c>
      <c r="C40" s="3" t="s">
        <v>12167</v>
      </c>
      <c r="G40" s="9" t="s">
        <v>24</v>
      </c>
      <c r="H40" s="9"/>
      <c r="I40" s="9">
        <v>1</v>
      </c>
      <c r="J40" s="9">
        <v>3</v>
      </c>
      <c r="K40" s="9" t="s">
        <v>12078</v>
      </c>
      <c r="L40" s="9" t="s">
        <v>12079</v>
      </c>
      <c r="M40" s="9"/>
      <c r="N40" s="10"/>
      <c r="O40" s="9"/>
      <c r="P40" s="9">
        <v>11843</v>
      </c>
      <c r="Q40" s="9"/>
      <c r="R40" s="9" t="s">
        <v>12795</v>
      </c>
      <c r="S40" s="9" t="s">
        <v>12795</v>
      </c>
      <c r="T40" s="9"/>
      <c r="U40" s="9"/>
      <c r="V40" s="9"/>
      <c r="W40" s="9"/>
      <c r="X40" s="9"/>
      <c r="Y40" s="9"/>
      <c r="Z40" s="9"/>
      <c r="AA40" s="9"/>
      <c r="AB40" s="9"/>
      <c r="AC40" s="9"/>
      <c r="AD40" s="9" t="s">
        <v>20</v>
      </c>
    </row>
    <row r="41" spans="1:30" ht="58">
      <c r="A41" s="3" t="s">
        <v>487</v>
      </c>
      <c r="B41" s="3" t="s">
        <v>12971</v>
      </c>
      <c r="C41" s="3" t="s">
        <v>12973</v>
      </c>
      <c r="G41" s="9" t="s">
        <v>12120</v>
      </c>
      <c r="H41" s="9"/>
      <c r="I41" s="9"/>
      <c r="J41" s="9"/>
      <c r="K41" s="9"/>
      <c r="L41" s="9"/>
      <c r="M41" s="9"/>
      <c r="N41" s="10"/>
      <c r="O41" s="9"/>
      <c r="P41" s="9"/>
      <c r="Q41" s="9"/>
      <c r="R41" s="9" t="s">
        <v>12795</v>
      </c>
      <c r="S41" s="9" t="s">
        <v>12795</v>
      </c>
      <c r="T41" s="9"/>
      <c r="U41" s="9"/>
      <c r="V41" s="9"/>
      <c r="W41" s="9"/>
      <c r="X41" s="9"/>
      <c r="Y41" s="9"/>
      <c r="Z41" s="9"/>
      <c r="AA41" s="9"/>
      <c r="AB41" s="9"/>
      <c r="AC41" s="9"/>
      <c r="AD41" s="9" t="s">
        <v>20</v>
      </c>
    </row>
    <row r="42" spans="1:30" ht="43.5">
      <c r="A42" s="3" t="s">
        <v>491</v>
      </c>
      <c r="B42" s="3" t="s">
        <v>5117</v>
      </c>
      <c r="C42" s="3" t="s">
        <v>5118</v>
      </c>
      <c r="G42" s="9" t="s">
        <v>26</v>
      </c>
      <c r="H42" s="9"/>
      <c r="I42" s="9"/>
      <c r="J42" s="9"/>
      <c r="K42" s="9"/>
      <c r="L42" s="9"/>
      <c r="M42" s="9"/>
      <c r="N42" s="10"/>
      <c r="O42" s="9"/>
      <c r="P42" s="9"/>
      <c r="Q42" s="9"/>
      <c r="R42" s="9" t="s">
        <v>12795</v>
      </c>
      <c r="S42" s="9" t="s">
        <v>12795</v>
      </c>
      <c r="T42" s="9"/>
      <c r="U42" s="9"/>
      <c r="V42" s="9"/>
      <c r="W42" s="9"/>
      <c r="X42" s="9"/>
      <c r="Y42" s="9"/>
      <c r="Z42" s="9"/>
      <c r="AA42" s="9"/>
      <c r="AB42" s="9"/>
      <c r="AC42" s="9"/>
      <c r="AD42" s="9" t="s">
        <v>20</v>
      </c>
    </row>
    <row r="43" spans="1:30" ht="29">
      <c r="A43" s="3" t="s">
        <v>492</v>
      </c>
      <c r="B43" s="3" t="s">
        <v>5119</v>
      </c>
      <c r="C43" s="3" t="s">
        <v>5120</v>
      </c>
      <c r="G43" s="9" t="s">
        <v>25</v>
      </c>
      <c r="H43" s="9"/>
      <c r="I43" s="9">
        <v>1</v>
      </c>
      <c r="J43" s="9">
        <v>2</v>
      </c>
      <c r="K43" s="9" t="s">
        <v>12092</v>
      </c>
      <c r="L43" s="9" t="s">
        <v>12119</v>
      </c>
      <c r="M43" s="9"/>
      <c r="N43" s="10"/>
      <c r="O43" s="9"/>
      <c r="P43" s="9">
        <v>472</v>
      </c>
      <c r="Q43" s="9"/>
      <c r="R43" s="9" t="s">
        <v>12795</v>
      </c>
      <c r="S43" s="9" t="s">
        <v>12795</v>
      </c>
      <c r="T43" s="9"/>
      <c r="U43" s="9"/>
      <c r="V43" s="9"/>
      <c r="W43" s="9"/>
      <c r="X43" s="9"/>
      <c r="Y43" s="9"/>
      <c r="Z43" s="9"/>
      <c r="AA43" s="9"/>
      <c r="AB43" s="9"/>
      <c r="AC43" s="9"/>
      <c r="AD43" s="9" t="s">
        <v>20</v>
      </c>
    </row>
    <row r="44" spans="1:30" ht="29">
      <c r="A44" s="3" t="s">
        <v>494</v>
      </c>
      <c r="B44" s="3" t="s">
        <v>5122</v>
      </c>
      <c r="C44" s="3" t="s">
        <v>5123</v>
      </c>
      <c r="G44" s="9" t="s">
        <v>12118</v>
      </c>
      <c r="H44" s="9"/>
      <c r="I44" s="9"/>
      <c r="J44" s="9"/>
      <c r="K44" s="9"/>
      <c r="L44" s="9"/>
      <c r="M44" s="9"/>
      <c r="N44" s="10"/>
      <c r="O44" s="9"/>
      <c r="P44" s="9"/>
      <c r="Q44" s="9">
        <v>21</v>
      </c>
      <c r="R44" s="9">
        <v>165</v>
      </c>
      <c r="S44" s="9">
        <v>186</v>
      </c>
      <c r="T44" s="9"/>
      <c r="U44" s="9"/>
      <c r="V44" s="9"/>
      <c r="W44" s="9"/>
      <c r="X44" s="9"/>
      <c r="Y44" s="9"/>
      <c r="Z44" s="9"/>
      <c r="AA44" s="9"/>
      <c r="AB44" s="9"/>
      <c r="AC44" s="9"/>
      <c r="AD44" s="9" t="s">
        <v>20</v>
      </c>
    </row>
    <row r="45" spans="1:30" ht="29">
      <c r="A45" s="3" t="s">
        <v>494</v>
      </c>
      <c r="B45" s="3" t="s">
        <v>496</v>
      </c>
      <c r="C45" s="3" t="s">
        <v>497</v>
      </c>
      <c r="G45" s="9" t="s">
        <v>12120</v>
      </c>
      <c r="H45" s="9"/>
      <c r="I45" s="9"/>
      <c r="J45" s="9"/>
      <c r="K45" s="9"/>
      <c r="L45" s="9"/>
      <c r="M45" s="9"/>
      <c r="N45" s="10"/>
      <c r="O45" s="9"/>
      <c r="P45" s="9"/>
      <c r="Q45" s="9"/>
      <c r="R45" s="9" t="s">
        <v>12795</v>
      </c>
      <c r="S45" s="9" t="s">
        <v>12795</v>
      </c>
      <c r="T45" s="9"/>
      <c r="U45" s="9"/>
      <c r="V45" s="9"/>
      <c r="W45" s="9"/>
      <c r="X45" s="9"/>
      <c r="Y45" s="9"/>
      <c r="Z45" s="9"/>
      <c r="AA45" s="9"/>
      <c r="AB45" s="9"/>
      <c r="AC45" s="9"/>
      <c r="AD45" s="9" t="s">
        <v>20</v>
      </c>
    </row>
    <row r="46" spans="1:30" ht="43.5">
      <c r="A46" s="3" t="s">
        <v>499</v>
      </c>
      <c r="B46" s="3" t="s">
        <v>5128</v>
      </c>
      <c r="C46" s="3" t="s">
        <v>5129</v>
      </c>
      <c r="G46" s="9" t="s">
        <v>12120</v>
      </c>
      <c r="H46" s="9"/>
      <c r="I46" s="9"/>
      <c r="J46" s="9"/>
      <c r="K46" s="9"/>
      <c r="L46" s="9"/>
      <c r="M46" s="9"/>
      <c r="N46" s="10"/>
      <c r="O46" s="9"/>
      <c r="P46" s="9"/>
      <c r="Q46" s="9"/>
      <c r="R46" s="9" t="s">
        <v>12795</v>
      </c>
      <c r="S46" s="9" t="s">
        <v>12795</v>
      </c>
      <c r="T46" s="9"/>
      <c r="U46" s="9"/>
      <c r="V46" s="9"/>
      <c r="W46" s="9"/>
      <c r="X46" s="9"/>
      <c r="Y46" s="9"/>
      <c r="Z46" s="9"/>
      <c r="AA46" s="9"/>
      <c r="AB46" s="9"/>
      <c r="AC46" s="9"/>
      <c r="AD46" s="9" t="s">
        <v>20</v>
      </c>
    </row>
    <row r="47" spans="1:30" ht="29">
      <c r="A47" s="3" t="s">
        <v>510</v>
      </c>
      <c r="B47" s="3" t="s">
        <v>5147</v>
      </c>
      <c r="C47" s="3" t="s">
        <v>5148</v>
      </c>
      <c r="F47" t="s">
        <v>19</v>
      </c>
      <c r="G47" s="9" t="s">
        <v>24</v>
      </c>
      <c r="H47" s="9"/>
      <c r="I47" s="9">
        <v>1</v>
      </c>
      <c r="J47" s="9">
        <v>3</v>
      </c>
      <c r="K47" s="9" t="s">
        <v>12078</v>
      </c>
      <c r="L47" s="9" t="s">
        <v>12079</v>
      </c>
      <c r="M47" s="9"/>
      <c r="N47" s="10"/>
      <c r="O47" s="9"/>
      <c r="P47" s="9">
        <v>11843</v>
      </c>
      <c r="Q47" s="9"/>
      <c r="R47" s="9" t="s">
        <v>12795</v>
      </c>
      <c r="S47" s="9" t="s">
        <v>12795</v>
      </c>
      <c r="T47" s="9"/>
      <c r="U47" s="9"/>
      <c r="V47" s="9"/>
      <c r="W47" s="9"/>
      <c r="X47" s="9"/>
      <c r="Y47" s="9"/>
      <c r="Z47" s="9"/>
      <c r="AA47" s="9"/>
      <c r="AB47" s="9"/>
      <c r="AC47" s="9"/>
      <c r="AD47" s="9" t="s">
        <v>20</v>
      </c>
    </row>
    <row r="48" spans="1:30" ht="29">
      <c r="A48" s="3" t="s">
        <v>515</v>
      </c>
      <c r="B48" s="3" t="s">
        <v>5154</v>
      </c>
      <c r="C48" s="3" t="s">
        <v>5155</v>
      </c>
      <c r="G48" s="9" t="s">
        <v>12120</v>
      </c>
      <c r="H48" s="9"/>
      <c r="I48" s="9"/>
      <c r="J48" s="9"/>
      <c r="K48" s="9"/>
      <c r="L48" s="9"/>
      <c r="M48" s="9"/>
      <c r="N48" s="10"/>
      <c r="O48" s="9"/>
      <c r="P48" s="9"/>
      <c r="Q48" s="9"/>
      <c r="R48" s="9" t="s">
        <v>12795</v>
      </c>
      <c r="S48" s="9" t="s">
        <v>12795</v>
      </c>
      <c r="T48" s="9"/>
      <c r="U48" s="9"/>
      <c r="V48" s="9"/>
      <c r="W48" s="9"/>
      <c r="X48" s="9"/>
      <c r="Y48" s="9"/>
      <c r="Z48" s="9"/>
      <c r="AA48" s="9"/>
      <c r="AB48" s="9"/>
      <c r="AC48" s="9"/>
      <c r="AD48" s="9" t="s">
        <v>20</v>
      </c>
    </row>
    <row r="49" spans="1:30" ht="29">
      <c r="A49" s="3" t="s">
        <v>538</v>
      </c>
      <c r="B49" s="3" t="s">
        <v>541</v>
      </c>
      <c r="C49" s="3" t="s">
        <v>542</v>
      </c>
      <c r="G49" s="9" t="s">
        <v>12120</v>
      </c>
      <c r="H49" s="9"/>
      <c r="I49" s="9"/>
      <c r="J49" s="9"/>
      <c r="K49" s="9"/>
      <c r="L49" s="9"/>
      <c r="M49" s="9"/>
      <c r="N49" s="10"/>
      <c r="O49" s="9"/>
      <c r="P49" s="9"/>
      <c r="Q49" s="9"/>
      <c r="R49" s="9" t="s">
        <v>12795</v>
      </c>
      <c r="S49" s="9" t="s">
        <v>12795</v>
      </c>
      <c r="T49" s="9" t="s">
        <v>12117</v>
      </c>
      <c r="U49" s="9"/>
      <c r="V49" s="9"/>
      <c r="W49" s="9"/>
      <c r="X49" s="9"/>
      <c r="Y49" s="9"/>
      <c r="Z49" s="9"/>
      <c r="AA49" s="9"/>
      <c r="AB49" s="9"/>
      <c r="AC49" s="9"/>
      <c r="AD49" s="9" t="s">
        <v>20</v>
      </c>
    </row>
    <row r="50" spans="1:30" ht="29">
      <c r="A50" s="3" t="s">
        <v>543</v>
      </c>
      <c r="B50" s="3" t="s">
        <v>5171</v>
      </c>
      <c r="C50" s="3" t="s">
        <v>5172</v>
      </c>
      <c r="G50" s="9" t="s">
        <v>12118</v>
      </c>
      <c r="H50" s="9"/>
      <c r="I50" s="9"/>
      <c r="J50" s="9"/>
      <c r="K50" s="9"/>
      <c r="L50" s="9"/>
      <c r="M50" s="9"/>
      <c r="N50" s="10"/>
      <c r="O50" s="9"/>
      <c r="P50" s="9"/>
      <c r="Q50" s="9">
        <v>-1874</v>
      </c>
      <c r="R50" s="9">
        <v>1966</v>
      </c>
      <c r="S50" s="9">
        <v>92</v>
      </c>
      <c r="T50" s="9"/>
      <c r="U50" s="9"/>
      <c r="V50" s="9"/>
      <c r="W50" s="9"/>
      <c r="X50" s="9"/>
      <c r="Y50" s="9"/>
      <c r="Z50" s="9"/>
      <c r="AA50" s="9"/>
      <c r="AB50" s="9"/>
      <c r="AC50" s="9"/>
      <c r="AD50" s="9" t="s">
        <v>20</v>
      </c>
    </row>
    <row r="51" spans="1:30" ht="29">
      <c r="A51" s="3" t="s">
        <v>547</v>
      </c>
      <c r="B51" s="3" t="s">
        <v>5177</v>
      </c>
      <c r="C51" s="3" t="s">
        <v>5178</v>
      </c>
      <c r="G51" s="9" t="s">
        <v>25</v>
      </c>
      <c r="H51" s="9"/>
      <c r="I51" s="9">
        <v>1</v>
      </c>
      <c r="J51" s="9">
        <v>2</v>
      </c>
      <c r="K51" s="9" t="s">
        <v>12123</v>
      </c>
      <c r="L51" s="9" t="s">
        <v>12119</v>
      </c>
      <c r="M51" s="9"/>
      <c r="N51" s="10"/>
      <c r="O51" s="9"/>
      <c r="P51" s="9">
        <v>887</v>
      </c>
      <c r="Q51" s="9"/>
      <c r="R51" s="9" t="s">
        <v>12795</v>
      </c>
      <c r="S51" s="9" t="s">
        <v>12795</v>
      </c>
      <c r="T51" s="9"/>
      <c r="U51" s="9"/>
      <c r="V51" s="9"/>
      <c r="W51" s="9"/>
      <c r="X51" s="9"/>
      <c r="Y51" s="9"/>
      <c r="Z51" s="9"/>
      <c r="AA51" s="9"/>
      <c r="AB51" s="9"/>
      <c r="AC51" s="9"/>
      <c r="AD51" s="9" t="s">
        <v>20</v>
      </c>
    </row>
    <row r="52" spans="1:30" ht="87">
      <c r="A52" s="3" t="s">
        <v>560</v>
      </c>
      <c r="B52" s="3" t="s">
        <v>5189</v>
      </c>
      <c r="C52" s="3" t="s">
        <v>5190</v>
      </c>
      <c r="G52" s="9" t="s">
        <v>26</v>
      </c>
      <c r="H52" s="9"/>
      <c r="I52" s="9"/>
      <c r="J52" s="9"/>
      <c r="K52" s="9"/>
      <c r="L52" s="9"/>
      <c r="M52" s="9"/>
      <c r="N52" s="10"/>
      <c r="O52" s="9"/>
      <c r="P52" s="9"/>
      <c r="Q52" s="9"/>
      <c r="R52" s="9" t="s">
        <v>12795</v>
      </c>
      <c r="S52" s="9" t="s">
        <v>12795</v>
      </c>
      <c r="T52" s="9"/>
      <c r="U52" s="9"/>
      <c r="V52" s="9"/>
      <c r="W52" s="9"/>
      <c r="X52" s="9"/>
      <c r="Y52" s="9"/>
      <c r="Z52" s="9"/>
      <c r="AA52" s="9"/>
      <c r="AB52" s="9"/>
      <c r="AC52" s="9"/>
      <c r="AD52" s="9" t="s">
        <v>20</v>
      </c>
    </row>
    <row r="53" spans="1:30" ht="29">
      <c r="A53" s="3" t="s">
        <v>565</v>
      </c>
      <c r="B53" s="3" t="s">
        <v>566</v>
      </c>
      <c r="C53" s="3" t="s">
        <v>567</v>
      </c>
      <c r="G53" s="9" t="s">
        <v>12120</v>
      </c>
      <c r="H53" s="9"/>
      <c r="I53" s="9"/>
      <c r="J53" s="9"/>
      <c r="K53" s="9"/>
      <c r="L53" s="9"/>
      <c r="M53" s="9"/>
      <c r="N53" s="10"/>
      <c r="O53" s="9"/>
      <c r="P53" s="9"/>
      <c r="Q53" s="9"/>
      <c r="R53" s="9" t="s">
        <v>12795</v>
      </c>
      <c r="S53" s="9" t="s">
        <v>12795</v>
      </c>
      <c r="T53" s="9"/>
      <c r="U53" s="9"/>
      <c r="V53" s="9"/>
      <c r="W53" s="9"/>
      <c r="X53" s="9"/>
      <c r="Y53" s="9"/>
      <c r="Z53" s="9"/>
      <c r="AA53" s="9"/>
      <c r="AB53" s="9"/>
      <c r="AC53" s="9"/>
      <c r="AD53" s="9" t="s">
        <v>20</v>
      </c>
    </row>
    <row r="54" spans="1:30" ht="43.5">
      <c r="A54" s="3" t="s">
        <v>568</v>
      </c>
      <c r="B54" s="3" t="s">
        <v>5193</v>
      </c>
      <c r="C54" s="3" t="s">
        <v>5194</v>
      </c>
      <c r="G54" s="9" t="s">
        <v>26</v>
      </c>
      <c r="H54" s="9"/>
      <c r="I54" s="9"/>
      <c r="J54" s="9"/>
      <c r="K54" s="9"/>
      <c r="L54" s="9"/>
      <c r="M54" s="9"/>
      <c r="N54" s="10"/>
      <c r="O54" s="9"/>
      <c r="P54" s="9"/>
      <c r="Q54" s="9"/>
      <c r="R54" s="9" t="s">
        <v>12795</v>
      </c>
      <c r="S54" s="9" t="s">
        <v>12795</v>
      </c>
      <c r="T54" s="9"/>
      <c r="U54" s="9"/>
      <c r="V54" s="9"/>
      <c r="W54" s="9"/>
      <c r="X54" s="9"/>
      <c r="Y54" s="9"/>
      <c r="Z54" s="9"/>
      <c r="AA54" s="9"/>
      <c r="AB54" s="9"/>
      <c r="AC54" s="9"/>
      <c r="AD54" s="9" t="s">
        <v>20</v>
      </c>
    </row>
    <row r="55" spans="1:30" ht="29">
      <c r="A55" s="3" t="s">
        <v>611</v>
      </c>
      <c r="B55" s="3" t="s">
        <v>612</v>
      </c>
      <c r="C55" s="3" t="s">
        <v>613</v>
      </c>
      <c r="G55" s="9" t="s">
        <v>12120</v>
      </c>
      <c r="H55" s="9"/>
      <c r="I55" s="9"/>
      <c r="J55" s="9"/>
      <c r="K55" s="9"/>
      <c r="L55" s="9"/>
      <c r="M55" s="9"/>
      <c r="N55" s="10"/>
      <c r="O55" s="9"/>
      <c r="P55" s="9"/>
      <c r="Q55" s="9"/>
      <c r="R55" s="9" t="s">
        <v>12795</v>
      </c>
      <c r="S55" s="9" t="s">
        <v>12795</v>
      </c>
      <c r="T55" s="9"/>
      <c r="U55" s="9"/>
      <c r="V55" s="9"/>
      <c r="W55" s="9"/>
      <c r="X55" s="9"/>
      <c r="Y55" s="9"/>
      <c r="Z55" s="9"/>
      <c r="AA55" s="9"/>
      <c r="AB55" s="9"/>
      <c r="AC55" s="9"/>
      <c r="AD55" s="9" t="s">
        <v>20</v>
      </c>
    </row>
    <row r="56" spans="1:30" ht="116">
      <c r="A56" s="3" t="s">
        <v>616</v>
      </c>
      <c r="B56" s="3" t="s">
        <v>5216</v>
      </c>
      <c r="C56" s="3" t="s">
        <v>5217</v>
      </c>
      <c r="G56" s="9" t="s">
        <v>26</v>
      </c>
      <c r="H56" s="9"/>
      <c r="I56" s="9"/>
      <c r="J56" s="9"/>
      <c r="K56" s="9"/>
      <c r="L56" s="9"/>
      <c r="M56" s="9"/>
      <c r="N56" s="10"/>
      <c r="O56" s="9"/>
      <c r="P56" s="9"/>
      <c r="Q56" s="9"/>
      <c r="R56" s="9" t="s">
        <v>12795</v>
      </c>
      <c r="S56" s="9" t="s">
        <v>12795</v>
      </c>
      <c r="T56" s="9"/>
      <c r="U56" s="9"/>
      <c r="V56" s="9"/>
      <c r="W56" s="9"/>
      <c r="X56" s="9"/>
      <c r="Y56" s="9"/>
      <c r="Z56" s="9"/>
      <c r="AA56" s="9"/>
      <c r="AB56" s="9"/>
      <c r="AC56" s="9"/>
      <c r="AD56" s="9" t="s">
        <v>20</v>
      </c>
    </row>
    <row r="57" spans="1:30" ht="29">
      <c r="A57" s="3" t="s">
        <v>628</v>
      </c>
      <c r="B57" s="3" t="s">
        <v>5223</v>
      </c>
      <c r="C57" s="3" t="s">
        <v>5224</v>
      </c>
      <c r="G57" s="9" t="s">
        <v>12118</v>
      </c>
      <c r="H57" s="9"/>
      <c r="I57" s="9"/>
      <c r="J57" s="9"/>
      <c r="K57" s="9"/>
      <c r="L57" s="9"/>
      <c r="M57" s="9"/>
      <c r="N57" s="10"/>
      <c r="O57" s="9"/>
      <c r="P57" s="9"/>
      <c r="Q57" s="9">
        <v>-68</v>
      </c>
      <c r="R57" s="9">
        <v>171</v>
      </c>
      <c r="S57" s="9">
        <v>103</v>
      </c>
      <c r="T57" s="9"/>
      <c r="U57" s="9"/>
      <c r="V57" s="9"/>
      <c r="W57" s="9"/>
      <c r="X57" s="9"/>
      <c r="Y57" s="9"/>
      <c r="Z57" s="9"/>
      <c r="AA57" s="9"/>
      <c r="AB57" s="9"/>
      <c r="AC57" s="9"/>
      <c r="AD57" s="9" t="s">
        <v>20</v>
      </c>
    </row>
    <row r="58" spans="1:30" ht="87">
      <c r="A58" s="3" t="s">
        <v>633</v>
      </c>
      <c r="B58" s="3" t="s">
        <v>5228</v>
      </c>
      <c r="C58" s="3" t="s">
        <v>5226</v>
      </c>
      <c r="G58" s="9" t="s">
        <v>25</v>
      </c>
      <c r="H58" s="9"/>
      <c r="I58" s="9">
        <v>1</v>
      </c>
      <c r="J58" s="9">
        <v>7</v>
      </c>
      <c r="K58" s="9" t="s">
        <v>12092</v>
      </c>
      <c r="L58" s="9" t="s">
        <v>12079</v>
      </c>
      <c r="M58" s="9"/>
      <c r="N58" s="10"/>
      <c r="O58" s="9"/>
      <c r="P58" s="9">
        <v>131</v>
      </c>
      <c r="Q58" s="9"/>
      <c r="R58" s="9" t="s">
        <v>12795</v>
      </c>
      <c r="S58" s="9" t="s">
        <v>12795</v>
      </c>
      <c r="T58" s="9"/>
      <c r="U58" s="9"/>
      <c r="V58" s="9"/>
      <c r="W58" s="9"/>
      <c r="X58" s="9"/>
      <c r="Y58" s="9"/>
      <c r="Z58" s="9"/>
      <c r="AA58" s="9"/>
      <c r="AB58" s="9"/>
      <c r="AC58" s="9"/>
      <c r="AD58" s="9" t="s">
        <v>20</v>
      </c>
    </row>
    <row r="59" spans="1:30" ht="58">
      <c r="A59" s="3" t="s">
        <v>635</v>
      </c>
      <c r="B59" s="3" t="s">
        <v>5229</v>
      </c>
      <c r="C59" s="3" t="s">
        <v>5230</v>
      </c>
      <c r="G59" s="9" t="s">
        <v>25</v>
      </c>
      <c r="H59" s="9"/>
      <c r="I59" s="9">
        <v>1</v>
      </c>
      <c r="J59" s="9">
        <v>3</v>
      </c>
      <c r="K59" s="9" t="s">
        <v>12087</v>
      </c>
      <c r="L59" s="9" t="s">
        <v>12079</v>
      </c>
      <c r="M59" s="9"/>
      <c r="N59" s="10"/>
      <c r="O59" s="9"/>
      <c r="P59" s="9">
        <v>5676</v>
      </c>
      <c r="Q59" s="9"/>
      <c r="R59" s="9" t="s">
        <v>12795</v>
      </c>
      <c r="S59" s="9" t="s">
        <v>12795</v>
      </c>
      <c r="T59" s="9"/>
      <c r="U59" s="9"/>
      <c r="V59" s="9"/>
      <c r="W59" s="9"/>
      <c r="X59" s="9"/>
      <c r="Y59" s="9"/>
      <c r="Z59" s="9"/>
      <c r="AA59" s="9"/>
      <c r="AB59" s="9"/>
      <c r="AC59" s="9"/>
      <c r="AD59" s="9" t="s">
        <v>20</v>
      </c>
    </row>
    <row r="60" spans="1:30" ht="29">
      <c r="A60" s="3" t="s">
        <v>651</v>
      </c>
      <c r="B60" s="3" t="s">
        <v>5241</v>
      </c>
      <c r="C60" s="3" t="s">
        <v>5242</v>
      </c>
      <c r="G60" s="9" t="s">
        <v>25</v>
      </c>
      <c r="H60" s="9"/>
      <c r="I60" s="9">
        <v>1</v>
      </c>
      <c r="J60" s="9">
        <v>2</v>
      </c>
      <c r="K60" s="9" t="s">
        <v>12078</v>
      </c>
      <c r="L60" s="9" t="s">
        <v>12119</v>
      </c>
      <c r="M60" s="9"/>
      <c r="N60" s="10"/>
      <c r="O60" s="9"/>
      <c r="P60" s="9">
        <v>11843</v>
      </c>
      <c r="Q60" s="9"/>
      <c r="R60" s="9" t="s">
        <v>12795</v>
      </c>
      <c r="S60" s="9" t="s">
        <v>12795</v>
      </c>
      <c r="T60" s="9"/>
      <c r="U60" s="9"/>
      <c r="V60" s="9"/>
      <c r="W60" s="9"/>
      <c r="X60" s="9"/>
      <c r="Y60" s="9"/>
      <c r="Z60" s="9"/>
      <c r="AA60" s="9"/>
      <c r="AB60" s="9"/>
      <c r="AC60" s="9"/>
      <c r="AD60" s="9" t="s">
        <v>20</v>
      </c>
    </row>
    <row r="61" spans="1:30" ht="29">
      <c r="A61" s="3" t="s">
        <v>652</v>
      </c>
      <c r="B61" s="3" t="s">
        <v>653</v>
      </c>
      <c r="C61" s="3" t="s">
        <v>654</v>
      </c>
      <c r="G61" s="9" t="s">
        <v>12118</v>
      </c>
      <c r="H61" s="9"/>
      <c r="I61" s="9"/>
      <c r="J61" s="9"/>
      <c r="K61" s="9"/>
      <c r="L61" s="9"/>
      <c r="M61" s="9"/>
      <c r="N61" s="10"/>
      <c r="O61" s="9"/>
      <c r="P61" s="9"/>
      <c r="Q61" s="9">
        <v>-6</v>
      </c>
      <c r="R61" s="9">
        <v>6</v>
      </c>
      <c r="S61" s="9">
        <v>0</v>
      </c>
      <c r="T61" s="9"/>
      <c r="U61" s="9"/>
      <c r="V61" s="9"/>
      <c r="W61" s="9"/>
      <c r="X61" s="9"/>
      <c r="Y61" s="9"/>
      <c r="Z61" s="9"/>
      <c r="AA61" s="9"/>
      <c r="AB61" s="9"/>
      <c r="AC61" s="9"/>
      <c r="AD61" s="9" t="s">
        <v>20</v>
      </c>
    </row>
    <row r="62" spans="1:30" ht="58">
      <c r="A62" s="3" t="s">
        <v>673</v>
      </c>
      <c r="B62" s="3" t="s">
        <v>5261</v>
      </c>
      <c r="C62" s="3" t="s">
        <v>5258</v>
      </c>
      <c r="G62" s="9" t="s">
        <v>25</v>
      </c>
      <c r="H62" s="9"/>
      <c r="I62" s="9">
        <v>2</v>
      </c>
      <c r="J62" s="9">
        <v>11</v>
      </c>
      <c r="K62" s="9"/>
      <c r="L62" s="9" t="s">
        <v>12073</v>
      </c>
      <c r="M62" s="9" t="s">
        <v>12140</v>
      </c>
      <c r="N62" s="10" t="s">
        <v>12136</v>
      </c>
      <c r="O62" s="9"/>
      <c r="P62" s="9">
        <v>371</v>
      </c>
      <c r="Q62" s="9"/>
      <c r="R62" s="9" t="s">
        <v>12795</v>
      </c>
      <c r="S62" s="9" t="s">
        <v>12795</v>
      </c>
      <c r="T62" s="9" t="s">
        <v>12117</v>
      </c>
      <c r="U62" s="9"/>
      <c r="V62" s="9"/>
      <c r="W62" s="9"/>
      <c r="X62" s="9"/>
      <c r="Y62" s="9"/>
      <c r="Z62" s="9"/>
      <c r="AA62" s="9"/>
      <c r="AB62" s="9"/>
      <c r="AC62" s="9"/>
      <c r="AD62" s="9" t="s">
        <v>20</v>
      </c>
    </row>
    <row r="63" spans="1:30" ht="72.5">
      <c r="A63" s="3" t="s">
        <v>673</v>
      </c>
      <c r="B63" s="3" t="s">
        <v>5262</v>
      </c>
      <c r="C63" s="3" t="s">
        <v>5263</v>
      </c>
      <c r="G63" s="9" t="s">
        <v>25</v>
      </c>
      <c r="H63" s="9"/>
      <c r="I63" s="9">
        <v>1</v>
      </c>
      <c r="J63" s="9">
        <v>3</v>
      </c>
      <c r="K63" s="9" t="s">
        <v>12078</v>
      </c>
      <c r="L63" s="9" t="s">
        <v>12079</v>
      </c>
      <c r="M63" s="9"/>
      <c r="N63" s="10"/>
      <c r="O63" s="9"/>
      <c r="P63" s="9">
        <v>11843</v>
      </c>
      <c r="Q63" s="9"/>
      <c r="R63" s="9" t="s">
        <v>12795</v>
      </c>
      <c r="S63" s="9" t="s">
        <v>12795</v>
      </c>
      <c r="T63" s="9" t="s">
        <v>12117</v>
      </c>
      <c r="U63" s="9"/>
      <c r="V63" s="9"/>
      <c r="W63" s="9"/>
      <c r="X63" s="9"/>
      <c r="Y63" s="9"/>
      <c r="Z63" s="9"/>
      <c r="AA63" s="9"/>
      <c r="AB63" s="9"/>
      <c r="AC63" s="9"/>
      <c r="AD63" s="9" t="s">
        <v>20</v>
      </c>
    </row>
    <row r="64" spans="1:30" ht="72.5">
      <c r="A64" s="3" t="s">
        <v>676</v>
      </c>
      <c r="B64" s="3" t="s">
        <v>5264</v>
      </c>
      <c r="C64" s="3" t="s">
        <v>5265</v>
      </c>
      <c r="G64" s="9" t="s">
        <v>25</v>
      </c>
      <c r="H64" s="9"/>
      <c r="I64" s="9">
        <v>2</v>
      </c>
      <c r="J64" s="9">
        <v>11</v>
      </c>
      <c r="K64" s="9"/>
      <c r="L64" s="9" t="s">
        <v>12073</v>
      </c>
      <c r="M64" s="9" t="s">
        <v>12178</v>
      </c>
      <c r="N64" s="10" t="s">
        <v>12138</v>
      </c>
      <c r="O64" s="9"/>
      <c r="P64" s="9">
        <v>47</v>
      </c>
      <c r="Q64" s="9"/>
      <c r="R64" s="9" t="s">
        <v>12795</v>
      </c>
      <c r="S64" s="9" t="s">
        <v>12795</v>
      </c>
      <c r="T64" s="9"/>
      <c r="U64" s="9"/>
      <c r="V64" s="9"/>
      <c r="W64" s="9"/>
      <c r="X64" s="9"/>
      <c r="Y64" s="9"/>
      <c r="Z64" s="9"/>
      <c r="AA64" s="9"/>
      <c r="AB64" s="9"/>
      <c r="AC64" s="9"/>
      <c r="AD64" s="9" t="s">
        <v>20</v>
      </c>
    </row>
    <row r="65" spans="1:30" ht="58">
      <c r="A65" s="3" t="s">
        <v>693</v>
      </c>
      <c r="B65" s="3" t="s">
        <v>5271</v>
      </c>
      <c r="C65" s="3" t="s">
        <v>5270</v>
      </c>
      <c r="G65" s="9" t="s">
        <v>25</v>
      </c>
      <c r="H65" s="9"/>
      <c r="I65" s="9">
        <v>1</v>
      </c>
      <c r="J65" s="9">
        <v>3</v>
      </c>
      <c r="K65" s="9" t="s">
        <v>12078</v>
      </c>
      <c r="L65" s="9" t="s">
        <v>12079</v>
      </c>
      <c r="M65" s="9"/>
      <c r="N65" s="10"/>
      <c r="O65" s="9"/>
      <c r="P65" s="9">
        <v>11843</v>
      </c>
      <c r="Q65" s="9"/>
      <c r="R65" s="9" t="s">
        <v>12795</v>
      </c>
      <c r="S65" s="9" t="s">
        <v>12795</v>
      </c>
      <c r="T65" s="9"/>
      <c r="U65" s="9"/>
      <c r="V65" s="9"/>
      <c r="W65" s="9"/>
      <c r="X65" s="9"/>
      <c r="Y65" s="9"/>
      <c r="Z65" s="9"/>
      <c r="AA65" s="9"/>
      <c r="AB65" s="9"/>
      <c r="AC65" s="9"/>
      <c r="AD65" s="9" t="s">
        <v>20</v>
      </c>
    </row>
    <row r="66" spans="1:30" ht="29">
      <c r="A66" s="3" t="s">
        <v>726</v>
      </c>
      <c r="B66" s="3" t="s">
        <v>727</v>
      </c>
      <c r="C66" s="3" t="s">
        <v>728</v>
      </c>
      <c r="G66" s="9" t="s">
        <v>12118</v>
      </c>
      <c r="H66" s="9"/>
      <c r="I66" s="9"/>
      <c r="J66" s="9"/>
      <c r="K66" s="9"/>
      <c r="L66" s="9"/>
      <c r="M66" s="9"/>
      <c r="N66" s="10"/>
      <c r="O66" s="9"/>
      <c r="P66" s="9"/>
      <c r="Q66" s="9">
        <v>-50</v>
      </c>
      <c r="R66" s="9">
        <v>87</v>
      </c>
      <c r="S66" s="9">
        <v>37</v>
      </c>
      <c r="T66" s="9"/>
      <c r="U66" s="9"/>
      <c r="V66" s="9"/>
      <c r="W66" s="9"/>
      <c r="X66" s="9"/>
      <c r="Y66" s="9"/>
      <c r="Z66" s="9"/>
      <c r="AA66" s="9"/>
      <c r="AB66" s="9"/>
      <c r="AC66" s="9"/>
      <c r="AD66" s="9" t="s">
        <v>20</v>
      </c>
    </row>
    <row r="67" spans="1:30" ht="72.5">
      <c r="A67" s="3" t="s">
        <v>733</v>
      </c>
      <c r="B67" s="3" t="s">
        <v>5305</v>
      </c>
      <c r="C67" s="3" t="s">
        <v>5306</v>
      </c>
      <c r="G67" s="9" t="s">
        <v>26</v>
      </c>
      <c r="H67" s="9"/>
      <c r="I67" s="9"/>
      <c r="J67" s="9"/>
      <c r="K67" s="9"/>
      <c r="L67" s="9"/>
      <c r="M67" s="9"/>
      <c r="N67" s="10"/>
      <c r="O67" s="9"/>
      <c r="P67" s="9"/>
      <c r="Q67" s="9"/>
      <c r="R67" s="9" t="s">
        <v>12795</v>
      </c>
      <c r="S67" s="9" t="s">
        <v>12795</v>
      </c>
      <c r="T67" s="9" t="s">
        <v>12117</v>
      </c>
      <c r="U67" s="9"/>
      <c r="V67" s="9"/>
      <c r="W67" s="9"/>
      <c r="X67" s="9"/>
      <c r="Y67" s="9"/>
      <c r="Z67" s="9"/>
      <c r="AA67" s="9"/>
      <c r="AB67" s="9"/>
      <c r="AC67" s="9"/>
      <c r="AD67" s="9" t="s">
        <v>20</v>
      </c>
    </row>
    <row r="68" spans="1:30" ht="72.5">
      <c r="A68" s="3" t="s">
        <v>741</v>
      </c>
      <c r="B68" s="3" t="s">
        <v>5307</v>
      </c>
      <c r="C68" s="3" t="s">
        <v>5308</v>
      </c>
      <c r="F68" t="s">
        <v>19</v>
      </c>
      <c r="G68" s="9" t="s">
        <v>24</v>
      </c>
      <c r="H68" s="9"/>
      <c r="I68" s="9">
        <v>1</v>
      </c>
      <c r="J68" s="9">
        <v>6</v>
      </c>
      <c r="K68" s="9" t="s">
        <v>12092</v>
      </c>
      <c r="L68" s="9" t="s">
        <v>12079</v>
      </c>
      <c r="M68" s="9"/>
      <c r="N68" s="10"/>
      <c r="O68" s="9"/>
      <c r="P68" s="9">
        <v>152</v>
      </c>
      <c r="Q68" s="9"/>
      <c r="R68" s="9"/>
      <c r="S68" s="9"/>
      <c r="T68" s="9"/>
      <c r="U68" s="9"/>
      <c r="V68" s="9"/>
      <c r="W68" s="9"/>
      <c r="X68" s="9"/>
      <c r="Y68" s="9"/>
      <c r="Z68" s="9"/>
      <c r="AA68" s="9"/>
      <c r="AB68" s="9"/>
      <c r="AC68" s="9"/>
      <c r="AD68" s="9" t="s">
        <v>20</v>
      </c>
    </row>
    <row r="69" spans="1:30" ht="58">
      <c r="A69" s="3" t="s">
        <v>746</v>
      </c>
      <c r="B69" s="3" t="s">
        <v>5316</v>
      </c>
      <c r="C69" s="3" t="s">
        <v>5315</v>
      </c>
      <c r="G69" s="9" t="s">
        <v>25</v>
      </c>
      <c r="H69" s="9"/>
      <c r="I69" s="9">
        <v>1</v>
      </c>
      <c r="J69" s="9">
        <v>5</v>
      </c>
      <c r="K69" s="9" t="s">
        <v>12094</v>
      </c>
      <c r="L69" s="9" t="s">
        <v>12079</v>
      </c>
      <c r="M69" s="9"/>
      <c r="N69" s="10"/>
      <c r="O69" s="9"/>
      <c r="P69" s="9">
        <v>930</v>
      </c>
      <c r="Q69" s="9"/>
      <c r="R69" s="9" t="s">
        <v>12795</v>
      </c>
      <c r="S69" s="9" t="s">
        <v>12795</v>
      </c>
      <c r="T69" s="9"/>
      <c r="U69" s="9"/>
      <c r="V69" s="9"/>
      <c r="W69" s="9"/>
      <c r="X69" s="9"/>
      <c r="Y69" s="9"/>
      <c r="Z69" s="9"/>
      <c r="AA69" s="9"/>
      <c r="AB69" s="9"/>
      <c r="AC69" s="9"/>
      <c r="AD69" s="9" t="s">
        <v>20</v>
      </c>
    </row>
    <row r="70" spans="1:30" ht="58">
      <c r="A70" s="3" t="s">
        <v>746</v>
      </c>
      <c r="B70" s="3" t="s">
        <v>5317</v>
      </c>
      <c r="C70" s="3" t="s">
        <v>5318</v>
      </c>
      <c r="G70" s="9" t="s">
        <v>26</v>
      </c>
      <c r="H70" s="9"/>
      <c r="I70" s="9"/>
      <c r="J70" s="9"/>
      <c r="K70" s="9"/>
      <c r="L70" s="9"/>
      <c r="M70" s="9"/>
      <c r="N70" s="10"/>
      <c r="O70" s="9"/>
      <c r="P70" s="9"/>
      <c r="Q70" s="9"/>
      <c r="R70" s="9" t="s">
        <v>12795</v>
      </c>
      <c r="S70" s="9" t="s">
        <v>12795</v>
      </c>
      <c r="T70" s="9"/>
      <c r="U70" s="9"/>
      <c r="V70" s="9"/>
      <c r="W70" s="9"/>
      <c r="X70" s="9"/>
      <c r="Y70" s="9"/>
      <c r="Z70" s="9"/>
      <c r="AA70" s="9"/>
      <c r="AB70" s="9"/>
      <c r="AC70" s="9"/>
      <c r="AD70" s="9" t="s">
        <v>20</v>
      </c>
    </row>
    <row r="71" spans="1:30" ht="116">
      <c r="A71" s="3" t="s">
        <v>749</v>
      </c>
      <c r="B71" s="3" t="s">
        <v>5319</v>
      </c>
      <c r="C71" s="3" t="s">
        <v>12186</v>
      </c>
      <c r="G71" s="9" t="s">
        <v>24</v>
      </c>
      <c r="H71" s="9"/>
      <c r="I71" s="9">
        <v>2</v>
      </c>
      <c r="J71" s="9">
        <v>12</v>
      </c>
      <c r="K71" s="9"/>
      <c r="L71" s="9" t="s">
        <v>12073</v>
      </c>
      <c r="M71" s="9" t="s">
        <v>12142</v>
      </c>
      <c r="N71" s="10" t="s">
        <v>12187</v>
      </c>
      <c r="O71" s="9" t="s">
        <v>12074</v>
      </c>
      <c r="P71" s="9">
        <v>261</v>
      </c>
      <c r="Q71" s="9"/>
      <c r="R71" s="9" t="s">
        <v>12795</v>
      </c>
      <c r="S71" s="9" t="s">
        <v>12795</v>
      </c>
      <c r="T71" s="9"/>
      <c r="U71" s="9"/>
      <c r="V71" s="9"/>
      <c r="W71" s="9"/>
      <c r="X71" s="9"/>
      <c r="Y71" s="9"/>
      <c r="Z71" s="9"/>
      <c r="AA71" s="9"/>
      <c r="AB71" s="9"/>
      <c r="AC71" s="9"/>
      <c r="AD71" s="9" t="s">
        <v>20</v>
      </c>
    </row>
    <row r="72" spans="1:30" ht="43.5">
      <c r="A72" s="3" t="s">
        <v>756</v>
      </c>
      <c r="B72" s="3" t="s">
        <v>5328</v>
      </c>
      <c r="C72" s="3" t="s">
        <v>5329</v>
      </c>
      <c r="G72" s="9" t="s">
        <v>26</v>
      </c>
      <c r="H72" s="9"/>
      <c r="I72" s="9"/>
      <c r="J72" s="9"/>
      <c r="K72" s="9"/>
      <c r="L72" s="9"/>
      <c r="M72" s="9"/>
      <c r="N72" s="10"/>
      <c r="O72" s="9"/>
      <c r="P72" s="9"/>
      <c r="Q72" s="9"/>
      <c r="R72" s="9" t="s">
        <v>12795</v>
      </c>
      <c r="S72" s="9" t="s">
        <v>12795</v>
      </c>
      <c r="T72" s="9"/>
      <c r="U72" s="9"/>
      <c r="V72" s="9"/>
      <c r="W72" s="9"/>
      <c r="X72" s="9"/>
      <c r="Y72" s="9"/>
      <c r="Z72" s="9"/>
      <c r="AA72" s="9"/>
      <c r="AB72" s="9"/>
      <c r="AC72" s="9"/>
      <c r="AD72" s="9" t="s">
        <v>13141</v>
      </c>
    </row>
    <row r="73" spans="1:30" ht="29">
      <c r="A73" s="3" t="s">
        <v>758</v>
      </c>
      <c r="B73" s="3" t="s">
        <v>759</v>
      </c>
      <c r="C73" s="3" t="s">
        <v>760</v>
      </c>
      <c r="G73" s="9" t="s">
        <v>12120</v>
      </c>
      <c r="H73" s="9"/>
      <c r="I73" s="9"/>
      <c r="J73" s="9"/>
      <c r="K73" s="9"/>
      <c r="L73" s="9"/>
      <c r="M73" s="9"/>
      <c r="N73" s="10"/>
      <c r="O73" s="9"/>
      <c r="P73" s="9"/>
      <c r="Q73" s="9"/>
      <c r="R73" s="9" t="s">
        <v>12795</v>
      </c>
      <c r="S73" s="9" t="s">
        <v>12795</v>
      </c>
      <c r="T73" s="9"/>
      <c r="U73" s="9"/>
      <c r="V73" s="9"/>
      <c r="W73" s="9"/>
      <c r="X73" s="9"/>
      <c r="Y73" s="9"/>
      <c r="Z73" s="9"/>
      <c r="AA73" s="9"/>
      <c r="AB73" s="9"/>
      <c r="AC73" s="9"/>
      <c r="AD73" s="9" t="s">
        <v>20</v>
      </c>
    </row>
    <row r="74" spans="1:30" ht="29">
      <c r="A74" s="3" t="s">
        <v>758</v>
      </c>
      <c r="B74" s="3" t="s">
        <v>761</v>
      </c>
      <c r="C74" s="3" t="s">
        <v>762</v>
      </c>
      <c r="G74" s="9" t="s">
        <v>12120</v>
      </c>
      <c r="H74" s="9"/>
      <c r="I74" s="9"/>
      <c r="J74" s="9"/>
      <c r="K74" s="9"/>
      <c r="L74" s="9"/>
      <c r="M74" s="9"/>
      <c r="N74" s="10"/>
      <c r="O74" s="9"/>
      <c r="P74" s="9"/>
      <c r="Q74" s="9"/>
      <c r="R74" s="9" t="s">
        <v>12795</v>
      </c>
      <c r="S74" s="9" t="s">
        <v>12795</v>
      </c>
      <c r="T74" s="9"/>
      <c r="U74" s="9"/>
      <c r="V74" s="9"/>
      <c r="W74" s="9"/>
      <c r="X74" s="9"/>
      <c r="Y74" s="9"/>
      <c r="Z74" s="9"/>
      <c r="AA74" s="9"/>
      <c r="AB74" s="9"/>
      <c r="AC74" s="9"/>
      <c r="AD74" s="9" t="s">
        <v>20</v>
      </c>
    </row>
    <row r="75" spans="1:30" ht="29">
      <c r="A75" s="3" t="s">
        <v>768</v>
      </c>
      <c r="B75" s="3" t="s">
        <v>5346</v>
      </c>
      <c r="C75" s="3" t="s">
        <v>5347</v>
      </c>
      <c r="G75" s="9" t="s">
        <v>12120</v>
      </c>
      <c r="H75" s="9"/>
      <c r="I75" s="9"/>
      <c r="J75" s="9"/>
      <c r="K75" s="9"/>
      <c r="L75" s="9"/>
      <c r="M75" s="9"/>
      <c r="N75" s="10"/>
      <c r="O75" s="9"/>
      <c r="P75" s="9"/>
      <c r="Q75" s="9"/>
      <c r="R75" s="9" t="s">
        <v>12795</v>
      </c>
      <c r="S75" s="9" t="s">
        <v>12795</v>
      </c>
      <c r="T75" s="9"/>
      <c r="U75" s="9"/>
      <c r="V75" s="9"/>
      <c r="W75" s="9"/>
      <c r="X75" s="9"/>
      <c r="Y75" s="9"/>
      <c r="Z75" s="9"/>
      <c r="AA75" s="9"/>
      <c r="AB75" s="9"/>
      <c r="AC75" s="9"/>
      <c r="AD75" s="9" t="s">
        <v>20</v>
      </c>
    </row>
    <row r="76" spans="1:30" ht="29">
      <c r="A76" s="3" t="s">
        <v>774</v>
      </c>
      <c r="B76" s="3" t="s">
        <v>5355</v>
      </c>
      <c r="C76" s="3" t="s">
        <v>5356</v>
      </c>
      <c r="F76" t="s">
        <v>19</v>
      </c>
      <c r="G76" s="9" t="s">
        <v>25</v>
      </c>
      <c r="H76" s="9"/>
      <c r="I76" s="9">
        <v>1</v>
      </c>
      <c r="J76" s="9">
        <v>2</v>
      </c>
      <c r="K76" s="9" t="s">
        <v>12123</v>
      </c>
      <c r="L76" s="9" t="s">
        <v>12119</v>
      </c>
      <c r="M76" s="9"/>
      <c r="N76" s="10"/>
      <c r="O76" s="9"/>
      <c r="P76" s="9">
        <v>526</v>
      </c>
      <c r="Q76" s="9"/>
      <c r="R76" s="9" t="s">
        <v>12795</v>
      </c>
      <c r="S76" s="9" t="s">
        <v>12795</v>
      </c>
      <c r="T76" s="9"/>
      <c r="U76" s="9"/>
      <c r="V76" s="9"/>
      <c r="W76" s="9"/>
      <c r="X76" s="9"/>
      <c r="Y76" s="9"/>
      <c r="Z76" s="9"/>
      <c r="AA76" s="9"/>
      <c r="AB76" s="9"/>
      <c r="AC76" s="9"/>
      <c r="AD76" s="9" t="s">
        <v>20</v>
      </c>
    </row>
    <row r="77" spans="1:30" ht="43.5">
      <c r="A77" s="3" t="s">
        <v>787</v>
      </c>
      <c r="B77" s="3" t="s">
        <v>5361</v>
      </c>
      <c r="C77" s="3" t="s">
        <v>5362</v>
      </c>
      <c r="G77" s="9" t="s">
        <v>25</v>
      </c>
      <c r="H77" s="9"/>
      <c r="I77" s="9">
        <v>1</v>
      </c>
      <c r="J77" s="9">
        <v>6</v>
      </c>
      <c r="K77" s="9" t="s">
        <v>12084</v>
      </c>
      <c r="L77" s="9" t="s">
        <v>12079</v>
      </c>
      <c r="M77" s="9"/>
      <c r="N77" s="10"/>
      <c r="O77" s="9"/>
      <c r="P77" s="9">
        <v>0</v>
      </c>
      <c r="Q77" s="9"/>
      <c r="R77" s="9" t="s">
        <v>12795</v>
      </c>
      <c r="S77" s="9" t="s">
        <v>12795</v>
      </c>
      <c r="T77" s="9"/>
      <c r="U77" s="9"/>
      <c r="V77" s="9"/>
      <c r="W77" s="9"/>
      <c r="X77" s="9"/>
      <c r="Y77" s="9"/>
      <c r="Z77" s="9"/>
      <c r="AA77" s="9"/>
      <c r="AB77" s="9"/>
      <c r="AC77" s="9"/>
      <c r="AD77" s="9" t="s">
        <v>20</v>
      </c>
    </row>
    <row r="78" spans="1:30" ht="58">
      <c r="A78" s="3" t="s">
        <v>798</v>
      </c>
      <c r="B78" s="3" t="s">
        <v>12986</v>
      </c>
      <c r="C78" s="3" t="s">
        <v>12983</v>
      </c>
      <c r="G78" s="9" t="s">
        <v>25</v>
      </c>
      <c r="H78" s="9"/>
      <c r="I78" s="9">
        <v>1</v>
      </c>
      <c r="J78" s="9">
        <v>5</v>
      </c>
      <c r="K78" s="9" t="s">
        <v>12094</v>
      </c>
      <c r="L78" s="9" t="s">
        <v>12073</v>
      </c>
      <c r="M78" s="9" t="s">
        <v>12142</v>
      </c>
      <c r="N78" s="10" t="s">
        <v>12160</v>
      </c>
      <c r="O78" s="9"/>
      <c r="P78" s="9">
        <v>4240</v>
      </c>
      <c r="Q78" s="9"/>
      <c r="R78" s="9" t="s">
        <v>12795</v>
      </c>
      <c r="S78" s="9" t="s">
        <v>12795</v>
      </c>
      <c r="T78" s="9"/>
      <c r="U78" s="9"/>
      <c r="V78" s="9"/>
      <c r="W78" s="9"/>
      <c r="X78" s="9"/>
      <c r="Y78" s="9"/>
      <c r="Z78" s="9"/>
      <c r="AA78" s="9"/>
      <c r="AB78" s="9"/>
      <c r="AC78" s="9"/>
      <c r="AD78" s="9" t="s">
        <v>20</v>
      </c>
    </row>
    <row r="79" spans="1:30" ht="29">
      <c r="A79" s="3" t="s">
        <v>801</v>
      </c>
      <c r="B79" s="3" t="s">
        <v>5365</v>
      </c>
      <c r="C79" s="3" t="s">
        <v>5366</v>
      </c>
      <c r="G79" s="9" t="s">
        <v>12120</v>
      </c>
      <c r="H79" s="9"/>
      <c r="I79" s="9"/>
      <c r="J79" s="9"/>
      <c r="K79" s="9"/>
      <c r="L79" s="9"/>
      <c r="M79" s="9"/>
      <c r="N79" s="10"/>
      <c r="O79" s="9"/>
      <c r="P79" s="9"/>
      <c r="Q79" s="9"/>
      <c r="R79" s="9" t="s">
        <v>12795</v>
      </c>
      <c r="S79" s="9" t="s">
        <v>12795</v>
      </c>
      <c r="T79" s="9"/>
      <c r="U79" s="9"/>
      <c r="V79" s="9"/>
      <c r="W79" s="9"/>
      <c r="X79" s="9"/>
      <c r="Y79" s="9"/>
      <c r="Z79" s="9"/>
      <c r="AA79" s="9"/>
      <c r="AB79" s="9"/>
      <c r="AC79" s="9"/>
      <c r="AD79" s="9" t="s">
        <v>20</v>
      </c>
    </row>
    <row r="80" spans="1:30" ht="29">
      <c r="A80" s="3" t="s">
        <v>801</v>
      </c>
      <c r="B80" s="3" t="s">
        <v>802</v>
      </c>
      <c r="C80" s="3" t="s">
        <v>803</v>
      </c>
      <c r="G80" s="9" t="s">
        <v>12120</v>
      </c>
      <c r="H80" s="9"/>
      <c r="I80" s="9"/>
      <c r="J80" s="9"/>
      <c r="K80" s="9"/>
      <c r="L80" s="9"/>
      <c r="M80" s="9"/>
      <c r="N80" s="10"/>
      <c r="O80" s="9"/>
      <c r="P80" s="9"/>
      <c r="Q80" s="9"/>
      <c r="R80" s="9" t="s">
        <v>12795</v>
      </c>
      <c r="S80" s="9" t="s">
        <v>12795</v>
      </c>
      <c r="T80" s="9"/>
      <c r="U80" s="9"/>
      <c r="V80" s="9"/>
      <c r="W80" s="9"/>
      <c r="X80" s="9"/>
      <c r="Y80" s="9"/>
      <c r="Z80" s="9"/>
      <c r="AA80" s="9"/>
      <c r="AB80" s="9"/>
      <c r="AC80" s="9"/>
      <c r="AD80" s="9" t="s">
        <v>13141</v>
      </c>
    </row>
    <row r="81" spans="1:30" ht="29">
      <c r="A81" s="3" t="s">
        <v>817</v>
      </c>
      <c r="B81" s="3" t="s">
        <v>5381</v>
      </c>
      <c r="C81" s="3" t="s">
        <v>5382</v>
      </c>
      <c r="G81" s="9" t="s">
        <v>25</v>
      </c>
      <c r="H81" s="9"/>
      <c r="I81" s="9">
        <v>1</v>
      </c>
      <c r="J81" s="9">
        <v>2</v>
      </c>
      <c r="K81" s="9" t="s">
        <v>12087</v>
      </c>
      <c r="L81" s="9" t="s">
        <v>12119</v>
      </c>
      <c r="M81" s="9"/>
      <c r="N81" s="10"/>
      <c r="O81" s="9"/>
      <c r="P81" s="9">
        <v>1966</v>
      </c>
      <c r="Q81" s="9"/>
      <c r="R81" s="9" t="s">
        <v>12795</v>
      </c>
      <c r="S81" s="9" t="s">
        <v>12795</v>
      </c>
      <c r="T81" s="9"/>
      <c r="U81" s="9"/>
      <c r="V81" s="9"/>
      <c r="W81" s="9"/>
      <c r="X81" s="9"/>
      <c r="Y81" s="9"/>
      <c r="Z81" s="9"/>
      <c r="AA81" s="9"/>
      <c r="AB81" s="9"/>
      <c r="AC81" s="9"/>
      <c r="AD81" s="9" t="s">
        <v>13141</v>
      </c>
    </row>
    <row r="82" spans="1:30" ht="29">
      <c r="A82" s="3" t="s">
        <v>818</v>
      </c>
      <c r="B82" s="3" t="s">
        <v>5385</v>
      </c>
      <c r="C82" s="3" t="s">
        <v>5386</v>
      </c>
      <c r="G82" s="9" t="s">
        <v>12120</v>
      </c>
      <c r="H82" s="9"/>
      <c r="I82" s="9"/>
      <c r="J82" s="9"/>
      <c r="K82" s="9"/>
      <c r="L82" s="9"/>
      <c r="M82" s="9"/>
      <c r="N82" s="10"/>
      <c r="O82" s="9"/>
      <c r="P82" s="9"/>
      <c r="Q82" s="9"/>
      <c r="R82" s="9" t="s">
        <v>12795</v>
      </c>
      <c r="S82" s="9" t="s">
        <v>12795</v>
      </c>
      <c r="T82" s="9" t="s">
        <v>12117</v>
      </c>
      <c r="U82" s="9"/>
      <c r="V82" s="9"/>
      <c r="W82" s="9"/>
      <c r="X82" s="9"/>
      <c r="Y82" s="9"/>
      <c r="Z82" s="9"/>
      <c r="AA82" s="9"/>
      <c r="AB82" s="9"/>
      <c r="AC82" s="9"/>
      <c r="AD82" s="9" t="s">
        <v>20</v>
      </c>
    </row>
    <row r="83" spans="1:30" ht="29">
      <c r="A83" s="3" t="s">
        <v>822</v>
      </c>
      <c r="B83" s="3" t="s">
        <v>5385</v>
      </c>
      <c r="C83" s="3" t="s">
        <v>5389</v>
      </c>
      <c r="G83" s="9" t="s">
        <v>12120</v>
      </c>
      <c r="H83" s="9"/>
      <c r="I83" s="9"/>
      <c r="J83" s="9"/>
      <c r="K83" s="9"/>
      <c r="L83" s="9"/>
      <c r="M83" s="9"/>
      <c r="N83" s="10"/>
      <c r="O83" s="9"/>
      <c r="P83" s="9"/>
      <c r="Q83" s="9"/>
      <c r="R83" s="9" t="s">
        <v>12795</v>
      </c>
      <c r="S83" s="9" t="s">
        <v>12795</v>
      </c>
      <c r="T83" s="9"/>
      <c r="U83" s="9"/>
      <c r="V83" s="9"/>
      <c r="W83" s="9"/>
      <c r="X83" s="9"/>
      <c r="Y83" s="9"/>
      <c r="Z83" s="9"/>
      <c r="AA83" s="9"/>
      <c r="AB83" s="9"/>
      <c r="AC83" s="9"/>
      <c r="AD83" s="9" t="s">
        <v>20</v>
      </c>
    </row>
    <row r="84" spans="1:30" ht="29">
      <c r="A84" s="3" t="s">
        <v>824</v>
      </c>
      <c r="B84" s="3" t="s">
        <v>5390</v>
      </c>
      <c r="C84" s="3" t="s">
        <v>5391</v>
      </c>
      <c r="G84" s="9" t="s">
        <v>12120</v>
      </c>
      <c r="H84" s="9"/>
      <c r="I84" s="9"/>
      <c r="J84" s="9"/>
      <c r="K84" s="9"/>
      <c r="L84" s="9"/>
      <c r="M84" s="9"/>
      <c r="N84" s="10"/>
      <c r="O84" s="9"/>
      <c r="P84" s="9"/>
      <c r="Q84" s="9"/>
      <c r="R84" s="9" t="s">
        <v>12795</v>
      </c>
      <c r="S84" s="9" t="s">
        <v>12795</v>
      </c>
      <c r="T84" s="9"/>
      <c r="U84" s="9"/>
      <c r="V84" s="9"/>
      <c r="W84" s="9"/>
      <c r="X84" s="9"/>
      <c r="Y84" s="9"/>
      <c r="Z84" s="9"/>
      <c r="AA84" s="9"/>
      <c r="AB84" s="9"/>
      <c r="AC84" s="9"/>
      <c r="AD84" s="9" t="s">
        <v>20</v>
      </c>
    </row>
    <row r="85" spans="1:30" ht="58">
      <c r="A85" s="3" t="s">
        <v>834</v>
      </c>
      <c r="B85" s="3" t="s">
        <v>5402</v>
      </c>
      <c r="C85" s="3" t="s">
        <v>5401</v>
      </c>
      <c r="G85" s="9" t="s">
        <v>24</v>
      </c>
      <c r="H85" s="9"/>
      <c r="I85" s="9">
        <v>1</v>
      </c>
      <c r="J85" s="9">
        <v>2</v>
      </c>
      <c r="K85" s="9" t="s">
        <v>12123</v>
      </c>
      <c r="L85" s="9" t="s">
        <v>12119</v>
      </c>
      <c r="M85" s="9"/>
      <c r="N85" s="10"/>
      <c r="O85" s="9"/>
      <c r="P85" s="9">
        <v>526</v>
      </c>
      <c r="Q85" s="9"/>
      <c r="R85" s="9" t="s">
        <v>12795</v>
      </c>
      <c r="S85" s="9" t="s">
        <v>12795</v>
      </c>
      <c r="T85" s="9"/>
      <c r="U85" s="9"/>
      <c r="V85" s="9"/>
      <c r="W85" s="9"/>
      <c r="X85" s="9"/>
      <c r="Y85" s="9"/>
      <c r="Z85" s="9"/>
      <c r="AA85" s="9"/>
      <c r="AB85" s="9"/>
      <c r="AC85" s="9"/>
      <c r="AD85" s="9" t="s">
        <v>20</v>
      </c>
    </row>
    <row r="86" spans="1:30" ht="87">
      <c r="A86" s="3" t="s">
        <v>836</v>
      </c>
      <c r="B86" s="3" t="s">
        <v>12856</v>
      </c>
      <c r="C86" s="3" t="s">
        <v>5408</v>
      </c>
      <c r="G86" s="9" t="s">
        <v>26</v>
      </c>
      <c r="H86" s="9"/>
      <c r="I86" s="9"/>
      <c r="J86" s="9"/>
      <c r="K86" s="9"/>
      <c r="L86" s="9"/>
      <c r="M86" s="9"/>
      <c r="N86" s="10"/>
      <c r="O86" s="9"/>
      <c r="P86" s="9"/>
      <c r="Q86" s="9"/>
      <c r="R86" s="9" t="s">
        <v>12795</v>
      </c>
      <c r="S86" s="9" t="s">
        <v>12795</v>
      </c>
      <c r="T86" s="9"/>
      <c r="U86" s="9"/>
      <c r="V86" s="9"/>
      <c r="W86" s="9"/>
      <c r="X86" s="9"/>
      <c r="Y86" s="9"/>
      <c r="Z86" s="9"/>
      <c r="AA86" s="9"/>
      <c r="AB86" s="9"/>
      <c r="AC86" s="9"/>
      <c r="AD86" s="9" t="s">
        <v>20</v>
      </c>
    </row>
    <row r="87" spans="1:30" ht="43.5">
      <c r="A87" s="3" t="s">
        <v>838</v>
      </c>
      <c r="B87" s="3" t="s">
        <v>5419</v>
      </c>
      <c r="C87" s="3" t="s">
        <v>5420</v>
      </c>
      <c r="G87" s="9" t="s">
        <v>24</v>
      </c>
      <c r="H87" s="9"/>
      <c r="I87" s="9">
        <v>1</v>
      </c>
      <c r="J87" s="9">
        <v>1</v>
      </c>
      <c r="K87" s="9" t="s">
        <v>12078</v>
      </c>
      <c r="L87" s="9" t="s">
        <v>12119</v>
      </c>
      <c r="M87" s="9"/>
      <c r="N87" s="10"/>
      <c r="O87" s="9"/>
      <c r="P87" s="9">
        <v>11843</v>
      </c>
      <c r="Q87" s="9"/>
      <c r="R87" s="9" t="s">
        <v>12795</v>
      </c>
      <c r="S87" s="9" t="s">
        <v>12795</v>
      </c>
      <c r="T87" s="9"/>
      <c r="U87" s="9"/>
      <c r="V87" s="9"/>
      <c r="W87" s="9"/>
      <c r="X87" s="9"/>
      <c r="Y87" s="9"/>
      <c r="Z87" s="9"/>
      <c r="AA87" s="9"/>
      <c r="AB87" s="9"/>
      <c r="AC87" s="9"/>
      <c r="AD87" s="9" t="s">
        <v>13141</v>
      </c>
    </row>
    <row r="88" spans="1:30" ht="43.5">
      <c r="A88" s="3" t="s">
        <v>841</v>
      </c>
      <c r="B88" s="3" t="s">
        <v>5429</v>
      </c>
      <c r="C88" s="3" t="s">
        <v>5430</v>
      </c>
      <c r="G88" s="9" t="s">
        <v>12120</v>
      </c>
      <c r="H88" s="9"/>
      <c r="I88" s="9"/>
      <c r="J88" s="9"/>
      <c r="K88" s="9"/>
      <c r="L88" s="9"/>
      <c r="M88" s="9"/>
      <c r="N88" s="10"/>
      <c r="O88" s="9"/>
      <c r="P88" s="9"/>
      <c r="Q88" s="9"/>
      <c r="R88" s="9" t="s">
        <v>12795</v>
      </c>
      <c r="S88" s="9" t="s">
        <v>12795</v>
      </c>
      <c r="T88" s="9"/>
      <c r="U88" s="9"/>
      <c r="V88" s="9"/>
      <c r="W88" s="9"/>
      <c r="X88" s="9"/>
      <c r="Y88" s="9"/>
      <c r="Z88" s="9"/>
      <c r="AA88" s="9"/>
      <c r="AB88" s="9"/>
      <c r="AC88" s="9"/>
      <c r="AD88" s="9" t="s">
        <v>20</v>
      </c>
    </row>
    <row r="89" spans="1:30" ht="43.5">
      <c r="A89" s="3" t="s">
        <v>841</v>
      </c>
      <c r="B89" s="3" t="s">
        <v>5431</v>
      </c>
      <c r="C89" s="3" t="s">
        <v>5432</v>
      </c>
      <c r="G89" s="9" t="s">
        <v>12118</v>
      </c>
      <c r="H89" s="9"/>
      <c r="I89" s="9"/>
      <c r="J89" s="9"/>
      <c r="K89" s="9"/>
      <c r="L89" s="9"/>
      <c r="M89" s="9"/>
      <c r="N89" s="10"/>
      <c r="O89" s="9"/>
      <c r="P89" s="9"/>
      <c r="Q89" s="9">
        <v>234</v>
      </c>
      <c r="R89" s="9">
        <v>31</v>
      </c>
      <c r="S89" s="9">
        <v>265</v>
      </c>
      <c r="T89" s="9"/>
      <c r="U89" s="9"/>
      <c r="V89" s="9"/>
      <c r="W89" s="9"/>
      <c r="X89" s="9"/>
      <c r="Y89" s="9"/>
      <c r="Z89" s="9"/>
      <c r="AA89" s="9"/>
      <c r="AB89" s="9"/>
      <c r="AC89" s="9"/>
      <c r="AD89" s="9" t="s">
        <v>20</v>
      </c>
    </row>
    <row r="90" spans="1:30" ht="72.5">
      <c r="A90" s="3" t="s">
        <v>841</v>
      </c>
      <c r="B90" s="3" t="s">
        <v>5433</v>
      </c>
      <c r="C90" s="3" t="s">
        <v>5434</v>
      </c>
      <c r="G90" s="9" t="s">
        <v>26</v>
      </c>
      <c r="H90" s="9"/>
      <c r="I90" s="9"/>
      <c r="J90" s="9"/>
      <c r="K90" s="9"/>
      <c r="L90" s="9"/>
      <c r="M90" s="9"/>
      <c r="N90" s="10"/>
      <c r="O90" s="9"/>
      <c r="P90" s="9"/>
      <c r="Q90" s="9"/>
      <c r="R90" s="9" t="s">
        <v>12795</v>
      </c>
      <c r="S90" s="9" t="s">
        <v>12795</v>
      </c>
      <c r="T90" s="9"/>
      <c r="U90" s="9"/>
      <c r="V90" s="9"/>
      <c r="W90" s="9"/>
      <c r="X90" s="9"/>
      <c r="Y90" s="9"/>
      <c r="Z90" s="9"/>
      <c r="AA90" s="9"/>
      <c r="AB90" s="9"/>
      <c r="AC90" s="9"/>
      <c r="AD90" s="9" t="s">
        <v>20</v>
      </c>
    </row>
    <row r="91" spans="1:30" ht="72.5">
      <c r="A91" s="3" t="s">
        <v>865</v>
      </c>
      <c r="B91" s="3" t="s">
        <v>5451</v>
      </c>
      <c r="C91" s="3" t="s">
        <v>5452</v>
      </c>
      <c r="G91" s="9" t="s">
        <v>25</v>
      </c>
      <c r="H91" s="9"/>
      <c r="I91" s="9">
        <v>1</v>
      </c>
      <c r="J91" s="9">
        <v>8</v>
      </c>
      <c r="K91" s="9" t="s">
        <v>12092</v>
      </c>
      <c r="L91" s="9" t="s">
        <v>12079</v>
      </c>
      <c r="M91" s="9"/>
      <c r="N91" s="10"/>
      <c r="O91" s="9"/>
      <c r="P91" s="9">
        <v>371</v>
      </c>
      <c r="Q91" s="9"/>
      <c r="R91" s="9" t="s">
        <v>12795</v>
      </c>
      <c r="S91" s="9" t="s">
        <v>12795</v>
      </c>
      <c r="T91" s="9"/>
      <c r="U91" s="9"/>
      <c r="V91" s="9"/>
      <c r="W91" s="9"/>
      <c r="X91" s="9"/>
      <c r="Y91" s="9"/>
      <c r="Z91" s="9"/>
      <c r="AA91" s="9"/>
      <c r="AB91" s="9"/>
      <c r="AC91" s="9"/>
      <c r="AD91" s="9" t="s">
        <v>20</v>
      </c>
    </row>
    <row r="92" spans="1:30" ht="130.5">
      <c r="A92" s="3" t="s">
        <v>866</v>
      </c>
      <c r="B92" s="3" t="s">
        <v>5455</v>
      </c>
      <c r="C92" s="3" t="s">
        <v>5456</v>
      </c>
      <c r="G92" s="9" t="s">
        <v>26</v>
      </c>
      <c r="H92" s="9"/>
      <c r="I92" s="9"/>
      <c r="J92" s="9"/>
      <c r="K92" s="9"/>
      <c r="L92" s="9"/>
      <c r="M92" s="9"/>
      <c r="N92" s="10"/>
      <c r="O92" s="9"/>
      <c r="P92" s="9"/>
      <c r="Q92" s="9"/>
      <c r="R92" s="9" t="s">
        <v>12795</v>
      </c>
      <c r="S92" s="9" t="s">
        <v>12795</v>
      </c>
      <c r="T92" s="9"/>
      <c r="U92" s="9"/>
      <c r="V92" s="9"/>
      <c r="W92" s="9"/>
      <c r="X92" s="9"/>
      <c r="Y92" s="9"/>
      <c r="Z92" s="9"/>
      <c r="AA92" s="9"/>
      <c r="AB92" s="9"/>
      <c r="AC92" s="9"/>
      <c r="AD92" s="9" t="s">
        <v>20</v>
      </c>
    </row>
    <row r="93" spans="1:30" ht="43.5">
      <c r="A93" s="3" t="s">
        <v>881</v>
      </c>
      <c r="B93" s="3" t="s">
        <v>5471</v>
      </c>
      <c r="C93" s="3" t="s">
        <v>5472</v>
      </c>
      <c r="G93" s="9" t="s">
        <v>12118</v>
      </c>
      <c r="H93" s="9"/>
      <c r="I93" s="9"/>
      <c r="J93" s="9"/>
      <c r="K93" s="9"/>
      <c r="L93" s="9"/>
      <c r="M93" s="9"/>
      <c r="N93" s="10"/>
      <c r="O93" s="9"/>
      <c r="P93" s="9"/>
      <c r="Q93" s="9">
        <v>-293</v>
      </c>
      <c r="R93" s="9">
        <v>472</v>
      </c>
      <c r="S93" s="9">
        <v>179</v>
      </c>
      <c r="T93" s="9" t="s">
        <v>4</v>
      </c>
      <c r="U93" s="9"/>
      <c r="V93" s="9"/>
      <c r="W93" s="9"/>
      <c r="X93" s="9"/>
      <c r="Y93" s="9"/>
      <c r="Z93" s="9"/>
      <c r="AA93" s="9"/>
      <c r="AB93" s="9"/>
      <c r="AC93" s="9"/>
      <c r="AD93" s="9" t="s">
        <v>20</v>
      </c>
    </row>
    <row r="94" spans="1:30" ht="58">
      <c r="A94" s="3" t="s">
        <v>891</v>
      </c>
      <c r="B94" s="3" t="s">
        <v>5480</v>
      </c>
      <c r="C94" s="3" t="s">
        <v>5479</v>
      </c>
      <c r="G94" s="9" t="s">
        <v>25</v>
      </c>
      <c r="H94" s="9"/>
      <c r="I94" s="9">
        <v>2</v>
      </c>
      <c r="J94" s="9">
        <v>7</v>
      </c>
      <c r="K94" s="9"/>
      <c r="L94" s="9" t="s">
        <v>12079</v>
      </c>
      <c r="M94" s="9"/>
      <c r="N94" s="10"/>
      <c r="O94" s="9"/>
      <c r="P94" s="9">
        <v>75</v>
      </c>
      <c r="Q94" s="9"/>
      <c r="R94" s="9" t="s">
        <v>12795</v>
      </c>
      <c r="S94" s="9" t="s">
        <v>12795</v>
      </c>
      <c r="T94" s="9"/>
      <c r="U94" s="9"/>
      <c r="V94" s="9"/>
      <c r="W94" s="9"/>
      <c r="X94" s="9"/>
      <c r="Y94" s="9"/>
      <c r="Z94" s="9"/>
      <c r="AA94" s="9"/>
      <c r="AB94" s="9"/>
      <c r="AC94" s="9"/>
      <c r="AD94" s="9" t="s">
        <v>20</v>
      </c>
    </row>
    <row r="95" spans="1:30" ht="29">
      <c r="A95" s="3" t="s">
        <v>895</v>
      </c>
      <c r="B95" s="3" t="s">
        <v>5488</v>
      </c>
      <c r="C95" s="3" t="s">
        <v>5489</v>
      </c>
      <c r="G95" s="9" t="s">
        <v>24</v>
      </c>
      <c r="H95" s="9"/>
      <c r="I95" s="9">
        <v>1</v>
      </c>
      <c r="J95" s="9">
        <v>3</v>
      </c>
      <c r="K95" s="9" t="s">
        <v>12078</v>
      </c>
      <c r="L95" s="9" t="s">
        <v>12079</v>
      </c>
      <c r="M95" s="9"/>
      <c r="N95" s="10"/>
      <c r="O95" s="9"/>
      <c r="P95" s="9">
        <v>11843</v>
      </c>
      <c r="Q95" s="9"/>
      <c r="R95" s="9" t="s">
        <v>12795</v>
      </c>
      <c r="S95" s="9" t="s">
        <v>12795</v>
      </c>
      <c r="T95" s="9" t="s">
        <v>12117</v>
      </c>
      <c r="U95" s="9"/>
      <c r="V95" s="9"/>
      <c r="W95" s="9"/>
      <c r="X95" s="9"/>
      <c r="Y95" s="9"/>
      <c r="Z95" s="9"/>
      <c r="AA95" s="9"/>
      <c r="AB95" s="9"/>
      <c r="AC95" s="9"/>
      <c r="AD95" s="9" t="s">
        <v>13141</v>
      </c>
    </row>
    <row r="96" spans="1:30" ht="43.5">
      <c r="A96" s="3" t="s">
        <v>910</v>
      </c>
      <c r="B96" s="3" t="s">
        <v>5497</v>
      </c>
      <c r="C96" s="3" t="s">
        <v>5498</v>
      </c>
      <c r="G96" s="9" t="s">
        <v>12118</v>
      </c>
      <c r="H96" s="9"/>
      <c r="I96" s="9"/>
      <c r="J96" s="9"/>
      <c r="K96" s="9"/>
      <c r="L96" s="9"/>
      <c r="M96" s="9"/>
      <c r="N96" s="10"/>
      <c r="O96" s="9"/>
      <c r="P96" s="9"/>
      <c r="Q96" s="9">
        <v>-34</v>
      </c>
      <c r="R96" s="9">
        <v>227</v>
      </c>
      <c r="S96" s="9">
        <v>193</v>
      </c>
      <c r="T96" s="9"/>
      <c r="U96" s="9"/>
      <c r="V96" s="9"/>
      <c r="W96" s="9"/>
      <c r="X96" s="9"/>
      <c r="Y96" s="9"/>
      <c r="Z96" s="9"/>
      <c r="AA96" s="9"/>
      <c r="AB96" s="9"/>
      <c r="AC96" s="9"/>
      <c r="AD96" s="9" t="s">
        <v>20</v>
      </c>
    </row>
    <row r="97" spans="1:30" ht="145">
      <c r="A97" s="3" t="s">
        <v>919</v>
      </c>
      <c r="B97" s="3" t="s">
        <v>5507</v>
      </c>
      <c r="C97" s="3" t="s">
        <v>5509</v>
      </c>
      <c r="F97" t="s">
        <v>22</v>
      </c>
      <c r="G97" s="9" t="s">
        <v>25</v>
      </c>
      <c r="H97" s="9"/>
      <c r="I97" s="9">
        <v>4</v>
      </c>
      <c r="J97" s="9">
        <v>16</v>
      </c>
      <c r="K97" s="9"/>
      <c r="L97" s="9" t="s">
        <v>12073</v>
      </c>
      <c r="M97" s="9" t="s">
        <v>12140</v>
      </c>
      <c r="N97" s="10" t="s">
        <v>12136</v>
      </c>
      <c r="O97" s="9"/>
      <c r="P97" s="9">
        <v>8</v>
      </c>
      <c r="Q97" s="9"/>
      <c r="R97" s="9" t="s">
        <v>12795</v>
      </c>
      <c r="S97" s="9" t="s">
        <v>12795</v>
      </c>
      <c r="T97" s="9" t="s">
        <v>12117</v>
      </c>
      <c r="U97" s="9"/>
      <c r="V97" s="9"/>
      <c r="W97" s="9"/>
      <c r="X97" s="9"/>
      <c r="Y97" s="9"/>
      <c r="Z97" s="9"/>
      <c r="AA97" s="9"/>
      <c r="AB97" s="9"/>
      <c r="AC97" s="9"/>
      <c r="AD97" s="9" t="s">
        <v>20</v>
      </c>
    </row>
    <row r="98" spans="1:30" ht="145">
      <c r="A98" s="3" t="s">
        <v>919</v>
      </c>
      <c r="B98" s="3" t="s">
        <v>5508</v>
      </c>
      <c r="C98" s="3" t="s">
        <v>5509</v>
      </c>
      <c r="G98" s="9" t="s">
        <v>25</v>
      </c>
      <c r="H98" s="9"/>
      <c r="I98" s="9">
        <v>1</v>
      </c>
      <c r="J98" s="9">
        <v>4</v>
      </c>
      <c r="K98" s="9" t="s">
        <v>12094</v>
      </c>
      <c r="L98" s="9" t="s">
        <v>12079</v>
      </c>
      <c r="M98" s="9"/>
      <c r="N98" s="10"/>
      <c r="O98" s="9"/>
      <c r="P98" s="9">
        <v>50</v>
      </c>
      <c r="Q98" s="9"/>
      <c r="R98" s="9" t="s">
        <v>12795</v>
      </c>
      <c r="S98" s="9" t="s">
        <v>12795</v>
      </c>
      <c r="T98" s="9"/>
      <c r="U98" s="9"/>
      <c r="V98" s="9"/>
      <c r="W98" s="9"/>
      <c r="X98" s="9"/>
      <c r="Y98" s="9"/>
      <c r="Z98" s="9"/>
      <c r="AA98" s="9"/>
      <c r="AB98" s="9"/>
      <c r="AC98" s="9"/>
      <c r="AD98" s="9" t="s">
        <v>20</v>
      </c>
    </row>
    <row r="99" spans="1:30" ht="72.5">
      <c r="A99" s="3" t="s">
        <v>928</v>
      </c>
      <c r="B99" s="3" t="s">
        <v>5526</v>
      </c>
      <c r="C99" s="3" t="s">
        <v>5525</v>
      </c>
      <c r="G99" s="9" t="s">
        <v>26</v>
      </c>
      <c r="H99" s="9"/>
      <c r="I99" s="9"/>
      <c r="J99" s="9"/>
      <c r="K99" s="9"/>
      <c r="L99" s="9"/>
      <c r="M99" s="9"/>
      <c r="N99" s="10"/>
      <c r="O99" s="9"/>
      <c r="P99" s="9"/>
      <c r="Q99" s="9"/>
      <c r="R99" s="9" t="s">
        <v>12795</v>
      </c>
      <c r="S99" s="9" t="s">
        <v>12795</v>
      </c>
      <c r="T99" s="9" t="s">
        <v>12117</v>
      </c>
      <c r="U99" s="9"/>
      <c r="V99" s="9"/>
      <c r="W99" s="9"/>
      <c r="X99" s="9"/>
      <c r="Y99" s="9"/>
      <c r="Z99" s="9"/>
      <c r="AA99" s="9"/>
      <c r="AB99" s="9"/>
      <c r="AC99" s="9"/>
      <c r="AD99" s="9" t="s">
        <v>20</v>
      </c>
    </row>
    <row r="100" spans="1:30" ht="72.5">
      <c r="A100" s="3" t="s">
        <v>929</v>
      </c>
      <c r="B100" s="3" t="s">
        <v>5528</v>
      </c>
      <c r="C100" s="3" t="s">
        <v>5527</v>
      </c>
      <c r="G100" s="9" t="s">
        <v>25</v>
      </c>
      <c r="H100" s="9"/>
      <c r="I100" s="9">
        <v>1</v>
      </c>
      <c r="J100" s="9">
        <v>2</v>
      </c>
      <c r="K100" s="9" t="s">
        <v>12078</v>
      </c>
      <c r="L100" s="9" t="s">
        <v>12119</v>
      </c>
      <c r="M100" s="9"/>
      <c r="N100" s="10"/>
      <c r="O100" s="9"/>
      <c r="P100" s="9">
        <v>11843</v>
      </c>
      <c r="Q100" s="9"/>
      <c r="R100" s="9" t="s">
        <v>12795</v>
      </c>
      <c r="S100" s="9" t="s">
        <v>12795</v>
      </c>
      <c r="T100" s="9"/>
      <c r="U100" s="9"/>
      <c r="V100" s="9"/>
      <c r="W100" s="9"/>
      <c r="X100" s="9"/>
      <c r="Y100" s="9"/>
      <c r="Z100" s="9"/>
      <c r="AA100" s="9"/>
      <c r="AB100" s="9"/>
      <c r="AC100" s="9"/>
      <c r="AD100" s="9" t="s">
        <v>20</v>
      </c>
    </row>
    <row r="101" spans="1:30" ht="72.5">
      <c r="A101" s="3" t="s">
        <v>929</v>
      </c>
      <c r="B101" s="3" t="s">
        <v>5529</v>
      </c>
      <c r="C101" s="3" t="s">
        <v>5530</v>
      </c>
      <c r="G101" s="9" t="s">
        <v>26</v>
      </c>
      <c r="H101" s="9"/>
      <c r="I101" s="9"/>
      <c r="J101" s="9"/>
      <c r="K101" s="9"/>
      <c r="L101" s="9"/>
      <c r="M101" s="9"/>
      <c r="N101" s="10"/>
      <c r="O101" s="9"/>
      <c r="P101" s="9"/>
      <c r="Q101" s="9"/>
      <c r="R101" s="9" t="s">
        <v>12795</v>
      </c>
      <c r="S101" s="9" t="s">
        <v>12795</v>
      </c>
      <c r="T101" s="9"/>
      <c r="U101" s="9"/>
      <c r="V101" s="9"/>
      <c r="W101" s="9"/>
      <c r="X101" s="9"/>
      <c r="Y101" s="9"/>
      <c r="Z101" s="9"/>
      <c r="AA101" s="9"/>
      <c r="AB101" s="9"/>
      <c r="AC101" s="9"/>
      <c r="AD101" s="9" t="s">
        <v>20</v>
      </c>
    </row>
    <row r="102" spans="1:30" ht="58">
      <c r="A102" s="3" t="s">
        <v>940</v>
      </c>
      <c r="B102" s="3" t="s">
        <v>13097</v>
      </c>
      <c r="C102" s="3" t="s">
        <v>5541</v>
      </c>
      <c r="G102" s="9" t="s">
        <v>25</v>
      </c>
      <c r="H102" s="9"/>
      <c r="I102" s="9">
        <v>1</v>
      </c>
      <c r="J102" s="9">
        <v>2</v>
      </c>
      <c r="K102" s="9" t="s">
        <v>12096</v>
      </c>
      <c r="L102" s="9" t="s">
        <v>12119</v>
      </c>
      <c r="M102" s="9"/>
      <c r="N102" s="10"/>
      <c r="O102" s="9"/>
      <c r="P102" s="9">
        <v>560</v>
      </c>
      <c r="Q102" s="9"/>
      <c r="R102" s="9" t="s">
        <v>12795</v>
      </c>
      <c r="S102" s="9" t="s">
        <v>12795</v>
      </c>
      <c r="T102" s="9"/>
      <c r="U102" s="9"/>
      <c r="V102" s="9"/>
      <c r="W102" s="9"/>
      <c r="X102" s="9"/>
      <c r="Y102" s="9"/>
      <c r="Z102" s="9"/>
      <c r="AA102" s="9"/>
      <c r="AB102" s="9"/>
      <c r="AC102" s="9"/>
      <c r="AD102" s="9" t="s">
        <v>20</v>
      </c>
    </row>
    <row r="103" spans="1:30" ht="87">
      <c r="A103" s="3" t="s">
        <v>948</v>
      </c>
      <c r="B103" s="3" t="s">
        <v>5553</v>
      </c>
      <c r="C103" s="3" t="s">
        <v>5554</v>
      </c>
      <c r="G103" s="9" t="s">
        <v>25</v>
      </c>
      <c r="H103" s="9"/>
      <c r="I103" s="9">
        <v>3</v>
      </c>
      <c r="J103" s="9">
        <v>15</v>
      </c>
      <c r="K103" s="9"/>
      <c r="L103" s="9" t="s">
        <v>12073</v>
      </c>
      <c r="M103" s="9" t="s">
        <v>12140</v>
      </c>
      <c r="N103" s="10" t="s">
        <v>12137</v>
      </c>
      <c r="O103" s="9"/>
      <c r="P103" s="9">
        <v>62</v>
      </c>
      <c r="Q103" s="9"/>
      <c r="R103" s="9" t="s">
        <v>12795</v>
      </c>
      <c r="S103" s="9" t="s">
        <v>12795</v>
      </c>
      <c r="T103" s="9"/>
      <c r="U103" s="9"/>
      <c r="V103" s="9"/>
      <c r="W103" s="9"/>
      <c r="X103" s="9"/>
      <c r="Y103" s="9"/>
      <c r="Z103" s="9"/>
      <c r="AA103" s="9"/>
      <c r="AB103" s="9"/>
      <c r="AC103" s="9"/>
      <c r="AD103" s="9" t="s">
        <v>20</v>
      </c>
    </row>
    <row r="104" spans="1:30" ht="72.5">
      <c r="A104" s="3" t="s">
        <v>949</v>
      </c>
      <c r="B104" s="3" t="s">
        <v>5561</v>
      </c>
      <c r="C104" s="3" t="s">
        <v>5563</v>
      </c>
      <c r="G104" s="9" t="s">
        <v>24</v>
      </c>
      <c r="H104" s="9"/>
      <c r="I104" s="9">
        <v>1</v>
      </c>
      <c r="J104" s="9">
        <v>3</v>
      </c>
      <c r="K104" s="9" t="s">
        <v>12078</v>
      </c>
      <c r="L104" s="9" t="s">
        <v>12079</v>
      </c>
      <c r="M104" s="9"/>
      <c r="N104" s="10"/>
      <c r="O104" s="9"/>
      <c r="P104" s="9">
        <v>11843</v>
      </c>
      <c r="Q104" s="9"/>
      <c r="R104" s="9" t="s">
        <v>12795</v>
      </c>
      <c r="S104" s="9" t="s">
        <v>12795</v>
      </c>
      <c r="T104" s="9"/>
      <c r="U104" s="9"/>
      <c r="V104" s="9"/>
      <c r="W104" s="9"/>
      <c r="X104" s="9"/>
      <c r="Y104" s="9"/>
      <c r="Z104" s="9"/>
      <c r="AA104" s="9"/>
      <c r="AB104" s="9"/>
      <c r="AC104" s="9"/>
      <c r="AD104" s="9" t="s">
        <v>20</v>
      </c>
    </row>
    <row r="105" spans="1:30" ht="29">
      <c r="A105" s="3" t="s">
        <v>961</v>
      </c>
      <c r="B105" s="3" t="s">
        <v>962</v>
      </c>
      <c r="C105" s="3" t="s">
        <v>963</v>
      </c>
      <c r="G105" s="9" t="s">
        <v>12120</v>
      </c>
      <c r="H105" s="9"/>
      <c r="I105" s="9"/>
      <c r="J105" s="9"/>
      <c r="K105" s="9"/>
      <c r="L105" s="9"/>
      <c r="M105" s="9"/>
      <c r="N105" s="10"/>
      <c r="O105" s="9"/>
      <c r="P105" s="9"/>
      <c r="Q105" s="9"/>
      <c r="R105" s="9" t="s">
        <v>12795</v>
      </c>
      <c r="S105" s="9" t="s">
        <v>12795</v>
      </c>
      <c r="T105" s="9"/>
      <c r="U105" s="9"/>
      <c r="V105" s="9"/>
      <c r="W105" s="9"/>
      <c r="X105" s="9"/>
      <c r="Y105" s="9"/>
      <c r="Z105" s="9"/>
      <c r="AA105" s="9"/>
      <c r="AB105" s="9"/>
      <c r="AC105" s="9"/>
      <c r="AD105" s="9" t="s">
        <v>13141</v>
      </c>
    </row>
    <row r="106" spans="1:30" ht="101.5">
      <c r="A106" s="3" t="s">
        <v>973</v>
      </c>
      <c r="B106" s="3" t="s">
        <v>5589</v>
      </c>
      <c r="C106" s="3" t="s">
        <v>5590</v>
      </c>
      <c r="G106" s="9" t="s">
        <v>26</v>
      </c>
      <c r="H106" s="9"/>
      <c r="I106" s="9"/>
      <c r="J106" s="9"/>
      <c r="K106" s="9"/>
      <c r="L106" s="9"/>
      <c r="M106" s="9"/>
      <c r="N106" s="10"/>
      <c r="O106" s="9"/>
      <c r="P106" s="9"/>
      <c r="Q106" s="9"/>
      <c r="R106" s="9" t="s">
        <v>12795</v>
      </c>
      <c r="S106" s="9" t="s">
        <v>12795</v>
      </c>
      <c r="T106" s="9"/>
      <c r="U106" s="9"/>
      <c r="V106" s="9"/>
      <c r="W106" s="9"/>
      <c r="X106" s="9"/>
      <c r="Y106" s="9"/>
      <c r="Z106" s="9"/>
      <c r="AA106" s="9"/>
      <c r="AB106" s="9"/>
      <c r="AC106" s="9"/>
      <c r="AD106" s="9" t="s">
        <v>20</v>
      </c>
    </row>
    <row r="107" spans="1:30" ht="101.5">
      <c r="A107" s="3" t="s">
        <v>973</v>
      </c>
      <c r="B107" s="3" t="s">
        <v>5591</v>
      </c>
      <c r="C107" s="3" t="s">
        <v>5588</v>
      </c>
      <c r="G107" s="9" t="s">
        <v>25</v>
      </c>
      <c r="H107" s="9"/>
      <c r="I107" s="9">
        <v>3</v>
      </c>
      <c r="J107" s="9">
        <v>13</v>
      </c>
      <c r="K107" s="9"/>
      <c r="L107" s="9" t="s">
        <v>12079</v>
      </c>
      <c r="M107" s="9"/>
      <c r="N107" s="10"/>
      <c r="O107" s="9"/>
      <c r="P107" s="9">
        <v>105</v>
      </c>
      <c r="Q107" s="9"/>
      <c r="R107" s="9" t="s">
        <v>12795</v>
      </c>
      <c r="S107" s="9" t="s">
        <v>12795</v>
      </c>
      <c r="T107" s="9"/>
      <c r="U107" s="9"/>
      <c r="V107" s="9"/>
      <c r="W107" s="9"/>
      <c r="X107" s="9"/>
      <c r="Y107" s="9"/>
      <c r="Z107" s="9"/>
      <c r="AA107" s="9"/>
      <c r="AB107" s="9"/>
      <c r="AC107" s="9"/>
      <c r="AD107" s="9" t="s">
        <v>20</v>
      </c>
    </row>
    <row r="108" spans="1:30" ht="43.5">
      <c r="A108" s="3" t="s">
        <v>987</v>
      </c>
      <c r="B108" s="3" t="s">
        <v>5600</v>
      </c>
      <c r="C108" s="3" t="s">
        <v>5601</v>
      </c>
      <c r="G108" s="9" t="s">
        <v>12120</v>
      </c>
      <c r="H108" s="9"/>
      <c r="I108" s="9"/>
      <c r="J108" s="9"/>
      <c r="K108" s="9"/>
      <c r="L108" s="9"/>
      <c r="M108" s="9"/>
      <c r="N108" s="10"/>
      <c r="O108" s="9"/>
      <c r="P108" s="9"/>
      <c r="Q108" s="9"/>
      <c r="R108" s="9" t="s">
        <v>12795</v>
      </c>
      <c r="S108" s="9" t="s">
        <v>12795</v>
      </c>
      <c r="T108" s="9"/>
      <c r="U108" s="9"/>
      <c r="V108" s="9"/>
      <c r="W108" s="9"/>
      <c r="X108" s="9"/>
      <c r="Y108" s="9"/>
      <c r="Z108" s="9"/>
      <c r="AA108" s="9"/>
      <c r="AB108" s="9"/>
      <c r="AC108" s="9"/>
      <c r="AD108" s="9" t="s">
        <v>20</v>
      </c>
    </row>
    <row r="109" spans="1:30" ht="29">
      <c r="A109" s="3" t="s">
        <v>995</v>
      </c>
      <c r="B109" s="3" t="s">
        <v>996</v>
      </c>
      <c r="C109" s="3" t="s">
        <v>997</v>
      </c>
      <c r="G109" s="9" t="s">
        <v>12120</v>
      </c>
      <c r="H109" s="9"/>
      <c r="I109" s="9"/>
      <c r="J109" s="9"/>
      <c r="K109" s="9"/>
      <c r="L109" s="9"/>
      <c r="M109" s="9"/>
      <c r="N109" s="10"/>
      <c r="O109" s="9"/>
      <c r="P109" s="9"/>
      <c r="Q109" s="9"/>
      <c r="R109" s="9" t="s">
        <v>12795</v>
      </c>
      <c r="S109" s="9" t="s">
        <v>12795</v>
      </c>
      <c r="T109" s="9"/>
      <c r="U109" s="9"/>
      <c r="V109" s="9"/>
      <c r="W109" s="9"/>
      <c r="X109" s="9"/>
      <c r="Y109" s="9"/>
      <c r="Z109" s="9"/>
      <c r="AA109" s="9"/>
      <c r="AB109" s="9"/>
      <c r="AC109" s="9"/>
      <c r="AD109" s="9" t="s">
        <v>20</v>
      </c>
    </row>
    <row r="110" spans="1:30" ht="43.5">
      <c r="A110" s="3" t="s">
        <v>1011</v>
      </c>
      <c r="B110" s="3" t="s">
        <v>5614</v>
      </c>
      <c r="C110" s="3" t="s">
        <v>5615</v>
      </c>
      <c r="G110" s="9" t="s">
        <v>24</v>
      </c>
      <c r="H110" s="9"/>
      <c r="I110" s="9">
        <v>2</v>
      </c>
      <c r="J110" s="9">
        <v>4</v>
      </c>
      <c r="K110" s="9"/>
      <c r="L110" s="9" t="s">
        <v>12079</v>
      </c>
      <c r="M110" s="9"/>
      <c r="N110" s="10"/>
      <c r="O110" s="9"/>
      <c r="P110" s="9">
        <v>5676</v>
      </c>
      <c r="Q110" s="9"/>
      <c r="R110" s="9" t="s">
        <v>12795</v>
      </c>
      <c r="S110" s="9" t="s">
        <v>12795</v>
      </c>
      <c r="T110" s="9"/>
      <c r="U110" s="9"/>
      <c r="V110" s="9"/>
      <c r="W110" s="9"/>
      <c r="X110" s="9"/>
      <c r="Y110" s="9"/>
      <c r="Z110" s="9"/>
      <c r="AA110" s="9"/>
      <c r="AB110" s="9"/>
      <c r="AC110" s="9"/>
      <c r="AD110" s="9" t="s">
        <v>20</v>
      </c>
    </row>
    <row r="111" spans="1:30" ht="87">
      <c r="A111" s="3" t="s">
        <v>1019</v>
      </c>
      <c r="B111" s="3" t="s">
        <v>5620</v>
      </c>
      <c r="C111" s="3" t="s">
        <v>5621</v>
      </c>
      <c r="G111" s="9" t="s">
        <v>26</v>
      </c>
      <c r="H111" s="9"/>
      <c r="I111" s="9"/>
      <c r="J111" s="9"/>
      <c r="K111" s="9"/>
      <c r="L111" s="9"/>
      <c r="M111" s="9"/>
      <c r="N111" s="10"/>
      <c r="O111" s="9"/>
      <c r="P111" s="9"/>
      <c r="Q111" s="9"/>
      <c r="R111" s="9" t="s">
        <v>12795</v>
      </c>
      <c r="S111" s="9" t="s">
        <v>12795</v>
      </c>
      <c r="T111" s="9"/>
      <c r="U111" s="9"/>
      <c r="V111" s="9"/>
      <c r="W111" s="9"/>
      <c r="X111" s="9"/>
      <c r="Y111" s="9"/>
      <c r="Z111" s="9"/>
      <c r="AA111" s="9"/>
      <c r="AB111" s="9"/>
      <c r="AC111" s="9"/>
      <c r="AD111" s="9" t="s">
        <v>20</v>
      </c>
    </row>
    <row r="112" spans="1:30" ht="29">
      <c r="A112" s="3" t="s">
        <v>1032</v>
      </c>
      <c r="B112" s="3" t="s">
        <v>5624</v>
      </c>
      <c r="C112" s="3" t="s">
        <v>5625</v>
      </c>
      <c r="G112" s="9" t="s">
        <v>25</v>
      </c>
      <c r="H112" s="9"/>
      <c r="I112" s="9">
        <v>1</v>
      </c>
      <c r="J112" s="9">
        <v>1</v>
      </c>
      <c r="K112" s="9" t="s">
        <v>12078</v>
      </c>
      <c r="L112" s="9" t="s">
        <v>12119</v>
      </c>
      <c r="M112" s="9"/>
      <c r="N112" s="10"/>
      <c r="O112" s="9"/>
      <c r="P112" s="9">
        <v>11843</v>
      </c>
      <c r="Q112" s="9"/>
      <c r="R112" s="9" t="s">
        <v>12795</v>
      </c>
      <c r="S112" s="9" t="s">
        <v>12795</v>
      </c>
      <c r="T112" s="9"/>
      <c r="U112" s="9"/>
      <c r="V112" s="9"/>
      <c r="W112" s="9"/>
      <c r="X112" s="9"/>
      <c r="Y112" s="9"/>
      <c r="Z112" s="9"/>
      <c r="AA112" s="9"/>
      <c r="AB112" s="9"/>
      <c r="AC112" s="9"/>
      <c r="AD112" s="9" t="s">
        <v>20</v>
      </c>
    </row>
    <row r="113" spans="1:30" ht="43.5">
      <c r="A113" s="3" t="s">
        <v>1037</v>
      </c>
      <c r="B113" s="3" t="s">
        <v>5635</v>
      </c>
      <c r="C113" s="3" t="s">
        <v>5636</v>
      </c>
      <c r="G113" s="9" t="s">
        <v>25</v>
      </c>
      <c r="H113" s="9"/>
      <c r="I113" s="9">
        <v>1</v>
      </c>
      <c r="J113" s="9">
        <v>4</v>
      </c>
      <c r="K113" s="9" t="s">
        <v>12078</v>
      </c>
      <c r="L113" s="9" t="s">
        <v>12073</v>
      </c>
      <c r="M113" s="9" t="s">
        <v>12149</v>
      </c>
      <c r="N113" s="10" t="s">
        <v>12143</v>
      </c>
      <c r="O113" s="9"/>
      <c r="P113" s="9">
        <v>11843</v>
      </c>
      <c r="Q113" s="9"/>
      <c r="R113" s="9" t="s">
        <v>12795</v>
      </c>
      <c r="S113" s="9" t="s">
        <v>12795</v>
      </c>
      <c r="T113" s="9"/>
      <c r="U113" s="9"/>
      <c r="V113" s="9"/>
      <c r="W113" s="9"/>
      <c r="X113" s="9"/>
      <c r="Y113" s="9"/>
      <c r="Z113" s="9"/>
      <c r="AA113" s="9"/>
      <c r="AB113" s="9"/>
      <c r="AC113" s="9"/>
      <c r="AD113" s="9" t="s">
        <v>20</v>
      </c>
    </row>
    <row r="114" spans="1:30" ht="72.5">
      <c r="A114" s="3" t="s">
        <v>1058</v>
      </c>
      <c r="B114" s="3" t="s">
        <v>5655</v>
      </c>
      <c r="C114" s="3" t="s">
        <v>5656</v>
      </c>
      <c r="G114" s="9" t="s">
        <v>26</v>
      </c>
      <c r="H114" s="9"/>
      <c r="I114" s="9"/>
      <c r="J114" s="9"/>
      <c r="K114" s="9"/>
      <c r="L114" s="9"/>
      <c r="M114" s="9"/>
      <c r="N114" s="10"/>
      <c r="O114" s="9"/>
      <c r="P114" s="9"/>
      <c r="Q114" s="9"/>
      <c r="R114" s="9" t="s">
        <v>12795</v>
      </c>
      <c r="S114" s="9" t="s">
        <v>12795</v>
      </c>
      <c r="T114" s="9"/>
      <c r="U114" s="9"/>
      <c r="V114" s="9"/>
      <c r="W114" s="9"/>
      <c r="X114" s="9"/>
      <c r="Y114" s="9"/>
      <c r="Z114" s="9"/>
      <c r="AA114" s="9"/>
      <c r="AB114" s="9"/>
      <c r="AC114" s="9"/>
      <c r="AD114" s="9" t="s">
        <v>20</v>
      </c>
    </row>
    <row r="115" spans="1:30" ht="43.5">
      <c r="A115" s="3" t="s">
        <v>1081</v>
      </c>
      <c r="B115" s="3" t="s">
        <v>5661</v>
      </c>
      <c r="C115" s="3" t="s">
        <v>5662</v>
      </c>
      <c r="G115" s="9" t="s">
        <v>24</v>
      </c>
      <c r="H115" s="9"/>
      <c r="I115" s="9">
        <v>1</v>
      </c>
      <c r="J115" s="9">
        <v>1</v>
      </c>
      <c r="K115" s="9" t="s">
        <v>12078</v>
      </c>
      <c r="L115" s="9" t="s">
        <v>12119</v>
      </c>
      <c r="M115" s="9"/>
      <c r="N115" s="10"/>
      <c r="O115" s="9"/>
      <c r="P115" s="9">
        <v>11843</v>
      </c>
      <c r="Q115" s="9"/>
      <c r="R115" s="9" t="s">
        <v>12795</v>
      </c>
      <c r="S115" s="9" t="s">
        <v>12795</v>
      </c>
      <c r="T115" s="9"/>
      <c r="U115" s="9"/>
      <c r="V115" s="9"/>
      <c r="W115" s="9"/>
      <c r="X115" s="9"/>
      <c r="Y115" s="9"/>
      <c r="Z115" s="9"/>
      <c r="AA115" s="9"/>
      <c r="AB115" s="9"/>
      <c r="AC115" s="9"/>
      <c r="AD115" s="9" t="s">
        <v>20</v>
      </c>
    </row>
    <row r="116" spans="1:30" ht="43.5">
      <c r="A116" s="3" t="s">
        <v>1084</v>
      </c>
      <c r="B116" s="3" t="s">
        <v>5665</v>
      </c>
      <c r="C116" s="3" t="s">
        <v>5666</v>
      </c>
      <c r="G116" s="9" t="s">
        <v>24</v>
      </c>
      <c r="H116" s="9"/>
      <c r="I116" s="9">
        <v>1</v>
      </c>
      <c r="J116" s="9">
        <v>2</v>
      </c>
      <c r="K116" s="9" t="s">
        <v>12094</v>
      </c>
      <c r="L116" s="9" t="s">
        <v>12119</v>
      </c>
      <c r="M116" s="9"/>
      <c r="N116" s="10"/>
      <c r="O116" s="9" t="s">
        <v>12074</v>
      </c>
      <c r="P116" s="9">
        <v>412</v>
      </c>
      <c r="Q116" s="9"/>
      <c r="R116" s="9" t="s">
        <v>12795</v>
      </c>
      <c r="S116" s="9" t="s">
        <v>12795</v>
      </c>
      <c r="T116" s="9"/>
      <c r="U116" s="9"/>
      <c r="V116" s="9"/>
      <c r="W116" s="9"/>
      <c r="X116" s="9"/>
      <c r="Y116" s="9"/>
      <c r="Z116" s="9"/>
      <c r="AA116" s="9"/>
      <c r="AB116" s="9"/>
      <c r="AC116" s="9"/>
      <c r="AD116" s="9" t="s">
        <v>20</v>
      </c>
    </row>
    <row r="117" spans="1:30" ht="43.5">
      <c r="A117" s="3" t="s">
        <v>1085</v>
      </c>
      <c r="B117" s="3" t="s">
        <v>5668</v>
      </c>
      <c r="C117" s="3" t="s">
        <v>5667</v>
      </c>
      <c r="G117" s="9" t="s">
        <v>24</v>
      </c>
      <c r="H117" s="9"/>
      <c r="I117" s="9">
        <v>1</v>
      </c>
      <c r="J117" s="9">
        <v>3</v>
      </c>
      <c r="K117" s="9" t="s">
        <v>12078</v>
      </c>
      <c r="L117" s="9" t="s">
        <v>12079</v>
      </c>
      <c r="M117" s="9"/>
      <c r="N117" s="10"/>
      <c r="O117" s="9"/>
      <c r="P117" s="9">
        <v>11843</v>
      </c>
      <c r="Q117" s="9"/>
      <c r="R117" s="9" t="s">
        <v>12795</v>
      </c>
      <c r="S117" s="9" t="s">
        <v>12795</v>
      </c>
      <c r="T117" s="9"/>
      <c r="U117" s="9"/>
      <c r="V117" s="9"/>
      <c r="W117" s="9"/>
      <c r="X117" s="9"/>
      <c r="Y117" s="9"/>
      <c r="Z117" s="9"/>
      <c r="AA117" s="9"/>
      <c r="AB117" s="9"/>
      <c r="AC117" s="9"/>
      <c r="AD117" s="9" t="s">
        <v>20</v>
      </c>
    </row>
    <row r="118" spans="1:30" ht="29">
      <c r="A118" s="3" t="s">
        <v>1096</v>
      </c>
      <c r="B118" s="3" t="s">
        <v>5677</v>
      </c>
      <c r="C118" s="3" t="s">
        <v>5680</v>
      </c>
      <c r="G118" s="9" t="s">
        <v>24</v>
      </c>
      <c r="H118" s="9"/>
      <c r="I118" s="9">
        <v>1</v>
      </c>
      <c r="J118" s="9">
        <v>2</v>
      </c>
      <c r="K118" s="9" t="s">
        <v>12078</v>
      </c>
      <c r="L118" s="9" t="s">
        <v>12119</v>
      </c>
      <c r="M118" s="9"/>
      <c r="N118" s="10"/>
      <c r="O118" s="9"/>
      <c r="P118" s="9">
        <v>11843</v>
      </c>
      <c r="Q118" s="9"/>
      <c r="R118" s="9" t="s">
        <v>12795</v>
      </c>
      <c r="S118" s="9" t="s">
        <v>12795</v>
      </c>
      <c r="T118" s="9"/>
      <c r="U118" s="9"/>
      <c r="V118" s="9"/>
      <c r="W118" s="9"/>
      <c r="X118" s="9"/>
      <c r="Y118" s="9"/>
      <c r="Z118" s="9"/>
      <c r="AA118" s="9"/>
      <c r="AB118" s="9"/>
      <c r="AC118" s="9"/>
      <c r="AD118" s="9" t="s">
        <v>20</v>
      </c>
    </row>
    <row r="119" spans="1:30" ht="58">
      <c r="A119" s="3" t="s">
        <v>1106</v>
      </c>
      <c r="B119" s="3" t="s">
        <v>5687</v>
      </c>
      <c r="C119" s="3" t="s">
        <v>5688</v>
      </c>
      <c r="G119" s="9" t="s">
        <v>25</v>
      </c>
      <c r="H119" s="9"/>
      <c r="I119" s="9">
        <v>1</v>
      </c>
      <c r="J119" s="9">
        <v>3</v>
      </c>
      <c r="K119" s="9" t="s">
        <v>12087</v>
      </c>
      <c r="L119" s="9" t="s">
        <v>12079</v>
      </c>
      <c r="M119" s="9"/>
      <c r="N119" s="10"/>
      <c r="O119" s="9"/>
      <c r="P119" s="9">
        <v>5676</v>
      </c>
      <c r="Q119" s="9"/>
      <c r="R119" s="9" t="s">
        <v>12795</v>
      </c>
      <c r="S119" s="9" t="s">
        <v>12795</v>
      </c>
      <c r="T119" s="9"/>
      <c r="U119" s="9"/>
      <c r="V119" s="9"/>
      <c r="W119" s="9"/>
      <c r="X119" s="9"/>
      <c r="Y119" s="9"/>
      <c r="Z119" s="9"/>
      <c r="AA119" s="9"/>
      <c r="AB119" s="9"/>
      <c r="AC119" s="9"/>
      <c r="AD119" s="9" t="s">
        <v>20</v>
      </c>
    </row>
    <row r="120" spans="1:30" ht="72.5">
      <c r="A120" s="3" t="s">
        <v>1112</v>
      </c>
      <c r="B120" s="3" t="s">
        <v>5691</v>
      </c>
      <c r="C120" s="3" t="s">
        <v>5692</v>
      </c>
      <c r="G120" s="9" t="s">
        <v>12120</v>
      </c>
      <c r="H120" s="9"/>
      <c r="I120" s="9"/>
      <c r="J120" s="9"/>
      <c r="K120" s="9"/>
      <c r="L120" s="9"/>
      <c r="M120" s="9"/>
      <c r="N120" s="10"/>
      <c r="O120" s="9"/>
      <c r="P120" s="9"/>
      <c r="Q120" s="9"/>
      <c r="R120" s="9" t="s">
        <v>12795</v>
      </c>
      <c r="S120" s="9" t="s">
        <v>12795</v>
      </c>
      <c r="T120" s="9"/>
      <c r="U120" s="9"/>
      <c r="V120" s="9"/>
      <c r="W120" s="9"/>
      <c r="X120" s="9"/>
      <c r="Y120" s="9"/>
      <c r="Z120" s="9"/>
      <c r="AA120" s="9"/>
      <c r="AB120" s="9"/>
      <c r="AC120" s="9"/>
      <c r="AD120" s="9" t="s">
        <v>20</v>
      </c>
    </row>
    <row r="121" spans="1:30" ht="43.5">
      <c r="A121" s="3" t="s">
        <v>1115</v>
      </c>
      <c r="B121" s="3" t="s">
        <v>5693</v>
      </c>
      <c r="C121" s="3" t="s">
        <v>5696</v>
      </c>
      <c r="G121" s="9" t="s">
        <v>24</v>
      </c>
      <c r="H121" s="9"/>
      <c r="I121" s="9">
        <v>1</v>
      </c>
      <c r="J121" s="9">
        <v>4</v>
      </c>
      <c r="K121" s="9" t="s">
        <v>12078</v>
      </c>
      <c r="L121" s="9" t="s">
        <v>12073</v>
      </c>
      <c r="M121" s="9" t="s">
        <v>12149</v>
      </c>
      <c r="N121" s="10" t="s">
        <v>12143</v>
      </c>
      <c r="O121" s="9"/>
      <c r="P121" s="9">
        <v>11843</v>
      </c>
      <c r="Q121" s="9"/>
      <c r="R121" s="9" t="s">
        <v>12795</v>
      </c>
      <c r="S121" s="9" t="s">
        <v>12795</v>
      </c>
      <c r="T121" s="9"/>
      <c r="U121" s="9"/>
      <c r="V121" s="9"/>
      <c r="W121" s="9"/>
      <c r="X121" s="9"/>
      <c r="Y121" s="9"/>
      <c r="Z121" s="9"/>
      <c r="AA121" s="9"/>
      <c r="AB121" s="9"/>
      <c r="AC121" s="9"/>
      <c r="AD121" s="9" t="s">
        <v>13141</v>
      </c>
    </row>
    <row r="122" spans="1:30" ht="29">
      <c r="A122" s="3" t="s">
        <v>1126</v>
      </c>
      <c r="B122" s="3" t="s">
        <v>5703</v>
      </c>
      <c r="C122" s="3" t="s">
        <v>5704</v>
      </c>
      <c r="G122" s="9" t="s">
        <v>12120</v>
      </c>
      <c r="H122" s="9"/>
      <c r="I122" s="9"/>
      <c r="J122" s="9"/>
      <c r="K122" s="9"/>
      <c r="L122" s="9"/>
      <c r="M122" s="9"/>
      <c r="N122" s="10"/>
      <c r="O122" s="9"/>
      <c r="P122" s="9"/>
      <c r="Q122" s="9"/>
      <c r="R122" s="9" t="s">
        <v>12795</v>
      </c>
      <c r="S122" s="9" t="s">
        <v>12795</v>
      </c>
      <c r="T122" s="9"/>
      <c r="U122" s="9"/>
      <c r="V122" s="9"/>
      <c r="W122" s="9"/>
      <c r="X122" s="9"/>
      <c r="Y122" s="9"/>
      <c r="Z122" s="9"/>
      <c r="AA122" s="9"/>
      <c r="AB122" s="9"/>
      <c r="AC122" s="9"/>
      <c r="AD122" s="9" t="s">
        <v>20</v>
      </c>
    </row>
    <row r="123" spans="1:30" ht="43.5">
      <c r="A123" s="3" t="s">
        <v>1132</v>
      </c>
      <c r="B123" s="3" t="s">
        <v>5711</v>
      </c>
      <c r="C123" s="3" t="s">
        <v>12652</v>
      </c>
      <c r="G123" s="9" t="s">
        <v>26</v>
      </c>
      <c r="H123" s="9"/>
      <c r="I123" s="9"/>
      <c r="J123" s="9"/>
      <c r="K123" s="9"/>
      <c r="L123" s="9"/>
      <c r="M123" s="9"/>
      <c r="N123" s="10"/>
      <c r="O123" s="9"/>
      <c r="P123" s="9"/>
      <c r="Q123" s="9"/>
      <c r="R123" s="9" t="s">
        <v>12795</v>
      </c>
      <c r="S123" s="9" t="s">
        <v>12795</v>
      </c>
      <c r="T123" s="9"/>
      <c r="U123" s="9"/>
      <c r="V123" s="9"/>
      <c r="W123" s="9"/>
      <c r="X123" s="9"/>
      <c r="Y123" s="9"/>
      <c r="Z123" s="9"/>
      <c r="AA123" s="9"/>
      <c r="AB123" s="9"/>
      <c r="AC123" s="9"/>
      <c r="AD123" s="9" t="s">
        <v>20</v>
      </c>
    </row>
    <row r="124" spans="1:30" ht="29">
      <c r="A124" s="3" t="s">
        <v>1138</v>
      </c>
      <c r="B124" s="3" t="s">
        <v>5720</v>
      </c>
      <c r="C124" s="3" t="s">
        <v>5721</v>
      </c>
      <c r="G124" s="9" t="s">
        <v>12118</v>
      </c>
      <c r="H124" s="9"/>
      <c r="I124" s="9"/>
      <c r="J124" s="9"/>
      <c r="K124" s="9"/>
      <c r="L124" s="9"/>
      <c r="M124" s="9"/>
      <c r="N124" s="10"/>
      <c r="O124" s="9"/>
      <c r="P124" s="9"/>
      <c r="Q124" s="9">
        <v>193</v>
      </c>
      <c r="R124" s="9">
        <v>87</v>
      </c>
      <c r="S124" s="9">
        <v>280</v>
      </c>
      <c r="T124" s="9"/>
      <c r="U124" s="9"/>
      <c r="V124" s="9"/>
      <c r="W124" s="9"/>
      <c r="X124" s="9"/>
      <c r="Y124" s="9"/>
      <c r="Z124" s="9"/>
      <c r="AA124" s="9"/>
      <c r="AB124" s="9"/>
      <c r="AC124" s="9"/>
      <c r="AD124" s="9" t="s">
        <v>20</v>
      </c>
    </row>
    <row r="125" spans="1:30" ht="29">
      <c r="A125" s="3" t="s">
        <v>1146</v>
      </c>
      <c r="B125" s="3" t="s">
        <v>1147</v>
      </c>
      <c r="C125" s="3" t="s">
        <v>1148</v>
      </c>
      <c r="G125" s="9" t="s">
        <v>12120</v>
      </c>
      <c r="H125" s="9"/>
      <c r="I125" s="9"/>
      <c r="J125" s="9"/>
      <c r="K125" s="9"/>
      <c r="L125" s="9"/>
      <c r="M125" s="9"/>
      <c r="N125" s="10"/>
      <c r="O125" s="9"/>
      <c r="P125" s="9"/>
      <c r="Q125" s="9"/>
      <c r="R125" s="9" t="s">
        <v>12795</v>
      </c>
      <c r="S125" s="9" t="s">
        <v>12795</v>
      </c>
      <c r="T125" s="9"/>
      <c r="U125" s="9"/>
      <c r="V125" s="9"/>
      <c r="W125" s="9"/>
      <c r="X125" s="9"/>
      <c r="Y125" s="9"/>
      <c r="Z125" s="9"/>
      <c r="AA125" s="9"/>
      <c r="AB125" s="9"/>
      <c r="AC125" s="9"/>
      <c r="AD125" s="9" t="s">
        <v>20</v>
      </c>
    </row>
    <row r="126" spans="1:30" ht="72.5">
      <c r="A126" s="3" t="s">
        <v>1152</v>
      </c>
      <c r="B126" s="3" t="s">
        <v>5736</v>
      </c>
      <c r="C126" s="3" t="s">
        <v>5737</v>
      </c>
      <c r="G126" s="9" t="s">
        <v>25</v>
      </c>
      <c r="H126" s="9"/>
      <c r="I126" s="9">
        <v>3</v>
      </c>
      <c r="J126" s="9">
        <v>4</v>
      </c>
      <c r="K126" s="9"/>
      <c r="L126" s="9" t="s">
        <v>12073</v>
      </c>
      <c r="M126" s="9" t="s">
        <v>12140</v>
      </c>
      <c r="N126" s="10" t="s">
        <v>12136</v>
      </c>
      <c r="O126" s="9"/>
      <c r="P126" s="9">
        <v>113</v>
      </c>
      <c r="Q126" s="9"/>
      <c r="R126" s="9" t="s">
        <v>12795</v>
      </c>
      <c r="S126" s="9" t="s">
        <v>12795</v>
      </c>
      <c r="T126" s="9"/>
      <c r="U126" s="9"/>
      <c r="V126" s="9"/>
      <c r="W126" s="9"/>
      <c r="X126" s="9"/>
      <c r="Y126" s="9"/>
      <c r="Z126" s="9"/>
      <c r="AA126" s="9"/>
      <c r="AB126" s="9"/>
      <c r="AC126" s="9"/>
      <c r="AD126" s="9" t="s">
        <v>20</v>
      </c>
    </row>
    <row r="127" spans="1:30" ht="58">
      <c r="A127" s="3" t="s">
        <v>1156</v>
      </c>
      <c r="B127" s="3" t="s">
        <v>5747</v>
      </c>
      <c r="C127" s="3" t="s">
        <v>5745</v>
      </c>
      <c r="G127" s="9" t="s">
        <v>25</v>
      </c>
      <c r="H127" s="9"/>
      <c r="I127" s="9">
        <v>1</v>
      </c>
      <c r="J127" s="9">
        <v>2</v>
      </c>
      <c r="K127" s="9" t="s">
        <v>12078</v>
      </c>
      <c r="L127" s="9" t="s">
        <v>12119</v>
      </c>
      <c r="M127" s="9"/>
      <c r="N127" s="10"/>
      <c r="O127" s="9"/>
      <c r="P127" s="9">
        <v>11843</v>
      </c>
      <c r="Q127" s="9"/>
      <c r="R127" s="9" t="s">
        <v>12795</v>
      </c>
      <c r="S127" s="9" t="s">
        <v>12795</v>
      </c>
      <c r="T127" s="9"/>
      <c r="U127" s="9"/>
      <c r="V127" s="9"/>
      <c r="W127" s="9"/>
      <c r="X127" s="9"/>
      <c r="Y127" s="9"/>
      <c r="Z127" s="9"/>
      <c r="AA127" s="9"/>
      <c r="AB127" s="9"/>
      <c r="AC127" s="9"/>
      <c r="AD127" s="9" t="s">
        <v>20</v>
      </c>
    </row>
    <row r="128" spans="1:30" ht="58">
      <c r="A128" s="3" t="s">
        <v>1157</v>
      </c>
      <c r="B128" s="3" t="s">
        <v>5752</v>
      </c>
      <c r="C128" s="3" t="s">
        <v>5753</v>
      </c>
      <c r="G128" s="9" t="s">
        <v>12118</v>
      </c>
      <c r="H128" s="9"/>
      <c r="I128" s="9"/>
      <c r="J128" s="9"/>
      <c r="K128" s="9"/>
      <c r="L128" s="9"/>
      <c r="M128" s="9"/>
      <c r="N128" s="10"/>
      <c r="O128" s="9"/>
      <c r="P128" s="9"/>
      <c r="Q128" s="9">
        <v>57</v>
      </c>
      <c r="R128" s="9">
        <v>8</v>
      </c>
      <c r="S128" s="9">
        <v>65</v>
      </c>
      <c r="T128" s="9"/>
      <c r="U128" s="9"/>
      <c r="V128" s="9"/>
      <c r="W128" s="9"/>
      <c r="X128" s="9"/>
      <c r="Y128" s="9"/>
      <c r="Z128" s="9"/>
      <c r="AA128" s="9"/>
      <c r="AB128" s="9"/>
      <c r="AC128" s="9"/>
      <c r="AD128" s="9" t="s">
        <v>20</v>
      </c>
    </row>
    <row r="129" spans="1:30" ht="43.5">
      <c r="A129" s="3" t="s">
        <v>1158</v>
      </c>
      <c r="B129" s="3" t="s">
        <v>5754</v>
      </c>
      <c r="C129" s="3" t="s">
        <v>5755</v>
      </c>
      <c r="G129" s="9" t="s">
        <v>25</v>
      </c>
      <c r="H129" s="9"/>
      <c r="I129" s="9">
        <v>1</v>
      </c>
      <c r="J129" s="9">
        <v>2</v>
      </c>
      <c r="K129" s="9" t="s">
        <v>12123</v>
      </c>
      <c r="L129" s="9" t="s">
        <v>12119</v>
      </c>
      <c r="M129" s="9"/>
      <c r="N129" s="10"/>
      <c r="O129" s="9"/>
      <c r="P129" s="9">
        <v>134</v>
      </c>
      <c r="Q129" s="9"/>
      <c r="R129" s="9" t="s">
        <v>12795</v>
      </c>
      <c r="S129" s="9" t="s">
        <v>12795</v>
      </c>
      <c r="T129" s="9"/>
      <c r="U129" s="9"/>
      <c r="V129" s="9"/>
      <c r="W129" s="9"/>
      <c r="X129" s="9"/>
      <c r="Y129" s="9"/>
      <c r="Z129" s="9"/>
      <c r="AA129" s="9"/>
      <c r="AB129" s="9"/>
      <c r="AC129" s="9"/>
      <c r="AD129" s="9" t="s">
        <v>20</v>
      </c>
    </row>
    <row r="130" spans="1:30" ht="72.5">
      <c r="A130" s="3" t="s">
        <v>1163</v>
      </c>
      <c r="B130" s="3" t="s">
        <v>5761</v>
      </c>
      <c r="C130" s="3" t="s">
        <v>5762</v>
      </c>
      <c r="G130" s="9" t="s">
        <v>12121</v>
      </c>
      <c r="H130" s="9"/>
      <c r="I130" s="9"/>
      <c r="J130" s="9"/>
      <c r="K130" s="9"/>
      <c r="L130" s="9"/>
      <c r="M130" s="9"/>
      <c r="N130" s="10"/>
      <c r="O130" s="9"/>
      <c r="P130" s="9"/>
      <c r="Q130" s="9">
        <v>-15</v>
      </c>
      <c r="R130" s="9">
        <v>92</v>
      </c>
      <c r="S130" s="9">
        <v>77</v>
      </c>
      <c r="T130" s="9"/>
      <c r="U130" s="9"/>
      <c r="V130" s="9"/>
      <c r="W130" s="9"/>
      <c r="X130" s="9"/>
      <c r="Y130" s="9"/>
      <c r="Z130" s="9"/>
      <c r="AA130" s="9"/>
      <c r="AB130" s="9"/>
      <c r="AC130" s="9"/>
      <c r="AD130" s="9" t="s">
        <v>13141</v>
      </c>
    </row>
    <row r="131" spans="1:30" ht="43.5">
      <c r="A131" s="3" t="s">
        <v>1163</v>
      </c>
      <c r="B131" s="3" t="s">
        <v>5764</v>
      </c>
      <c r="C131" s="3" t="s">
        <v>5765</v>
      </c>
      <c r="G131" s="9" t="s">
        <v>12118</v>
      </c>
      <c r="H131" s="9"/>
      <c r="I131" s="9"/>
      <c r="J131" s="9"/>
      <c r="K131" s="9"/>
      <c r="L131" s="9"/>
      <c r="M131" s="9"/>
      <c r="N131" s="10"/>
      <c r="O131" s="9"/>
      <c r="P131" s="9"/>
      <c r="Q131" s="9">
        <v>49</v>
      </c>
      <c r="R131" s="9">
        <v>3</v>
      </c>
      <c r="S131" s="9">
        <v>52</v>
      </c>
      <c r="T131" s="9"/>
      <c r="U131" s="9"/>
      <c r="V131" s="9"/>
      <c r="W131" s="9"/>
      <c r="X131" s="9"/>
      <c r="Y131" s="9"/>
      <c r="Z131" s="9"/>
      <c r="AA131" s="9"/>
      <c r="AB131" s="9"/>
      <c r="AC131" s="9"/>
      <c r="AD131" s="9" t="s">
        <v>20</v>
      </c>
    </row>
    <row r="132" spans="1:30" ht="58">
      <c r="A132" s="3" t="s">
        <v>1176</v>
      </c>
      <c r="B132" s="3" t="s">
        <v>5772</v>
      </c>
      <c r="C132" s="3" t="s">
        <v>5773</v>
      </c>
      <c r="G132" s="9" t="s">
        <v>12118</v>
      </c>
      <c r="H132" s="9"/>
      <c r="I132" s="9"/>
      <c r="J132" s="9"/>
      <c r="K132" s="9"/>
      <c r="L132" s="9"/>
      <c r="M132" s="9"/>
      <c r="N132" s="10"/>
      <c r="O132" s="9"/>
      <c r="P132" s="9"/>
      <c r="Q132" s="9">
        <v>5483</v>
      </c>
      <c r="R132" s="9">
        <v>193</v>
      </c>
      <c r="S132" s="9">
        <v>5676</v>
      </c>
      <c r="T132" s="9"/>
      <c r="U132" s="9"/>
      <c r="V132" s="9"/>
      <c r="W132" s="9"/>
      <c r="X132" s="9"/>
      <c r="Y132" s="9"/>
      <c r="Z132" s="9"/>
      <c r="AA132" s="9"/>
      <c r="AB132" s="9"/>
      <c r="AC132" s="9"/>
      <c r="AD132" s="9" t="s">
        <v>20</v>
      </c>
    </row>
    <row r="133" spans="1:30" ht="43.5">
      <c r="A133" s="3" t="s">
        <v>1177</v>
      </c>
      <c r="B133" s="3" t="s">
        <v>5777</v>
      </c>
      <c r="C133" s="3" t="s">
        <v>5774</v>
      </c>
      <c r="G133" s="9" t="s">
        <v>25</v>
      </c>
      <c r="H133" s="9"/>
      <c r="I133" s="9">
        <v>1</v>
      </c>
      <c r="J133" s="9">
        <v>4</v>
      </c>
      <c r="K133" s="9" t="s">
        <v>12125</v>
      </c>
      <c r="L133" s="9" t="s">
        <v>12073</v>
      </c>
      <c r="M133" s="9" t="s">
        <v>12142</v>
      </c>
      <c r="N133" s="10" t="s">
        <v>12143</v>
      </c>
      <c r="O133" s="9"/>
      <c r="P133" s="9">
        <v>2042</v>
      </c>
      <c r="Q133" s="9"/>
      <c r="R133" s="9" t="s">
        <v>12795</v>
      </c>
      <c r="S133" s="9" t="s">
        <v>12795</v>
      </c>
      <c r="T133" s="9"/>
      <c r="U133" s="9"/>
      <c r="V133" s="9"/>
      <c r="W133" s="9"/>
      <c r="X133" s="9"/>
      <c r="Y133" s="9"/>
      <c r="Z133" s="9"/>
      <c r="AA133" s="9"/>
      <c r="AB133" s="9"/>
      <c r="AC133" s="9"/>
      <c r="AD133" s="9" t="s">
        <v>20</v>
      </c>
    </row>
    <row r="134" spans="1:30" ht="43.5">
      <c r="A134" s="3" t="s">
        <v>1181</v>
      </c>
      <c r="B134" s="3" t="s">
        <v>5778</v>
      </c>
      <c r="C134" s="3" t="s">
        <v>5779</v>
      </c>
      <c r="G134" s="9" t="s">
        <v>25</v>
      </c>
      <c r="H134" s="9"/>
      <c r="I134" s="9">
        <v>1</v>
      </c>
      <c r="J134" s="9">
        <v>3</v>
      </c>
      <c r="K134" s="9" t="s">
        <v>12087</v>
      </c>
      <c r="L134" s="9" t="s">
        <v>12073</v>
      </c>
      <c r="M134" s="9" t="s">
        <v>12142</v>
      </c>
      <c r="N134" s="10" t="s">
        <v>12143</v>
      </c>
      <c r="O134" s="9"/>
      <c r="P134" s="9">
        <v>5676</v>
      </c>
      <c r="Q134" s="9"/>
      <c r="R134" s="9" t="s">
        <v>12795</v>
      </c>
      <c r="S134" s="9" t="s">
        <v>12795</v>
      </c>
      <c r="T134" s="9"/>
      <c r="U134" s="9"/>
      <c r="V134" s="9"/>
      <c r="W134" s="9"/>
      <c r="X134" s="9"/>
      <c r="Y134" s="9"/>
      <c r="Z134" s="9"/>
      <c r="AA134" s="9"/>
      <c r="AB134" s="9"/>
      <c r="AC134" s="9"/>
      <c r="AD134" s="9" t="s">
        <v>20</v>
      </c>
    </row>
    <row r="135" spans="1:30" ht="87">
      <c r="A135" s="3" t="s">
        <v>1184</v>
      </c>
      <c r="B135" s="3" t="s">
        <v>5787</v>
      </c>
      <c r="C135" s="3" t="s">
        <v>5788</v>
      </c>
      <c r="G135" s="9" t="s">
        <v>12118</v>
      </c>
      <c r="H135" s="9"/>
      <c r="I135" s="9"/>
      <c r="J135" s="9"/>
      <c r="K135" s="9"/>
      <c r="L135" s="9"/>
      <c r="M135" s="9"/>
      <c r="N135" s="10"/>
      <c r="O135" s="9"/>
      <c r="P135" s="9"/>
      <c r="Q135" s="9">
        <v>-743</v>
      </c>
      <c r="R135" s="9">
        <v>810</v>
      </c>
      <c r="S135" s="9">
        <v>67</v>
      </c>
      <c r="T135" s="9"/>
      <c r="U135" s="9"/>
      <c r="V135" s="9"/>
      <c r="W135" s="9"/>
      <c r="X135" s="9"/>
      <c r="Y135" s="9"/>
      <c r="Z135" s="9"/>
      <c r="AA135" s="9"/>
      <c r="AB135" s="9"/>
      <c r="AC135" s="9"/>
      <c r="AD135" s="9" t="s">
        <v>20</v>
      </c>
    </row>
    <row r="136" spans="1:30" ht="43.5">
      <c r="A136" s="3" t="s">
        <v>1189</v>
      </c>
      <c r="B136" s="3" t="s">
        <v>5791</v>
      </c>
      <c r="C136" s="3" t="s">
        <v>5792</v>
      </c>
      <c r="G136" s="9" t="s">
        <v>12120</v>
      </c>
      <c r="H136" s="9"/>
      <c r="I136" s="9"/>
      <c r="J136" s="9"/>
      <c r="K136" s="9"/>
      <c r="L136" s="9"/>
      <c r="M136" s="9"/>
      <c r="N136" s="10"/>
      <c r="O136" s="9"/>
      <c r="P136" s="9"/>
      <c r="Q136" s="9"/>
      <c r="R136" s="9" t="s">
        <v>12795</v>
      </c>
      <c r="S136" s="9" t="s">
        <v>12795</v>
      </c>
      <c r="T136" s="9"/>
      <c r="U136" s="9"/>
      <c r="V136" s="9"/>
      <c r="W136" s="9"/>
      <c r="X136" s="9"/>
      <c r="Y136" s="9"/>
      <c r="Z136" s="9"/>
      <c r="AA136" s="9"/>
      <c r="AB136" s="9"/>
      <c r="AC136" s="9"/>
      <c r="AD136" s="9" t="s">
        <v>20</v>
      </c>
    </row>
    <row r="137" spans="1:30" ht="72.5">
      <c r="A137" s="3" t="s">
        <v>1191</v>
      </c>
      <c r="B137" s="3" t="s">
        <v>5799</v>
      </c>
      <c r="C137" s="3" t="s">
        <v>5796</v>
      </c>
      <c r="G137" s="9" t="s">
        <v>25</v>
      </c>
      <c r="H137" s="9"/>
      <c r="I137" s="9">
        <v>1</v>
      </c>
      <c r="J137" s="9">
        <v>5</v>
      </c>
      <c r="K137" s="9" t="s">
        <v>12094</v>
      </c>
      <c r="L137" s="9" t="s">
        <v>12073</v>
      </c>
      <c r="M137" s="9" t="s">
        <v>12149</v>
      </c>
      <c r="N137" s="10" t="s">
        <v>12143</v>
      </c>
      <c r="O137" s="9"/>
      <c r="P137" s="9">
        <v>4240</v>
      </c>
      <c r="Q137" s="9"/>
      <c r="R137" s="9" t="s">
        <v>12795</v>
      </c>
      <c r="S137" s="9" t="s">
        <v>12795</v>
      </c>
      <c r="T137" s="9"/>
      <c r="U137" s="9"/>
      <c r="V137" s="9"/>
      <c r="W137" s="9"/>
      <c r="X137" s="9"/>
      <c r="Y137" s="9"/>
      <c r="Z137" s="9"/>
      <c r="AA137" s="9"/>
      <c r="AB137" s="9"/>
      <c r="AC137" s="9"/>
      <c r="AD137" s="9" t="s">
        <v>20</v>
      </c>
    </row>
    <row r="138" spans="1:30" ht="43.5">
      <c r="A138" s="3" t="s">
        <v>1193</v>
      </c>
      <c r="B138" s="3" t="s">
        <v>5802</v>
      </c>
      <c r="C138" s="3" t="s">
        <v>5803</v>
      </c>
      <c r="G138" s="9" t="s">
        <v>25</v>
      </c>
      <c r="H138" s="9"/>
      <c r="I138" s="9">
        <v>1</v>
      </c>
      <c r="J138" s="9">
        <v>5</v>
      </c>
      <c r="K138" s="9" t="s">
        <v>12094</v>
      </c>
      <c r="L138" s="9" t="s">
        <v>12079</v>
      </c>
      <c r="M138" s="9"/>
      <c r="N138" s="10"/>
      <c r="O138" s="9"/>
      <c r="P138" s="9">
        <v>930</v>
      </c>
      <c r="Q138" s="9"/>
      <c r="R138" s="9" t="s">
        <v>12795</v>
      </c>
      <c r="S138" s="9" t="s">
        <v>12795</v>
      </c>
      <c r="T138" s="9"/>
      <c r="U138" s="9"/>
      <c r="V138" s="9"/>
      <c r="W138" s="9"/>
      <c r="X138" s="9"/>
      <c r="Y138" s="9"/>
      <c r="Z138" s="9"/>
      <c r="AA138" s="9"/>
      <c r="AB138" s="9"/>
      <c r="AC138" s="9"/>
      <c r="AD138" s="9" t="s">
        <v>20</v>
      </c>
    </row>
    <row r="139" spans="1:30" ht="232">
      <c r="A139" s="3" t="s">
        <v>1196</v>
      </c>
      <c r="B139" s="3" t="s">
        <v>5810</v>
      </c>
      <c r="C139" s="3" t="s">
        <v>12994</v>
      </c>
      <c r="E139" t="s">
        <v>20</v>
      </c>
      <c r="G139" s="9" t="s">
        <v>12120</v>
      </c>
      <c r="H139" s="9"/>
      <c r="I139" s="9"/>
      <c r="J139" s="9"/>
      <c r="K139" s="9"/>
      <c r="L139" s="9"/>
      <c r="M139" s="9"/>
      <c r="N139" s="10"/>
      <c r="O139" s="9"/>
      <c r="P139" s="9"/>
      <c r="Q139" s="9"/>
      <c r="R139" s="9" t="s">
        <v>12795</v>
      </c>
      <c r="S139" s="9" t="s">
        <v>12795</v>
      </c>
      <c r="T139" s="9"/>
      <c r="U139" s="9"/>
      <c r="V139" s="9"/>
      <c r="W139" s="9"/>
      <c r="X139" s="9"/>
      <c r="Y139" s="9"/>
      <c r="Z139" s="9"/>
      <c r="AA139" s="9"/>
      <c r="AB139" s="9"/>
      <c r="AC139" s="9"/>
      <c r="AD139" s="9" t="s">
        <v>20</v>
      </c>
    </row>
    <row r="140" spans="1:30" ht="116">
      <c r="A140" s="3" t="s">
        <v>1203</v>
      </c>
      <c r="B140" s="3" t="s">
        <v>5816</v>
      </c>
      <c r="C140" s="3" t="s">
        <v>5815</v>
      </c>
      <c r="G140" s="9" t="s">
        <v>26</v>
      </c>
      <c r="H140" s="9"/>
      <c r="I140" s="9"/>
      <c r="J140" s="9"/>
      <c r="K140" s="9"/>
      <c r="L140" s="9"/>
      <c r="M140" s="9"/>
      <c r="N140" s="10"/>
      <c r="O140" s="9"/>
      <c r="P140" s="9"/>
      <c r="Q140" s="9"/>
      <c r="R140" s="9" t="s">
        <v>12795</v>
      </c>
      <c r="S140" s="9" t="s">
        <v>12795</v>
      </c>
      <c r="T140" s="9"/>
      <c r="U140" s="9"/>
      <c r="V140" s="9"/>
      <c r="W140" s="9"/>
      <c r="X140" s="9"/>
      <c r="Y140" s="9"/>
      <c r="Z140" s="9"/>
      <c r="AA140" s="9"/>
      <c r="AB140" s="9"/>
      <c r="AC140" s="9"/>
      <c r="AD140" s="9" t="s">
        <v>20</v>
      </c>
    </row>
    <row r="141" spans="1:30" ht="58">
      <c r="A141" s="3" t="s">
        <v>1205</v>
      </c>
      <c r="B141" s="3" t="s">
        <v>5819</v>
      </c>
      <c r="C141" s="3" t="s">
        <v>5820</v>
      </c>
      <c r="G141" s="9" t="s">
        <v>12118</v>
      </c>
      <c r="H141" s="9"/>
      <c r="I141" s="9"/>
      <c r="J141" s="9"/>
      <c r="K141" s="9"/>
      <c r="L141" s="9"/>
      <c r="M141" s="9"/>
      <c r="N141" s="10"/>
      <c r="O141" s="9"/>
      <c r="P141" s="9"/>
      <c r="Q141" s="9">
        <v>-12</v>
      </c>
      <c r="R141" s="9">
        <v>25</v>
      </c>
      <c r="S141" s="9">
        <v>13</v>
      </c>
      <c r="T141" s="9"/>
      <c r="U141" s="9"/>
      <c r="V141" s="9"/>
      <c r="W141" s="9"/>
      <c r="X141" s="9"/>
      <c r="Y141" s="9"/>
      <c r="Z141" s="9"/>
      <c r="AA141" s="9"/>
      <c r="AB141" s="9"/>
      <c r="AC141" s="9"/>
      <c r="AD141" s="9" t="s">
        <v>20</v>
      </c>
    </row>
    <row r="142" spans="1:30" ht="43.5">
      <c r="A142" s="3" t="s">
        <v>1214</v>
      </c>
      <c r="B142" s="3" t="s">
        <v>5827</v>
      </c>
      <c r="C142" s="3" t="s">
        <v>5828</v>
      </c>
      <c r="G142" s="9" t="s">
        <v>12118</v>
      </c>
      <c r="H142" s="9"/>
      <c r="I142" s="9"/>
      <c r="J142" s="9"/>
      <c r="K142" s="9"/>
      <c r="L142" s="9"/>
      <c r="M142" s="9"/>
      <c r="N142" s="10"/>
      <c r="O142" s="9"/>
      <c r="P142" s="9"/>
      <c r="Q142" s="9">
        <v>-21</v>
      </c>
      <c r="R142" s="9">
        <v>186</v>
      </c>
      <c r="S142" s="9">
        <v>165</v>
      </c>
      <c r="T142" s="9"/>
      <c r="U142" s="9"/>
      <c r="V142" s="9"/>
      <c r="W142" s="9"/>
      <c r="X142" s="9"/>
      <c r="Y142" s="9"/>
      <c r="Z142" s="9"/>
      <c r="AA142" s="9"/>
      <c r="AB142" s="9"/>
      <c r="AC142" s="9"/>
      <c r="AD142" s="9" t="s">
        <v>20</v>
      </c>
    </row>
    <row r="143" spans="1:30" ht="43.5">
      <c r="A143" s="3" t="s">
        <v>1222</v>
      </c>
      <c r="B143" s="3" t="s">
        <v>5831</v>
      </c>
      <c r="C143" s="3" t="s">
        <v>5832</v>
      </c>
      <c r="G143" s="9" t="s">
        <v>24</v>
      </c>
      <c r="H143" s="9"/>
      <c r="I143" s="9">
        <v>1</v>
      </c>
      <c r="J143" s="9">
        <v>2</v>
      </c>
      <c r="K143" s="9" t="s">
        <v>12087</v>
      </c>
      <c r="L143" s="9" t="s">
        <v>12119</v>
      </c>
      <c r="M143" s="9"/>
      <c r="N143" s="10"/>
      <c r="O143" s="9"/>
      <c r="P143" s="9">
        <v>1966</v>
      </c>
      <c r="Q143" s="9"/>
      <c r="R143" s="9" t="s">
        <v>12795</v>
      </c>
      <c r="S143" s="9" t="s">
        <v>12795</v>
      </c>
      <c r="T143" s="9"/>
      <c r="U143" s="9"/>
      <c r="V143" s="9"/>
      <c r="W143" s="9"/>
      <c r="X143" s="9"/>
      <c r="Y143" s="9"/>
      <c r="Z143" s="9"/>
      <c r="AA143" s="9"/>
      <c r="AB143" s="9"/>
      <c r="AC143" s="9"/>
      <c r="AD143" s="9" t="s">
        <v>20</v>
      </c>
    </row>
    <row r="144" spans="1:30" ht="116">
      <c r="A144" s="3" t="s">
        <v>1239</v>
      </c>
      <c r="B144" s="3" t="s">
        <v>5850</v>
      </c>
      <c r="C144" s="3" t="s">
        <v>5849</v>
      </c>
      <c r="G144" s="9" t="s">
        <v>25</v>
      </c>
      <c r="H144" s="9"/>
      <c r="I144" s="9">
        <v>2</v>
      </c>
      <c r="J144" s="9">
        <v>13</v>
      </c>
      <c r="K144" s="9"/>
      <c r="L144" s="9" t="s">
        <v>12073</v>
      </c>
      <c r="M144" s="9" t="s">
        <v>12135</v>
      </c>
      <c r="N144" s="10" t="s">
        <v>12136</v>
      </c>
      <c r="O144" s="9"/>
      <c r="P144" s="9">
        <v>25</v>
      </c>
      <c r="Q144" s="9"/>
      <c r="R144" s="9" t="s">
        <v>12795</v>
      </c>
      <c r="S144" s="9" t="s">
        <v>12795</v>
      </c>
      <c r="T144" s="9"/>
      <c r="U144" s="9"/>
      <c r="V144" s="9"/>
      <c r="W144" s="9"/>
      <c r="X144" s="9"/>
      <c r="Y144" s="9"/>
      <c r="Z144" s="9"/>
      <c r="AA144" s="9"/>
      <c r="AB144" s="9"/>
      <c r="AC144" s="9"/>
      <c r="AD144" s="9" t="s">
        <v>20</v>
      </c>
    </row>
    <row r="145" spans="1:30" ht="319">
      <c r="A145" s="3" t="s">
        <v>1246</v>
      </c>
      <c r="B145" s="3" t="s">
        <v>13002</v>
      </c>
      <c r="C145" s="3" t="s">
        <v>12997</v>
      </c>
      <c r="G145" s="9" t="s">
        <v>25</v>
      </c>
      <c r="H145" s="9"/>
      <c r="I145" s="9">
        <v>1</v>
      </c>
      <c r="J145" s="9">
        <v>2</v>
      </c>
      <c r="K145" s="9" t="s">
        <v>12078</v>
      </c>
      <c r="L145" s="9" t="s">
        <v>12119</v>
      </c>
      <c r="M145" s="9"/>
      <c r="N145" s="10"/>
      <c r="O145" s="9"/>
      <c r="P145" s="9">
        <v>11843</v>
      </c>
      <c r="Q145" s="9"/>
      <c r="R145" s="9" t="s">
        <v>12795</v>
      </c>
      <c r="S145" s="9" t="s">
        <v>12795</v>
      </c>
      <c r="T145" s="9"/>
      <c r="U145" s="9"/>
      <c r="V145" s="9"/>
      <c r="W145" s="9"/>
      <c r="X145" s="9"/>
      <c r="Y145" s="9"/>
      <c r="Z145" s="9"/>
      <c r="AA145" s="9"/>
      <c r="AB145" s="9"/>
      <c r="AC145" s="9"/>
      <c r="AD145" s="9" t="s">
        <v>20</v>
      </c>
    </row>
    <row r="146" spans="1:30" ht="43.5">
      <c r="A146" s="3" t="s">
        <v>1249</v>
      </c>
      <c r="B146" s="3" t="s">
        <v>5859</v>
      </c>
      <c r="C146" s="3" t="s">
        <v>5860</v>
      </c>
      <c r="G146" s="9" t="s">
        <v>25</v>
      </c>
      <c r="H146" s="9"/>
      <c r="I146" s="9">
        <v>1</v>
      </c>
      <c r="J146" s="9">
        <v>2</v>
      </c>
      <c r="K146" s="9" t="s">
        <v>12125</v>
      </c>
      <c r="L146" s="9" t="s">
        <v>12119</v>
      </c>
      <c r="M146" s="9"/>
      <c r="N146" s="10"/>
      <c r="O146" s="9"/>
      <c r="P146" s="9">
        <v>1565</v>
      </c>
      <c r="Q146" s="9"/>
      <c r="R146" s="9" t="s">
        <v>12795</v>
      </c>
      <c r="S146" s="9" t="s">
        <v>12795</v>
      </c>
      <c r="T146" s="9"/>
      <c r="U146" s="9"/>
      <c r="V146" s="9"/>
      <c r="W146" s="9"/>
      <c r="X146" s="9"/>
      <c r="Y146" s="9"/>
      <c r="Z146" s="9"/>
      <c r="AA146" s="9"/>
      <c r="AB146" s="9"/>
      <c r="AC146" s="9"/>
      <c r="AD146" s="9" t="s">
        <v>20</v>
      </c>
    </row>
    <row r="147" spans="1:30" ht="72.5">
      <c r="A147" s="3" t="s">
        <v>1252</v>
      </c>
      <c r="B147" s="3" t="s">
        <v>5865</v>
      </c>
      <c r="C147" s="3" t="s">
        <v>5866</v>
      </c>
      <c r="G147" s="9" t="s">
        <v>26</v>
      </c>
      <c r="H147" s="9"/>
      <c r="I147" s="9"/>
      <c r="J147" s="9"/>
      <c r="K147" s="9"/>
      <c r="L147" s="9"/>
      <c r="M147" s="9"/>
      <c r="N147" s="10"/>
      <c r="O147" s="9"/>
      <c r="P147" s="9"/>
      <c r="Q147" s="9"/>
      <c r="R147" s="9" t="s">
        <v>12795</v>
      </c>
      <c r="S147" s="9" t="s">
        <v>12795</v>
      </c>
      <c r="T147" s="9"/>
      <c r="U147" s="9"/>
      <c r="V147" s="9"/>
      <c r="W147" s="9"/>
      <c r="X147" s="9"/>
      <c r="Y147" s="9"/>
      <c r="Z147" s="9"/>
      <c r="AA147" s="9"/>
      <c r="AB147" s="9"/>
      <c r="AC147" s="9"/>
      <c r="AD147" s="9" t="s">
        <v>20</v>
      </c>
    </row>
    <row r="148" spans="1:30" ht="29">
      <c r="A148" s="3" t="s">
        <v>1256</v>
      </c>
      <c r="B148" s="3" t="s">
        <v>1257</v>
      </c>
      <c r="C148" s="3" t="s">
        <v>1258</v>
      </c>
      <c r="G148" s="9" t="s">
        <v>12120</v>
      </c>
      <c r="H148" s="9"/>
      <c r="I148" s="9"/>
      <c r="J148" s="9"/>
      <c r="K148" s="9"/>
      <c r="L148" s="9"/>
      <c r="M148" s="9"/>
      <c r="N148" s="10"/>
      <c r="O148" s="9"/>
      <c r="P148" s="9"/>
      <c r="Q148" s="9"/>
      <c r="R148" s="9" t="s">
        <v>12795</v>
      </c>
      <c r="S148" s="9" t="s">
        <v>12795</v>
      </c>
      <c r="T148" s="9"/>
      <c r="U148" s="9"/>
      <c r="V148" s="9"/>
      <c r="W148" s="9"/>
      <c r="X148" s="9"/>
      <c r="Y148" s="9"/>
      <c r="Z148" s="9"/>
      <c r="AA148" s="9"/>
      <c r="AB148" s="9"/>
      <c r="AC148" s="9"/>
      <c r="AD148" s="9" t="s">
        <v>20</v>
      </c>
    </row>
    <row r="149" spans="1:30" ht="101.5">
      <c r="A149" s="3" t="s">
        <v>1262</v>
      </c>
      <c r="B149" s="3" t="s">
        <v>5875</v>
      </c>
      <c r="C149" s="3" t="s">
        <v>12220</v>
      </c>
      <c r="G149" s="9" t="s">
        <v>24</v>
      </c>
      <c r="H149" s="9"/>
      <c r="I149" s="9">
        <v>1</v>
      </c>
      <c r="J149" s="9">
        <v>3</v>
      </c>
      <c r="K149" s="9" t="s">
        <v>12094</v>
      </c>
      <c r="L149" s="9" t="s">
        <v>12079</v>
      </c>
      <c r="M149" s="9"/>
      <c r="N149" s="10"/>
      <c r="O149" s="9"/>
      <c r="P149" s="9">
        <v>1741</v>
      </c>
      <c r="Q149" s="9"/>
      <c r="R149" s="9" t="s">
        <v>12795</v>
      </c>
      <c r="S149" s="9" t="s">
        <v>12795</v>
      </c>
      <c r="T149" s="9"/>
      <c r="U149" s="9"/>
      <c r="V149" s="9"/>
      <c r="W149" s="9"/>
      <c r="X149" s="9"/>
      <c r="Y149" s="9"/>
      <c r="Z149" s="9"/>
      <c r="AA149" s="9"/>
      <c r="AB149" s="9"/>
      <c r="AC149" s="9"/>
      <c r="AD149" s="9" t="s">
        <v>13141</v>
      </c>
    </row>
    <row r="150" spans="1:30" ht="43.5">
      <c r="A150" s="3" t="s">
        <v>1264</v>
      </c>
      <c r="B150" s="3" t="s">
        <v>5876</v>
      </c>
      <c r="C150" s="3" t="s">
        <v>5877</v>
      </c>
      <c r="G150" s="9" t="s">
        <v>12118</v>
      </c>
      <c r="H150" s="9"/>
      <c r="I150" s="9"/>
      <c r="J150" s="9"/>
      <c r="K150" s="9"/>
      <c r="L150" s="9"/>
      <c r="M150" s="9"/>
      <c r="N150" s="10"/>
      <c r="O150" s="9"/>
      <c r="P150" s="9"/>
      <c r="Q150" s="9">
        <v>294</v>
      </c>
      <c r="R150" s="9">
        <v>214</v>
      </c>
      <c r="S150" s="9">
        <v>508</v>
      </c>
      <c r="T150" s="9"/>
      <c r="U150" s="9"/>
      <c r="V150" s="9"/>
      <c r="W150" s="9"/>
      <c r="X150" s="9"/>
      <c r="Y150" s="9"/>
      <c r="Z150" s="9"/>
      <c r="AA150" s="9"/>
      <c r="AB150" s="9"/>
      <c r="AC150" s="9"/>
      <c r="AD150" s="9" t="s">
        <v>20</v>
      </c>
    </row>
    <row r="151" spans="1:30" ht="72.5">
      <c r="A151" s="3" t="s">
        <v>1267</v>
      </c>
      <c r="B151" s="3" t="s">
        <v>5883</v>
      </c>
      <c r="C151" s="3" t="s">
        <v>5884</v>
      </c>
      <c r="G151" s="9" t="s">
        <v>12118</v>
      </c>
      <c r="H151" s="9"/>
      <c r="I151" s="9"/>
      <c r="J151" s="9"/>
      <c r="K151" s="9"/>
      <c r="L151" s="9"/>
      <c r="M151" s="9"/>
      <c r="N151" s="10"/>
      <c r="O151" s="9"/>
      <c r="P151" s="9"/>
      <c r="Q151" s="9">
        <v>-68</v>
      </c>
      <c r="R151" s="9">
        <v>171</v>
      </c>
      <c r="S151" s="9">
        <v>103</v>
      </c>
      <c r="T151" s="9"/>
      <c r="U151" s="9"/>
      <c r="V151" s="9"/>
      <c r="W151" s="9"/>
      <c r="X151" s="9"/>
      <c r="Y151" s="9"/>
      <c r="Z151" s="9"/>
      <c r="AA151" s="9"/>
      <c r="AB151" s="9"/>
      <c r="AC151" s="9"/>
      <c r="AD151" s="9" t="s">
        <v>20</v>
      </c>
    </row>
    <row r="152" spans="1:30" ht="72.5">
      <c r="A152" s="3" t="s">
        <v>1267</v>
      </c>
      <c r="B152" s="3" t="s">
        <v>5882</v>
      </c>
      <c r="C152" s="3" t="s">
        <v>5885</v>
      </c>
      <c r="G152" s="9" t="s">
        <v>24</v>
      </c>
      <c r="H152" s="9"/>
      <c r="I152" s="9">
        <v>1</v>
      </c>
      <c r="J152" s="9">
        <v>3</v>
      </c>
      <c r="K152" s="9" t="s">
        <v>12087</v>
      </c>
      <c r="L152" s="9" t="s">
        <v>12079</v>
      </c>
      <c r="M152" s="9"/>
      <c r="N152" s="10"/>
      <c r="O152" s="9"/>
      <c r="P152" s="9">
        <v>5676</v>
      </c>
      <c r="Q152" s="9"/>
      <c r="R152" s="9" t="s">
        <v>12795</v>
      </c>
      <c r="S152" s="9" t="s">
        <v>12795</v>
      </c>
      <c r="T152" s="9"/>
      <c r="U152" s="9"/>
      <c r="V152" s="9"/>
      <c r="W152" s="9"/>
      <c r="X152" s="9"/>
      <c r="Y152" s="9"/>
      <c r="Z152" s="9"/>
      <c r="AA152" s="9"/>
      <c r="AB152" s="9"/>
      <c r="AC152" s="9"/>
      <c r="AD152" s="9" t="s">
        <v>20</v>
      </c>
    </row>
    <row r="153" spans="1:30" ht="43.5">
      <c r="A153" s="3" t="s">
        <v>1273</v>
      </c>
      <c r="B153" s="3" t="s">
        <v>5888</v>
      </c>
      <c r="C153" s="3" t="s">
        <v>5889</v>
      </c>
      <c r="G153" s="9" t="s">
        <v>12118</v>
      </c>
      <c r="H153" s="9"/>
      <c r="I153" s="9"/>
      <c r="J153" s="9"/>
      <c r="K153" s="9"/>
      <c r="L153" s="9"/>
      <c r="M153" s="9"/>
      <c r="N153" s="10"/>
      <c r="O153" s="9"/>
      <c r="P153" s="9"/>
      <c r="Q153" s="9">
        <v>15</v>
      </c>
      <c r="R153" s="9">
        <v>1</v>
      </c>
      <c r="S153" s="9">
        <v>16</v>
      </c>
      <c r="T153" s="9"/>
      <c r="U153" s="9"/>
      <c r="V153" s="9"/>
      <c r="W153" s="9"/>
      <c r="X153" s="9"/>
      <c r="Y153" s="9"/>
      <c r="Z153" s="9"/>
      <c r="AA153" s="9"/>
      <c r="AB153" s="9"/>
      <c r="AC153" s="9"/>
      <c r="AD153" s="9" t="s">
        <v>20</v>
      </c>
    </row>
    <row r="154" spans="1:30" ht="43.5">
      <c r="A154" s="3" t="s">
        <v>1273</v>
      </c>
      <c r="B154" s="3" t="s">
        <v>5890</v>
      </c>
      <c r="C154" s="3" t="s">
        <v>5891</v>
      </c>
      <c r="F154" t="s">
        <v>19</v>
      </c>
      <c r="G154" s="9" t="s">
        <v>25</v>
      </c>
      <c r="H154" s="9"/>
      <c r="I154" s="9">
        <v>1</v>
      </c>
      <c r="J154" s="9">
        <v>3</v>
      </c>
      <c r="K154" s="9" t="s">
        <v>12078</v>
      </c>
      <c r="L154" s="9" t="s">
        <v>12079</v>
      </c>
      <c r="M154" s="9"/>
      <c r="N154" s="10"/>
      <c r="O154" s="9"/>
      <c r="P154" s="9">
        <v>11843</v>
      </c>
      <c r="Q154" s="9"/>
      <c r="R154" s="9" t="s">
        <v>12795</v>
      </c>
      <c r="S154" s="9" t="s">
        <v>12795</v>
      </c>
      <c r="T154" s="9"/>
      <c r="U154" s="9"/>
      <c r="V154" s="9"/>
      <c r="W154" s="9"/>
      <c r="X154" s="9"/>
      <c r="Y154" s="9"/>
      <c r="Z154" s="9"/>
      <c r="AA154" s="9"/>
      <c r="AB154" s="9"/>
      <c r="AC154" s="9"/>
      <c r="AD154" s="9" t="s">
        <v>20</v>
      </c>
    </row>
    <row r="155" spans="1:30" ht="72.5">
      <c r="A155" s="3" t="s">
        <v>1277</v>
      </c>
      <c r="B155" s="3" t="s">
        <v>5896</v>
      </c>
      <c r="C155" s="3" t="s">
        <v>5895</v>
      </c>
      <c r="G155" s="9" t="s">
        <v>25</v>
      </c>
      <c r="H155" s="9"/>
      <c r="I155" s="9">
        <v>1</v>
      </c>
      <c r="J155" s="9">
        <v>3</v>
      </c>
      <c r="K155" s="9" t="s">
        <v>12087</v>
      </c>
      <c r="L155" s="9" t="s">
        <v>12079</v>
      </c>
      <c r="M155" s="9"/>
      <c r="N155" s="10"/>
      <c r="O155" s="9"/>
      <c r="P155" s="9">
        <v>5676</v>
      </c>
      <c r="Q155" s="9"/>
      <c r="R155" s="9" t="s">
        <v>12795</v>
      </c>
      <c r="S155" s="9" t="s">
        <v>12795</v>
      </c>
      <c r="T155" s="9"/>
      <c r="U155" s="9"/>
      <c r="V155" s="9"/>
      <c r="W155" s="9"/>
      <c r="X155" s="9"/>
      <c r="Y155" s="9"/>
      <c r="Z155" s="9"/>
      <c r="AA155" s="9"/>
      <c r="AB155" s="9"/>
      <c r="AC155" s="9"/>
      <c r="AD155" s="9" t="s">
        <v>20</v>
      </c>
    </row>
    <row r="156" spans="1:30" ht="43.5">
      <c r="A156" s="3" t="s">
        <v>1278</v>
      </c>
      <c r="B156" s="3" t="s">
        <v>5901</v>
      </c>
      <c r="C156" s="3" t="s">
        <v>5900</v>
      </c>
      <c r="G156" s="9" t="s">
        <v>25</v>
      </c>
      <c r="H156" s="9"/>
      <c r="I156" s="9">
        <v>1</v>
      </c>
      <c r="J156" s="9">
        <v>2</v>
      </c>
      <c r="K156" s="9" t="s">
        <v>12078</v>
      </c>
      <c r="L156" s="9" t="s">
        <v>12119</v>
      </c>
      <c r="M156" s="9"/>
      <c r="N156" s="10"/>
      <c r="O156" s="9"/>
      <c r="P156" s="9">
        <v>11843</v>
      </c>
      <c r="Q156" s="9"/>
      <c r="R156" s="9" t="s">
        <v>12795</v>
      </c>
      <c r="S156" s="9" t="s">
        <v>12795</v>
      </c>
      <c r="T156" s="9"/>
      <c r="U156" s="9"/>
      <c r="V156" s="9"/>
      <c r="W156" s="9"/>
      <c r="X156" s="9"/>
      <c r="Y156" s="9"/>
      <c r="Z156" s="9"/>
      <c r="AA156" s="9"/>
      <c r="AB156" s="9"/>
      <c r="AC156" s="9"/>
      <c r="AD156" s="9" t="s">
        <v>20</v>
      </c>
    </row>
    <row r="157" spans="1:30" ht="43.5">
      <c r="A157" s="3" t="s">
        <v>1281</v>
      </c>
      <c r="B157" s="3" t="s">
        <v>5906</v>
      </c>
      <c r="C157" s="3" t="s">
        <v>5907</v>
      </c>
      <c r="G157" s="9" t="s">
        <v>12120</v>
      </c>
      <c r="H157" s="9"/>
      <c r="I157" s="9"/>
      <c r="J157" s="9"/>
      <c r="K157" s="9"/>
      <c r="L157" s="9"/>
      <c r="M157" s="9"/>
      <c r="N157" s="10"/>
      <c r="O157" s="9"/>
      <c r="P157" s="9"/>
      <c r="Q157" s="9"/>
      <c r="R157" s="9" t="s">
        <v>12795</v>
      </c>
      <c r="S157" s="9" t="s">
        <v>12795</v>
      </c>
      <c r="T157" s="9"/>
      <c r="U157" s="9"/>
      <c r="V157" s="9"/>
      <c r="W157" s="9"/>
      <c r="X157" s="9"/>
      <c r="Y157" s="9"/>
      <c r="Z157" s="9"/>
      <c r="AA157" s="9"/>
      <c r="AB157" s="9"/>
      <c r="AC157" s="9"/>
      <c r="AD157" s="9" t="s">
        <v>20</v>
      </c>
    </row>
    <row r="158" spans="1:30" ht="43.5">
      <c r="A158" s="3" t="s">
        <v>1298</v>
      </c>
      <c r="B158" s="3" t="s">
        <v>5914</v>
      </c>
      <c r="C158" s="3" t="s">
        <v>5915</v>
      </c>
      <c r="G158" s="9" t="s">
        <v>12118</v>
      </c>
      <c r="H158" s="9"/>
      <c r="I158" s="9"/>
      <c r="J158" s="9"/>
      <c r="K158" s="9"/>
      <c r="L158" s="9"/>
      <c r="M158" s="9"/>
      <c r="N158" s="10"/>
      <c r="O158" s="9"/>
      <c r="P158" s="9"/>
      <c r="Q158" s="9">
        <v>29</v>
      </c>
      <c r="R158" s="9">
        <v>1</v>
      </c>
      <c r="S158" s="9">
        <v>30</v>
      </c>
      <c r="T158" s="9"/>
      <c r="U158" s="9"/>
      <c r="V158" s="9"/>
      <c r="W158" s="9"/>
      <c r="X158" s="9"/>
      <c r="Y158" s="9"/>
      <c r="Z158" s="9"/>
      <c r="AA158" s="9"/>
      <c r="AB158" s="9"/>
      <c r="AC158" s="9"/>
      <c r="AD158" s="9" t="s">
        <v>20</v>
      </c>
    </row>
    <row r="159" spans="1:30" ht="43.5">
      <c r="A159" s="3" t="s">
        <v>1299</v>
      </c>
      <c r="B159" s="3" t="s">
        <v>5918</v>
      </c>
      <c r="C159" s="3" t="s">
        <v>5919</v>
      </c>
      <c r="G159" s="9" t="s">
        <v>25</v>
      </c>
      <c r="H159" s="9"/>
      <c r="I159" s="9">
        <v>1</v>
      </c>
      <c r="J159" s="9">
        <v>3</v>
      </c>
      <c r="K159" s="9" t="s">
        <v>12078</v>
      </c>
      <c r="L159" s="9" t="s">
        <v>12073</v>
      </c>
      <c r="M159" s="9" t="s">
        <v>12149</v>
      </c>
      <c r="N159" s="10" t="s">
        <v>12143</v>
      </c>
      <c r="O159" s="9"/>
      <c r="P159" s="9">
        <v>11843</v>
      </c>
      <c r="Q159" s="9"/>
      <c r="R159" s="9" t="s">
        <v>12795</v>
      </c>
      <c r="S159" s="9" t="s">
        <v>12795</v>
      </c>
      <c r="T159" s="9"/>
      <c r="U159" s="9"/>
      <c r="V159" s="9"/>
      <c r="W159" s="9"/>
      <c r="X159" s="9"/>
      <c r="Y159" s="9"/>
      <c r="Z159" s="9"/>
      <c r="AA159" s="9"/>
      <c r="AB159" s="9"/>
      <c r="AC159" s="9"/>
      <c r="AD159" s="9" t="s">
        <v>20</v>
      </c>
    </row>
    <row r="160" spans="1:30" ht="43.5">
      <c r="A160" s="3" t="s">
        <v>1302</v>
      </c>
      <c r="B160" s="3" t="s">
        <v>13003</v>
      </c>
      <c r="C160" s="3" t="s">
        <v>13004</v>
      </c>
      <c r="F160" t="s">
        <v>19</v>
      </c>
      <c r="G160" s="9" t="s">
        <v>26</v>
      </c>
      <c r="H160" s="9"/>
      <c r="I160" s="9"/>
      <c r="J160" s="9"/>
      <c r="K160" s="9"/>
      <c r="L160" s="9"/>
      <c r="M160" s="9"/>
      <c r="N160" s="10"/>
      <c r="O160" s="9"/>
      <c r="P160" s="9"/>
      <c r="Q160" s="9"/>
      <c r="R160" s="9" t="s">
        <v>12795</v>
      </c>
      <c r="S160" s="9" t="s">
        <v>12795</v>
      </c>
      <c r="T160" s="9"/>
      <c r="U160" s="9"/>
      <c r="V160" s="9"/>
      <c r="W160" s="9"/>
      <c r="X160" s="9"/>
      <c r="Y160" s="9"/>
      <c r="Z160" s="9"/>
      <c r="AA160" s="9"/>
      <c r="AB160" s="9"/>
      <c r="AC160" s="9"/>
      <c r="AD160" s="9" t="s">
        <v>20</v>
      </c>
    </row>
    <row r="161" spans="1:30" ht="29">
      <c r="A161" s="3" t="s">
        <v>1326</v>
      </c>
      <c r="B161" s="3" t="s">
        <v>5952</v>
      </c>
      <c r="C161" s="3" t="s">
        <v>5951</v>
      </c>
      <c r="F161" t="s">
        <v>19</v>
      </c>
      <c r="G161" s="9" t="s">
        <v>24</v>
      </c>
      <c r="H161" s="9"/>
      <c r="I161" s="9">
        <v>1</v>
      </c>
      <c r="J161" s="9">
        <v>3</v>
      </c>
      <c r="K161" s="9" t="s">
        <v>12078</v>
      </c>
      <c r="L161" s="9" t="s">
        <v>12079</v>
      </c>
      <c r="M161" s="9"/>
      <c r="N161" s="10"/>
      <c r="O161" s="9"/>
      <c r="P161" s="9">
        <v>11843</v>
      </c>
      <c r="Q161" s="9"/>
      <c r="R161" s="9" t="s">
        <v>12795</v>
      </c>
      <c r="S161" s="9" t="s">
        <v>12795</v>
      </c>
      <c r="T161" s="9"/>
      <c r="U161" s="9"/>
      <c r="V161" s="9"/>
      <c r="W161" s="9"/>
      <c r="X161" s="9"/>
      <c r="Y161" s="9"/>
      <c r="Z161" s="9"/>
      <c r="AA161" s="9"/>
      <c r="AB161" s="9"/>
      <c r="AC161" s="9"/>
      <c r="AD161" s="9" t="s">
        <v>13141</v>
      </c>
    </row>
    <row r="162" spans="1:30" ht="58">
      <c r="A162" s="3" t="s">
        <v>1337</v>
      </c>
      <c r="B162" s="3" t="s">
        <v>5975</v>
      </c>
      <c r="C162" s="3" t="s">
        <v>5974</v>
      </c>
      <c r="F162" t="s">
        <v>19</v>
      </c>
      <c r="G162" s="9" t="s">
        <v>25</v>
      </c>
      <c r="H162" s="9"/>
      <c r="I162" s="9">
        <v>1</v>
      </c>
      <c r="J162" s="9">
        <v>3</v>
      </c>
      <c r="K162" s="9" t="s">
        <v>12087</v>
      </c>
      <c r="L162" s="9" t="s">
        <v>12079</v>
      </c>
      <c r="M162" s="9"/>
      <c r="N162" s="10"/>
      <c r="O162" s="9"/>
      <c r="P162" s="9">
        <v>5676</v>
      </c>
      <c r="Q162" s="9"/>
      <c r="R162" s="9" t="s">
        <v>12795</v>
      </c>
      <c r="S162" s="9" t="s">
        <v>12795</v>
      </c>
      <c r="T162" s="9"/>
      <c r="U162" s="9"/>
      <c r="V162" s="9"/>
      <c r="W162" s="9"/>
      <c r="X162" s="9"/>
      <c r="Y162" s="9"/>
      <c r="Z162" s="9"/>
      <c r="AA162" s="9"/>
      <c r="AB162" s="9"/>
      <c r="AC162" s="9"/>
      <c r="AD162" s="9" t="s">
        <v>20</v>
      </c>
    </row>
    <row r="163" spans="1:30" ht="58">
      <c r="A163" s="3" t="s">
        <v>1337</v>
      </c>
      <c r="B163" s="3" t="s">
        <v>5976</v>
      </c>
      <c r="C163" s="3" t="s">
        <v>5974</v>
      </c>
      <c r="G163" s="9" t="s">
        <v>25</v>
      </c>
      <c r="H163" s="9"/>
      <c r="I163" s="9">
        <v>1</v>
      </c>
      <c r="J163" s="9">
        <v>1</v>
      </c>
      <c r="K163" s="9" t="s">
        <v>12078</v>
      </c>
      <c r="L163" s="9" t="s">
        <v>12119</v>
      </c>
      <c r="M163" s="9"/>
      <c r="N163" s="10"/>
      <c r="O163" s="9"/>
      <c r="P163" s="9">
        <v>11843</v>
      </c>
      <c r="Q163" s="9"/>
      <c r="R163" s="9" t="s">
        <v>12795</v>
      </c>
      <c r="S163" s="9" t="s">
        <v>12795</v>
      </c>
      <c r="T163" s="9"/>
      <c r="U163" s="9"/>
      <c r="V163" s="9"/>
      <c r="W163" s="9"/>
      <c r="X163" s="9"/>
      <c r="Y163" s="9"/>
      <c r="Z163" s="9"/>
      <c r="AA163" s="9"/>
      <c r="AB163" s="9"/>
      <c r="AC163" s="9"/>
      <c r="AD163" s="9" t="s">
        <v>20</v>
      </c>
    </row>
    <row r="164" spans="1:30" ht="29">
      <c r="A164" s="3" t="s">
        <v>1357</v>
      </c>
      <c r="B164" s="3" t="s">
        <v>5995</v>
      </c>
      <c r="C164" s="3" t="s">
        <v>5996</v>
      </c>
      <c r="F164" t="s">
        <v>19</v>
      </c>
      <c r="G164" s="9" t="s">
        <v>24</v>
      </c>
      <c r="H164" s="9"/>
      <c r="I164" s="9">
        <v>1</v>
      </c>
      <c r="J164" s="9">
        <v>1</v>
      </c>
      <c r="K164" s="9" t="s">
        <v>12078</v>
      </c>
      <c r="L164" s="9" t="s">
        <v>12119</v>
      </c>
      <c r="M164" s="9"/>
      <c r="N164" s="10"/>
      <c r="O164" s="9"/>
      <c r="P164" s="9">
        <v>11843</v>
      </c>
      <c r="Q164" s="9"/>
      <c r="R164" s="9" t="s">
        <v>12795</v>
      </c>
      <c r="S164" s="9" t="s">
        <v>12795</v>
      </c>
      <c r="T164" s="9"/>
      <c r="U164" s="9"/>
      <c r="V164" s="9"/>
      <c r="W164" s="9"/>
      <c r="X164" s="9"/>
      <c r="Y164" s="9"/>
      <c r="Z164" s="9"/>
      <c r="AA164" s="9"/>
      <c r="AB164" s="9"/>
      <c r="AC164" s="9"/>
      <c r="AD164" s="9" t="s">
        <v>20</v>
      </c>
    </row>
    <row r="165" spans="1:30" ht="101.5">
      <c r="A165" s="3" t="s">
        <v>1365</v>
      </c>
      <c r="B165" s="3" t="s">
        <v>6014</v>
      </c>
      <c r="C165" s="3" t="s">
        <v>6011</v>
      </c>
      <c r="F165" t="s">
        <v>19</v>
      </c>
      <c r="G165" s="9" t="s">
        <v>25</v>
      </c>
      <c r="H165" s="9"/>
      <c r="I165" s="9">
        <v>1</v>
      </c>
      <c r="J165" s="9">
        <v>3</v>
      </c>
      <c r="K165" s="9" t="s">
        <v>12078</v>
      </c>
      <c r="L165" s="9" t="s">
        <v>12079</v>
      </c>
      <c r="M165" s="9"/>
      <c r="N165" s="10"/>
      <c r="O165" s="9"/>
      <c r="P165" s="9">
        <v>11843</v>
      </c>
      <c r="Q165" s="9"/>
      <c r="R165" s="9" t="s">
        <v>12795</v>
      </c>
      <c r="S165" s="9" t="s">
        <v>12795</v>
      </c>
      <c r="T165" s="9"/>
      <c r="U165" s="9"/>
      <c r="V165" s="9"/>
      <c r="W165" s="9"/>
      <c r="X165" s="9"/>
      <c r="Y165" s="9"/>
      <c r="Z165" s="9"/>
      <c r="AA165" s="9"/>
      <c r="AB165" s="9"/>
      <c r="AC165" s="9"/>
      <c r="AD165" s="9" t="s">
        <v>20</v>
      </c>
    </row>
    <row r="166" spans="1:30" ht="72.5">
      <c r="A166" s="3" t="s">
        <v>1370</v>
      </c>
      <c r="B166" s="3" t="s">
        <v>6017</v>
      </c>
      <c r="C166" s="3" t="s">
        <v>6018</v>
      </c>
      <c r="G166" s="9" t="s">
        <v>24</v>
      </c>
      <c r="H166" s="9"/>
      <c r="I166" s="9">
        <v>1</v>
      </c>
      <c r="J166" s="9">
        <v>6</v>
      </c>
      <c r="K166" s="9" t="s">
        <v>12092</v>
      </c>
      <c r="L166" s="9" t="s">
        <v>12073</v>
      </c>
      <c r="M166" s="9" t="s">
        <v>12142</v>
      </c>
      <c r="N166" s="10" t="s">
        <v>12158</v>
      </c>
      <c r="O166" s="9" t="s">
        <v>12074</v>
      </c>
      <c r="P166" s="9">
        <v>5</v>
      </c>
      <c r="Q166" s="9"/>
      <c r="R166" s="9" t="s">
        <v>12795</v>
      </c>
      <c r="S166" s="9" t="s">
        <v>12795</v>
      </c>
      <c r="T166" s="9"/>
      <c r="U166" s="9"/>
      <c r="V166" s="9"/>
      <c r="W166" s="9"/>
      <c r="X166" s="9"/>
      <c r="Y166" s="9"/>
      <c r="Z166" s="9"/>
      <c r="AA166" s="9"/>
      <c r="AB166" s="9"/>
      <c r="AC166" s="9"/>
      <c r="AD166" s="9" t="s">
        <v>20</v>
      </c>
    </row>
    <row r="167" spans="1:30" ht="130.5">
      <c r="A167" s="3" t="s">
        <v>1373</v>
      </c>
      <c r="B167" s="3" t="s">
        <v>6020</v>
      </c>
      <c r="C167" s="3" t="s">
        <v>13008</v>
      </c>
      <c r="F167" t="s">
        <v>19</v>
      </c>
      <c r="G167" s="9" t="s">
        <v>26</v>
      </c>
      <c r="H167" s="9"/>
      <c r="I167" s="9"/>
      <c r="J167" s="9"/>
      <c r="K167" s="9"/>
      <c r="L167" s="9"/>
      <c r="M167" s="9"/>
      <c r="N167" s="10"/>
      <c r="O167" s="9"/>
      <c r="P167" s="9"/>
      <c r="Q167" s="9"/>
      <c r="R167" s="9" t="s">
        <v>12795</v>
      </c>
      <c r="S167" s="9" t="s">
        <v>12795</v>
      </c>
      <c r="T167" s="9"/>
      <c r="U167" s="9"/>
      <c r="V167" s="9"/>
      <c r="W167" s="9"/>
      <c r="X167" s="9"/>
      <c r="Y167" s="9"/>
      <c r="Z167" s="9"/>
      <c r="AA167" s="9"/>
      <c r="AB167" s="9"/>
      <c r="AC167" s="9"/>
      <c r="AD167" s="9" t="s">
        <v>20</v>
      </c>
    </row>
    <row r="168" spans="1:30" ht="188.5">
      <c r="A168" s="3" t="s">
        <v>1380</v>
      </c>
      <c r="B168" s="3" t="s">
        <v>6030</v>
      </c>
      <c r="C168" s="3" t="s">
        <v>6031</v>
      </c>
      <c r="F168" t="s">
        <v>19</v>
      </c>
      <c r="G168" s="9" t="s">
        <v>26</v>
      </c>
      <c r="H168" s="9"/>
      <c r="I168" s="9"/>
      <c r="J168" s="9"/>
      <c r="K168" s="9"/>
      <c r="L168" s="9"/>
      <c r="M168" s="9"/>
      <c r="N168" s="10"/>
      <c r="O168" s="9"/>
      <c r="P168" s="9"/>
      <c r="Q168" s="9"/>
      <c r="R168" s="9" t="s">
        <v>12795</v>
      </c>
      <c r="S168" s="9" t="s">
        <v>12795</v>
      </c>
      <c r="T168" s="9"/>
      <c r="U168" s="9"/>
      <c r="V168" s="9"/>
      <c r="W168" s="9"/>
      <c r="X168" s="9"/>
      <c r="Y168" s="9"/>
      <c r="Z168" s="9"/>
      <c r="AA168" s="9"/>
      <c r="AB168" s="9"/>
      <c r="AC168" s="9"/>
      <c r="AD168" s="9" t="s">
        <v>20</v>
      </c>
    </row>
    <row r="169" spans="1:30" ht="203">
      <c r="A169" s="3" t="s">
        <v>1380</v>
      </c>
      <c r="B169" s="3" t="s">
        <v>6032</v>
      </c>
      <c r="C169" s="3" t="s">
        <v>6029</v>
      </c>
      <c r="F169" t="s">
        <v>22</v>
      </c>
      <c r="G169" s="9" t="s">
        <v>25</v>
      </c>
      <c r="H169" s="9"/>
      <c r="I169" s="9">
        <v>3</v>
      </c>
      <c r="J169" s="9">
        <v>14</v>
      </c>
      <c r="K169" s="9"/>
      <c r="L169" s="9" t="s">
        <v>12079</v>
      </c>
      <c r="M169" s="9"/>
      <c r="N169" s="10"/>
      <c r="O169" s="9"/>
      <c r="P169" s="9">
        <v>186</v>
      </c>
      <c r="Q169" s="9"/>
      <c r="R169" s="9" t="s">
        <v>12795</v>
      </c>
      <c r="S169" s="9" t="s">
        <v>12795</v>
      </c>
      <c r="T169" s="9"/>
      <c r="U169" s="9"/>
      <c r="V169" s="9"/>
      <c r="W169" s="9"/>
      <c r="X169" s="9"/>
      <c r="Y169" s="9"/>
      <c r="Z169" s="9"/>
      <c r="AA169" s="9"/>
      <c r="AB169" s="9"/>
      <c r="AC169" s="9"/>
      <c r="AD169" s="9" t="s">
        <v>20</v>
      </c>
    </row>
    <row r="170" spans="1:30" ht="29">
      <c r="A170" s="3" t="s">
        <v>1384</v>
      </c>
      <c r="B170" s="3" t="s">
        <v>1229</v>
      </c>
      <c r="C170" s="3" t="s">
        <v>1230</v>
      </c>
      <c r="G170" s="9" t="s">
        <v>12118</v>
      </c>
      <c r="H170" s="9"/>
      <c r="I170" s="9"/>
      <c r="J170" s="9"/>
      <c r="K170" s="9"/>
      <c r="L170" s="9"/>
      <c r="M170" s="9"/>
      <c r="N170" s="10"/>
      <c r="O170" s="9"/>
      <c r="P170" s="9"/>
      <c r="Q170" s="9">
        <v>-69</v>
      </c>
      <c r="R170" s="9">
        <v>77</v>
      </c>
      <c r="S170" s="9">
        <v>8</v>
      </c>
      <c r="T170" s="9"/>
      <c r="U170" s="9"/>
      <c r="V170" s="9"/>
      <c r="W170" s="9"/>
      <c r="X170" s="9"/>
      <c r="Y170" s="9"/>
      <c r="Z170" s="9"/>
      <c r="AA170" s="9"/>
      <c r="AB170" s="9"/>
      <c r="AC170" s="9"/>
      <c r="AD170" s="9" t="s">
        <v>20</v>
      </c>
    </row>
    <row r="171" spans="1:30" ht="116">
      <c r="A171" s="3" t="s">
        <v>1384</v>
      </c>
      <c r="B171" s="3" t="s">
        <v>6037</v>
      </c>
      <c r="C171" s="3" t="s">
        <v>6036</v>
      </c>
      <c r="F171" t="s">
        <v>19</v>
      </c>
      <c r="G171" s="9" t="s">
        <v>25</v>
      </c>
      <c r="H171" s="9"/>
      <c r="I171" s="9">
        <v>1</v>
      </c>
      <c r="J171" s="9">
        <v>8</v>
      </c>
      <c r="K171" s="9" t="s">
        <v>12098</v>
      </c>
      <c r="L171" s="9" t="s">
        <v>12079</v>
      </c>
      <c r="M171" s="9"/>
      <c r="N171" s="10"/>
      <c r="O171" s="9"/>
      <c r="P171" s="9">
        <v>35</v>
      </c>
      <c r="Q171" s="9"/>
      <c r="R171" s="9" t="s">
        <v>12795</v>
      </c>
      <c r="S171" s="9" t="s">
        <v>12795</v>
      </c>
      <c r="T171" s="9"/>
      <c r="U171" s="9"/>
      <c r="V171" s="9"/>
      <c r="W171" s="9"/>
      <c r="X171" s="9"/>
      <c r="Y171" s="9"/>
      <c r="Z171" s="9"/>
      <c r="AA171" s="9"/>
      <c r="AB171" s="9"/>
      <c r="AC171" s="9"/>
      <c r="AD171" s="9" t="s">
        <v>20</v>
      </c>
    </row>
    <row r="172" spans="1:30" ht="116">
      <c r="A172" s="3" t="s">
        <v>1384</v>
      </c>
      <c r="B172" s="3" t="s">
        <v>6038</v>
      </c>
      <c r="C172" s="3" t="s">
        <v>6036</v>
      </c>
      <c r="F172" t="s">
        <v>19</v>
      </c>
      <c r="G172" s="9" t="s">
        <v>25</v>
      </c>
      <c r="H172" s="9"/>
      <c r="I172" s="9">
        <v>1</v>
      </c>
      <c r="J172" s="9">
        <v>5</v>
      </c>
      <c r="K172" s="9" t="s">
        <v>12094</v>
      </c>
      <c r="L172" s="9" t="s">
        <v>12079</v>
      </c>
      <c r="M172" s="9"/>
      <c r="N172" s="10"/>
      <c r="O172" s="9"/>
      <c r="P172" s="9">
        <v>4240</v>
      </c>
      <c r="Q172" s="9"/>
      <c r="R172" s="9" t="s">
        <v>12795</v>
      </c>
      <c r="S172" s="9" t="s">
        <v>12795</v>
      </c>
      <c r="T172" s="9"/>
      <c r="U172" s="9"/>
      <c r="V172" s="9"/>
      <c r="W172" s="9"/>
      <c r="X172" s="9"/>
      <c r="Y172" s="9"/>
      <c r="Z172" s="9"/>
      <c r="AA172" s="9"/>
      <c r="AB172" s="9"/>
      <c r="AC172" s="9"/>
      <c r="AD172" s="9" t="s">
        <v>20</v>
      </c>
    </row>
    <row r="173" spans="1:30" ht="116">
      <c r="A173" s="3" t="s">
        <v>1384</v>
      </c>
      <c r="B173" s="3" t="s">
        <v>6039</v>
      </c>
      <c r="C173" s="3" t="s">
        <v>6036</v>
      </c>
      <c r="F173" t="s">
        <v>19</v>
      </c>
      <c r="G173" s="9" t="s">
        <v>25</v>
      </c>
      <c r="H173" s="9"/>
      <c r="I173" s="9">
        <v>1</v>
      </c>
      <c r="J173" s="9">
        <v>6</v>
      </c>
      <c r="K173" s="9" t="s">
        <v>12084</v>
      </c>
      <c r="L173" s="9" t="s">
        <v>12079</v>
      </c>
      <c r="M173" s="9"/>
      <c r="N173" s="10"/>
      <c r="O173" s="9"/>
      <c r="P173" s="9">
        <v>32</v>
      </c>
      <c r="Q173" s="9"/>
      <c r="R173" s="9" t="s">
        <v>12795</v>
      </c>
      <c r="S173" s="9" t="s">
        <v>12795</v>
      </c>
      <c r="T173" s="9"/>
      <c r="U173" s="9"/>
      <c r="V173" s="9"/>
      <c r="W173" s="9"/>
      <c r="X173" s="9"/>
      <c r="Y173" s="9"/>
      <c r="Z173" s="9"/>
      <c r="AA173" s="9"/>
      <c r="AB173" s="9"/>
      <c r="AC173" s="9"/>
      <c r="AD173" s="9" t="s">
        <v>20</v>
      </c>
    </row>
    <row r="174" spans="1:30" ht="29">
      <c r="A174" s="3" t="s">
        <v>1402</v>
      </c>
      <c r="B174" s="3" t="s">
        <v>6053</v>
      </c>
      <c r="C174" s="3" t="s">
        <v>6052</v>
      </c>
      <c r="G174" s="9" t="s">
        <v>24</v>
      </c>
      <c r="H174" s="9"/>
      <c r="I174" s="9">
        <v>1</v>
      </c>
      <c r="J174" s="9">
        <v>3</v>
      </c>
      <c r="K174" s="9" t="s">
        <v>12078</v>
      </c>
      <c r="L174" s="9" t="s">
        <v>12079</v>
      </c>
      <c r="M174" s="9"/>
      <c r="N174" s="10"/>
      <c r="O174" s="9"/>
      <c r="P174" s="9">
        <v>11843</v>
      </c>
      <c r="Q174" s="9"/>
      <c r="R174" s="9" t="s">
        <v>12795</v>
      </c>
      <c r="S174" s="9" t="s">
        <v>12795</v>
      </c>
      <c r="T174" s="9"/>
      <c r="U174" s="9"/>
      <c r="V174" s="9"/>
      <c r="W174" s="9"/>
      <c r="X174" s="9"/>
      <c r="Y174" s="9"/>
      <c r="Z174" s="9"/>
      <c r="AA174" s="9"/>
      <c r="AB174" s="9"/>
      <c r="AC174" s="9"/>
      <c r="AD174" s="9" t="s">
        <v>20</v>
      </c>
    </row>
    <row r="175" spans="1:30" ht="58">
      <c r="A175" s="3" t="s">
        <v>1409</v>
      </c>
      <c r="B175" s="3" t="s">
        <v>6058</v>
      </c>
      <c r="C175" s="3" t="s">
        <v>6057</v>
      </c>
      <c r="G175" s="9" t="s">
        <v>12118</v>
      </c>
      <c r="H175" s="9"/>
      <c r="I175" s="9"/>
      <c r="J175" s="9"/>
      <c r="K175" s="9"/>
      <c r="L175" s="9"/>
      <c r="M175" s="9"/>
      <c r="N175" s="10"/>
      <c r="O175" s="9"/>
      <c r="P175" s="9"/>
      <c r="Q175" s="9">
        <v>-25</v>
      </c>
      <c r="R175" s="9">
        <v>27</v>
      </c>
      <c r="S175" s="9">
        <v>2</v>
      </c>
      <c r="T175" s="9"/>
      <c r="U175" s="9"/>
      <c r="V175" s="9"/>
      <c r="W175" s="9"/>
      <c r="X175" s="9"/>
      <c r="Y175" s="9"/>
      <c r="Z175" s="9"/>
      <c r="AA175" s="9"/>
      <c r="AB175" s="9"/>
      <c r="AC175" s="9"/>
      <c r="AD175" s="9" t="s">
        <v>20</v>
      </c>
    </row>
    <row r="176" spans="1:30" ht="130.5">
      <c r="A176" s="3" t="s">
        <v>1412</v>
      </c>
      <c r="B176" s="3" t="s">
        <v>6062</v>
      </c>
      <c r="C176" s="3" t="s">
        <v>6063</v>
      </c>
      <c r="G176" s="9" t="s">
        <v>26</v>
      </c>
      <c r="H176" s="9"/>
      <c r="I176" s="9"/>
      <c r="J176" s="9"/>
      <c r="K176" s="9"/>
      <c r="L176" s="9"/>
      <c r="M176" s="9"/>
      <c r="N176" s="10"/>
      <c r="O176" s="9"/>
      <c r="P176" s="9"/>
      <c r="Q176" s="9"/>
      <c r="R176" s="9" t="s">
        <v>12795</v>
      </c>
      <c r="S176" s="9" t="s">
        <v>12795</v>
      </c>
      <c r="T176" s="9"/>
      <c r="U176" s="9"/>
      <c r="V176" s="9"/>
      <c r="W176" s="9"/>
      <c r="X176" s="9"/>
      <c r="Y176" s="9"/>
      <c r="Z176" s="9"/>
      <c r="AA176" s="9"/>
      <c r="AB176" s="9"/>
      <c r="AC176" s="9"/>
      <c r="AD176" s="9" t="s">
        <v>20</v>
      </c>
    </row>
    <row r="177" spans="1:30" ht="232">
      <c r="A177" s="3" t="s">
        <v>1413</v>
      </c>
      <c r="B177" s="3" t="s">
        <v>6070</v>
      </c>
      <c r="C177" s="3" t="s">
        <v>6071</v>
      </c>
      <c r="G177" s="9" t="s">
        <v>26</v>
      </c>
      <c r="H177" s="9"/>
      <c r="I177" s="9"/>
      <c r="J177" s="9"/>
      <c r="K177" s="9"/>
      <c r="L177" s="9"/>
      <c r="M177" s="9"/>
      <c r="N177" s="10"/>
      <c r="O177" s="9"/>
      <c r="P177" s="9"/>
      <c r="Q177" s="9"/>
      <c r="R177" s="9" t="s">
        <v>12795</v>
      </c>
      <c r="S177" s="9" t="s">
        <v>12795</v>
      </c>
      <c r="T177" s="9"/>
      <c r="U177" s="9"/>
      <c r="V177" s="9"/>
      <c r="W177" s="9"/>
      <c r="X177" s="9"/>
      <c r="Y177" s="9"/>
      <c r="Z177" s="9"/>
      <c r="AA177" s="9"/>
      <c r="AB177" s="9"/>
      <c r="AC177" s="9"/>
      <c r="AD177" s="9" t="s">
        <v>20</v>
      </c>
    </row>
    <row r="178" spans="1:30" ht="43.5">
      <c r="A178" s="3" t="s">
        <v>1417</v>
      </c>
      <c r="B178" s="3" t="s">
        <v>6072</v>
      </c>
      <c r="C178" s="3" t="s">
        <v>6073</v>
      </c>
      <c r="G178" s="9" t="s">
        <v>12118</v>
      </c>
      <c r="H178" s="9"/>
      <c r="I178" s="9"/>
      <c r="J178" s="9"/>
      <c r="K178" s="9"/>
      <c r="L178" s="9"/>
      <c r="M178" s="9"/>
      <c r="N178" s="10"/>
      <c r="O178" s="9"/>
      <c r="P178" s="9"/>
      <c r="Q178" s="9">
        <v>-6</v>
      </c>
      <c r="R178" s="9">
        <v>16</v>
      </c>
      <c r="S178" s="9">
        <v>10</v>
      </c>
      <c r="T178" s="9"/>
      <c r="U178" s="9"/>
      <c r="V178" s="9"/>
      <c r="W178" s="9"/>
      <c r="X178" s="9"/>
      <c r="Y178" s="9"/>
      <c r="Z178" s="9"/>
      <c r="AA178" s="9"/>
      <c r="AB178" s="9"/>
      <c r="AC178" s="9"/>
      <c r="AD178" s="9" t="s">
        <v>20</v>
      </c>
    </row>
    <row r="179" spans="1:30" ht="58">
      <c r="A179" s="3" t="s">
        <v>1419</v>
      </c>
      <c r="B179" s="3" t="s">
        <v>6078</v>
      </c>
      <c r="C179" s="3" t="s">
        <v>6079</v>
      </c>
      <c r="G179" s="9" t="s">
        <v>25</v>
      </c>
      <c r="H179" s="9"/>
      <c r="I179" s="9">
        <v>1</v>
      </c>
      <c r="J179" s="9">
        <v>6</v>
      </c>
      <c r="K179" s="9" t="s">
        <v>12094</v>
      </c>
      <c r="L179" s="9" t="s">
        <v>12079</v>
      </c>
      <c r="M179" s="9"/>
      <c r="N179" s="10"/>
      <c r="O179" s="9"/>
      <c r="P179" s="9">
        <v>4240</v>
      </c>
      <c r="Q179" s="9"/>
      <c r="R179" s="9" t="s">
        <v>12795</v>
      </c>
      <c r="S179" s="9" t="s">
        <v>12795</v>
      </c>
      <c r="T179" s="9"/>
      <c r="U179" s="9"/>
      <c r="V179" s="9"/>
      <c r="W179" s="9"/>
      <c r="X179" s="9"/>
      <c r="Y179" s="9"/>
      <c r="Z179" s="9"/>
      <c r="AA179" s="9"/>
      <c r="AB179" s="9"/>
      <c r="AC179" s="9"/>
      <c r="AD179" s="9" t="s">
        <v>20</v>
      </c>
    </row>
    <row r="180" spans="1:30" ht="43.5">
      <c r="A180" s="3" t="s">
        <v>1421</v>
      </c>
      <c r="B180" s="3" t="s">
        <v>6082</v>
      </c>
      <c r="C180" s="3" t="s">
        <v>6083</v>
      </c>
      <c r="G180" s="9" t="s">
        <v>25</v>
      </c>
      <c r="H180" s="9"/>
      <c r="I180" s="9">
        <v>1</v>
      </c>
      <c r="J180" s="9">
        <v>3</v>
      </c>
      <c r="K180" s="9" t="s">
        <v>12078</v>
      </c>
      <c r="L180" s="9" t="s">
        <v>12073</v>
      </c>
      <c r="M180" s="9" t="s">
        <v>12149</v>
      </c>
      <c r="N180" s="10" t="s">
        <v>12143</v>
      </c>
      <c r="O180" s="9"/>
      <c r="P180" s="9">
        <v>11843</v>
      </c>
      <c r="Q180" s="9"/>
      <c r="R180" s="9" t="s">
        <v>12795</v>
      </c>
      <c r="S180" s="9" t="s">
        <v>12795</v>
      </c>
      <c r="T180" s="9"/>
      <c r="U180" s="9"/>
      <c r="V180" s="9"/>
      <c r="W180" s="9"/>
      <c r="X180" s="9"/>
      <c r="Y180" s="9"/>
      <c r="Z180" s="9"/>
      <c r="AA180" s="9"/>
      <c r="AB180" s="9"/>
      <c r="AC180" s="9"/>
      <c r="AD180" s="9" t="s">
        <v>20</v>
      </c>
    </row>
    <row r="181" spans="1:30" ht="43.5">
      <c r="A181" s="3" t="s">
        <v>1421</v>
      </c>
      <c r="B181" s="3" t="s">
        <v>6084</v>
      </c>
      <c r="C181" s="3" t="s">
        <v>6085</v>
      </c>
      <c r="G181" s="9" t="s">
        <v>25</v>
      </c>
      <c r="H181" s="9"/>
      <c r="I181" s="9">
        <v>1</v>
      </c>
      <c r="J181" s="9">
        <v>3</v>
      </c>
      <c r="K181" s="9" t="s">
        <v>12078</v>
      </c>
      <c r="L181" s="9" t="s">
        <v>12073</v>
      </c>
      <c r="M181" s="9" t="s">
        <v>12149</v>
      </c>
      <c r="N181" s="10" t="s">
        <v>12143</v>
      </c>
      <c r="O181" s="9"/>
      <c r="P181" s="9">
        <v>11843</v>
      </c>
      <c r="Q181" s="9"/>
      <c r="R181" s="9" t="s">
        <v>12795</v>
      </c>
      <c r="S181" s="9" t="s">
        <v>12795</v>
      </c>
      <c r="T181" s="9"/>
      <c r="U181" s="9"/>
      <c r="V181" s="9"/>
      <c r="W181" s="9"/>
      <c r="X181" s="9"/>
      <c r="Y181" s="9"/>
      <c r="Z181" s="9"/>
      <c r="AA181" s="9"/>
      <c r="AB181" s="9"/>
      <c r="AC181" s="9"/>
      <c r="AD181" s="9" t="s">
        <v>20</v>
      </c>
    </row>
    <row r="182" spans="1:30" ht="29">
      <c r="A182" s="3" t="s">
        <v>1423</v>
      </c>
      <c r="B182" s="3" t="s">
        <v>1426</v>
      </c>
      <c r="C182" s="3" t="s">
        <v>1427</v>
      </c>
      <c r="G182" s="9" t="s">
        <v>12118</v>
      </c>
      <c r="H182" s="9"/>
      <c r="I182" s="9"/>
      <c r="J182" s="9"/>
      <c r="K182" s="9"/>
      <c r="L182" s="9"/>
      <c r="M182" s="9"/>
      <c r="N182" s="10"/>
      <c r="O182" s="9"/>
      <c r="P182" s="9"/>
      <c r="Q182" s="9">
        <v>0</v>
      </c>
      <c r="R182" s="9">
        <v>0</v>
      </c>
      <c r="S182" s="9">
        <v>0</v>
      </c>
      <c r="T182" s="9"/>
      <c r="U182" s="9"/>
      <c r="V182" s="9"/>
      <c r="W182" s="9"/>
      <c r="X182" s="9"/>
      <c r="Y182" s="9"/>
      <c r="Z182" s="9"/>
      <c r="AA182" s="9"/>
      <c r="AB182" s="9"/>
      <c r="AC182" s="9"/>
      <c r="AD182" s="9" t="s">
        <v>20</v>
      </c>
    </row>
    <row r="183" spans="1:30" ht="72.5">
      <c r="A183" s="3" t="s">
        <v>1432</v>
      </c>
      <c r="B183" s="3" t="s">
        <v>6088</v>
      </c>
      <c r="C183" s="3" t="s">
        <v>6089</v>
      </c>
      <c r="G183" s="9" t="s">
        <v>24</v>
      </c>
      <c r="H183" s="9"/>
      <c r="I183" s="9">
        <v>1</v>
      </c>
      <c r="J183" s="9">
        <v>3</v>
      </c>
      <c r="K183" s="9" t="s">
        <v>12078</v>
      </c>
      <c r="L183" s="9" t="s">
        <v>12073</v>
      </c>
      <c r="M183" s="9" t="s">
        <v>12142</v>
      </c>
      <c r="N183" s="10" t="s">
        <v>12143</v>
      </c>
      <c r="O183" s="9" t="s">
        <v>12074</v>
      </c>
      <c r="P183" s="9">
        <v>11843</v>
      </c>
      <c r="Q183" s="9"/>
      <c r="R183" s="9" t="s">
        <v>12795</v>
      </c>
      <c r="S183" s="9" t="s">
        <v>12795</v>
      </c>
      <c r="T183" s="9"/>
      <c r="U183" s="9"/>
      <c r="V183" s="9"/>
      <c r="W183" s="9"/>
      <c r="X183" s="9"/>
      <c r="Y183" s="9"/>
      <c r="Z183" s="9"/>
      <c r="AA183" s="9"/>
      <c r="AB183" s="9"/>
      <c r="AC183" s="9"/>
      <c r="AD183" s="9" t="s">
        <v>20</v>
      </c>
    </row>
    <row r="184" spans="1:30" ht="58">
      <c r="A184" s="3" t="s">
        <v>1434</v>
      </c>
      <c r="B184" s="3" t="s">
        <v>6094</v>
      </c>
      <c r="C184" s="3" t="s">
        <v>6095</v>
      </c>
      <c r="E184" t="s">
        <v>20</v>
      </c>
      <c r="G184" s="9" t="s">
        <v>26</v>
      </c>
      <c r="H184" s="9"/>
      <c r="I184" s="9"/>
      <c r="J184" s="9"/>
      <c r="K184" s="9"/>
      <c r="L184" s="9"/>
      <c r="M184" s="9"/>
      <c r="N184" s="10"/>
      <c r="O184" s="9"/>
      <c r="P184" s="9"/>
      <c r="Q184" s="9"/>
      <c r="R184" s="9" t="s">
        <v>12795</v>
      </c>
      <c r="S184" s="9" t="s">
        <v>12795</v>
      </c>
      <c r="T184" s="9" t="s">
        <v>4</v>
      </c>
      <c r="U184" s="9"/>
      <c r="V184" s="9"/>
      <c r="W184" s="9"/>
      <c r="X184" s="9"/>
      <c r="Y184" s="9"/>
      <c r="Z184" s="9"/>
      <c r="AA184" s="9"/>
      <c r="AB184" s="9"/>
      <c r="AC184" s="9"/>
      <c r="AD184" s="9" t="s">
        <v>20</v>
      </c>
    </row>
    <row r="185" spans="1:30" ht="58">
      <c r="A185" s="3" t="s">
        <v>1434</v>
      </c>
      <c r="B185" s="3" t="s">
        <v>6096</v>
      </c>
      <c r="C185" s="3" t="s">
        <v>6097</v>
      </c>
      <c r="G185" s="9" t="s">
        <v>12118</v>
      </c>
      <c r="H185" s="9"/>
      <c r="I185" s="9"/>
      <c r="J185" s="9"/>
      <c r="K185" s="9"/>
      <c r="L185" s="9"/>
      <c r="M185" s="9"/>
      <c r="N185" s="10"/>
      <c r="O185" s="9"/>
      <c r="P185" s="9"/>
      <c r="Q185" s="9">
        <v>-4</v>
      </c>
      <c r="R185" s="9">
        <v>11</v>
      </c>
      <c r="S185" s="9">
        <v>7</v>
      </c>
      <c r="T185" s="9" t="s">
        <v>4</v>
      </c>
      <c r="U185" s="9"/>
      <c r="V185" s="9"/>
      <c r="W185" s="9"/>
      <c r="X185" s="9"/>
      <c r="Y185" s="9"/>
      <c r="Z185" s="9"/>
      <c r="AA185" s="9"/>
      <c r="AB185" s="9"/>
      <c r="AC185" s="9"/>
      <c r="AD185" s="9" t="s">
        <v>20</v>
      </c>
    </row>
    <row r="186" spans="1:30" ht="145">
      <c r="A186" s="3" t="s">
        <v>1441</v>
      </c>
      <c r="B186" s="3" t="s">
        <v>6117</v>
      </c>
      <c r="C186" s="3" t="s">
        <v>6115</v>
      </c>
      <c r="G186" s="9" t="s">
        <v>25</v>
      </c>
      <c r="H186" s="9"/>
      <c r="I186" s="9">
        <v>4</v>
      </c>
      <c r="J186" s="9">
        <v>14</v>
      </c>
      <c r="K186" s="9"/>
      <c r="L186" s="9" t="s">
        <v>12073</v>
      </c>
      <c r="M186" s="9" t="s">
        <v>12135</v>
      </c>
      <c r="N186" s="10" t="s">
        <v>12233</v>
      </c>
      <c r="O186" s="9"/>
      <c r="P186" s="9">
        <v>11</v>
      </c>
      <c r="Q186" s="9"/>
      <c r="R186" s="9" t="s">
        <v>12795</v>
      </c>
      <c r="S186" s="9" t="s">
        <v>12795</v>
      </c>
      <c r="T186" s="9"/>
      <c r="U186" s="9"/>
      <c r="V186" s="9"/>
      <c r="W186" s="9"/>
      <c r="X186" s="9"/>
      <c r="Y186" s="9"/>
      <c r="Z186" s="9"/>
      <c r="AA186" s="9"/>
      <c r="AB186" s="9"/>
      <c r="AC186" s="9"/>
      <c r="AD186" s="9" t="s">
        <v>20</v>
      </c>
    </row>
    <row r="187" spans="1:30">
      <c r="A187" s="3" t="s">
        <v>1442</v>
      </c>
      <c r="B187" s="3" t="s">
        <v>156</v>
      </c>
      <c r="C187" s="3" t="s">
        <v>1269</v>
      </c>
      <c r="G187" s="9" t="s">
        <v>12120</v>
      </c>
      <c r="H187" s="9"/>
      <c r="I187" s="9"/>
      <c r="J187" s="9"/>
      <c r="K187" s="9"/>
      <c r="L187" s="9"/>
      <c r="M187" s="9"/>
      <c r="N187" s="10"/>
      <c r="O187" s="9"/>
      <c r="P187" s="9"/>
      <c r="Q187" s="9"/>
      <c r="R187" s="9" t="s">
        <v>12795</v>
      </c>
      <c r="S187" s="9" t="s">
        <v>12795</v>
      </c>
      <c r="T187" s="9"/>
      <c r="U187" s="9"/>
      <c r="V187" s="9"/>
      <c r="W187" s="9"/>
      <c r="X187" s="9"/>
      <c r="Y187" s="9"/>
      <c r="Z187" s="9"/>
      <c r="AA187" s="9"/>
      <c r="AB187" s="9"/>
      <c r="AC187" s="9"/>
      <c r="AD187" s="9" t="s">
        <v>20</v>
      </c>
    </row>
    <row r="188" spans="1:30" ht="29">
      <c r="A188" s="3" t="s">
        <v>1445</v>
      </c>
      <c r="B188" s="3" t="s">
        <v>1446</v>
      </c>
      <c r="C188" s="3" t="s">
        <v>1447</v>
      </c>
      <c r="G188" s="9" t="s">
        <v>12120</v>
      </c>
      <c r="H188" s="9"/>
      <c r="I188" s="9"/>
      <c r="J188" s="9"/>
      <c r="K188" s="9"/>
      <c r="L188" s="9"/>
      <c r="M188" s="9"/>
      <c r="N188" s="10"/>
      <c r="O188" s="9"/>
      <c r="P188" s="9"/>
      <c r="Q188" s="9"/>
      <c r="R188" s="9" t="s">
        <v>12795</v>
      </c>
      <c r="S188" s="9" t="s">
        <v>12795</v>
      </c>
      <c r="T188" s="9"/>
      <c r="U188" s="9"/>
      <c r="V188" s="9"/>
      <c r="W188" s="9"/>
      <c r="X188" s="9"/>
      <c r="Y188" s="9"/>
      <c r="Z188" s="9"/>
      <c r="AA188" s="9"/>
      <c r="AB188" s="9"/>
      <c r="AC188" s="9"/>
      <c r="AD188" s="9" t="s">
        <v>20</v>
      </c>
    </row>
    <row r="189" spans="1:30" ht="72.5">
      <c r="A189" s="3" t="s">
        <v>1453</v>
      </c>
      <c r="B189" s="3" t="s">
        <v>6143</v>
      </c>
      <c r="C189" s="3" t="s">
        <v>6142</v>
      </c>
      <c r="G189" s="9" t="s">
        <v>26</v>
      </c>
      <c r="H189" s="9"/>
      <c r="I189" s="9"/>
      <c r="J189" s="9"/>
      <c r="K189" s="9"/>
      <c r="L189" s="9"/>
      <c r="M189" s="9"/>
      <c r="N189" s="10"/>
      <c r="O189" s="9"/>
      <c r="P189" s="9"/>
      <c r="Q189" s="9"/>
      <c r="R189" s="9" t="s">
        <v>12795</v>
      </c>
      <c r="S189" s="9" t="s">
        <v>12795</v>
      </c>
      <c r="T189" s="9"/>
      <c r="U189" s="9"/>
      <c r="V189" s="9"/>
      <c r="W189" s="9"/>
      <c r="X189" s="9"/>
      <c r="Y189" s="9"/>
      <c r="Z189" s="9"/>
      <c r="AA189" s="9"/>
      <c r="AB189" s="9"/>
      <c r="AC189" s="9"/>
      <c r="AD189" s="9" t="s">
        <v>20</v>
      </c>
    </row>
    <row r="190" spans="1:30" ht="43.5">
      <c r="A190" s="3" t="s">
        <v>1458</v>
      </c>
      <c r="B190" s="3" t="s">
        <v>6152</v>
      </c>
      <c r="C190" s="3" t="s">
        <v>6153</v>
      </c>
      <c r="G190" s="9" t="s">
        <v>24</v>
      </c>
      <c r="H190" s="9"/>
      <c r="I190" s="9">
        <v>1</v>
      </c>
      <c r="J190" s="9">
        <v>2</v>
      </c>
      <c r="K190" s="9" t="s">
        <v>12123</v>
      </c>
      <c r="L190" s="9" t="s">
        <v>12119</v>
      </c>
      <c r="M190" s="9"/>
      <c r="N190" s="10"/>
      <c r="O190" s="9" t="s">
        <v>12074</v>
      </c>
      <c r="P190" s="9">
        <v>887</v>
      </c>
      <c r="Q190" s="9"/>
      <c r="R190" s="9" t="s">
        <v>12795</v>
      </c>
      <c r="S190" s="9" t="s">
        <v>12795</v>
      </c>
      <c r="T190" s="9" t="s">
        <v>12117</v>
      </c>
      <c r="U190" s="9"/>
      <c r="V190" s="9"/>
      <c r="W190" s="9"/>
      <c r="X190" s="9"/>
      <c r="Y190" s="9"/>
      <c r="Z190" s="9"/>
      <c r="AA190" s="9"/>
      <c r="AB190" s="9"/>
      <c r="AC190" s="9"/>
      <c r="AD190" s="9" t="s">
        <v>20</v>
      </c>
    </row>
    <row r="191" spans="1:30" ht="29">
      <c r="A191" s="3" t="s">
        <v>1464</v>
      </c>
      <c r="B191" s="3" t="s">
        <v>1465</v>
      </c>
      <c r="C191" s="3" t="s">
        <v>497</v>
      </c>
      <c r="G191" s="9" t="s">
        <v>12120</v>
      </c>
      <c r="H191" s="9"/>
      <c r="I191" s="9"/>
      <c r="J191" s="9"/>
      <c r="K191" s="9"/>
      <c r="L191" s="9"/>
      <c r="M191" s="9"/>
      <c r="N191" s="10"/>
      <c r="O191" s="9"/>
      <c r="P191" s="9"/>
      <c r="Q191" s="9"/>
      <c r="R191" s="9" t="s">
        <v>12795</v>
      </c>
      <c r="S191" s="9" t="s">
        <v>12795</v>
      </c>
      <c r="T191" s="9"/>
      <c r="U191" s="9"/>
      <c r="V191" s="9"/>
      <c r="W191" s="9"/>
      <c r="X191" s="9"/>
      <c r="Y191" s="9"/>
      <c r="Z191" s="9"/>
      <c r="AA191" s="9"/>
      <c r="AB191" s="9"/>
      <c r="AC191" s="9"/>
      <c r="AD191" s="9" t="s">
        <v>13141</v>
      </c>
    </row>
    <row r="192" spans="1:30" ht="87">
      <c r="A192" s="3" t="s">
        <v>1488</v>
      </c>
      <c r="B192" s="3" t="s">
        <v>6190</v>
      </c>
      <c r="C192" s="3" t="s">
        <v>6195</v>
      </c>
      <c r="G192" s="9" t="s">
        <v>24</v>
      </c>
      <c r="H192" s="9"/>
      <c r="I192" s="9">
        <v>1</v>
      </c>
      <c r="J192" s="9">
        <v>2</v>
      </c>
      <c r="K192" s="9" t="s">
        <v>12078</v>
      </c>
      <c r="L192" s="9" t="s">
        <v>12119</v>
      </c>
      <c r="M192" s="9"/>
      <c r="N192" s="10"/>
      <c r="O192" s="9"/>
      <c r="P192" s="9">
        <v>11843</v>
      </c>
      <c r="Q192" s="9"/>
      <c r="R192" s="9" t="s">
        <v>12795</v>
      </c>
      <c r="S192" s="9" t="s">
        <v>12795</v>
      </c>
      <c r="T192" s="9"/>
      <c r="U192" s="9"/>
      <c r="V192" s="9"/>
      <c r="W192" s="9"/>
      <c r="X192" s="9"/>
      <c r="Y192" s="9"/>
      <c r="Z192" s="9"/>
      <c r="AA192" s="9"/>
      <c r="AB192" s="9"/>
      <c r="AC192" s="9"/>
      <c r="AD192" s="9" t="s">
        <v>13141</v>
      </c>
    </row>
    <row r="193" spans="1:30" ht="29">
      <c r="A193" s="3" t="s">
        <v>1491</v>
      </c>
      <c r="B193" s="3" t="s">
        <v>1492</v>
      </c>
      <c r="C193" s="3" t="s">
        <v>1493</v>
      </c>
      <c r="G193" s="9" t="s">
        <v>12120</v>
      </c>
      <c r="H193" s="9"/>
      <c r="I193" s="9"/>
      <c r="J193" s="9"/>
      <c r="K193" s="9"/>
      <c r="L193" s="9"/>
      <c r="M193" s="9"/>
      <c r="N193" s="10"/>
      <c r="O193" s="9"/>
      <c r="P193" s="9"/>
      <c r="Q193" s="9"/>
      <c r="R193" s="9" t="s">
        <v>12795</v>
      </c>
      <c r="S193" s="9" t="s">
        <v>12795</v>
      </c>
      <c r="T193" s="9"/>
      <c r="U193" s="9"/>
      <c r="V193" s="9"/>
      <c r="W193" s="9"/>
      <c r="X193" s="9"/>
      <c r="Y193" s="9"/>
      <c r="Z193" s="9"/>
      <c r="AA193" s="9"/>
      <c r="AB193" s="9"/>
      <c r="AC193" s="9"/>
      <c r="AD193" s="9" t="s">
        <v>20</v>
      </c>
    </row>
    <row r="194" spans="1:30" ht="58">
      <c r="A194" s="3" t="s">
        <v>1494</v>
      </c>
      <c r="B194" s="3" t="s">
        <v>6196</v>
      </c>
      <c r="C194" s="3" t="s">
        <v>6197</v>
      </c>
      <c r="G194" s="9" t="s">
        <v>26</v>
      </c>
      <c r="H194" s="9"/>
      <c r="I194" s="9"/>
      <c r="J194" s="9"/>
      <c r="K194" s="9"/>
      <c r="L194" s="9"/>
      <c r="M194" s="9"/>
      <c r="N194" s="10"/>
      <c r="O194" s="9"/>
      <c r="P194" s="9"/>
      <c r="Q194" s="9"/>
      <c r="R194" s="9" t="s">
        <v>12795</v>
      </c>
      <c r="S194" s="9" t="s">
        <v>12795</v>
      </c>
      <c r="T194" s="9"/>
      <c r="U194" s="9"/>
      <c r="V194" s="9"/>
      <c r="W194" s="9"/>
      <c r="X194" s="9"/>
      <c r="Y194" s="9"/>
      <c r="Z194" s="9"/>
      <c r="AA194" s="9"/>
      <c r="AB194" s="9"/>
      <c r="AC194" s="9"/>
      <c r="AD194" s="9" t="s">
        <v>20</v>
      </c>
    </row>
    <row r="195" spans="1:30" ht="159.5">
      <c r="A195" s="3" t="s">
        <v>1495</v>
      </c>
      <c r="B195" s="3" t="s">
        <v>12252</v>
      </c>
      <c r="C195" s="3" t="s">
        <v>12251</v>
      </c>
      <c r="G195" s="9" t="s">
        <v>25</v>
      </c>
      <c r="H195" s="9"/>
      <c r="I195" s="9">
        <v>6</v>
      </c>
      <c r="J195" s="9">
        <v>31</v>
      </c>
      <c r="K195" s="9"/>
      <c r="L195" s="9" t="s">
        <v>12073</v>
      </c>
      <c r="M195" s="9" t="s">
        <v>12140</v>
      </c>
      <c r="N195" s="10" t="s">
        <v>12193</v>
      </c>
      <c r="O195" s="9"/>
      <c r="P195" s="9">
        <v>81</v>
      </c>
      <c r="Q195" s="9"/>
      <c r="R195" s="9" t="s">
        <v>12795</v>
      </c>
      <c r="S195" s="9" t="s">
        <v>12795</v>
      </c>
      <c r="T195" s="9"/>
      <c r="U195" s="9"/>
      <c r="V195" s="9"/>
      <c r="W195" s="9"/>
      <c r="X195" s="9"/>
      <c r="Y195" s="9"/>
      <c r="Z195" s="9"/>
      <c r="AA195" s="9"/>
      <c r="AB195" s="9"/>
      <c r="AC195" s="9"/>
      <c r="AD195" s="9" t="s">
        <v>20</v>
      </c>
    </row>
    <row r="196" spans="1:30" ht="43.5">
      <c r="A196" s="3" t="s">
        <v>1503</v>
      </c>
      <c r="B196" s="3" t="s">
        <v>6203</v>
      </c>
      <c r="C196" s="3" t="s">
        <v>6202</v>
      </c>
      <c r="G196" s="9" t="s">
        <v>25</v>
      </c>
      <c r="H196" s="9"/>
      <c r="I196" s="9">
        <v>1</v>
      </c>
      <c r="J196" s="9">
        <v>5</v>
      </c>
      <c r="K196" s="9" t="s">
        <v>12125</v>
      </c>
      <c r="L196" s="9" t="s">
        <v>12079</v>
      </c>
      <c r="M196" s="9"/>
      <c r="N196" s="10"/>
      <c r="O196" s="9"/>
      <c r="P196" s="9">
        <v>1565</v>
      </c>
      <c r="Q196" s="9"/>
      <c r="R196" s="9" t="s">
        <v>12795</v>
      </c>
      <c r="S196" s="9" t="s">
        <v>12795</v>
      </c>
      <c r="T196" s="9"/>
      <c r="U196" s="9"/>
      <c r="V196" s="9"/>
      <c r="W196" s="9"/>
      <c r="X196" s="9"/>
      <c r="Y196" s="9"/>
      <c r="Z196" s="9"/>
      <c r="AA196" s="9"/>
      <c r="AB196" s="9"/>
      <c r="AC196" s="9"/>
      <c r="AD196" s="9" t="s">
        <v>20</v>
      </c>
    </row>
    <row r="197" spans="1:30" ht="29">
      <c r="A197" s="3" t="s">
        <v>1506</v>
      </c>
      <c r="B197" s="3" t="s">
        <v>13011</v>
      </c>
      <c r="C197" s="5" t="s">
        <v>13011</v>
      </c>
      <c r="D197" t="s">
        <v>32</v>
      </c>
      <c r="G197" s="9" t="s">
        <v>12120</v>
      </c>
      <c r="H197" s="9"/>
      <c r="I197" s="9"/>
      <c r="J197" s="9"/>
      <c r="K197" s="9"/>
      <c r="L197" s="9"/>
      <c r="M197" s="9"/>
      <c r="N197" s="10"/>
      <c r="O197" s="9"/>
      <c r="P197" s="9"/>
      <c r="Q197" s="9"/>
      <c r="R197" s="9" t="s">
        <v>12795</v>
      </c>
      <c r="S197" s="9" t="s">
        <v>12795</v>
      </c>
      <c r="T197" s="9"/>
      <c r="U197" s="9"/>
      <c r="V197" s="9"/>
      <c r="W197" s="9"/>
      <c r="X197" s="9"/>
      <c r="Y197" s="9"/>
      <c r="Z197" s="9"/>
      <c r="AA197" s="9"/>
      <c r="AB197" s="9"/>
      <c r="AC197" s="9"/>
      <c r="AD197" s="9" t="s">
        <v>20</v>
      </c>
    </row>
    <row r="198" spans="1:30" ht="29">
      <c r="A198" s="3" t="s">
        <v>1509</v>
      </c>
      <c r="B198" s="3" t="s">
        <v>1304</v>
      </c>
      <c r="C198" s="3" t="s">
        <v>1510</v>
      </c>
      <c r="G198" s="9" t="s">
        <v>12120</v>
      </c>
      <c r="H198" s="9"/>
      <c r="I198" s="9"/>
      <c r="J198" s="9"/>
      <c r="K198" s="9"/>
      <c r="L198" s="9"/>
      <c r="M198" s="9"/>
      <c r="N198" s="10"/>
      <c r="O198" s="9"/>
      <c r="P198" s="9"/>
      <c r="Q198" s="9"/>
      <c r="R198" s="9" t="s">
        <v>12795</v>
      </c>
      <c r="S198" s="9" t="s">
        <v>12795</v>
      </c>
      <c r="T198" s="9"/>
      <c r="U198" s="9"/>
      <c r="V198" s="9"/>
      <c r="W198" s="9"/>
      <c r="X198" s="9"/>
      <c r="Y198" s="9"/>
      <c r="Z198" s="9"/>
      <c r="AA198" s="9"/>
      <c r="AB198" s="9"/>
      <c r="AC198" s="9"/>
      <c r="AD198" s="9" t="s">
        <v>20</v>
      </c>
    </row>
    <row r="199" spans="1:30" ht="43.5">
      <c r="A199" s="3" t="s">
        <v>1517</v>
      </c>
      <c r="B199" s="3" t="s">
        <v>6226</v>
      </c>
      <c r="C199" s="3" t="s">
        <v>6227</v>
      </c>
      <c r="G199" s="9" t="s">
        <v>25</v>
      </c>
      <c r="H199" s="9"/>
      <c r="I199" s="9">
        <v>1</v>
      </c>
      <c r="J199" s="9">
        <v>3</v>
      </c>
      <c r="K199" s="9" t="s">
        <v>12078</v>
      </c>
      <c r="L199" s="9" t="s">
        <v>12073</v>
      </c>
      <c r="M199" s="9" t="s">
        <v>12149</v>
      </c>
      <c r="N199" s="10" t="s">
        <v>12136</v>
      </c>
      <c r="O199" s="9"/>
      <c r="P199" s="9">
        <v>11843</v>
      </c>
      <c r="Q199" s="9"/>
      <c r="R199" s="9" t="s">
        <v>12795</v>
      </c>
      <c r="S199" s="9" t="s">
        <v>12795</v>
      </c>
      <c r="T199" s="9"/>
      <c r="U199" s="9"/>
      <c r="V199" s="9"/>
      <c r="W199" s="9"/>
      <c r="X199" s="9"/>
      <c r="Y199" s="9"/>
      <c r="Z199" s="9"/>
      <c r="AA199" s="9"/>
      <c r="AB199" s="9"/>
      <c r="AC199" s="9"/>
      <c r="AD199" s="9" t="s">
        <v>20</v>
      </c>
    </row>
    <row r="200" spans="1:30" ht="43.5">
      <c r="A200" s="3" t="s">
        <v>1521</v>
      </c>
      <c r="B200" s="3" t="s">
        <v>6235</v>
      </c>
      <c r="C200" s="11" t="s">
        <v>6236</v>
      </c>
      <c r="G200" s="9" t="s">
        <v>25</v>
      </c>
      <c r="H200" s="9"/>
      <c r="I200" s="9">
        <v>2</v>
      </c>
      <c r="J200" s="9">
        <v>5</v>
      </c>
      <c r="K200" s="9"/>
      <c r="L200" s="9" t="s">
        <v>12073</v>
      </c>
      <c r="M200" s="9" t="s">
        <v>12149</v>
      </c>
      <c r="N200" s="10" t="s">
        <v>12160</v>
      </c>
      <c r="O200" s="9"/>
      <c r="P200" s="9">
        <v>472</v>
      </c>
      <c r="Q200" s="9"/>
      <c r="R200" s="9" t="s">
        <v>12795</v>
      </c>
      <c r="S200" s="9" t="s">
        <v>12795</v>
      </c>
      <c r="T200" s="9"/>
      <c r="U200" s="9"/>
      <c r="V200" s="9"/>
      <c r="W200" s="9"/>
      <c r="X200" s="9"/>
      <c r="Y200" s="9"/>
      <c r="Z200" s="9"/>
      <c r="AA200" s="9"/>
      <c r="AB200" s="9"/>
      <c r="AC200" s="9"/>
      <c r="AD200" s="9" t="s">
        <v>20</v>
      </c>
    </row>
    <row r="201" spans="1:30" ht="101.5">
      <c r="A201" s="3" t="s">
        <v>1527</v>
      </c>
      <c r="B201" s="3" t="s">
        <v>6248</v>
      </c>
      <c r="C201" s="3" t="s">
        <v>6249</v>
      </c>
      <c r="G201" s="9" t="s">
        <v>25</v>
      </c>
      <c r="H201" s="9"/>
      <c r="I201" s="9">
        <v>3</v>
      </c>
      <c r="J201" s="9">
        <v>14</v>
      </c>
      <c r="K201" s="9"/>
      <c r="L201" s="9" t="s">
        <v>12073</v>
      </c>
      <c r="M201" s="9" t="s">
        <v>12140</v>
      </c>
      <c r="N201" s="10" t="s">
        <v>12136</v>
      </c>
      <c r="O201" s="9"/>
      <c r="P201" s="9">
        <v>12</v>
      </c>
      <c r="Q201" s="9"/>
      <c r="R201" s="9" t="s">
        <v>12795</v>
      </c>
      <c r="S201" s="9" t="s">
        <v>12795</v>
      </c>
      <c r="T201" s="9"/>
      <c r="U201" s="9"/>
      <c r="V201" s="9"/>
      <c r="W201" s="9"/>
      <c r="X201" s="9"/>
      <c r="Y201" s="9"/>
      <c r="Z201" s="9"/>
      <c r="AA201" s="9"/>
      <c r="AB201" s="9"/>
      <c r="AC201" s="9"/>
      <c r="AD201" s="9" t="s">
        <v>20</v>
      </c>
    </row>
    <row r="202" spans="1:30" ht="43.5">
      <c r="A202" s="3" t="s">
        <v>1531</v>
      </c>
      <c r="B202" s="3" t="s">
        <v>6262</v>
      </c>
      <c r="C202" s="3" t="s">
        <v>6263</v>
      </c>
      <c r="G202" s="9" t="s">
        <v>25</v>
      </c>
      <c r="H202" s="9"/>
      <c r="I202" s="9">
        <v>1</v>
      </c>
      <c r="J202" s="9">
        <v>2</v>
      </c>
      <c r="K202" s="9" t="s">
        <v>12094</v>
      </c>
      <c r="L202" s="9" t="s">
        <v>12119</v>
      </c>
      <c r="M202" s="9"/>
      <c r="N202" s="10"/>
      <c r="O202" s="9"/>
      <c r="P202" s="9">
        <v>1741</v>
      </c>
      <c r="Q202" s="9"/>
      <c r="R202" s="9" t="s">
        <v>12795</v>
      </c>
      <c r="S202" s="9" t="s">
        <v>12795</v>
      </c>
      <c r="T202" s="9"/>
      <c r="U202" s="9"/>
      <c r="V202" s="9"/>
      <c r="W202" s="9"/>
      <c r="X202" s="9"/>
      <c r="Y202" s="9"/>
      <c r="Z202" s="9"/>
      <c r="AA202" s="9"/>
      <c r="AB202" s="9"/>
      <c r="AC202" s="9"/>
      <c r="AD202" s="9" t="s">
        <v>20</v>
      </c>
    </row>
    <row r="203" spans="1:30" ht="29">
      <c r="A203" s="3" t="s">
        <v>1536</v>
      </c>
      <c r="B203" s="3" t="s">
        <v>6273</v>
      </c>
      <c r="C203" s="3" t="s">
        <v>6275</v>
      </c>
      <c r="G203" s="9" t="s">
        <v>25</v>
      </c>
      <c r="H203" s="9"/>
      <c r="I203" s="9">
        <v>1</v>
      </c>
      <c r="J203" s="9">
        <v>5</v>
      </c>
      <c r="K203" s="9" t="s">
        <v>12094</v>
      </c>
      <c r="L203" s="9" t="s">
        <v>12073</v>
      </c>
      <c r="M203" s="9" t="s">
        <v>12142</v>
      </c>
      <c r="N203" s="10" t="s">
        <v>12160</v>
      </c>
      <c r="O203" s="9"/>
      <c r="P203" s="9">
        <v>4240</v>
      </c>
      <c r="Q203" s="9"/>
      <c r="R203" s="9" t="s">
        <v>12795</v>
      </c>
      <c r="S203" s="9" t="s">
        <v>12795</v>
      </c>
      <c r="T203" s="9" t="s">
        <v>4</v>
      </c>
      <c r="U203" s="9"/>
      <c r="V203" s="9"/>
      <c r="W203" s="9"/>
      <c r="X203" s="9"/>
      <c r="Y203" s="9"/>
      <c r="Z203" s="9"/>
      <c r="AA203" s="9"/>
      <c r="AB203" s="9"/>
      <c r="AC203" s="9"/>
      <c r="AD203" s="9" t="s">
        <v>20</v>
      </c>
    </row>
    <row r="204" spans="1:30" ht="130.5">
      <c r="A204" s="3" t="s">
        <v>1537</v>
      </c>
      <c r="B204" s="3" t="s">
        <v>6278</v>
      </c>
      <c r="C204" s="3" t="s">
        <v>6279</v>
      </c>
      <c r="G204" s="9" t="s">
        <v>26</v>
      </c>
      <c r="H204" s="9"/>
      <c r="I204" s="9"/>
      <c r="J204" s="9"/>
      <c r="K204" s="9"/>
      <c r="L204" s="9"/>
      <c r="M204" s="9"/>
      <c r="N204" s="10"/>
      <c r="O204" s="9"/>
      <c r="P204" s="9"/>
      <c r="Q204" s="9"/>
      <c r="R204" s="9" t="s">
        <v>12795</v>
      </c>
      <c r="S204" s="9" t="s">
        <v>12795</v>
      </c>
      <c r="T204" s="9"/>
      <c r="U204" s="9"/>
      <c r="V204" s="9"/>
      <c r="W204" s="9"/>
      <c r="X204" s="9"/>
      <c r="Y204" s="9"/>
      <c r="Z204" s="9"/>
      <c r="AA204" s="9"/>
      <c r="AB204" s="9"/>
      <c r="AC204" s="9"/>
      <c r="AD204" s="9" t="s">
        <v>20</v>
      </c>
    </row>
    <row r="205" spans="1:30" ht="29">
      <c r="A205" s="3" t="s">
        <v>1538</v>
      </c>
      <c r="B205" s="3" t="s">
        <v>6282</v>
      </c>
      <c r="C205" s="3" t="s">
        <v>6283</v>
      </c>
      <c r="G205" s="9" t="s">
        <v>12120</v>
      </c>
      <c r="H205" s="9"/>
      <c r="I205" s="9"/>
      <c r="J205" s="9"/>
      <c r="K205" s="9"/>
      <c r="L205" s="9"/>
      <c r="M205" s="9"/>
      <c r="N205" s="10"/>
      <c r="O205" s="9"/>
      <c r="P205" s="9"/>
      <c r="Q205" s="9"/>
      <c r="R205" s="9" t="s">
        <v>12795</v>
      </c>
      <c r="S205" s="9" t="s">
        <v>12795</v>
      </c>
      <c r="T205" s="9"/>
      <c r="U205" s="9"/>
      <c r="V205" s="9"/>
      <c r="W205" s="9"/>
      <c r="X205" s="9"/>
      <c r="Y205" s="9"/>
      <c r="Z205" s="9"/>
      <c r="AA205" s="9"/>
      <c r="AB205" s="9"/>
      <c r="AC205" s="9"/>
      <c r="AD205" s="9" t="s">
        <v>20</v>
      </c>
    </row>
    <row r="206" spans="1:30" ht="29">
      <c r="A206" s="3" t="s">
        <v>1542</v>
      </c>
      <c r="B206" s="3" t="s">
        <v>6292</v>
      </c>
      <c r="C206" s="3" t="s">
        <v>6293</v>
      </c>
      <c r="F206" t="s">
        <v>19</v>
      </c>
      <c r="G206" s="9" t="s">
        <v>24</v>
      </c>
      <c r="H206" s="9"/>
      <c r="I206" s="9">
        <v>1</v>
      </c>
      <c r="J206" s="9">
        <v>5</v>
      </c>
      <c r="K206" s="9" t="s">
        <v>12094</v>
      </c>
      <c r="L206" s="9" t="s">
        <v>12073</v>
      </c>
      <c r="M206" s="9" t="s">
        <v>12149</v>
      </c>
      <c r="N206" s="10" t="s">
        <v>12143</v>
      </c>
      <c r="O206" s="9"/>
      <c r="P206" s="9">
        <v>930</v>
      </c>
      <c r="Q206" s="9"/>
      <c r="R206" s="9" t="s">
        <v>12795</v>
      </c>
      <c r="S206" s="9" t="s">
        <v>12795</v>
      </c>
      <c r="T206" s="9"/>
      <c r="U206" s="9"/>
      <c r="V206" s="9"/>
      <c r="W206" s="9"/>
      <c r="X206" s="9"/>
      <c r="Y206" s="9"/>
      <c r="Z206" s="9"/>
      <c r="AA206" s="9"/>
      <c r="AB206" s="9"/>
      <c r="AC206" s="9"/>
      <c r="AD206" s="9" t="s">
        <v>20</v>
      </c>
    </row>
    <row r="207" spans="1:30" ht="72.5">
      <c r="A207" s="3" t="s">
        <v>1543</v>
      </c>
      <c r="B207" s="3" t="s">
        <v>12873</v>
      </c>
      <c r="C207" s="3" t="s">
        <v>12874</v>
      </c>
      <c r="G207" s="9" t="s">
        <v>26</v>
      </c>
      <c r="H207" s="9"/>
      <c r="I207" s="9"/>
      <c r="J207" s="9"/>
      <c r="K207" s="9"/>
      <c r="L207" s="9"/>
      <c r="M207" s="9"/>
      <c r="N207" s="10"/>
      <c r="O207" s="9"/>
      <c r="P207" s="9"/>
      <c r="Q207" s="9"/>
      <c r="R207" s="9" t="s">
        <v>12795</v>
      </c>
      <c r="S207" s="9" t="s">
        <v>12795</v>
      </c>
      <c r="T207" s="9"/>
      <c r="U207" s="9"/>
      <c r="V207" s="9"/>
      <c r="W207" s="9"/>
      <c r="X207" s="9"/>
      <c r="Y207" s="9"/>
      <c r="Z207" s="9"/>
      <c r="AA207" s="9"/>
      <c r="AB207" s="9"/>
      <c r="AC207" s="9"/>
      <c r="AD207" s="9" t="s">
        <v>20</v>
      </c>
    </row>
    <row r="208" spans="1:30" ht="43.5">
      <c r="A208" s="3" t="s">
        <v>1555</v>
      </c>
      <c r="B208" s="3" t="s">
        <v>6298</v>
      </c>
      <c r="C208" s="3" t="s">
        <v>6299</v>
      </c>
      <c r="G208" s="9" t="s">
        <v>12120</v>
      </c>
      <c r="H208" s="9"/>
      <c r="I208" s="9"/>
      <c r="J208" s="9"/>
      <c r="K208" s="9"/>
      <c r="L208" s="9"/>
      <c r="M208" s="9"/>
      <c r="N208" s="10"/>
      <c r="O208" s="9"/>
      <c r="P208" s="9"/>
      <c r="Q208" s="9"/>
      <c r="R208" s="9" t="s">
        <v>12795</v>
      </c>
      <c r="S208" s="9" t="s">
        <v>12795</v>
      </c>
      <c r="T208" s="9"/>
      <c r="U208" s="9"/>
      <c r="V208" s="9"/>
      <c r="W208" s="9"/>
      <c r="X208" s="9"/>
      <c r="Y208" s="9"/>
      <c r="Z208" s="9"/>
      <c r="AA208" s="9"/>
      <c r="AB208" s="9"/>
      <c r="AC208" s="9"/>
      <c r="AD208" s="9" t="s">
        <v>20</v>
      </c>
    </row>
    <row r="209" spans="1:30" ht="29">
      <c r="A209" s="3" t="s">
        <v>1558</v>
      </c>
      <c r="B209" s="3" t="s">
        <v>6306</v>
      </c>
      <c r="C209" s="3" t="s">
        <v>6307</v>
      </c>
      <c r="G209" s="9" t="s">
        <v>25</v>
      </c>
      <c r="H209" s="9"/>
      <c r="I209" s="9">
        <v>1</v>
      </c>
      <c r="J209" s="9">
        <v>2</v>
      </c>
      <c r="K209" s="9" t="s">
        <v>12078</v>
      </c>
      <c r="L209" s="9" t="s">
        <v>12119</v>
      </c>
      <c r="M209" s="9"/>
      <c r="N209" s="10"/>
      <c r="O209" s="9" t="s">
        <v>12074</v>
      </c>
      <c r="P209" s="9">
        <v>11843</v>
      </c>
      <c r="Q209" s="9"/>
      <c r="R209" s="9" t="s">
        <v>12795</v>
      </c>
      <c r="S209" s="9" t="s">
        <v>12795</v>
      </c>
      <c r="T209" s="9"/>
      <c r="U209" s="9"/>
      <c r="V209" s="9"/>
      <c r="W209" s="9"/>
      <c r="X209" s="9"/>
      <c r="Y209" s="9"/>
      <c r="Z209" s="9"/>
      <c r="AA209" s="9"/>
      <c r="AB209" s="9"/>
      <c r="AC209" s="9"/>
      <c r="AD209" s="9" t="s">
        <v>20</v>
      </c>
    </row>
    <row r="210" spans="1:30" ht="29">
      <c r="A210" s="3" t="s">
        <v>1566</v>
      </c>
      <c r="B210" s="3" t="s">
        <v>553</v>
      </c>
      <c r="C210" s="3" t="s">
        <v>1493</v>
      </c>
      <c r="G210" s="9" t="s">
        <v>12120</v>
      </c>
      <c r="H210" s="9"/>
      <c r="I210" s="9"/>
      <c r="J210" s="9"/>
      <c r="K210" s="9"/>
      <c r="L210" s="9"/>
      <c r="M210" s="9"/>
      <c r="N210" s="10"/>
      <c r="O210" s="9"/>
      <c r="P210" s="9"/>
      <c r="Q210" s="9"/>
      <c r="R210" s="9" t="s">
        <v>12795</v>
      </c>
      <c r="S210" s="9" t="s">
        <v>12795</v>
      </c>
      <c r="T210" s="9"/>
      <c r="U210" s="9"/>
      <c r="V210" s="9"/>
      <c r="W210" s="9"/>
      <c r="X210" s="9"/>
      <c r="Y210" s="9"/>
      <c r="Z210" s="9"/>
      <c r="AA210" s="9"/>
      <c r="AB210" s="9"/>
      <c r="AC210" s="9"/>
      <c r="AD210" s="9" t="s">
        <v>20</v>
      </c>
    </row>
    <row r="211" spans="1:30" ht="29">
      <c r="A211" s="3" t="s">
        <v>1566</v>
      </c>
      <c r="B211" s="3" t="s">
        <v>1567</v>
      </c>
      <c r="C211" s="3" t="s">
        <v>1568</v>
      </c>
      <c r="G211" s="9" t="s">
        <v>12120</v>
      </c>
      <c r="H211" s="9"/>
      <c r="I211" s="9"/>
      <c r="J211" s="9"/>
      <c r="K211" s="9"/>
      <c r="L211" s="9"/>
      <c r="M211" s="9"/>
      <c r="N211" s="10"/>
      <c r="O211" s="9"/>
      <c r="P211" s="9"/>
      <c r="Q211" s="9"/>
      <c r="R211" s="9" t="s">
        <v>12795</v>
      </c>
      <c r="S211" s="9" t="s">
        <v>12795</v>
      </c>
      <c r="T211" s="9"/>
      <c r="U211" s="9"/>
      <c r="V211" s="9"/>
      <c r="W211" s="9"/>
      <c r="X211" s="9"/>
      <c r="Y211" s="9"/>
      <c r="Z211" s="9"/>
      <c r="AA211" s="9"/>
      <c r="AB211" s="9"/>
      <c r="AC211" s="9"/>
      <c r="AD211" s="9" t="s">
        <v>20</v>
      </c>
    </row>
    <row r="212" spans="1:30" ht="87">
      <c r="A212" s="3" t="s">
        <v>1569</v>
      </c>
      <c r="B212" s="3" t="s">
        <v>6318</v>
      </c>
      <c r="C212" s="3" t="s">
        <v>6317</v>
      </c>
      <c r="G212" s="9" t="s">
        <v>25</v>
      </c>
      <c r="H212" s="9"/>
      <c r="I212" s="9">
        <v>1</v>
      </c>
      <c r="J212" s="9">
        <v>1</v>
      </c>
      <c r="K212" s="9" t="s">
        <v>12078</v>
      </c>
      <c r="L212" s="9" t="s">
        <v>12119</v>
      </c>
      <c r="M212" s="9"/>
      <c r="N212" s="10"/>
      <c r="O212" s="9"/>
      <c r="P212" s="9">
        <v>11843</v>
      </c>
      <c r="Q212" s="9"/>
      <c r="R212" s="9" t="s">
        <v>12795</v>
      </c>
      <c r="S212" s="9" t="s">
        <v>12795</v>
      </c>
      <c r="T212" s="9"/>
      <c r="U212" s="9"/>
      <c r="V212" s="9"/>
      <c r="W212" s="9"/>
      <c r="X212" s="9"/>
      <c r="Y212" s="9"/>
      <c r="Z212" s="9"/>
      <c r="AA212" s="9"/>
      <c r="AB212" s="9"/>
      <c r="AC212" s="9"/>
      <c r="AD212" s="9" t="s">
        <v>20</v>
      </c>
    </row>
    <row r="213" spans="1:30" ht="29">
      <c r="A213" s="3" t="s">
        <v>1570</v>
      </c>
      <c r="B213" s="3" t="s">
        <v>6321</v>
      </c>
      <c r="C213" s="3" t="s">
        <v>6322</v>
      </c>
      <c r="G213" s="9" t="s">
        <v>24</v>
      </c>
      <c r="H213" s="9"/>
      <c r="I213" s="9">
        <v>1</v>
      </c>
      <c r="J213" s="9">
        <v>3</v>
      </c>
      <c r="K213" s="9" t="s">
        <v>12078</v>
      </c>
      <c r="L213" s="9" t="s">
        <v>12079</v>
      </c>
      <c r="M213" s="9"/>
      <c r="N213" s="10"/>
      <c r="O213" s="9"/>
      <c r="P213" s="9">
        <v>11843</v>
      </c>
      <c r="Q213" s="9"/>
      <c r="R213" s="9" t="s">
        <v>12795</v>
      </c>
      <c r="S213" s="9" t="s">
        <v>12795</v>
      </c>
      <c r="T213" s="9"/>
      <c r="U213" s="9"/>
      <c r="V213" s="9"/>
      <c r="W213" s="9"/>
      <c r="X213" s="9"/>
      <c r="Y213" s="9"/>
      <c r="Z213" s="9"/>
      <c r="AA213" s="9"/>
      <c r="AB213" s="9"/>
      <c r="AC213" s="9"/>
      <c r="AD213" s="9" t="s">
        <v>13141</v>
      </c>
    </row>
    <row r="214" spans="1:30" ht="87">
      <c r="A214" s="3" t="s">
        <v>1587</v>
      </c>
      <c r="B214" s="3" t="s">
        <v>6357</v>
      </c>
      <c r="C214" s="3" t="s">
        <v>6356</v>
      </c>
      <c r="G214" s="9" t="s">
        <v>25</v>
      </c>
      <c r="H214" s="9"/>
      <c r="I214" s="9">
        <v>1</v>
      </c>
      <c r="J214" s="9">
        <v>1</v>
      </c>
      <c r="K214" s="9" t="s">
        <v>12078</v>
      </c>
      <c r="L214" s="9" t="s">
        <v>12119</v>
      </c>
      <c r="M214" s="9"/>
      <c r="N214" s="10"/>
      <c r="O214" s="9"/>
      <c r="P214" s="9">
        <v>11843</v>
      </c>
      <c r="Q214" s="9"/>
      <c r="R214" s="9" t="s">
        <v>12795</v>
      </c>
      <c r="S214" s="9" t="s">
        <v>12795</v>
      </c>
      <c r="T214" s="9"/>
      <c r="U214" s="9"/>
      <c r="V214" s="9"/>
      <c r="W214" s="9"/>
      <c r="X214" s="9"/>
      <c r="Y214" s="9"/>
      <c r="Z214" s="9"/>
      <c r="AA214" s="9"/>
      <c r="AB214" s="9"/>
      <c r="AC214" s="9"/>
      <c r="AD214" s="9" t="s">
        <v>20</v>
      </c>
    </row>
    <row r="215" spans="1:30" ht="29">
      <c r="A215" s="3" t="s">
        <v>1592</v>
      </c>
      <c r="B215" s="3" t="s">
        <v>6374</v>
      </c>
      <c r="C215" s="3" t="s">
        <v>6375</v>
      </c>
      <c r="G215" s="9" t="s">
        <v>12118</v>
      </c>
      <c r="H215" s="9"/>
      <c r="I215" s="9"/>
      <c r="J215" s="9"/>
      <c r="K215" s="9"/>
      <c r="L215" s="9"/>
      <c r="M215" s="9"/>
      <c r="N215" s="10"/>
      <c r="O215" s="9"/>
      <c r="P215" s="9"/>
      <c r="Q215" s="9">
        <v>734</v>
      </c>
      <c r="R215" s="9">
        <v>560</v>
      </c>
      <c r="S215" s="9">
        <v>1294</v>
      </c>
      <c r="T215" s="9"/>
      <c r="U215" s="9"/>
      <c r="V215" s="9"/>
      <c r="W215" s="9"/>
      <c r="X215" s="9"/>
      <c r="Y215" s="9"/>
      <c r="Z215" s="9"/>
      <c r="AA215" s="9"/>
      <c r="AB215" s="9"/>
      <c r="AC215" s="9"/>
      <c r="AD215" s="9" t="s">
        <v>20</v>
      </c>
    </row>
    <row r="216" spans="1:30" ht="29">
      <c r="A216" s="3" t="s">
        <v>1593</v>
      </c>
      <c r="B216" s="3" t="s">
        <v>6376</v>
      </c>
      <c r="C216" s="3" t="s">
        <v>6377</v>
      </c>
      <c r="G216" s="9" t="s">
        <v>25</v>
      </c>
      <c r="H216" s="9"/>
      <c r="I216" s="9">
        <v>1</v>
      </c>
      <c r="J216" s="9">
        <v>1</v>
      </c>
      <c r="K216" s="9" t="s">
        <v>12072</v>
      </c>
      <c r="L216" s="9" t="s">
        <v>12119</v>
      </c>
      <c r="M216" s="9"/>
      <c r="N216" s="10"/>
      <c r="O216" s="9"/>
      <c r="P216" s="9">
        <v>34</v>
      </c>
      <c r="Q216" s="9"/>
      <c r="R216" s="9" t="s">
        <v>12795</v>
      </c>
      <c r="S216" s="9" t="s">
        <v>12795</v>
      </c>
      <c r="T216" s="9"/>
      <c r="U216" s="9"/>
      <c r="V216" s="9"/>
      <c r="W216" s="9"/>
      <c r="X216" s="9"/>
      <c r="Y216" s="9"/>
      <c r="Z216" s="9"/>
      <c r="AA216" s="9"/>
      <c r="AB216" s="9"/>
      <c r="AC216" s="9"/>
      <c r="AD216" s="9" t="s">
        <v>20</v>
      </c>
    </row>
    <row r="217" spans="1:30" ht="43.5">
      <c r="A217" s="3" t="s">
        <v>1616</v>
      </c>
      <c r="B217" s="3" t="s">
        <v>6390</v>
      </c>
      <c r="C217" s="3" t="s">
        <v>6391</v>
      </c>
      <c r="G217" s="9" t="s">
        <v>12118</v>
      </c>
      <c r="H217" s="9"/>
      <c r="I217" s="9"/>
      <c r="J217" s="9"/>
      <c r="K217" s="9"/>
      <c r="L217" s="9"/>
      <c r="M217" s="9"/>
      <c r="N217" s="10"/>
      <c r="O217" s="9"/>
      <c r="P217" s="9"/>
      <c r="Q217" s="9">
        <v>-79</v>
      </c>
      <c r="R217" s="9">
        <v>111</v>
      </c>
      <c r="S217" s="9">
        <v>32</v>
      </c>
      <c r="T217" s="9"/>
      <c r="U217" s="9"/>
      <c r="V217" s="9"/>
      <c r="W217" s="9"/>
      <c r="X217" s="9"/>
      <c r="Y217" s="9"/>
      <c r="Z217" s="9"/>
      <c r="AA217" s="9"/>
      <c r="AB217" s="9"/>
      <c r="AC217" s="9"/>
      <c r="AD217" s="9" t="s">
        <v>13141</v>
      </c>
    </row>
    <row r="218" spans="1:30" ht="43.5">
      <c r="A218" s="3" t="s">
        <v>1630</v>
      </c>
      <c r="B218" s="3" t="s">
        <v>6402</v>
      </c>
      <c r="C218" s="3" t="s">
        <v>6403</v>
      </c>
      <c r="G218" s="9" t="s">
        <v>12118</v>
      </c>
      <c r="H218" s="9"/>
      <c r="I218" s="9"/>
      <c r="J218" s="9"/>
      <c r="K218" s="9"/>
      <c r="L218" s="9"/>
      <c r="M218" s="9"/>
      <c r="N218" s="10"/>
      <c r="O218" s="9"/>
      <c r="P218" s="9"/>
      <c r="Q218" s="9">
        <v>342</v>
      </c>
      <c r="R218" s="9">
        <v>165</v>
      </c>
      <c r="S218" s="9">
        <v>507</v>
      </c>
      <c r="T218" s="9"/>
      <c r="U218" s="9"/>
      <c r="V218" s="9"/>
      <c r="W218" s="9"/>
      <c r="X218" s="9"/>
      <c r="Y218" s="9"/>
      <c r="Z218" s="9"/>
      <c r="AA218" s="9"/>
      <c r="AB218" s="9"/>
      <c r="AC218" s="9"/>
      <c r="AD218" s="9" t="s">
        <v>20</v>
      </c>
    </row>
    <row r="219" spans="1:30" ht="58">
      <c r="A219" s="3" t="s">
        <v>1632</v>
      </c>
      <c r="B219" s="3" t="s">
        <v>6410</v>
      </c>
      <c r="C219" s="3" t="s">
        <v>6409</v>
      </c>
      <c r="G219" s="9" t="s">
        <v>26</v>
      </c>
      <c r="H219" s="9"/>
      <c r="I219" s="9"/>
      <c r="J219" s="9"/>
      <c r="K219" s="9"/>
      <c r="L219" s="9"/>
      <c r="M219" s="9"/>
      <c r="N219" s="10"/>
      <c r="O219" s="9"/>
      <c r="P219" s="9"/>
      <c r="Q219" s="9"/>
      <c r="R219" s="9" t="s">
        <v>12795</v>
      </c>
      <c r="S219" s="9" t="s">
        <v>12795</v>
      </c>
      <c r="T219" s="9"/>
      <c r="U219" s="9"/>
      <c r="V219" s="9"/>
      <c r="W219" s="9"/>
      <c r="X219" s="9"/>
      <c r="Y219" s="9"/>
      <c r="Z219" s="9"/>
      <c r="AA219" s="9"/>
      <c r="AB219" s="9"/>
      <c r="AC219" s="9"/>
      <c r="AD219" s="9" t="s">
        <v>20</v>
      </c>
    </row>
    <row r="220" spans="1:30" ht="43.5">
      <c r="A220" s="3" t="s">
        <v>1638</v>
      </c>
      <c r="B220" s="3" t="s">
        <v>6418</v>
      </c>
      <c r="C220" s="3" t="s">
        <v>6419</v>
      </c>
      <c r="G220" s="9" t="s">
        <v>25</v>
      </c>
      <c r="H220" s="9"/>
      <c r="I220" s="9">
        <v>1</v>
      </c>
      <c r="J220" s="9">
        <v>2</v>
      </c>
      <c r="K220" s="9" t="s">
        <v>12078</v>
      </c>
      <c r="L220" s="9" t="s">
        <v>12119</v>
      </c>
      <c r="M220" s="9"/>
      <c r="N220" s="10"/>
      <c r="O220" s="9"/>
      <c r="P220" s="9">
        <v>11843</v>
      </c>
      <c r="Q220" s="9"/>
      <c r="R220" s="9" t="s">
        <v>12795</v>
      </c>
      <c r="S220" s="9" t="s">
        <v>12795</v>
      </c>
      <c r="T220" s="9"/>
      <c r="U220" s="9"/>
      <c r="V220" s="9"/>
      <c r="W220" s="9"/>
      <c r="X220" s="9"/>
      <c r="Y220" s="9"/>
      <c r="Z220" s="9"/>
      <c r="AA220" s="9"/>
      <c r="AB220" s="9"/>
      <c r="AC220" s="9"/>
      <c r="AD220" s="9" t="s">
        <v>20</v>
      </c>
    </row>
    <row r="221" spans="1:30" ht="58">
      <c r="A221" s="3" t="s">
        <v>1649</v>
      </c>
      <c r="B221" s="3" t="s">
        <v>6440</v>
      </c>
      <c r="C221" s="3" t="s">
        <v>6437</v>
      </c>
      <c r="G221" s="9" t="s">
        <v>25</v>
      </c>
      <c r="H221" s="9"/>
      <c r="I221" s="9">
        <v>1</v>
      </c>
      <c r="J221" s="9">
        <v>5</v>
      </c>
      <c r="K221" s="9" t="s">
        <v>12094</v>
      </c>
      <c r="L221" s="9" t="s">
        <v>12073</v>
      </c>
      <c r="M221" s="9" t="s">
        <v>12142</v>
      </c>
      <c r="N221" s="10" t="s">
        <v>12143</v>
      </c>
      <c r="O221" s="9"/>
      <c r="P221" s="9">
        <v>4240</v>
      </c>
      <c r="Q221" s="9"/>
      <c r="R221" s="9" t="s">
        <v>12795</v>
      </c>
      <c r="S221" s="9" t="s">
        <v>12795</v>
      </c>
      <c r="T221" s="9"/>
      <c r="U221" s="9"/>
      <c r="V221" s="9"/>
      <c r="W221" s="9"/>
      <c r="X221" s="9"/>
      <c r="Y221" s="9"/>
      <c r="Z221" s="9"/>
      <c r="AA221" s="9"/>
      <c r="AB221" s="9"/>
      <c r="AC221" s="9"/>
      <c r="AD221" s="9" t="s">
        <v>20</v>
      </c>
    </row>
    <row r="222" spans="1:30" ht="29">
      <c r="A222" s="3" t="s">
        <v>1650</v>
      </c>
      <c r="B222" s="3" t="s">
        <v>1651</v>
      </c>
      <c r="C222" s="3" t="s">
        <v>1652</v>
      </c>
      <c r="G222" s="9" t="s">
        <v>12120</v>
      </c>
      <c r="H222" s="9"/>
      <c r="I222" s="9"/>
      <c r="J222" s="9"/>
      <c r="K222" s="9"/>
      <c r="L222" s="9"/>
      <c r="M222" s="9"/>
      <c r="N222" s="10"/>
      <c r="O222" s="9"/>
      <c r="P222" s="9"/>
      <c r="Q222" s="9"/>
      <c r="R222" s="9" t="s">
        <v>12795</v>
      </c>
      <c r="S222" s="9" t="s">
        <v>12795</v>
      </c>
      <c r="T222" s="9"/>
      <c r="U222" s="9"/>
      <c r="V222" s="9"/>
      <c r="W222" s="9"/>
      <c r="X222" s="9"/>
      <c r="Y222" s="9"/>
      <c r="Z222" s="9"/>
      <c r="AA222" s="9"/>
      <c r="AB222" s="9"/>
      <c r="AC222" s="9"/>
      <c r="AD222" s="9" t="s">
        <v>20</v>
      </c>
    </row>
    <row r="223" spans="1:30" ht="43.5">
      <c r="A223" s="3" t="s">
        <v>1659</v>
      </c>
      <c r="B223" s="3" t="s">
        <v>6445</v>
      </c>
      <c r="C223" s="3" t="s">
        <v>6447</v>
      </c>
      <c r="G223" s="9" t="s">
        <v>25</v>
      </c>
      <c r="H223" s="9"/>
      <c r="I223" s="9">
        <v>1</v>
      </c>
      <c r="J223" s="9">
        <v>5</v>
      </c>
      <c r="K223" s="9" t="s">
        <v>12084</v>
      </c>
      <c r="L223" s="9" t="s">
        <v>12079</v>
      </c>
      <c r="M223" s="9"/>
      <c r="N223" s="10"/>
      <c r="O223" s="9"/>
      <c r="P223" s="9">
        <v>98</v>
      </c>
      <c r="Q223" s="9"/>
      <c r="R223" s="9" t="s">
        <v>12795</v>
      </c>
      <c r="S223" s="9" t="s">
        <v>12795</v>
      </c>
      <c r="T223" s="9"/>
      <c r="U223" s="9"/>
      <c r="V223" s="9"/>
      <c r="W223" s="9"/>
      <c r="X223" s="9"/>
      <c r="Y223" s="9"/>
      <c r="Z223" s="9"/>
      <c r="AA223" s="9"/>
      <c r="AB223" s="9"/>
      <c r="AC223" s="9"/>
      <c r="AD223" s="9" t="s">
        <v>20</v>
      </c>
    </row>
    <row r="224" spans="1:30" ht="58">
      <c r="A224" s="3" t="s">
        <v>1665</v>
      </c>
      <c r="B224" s="3" t="s">
        <v>6450</v>
      </c>
      <c r="C224" s="3" t="s">
        <v>6449</v>
      </c>
      <c r="G224" s="9" t="s">
        <v>25</v>
      </c>
      <c r="H224" s="9"/>
      <c r="I224" s="9">
        <v>1</v>
      </c>
      <c r="J224" s="9">
        <v>3</v>
      </c>
      <c r="K224" s="9" t="s">
        <v>12087</v>
      </c>
      <c r="L224" s="9" t="s">
        <v>12119</v>
      </c>
      <c r="M224" s="9"/>
      <c r="N224" s="10"/>
      <c r="O224" s="9"/>
      <c r="P224" s="9">
        <v>5676</v>
      </c>
      <c r="Q224" s="9"/>
      <c r="R224" s="9" t="s">
        <v>12795</v>
      </c>
      <c r="S224" s="9" t="s">
        <v>12795</v>
      </c>
      <c r="T224" s="9"/>
      <c r="U224" s="9"/>
      <c r="V224" s="9"/>
      <c r="W224" s="9"/>
      <c r="X224" s="9"/>
      <c r="Y224" s="9"/>
      <c r="Z224" s="9"/>
      <c r="AA224" s="9"/>
      <c r="AB224" s="9"/>
      <c r="AC224" s="9"/>
      <c r="AD224" s="9" t="s">
        <v>20</v>
      </c>
    </row>
    <row r="225" spans="1:30" ht="58">
      <c r="A225" s="3" t="s">
        <v>1670</v>
      </c>
      <c r="B225" s="3" t="s">
        <v>6453</v>
      </c>
      <c r="C225" s="3" t="s">
        <v>6454</v>
      </c>
      <c r="G225" s="9" t="s">
        <v>24</v>
      </c>
      <c r="H225" s="9"/>
      <c r="I225" s="9">
        <v>1</v>
      </c>
      <c r="J225" s="9">
        <v>4</v>
      </c>
      <c r="K225" s="9" t="s">
        <v>12078</v>
      </c>
      <c r="L225" s="9" t="s">
        <v>12073</v>
      </c>
      <c r="M225" s="9" t="s">
        <v>12149</v>
      </c>
      <c r="N225" s="10" t="s">
        <v>12160</v>
      </c>
      <c r="O225" s="9"/>
      <c r="P225" s="9">
        <v>11843</v>
      </c>
      <c r="Q225" s="9"/>
      <c r="R225" s="9" t="s">
        <v>12795</v>
      </c>
      <c r="S225" s="9" t="s">
        <v>12795</v>
      </c>
      <c r="T225" s="9"/>
      <c r="U225" s="9"/>
      <c r="V225" s="9"/>
      <c r="W225" s="9"/>
      <c r="X225" s="9"/>
      <c r="Y225" s="9"/>
      <c r="Z225" s="9"/>
      <c r="AA225" s="9"/>
      <c r="AB225" s="9"/>
      <c r="AC225" s="9"/>
      <c r="AD225" s="9" t="s">
        <v>20</v>
      </c>
    </row>
    <row r="226" spans="1:30" ht="29">
      <c r="A226" s="3" t="s">
        <v>1671</v>
      </c>
      <c r="B226" s="3" t="s">
        <v>1672</v>
      </c>
      <c r="C226" s="3" t="s">
        <v>1673</v>
      </c>
      <c r="G226" s="9" t="s">
        <v>12120</v>
      </c>
      <c r="H226" s="9"/>
      <c r="I226" s="9"/>
      <c r="J226" s="9"/>
      <c r="K226" s="9"/>
      <c r="L226" s="9"/>
      <c r="M226" s="9"/>
      <c r="N226" s="10"/>
      <c r="O226" s="9"/>
      <c r="P226" s="9"/>
      <c r="Q226" s="9"/>
      <c r="R226" s="9" t="s">
        <v>12795</v>
      </c>
      <c r="S226" s="9" t="s">
        <v>12795</v>
      </c>
      <c r="T226" s="9"/>
      <c r="U226" s="9"/>
      <c r="V226" s="9"/>
      <c r="W226" s="9"/>
      <c r="X226" s="9"/>
      <c r="Y226" s="9"/>
      <c r="Z226" s="9"/>
      <c r="AA226" s="9"/>
      <c r="AB226" s="9"/>
      <c r="AC226" s="9"/>
      <c r="AD226" s="9" t="s">
        <v>20</v>
      </c>
    </row>
    <row r="227" spans="1:30" ht="72.5">
      <c r="A227" s="3" t="s">
        <v>1677</v>
      </c>
      <c r="B227" s="3" t="s">
        <v>6462</v>
      </c>
      <c r="C227" s="3" t="s">
        <v>6463</v>
      </c>
      <c r="G227" s="9" t="s">
        <v>26</v>
      </c>
      <c r="H227" s="9"/>
      <c r="I227" s="9"/>
      <c r="J227" s="9"/>
      <c r="K227" s="9"/>
      <c r="L227" s="9"/>
      <c r="M227" s="9"/>
      <c r="N227" s="10"/>
      <c r="O227" s="9"/>
      <c r="P227" s="9"/>
      <c r="Q227" s="9"/>
      <c r="R227" s="9" t="s">
        <v>12795</v>
      </c>
      <c r="S227" s="9" t="s">
        <v>12795</v>
      </c>
      <c r="T227" s="9"/>
      <c r="U227" s="9"/>
      <c r="V227" s="9"/>
      <c r="W227" s="9"/>
      <c r="X227" s="9"/>
      <c r="Y227" s="9"/>
      <c r="Z227" s="9"/>
      <c r="AA227" s="9"/>
      <c r="AB227" s="9"/>
      <c r="AC227" s="9"/>
      <c r="AD227" s="9" t="s">
        <v>20</v>
      </c>
    </row>
    <row r="228" spans="1:30" ht="29">
      <c r="A228" s="3" t="s">
        <v>1682</v>
      </c>
      <c r="B228" s="3" t="s">
        <v>1683</v>
      </c>
      <c r="C228" s="3" t="s">
        <v>1562</v>
      </c>
      <c r="G228" s="9" t="s">
        <v>12120</v>
      </c>
      <c r="H228" s="9"/>
      <c r="I228" s="9"/>
      <c r="J228" s="9"/>
      <c r="K228" s="9"/>
      <c r="L228" s="9"/>
      <c r="M228" s="9"/>
      <c r="N228" s="10"/>
      <c r="O228" s="9"/>
      <c r="P228" s="9"/>
      <c r="Q228" s="9"/>
      <c r="R228" s="9" t="s">
        <v>12795</v>
      </c>
      <c r="S228" s="9" t="s">
        <v>12795</v>
      </c>
      <c r="T228" s="9"/>
      <c r="U228" s="9"/>
      <c r="V228" s="9"/>
      <c r="W228" s="9"/>
      <c r="X228" s="9"/>
      <c r="Y228" s="9"/>
      <c r="Z228" s="9"/>
      <c r="AA228" s="9"/>
      <c r="AB228" s="9"/>
      <c r="AC228" s="9"/>
      <c r="AD228" s="9" t="s">
        <v>20</v>
      </c>
    </row>
    <row r="229" spans="1:30" ht="29">
      <c r="A229" s="3" t="s">
        <v>1703</v>
      </c>
      <c r="B229" s="3" t="s">
        <v>6499</v>
      </c>
      <c r="C229" s="3" t="s">
        <v>6500</v>
      </c>
      <c r="G229" s="9" t="s">
        <v>12120</v>
      </c>
      <c r="H229" s="9"/>
      <c r="I229" s="9"/>
      <c r="J229" s="9"/>
      <c r="K229" s="9"/>
      <c r="L229" s="9"/>
      <c r="M229" s="9"/>
      <c r="N229" s="10"/>
      <c r="O229" s="9"/>
      <c r="P229" s="9"/>
      <c r="Q229" s="9"/>
      <c r="R229" s="9" t="s">
        <v>12795</v>
      </c>
      <c r="S229" s="9" t="s">
        <v>12795</v>
      </c>
      <c r="T229" s="9"/>
      <c r="U229" s="9"/>
      <c r="V229" s="9"/>
      <c r="W229" s="9"/>
      <c r="X229" s="9"/>
      <c r="Y229" s="9"/>
      <c r="Z229" s="9"/>
      <c r="AA229" s="9"/>
      <c r="AB229" s="9"/>
      <c r="AC229" s="9"/>
      <c r="AD229" s="9" t="s">
        <v>20</v>
      </c>
    </row>
    <row r="230" spans="1:30" ht="43.5">
      <c r="A230" s="3" t="s">
        <v>1708</v>
      </c>
      <c r="B230" s="3" t="s">
        <v>5839</v>
      </c>
      <c r="C230" s="3" t="s">
        <v>6506</v>
      </c>
      <c r="G230" s="9" t="s">
        <v>25</v>
      </c>
      <c r="H230" s="9"/>
      <c r="I230" s="9">
        <v>1</v>
      </c>
      <c r="J230" s="9">
        <v>4</v>
      </c>
      <c r="K230" s="9" t="s">
        <v>12078</v>
      </c>
      <c r="L230" s="9" t="s">
        <v>12079</v>
      </c>
      <c r="M230" s="9"/>
      <c r="N230" s="10"/>
      <c r="O230" s="9"/>
      <c r="P230" s="9">
        <v>11843</v>
      </c>
      <c r="Q230" s="9"/>
      <c r="R230" s="9" t="s">
        <v>12795</v>
      </c>
      <c r="S230" s="9" t="s">
        <v>12795</v>
      </c>
      <c r="T230" s="9"/>
      <c r="U230" s="9"/>
      <c r="V230" s="9"/>
      <c r="W230" s="9"/>
      <c r="X230" s="9"/>
      <c r="Y230" s="9"/>
      <c r="Z230" s="9"/>
      <c r="AA230" s="9"/>
      <c r="AB230" s="9"/>
      <c r="AC230" s="9"/>
      <c r="AD230" s="9" t="s">
        <v>20</v>
      </c>
    </row>
    <row r="231" spans="1:30" ht="72.5">
      <c r="A231" s="3" t="s">
        <v>1710</v>
      </c>
      <c r="B231" s="3" t="s">
        <v>6507</v>
      </c>
      <c r="C231" s="3" t="s">
        <v>6508</v>
      </c>
      <c r="G231" s="9" t="s">
        <v>26</v>
      </c>
      <c r="H231" s="9"/>
      <c r="I231" s="9"/>
      <c r="J231" s="9"/>
      <c r="K231" s="9"/>
      <c r="L231" s="9"/>
      <c r="M231" s="9"/>
      <c r="N231" s="10"/>
      <c r="O231" s="9"/>
      <c r="P231" s="9"/>
      <c r="Q231" s="9"/>
      <c r="R231" s="9" t="s">
        <v>12795</v>
      </c>
      <c r="S231" s="9" t="s">
        <v>12795</v>
      </c>
      <c r="T231" s="9"/>
      <c r="U231" s="9"/>
      <c r="V231" s="9"/>
      <c r="W231" s="9"/>
      <c r="X231" s="9"/>
      <c r="Y231" s="9"/>
      <c r="Z231" s="9"/>
      <c r="AA231" s="9"/>
      <c r="AB231" s="9"/>
      <c r="AC231" s="9"/>
      <c r="AD231" s="9" t="s">
        <v>20</v>
      </c>
    </row>
    <row r="232" spans="1:30" ht="87">
      <c r="A232" s="3" t="s">
        <v>1711</v>
      </c>
      <c r="B232" s="3" t="s">
        <v>6512</v>
      </c>
      <c r="C232" s="3" t="s">
        <v>6513</v>
      </c>
      <c r="G232" s="9" t="s">
        <v>26</v>
      </c>
      <c r="H232" s="9"/>
      <c r="I232" s="9"/>
      <c r="J232" s="9"/>
      <c r="K232" s="9"/>
      <c r="L232" s="9"/>
      <c r="M232" s="9"/>
      <c r="N232" s="10"/>
      <c r="O232" s="9"/>
      <c r="P232" s="9"/>
      <c r="Q232" s="9"/>
      <c r="R232" s="9" t="s">
        <v>12795</v>
      </c>
      <c r="S232" s="9" t="s">
        <v>12795</v>
      </c>
      <c r="T232" s="9"/>
      <c r="U232" s="9"/>
      <c r="V232" s="9"/>
      <c r="W232" s="9"/>
      <c r="X232" s="9"/>
      <c r="Y232" s="9"/>
      <c r="Z232" s="9"/>
      <c r="AA232" s="9"/>
      <c r="AB232" s="9"/>
      <c r="AC232" s="9"/>
      <c r="AD232" s="9" t="s">
        <v>20</v>
      </c>
    </row>
    <row r="233" spans="1:30" ht="87">
      <c r="A233" s="3" t="s">
        <v>1711</v>
      </c>
      <c r="B233" s="3" t="s">
        <v>6510</v>
      </c>
      <c r="C233" s="3" t="s">
        <v>6514</v>
      </c>
      <c r="G233" s="9" t="s">
        <v>24</v>
      </c>
      <c r="H233" s="9"/>
      <c r="I233" s="9">
        <v>2</v>
      </c>
      <c r="J233" s="9">
        <v>7</v>
      </c>
      <c r="K233" s="9"/>
      <c r="L233" s="9" t="s">
        <v>12079</v>
      </c>
      <c r="M233" s="9"/>
      <c r="N233" s="10"/>
      <c r="O233" s="9"/>
      <c r="P233" s="9">
        <v>2042</v>
      </c>
      <c r="Q233" s="9"/>
      <c r="R233" s="9" t="s">
        <v>12795</v>
      </c>
      <c r="S233" s="9" t="s">
        <v>12795</v>
      </c>
      <c r="T233" s="9"/>
      <c r="U233" s="9"/>
      <c r="V233" s="9"/>
      <c r="W233" s="9"/>
      <c r="X233" s="9"/>
      <c r="Y233" s="9"/>
      <c r="Z233" s="9"/>
      <c r="AA233" s="9"/>
      <c r="AB233" s="9"/>
      <c r="AC233" s="9"/>
      <c r="AD233" s="9" t="s">
        <v>13141</v>
      </c>
    </row>
    <row r="234" spans="1:30" ht="145">
      <c r="A234" s="3" t="s">
        <v>1712</v>
      </c>
      <c r="B234" s="3" t="s">
        <v>6516</v>
      </c>
      <c r="C234" s="3" t="s">
        <v>6517</v>
      </c>
      <c r="G234" s="9" t="s">
        <v>26</v>
      </c>
      <c r="H234" s="9"/>
      <c r="I234" s="9"/>
      <c r="J234" s="9"/>
      <c r="K234" s="9"/>
      <c r="L234" s="9"/>
      <c r="M234" s="9"/>
      <c r="N234" s="10"/>
      <c r="O234" s="9"/>
      <c r="P234" s="9"/>
      <c r="Q234" s="9"/>
      <c r="R234" s="9" t="s">
        <v>12795</v>
      </c>
      <c r="S234" s="9" t="s">
        <v>12795</v>
      </c>
      <c r="T234" s="9"/>
      <c r="U234" s="9"/>
      <c r="V234" s="9"/>
      <c r="W234" s="9"/>
      <c r="X234" s="9"/>
      <c r="Y234" s="9"/>
      <c r="Z234" s="9"/>
      <c r="AA234" s="9"/>
      <c r="AB234" s="9"/>
      <c r="AC234" s="9"/>
      <c r="AD234" s="9" t="s">
        <v>20</v>
      </c>
    </row>
    <row r="235" spans="1:30" ht="145">
      <c r="A235" s="3" t="s">
        <v>1713</v>
      </c>
      <c r="B235" s="3" t="s">
        <v>6519</v>
      </c>
      <c r="C235" s="3" t="s">
        <v>6520</v>
      </c>
      <c r="G235" s="9" t="s">
        <v>12120</v>
      </c>
      <c r="H235" s="9"/>
      <c r="I235" s="9"/>
      <c r="J235" s="9"/>
      <c r="K235" s="9"/>
      <c r="L235" s="9"/>
      <c r="M235" s="9"/>
      <c r="N235" s="10"/>
      <c r="O235" s="9"/>
      <c r="P235" s="9"/>
      <c r="Q235" s="9"/>
      <c r="R235" s="9" t="s">
        <v>12795</v>
      </c>
      <c r="S235" s="9" t="s">
        <v>12795</v>
      </c>
      <c r="T235" s="9"/>
      <c r="U235" s="9"/>
      <c r="V235" s="9"/>
      <c r="W235" s="9"/>
      <c r="X235" s="9"/>
      <c r="Y235" s="9"/>
      <c r="Z235" s="9"/>
      <c r="AA235" s="9"/>
      <c r="AB235" s="9"/>
      <c r="AC235" s="9"/>
      <c r="AD235" s="9" t="s">
        <v>20</v>
      </c>
    </row>
    <row r="236" spans="1:30" ht="29">
      <c r="A236" s="3" t="s">
        <v>1713</v>
      </c>
      <c r="B236" s="3" t="s">
        <v>6521</v>
      </c>
      <c r="C236" s="3" t="s">
        <v>6522</v>
      </c>
      <c r="G236" s="9" t="s">
        <v>24</v>
      </c>
      <c r="H236" s="9"/>
      <c r="I236" s="9">
        <v>1</v>
      </c>
      <c r="J236" s="9">
        <v>3</v>
      </c>
      <c r="K236" s="9" t="s">
        <v>12087</v>
      </c>
      <c r="L236" s="9" t="s">
        <v>12079</v>
      </c>
      <c r="M236" s="9"/>
      <c r="N236" s="10"/>
      <c r="O236" s="9"/>
      <c r="P236" s="9">
        <v>5676</v>
      </c>
      <c r="Q236" s="9"/>
      <c r="R236" s="9" t="s">
        <v>12795</v>
      </c>
      <c r="S236" s="9" t="s">
        <v>12795</v>
      </c>
      <c r="T236" s="9"/>
      <c r="U236" s="9"/>
      <c r="V236" s="9"/>
      <c r="W236" s="9"/>
      <c r="X236" s="9"/>
      <c r="Y236" s="9"/>
      <c r="Z236" s="9"/>
      <c r="AA236" s="9"/>
      <c r="AB236" s="9"/>
      <c r="AC236" s="9"/>
      <c r="AD236" s="9" t="s">
        <v>20</v>
      </c>
    </row>
    <row r="237" spans="1:30" ht="101.5">
      <c r="A237" s="3" t="s">
        <v>1715</v>
      </c>
      <c r="B237" s="3" t="s">
        <v>6525</v>
      </c>
      <c r="C237" s="3" t="s">
        <v>6526</v>
      </c>
      <c r="G237" s="9" t="s">
        <v>26</v>
      </c>
      <c r="H237" s="9"/>
      <c r="I237" s="9"/>
      <c r="J237" s="9"/>
      <c r="K237" s="9"/>
      <c r="L237" s="9"/>
      <c r="M237" s="9"/>
      <c r="N237" s="10"/>
      <c r="O237" s="9"/>
      <c r="P237" s="9"/>
      <c r="Q237" s="9"/>
      <c r="R237" s="9" t="s">
        <v>12795</v>
      </c>
      <c r="S237" s="9" t="s">
        <v>12795</v>
      </c>
      <c r="T237" s="9"/>
      <c r="U237" s="9"/>
      <c r="V237" s="9"/>
      <c r="W237" s="9"/>
      <c r="X237" s="9"/>
      <c r="Y237" s="9"/>
      <c r="Z237" s="9"/>
      <c r="AA237" s="9"/>
      <c r="AB237" s="9"/>
      <c r="AC237" s="9"/>
      <c r="AD237" s="9" t="s">
        <v>13141</v>
      </c>
    </row>
    <row r="238" spans="1:30" ht="29">
      <c r="A238" s="3" t="s">
        <v>1720</v>
      </c>
      <c r="B238" s="3" t="s">
        <v>6541</v>
      </c>
      <c r="C238" s="3" t="s">
        <v>6542</v>
      </c>
      <c r="G238" s="9" t="s">
        <v>12118</v>
      </c>
      <c r="H238" s="9"/>
      <c r="I238" s="9"/>
      <c r="J238" s="9"/>
      <c r="K238" s="9"/>
      <c r="L238" s="9"/>
      <c r="M238" s="9"/>
      <c r="N238" s="10"/>
      <c r="O238" s="9"/>
      <c r="P238" s="9"/>
      <c r="Q238" s="9">
        <v>41</v>
      </c>
      <c r="R238" s="9">
        <v>444</v>
      </c>
      <c r="S238" s="9">
        <v>485</v>
      </c>
      <c r="T238" s="9" t="s">
        <v>4</v>
      </c>
      <c r="U238" s="9"/>
      <c r="V238" s="9"/>
      <c r="W238" s="9"/>
      <c r="X238" s="9"/>
      <c r="Y238" s="9"/>
      <c r="Z238" s="9"/>
      <c r="AA238" s="9"/>
      <c r="AB238" s="9"/>
      <c r="AC238" s="9"/>
      <c r="AD238" s="9" t="s">
        <v>20</v>
      </c>
    </row>
    <row r="239" spans="1:30" ht="72.5">
      <c r="A239" s="3" t="s">
        <v>1721</v>
      </c>
      <c r="B239" s="3" t="s">
        <v>6545</v>
      </c>
      <c r="C239" s="3" t="s">
        <v>6546</v>
      </c>
      <c r="G239" s="9" t="s">
        <v>26</v>
      </c>
      <c r="H239" s="9"/>
      <c r="I239" s="9">
        <v>1</v>
      </c>
      <c r="J239" s="9">
        <v>5</v>
      </c>
      <c r="K239" s="9" t="s">
        <v>12094</v>
      </c>
      <c r="L239" s="9" t="s">
        <v>12079</v>
      </c>
      <c r="M239" s="9"/>
      <c r="N239" s="10"/>
      <c r="O239" s="9"/>
      <c r="P239" s="9">
        <v>4240</v>
      </c>
      <c r="Q239" s="9"/>
      <c r="R239" s="9" t="s">
        <v>12795</v>
      </c>
      <c r="S239" s="9" t="s">
        <v>12795</v>
      </c>
      <c r="T239" s="9"/>
      <c r="U239" s="9"/>
      <c r="V239" s="9"/>
      <c r="W239" s="9"/>
      <c r="X239" s="9"/>
      <c r="Y239" s="9"/>
      <c r="Z239" s="9"/>
      <c r="AA239" s="9"/>
      <c r="AB239" s="9"/>
      <c r="AC239" s="9"/>
      <c r="AD239" s="9" t="s">
        <v>13141</v>
      </c>
    </row>
    <row r="240" spans="1:30" ht="29">
      <c r="A240" s="3" t="s">
        <v>1722</v>
      </c>
      <c r="B240" s="3" t="s">
        <v>1723</v>
      </c>
      <c r="C240" s="3" t="s">
        <v>96</v>
      </c>
      <c r="G240" s="9" t="s">
        <v>12118</v>
      </c>
      <c r="H240" s="9"/>
      <c r="I240" s="9"/>
      <c r="J240" s="9"/>
      <c r="K240" s="9"/>
      <c r="L240" s="9"/>
      <c r="M240" s="9"/>
      <c r="N240" s="10"/>
      <c r="O240" s="9"/>
      <c r="P240" s="9"/>
      <c r="Q240" s="9">
        <v>-86</v>
      </c>
      <c r="R240" s="9">
        <v>86</v>
      </c>
      <c r="S240" s="9">
        <v>0</v>
      </c>
      <c r="T240" s="9"/>
      <c r="U240" s="9"/>
      <c r="V240" s="9"/>
      <c r="W240" s="9"/>
      <c r="X240" s="9"/>
      <c r="Y240" s="9"/>
      <c r="Z240" s="9"/>
      <c r="AA240" s="9"/>
      <c r="AB240" s="9"/>
      <c r="AC240" s="9"/>
      <c r="AD240" s="9" t="s">
        <v>20</v>
      </c>
    </row>
    <row r="241" spans="1:30" ht="58">
      <c r="A241" s="3" t="s">
        <v>1729</v>
      </c>
      <c r="B241" s="3" t="s">
        <v>12876</v>
      </c>
      <c r="C241" s="3" t="s">
        <v>6560</v>
      </c>
      <c r="G241" s="9" t="s">
        <v>12120</v>
      </c>
      <c r="H241" s="9"/>
      <c r="I241" s="9"/>
      <c r="J241" s="9"/>
      <c r="K241" s="9"/>
      <c r="L241" s="9"/>
      <c r="M241" s="9"/>
      <c r="N241" s="10"/>
      <c r="O241" s="9"/>
      <c r="P241" s="9"/>
      <c r="Q241" s="9"/>
      <c r="R241" s="9" t="s">
        <v>12795</v>
      </c>
      <c r="S241" s="9" t="s">
        <v>12795</v>
      </c>
      <c r="T241" s="9"/>
      <c r="U241" s="9"/>
      <c r="V241" s="9"/>
      <c r="W241" s="9"/>
      <c r="X241" s="9"/>
      <c r="Y241" s="9"/>
      <c r="Z241" s="9"/>
      <c r="AA241" s="9"/>
      <c r="AB241" s="9"/>
      <c r="AC241" s="9"/>
      <c r="AD241" s="9" t="s">
        <v>20</v>
      </c>
    </row>
    <row r="242" spans="1:30" ht="58">
      <c r="A242" s="3" t="s">
        <v>1729</v>
      </c>
      <c r="B242" s="3" t="s">
        <v>12877</v>
      </c>
      <c r="C242" s="3" t="s">
        <v>6561</v>
      </c>
      <c r="G242" s="9" t="s">
        <v>12118</v>
      </c>
      <c r="H242" s="9"/>
      <c r="I242" s="9"/>
      <c r="J242" s="9"/>
      <c r="K242" s="9"/>
      <c r="L242" s="9"/>
      <c r="M242" s="9"/>
      <c r="N242" s="10"/>
      <c r="O242" s="9"/>
      <c r="P242" s="9"/>
      <c r="Q242" s="9">
        <v>41</v>
      </c>
      <c r="R242" s="9">
        <v>1</v>
      </c>
      <c r="S242" s="9">
        <v>42</v>
      </c>
      <c r="T242" s="9"/>
      <c r="U242" s="9"/>
      <c r="V242" s="9"/>
      <c r="W242" s="9"/>
      <c r="X242" s="9"/>
      <c r="Y242" s="9"/>
      <c r="Z242" s="9"/>
      <c r="AA242" s="9"/>
      <c r="AB242" s="9"/>
      <c r="AC242" s="9"/>
      <c r="AD242" s="9" t="s">
        <v>13141</v>
      </c>
    </row>
    <row r="243" spans="1:30" ht="116">
      <c r="A243" s="3" t="s">
        <v>1734</v>
      </c>
      <c r="B243" s="3" t="s">
        <v>6564</v>
      </c>
      <c r="C243" s="3" t="s">
        <v>6566</v>
      </c>
      <c r="G243" s="9" t="s">
        <v>26</v>
      </c>
      <c r="H243" s="9"/>
      <c r="I243" s="9"/>
      <c r="J243" s="9"/>
      <c r="K243" s="9"/>
      <c r="L243" s="9"/>
      <c r="M243" s="9"/>
      <c r="N243" s="10"/>
      <c r="O243" s="9"/>
      <c r="P243" s="9"/>
      <c r="Q243" s="9"/>
      <c r="R243" s="9" t="s">
        <v>12795</v>
      </c>
      <c r="S243" s="9" t="s">
        <v>12795</v>
      </c>
      <c r="T243" s="9"/>
      <c r="U243" s="9"/>
      <c r="V243" s="9"/>
      <c r="W243" s="9"/>
      <c r="X243" s="9"/>
      <c r="Y243" s="9"/>
      <c r="Z243" s="9"/>
      <c r="AA243" s="9"/>
      <c r="AB243" s="9"/>
      <c r="AC243" s="9"/>
      <c r="AD243" s="9" t="s">
        <v>13141</v>
      </c>
    </row>
    <row r="244" spans="1:30" ht="58">
      <c r="A244" s="3" t="s">
        <v>1735</v>
      </c>
      <c r="B244" s="3" t="s">
        <v>6571</v>
      </c>
      <c r="C244" s="3" t="s">
        <v>6572</v>
      </c>
      <c r="G244" s="9" t="s">
        <v>26</v>
      </c>
      <c r="H244" s="9"/>
      <c r="I244" s="9"/>
      <c r="J244" s="9"/>
      <c r="K244" s="9"/>
      <c r="L244" s="9"/>
      <c r="M244" s="9"/>
      <c r="N244" s="10"/>
      <c r="O244" s="9"/>
      <c r="P244" s="9"/>
      <c r="Q244" s="9"/>
      <c r="R244" s="9" t="s">
        <v>12795</v>
      </c>
      <c r="S244" s="9" t="s">
        <v>12795</v>
      </c>
      <c r="T244" s="9"/>
      <c r="U244" s="9"/>
      <c r="V244" s="9"/>
      <c r="W244" s="9"/>
      <c r="X244" s="9"/>
      <c r="Y244" s="9"/>
      <c r="Z244" s="9"/>
      <c r="AA244" s="9"/>
      <c r="AB244" s="9"/>
      <c r="AC244" s="9"/>
      <c r="AD244" s="9" t="s">
        <v>20</v>
      </c>
    </row>
    <row r="245" spans="1:30" ht="29">
      <c r="A245" s="3" t="s">
        <v>1737</v>
      </c>
      <c r="B245" s="3" t="s">
        <v>2411</v>
      </c>
      <c r="C245" s="3" t="s">
        <v>1738</v>
      </c>
      <c r="G245" s="9" t="s">
        <v>12120</v>
      </c>
      <c r="H245" s="9"/>
      <c r="I245" s="9"/>
      <c r="J245" s="9"/>
      <c r="K245" s="9"/>
      <c r="L245" s="9"/>
      <c r="M245" s="9"/>
      <c r="N245" s="10"/>
      <c r="O245" s="9"/>
      <c r="P245" s="9"/>
      <c r="Q245" s="9"/>
      <c r="R245" s="9" t="s">
        <v>12795</v>
      </c>
      <c r="S245" s="9" t="s">
        <v>12795</v>
      </c>
      <c r="T245" s="9"/>
      <c r="U245" s="9"/>
      <c r="V245" s="9"/>
      <c r="W245" s="9"/>
      <c r="X245" s="9"/>
      <c r="Y245" s="9"/>
      <c r="Z245" s="9"/>
      <c r="AA245" s="9"/>
      <c r="AB245" s="9"/>
      <c r="AC245" s="9"/>
      <c r="AD245" s="9" t="s">
        <v>20</v>
      </c>
    </row>
    <row r="246" spans="1:30" ht="29">
      <c r="A246" s="3" t="s">
        <v>1739</v>
      </c>
      <c r="B246" s="3" t="s">
        <v>6581</v>
      </c>
      <c r="C246" s="3" t="s">
        <v>6582</v>
      </c>
      <c r="G246" s="9" t="s">
        <v>25</v>
      </c>
      <c r="H246" s="9"/>
      <c r="I246" s="9">
        <v>1</v>
      </c>
      <c r="J246" s="9">
        <v>1</v>
      </c>
      <c r="K246" s="9" t="s">
        <v>12078</v>
      </c>
      <c r="L246" s="9" t="s">
        <v>12119</v>
      </c>
      <c r="M246" s="9"/>
      <c r="N246" s="10"/>
      <c r="O246" s="9" t="s">
        <v>12074</v>
      </c>
      <c r="P246" s="9">
        <v>11843</v>
      </c>
      <c r="Q246" s="9"/>
      <c r="R246" s="9" t="s">
        <v>12795</v>
      </c>
      <c r="S246" s="9" t="s">
        <v>12795</v>
      </c>
      <c r="T246" s="9"/>
      <c r="U246" s="9"/>
      <c r="V246" s="9"/>
      <c r="W246" s="9"/>
      <c r="X246" s="9"/>
      <c r="Y246" s="9"/>
      <c r="Z246" s="9"/>
      <c r="AA246" s="9"/>
      <c r="AB246" s="9"/>
      <c r="AC246" s="9"/>
      <c r="AD246" s="9" t="s">
        <v>20</v>
      </c>
    </row>
    <row r="247" spans="1:30" ht="43.5">
      <c r="A247" s="3" t="s">
        <v>1739</v>
      </c>
      <c r="B247" s="11" t="s">
        <v>6584</v>
      </c>
      <c r="C247" s="3" t="s">
        <v>6583</v>
      </c>
      <c r="G247" s="9" t="s">
        <v>26</v>
      </c>
      <c r="H247" s="9"/>
      <c r="I247" s="9"/>
      <c r="J247" s="9"/>
      <c r="K247" s="9"/>
      <c r="L247" s="9"/>
      <c r="M247" s="9"/>
      <c r="N247" s="10"/>
      <c r="O247" s="9"/>
      <c r="P247" s="9"/>
      <c r="Q247" s="9"/>
      <c r="R247" s="9" t="s">
        <v>12795</v>
      </c>
      <c r="S247" s="9" t="s">
        <v>12795</v>
      </c>
      <c r="T247" s="9"/>
      <c r="U247" s="9"/>
      <c r="V247" s="9"/>
      <c r="W247" s="9"/>
      <c r="X247" s="9"/>
      <c r="Y247" s="9"/>
      <c r="Z247" s="9"/>
      <c r="AA247" s="9"/>
      <c r="AB247" s="9"/>
      <c r="AC247" s="9"/>
      <c r="AD247" s="9" t="s">
        <v>20</v>
      </c>
    </row>
    <row r="248" spans="1:30" ht="29">
      <c r="A248" s="3" t="s">
        <v>1747</v>
      </c>
      <c r="B248" s="3" t="s">
        <v>12662</v>
      </c>
      <c r="C248" s="3" t="s">
        <v>12663</v>
      </c>
      <c r="G248" s="9" t="s">
        <v>25</v>
      </c>
      <c r="H248" s="9"/>
      <c r="I248" s="9">
        <v>1</v>
      </c>
      <c r="J248" s="9">
        <v>4</v>
      </c>
      <c r="K248" s="9" t="s">
        <v>12094</v>
      </c>
      <c r="L248" s="9" t="s">
        <v>12073</v>
      </c>
      <c r="M248" s="9" t="s">
        <v>12142</v>
      </c>
      <c r="N248" s="10" t="s">
        <v>12143</v>
      </c>
      <c r="O248" s="9"/>
      <c r="P248" s="9">
        <v>4240</v>
      </c>
      <c r="Q248" s="9"/>
      <c r="R248" s="9" t="s">
        <v>12795</v>
      </c>
      <c r="S248" s="9" t="s">
        <v>12795</v>
      </c>
      <c r="T248" s="9"/>
      <c r="U248" s="9"/>
      <c r="V248" s="9"/>
      <c r="W248" s="9"/>
      <c r="X248" s="9"/>
      <c r="Y248" s="9"/>
      <c r="Z248" s="9"/>
      <c r="AA248" s="9"/>
      <c r="AB248" s="9"/>
      <c r="AC248" s="9"/>
      <c r="AD248" s="9" t="s">
        <v>20</v>
      </c>
    </row>
    <row r="249" spans="1:30" ht="29">
      <c r="A249" s="3" t="s">
        <v>1751</v>
      </c>
      <c r="B249" s="3" t="s">
        <v>1564</v>
      </c>
      <c r="C249" s="3" t="s">
        <v>1752</v>
      </c>
      <c r="G249" s="9" t="s">
        <v>12120</v>
      </c>
      <c r="H249" s="9"/>
      <c r="I249" s="9"/>
      <c r="J249" s="9"/>
      <c r="K249" s="9"/>
      <c r="L249" s="9"/>
      <c r="M249" s="9"/>
      <c r="N249" s="10"/>
      <c r="O249" s="9"/>
      <c r="P249" s="9"/>
      <c r="Q249" s="9"/>
      <c r="R249" s="9" t="s">
        <v>12795</v>
      </c>
      <c r="S249" s="9" t="s">
        <v>12795</v>
      </c>
      <c r="T249" s="9"/>
      <c r="U249" s="9"/>
      <c r="V249" s="9"/>
      <c r="W249" s="9"/>
      <c r="X249" s="9"/>
      <c r="Y249" s="9"/>
      <c r="Z249" s="9"/>
      <c r="AA249" s="9"/>
      <c r="AB249" s="9"/>
      <c r="AC249" s="9"/>
      <c r="AD249" s="9" t="s">
        <v>20</v>
      </c>
    </row>
    <row r="250" spans="1:30" ht="101.5">
      <c r="A250" s="3" t="s">
        <v>1753</v>
      </c>
      <c r="B250" s="3" t="s">
        <v>6600</v>
      </c>
      <c r="C250" s="3" t="s">
        <v>6599</v>
      </c>
      <c r="G250" s="9" t="s">
        <v>25</v>
      </c>
      <c r="H250" s="9"/>
      <c r="I250" s="9">
        <v>3</v>
      </c>
      <c r="J250" s="9">
        <v>15</v>
      </c>
      <c r="K250" s="9"/>
      <c r="L250" s="9" t="s">
        <v>12079</v>
      </c>
      <c r="M250" s="9"/>
      <c r="N250" s="10"/>
      <c r="O250" s="9"/>
      <c r="P250" s="9">
        <v>57</v>
      </c>
      <c r="Q250" s="9"/>
      <c r="R250" s="9" t="s">
        <v>12795</v>
      </c>
      <c r="S250" s="9" t="s">
        <v>12795</v>
      </c>
      <c r="T250" s="9"/>
      <c r="U250" s="9"/>
      <c r="V250" s="9"/>
      <c r="W250" s="9"/>
      <c r="X250" s="9"/>
      <c r="Y250" s="9"/>
      <c r="Z250" s="9"/>
      <c r="AA250" s="9"/>
      <c r="AB250" s="9"/>
      <c r="AC250" s="9"/>
      <c r="AD250" s="9" t="s">
        <v>20</v>
      </c>
    </row>
    <row r="251" spans="1:30" ht="58">
      <c r="A251" s="3" t="s">
        <v>1759</v>
      </c>
      <c r="B251" s="3" t="s">
        <v>6601</v>
      </c>
      <c r="C251" s="3" t="s">
        <v>6602</v>
      </c>
      <c r="G251" s="9" t="s">
        <v>25</v>
      </c>
      <c r="H251" s="9"/>
      <c r="I251" s="9">
        <v>1</v>
      </c>
      <c r="J251" s="9">
        <v>3</v>
      </c>
      <c r="K251" s="9" t="s">
        <v>12096</v>
      </c>
      <c r="L251" s="9" t="s">
        <v>12079</v>
      </c>
      <c r="M251" s="9"/>
      <c r="N251" s="10"/>
      <c r="O251" s="9"/>
      <c r="P251" s="9">
        <v>1101</v>
      </c>
      <c r="Q251" s="9"/>
      <c r="R251" s="9" t="s">
        <v>12795</v>
      </c>
      <c r="S251" s="9" t="s">
        <v>12795</v>
      </c>
      <c r="T251" s="9"/>
      <c r="U251" s="9"/>
      <c r="V251" s="9"/>
      <c r="W251" s="9"/>
      <c r="X251" s="9"/>
      <c r="Y251" s="9"/>
      <c r="Z251" s="9"/>
      <c r="AA251" s="9"/>
      <c r="AB251" s="9"/>
      <c r="AC251" s="9"/>
      <c r="AD251" s="9" t="s">
        <v>20</v>
      </c>
    </row>
    <row r="252" spans="1:30" ht="29">
      <c r="A252" s="3" t="s">
        <v>1763</v>
      </c>
      <c r="B252" s="3" t="s">
        <v>883</v>
      </c>
      <c r="C252" s="3" t="s">
        <v>1764</v>
      </c>
      <c r="G252" s="9" t="s">
        <v>12118</v>
      </c>
      <c r="H252" s="9"/>
      <c r="I252" s="9"/>
      <c r="J252" s="9"/>
      <c r="K252" s="9"/>
      <c r="L252" s="9"/>
      <c r="M252" s="9"/>
      <c r="N252" s="10"/>
      <c r="O252" s="9"/>
      <c r="P252" s="9"/>
      <c r="Q252" s="9">
        <v>-12</v>
      </c>
      <c r="R252" s="9">
        <v>12</v>
      </c>
      <c r="S252" s="9">
        <v>0</v>
      </c>
      <c r="T252" s="9"/>
      <c r="U252" s="9"/>
      <c r="V252" s="9"/>
      <c r="W252" s="9"/>
      <c r="X252" s="9"/>
      <c r="Y252" s="9"/>
      <c r="Z252" s="9"/>
      <c r="AA252" s="9"/>
      <c r="AB252" s="9"/>
      <c r="AC252" s="9"/>
      <c r="AD252" s="9" t="s">
        <v>20</v>
      </c>
    </row>
    <row r="253" spans="1:30" ht="116">
      <c r="A253" s="3" t="s">
        <v>1768</v>
      </c>
      <c r="B253" s="3" t="s">
        <v>12882</v>
      </c>
      <c r="C253" s="3" t="s">
        <v>12883</v>
      </c>
      <c r="G253" s="9" t="s">
        <v>26</v>
      </c>
      <c r="H253" s="9"/>
      <c r="I253" s="9"/>
      <c r="J253" s="9"/>
      <c r="K253" s="9"/>
      <c r="L253" s="9"/>
      <c r="M253" s="9"/>
      <c r="N253" s="10"/>
      <c r="O253" s="9"/>
      <c r="P253" s="9"/>
      <c r="Q253" s="9"/>
      <c r="R253" s="9" t="s">
        <v>12795</v>
      </c>
      <c r="S253" s="9" t="s">
        <v>12795</v>
      </c>
      <c r="T253" s="9"/>
      <c r="U253" s="9"/>
      <c r="V253" s="9"/>
      <c r="W253" s="9"/>
      <c r="X253" s="9"/>
      <c r="Y253" s="9"/>
      <c r="Z253" s="9"/>
      <c r="AA253" s="9"/>
      <c r="AB253" s="9"/>
      <c r="AC253" s="9"/>
      <c r="AD253" s="9" t="s">
        <v>20</v>
      </c>
    </row>
    <row r="254" spans="1:30" ht="29">
      <c r="A254" s="3" t="s">
        <v>1770</v>
      </c>
      <c r="B254" s="3" t="s">
        <v>1772</v>
      </c>
      <c r="C254" s="3" t="s">
        <v>1773</v>
      </c>
      <c r="G254" s="9" t="s">
        <v>12120</v>
      </c>
      <c r="H254" s="9"/>
      <c r="I254" s="9"/>
      <c r="J254" s="9"/>
      <c r="K254" s="9"/>
      <c r="L254" s="9"/>
      <c r="M254" s="9"/>
      <c r="N254" s="10"/>
      <c r="O254" s="9"/>
      <c r="P254" s="9"/>
      <c r="Q254" s="9"/>
      <c r="R254" s="9" t="s">
        <v>12795</v>
      </c>
      <c r="S254" s="9" t="s">
        <v>12795</v>
      </c>
      <c r="T254" s="9"/>
      <c r="U254" s="9"/>
      <c r="V254" s="9"/>
      <c r="W254" s="9"/>
      <c r="X254" s="9"/>
      <c r="Y254" s="9"/>
      <c r="Z254" s="9"/>
      <c r="AA254" s="9"/>
      <c r="AB254" s="9"/>
      <c r="AC254" s="9"/>
      <c r="AD254" s="9" t="s">
        <v>20</v>
      </c>
    </row>
    <row r="255" spans="1:30" ht="43.5">
      <c r="A255" s="3" t="s">
        <v>1774</v>
      </c>
      <c r="B255" s="3" t="s">
        <v>6610</v>
      </c>
      <c r="C255" s="3" t="s">
        <v>6611</v>
      </c>
      <c r="G255" s="9" t="s">
        <v>25</v>
      </c>
      <c r="H255" s="9"/>
      <c r="I255" s="9">
        <v>1</v>
      </c>
      <c r="J255" s="9">
        <v>2</v>
      </c>
      <c r="K255" s="9" t="s">
        <v>12096</v>
      </c>
      <c r="L255" s="9" t="s">
        <v>12119</v>
      </c>
      <c r="M255" s="9"/>
      <c r="N255" s="10"/>
      <c r="O255" s="9" t="s">
        <v>12074</v>
      </c>
      <c r="P255" s="9">
        <v>1294</v>
      </c>
      <c r="Q255" s="9"/>
      <c r="R255" s="9" t="s">
        <v>12795</v>
      </c>
      <c r="S255" s="9" t="s">
        <v>12795</v>
      </c>
      <c r="T255" s="9"/>
      <c r="U255" s="9"/>
      <c r="V255" s="9"/>
      <c r="W255" s="9"/>
      <c r="X255" s="9"/>
      <c r="Y255" s="9"/>
      <c r="Z255" s="9"/>
      <c r="AA255" s="9"/>
      <c r="AB255" s="9"/>
      <c r="AC255" s="9"/>
      <c r="AD255" s="9" t="s">
        <v>20</v>
      </c>
    </row>
    <row r="256" spans="1:30" ht="29">
      <c r="A256" s="3" t="s">
        <v>1781</v>
      </c>
      <c r="B256" s="3" t="s">
        <v>6612</v>
      </c>
      <c r="C256" s="3" t="s">
        <v>6613</v>
      </c>
      <c r="G256" s="9" t="s">
        <v>25</v>
      </c>
      <c r="H256" s="9"/>
      <c r="I256" s="9">
        <v>1</v>
      </c>
      <c r="J256" s="9">
        <v>1</v>
      </c>
      <c r="K256" s="9" t="s">
        <v>12072</v>
      </c>
      <c r="L256" s="9" t="s">
        <v>12119</v>
      </c>
      <c r="M256" s="9"/>
      <c r="N256" s="10"/>
      <c r="O256" s="9" t="s">
        <v>12074</v>
      </c>
      <c r="P256" s="9">
        <v>16</v>
      </c>
      <c r="Q256" s="9"/>
      <c r="R256" s="9" t="s">
        <v>12795</v>
      </c>
      <c r="S256" s="9" t="s">
        <v>12795</v>
      </c>
      <c r="T256" s="9"/>
      <c r="U256" s="9"/>
      <c r="V256" s="9"/>
      <c r="W256" s="9"/>
      <c r="X256" s="9"/>
      <c r="Y256" s="9"/>
      <c r="Z256" s="9"/>
      <c r="AA256" s="9"/>
      <c r="AB256" s="9"/>
      <c r="AC256" s="9"/>
      <c r="AD256" s="9" t="s">
        <v>20</v>
      </c>
    </row>
    <row r="257" spans="1:30" ht="188.5">
      <c r="A257" s="3" t="s">
        <v>1782</v>
      </c>
      <c r="B257" s="3" t="s">
        <v>6617</v>
      </c>
      <c r="C257" s="3" t="s">
        <v>6616</v>
      </c>
      <c r="G257" s="9" t="s">
        <v>25</v>
      </c>
      <c r="H257" s="9"/>
      <c r="I257" s="9">
        <v>6</v>
      </c>
      <c r="J257" s="9">
        <v>38</v>
      </c>
      <c r="K257" s="9"/>
      <c r="L257" s="9" t="s">
        <v>12073</v>
      </c>
      <c r="M257" s="9" t="s">
        <v>12140</v>
      </c>
      <c r="N257" s="10" t="s">
        <v>12295</v>
      </c>
      <c r="O257" s="9"/>
      <c r="P257" s="9">
        <v>2</v>
      </c>
      <c r="Q257" s="9"/>
      <c r="R257" s="9" t="s">
        <v>12795</v>
      </c>
      <c r="S257" s="9" t="s">
        <v>12795</v>
      </c>
      <c r="T257" s="9"/>
      <c r="U257" s="9"/>
      <c r="V257" s="9"/>
      <c r="W257" s="9"/>
      <c r="X257" s="9"/>
      <c r="Y257" s="9"/>
      <c r="Z257" s="9"/>
      <c r="AA257" s="9"/>
      <c r="AB257" s="9"/>
      <c r="AC257" s="9"/>
      <c r="AD257" s="9" t="s">
        <v>20</v>
      </c>
    </row>
    <row r="258" spans="1:30" ht="29">
      <c r="A258" s="3" t="s">
        <v>1797</v>
      </c>
      <c r="B258" s="3" t="s">
        <v>6640</v>
      </c>
      <c r="C258" s="3" t="s">
        <v>6641</v>
      </c>
      <c r="G258" s="9" t="s">
        <v>26</v>
      </c>
      <c r="H258" s="9"/>
      <c r="I258" s="9"/>
      <c r="J258" s="9"/>
      <c r="K258" s="9"/>
      <c r="L258" s="9"/>
      <c r="M258" s="9"/>
      <c r="N258" s="10"/>
      <c r="O258" s="9"/>
      <c r="P258" s="9"/>
      <c r="Q258" s="9"/>
      <c r="R258" s="9" t="s">
        <v>12795</v>
      </c>
      <c r="S258" s="9" t="s">
        <v>12795</v>
      </c>
      <c r="T258" s="9"/>
      <c r="U258" s="9"/>
      <c r="V258" s="9"/>
      <c r="W258" s="9"/>
      <c r="X258" s="9"/>
      <c r="Y258" s="9"/>
      <c r="Z258" s="9"/>
      <c r="AA258" s="9"/>
      <c r="AB258" s="9"/>
      <c r="AC258" s="9"/>
      <c r="AD258" s="9" t="s">
        <v>20</v>
      </c>
    </row>
    <row r="259" spans="1:30" ht="29">
      <c r="A259" s="3" t="s">
        <v>1797</v>
      </c>
      <c r="B259" s="3" t="s">
        <v>6642</v>
      </c>
      <c r="C259" s="3" t="s">
        <v>6643</v>
      </c>
      <c r="G259" s="9" t="s">
        <v>25</v>
      </c>
      <c r="H259" s="9"/>
      <c r="I259" s="9">
        <v>1</v>
      </c>
      <c r="J259" s="9">
        <v>1</v>
      </c>
      <c r="K259" s="9" t="s">
        <v>12078</v>
      </c>
      <c r="L259" s="9" t="s">
        <v>12119</v>
      </c>
      <c r="M259" s="9"/>
      <c r="N259" s="10"/>
      <c r="O259" s="9"/>
      <c r="P259" s="9">
        <v>11843</v>
      </c>
      <c r="Q259" s="9"/>
      <c r="R259" s="9" t="s">
        <v>12795</v>
      </c>
      <c r="S259" s="9" t="s">
        <v>12795</v>
      </c>
      <c r="T259" s="9"/>
      <c r="U259" s="9"/>
      <c r="V259" s="9"/>
      <c r="W259" s="9"/>
      <c r="X259" s="9"/>
      <c r="Y259" s="9"/>
      <c r="Z259" s="9"/>
      <c r="AA259" s="9"/>
      <c r="AB259" s="9"/>
      <c r="AC259" s="9"/>
      <c r="AD259" s="9" t="s">
        <v>20</v>
      </c>
    </row>
    <row r="260" spans="1:30" ht="29">
      <c r="A260" s="3" t="s">
        <v>1801</v>
      </c>
      <c r="B260" s="3" t="s">
        <v>1802</v>
      </c>
      <c r="C260" s="3" t="s">
        <v>1803</v>
      </c>
      <c r="G260" s="9" t="s">
        <v>12120</v>
      </c>
      <c r="H260" s="9"/>
      <c r="I260" s="9"/>
      <c r="J260" s="9"/>
      <c r="K260" s="9"/>
      <c r="L260" s="9"/>
      <c r="M260" s="9"/>
      <c r="N260" s="10"/>
      <c r="O260" s="9"/>
      <c r="P260" s="9"/>
      <c r="Q260" s="9"/>
      <c r="R260" s="9" t="s">
        <v>12795</v>
      </c>
      <c r="S260" s="9" t="s">
        <v>12795</v>
      </c>
      <c r="T260" s="9"/>
      <c r="U260" s="9"/>
      <c r="V260" s="9"/>
      <c r="W260" s="9"/>
      <c r="X260" s="9"/>
      <c r="Y260" s="9"/>
      <c r="Z260" s="9"/>
      <c r="AA260" s="9"/>
      <c r="AB260" s="9"/>
      <c r="AC260" s="9"/>
      <c r="AD260" s="9" t="s">
        <v>20</v>
      </c>
    </row>
    <row r="261" spans="1:30" ht="72.5">
      <c r="A261" s="3" t="s">
        <v>1820</v>
      </c>
      <c r="B261" s="3" t="s">
        <v>6674</v>
      </c>
      <c r="C261" s="3" t="s">
        <v>6673</v>
      </c>
      <c r="G261" s="9" t="s">
        <v>25</v>
      </c>
      <c r="H261" s="9"/>
      <c r="I261" s="9">
        <v>1</v>
      </c>
      <c r="J261" s="9">
        <v>2</v>
      </c>
      <c r="K261" s="9" t="s">
        <v>12078</v>
      </c>
      <c r="L261" s="9" t="s">
        <v>12119</v>
      </c>
      <c r="M261" s="9"/>
      <c r="N261" s="10"/>
      <c r="O261" s="9"/>
      <c r="P261" s="9">
        <v>11843</v>
      </c>
      <c r="Q261" s="9"/>
      <c r="R261" s="9" t="s">
        <v>12795</v>
      </c>
      <c r="S261" s="9" t="s">
        <v>12795</v>
      </c>
      <c r="T261" s="9"/>
      <c r="U261" s="9"/>
      <c r="V261" s="9"/>
      <c r="W261" s="9"/>
      <c r="X261" s="9"/>
      <c r="Y261" s="9"/>
      <c r="Z261" s="9"/>
      <c r="AA261" s="9"/>
      <c r="AB261" s="9"/>
      <c r="AC261" s="9"/>
      <c r="AD261" s="9" t="s">
        <v>13141</v>
      </c>
    </row>
    <row r="262" spans="1:30" ht="87">
      <c r="A262" s="3" t="s">
        <v>1822</v>
      </c>
      <c r="B262" s="3" t="s">
        <v>6681</v>
      </c>
      <c r="C262" s="3" t="s">
        <v>6682</v>
      </c>
      <c r="G262" s="9" t="s">
        <v>26</v>
      </c>
      <c r="H262" s="9"/>
      <c r="I262" s="9"/>
      <c r="J262" s="9"/>
      <c r="K262" s="9"/>
      <c r="L262" s="9"/>
      <c r="M262" s="9"/>
      <c r="N262" s="10"/>
      <c r="O262" s="9"/>
      <c r="P262" s="9"/>
      <c r="Q262" s="9"/>
      <c r="R262" s="9" t="s">
        <v>12795</v>
      </c>
      <c r="S262" s="9" t="s">
        <v>12795</v>
      </c>
      <c r="T262" s="9"/>
      <c r="U262" s="9"/>
      <c r="V262" s="9"/>
      <c r="W262" s="9"/>
      <c r="X262" s="9"/>
      <c r="Y262" s="9"/>
      <c r="Z262" s="9"/>
      <c r="AA262" s="9"/>
      <c r="AB262" s="9"/>
      <c r="AC262" s="9"/>
      <c r="AD262" s="9" t="s">
        <v>20</v>
      </c>
    </row>
    <row r="263" spans="1:30" ht="43.5">
      <c r="A263" s="3" t="s">
        <v>1828</v>
      </c>
      <c r="B263" s="3" t="s">
        <v>6687</v>
      </c>
      <c r="C263" s="3" t="s">
        <v>6688</v>
      </c>
      <c r="G263" s="9" t="s">
        <v>12120</v>
      </c>
      <c r="H263" s="9"/>
      <c r="I263" s="9"/>
      <c r="J263" s="9"/>
      <c r="K263" s="9"/>
      <c r="L263" s="9"/>
      <c r="M263" s="9"/>
      <c r="N263" s="10"/>
      <c r="O263" s="9"/>
      <c r="P263" s="9"/>
      <c r="Q263" s="9"/>
      <c r="R263" s="9" t="s">
        <v>12795</v>
      </c>
      <c r="S263" s="9" t="s">
        <v>12795</v>
      </c>
      <c r="T263" s="9"/>
      <c r="U263" s="9"/>
      <c r="V263" s="9"/>
      <c r="W263" s="9"/>
      <c r="X263" s="9"/>
      <c r="Y263" s="9"/>
      <c r="Z263" s="9"/>
      <c r="AA263" s="9"/>
      <c r="AB263" s="9"/>
      <c r="AC263" s="9"/>
      <c r="AD263" s="9" t="s">
        <v>20</v>
      </c>
    </row>
    <row r="264" spans="1:30" ht="43.5">
      <c r="A264" s="3" t="s">
        <v>1830</v>
      </c>
      <c r="B264" s="3" t="s">
        <v>6695</v>
      </c>
      <c r="C264" s="3" t="s">
        <v>6696</v>
      </c>
      <c r="G264" s="9" t="s">
        <v>12120</v>
      </c>
      <c r="H264" s="9"/>
      <c r="I264" s="9"/>
      <c r="J264" s="9"/>
      <c r="K264" s="9"/>
      <c r="L264" s="9"/>
      <c r="M264" s="9"/>
      <c r="N264" s="10"/>
      <c r="O264" s="9"/>
      <c r="P264" s="9"/>
      <c r="Q264" s="9"/>
      <c r="R264" s="9" t="s">
        <v>12795</v>
      </c>
      <c r="S264" s="9" t="s">
        <v>12795</v>
      </c>
      <c r="T264" s="9"/>
      <c r="U264" s="9"/>
      <c r="V264" s="9"/>
      <c r="W264" s="9"/>
      <c r="X264" s="9"/>
      <c r="Y264" s="9"/>
      <c r="Z264" s="9"/>
      <c r="AA264" s="9"/>
      <c r="AB264" s="9"/>
      <c r="AC264" s="9"/>
      <c r="AD264" s="9" t="s">
        <v>20</v>
      </c>
    </row>
    <row r="265" spans="1:30" ht="29">
      <c r="A265" s="3" t="s">
        <v>1831</v>
      </c>
      <c r="B265" s="3" t="s">
        <v>6697</v>
      </c>
      <c r="C265" s="11" t="s">
        <v>6698</v>
      </c>
      <c r="G265" s="9" t="s">
        <v>25</v>
      </c>
      <c r="H265" s="9"/>
      <c r="I265" s="9">
        <v>1</v>
      </c>
      <c r="J265" s="9">
        <v>1</v>
      </c>
      <c r="K265" s="9" t="s">
        <v>12078</v>
      </c>
      <c r="L265" s="9" t="s">
        <v>12119</v>
      </c>
      <c r="M265" s="9"/>
      <c r="N265" s="10"/>
      <c r="O265" s="9"/>
      <c r="P265" s="9">
        <v>11843</v>
      </c>
      <c r="Q265" s="9"/>
      <c r="R265" s="9" t="s">
        <v>12795</v>
      </c>
      <c r="S265" s="9" t="s">
        <v>12795</v>
      </c>
      <c r="T265" s="9"/>
      <c r="U265" s="9"/>
      <c r="V265" s="9"/>
      <c r="W265" s="9"/>
      <c r="X265" s="9"/>
      <c r="Y265" s="9"/>
      <c r="Z265" s="9"/>
      <c r="AA265" s="9"/>
      <c r="AB265" s="9"/>
      <c r="AC265" s="9"/>
      <c r="AD265" s="9" t="s">
        <v>20</v>
      </c>
    </row>
    <row r="266" spans="1:30" ht="130.5">
      <c r="A266" s="3" t="s">
        <v>1841</v>
      </c>
      <c r="B266" s="3" t="s">
        <v>6713</v>
      </c>
      <c r="C266" s="3" t="s">
        <v>6712</v>
      </c>
      <c r="G266" s="9" t="s">
        <v>25</v>
      </c>
      <c r="H266" s="9"/>
      <c r="I266" s="9">
        <v>1</v>
      </c>
      <c r="J266" s="9">
        <v>2</v>
      </c>
      <c r="K266" s="9" t="s">
        <v>12087</v>
      </c>
      <c r="L266" s="9" t="s">
        <v>12119</v>
      </c>
      <c r="M266" s="9"/>
      <c r="N266" s="10"/>
      <c r="O266" s="9"/>
      <c r="P266" s="9">
        <v>227</v>
      </c>
      <c r="Q266" s="9"/>
      <c r="R266" s="9" t="s">
        <v>12795</v>
      </c>
      <c r="S266" s="9" t="s">
        <v>12795</v>
      </c>
      <c r="T266" s="9"/>
      <c r="U266" s="9"/>
      <c r="V266" s="9"/>
      <c r="W266" s="9"/>
      <c r="X266" s="9"/>
      <c r="Y266" s="9"/>
      <c r="Z266" s="9"/>
      <c r="AA266" s="9"/>
      <c r="AB266" s="9"/>
      <c r="AC266" s="9"/>
      <c r="AD266" s="9" t="s">
        <v>13141</v>
      </c>
    </row>
    <row r="267" spans="1:30" ht="130.5">
      <c r="A267" s="3" t="s">
        <v>1841</v>
      </c>
      <c r="B267" s="3" t="s">
        <v>6715</v>
      </c>
      <c r="C267" s="3" t="s">
        <v>6716</v>
      </c>
      <c r="G267" s="9" t="s">
        <v>26</v>
      </c>
      <c r="H267" s="9"/>
      <c r="I267" s="9"/>
      <c r="J267" s="9"/>
      <c r="K267" s="9"/>
      <c r="L267" s="9"/>
      <c r="M267" s="9"/>
      <c r="N267" s="10"/>
      <c r="O267" s="9"/>
      <c r="P267" s="9"/>
      <c r="Q267" s="9"/>
      <c r="R267" s="9" t="s">
        <v>12795</v>
      </c>
      <c r="S267" s="9" t="s">
        <v>12795</v>
      </c>
      <c r="T267" s="9"/>
      <c r="U267" s="9"/>
      <c r="V267" s="9"/>
      <c r="W267" s="9"/>
      <c r="X267" s="9"/>
      <c r="Y267" s="9"/>
      <c r="Z267" s="9"/>
      <c r="AA267" s="9"/>
      <c r="AB267" s="9"/>
      <c r="AC267" s="9"/>
      <c r="AD267" s="9" t="s">
        <v>20</v>
      </c>
    </row>
    <row r="268" spans="1:30" ht="130.5">
      <c r="A268" s="3" t="s">
        <v>1841</v>
      </c>
      <c r="B268" s="3" t="s">
        <v>6711</v>
      </c>
      <c r="C268" s="3" t="s">
        <v>6719</v>
      </c>
      <c r="G268" s="9" t="s">
        <v>24</v>
      </c>
      <c r="H268" s="9"/>
      <c r="I268" s="9">
        <v>1</v>
      </c>
      <c r="J268" s="9">
        <v>8</v>
      </c>
      <c r="K268" s="9" t="s">
        <v>12092</v>
      </c>
      <c r="L268" s="9" t="s">
        <v>12073</v>
      </c>
      <c r="M268" s="9" t="s">
        <v>12142</v>
      </c>
      <c r="N268" s="10" t="s">
        <v>12160</v>
      </c>
      <c r="O268" s="9"/>
      <c r="P268" s="9">
        <v>28</v>
      </c>
      <c r="Q268" s="9"/>
      <c r="R268" s="9" t="s">
        <v>12795</v>
      </c>
      <c r="S268" s="9" t="s">
        <v>12795</v>
      </c>
      <c r="T268" s="9"/>
      <c r="U268" s="9"/>
      <c r="V268" s="9"/>
      <c r="W268" s="9"/>
      <c r="X268" s="9"/>
      <c r="Y268" s="9"/>
      <c r="Z268" s="9"/>
      <c r="AA268" s="9"/>
      <c r="AB268" s="9"/>
      <c r="AC268" s="9"/>
      <c r="AD268" s="9" t="s">
        <v>20</v>
      </c>
    </row>
    <row r="269" spans="1:30" ht="87">
      <c r="A269" s="3" t="s">
        <v>1843</v>
      </c>
      <c r="B269" s="3" t="s">
        <v>6729</v>
      </c>
      <c r="C269" s="3" t="s">
        <v>6728</v>
      </c>
      <c r="G269" s="9" t="s">
        <v>26</v>
      </c>
      <c r="H269" s="9"/>
      <c r="I269" s="9"/>
      <c r="J269" s="9"/>
      <c r="K269" s="9"/>
      <c r="L269" s="9"/>
      <c r="M269" s="9"/>
      <c r="N269" s="10"/>
      <c r="O269" s="9"/>
      <c r="P269" s="9"/>
      <c r="Q269" s="9"/>
      <c r="R269" s="9" t="s">
        <v>12795</v>
      </c>
      <c r="S269" s="9" t="s">
        <v>12795</v>
      </c>
      <c r="T269" s="9"/>
      <c r="U269" s="9"/>
      <c r="V269" s="9"/>
      <c r="W269" s="9"/>
      <c r="X269" s="9"/>
      <c r="Y269" s="9"/>
      <c r="Z269" s="9"/>
      <c r="AA269" s="9"/>
      <c r="AB269" s="9"/>
      <c r="AC269" s="9"/>
      <c r="AD269" s="9" t="s">
        <v>20</v>
      </c>
    </row>
    <row r="270" spans="1:30" ht="101.5">
      <c r="A270" s="3" t="s">
        <v>1844</v>
      </c>
      <c r="B270" s="3" t="s">
        <v>6732</v>
      </c>
      <c r="C270" s="3" t="s">
        <v>6734</v>
      </c>
      <c r="G270" s="9" t="s">
        <v>24</v>
      </c>
      <c r="H270" s="9"/>
      <c r="I270" s="9">
        <v>2</v>
      </c>
      <c r="J270" s="9">
        <v>6</v>
      </c>
      <c r="K270" s="9"/>
      <c r="L270" s="9" t="s">
        <v>12079</v>
      </c>
      <c r="M270" s="9"/>
      <c r="N270" s="10"/>
      <c r="O270" s="9"/>
      <c r="P270" s="9">
        <v>887</v>
      </c>
      <c r="Q270" s="9"/>
      <c r="R270" s="9" t="s">
        <v>12795</v>
      </c>
      <c r="S270" s="9" t="s">
        <v>12795</v>
      </c>
      <c r="T270" s="9"/>
      <c r="U270" s="9"/>
      <c r="V270" s="9"/>
      <c r="W270" s="9"/>
      <c r="X270" s="9"/>
      <c r="Y270" s="9"/>
      <c r="Z270" s="9"/>
      <c r="AA270" s="9"/>
      <c r="AB270" s="9"/>
      <c r="AC270" s="9"/>
      <c r="AD270" s="9" t="s">
        <v>13141</v>
      </c>
    </row>
    <row r="271" spans="1:30" ht="43.5">
      <c r="A271" s="3" t="s">
        <v>1848</v>
      </c>
      <c r="B271" s="3" t="s">
        <v>6740</v>
      </c>
      <c r="C271" s="3" t="s">
        <v>6741</v>
      </c>
      <c r="G271" s="9" t="s">
        <v>25</v>
      </c>
      <c r="H271" s="9"/>
      <c r="I271" s="9">
        <v>1</v>
      </c>
      <c r="J271" s="9">
        <v>7</v>
      </c>
      <c r="K271" s="9" t="s">
        <v>12092</v>
      </c>
      <c r="L271" s="9" t="s">
        <v>12079</v>
      </c>
      <c r="M271" s="9"/>
      <c r="N271" s="10"/>
      <c r="O271" s="9"/>
      <c r="P271" s="9">
        <v>57</v>
      </c>
      <c r="Q271" s="9"/>
      <c r="R271" s="9" t="s">
        <v>12795</v>
      </c>
      <c r="S271" s="9" t="s">
        <v>12795</v>
      </c>
      <c r="T271" s="9"/>
      <c r="U271" s="9"/>
      <c r="V271" s="9"/>
      <c r="W271" s="9"/>
      <c r="X271" s="9"/>
      <c r="Y271" s="9"/>
      <c r="Z271" s="9"/>
      <c r="AA271" s="9"/>
      <c r="AB271" s="9"/>
      <c r="AC271" s="9"/>
      <c r="AD271" s="9" t="s">
        <v>20</v>
      </c>
    </row>
    <row r="272" spans="1:30" ht="43.5">
      <c r="A272" s="3" t="s">
        <v>1851</v>
      </c>
      <c r="B272" s="3" t="s">
        <v>6744</v>
      </c>
      <c r="C272" s="3" t="s">
        <v>6745</v>
      </c>
      <c r="G272" s="9" t="s">
        <v>25</v>
      </c>
      <c r="H272" s="9"/>
      <c r="I272" s="9">
        <v>1</v>
      </c>
      <c r="J272" s="9">
        <v>9</v>
      </c>
      <c r="K272" s="9" t="s">
        <v>12092</v>
      </c>
      <c r="L272" s="9" t="s">
        <v>12079</v>
      </c>
      <c r="M272" s="9"/>
      <c r="N272" s="10"/>
      <c r="O272" s="9"/>
      <c r="P272" s="9">
        <v>50</v>
      </c>
      <c r="Q272" s="9"/>
      <c r="R272" s="9" t="s">
        <v>12795</v>
      </c>
      <c r="S272" s="9" t="s">
        <v>12795</v>
      </c>
      <c r="T272" s="9"/>
      <c r="U272" s="9"/>
      <c r="V272" s="9"/>
      <c r="W272" s="9"/>
      <c r="X272" s="9"/>
      <c r="Y272" s="9"/>
      <c r="Z272" s="9"/>
      <c r="AA272" s="9"/>
      <c r="AB272" s="9"/>
      <c r="AC272" s="9"/>
      <c r="AD272" s="9" t="s">
        <v>20</v>
      </c>
    </row>
    <row r="273" spans="1:30" ht="87">
      <c r="A273" s="3" t="s">
        <v>1855</v>
      </c>
      <c r="B273" s="3" t="s">
        <v>6748</v>
      </c>
      <c r="C273" s="3" t="s">
        <v>6749</v>
      </c>
      <c r="G273" s="9" t="s">
        <v>26</v>
      </c>
      <c r="H273" s="9"/>
      <c r="I273" s="9"/>
      <c r="J273" s="9"/>
      <c r="K273" s="9"/>
      <c r="L273" s="9"/>
      <c r="M273" s="9"/>
      <c r="N273" s="10"/>
      <c r="O273" s="9"/>
      <c r="P273" s="9"/>
      <c r="Q273" s="9"/>
      <c r="R273" s="9" t="s">
        <v>12795</v>
      </c>
      <c r="S273" s="9" t="s">
        <v>12795</v>
      </c>
      <c r="T273" s="9"/>
      <c r="U273" s="9"/>
      <c r="V273" s="9"/>
      <c r="W273" s="9"/>
      <c r="X273" s="9"/>
      <c r="Y273" s="9"/>
      <c r="Z273" s="9"/>
      <c r="AA273" s="9"/>
      <c r="AB273" s="9"/>
      <c r="AC273" s="9"/>
      <c r="AD273" s="9" t="s">
        <v>20</v>
      </c>
    </row>
    <row r="274" spans="1:30" ht="87">
      <c r="A274" s="3" t="s">
        <v>1855</v>
      </c>
      <c r="B274" s="3" t="s">
        <v>6750</v>
      </c>
      <c r="C274" s="3" t="s">
        <v>6751</v>
      </c>
      <c r="G274" s="9" t="s">
        <v>12120</v>
      </c>
      <c r="H274" s="9"/>
      <c r="I274" s="9"/>
      <c r="J274" s="9"/>
      <c r="K274" s="9"/>
      <c r="L274" s="9"/>
      <c r="M274" s="9"/>
      <c r="N274" s="10"/>
      <c r="O274" s="9"/>
      <c r="P274" s="9"/>
      <c r="Q274" s="9"/>
      <c r="R274" s="9" t="s">
        <v>12795</v>
      </c>
      <c r="S274" s="9" t="s">
        <v>12795</v>
      </c>
      <c r="T274" s="9"/>
      <c r="U274" s="9"/>
      <c r="V274" s="9"/>
      <c r="W274" s="9"/>
      <c r="X274" s="9"/>
      <c r="Y274" s="9"/>
      <c r="Z274" s="9"/>
      <c r="AA274" s="9"/>
      <c r="AB274" s="9"/>
      <c r="AC274" s="9"/>
      <c r="AD274" s="9" t="s">
        <v>20</v>
      </c>
    </row>
    <row r="275" spans="1:30" ht="29">
      <c r="A275" s="3" t="s">
        <v>1857</v>
      </c>
      <c r="B275" s="3" t="s">
        <v>6759</v>
      </c>
      <c r="C275" s="3" t="s">
        <v>6760</v>
      </c>
      <c r="G275" s="9" t="s">
        <v>25</v>
      </c>
      <c r="H275" s="9"/>
      <c r="I275" s="9">
        <v>1</v>
      </c>
      <c r="J275" s="9">
        <v>3</v>
      </c>
      <c r="K275" s="9" t="s">
        <v>12087</v>
      </c>
      <c r="L275" s="9" t="s">
        <v>12079</v>
      </c>
      <c r="M275" s="9"/>
      <c r="N275" s="10"/>
      <c r="O275" s="9"/>
      <c r="P275" s="9">
        <v>5676</v>
      </c>
      <c r="Q275" s="9"/>
      <c r="R275" s="9" t="s">
        <v>12795</v>
      </c>
      <c r="S275" s="9" t="s">
        <v>12795</v>
      </c>
      <c r="T275" s="9"/>
      <c r="U275" s="9"/>
      <c r="V275" s="9"/>
      <c r="W275" s="9"/>
      <c r="X275" s="9"/>
      <c r="Y275" s="9"/>
      <c r="Z275" s="9"/>
      <c r="AA275" s="9"/>
      <c r="AB275" s="9"/>
      <c r="AC275" s="9"/>
      <c r="AD275" s="9" t="s">
        <v>13141</v>
      </c>
    </row>
    <row r="276" spans="1:30" ht="72.5">
      <c r="A276" s="3" t="s">
        <v>1885</v>
      </c>
      <c r="B276" s="3" t="s">
        <v>6802</v>
      </c>
      <c r="C276" s="3" t="s">
        <v>6803</v>
      </c>
      <c r="G276" s="9" t="s">
        <v>12120</v>
      </c>
      <c r="H276" s="9"/>
      <c r="I276" s="9"/>
      <c r="J276" s="9"/>
      <c r="K276" s="9"/>
      <c r="L276" s="9"/>
      <c r="M276" s="9"/>
      <c r="N276" s="10"/>
      <c r="O276" s="9"/>
      <c r="P276" s="9"/>
      <c r="Q276" s="9"/>
      <c r="R276" s="9" t="s">
        <v>12795</v>
      </c>
      <c r="S276" s="9" t="s">
        <v>12795</v>
      </c>
      <c r="T276" s="9"/>
      <c r="U276" s="9"/>
      <c r="V276" s="9"/>
      <c r="W276" s="9"/>
      <c r="X276" s="9"/>
      <c r="Y276" s="9"/>
      <c r="Z276" s="9"/>
      <c r="AA276" s="9"/>
      <c r="AB276" s="9"/>
      <c r="AC276" s="9"/>
      <c r="AD276" s="9" t="s">
        <v>20</v>
      </c>
    </row>
    <row r="277" spans="1:30" ht="43.5">
      <c r="A277" s="3" t="s">
        <v>1888</v>
      </c>
      <c r="B277" s="3" t="s">
        <v>6808</v>
      </c>
      <c r="C277" s="3" t="s">
        <v>6809</v>
      </c>
      <c r="G277" s="9" t="s">
        <v>24</v>
      </c>
      <c r="H277" s="9"/>
      <c r="I277" s="9">
        <v>1</v>
      </c>
      <c r="J277" s="9">
        <v>3</v>
      </c>
      <c r="K277" s="9" t="s">
        <v>12087</v>
      </c>
      <c r="L277" s="9" t="s">
        <v>12079</v>
      </c>
      <c r="M277" s="9"/>
      <c r="N277" s="10"/>
      <c r="O277" s="9"/>
      <c r="P277" s="9">
        <v>5676</v>
      </c>
      <c r="Q277" s="9"/>
      <c r="R277" s="9" t="s">
        <v>12795</v>
      </c>
      <c r="S277" s="9" t="s">
        <v>12795</v>
      </c>
      <c r="T277" s="9"/>
      <c r="U277" s="9"/>
      <c r="V277" s="9"/>
      <c r="W277" s="9"/>
      <c r="X277" s="9"/>
      <c r="Y277" s="9"/>
      <c r="Z277" s="9"/>
      <c r="AA277" s="9"/>
      <c r="AB277" s="9"/>
      <c r="AC277" s="9"/>
      <c r="AD277" s="9" t="s">
        <v>20</v>
      </c>
    </row>
    <row r="278" spans="1:30" ht="87">
      <c r="A278" s="3" t="s">
        <v>1895</v>
      </c>
      <c r="B278" s="3" t="s">
        <v>6816</v>
      </c>
      <c r="C278" s="3" t="s">
        <v>6818</v>
      </c>
      <c r="G278" s="9" t="s">
        <v>24</v>
      </c>
      <c r="H278" s="9"/>
      <c r="I278" s="9">
        <v>1</v>
      </c>
      <c r="J278" s="9">
        <v>3</v>
      </c>
      <c r="K278" s="9" t="s">
        <v>12078</v>
      </c>
      <c r="L278" s="9" t="s">
        <v>12079</v>
      </c>
      <c r="M278" s="9"/>
      <c r="N278" s="10"/>
      <c r="O278" s="9"/>
      <c r="P278" s="9">
        <v>11843</v>
      </c>
      <c r="Q278" s="9"/>
      <c r="R278" s="9" t="s">
        <v>12795</v>
      </c>
      <c r="S278" s="9" t="s">
        <v>12795</v>
      </c>
      <c r="T278" s="9"/>
      <c r="U278" s="9"/>
      <c r="V278" s="9"/>
      <c r="W278" s="9"/>
      <c r="X278" s="9"/>
      <c r="Y278" s="9"/>
      <c r="Z278" s="9"/>
      <c r="AA278" s="9"/>
      <c r="AB278" s="9"/>
      <c r="AC278" s="9"/>
      <c r="AD278" s="9" t="s">
        <v>20</v>
      </c>
    </row>
    <row r="279" spans="1:30" ht="29">
      <c r="A279" s="3" t="s">
        <v>1901</v>
      </c>
      <c r="B279" s="3" t="s">
        <v>6828</v>
      </c>
      <c r="C279" s="3" t="s">
        <v>6829</v>
      </c>
      <c r="G279" s="9" t="s">
        <v>12120</v>
      </c>
      <c r="H279" s="9"/>
      <c r="I279" s="9"/>
      <c r="J279" s="9"/>
      <c r="K279" s="9"/>
      <c r="L279" s="9"/>
      <c r="M279" s="9"/>
      <c r="N279" s="10"/>
      <c r="O279" s="9"/>
      <c r="P279" s="9"/>
      <c r="Q279" s="9"/>
      <c r="R279" s="9" t="s">
        <v>12795</v>
      </c>
      <c r="S279" s="9" t="s">
        <v>12795</v>
      </c>
      <c r="T279" s="9"/>
      <c r="U279" s="9"/>
      <c r="V279" s="9"/>
      <c r="W279" s="9"/>
      <c r="X279" s="9"/>
      <c r="Y279" s="9"/>
      <c r="Z279" s="9"/>
      <c r="AA279" s="9"/>
      <c r="AB279" s="9"/>
      <c r="AC279" s="9"/>
      <c r="AD279" s="9" t="s">
        <v>20</v>
      </c>
    </row>
    <row r="280" spans="1:30" ht="58">
      <c r="A280" s="3" t="s">
        <v>1906</v>
      </c>
      <c r="B280" s="3" t="s">
        <v>6839</v>
      </c>
      <c r="C280" s="3" t="s">
        <v>6838</v>
      </c>
      <c r="G280" s="9" t="s">
        <v>26</v>
      </c>
      <c r="H280" s="9"/>
      <c r="I280" s="9"/>
      <c r="J280" s="9"/>
      <c r="K280" s="9"/>
      <c r="L280" s="9"/>
      <c r="M280" s="9"/>
      <c r="N280" s="10"/>
      <c r="O280" s="9"/>
      <c r="P280" s="9"/>
      <c r="Q280" s="9"/>
      <c r="R280" s="9" t="s">
        <v>12795</v>
      </c>
      <c r="S280" s="9" t="s">
        <v>12795</v>
      </c>
      <c r="T280" s="9"/>
      <c r="U280" s="9"/>
      <c r="V280" s="9"/>
      <c r="W280" s="9"/>
      <c r="X280" s="9"/>
      <c r="Y280" s="9"/>
      <c r="Z280" s="9"/>
      <c r="AA280" s="9"/>
      <c r="AB280" s="9"/>
      <c r="AC280" s="9"/>
      <c r="AD280" s="9" t="s">
        <v>20</v>
      </c>
    </row>
    <row r="281" spans="1:30" ht="58">
      <c r="A281" s="3" t="s">
        <v>1908</v>
      </c>
      <c r="B281" s="3" t="s">
        <v>6840</v>
      </c>
      <c r="C281" s="3" t="s">
        <v>6841</v>
      </c>
      <c r="G281" s="9" t="s">
        <v>25</v>
      </c>
      <c r="H281" s="9"/>
      <c r="I281" s="9">
        <v>2</v>
      </c>
      <c r="J281" s="9">
        <v>3</v>
      </c>
      <c r="K281" s="9"/>
      <c r="L281" s="9" t="s">
        <v>12079</v>
      </c>
      <c r="M281" s="9"/>
      <c r="N281" s="10"/>
      <c r="O281" s="9"/>
      <c r="P281" s="9">
        <v>1966</v>
      </c>
      <c r="Q281" s="9"/>
      <c r="R281" s="9" t="s">
        <v>12795</v>
      </c>
      <c r="S281" s="9" t="s">
        <v>12795</v>
      </c>
      <c r="T281" s="9"/>
      <c r="U281" s="9"/>
      <c r="V281" s="9"/>
      <c r="W281" s="9"/>
      <c r="X281" s="9"/>
      <c r="Y281" s="9"/>
      <c r="Z281" s="9"/>
      <c r="AA281" s="9"/>
      <c r="AB281" s="9"/>
      <c r="AC281" s="9"/>
      <c r="AD281" s="9" t="s">
        <v>20</v>
      </c>
    </row>
    <row r="282" spans="1:30" ht="43.5">
      <c r="A282" s="3" t="s">
        <v>1908</v>
      </c>
      <c r="B282" s="3" t="s">
        <v>6842</v>
      </c>
      <c r="C282" s="3" t="s">
        <v>6843</v>
      </c>
      <c r="G282" s="9" t="s">
        <v>25</v>
      </c>
      <c r="H282" s="9"/>
      <c r="I282" s="9">
        <v>1</v>
      </c>
      <c r="J282" s="9">
        <v>1</v>
      </c>
      <c r="K282" s="9" t="s">
        <v>12078</v>
      </c>
      <c r="L282" s="9" t="s">
        <v>12119</v>
      </c>
      <c r="M282" s="9"/>
      <c r="N282" s="10"/>
      <c r="O282" s="9"/>
      <c r="P282" s="9">
        <v>11843</v>
      </c>
      <c r="Q282" s="9"/>
      <c r="R282" s="9" t="s">
        <v>12795</v>
      </c>
      <c r="S282" s="9" t="s">
        <v>12795</v>
      </c>
      <c r="T282" s="9"/>
      <c r="U282" s="9"/>
      <c r="V282" s="9"/>
      <c r="W282" s="9"/>
      <c r="X282" s="9"/>
      <c r="Y282" s="9"/>
      <c r="Z282" s="9"/>
      <c r="AA282" s="9"/>
      <c r="AB282" s="9"/>
      <c r="AC282" s="9"/>
      <c r="AD282" s="9" t="s">
        <v>20</v>
      </c>
    </row>
    <row r="283" spans="1:30" ht="58">
      <c r="A283" s="3" t="s">
        <v>1912</v>
      </c>
      <c r="B283" s="3" t="s">
        <v>6850</v>
      </c>
      <c r="C283" s="3" t="s">
        <v>6849</v>
      </c>
      <c r="G283" s="9" t="s">
        <v>12118</v>
      </c>
      <c r="H283" s="9"/>
      <c r="I283" s="9"/>
      <c r="J283" s="9"/>
      <c r="K283" s="9"/>
      <c r="L283" s="9"/>
      <c r="M283" s="9"/>
      <c r="N283" s="10"/>
      <c r="O283" s="9"/>
      <c r="P283" s="9"/>
      <c r="Q283" s="9">
        <v>16</v>
      </c>
      <c r="R283" s="9">
        <v>6</v>
      </c>
      <c r="S283" s="9">
        <v>22</v>
      </c>
      <c r="T283" s="9"/>
      <c r="U283" s="9"/>
      <c r="V283" s="9"/>
      <c r="W283" s="9"/>
      <c r="X283" s="9"/>
      <c r="Y283" s="9"/>
      <c r="Z283" s="9"/>
      <c r="AA283" s="9"/>
      <c r="AB283" s="9"/>
      <c r="AC283" s="9"/>
      <c r="AD283" s="9" t="s">
        <v>20</v>
      </c>
    </row>
    <row r="284" spans="1:30" ht="43.5">
      <c r="A284" s="3" t="s">
        <v>1915</v>
      </c>
      <c r="B284" s="3" t="s">
        <v>6854</v>
      </c>
      <c r="C284" s="3" t="s">
        <v>6855</v>
      </c>
      <c r="G284" s="9" t="s">
        <v>12118</v>
      </c>
      <c r="H284" s="9"/>
      <c r="I284" s="9"/>
      <c r="J284" s="9"/>
      <c r="K284" s="9"/>
      <c r="L284" s="9"/>
      <c r="M284" s="9"/>
      <c r="N284" s="10"/>
      <c r="O284" s="9"/>
      <c r="P284" s="9"/>
      <c r="Q284" s="9">
        <v>3</v>
      </c>
      <c r="R284" s="9">
        <v>1</v>
      </c>
      <c r="S284" s="9">
        <v>4</v>
      </c>
      <c r="T284" s="9"/>
      <c r="U284" s="9"/>
      <c r="V284" s="9"/>
      <c r="W284" s="9"/>
      <c r="X284" s="9"/>
      <c r="Y284" s="9"/>
      <c r="Z284" s="9"/>
      <c r="AA284" s="9"/>
      <c r="AB284" s="9"/>
      <c r="AC284" s="9"/>
      <c r="AD284" s="9" t="s">
        <v>20</v>
      </c>
    </row>
    <row r="285" spans="1:30" ht="43.5">
      <c r="A285" s="3" t="s">
        <v>1915</v>
      </c>
      <c r="B285" s="3" t="s">
        <v>6860</v>
      </c>
      <c r="C285" s="3" t="s">
        <v>6859</v>
      </c>
      <c r="G285" s="9" t="s">
        <v>25</v>
      </c>
      <c r="H285" s="9"/>
      <c r="I285" s="9">
        <v>1</v>
      </c>
      <c r="J285" s="9">
        <v>2</v>
      </c>
      <c r="K285" s="9" t="s">
        <v>12094</v>
      </c>
      <c r="L285" s="9" t="s">
        <v>12119</v>
      </c>
      <c r="M285" s="9"/>
      <c r="N285" s="10"/>
      <c r="O285" s="9"/>
      <c r="P285" s="9">
        <v>1741</v>
      </c>
      <c r="Q285" s="9"/>
      <c r="R285" s="9" t="s">
        <v>12795</v>
      </c>
      <c r="S285" s="9" t="s">
        <v>12795</v>
      </c>
      <c r="T285" s="9"/>
      <c r="U285" s="9"/>
      <c r="V285" s="9"/>
      <c r="W285" s="9"/>
      <c r="X285" s="9"/>
      <c r="Y285" s="9"/>
      <c r="Z285" s="9"/>
      <c r="AA285" s="9"/>
      <c r="AB285" s="9"/>
      <c r="AC285" s="9"/>
      <c r="AD285" s="9" t="s">
        <v>20</v>
      </c>
    </row>
    <row r="286" spans="1:30" ht="58">
      <c r="A286" s="3" t="s">
        <v>1925</v>
      </c>
      <c r="B286" s="3" t="s">
        <v>6873</v>
      </c>
      <c r="C286" s="3" t="s">
        <v>6874</v>
      </c>
      <c r="G286" s="9" t="s">
        <v>12118</v>
      </c>
      <c r="H286" s="9"/>
      <c r="I286" s="9"/>
      <c r="J286" s="9"/>
      <c r="K286" s="9"/>
      <c r="L286" s="9"/>
      <c r="M286" s="9"/>
      <c r="N286" s="10"/>
      <c r="O286" s="9"/>
      <c r="P286" s="9"/>
      <c r="Q286" s="9">
        <v>-134</v>
      </c>
      <c r="R286" s="9">
        <v>444</v>
      </c>
      <c r="S286" s="9">
        <v>310</v>
      </c>
      <c r="T286" s="9"/>
      <c r="U286" s="9"/>
      <c r="V286" s="9"/>
      <c r="W286" s="9"/>
      <c r="X286" s="9"/>
      <c r="Y286" s="9"/>
      <c r="Z286" s="9"/>
      <c r="AA286" s="9"/>
      <c r="AB286" s="9"/>
      <c r="AC286" s="9"/>
      <c r="AD286" s="9" t="s">
        <v>20</v>
      </c>
    </row>
    <row r="287" spans="1:30" ht="217.5">
      <c r="A287" s="3" t="s">
        <v>1927</v>
      </c>
      <c r="B287" s="3" t="s">
        <v>12311</v>
      </c>
      <c r="C287" s="3" t="s">
        <v>12312</v>
      </c>
      <c r="G287" s="9" t="s">
        <v>25</v>
      </c>
      <c r="H287" s="9"/>
      <c r="I287" s="9">
        <v>9</v>
      </c>
      <c r="J287" s="9">
        <v>42</v>
      </c>
      <c r="K287" s="9"/>
      <c r="L287" s="9" t="s">
        <v>12073</v>
      </c>
      <c r="M287" s="9" t="s">
        <v>12140</v>
      </c>
      <c r="N287" s="10" t="s">
        <v>12278</v>
      </c>
      <c r="O287" s="9"/>
      <c r="P287" s="9">
        <v>17</v>
      </c>
      <c r="Q287" s="9"/>
      <c r="R287" s="9" t="s">
        <v>12795</v>
      </c>
      <c r="S287" s="9" t="s">
        <v>12795</v>
      </c>
      <c r="T287" s="9"/>
      <c r="U287" s="9"/>
      <c r="V287" s="9"/>
      <c r="W287" s="9"/>
      <c r="X287" s="9"/>
      <c r="Y287" s="9"/>
      <c r="Z287" s="9"/>
      <c r="AA287" s="9"/>
      <c r="AB287" s="9"/>
      <c r="AC287" s="9"/>
      <c r="AD287" s="9" t="s">
        <v>20</v>
      </c>
    </row>
    <row r="288" spans="1:30" ht="72.5">
      <c r="A288" s="3" t="s">
        <v>1951</v>
      </c>
      <c r="B288" s="3" t="s">
        <v>6911</v>
      </c>
      <c r="C288" s="3" t="s">
        <v>6910</v>
      </c>
      <c r="G288" s="9" t="s">
        <v>26</v>
      </c>
      <c r="H288" s="9"/>
      <c r="I288" s="9"/>
      <c r="J288" s="9"/>
      <c r="K288" s="9"/>
      <c r="L288" s="9"/>
      <c r="M288" s="9"/>
      <c r="N288" s="10"/>
      <c r="O288" s="9"/>
      <c r="P288" s="9"/>
      <c r="Q288" s="9"/>
      <c r="R288" s="9" t="s">
        <v>12795</v>
      </c>
      <c r="S288" s="9" t="s">
        <v>12795</v>
      </c>
      <c r="T288" s="9"/>
      <c r="U288" s="9"/>
      <c r="V288" s="9"/>
      <c r="W288" s="9"/>
      <c r="X288" s="9"/>
      <c r="Y288" s="9"/>
      <c r="Z288" s="9"/>
      <c r="AA288" s="9"/>
      <c r="AB288" s="9"/>
      <c r="AC288" s="9"/>
      <c r="AD288" s="9" t="s">
        <v>20</v>
      </c>
    </row>
    <row r="289" spans="1:30" ht="29">
      <c r="A289" s="3" t="s">
        <v>1951</v>
      </c>
      <c r="B289" s="3" t="s">
        <v>1952</v>
      </c>
      <c r="C289" s="3" t="s">
        <v>1953</v>
      </c>
      <c r="G289" s="9" t="s">
        <v>12120</v>
      </c>
      <c r="H289" s="9"/>
      <c r="I289" s="9"/>
      <c r="J289" s="9"/>
      <c r="K289" s="9"/>
      <c r="L289" s="9"/>
      <c r="M289" s="9"/>
      <c r="N289" s="10"/>
      <c r="O289" s="9"/>
      <c r="P289" s="9"/>
      <c r="Q289" s="9"/>
      <c r="R289" s="9" t="s">
        <v>12795</v>
      </c>
      <c r="S289" s="9" t="s">
        <v>12795</v>
      </c>
      <c r="T289" s="9"/>
      <c r="U289" s="9"/>
      <c r="V289" s="9"/>
      <c r="W289" s="9"/>
      <c r="X289" s="9"/>
      <c r="Y289" s="9"/>
      <c r="Z289" s="9"/>
      <c r="AA289" s="9"/>
      <c r="AB289" s="9"/>
      <c r="AC289" s="9"/>
      <c r="AD289" s="9" t="s">
        <v>20</v>
      </c>
    </row>
    <row r="290" spans="1:30" ht="29">
      <c r="A290" s="3" t="s">
        <v>1957</v>
      </c>
      <c r="B290" s="3" t="s">
        <v>1958</v>
      </c>
      <c r="C290" s="3" t="s">
        <v>1959</v>
      </c>
      <c r="G290" s="9" t="s">
        <v>12120</v>
      </c>
      <c r="H290" s="9"/>
      <c r="I290" s="9"/>
      <c r="J290" s="9"/>
      <c r="K290" s="9"/>
      <c r="L290" s="9"/>
      <c r="M290" s="9"/>
      <c r="N290" s="10"/>
      <c r="O290" s="9"/>
      <c r="P290" s="9"/>
      <c r="Q290" s="9"/>
      <c r="R290" s="9" t="s">
        <v>12795</v>
      </c>
      <c r="S290" s="9" t="s">
        <v>12795</v>
      </c>
      <c r="T290" s="9"/>
      <c r="U290" s="9"/>
      <c r="V290" s="9"/>
      <c r="W290" s="9"/>
      <c r="X290" s="9"/>
      <c r="Y290" s="9"/>
      <c r="Z290" s="9"/>
      <c r="AA290" s="9"/>
      <c r="AB290" s="9"/>
      <c r="AC290" s="9"/>
      <c r="AD290" s="9" t="s">
        <v>20</v>
      </c>
    </row>
    <row r="291" spans="1:30" ht="72.5">
      <c r="A291" s="3" t="s">
        <v>1961</v>
      </c>
      <c r="B291" s="3" t="s">
        <v>12319</v>
      </c>
      <c r="C291" s="3" t="s">
        <v>12318</v>
      </c>
      <c r="G291" s="9" t="s">
        <v>12118</v>
      </c>
      <c r="H291" s="9"/>
      <c r="I291" s="9"/>
      <c r="J291" s="9"/>
      <c r="K291" s="9"/>
      <c r="L291" s="9"/>
      <c r="M291" s="9"/>
      <c r="N291" s="10"/>
      <c r="O291" s="9"/>
      <c r="P291" s="9"/>
      <c r="Q291" s="9">
        <v>11614</v>
      </c>
      <c r="R291" s="9">
        <v>229</v>
      </c>
      <c r="S291" s="9">
        <v>11843</v>
      </c>
      <c r="T291" s="9"/>
      <c r="U291" s="9"/>
      <c r="V291" s="9"/>
      <c r="W291" s="9"/>
      <c r="X291" s="9"/>
      <c r="Y291" s="9"/>
      <c r="Z291" s="9"/>
      <c r="AA291" s="9"/>
      <c r="AB291" s="9"/>
      <c r="AC291" s="9"/>
      <c r="AD291" s="9" t="s">
        <v>20</v>
      </c>
    </row>
    <row r="292" spans="1:30" ht="58">
      <c r="A292" s="3" t="s">
        <v>1962</v>
      </c>
      <c r="B292" s="3" t="s">
        <v>6924</v>
      </c>
      <c r="C292" s="3" t="s">
        <v>6921</v>
      </c>
      <c r="G292" s="9" t="s">
        <v>25</v>
      </c>
      <c r="H292" s="9"/>
      <c r="I292" s="9">
        <v>1</v>
      </c>
      <c r="J292" s="9">
        <v>3</v>
      </c>
      <c r="K292" s="9" t="s">
        <v>12072</v>
      </c>
      <c r="L292" s="9" t="s">
        <v>12079</v>
      </c>
      <c r="M292" s="9"/>
      <c r="N292" s="10"/>
      <c r="O292" s="9"/>
      <c r="P292" s="9">
        <v>214</v>
      </c>
      <c r="Q292" s="9"/>
      <c r="R292" s="9" t="s">
        <v>12795</v>
      </c>
      <c r="S292" s="9" t="s">
        <v>12795</v>
      </c>
      <c r="T292" s="9"/>
      <c r="U292" s="9"/>
      <c r="V292" s="9"/>
      <c r="W292" s="9"/>
      <c r="X292" s="9"/>
      <c r="Y292" s="9"/>
      <c r="Z292" s="9"/>
      <c r="AA292" s="9"/>
      <c r="AB292" s="9"/>
      <c r="AC292" s="9"/>
      <c r="AD292" s="9" t="s">
        <v>20</v>
      </c>
    </row>
    <row r="293" spans="1:30" ht="43.5">
      <c r="A293" s="3" t="s">
        <v>1967</v>
      </c>
      <c r="B293" s="3" t="s">
        <v>6934</v>
      </c>
      <c r="C293" s="3" t="s">
        <v>6933</v>
      </c>
      <c r="G293" s="9" t="s">
        <v>25</v>
      </c>
      <c r="H293" s="9"/>
      <c r="I293" s="9">
        <v>1</v>
      </c>
      <c r="J293" s="9">
        <v>8</v>
      </c>
      <c r="K293" s="9" t="s">
        <v>12098</v>
      </c>
      <c r="L293" s="9" t="s">
        <v>12079</v>
      </c>
      <c r="M293" s="9"/>
      <c r="N293" s="10"/>
      <c r="O293" s="9"/>
      <c r="P293" s="9">
        <v>2042</v>
      </c>
      <c r="Q293" s="9"/>
      <c r="R293" s="9" t="s">
        <v>12795</v>
      </c>
      <c r="S293" s="9" t="s">
        <v>12795</v>
      </c>
      <c r="T293" s="9"/>
      <c r="U293" s="9"/>
      <c r="V293" s="9"/>
      <c r="W293" s="9"/>
      <c r="X293" s="9"/>
      <c r="Y293" s="9"/>
      <c r="Z293" s="9"/>
      <c r="AA293" s="9"/>
      <c r="AB293" s="9"/>
      <c r="AC293" s="9"/>
      <c r="AD293" s="9" t="s">
        <v>20</v>
      </c>
    </row>
    <row r="294" spans="1:30" ht="29">
      <c r="A294" s="3" t="s">
        <v>1968</v>
      </c>
      <c r="B294" s="3" t="s">
        <v>6936</v>
      </c>
      <c r="C294" s="3" t="s">
        <v>6935</v>
      </c>
      <c r="G294" s="9" t="s">
        <v>24</v>
      </c>
      <c r="H294" s="9"/>
      <c r="I294" s="9">
        <v>1</v>
      </c>
      <c r="J294" s="9">
        <v>2</v>
      </c>
      <c r="K294" s="9" t="s">
        <v>12094</v>
      </c>
      <c r="L294" s="9" t="s">
        <v>12119</v>
      </c>
      <c r="M294" s="9"/>
      <c r="N294" s="10"/>
      <c r="O294" s="9" t="s">
        <v>12074</v>
      </c>
      <c r="P294" s="9">
        <v>412</v>
      </c>
      <c r="Q294" s="9"/>
      <c r="R294" s="9" t="s">
        <v>12795</v>
      </c>
      <c r="S294" s="9" t="s">
        <v>12795</v>
      </c>
      <c r="T294" s="9"/>
      <c r="U294" s="9"/>
      <c r="V294" s="9"/>
      <c r="W294" s="9"/>
      <c r="X294" s="9"/>
      <c r="Y294" s="9"/>
      <c r="Z294" s="9"/>
      <c r="AA294" s="9"/>
      <c r="AB294" s="9"/>
      <c r="AC294" s="9"/>
      <c r="AD294" s="9" t="s">
        <v>20</v>
      </c>
    </row>
    <row r="295" spans="1:30" ht="159.5">
      <c r="A295" s="3" t="s">
        <v>1970</v>
      </c>
      <c r="B295" s="3" t="s">
        <v>6937</v>
      </c>
      <c r="C295" s="3" t="s">
        <v>6938</v>
      </c>
      <c r="G295" s="9" t="s">
        <v>25</v>
      </c>
      <c r="H295" s="9"/>
      <c r="I295" s="9">
        <v>6</v>
      </c>
      <c r="J295" s="9">
        <v>30</v>
      </c>
      <c r="K295" s="9"/>
      <c r="L295" s="9" t="s">
        <v>12073</v>
      </c>
      <c r="M295" s="9" t="s">
        <v>12140</v>
      </c>
      <c r="N295" s="10" t="s">
        <v>12136</v>
      </c>
      <c r="O295" s="9"/>
      <c r="P295" s="9">
        <v>3</v>
      </c>
      <c r="Q295" s="9"/>
      <c r="R295" s="9" t="s">
        <v>12795</v>
      </c>
      <c r="S295" s="9" t="s">
        <v>12795</v>
      </c>
      <c r="T295" s="9"/>
      <c r="U295" s="9"/>
      <c r="V295" s="9"/>
      <c r="W295" s="9"/>
      <c r="X295" s="9"/>
      <c r="Y295" s="9"/>
      <c r="Z295" s="9"/>
      <c r="AA295" s="9"/>
      <c r="AB295" s="9"/>
      <c r="AC295" s="9"/>
      <c r="AD295" s="9" t="s">
        <v>20</v>
      </c>
    </row>
    <row r="296" spans="1:30" ht="43.5">
      <c r="A296" s="3" t="s">
        <v>1983</v>
      </c>
      <c r="B296" s="3" t="s">
        <v>6947</v>
      </c>
      <c r="C296" s="3" t="s">
        <v>6948</v>
      </c>
      <c r="G296" s="9" t="s">
        <v>12118</v>
      </c>
      <c r="H296" s="9"/>
      <c r="I296" s="9"/>
      <c r="J296" s="9"/>
      <c r="K296" s="9"/>
      <c r="L296" s="9"/>
      <c r="M296" s="9"/>
      <c r="N296" s="10"/>
      <c r="O296" s="9"/>
      <c r="P296" s="9"/>
      <c r="Q296" s="9">
        <v>29</v>
      </c>
      <c r="R296" s="9">
        <v>1</v>
      </c>
      <c r="S296" s="9">
        <v>30</v>
      </c>
      <c r="T296" s="9"/>
      <c r="U296" s="9"/>
      <c r="V296" s="9"/>
      <c r="W296" s="9"/>
      <c r="X296" s="9"/>
      <c r="Y296" s="9"/>
      <c r="Z296" s="9"/>
      <c r="AA296" s="9"/>
      <c r="AB296" s="9"/>
      <c r="AC296" s="9"/>
      <c r="AD296" s="9" t="s">
        <v>20</v>
      </c>
    </row>
    <row r="297" spans="1:30" ht="43.5">
      <c r="A297" s="3" t="s">
        <v>1989</v>
      </c>
      <c r="B297" s="3" t="s">
        <v>6953</v>
      </c>
      <c r="C297" s="3" t="s">
        <v>6954</v>
      </c>
      <c r="G297" s="9" t="s">
        <v>12120</v>
      </c>
      <c r="H297" s="9"/>
      <c r="I297" s="9"/>
      <c r="J297" s="9"/>
      <c r="K297" s="9"/>
      <c r="L297" s="9"/>
      <c r="M297" s="9"/>
      <c r="N297" s="10"/>
      <c r="O297" s="9"/>
      <c r="P297" s="9"/>
      <c r="Q297" s="9"/>
      <c r="R297" s="9" t="s">
        <v>12795</v>
      </c>
      <c r="S297" s="9" t="s">
        <v>12795</v>
      </c>
      <c r="T297" s="9"/>
      <c r="U297" s="9"/>
      <c r="V297" s="9"/>
      <c r="W297" s="9"/>
      <c r="X297" s="9"/>
      <c r="Y297" s="9"/>
      <c r="Z297" s="9"/>
      <c r="AA297" s="9"/>
      <c r="AB297" s="9"/>
      <c r="AC297" s="9"/>
      <c r="AD297" s="9" t="s">
        <v>20</v>
      </c>
    </row>
    <row r="298" spans="1:30" ht="87">
      <c r="A298" s="3" t="s">
        <v>2012</v>
      </c>
      <c r="B298" s="3" t="s">
        <v>6981</v>
      </c>
      <c r="C298" s="3" t="s">
        <v>6982</v>
      </c>
      <c r="G298" s="9" t="s">
        <v>25</v>
      </c>
      <c r="H298" s="9"/>
      <c r="I298" s="9">
        <v>1</v>
      </c>
      <c r="J298" s="9">
        <v>3</v>
      </c>
      <c r="K298" s="9" t="s">
        <v>12078</v>
      </c>
      <c r="L298" s="9" t="s">
        <v>12073</v>
      </c>
      <c r="M298" s="9" t="s">
        <v>12149</v>
      </c>
      <c r="N298" s="10" t="s">
        <v>12143</v>
      </c>
      <c r="O298" s="9"/>
      <c r="P298" s="9">
        <v>11843</v>
      </c>
      <c r="Q298" s="9"/>
      <c r="R298" s="9" t="s">
        <v>12795</v>
      </c>
      <c r="S298" s="9" t="s">
        <v>12795</v>
      </c>
      <c r="T298" s="9"/>
      <c r="U298" s="9"/>
      <c r="V298" s="9"/>
      <c r="W298" s="9"/>
      <c r="X298" s="9"/>
      <c r="Y298" s="9"/>
      <c r="Z298" s="9"/>
      <c r="AA298" s="9"/>
      <c r="AB298" s="9"/>
      <c r="AC298" s="9"/>
      <c r="AD298" s="9" t="s">
        <v>20</v>
      </c>
    </row>
    <row r="299" spans="1:30" ht="72.5">
      <c r="A299" s="3" t="s">
        <v>2013</v>
      </c>
      <c r="B299" s="3" t="s">
        <v>6988</v>
      </c>
      <c r="C299" s="3" t="s">
        <v>6987</v>
      </c>
      <c r="G299" s="9" t="s">
        <v>25</v>
      </c>
      <c r="H299" s="9"/>
      <c r="I299" s="9">
        <v>1</v>
      </c>
      <c r="J299" s="9">
        <v>8</v>
      </c>
      <c r="K299" s="9" t="s">
        <v>12125</v>
      </c>
      <c r="L299" s="9" t="s">
        <v>12073</v>
      </c>
      <c r="M299" s="9" t="s">
        <v>12203</v>
      </c>
      <c r="N299" s="10" t="s">
        <v>12204</v>
      </c>
      <c r="O299" s="9"/>
      <c r="P299" s="9">
        <v>20</v>
      </c>
      <c r="Q299" s="9"/>
      <c r="R299" s="9" t="s">
        <v>12795</v>
      </c>
      <c r="S299" s="9" t="s">
        <v>12795</v>
      </c>
      <c r="T299" s="9"/>
      <c r="U299" s="9"/>
      <c r="V299" s="9"/>
      <c r="W299" s="9"/>
      <c r="X299" s="9"/>
      <c r="Y299" s="9"/>
      <c r="Z299" s="9"/>
      <c r="AA299" s="9"/>
      <c r="AB299" s="9"/>
      <c r="AC299" s="9"/>
      <c r="AD299" s="9" t="s">
        <v>20</v>
      </c>
    </row>
    <row r="300" spans="1:30" ht="116">
      <c r="A300" s="3" t="s">
        <v>2022</v>
      </c>
      <c r="B300" s="3" t="s">
        <v>6997</v>
      </c>
      <c r="C300" s="3" t="s">
        <v>6996</v>
      </c>
      <c r="E300" t="s">
        <v>20</v>
      </c>
      <c r="G300" s="9" t="s">
        <v>25</v>
      </c>
      <c r="H300" s="9"/>
      <c r="I300" s="9">
        <v>3</v>
      </c>
      <c r="J300" s="9">
        <v>15</v>
      </c>
      <c r="K300" s="9"/>
      <c r="L300" s="9" t="s">
        <v>12073</v>
      </c>
      <c r="M300" s="9" t="s">
        <v>12140</v>
      </c>
      <c r="N300" s="10" t="s">
        <v>12138</v>
      </c>
      <c r="O300" s="9"/>
      <c r="P300" s="9">
        <v>65</v>
      </c>
      <c r="Q300" s="9"/>
      <c r="R300" s="9" t="s">
        <v>12795</v>
      </c>
      <c r="S300" s="9" t="s">
        <v>12795</v>
      </c>
      <c r="T300" s="9"/>
      <c r="U300" s="9"/>
      <c r="V300" s="9"/>
      <c r="W300" s="9"/>
      <c r="X300" s="9"/>
      <c r="Y300" s="9"/>
      <c r="Z300" s="9"/>
      <c r="AA300" s="9"/>
      <c r="AB300" s="9"/>
      <c r="AC300" s="9"/>
      <c r="AD300" s="9" t="s">
        <v>20</v>
      </c>
    </row>
    <row r="301" spans="1:30" ht="58">
      <c r="A301" s="3" t="s">
        <v>2023</v>
      </c>
      <c r="B301" s="3" t="s">
        <v>7004</v>
      </c>
      <c r="C301" s="3" t="s">
        <v>7003</v>
      </c>
      <c r="G301" s="9" t="s">
        <v>26</v>
      </c>
      <c r="H301" s="9"/>
      <c r="I301" s="9"/>
      <c r="J301" s="9"/>
      <c r="K301" s="9"/>
      <c r="L301" s="9"/>
      <c r="M301" s="9"/>
      <c r="N301" s="10"/>
      <c r="O301" s="9"/>
      <c r="P301" s="9"/>
      <c r="Q301" s="9"/>
      <c r="R301" s="9" t="s">
        <v>12795</v>
      </c>
      <c r="S301" s="9" t="s">
        <v>12795</v>
      </c>
      <c r="T301" s="9"/>
      <c r="U301" s="9"/>
      <c r="V301" s="9"/>
      <c r="W301" s="9"/>
      <c r="X301" s="9"/>
      <c r="Y301" s="9"/>
      <c r="Z301" s="9"/>
      <c r="AA301" s="9"/>
      <c r="AB301" s="9"/>
      <c r="AC301" s="9"/>
      <c r="AD301" s="9" t="s">
        <v>20</v>
      </c>
    </row>
    <row r="302" spans="1:30" ht="145">
      <c r="A302" s="3" t="s">
        <v>2032</v>
      </c>
      <c r="B302" s="3" t="s">
        <v>13027</v>
      </c>
      <c r="C302" s="3" t="s">
        <v>13028</v>
      </c>
      <c r="G302" s="9" t="s">
        <v>25</v>
      </c>
      <c r="H302" s="9"/>
      <c r="I302" s="9">
        <v>4</v>
      </c>
      <c r="J302" s="9">
        <v>26</v>
      </c>
      <c r="K302" s="9"/>
      <c r="L302" s="9" t="s">
        <v>12073</v>
      </c>
      <c r="M302" s="9" t="s">
        <v>12140</v>
      </c>
      <c r="N302" s="10" t="s">
        <v>12194</v>
      </c>
      <c r="O302" s="9"/>
      <c r="P302" s="9">
        <v>11</v>
      </c>
      <c r="Q302" s="9"/>
      <c r="R302" s="9" t="s">
        <v>12795</v>
      </c>
      <c r="S302" s="9" t="s">
        <v>12795</v>
      </c>
      <c r="T302" s="9"/>
      <c r="U302" s="9"/>
      <c r="V302" s="9"/>
      <c r="W302" s="9"/>
      <c r="X302" s="9"/>
      <c r="Y302" s="9"/>
      <c r="Z302" s="9"/>
      <c r="AA302" s="9"/>
      <c r="AB302" s="9"/>
      <c r="AC302" s="9"/>
      <c r="AD302" s="9" t="s">
        <v>20</v>
      </c>
    </row>
    <row r="303" spans="1:30" ht="43.5">
      <c r="A303" s="3" t="s">
        <v>2038</v>
      </c>
      <c r="B303" s="3" t="s">
        <v>7032</v>
      </c>
      <c r="C303" s="3" t="s">
        <v>7033</v>
      </c>
      <c r="G303" s="9" t="s">
        <v>12120</v>
      </c>
      <c r="H303" s="9"/>
      <c r="I303" s="9"/>
      <c r="J303" s="9"/>
      <c r="K303" s="9"/>
      <c r="L303" s="9"/>
      <c r="M303" s="9"/>
      <c r="N303" s="10"/>
      <c r="O303" s="9"/>
      <c r="P303" s="9"/>
      <c r="Q303" s="9"/>
      <c r="R303" s="9" t="s">
        <v>12795</v>
      </c>
      <c r="S303" s="9" t="s">
        <v>12795</v>
      </c>
      <c r="T303" s="9"/>
      <c r="U303" s="9"/>
      <c r="V303" s="9"/>
      <c r="W303" s="9"/>
      <c r="X303" s="9"/>
      <c r="Y303" s="9"/>
      <c r="Z303" s="9"/>
      <c r="AA303" s="9"/>
      <c r="AB303" s="9"/>
      <c r="AC303" s="9"/>
      <c r="AD303" s="9" t="s">
        <v>20</v>
      </c>
    </row>
    <row r="304" spans="1:30" ht="72.5">
      <c r="A304" s="3" t="s">
        <v>2042</v>
      </c>
      <c r="B304" s="3" t="s">
        <v>7037</v>
      </c>
      <c r="C304" s="3" t="s">
        <v>7036</v>
      </c>
      <c r="G304" s="9" t="s">
        <v>26</v>
      </c>
      <c r="H304" s="9"/>
      <c r="I304" s="9"/>
      <c r="J304" s="9"/>
      <c r="K304" s="9"/>
      <c r="L304" s="9"/>
      <c r="M304" s="9"/>
      <c r="N304" s="10"/>
      <c r="O304" s="9"/>
      <c r="P304" s="9"/>
      <c r="Q304" s="9"/>
      <c r="R304" s="9" t="s">
        <v>12795</v>
      </c>
      <c r="S304" s="9" t="s">
        <v>12795</v>
      </c>
      <c r="T304" s="9"/>
      <c r="U304" s="9"/>
      <c r="V304" s="9"/>
      <c r="W304" s="9"/>
      <c r="X304" s="9"/>
      <c r="Y304" s="9"/>
      <c r="Z304" s="9"/>
      <c r="AA304" s="9"/>
      <c r="AB304" s="9"/>
      <c r="AC304" s="9"/>
      <c r="AD304" s="9" t="s">
        <v>20</v>
      </c>
    </row>
    <row r="305" spans="1:30" ht="87">
      <c r="A305" s="3" t="s">
        <v>2042</v>
      </c>
      <c r="B305" s="3" t="s">
        <v>7039</v>
      </c>
      <c r="C305" s="3" t="s">
        <v>7038</v>
      </c>
      <c r="G305" s="9" t="s">
        <v>26</v>
      </c>
      <c r="H305" s="9"/>
      <c r="I305" s="9"/>
      <c r="J305" s="9"/>
      <c r="K305" s="9"/>
      <c r="L305" s="9"/>
      <c r="M305" s="9"/>
      <c r="N305" s="10"/>
      <c r="O305" s="9"/>
      <c r="P305" s="9"/>
      <c r="Q305" s="9"/>
      <c r="R305" s="9" t="s">
        <v>12795</v>
      </c>
      <c r="S305" s="9" t="s">
        <v>12795</v>
      </c>
      <c r="T305" s="9"/>
      <c r="U305" s="9"/>
      <c r="V305" s="9"/>
      <c r="W305" s="9"/>
      <c r="X305" s="9"/>
      <c r="Y305" s="9"/>
      <c r="Z305" s="9"/>
      <c r="AA305" s="9"/>
      <c r="AB305" s="9"/>
      <c r="AC305" s="9"/>
      <c r="AD305" s="9" t="s">
        <v>20</v>
      </c>
    </row>
    <row r="306" spans="1:30" ht="232">
      <c r="A306" s="3" t="s">
        <v>2044</v>
      </c>
      <c r="B306" s="3" t="s">
        <v>12888</v>
      </c>
      <c r="C306" s="3" t="s">
        <v>12889</v>
      </c>
      <c r="G306" s="9" t="s">
        <v>25</v>
      </c>
      <c r="H306" s="9"/>
      <c r="I306" s="9">
        <v>12</v>
      </c>
      <c r="J306" s="9">
        <v>60</v>
      </c>
      <c r="K306" s="9"/>
      <c r="L306" s="9" t="s">
        <v>12073</v>
      </c>
      <c r="M306" s="9" t="s">
        <v>12140</v>
      </c>
      <c r="N306" s="10" t="s">
        <v>12344</v>
      </c>
      <c r="O306" s="9"/>
      <c r="P306" s="9">
        <v>2</v>
      </c>
      <c r="Q306" s="9"/>
      <c r="R306" s="9" t="s">
        <v>12795</v>
      </c>
      <c r="S306" s="9" t="s">
        <v>12795</v>
      </c>
      <c r="T306" s="9"/>
      <c r="U306" s="9"/>
      <c r="V306" s="9"/>
      <c r="W306" s="9"/>
      <c r="X306" s="9"/>
      <c r="Y306" s="9"/>
      <c r="Z306" s="9"/>
      <c r="AA306" s="9"/>
      <c r="AB306" s="9"/>
      <c r="AC306" s="9"/>
      <c r="AD306" s="9" t="s">
        <v>20</v>
      </c>
    </row>
    <row r="307" spans="1:30" ht="87">
      <c r="A307" s="3" t="s">
        <v>2046</v>
      </c>
      <c r="B307" s="3" t="s">
        <v>7045</v>
      </c>
      <c r="C307" s="3" t="s">
        <v>7044</v>
      </c>
      <c r="G307" s="9" t="s">
        <v>26</v>
      </c>
      <c r="H307" s="9"/>
      <c r="I307" s="9"/>
      <c r="J307" s="9"/>
      <c r="K307" s="9"/>
      <c r="L307" s="9"/>
      <c r="M307" s="9"/>
      <c r="N307" s="10"/>
      <c r="O307" s="9"/>
      <c r="P307" s="9"/>
      <c r="Q307" s="9"/>
      <c r="R307" s="9" t="s">
        <v>12795</v>
      </c>
      <c r="S307" s="9" t="s">
        <v>12795</v>
      </c>
      <c r="T307" s="9"/>
      <c r="U307" s="9"/>
      <c r="V307" s="9"/>
      <c r="W307" s="9"/>
      <c r="X307" s="9"/>
      <c r="Y307" s="9"/>
      <c r="Z307" s="9"/>
      <c r="AA307" s="9"/>
      <c r="AB307" s="9"/>
      <c r="AC307" s="9"/>
      <c r="AD307" s="9" t="s">
        <v>20</v>
      </c>
    </row>
    <row r="308" spans="1:30" ht="72.5">
      <c r="A308" s="3" t="s">
        <v>2057</v>
      </c>
      <c r="B308" s="3" t="s">
        <v>7057</v>
      </c>
      <c r="C308" s="3" t="s">
        <v>7056</v>
      </c>
      <c r="G308" s="9" t="s">
        <v>26</v>
      </c>
      <c r="H308" s="9"/>
      <c r="I308" s="9"/>
      <c r="J308" s="9"/>
      <c r="K308" s="9"/>
      <c r="L308" s="9"/>
      <c r="M308" s="9"/>
      <c r="N308" s="10"/>
      <c r="O308" s="9"/>
      <c r="P308" s="9"/>
      <c r="Q308" s="9"/>
      <c r="R308" s="9" t="s">
        <v>12795</v>
      </c>
      <c r="S308" s="9" t="s">
        <v>12795</v>
      </c>
      <c r="T308" s="9"/>
      <c r="U308" s="9"/>
      <c r="V308" s="9"/>
      <c r="W308" s="9"/>
      <c r="X308" s="9"/>
      <c r="Y308" s="9"/>
      <c r="Z308" s="9"/>
      <c r="AA308" s="9"/>
      <c r="AB308" s="9"/>
      <c r="AC308" s="9"/>
      <c r="AD308" s="9" t="s">
        <v>20</v>
      </c>
    </row>
    <row r="309" spans="1:30" ht="29">
      <c r="A309" s="3" t="s">
        <v>2066</v>
      </c>
      <c r="B309" s="3" t="s">
        <v>7071</v>
      </c>
      <c r="C309" s="3" t="s">
        <v>7072</v>
      </c>
      <c r="G309" s="9" t="s">
        <v>12120</v>
      </c>
      <c r="H309" s="9"/>
      <c r="I309" s="9"/>
      <c r="J309" s="9"/>
      <c r="K309" s="9"/>
      <c r="L309" s="9"/>
      <c r="M309" s="9"/>
      <c r="N309" s="10"/>
      <c r="O309" s="9"/>
      <c r="P309" s="9"/>
      <c r="Q309" s="9"/>
      <c r="R309" s="9" t="s">
        <v>12795</v>
      </c>
      <c r="S309" s="9" t="s">
        <v>12795</v>
      </c>
      <c r="T309" s="9"/>
      <c r="U309" s="9"/>
      <c r="V309" s="9"/>
      <c r="W309" s="9"/>
      <c r="X309" s="9"/>
      <c r="Y309" s="9"/>
      <c r="Z309" s="9"/>
      <c r="AA309" s="9"/>
      <c r="AB309" s="9"/>
      <c r="AC309" s="9"/>
      <c r="AD309" s="9" t="s">
        <v>20</v>
      </c>
    </row>
    <row r="310" spans="1:30" ht="43.5">
      <c r="A310" s="3" t="s">
        <v>2067</v>
      </c>
      <c r="B310" s="3" t="s">
        <v>7075</v>
      </c>
      <c r="C310" s="3" t="s">
        <v>7076</v>
      </c>
      <c r="G310" s="9" t="s">
        <v>25</v>
      </c>
      <c r="H310" s="9"/>
      <c r="I310" s="9">
        <v>1</v>
      </c>
      <c r="J310" s="9">
        <v>2</v>
      </c>
      <c r="K310" s="9" t="s">
        <v>12078</v>
      </c>
      <c r="L310" s="9" t="s">
        <v>12119</v>
      </c>
      <c r="M310" s="9"/>
      <c r="N310" s="10"/>
      <c r="O310" s="9" t="s">
        <v>12074</v>
      </c>
      <c r="P310" s="9">
        <v>11843</v>
      </c>
      <c r="Q310" s="9"/>
      <c r="R310" s="9" t="s">
        <v>12795</v>
      </c>
      <c r="S310" s="9" t="s">
        <v>12795</v>
      </c>
      <c r="T310" s="9"/>
      <c r="U310" s="9"/>
      <c r="V310" s="9"/>
      <c r="W310" s="9"/>
      <c r="X310" s="9"/>
      <c r="Y310" s="9"/>
      <c r="Z310" s="9"/>
      <c r="AA310" s="9"/>
      <c r="AB310" s="9"/>
      <c r="AC310" s="9"/>
      <c r="AD310" s="9" t="s">
        <v>20</v>
      </c>
    </row>
    <row r="311" spans="1:30" ht="29">
      <c r="A311" s="3" t="s">
        <v>2075</v>
      </c>
      <c r="B311" s="3" t="s">
        <v>7080</v>
      </c>
      <c r="C311" s="3" t="s">
        <v>7081</v>
      </c>
      <c r="G311" s="9" t="s">
        <v>25</v>
      </c>
      <c r="H311" s="9"/>
      <c r="I311" s="9">
        <v>1</v>
      </c>
      <c r="J311" s="9">
        <v>5</v>
      </c>
      <c r="K311" s="9" t="s">
        <v>12094</v>
      </c>
      <c r="L311" s="9" t="s">
        <v>12079</v>
      </c>
      <c r="M311" s="9"/>
      <c r="N311" s="10"/>
      <c r="O311" s="9"/>
      <c r="P311" s="9">
        <v>4240</v>
      </c>
      <c r="Q311" s="9"/>
      <c r="R311" s="9" t="s">
        <v>12795</v>
      </c>
      <c r="S311" s="9" t="s">
        <v>12795</v>
      </c>
      <c r="T311" s="9"/>
      <c r="U311" s="9"/>
      <c r="V311" s="9"/>
      <c r="W311" s="9"/>
      <c r="X311" s="9"/>
      <c r="Y311" s="9"/>
      <c r="Z311" s="9"/>
      <c r="AA311" s="9"/>
      <c r="AB311" s="9"/>
      <c r="AC311" s="9"/>
      <c r="AD311" s="9" t="s">
        <v>20</v>
      </c>
    </row>
    <row r="312" spans="1:30" ht="29">
      <c r="A312" s="3" t="s">
        <v>2106</v>
      </c>
      <c r="B312" s="3" t="s">
        <v>7091</v>
      </c>
      <c r="C312" s="3" t="s">
        <v>7092</v>
      </c>
      <c r="G312" s="9" t="s">
        <v>25</v>
      </c>
      <c r="H312" s="9"/>
      <c r="I312" s="9">
        <v>1</v>
      </c>
      <c r="J312" s="9">
        <v>1</v>
      </c>
      <c r="K312" s="9" t="s">
        <v>12078</v>
      </c>
      <c r="L312" s="9" t="s">
        <v>12119</v>
      </c>
      <c r="M312" s="9"/>
      <c r="N312" s="10"/>
      <c r="O312" s="9" t="s">
        <v>12074</v>
      </c>
      <c r="P312" s="9">
        <v>11843</v>
      </c>
      <c r="Q312" s="9"/>
      <c r="R312" s="9" t="s">
        <v>12795</v>
      </c>
      <c r="S312" s="9" t="s">
        <v>12795</v>
      </c>
      <c r="T312" s="9"/>
      <c r="U312" s="9"/>
      <c r="V312" s="9"/>
      <c r="W312" s="9"/>
      <c r="X312" s="9"/>
      <c r="Y312" s="9"/>
      <c r="Z312" s="9"/>
      <c r="AA312" s="9"/>
      <c r="AB312" s="9"/>
      <c r="AC312" s="9"/>
      <c r="AD312" s="9" t="s">
        <v>20</v>
      </c>
    </row>
    <row r="313" spans="1:30" ht="29">
      <c r="A313" s="3" t="s">
        <v>2108</v>
      </c>
      <c r="B313" s="3" t="s">
        <v>7095</v>
      </c>
      <c r="C313" s="3" t="s">
        <v>7096</v>
      </c>
      <c r="G313" s="9" t="s">
        <v>25</v>
      </c>
      <c r="H313" s="9"/>
      <c r="I313" s="9">
        <v>1</v>
      </c>
      <c r="J313" s="9">
        <v>1</v>
      </c>
      <c r="K313" s="9" t="s">
        <v>12078</v>
      </c>
      <c r="L313" s="9" t="s">
        <v>12119</v>
      </c>
      <c r="M313" s="9"/>
      <c r="N313" s="10"/>
      <c r="O313" s="9"/>
      <c r="P313" s="9">
        <v>11843</v>
      </c>
      <c r="Q313" s="9"/>
      <c r="R313" s="9" t="s">
        <v>12795</v>
      </c>
      <c r="S313" s="9" t="s">
        <v>12795</v>
      </c>
      <c r="T313" s="9"/>
      <c r="U313" s="9"/>
      <c r="V313" s="9"/>
      <c r="W313" s="9"/>
      <c r="X313" s="9"/>
      <c r="Y313" s="9"/>
      <c r="Z313" s="9"/>
      <c r="AA313" s="9"/>
      <c r="AB313" s="9"/>
      <c r="AC313" s="9"/>
      <c r="AD313" s="9" t="s">
        <v>20</v>
      </c>
    </row>
    <row r="314" spans="1:30" ht="72.5">
      <c r="A314" s="3" t="s">
        <v>2114</v>
      </c>
      <c r="B314" s="3" t="s">
        <v>7102</v>
      </c>
      <c r="C314" s="3" t="s">
        <v>7103</v>
      </c>
      <c r="G314" s="9" t="s">
        <v>25</v>
      </c>
      <c r="H314" s="9"/>
      <c r="I314" s="9">
        <v>1</v>
      </c>
      <c r="J314" s="9">
        <v>9</v>
      </c>
      <c r="K314" s="9" t="s">
        <v>12092</v>
      </c>
      <c r="L314" s="9" t="s">
        <v>12073</v>
      </c>
      <c r="M314" s="9" t="s">
        <v>12149</v>
      </c>
      <c r="N314" s="10" t="s">
        <v>12143</v>
      </c>
      <c r="O314" s="9"/>
      <c r="P314" s="9">
        <v>1</v>
      </c>
      <c r="Q314" s="9"/>
      <c r="R314" s="9" t="s">
        <v>12795</v>
      </c>
      <c r="S314" s="9" t="s">
        <v>12795</v>
      </c>
      <c r="T314" s="9"/>
      <c r="U314" s="9"/>
      <c r="V314" s="9"/>
      <c r="W314" s="9"/>
      <c r="X314" s="9"/>
      <c r="Y314" s="9"/>
      <c r="Z314" s="9"/>
      <c r="AA314" s="9"/>
      <c r="AB314" s="9"/>
      <c r="AC314" s="9"/>
      <c r="AD314" s="9" t="s">
        <v>20</v>
      </c>
    </row>
    <row r="315" spans="1:30" ht="72.5">
      <c r="A315" s="3" t="s">
        <v>2122</v>
      </c>
      <c r="B315" s="3" t="s">
        <v>7127</v>
      </c>
      <c r="C315" s="3" t="s">
        <v>7126</v>
      </c>
      <c r="G315" s="9" t="s">
        <v>26</v>
      </c>
      <c r="H315" s="9"/>
      <c r="I315" s="9"/>
      <c r="J315" s="9"/>
      <c r="K315" s="9"/>
      <c r="L315" s="9"/>
      <c r="M315" s="9"/>
      <c r="N315" s="10"/>
      <c r="O315" s="9"/>
      <c r="P315" s="9"/>
      <c r="Q315" s="9"/>
      <c r="R315" s="9" t="s">
        <v>12795</v>
      </c>
      <c r="S315" s="9" t="s">
        <v>12795</v>
      </c>
      <c r="T315" s="9"/>
      <c r="U315" s="9"/>
      <c r="V315" s="9"/>
      <c r="W315" s="9"/>
      <c r="X315" s="9"/>
      <c r="Y315" s="9"/>
      <c r="Z315" s="9"/>
      <c r="AA315" s="9"/>
      <c r="AB315" s="9"/>
      <c r="AC315" s="9"/>
      <c r="AD315" s="9" t="s">
        <v>20</v>
      </c>
    </row>
    <row r="316" spans="1:30" ht="29">
      <c r="A316" s="3" t="s">
        <v>2124</v>
      </c>
      <c r="B316" s="3" t="s">
        <v>2125</v>
      </c>
      <c r="C316" s="3" t="s">
        <v>2126</v>
      </c>
      <c r="G316" s="9" t="s">
        <v>12120</v>
      </c>
      <c r="H316" s="9"/>
      <c r="I316" s="9"/>
      <c r="J316" s="9"/>
      <c r="K316" s="9"/>
      <c r="L316" s="9"/>
      <c r="M316" s="9"/>
      <c r="N316" s="10"/>
      <c r="O316" s="9"/>
      <c r="P316" s="9"/>
      <c r="Q316" s="9"/>
      <c r="R316" s="9" t="s">
        <v>12795</v>
      </c>
      <c r="S316" s="9" t="s">
        <v>12795</v>
      </c>
      <c r="T316" s="9"/>
      <c r="U316" s="9"/>
      <c r="V316" s="9"/>
      <c r="W316" s="9"/>
      <c r="X316" s="9"/>
      <c r="Y316" s="9"/>
      <c r="Z316" s="9"/>
      <c r="AA316" s="9"/>
      <c r="AB316" s="9"/>
      <c r="AC316" s="9"/>
      <c r="AD316" s="9" t="s">
        <v>20</v>
      </c>
    </row>
    <row r="317" spans="1:30" ht="29">
      <c r="A317" s="3" t="s">
        <v>2131</v>
      </c>
      <c r="B317" s="3" t="s">
        <v>2134</v>
      </c>
      <c r="C317" s="3" t="s">
        <v>2135</v>
      </c>
      <c r="G317" s="9" t="s">
        <v>12120</v>
      </c>
      <c r="H317" s="9"/>
      <c r="I317" s="9"/>
      <c r="J317" s="9"/>
      <c r="K317" s="9"/>
      <c r="L317" s="9"/>
      <c r="M317" s="9"/>
      <c r="N317" s="10"/>
      <c r="O317" s="9"/>
      <c r="P317" s="9"/>
      <c r="Q317" s="9"/>
      <c r="R317" s="9" t="s">
        <v>12795</v>
      </c>
      <c r="S317" s="9" t="s">
        <v>12795</v>
      </c>
      <c r="T317" s="9"/>
      <c r="U317" s="9"/>
      <c r="V317" s="9"/>
      <c r="W317" s="9"/>
      <c r="X317" s="9"/>
      <c r="Y317" s="9"/>
      <c r="Z317" s="9"/>
      <c r="AA317" s="9"/>
      <c r="AB317" s="9"/>
      <c r="AC317" s="9"/>
      <c r="AD317" s="9" t="s">
        <v>13141</v>
      </c>
    </row>
    <row r="318" spans="1:30" ht="58">
      <c r="A318" s="3" t="s">
        <v>2136</v>
      </c>
      <c r="B318" s="3" t="s">
        <v>12895</v>
      </c>
      <c r="C318" s="3" t="s">
        <v>7134</v>
      </c>
      <c r="G318" s="9" t="s">
        <v>25</v>
      </c>
      <c r="H318" s="9"/>
      <c r="I318" s="9">
        <v>1</v>
      </c>
      <c r="J318" s="9">
        <v>10</v>
      </c>
      <c r="K318" s="9" t="s">
        <v>12125</v>
      </c>
      <c r="L318" s="9" t="s">
        <v>12073</v>
      </c>
      <c r="M318" s="9" t="s">
        <v>12142</v>
      </c>
      <c r="N318" s="10" t="s">
        <v>12143</v>
      </c>
      <c r="O318" s="9"/>
      <c r="P318" s="9">
        <v>25</v>
      </c>
      <c r="Q318" s="9"/>
      <c r="R318" s="9" t="s">
        <v>12795</v>
      </c>
      <c r="S318" s="9" t="s">
        <v>12795</v>
      </c>
      <c r="T318" s="9"/>
      <c r="U318" s="9"/>
      <c r="V318" s="9"/>
      <c r="W318" s="9"/>
      <c r="X318" s="9"/>
      <c r="Y318" s="9"/>
      <c r="Z318" s="9"/>
      <c r="AA318" s="9"/>
      <c r="AB318" s="9"/>
      <c r="AC318" s="9"/>
      <c r="AD318" s="9" t="s">
        <v>20</v>
      </c>
    </row>
    <row r="319" spans="1:30" ht="43.5">
      <c r="A319" s="3" t="s">
        <v>2140</v>
      </c>
      <c r="B319" s="3" t="s">
        <v>7138</v>
      </c>
      <c r="C319" s="3" t="s">
        <v>7137</v>
      </c>
      <c r="G319" s="9" t="s">
        <v>25</v>
      </c>
      <c r="H319" s="9"/>
      <c r="I319" s="9">
        <v>1</v>
      </c>
      <c r="J319" s="9">
        <v>3</v>
      </c>
      <c r="K319" s="9" t="s">
        <v>12078</v>
      </c>
      <c r="L319" s="9" t="s">
        <v>12079</v>
      </c>
      <c r="M319" s="9"/>
      <c r="N319" s="10"/>
      <c r="O319" s="9"/>
      <c r="P319" s="9">
        <v>11843</v>
      </c>
      <c r="Q319" s="9"/>
      <c r="R319" s="9" t="s">
        <v>12795</v>
      </c>
      <c r="S319" s="9" t="s">
        <v>12795</v>
      </c>
      <c r="T319" s="9"/>
      <c r="U319" s="9"/>
      <c r="V319" s="9"/>
      <c r="W319" s="9"/>
      <c r="X319" s="9"/>
      <c r="Y319" s="9"/>
      <c r="Z319" s="9"/>
      <c r="AA319" s="9"/>
      <c r="AB319" s="9"/>
      <c r="AC319" s="9"/>
      <c r="AD319" s="9" t="s">
        <v>20</v>
      </c>
    </row>
    <row r="320" spans="1:30" ht="58">
      <c r="A320" s="3" t="s">
        <v>2143</v>
      </c>
      <c r="B320" s="3" t="s">
        <v>7146</v>
      </c>
      <c r="C320" s="3" t="s">
        <v>7145</v>
      </c>
      <c r="G320" s="9" t="s">
        <v>26</v>
      </c>
      <c r="H320" s="9"/>
      <c r="I320" s="9"/>
      <c r="J320" s="9"/>
      <c r="K320" s="9"/>
      <c r="L320" s="9"/>
      <c r="M320" s="9"/>
      <c r="N320" s="10"/>
      <c r="O320" s="9"/>
      <c r="P320" s="9"/>
      <c r="Q320" s="9"/>
      <c r="R320" s="9" t="s">
        <v>12795</v>
      </c>
      <c r="S320" s="9" t="s">
        <v>12795</v>
      </c>
      <c r="T320" s="9"/>
      <c r="U320" s="9"/>
      <c r="V320" s="9"/>
      <c r="W320" s="9"/>
      <c r="X320" s="9"/>
      <c r="Y320" s="9"/>
      <c r="Z320" s="9"/>
      <c r="AA320" s="9"/>
      <c r="AB320" s="9"/>
      <c r="AC320" s="9"/>
      <c r="AD320" s="9" t="s">
        <v>20</v>
      </c>
    </row>
    <row r="321" spans="1:30">
      <c r="A321" s="3" t="s">
        <v>2146</v>
      </c>
      <c r="B321" s="3" t="s">
        <v>2147</v>
      </c>
      <c r="C321" s="3" t="s">
        <v>2148</v>
      </c>
      <c r="G321" s="9" t="s">
        <v>12120</v>
      </c>
      <c r="H321" s="9"/>
      <c r="I321" s="9"/>
      <c r="J321" s="9"/>
      <c r="K321" s="9"/>
      <c r="L321" s="9"/>
      <c r="M321" s="9"/>
      <c r="N321" s="10"/>
      <c r="O321" s="9"/>
      <c r="P321" s="9"/>
      <c r="Q321" s="9"/>
      <c r="R321" s="9" t="s">
        <v>12795</v>
      </c>
      <c r="S321" s="9" t="s">
        <v>12795</v>
      </c>
      <c r="T321" s="9"/>
      <c r="U321" s="9"/>
      <c r="V321" s="9"/>
      <c r="W321" s="9"/>
      <c r="X321" s="9"/>
      <c r="Y321" s="9"/>
      <c r="Z321" s="9"/>
      <c r="AA321" s="9"/>
      <c r="AB321" s="9"/>
      <c r="AC321" s="9"/>
      <c r="AD321" s="9" t="s">
        <v>20</v>
      </c>
    </row>
    <row r="322" spans="1:30" ht="72.5">
      <c r="A322" s="3" t="s">
        <v>2151</v>
      </c>
      <c r="B322" s="3" t="s">
        <v>7163</v>
      </c>
      <c r="C322" s="3" t="s">
        <v>7164</v>
      </c>
      <c r="G322" s="9" t="s">
        <v>12120</v>
      </c>
      <c r="H322" s="9"/>
      <c r="I322" s="9"/>
      <c r="J322" s="9"/>
      <c r="K322" s="9"/>
      <c r="L322" s="9"/>
      <c r="M322" s="9"/>
      <c r="N322" s="10"/>
      <c r="O322" s="9"/>
      <c r="P322" s="9"/>
      <c r="Q322" s="9"/>
      <c r="R322" s="9" t="s">
        <v>12795</v>
      </c>
      <c r="S322" s="9" t="s">
        <v>12795</v>
      </c>
      <c r="T322" s="9"/>
      <c r="U322" s="9"/>
      <c r="V322" s="9"/>
      <c r="W322" s="9"/>
      <c r="X322" s="9"/>
      <c r="Y322" s="9"/>
      <c r="Z322" s="9"/>
      <c r="AA322" s="9"/>
      <c r="AB322" s="9"/>
      <c r="AC322" s="9"/>
      <c r="AD322" s="9" t="s">
        <v>20</v>
      </c>
    </row>
    <row r="323" spans="1:30" ht="43.5">
      <c r="A323" s="3" t="s">
        <v>2158</v>
      </c>
      <c r="B323" s="3" t="s">
        <v>7173</v>
      </c>
      <c r="C323" s="3" t="s">
        <v>7174</v>
      </c>
      <c r="G323" s="9" t="s">
        <v>12118</v>
      </c>
      <c r="H323" s="9"/>
      <c r="I323" s="9"/>
      <c r="J323" s="9"/>
      <c r="K323" s="9"/>
      <c r="L323" s="9"/>
      <c r="M323" s="9"/>
      <c r="N323" s="10"/>
      <c r="O323" s="9"/>
      <c r="P323" s="9"/>
      <c r="Q323" s="9">
        <v>-103</v>
      </c>
      <c r="R323" s="9">
        <v>310</v>
      </c>
      <c r="S323" s="9">
        <v>207</v>
      </c>
      <c r="T323" s="9"/>
      <c r="U323" s="9"/>
      <c r="V323" s="9"/>
      <c r="W323" s="9"/>
      <c r="X323" s="9"/>
      <c r="Y323" s="9"/>
      <c r="Z323" s="9"/>
      <c r="AA323" s="9"/>
      <c r="AB323" s="9"/>
      <c r="AC323" s="9"/>
      <c r="AD323" s="9" t="s">
        <v>20</v>
      </c>
    </row>
    <row r="324" spans="1:30" ht="43.5">
      <c r="A324" s="3" t="s">
        <v>2159</v>
      </c>
      <c r="B324" s="3" t="s">
        <v>7175</v>
      </c>
      <c r="C324" s="3" t="s">
        <v>7176</v>
      </c>
      <c r="G324" s="9" t="s">
        <v>25</v>
      </c>
      <c r="H324" s="9"/>
      <c r="I324" s="9">
        <v>1</v>
      </c>
      <c r="J324" s="9">
        <v>2</v>
      </c>
      <c r="K324" s="9" t="s">
        <v>12087</v>
      </c>
      <c r="L324" s="9" t="s">
        <v>12119</v>
      </c>
      <c r="M324" s="9"/>
      <c r="N324" s="10"/>
      <c r="O324" s="9"/>
      <c r="P324" s="9">
        <v>1966</v>
      </c>
      <c r="Q324" s="9"/>
      <c r="R324" s="9" t="s">
        <v>12795</v>
      </c>
      <c r="S324" s="9" t="s">
        <v>12795</v>
      </c>
      <c r="T324" s="9"/>
      <c r="U324" s="9"/>
      <c r="V324" s="9"/>
      <c r="W324" s="9"/>
      <c r="X324" s="9"/>
      <c r="Y324" s="9"/>
      <c r="Z324" s="9"/>
      <c r="AA324" s="9"/>
      <c r="AB324" s="9"/>
      <c r="AC324" s="9"/>
      <c r="AD324" s="9" t="s">
        <v>20</v>
      </c>
    </row>
    <row r="325" spans="1:30" ht="43.5">
      <c r="A325" s="3" t="s">
        <v>2160</v>
      </c>
      <c r="B325" s="3" t="s">
        <v>7178</v>
      </c>
      <c r="C325" s="3" t="s">
        <v>7177</v>
      </c>
      <c r="G325" s="9" t="s">
        <v>25</v>
      </c>
      <c r="H325" s="9"/>
      <c r="I325" s="9">
        <v>1</v>
      </c>
      <c r="J325" s="9">
        <v>2</v>
      </c>
      <c r="K325" s="9" t="s">
        <v>12094</v>
      </c>
      <c r="L325" s="9" t="s">
        <v>12119</v>
      </c>
      <c r="M325" s="9"/>
      <c r="N325" s="10"/>
      <c r="O325" s="9"/>
      <c r="P325" s="9">
        <v>1496</v>
      </c>
      <c r="Q325" s="9"/>
      <c r="R325" s="9" t="s">
        <v>12795</v>
      </c>
      <c r="S325" s="9" t="s">
        <v>12795</v>
      </c>
      <c r="T325" s="9"/>
      <c r="U325" s="9"/>
      <c r="V325" s="9"/>
      <c r="W325" s="9"/>
      <c r="X325" s="9"/>
      <c r="Y325" s="9"/>
      <c r="Z325" s="9"/>
      <c r="AA325" s="9"/>
      <c r="AB325" s="9"/>
      <c r="AC325" s="9"/>
      <c r="AD325" s="9" t="s">
        <v>20</v>
      </c>
    </row>
    <row r="326" spans="1:30" ht="58">
      <c r="A326" s="3" t="s">
        <v>2162</v>
      </c>
      <c r="B326" s="3" t="s">
        <v>7183</v>
      </c>
      <c r="C326" s="3" t="s">
        <v>7184</v>
      </c>
      <c r="G326" s="9" t="s">
        <v>25</v>
      </c>
      <c r="H326" s="9"/>
      <c r="I326" s="9">
        <v>1</v>
      </c>
      <c r="J326" s="9">
        <v>6</v>
      </c>
      <c r="K326" s="9" t="s">
        <v>12094</v>
      </c>
      <c r="L326" s="9" t="s">
        <v>12073</v>
      </c>
      <c r="M326" s="9" t="s">
        <v>12142</v>
      </c>
      <c r="N326" s="10" t="s">
        <v>12143</v>
      </c>
      <c r="O326" s="9"/>
      <c r="P326" s="9">
        <v>4240</v>
      </c>
      <c r="Q326" s="9"/>
      <c r="R326" s="9" t="s">
        <v>12795</v>
      </c>
      <c r="S326" s="9" t="s">
        <v>12795</v>
      </c>
      <c r="T326" s="9"/>
      <c r="U326" s="9"/>
      <c r="V326" s="9"/>
      <c r="W326" s="9"/>
      <c r="X326" s="9"/>
      <c r="Y326" s="9"/>
      <c r="Z326" s="9"/>
      <c r="AA326" s="9"/>
      <c r="AB326" s="9"/>
      <c r="AC326" s="9"/>
      <c r="AD326" s="9" t="s">
        <v>20</v>
      </c>
    </row>
    <row r="327" spans="1:30" ht="29">
      <c r="A327" s="3" t="s">
        <v>2168</v>
      </c>
      <c r="B327" s="3" t="s">
        <v>7196</v>
      </c>
      <c r="C327" s="3" t="s">
        <v>7197</v>
      </c>
      <c r="G327" s="9" t="s">
        <v>24</v>
      </c>
      <c r="H327" s="9"/>
      <c r="I327" s="9">
        <v>1</v>
      </c>
      <c r="J327" s="9">
        <v>2</v>
      </c>
      <c r="K327" s="9" t="s">
        <v>12078</v>
      </c>
      <c r="L327" s="9" t="s">
        <v>12119</v>
      </c>
      <c r="M327" s="9"/>
      <c r="N327" s="10"/>
      <c r="O327" s="9" t="s">
        <v>12074</v>
      </c>
      <c r="P327" s="9">
        <v>11843</v>
      </c>
      <c r="Q327" s="9"/>
      <c r="R327" s="9" t="s">
        <v>12795</v>
      </c>
      <c r="S327" s="9" t="s">
        <v>12795</v>
      </c>
      <c r="T327" s="9"/>
      <c r="U327" s="9"/>
      <c r="V327" s="9"/>
      <c r="W327" s="9"/>
      <c r="X327" s="9"/>
      <c r="Y327" s="9"/>
      <c r="Z327" s="9"/>
      <c r="AA327" s="9"/>
      <c r="AB327" s="9"/>
      <c r="AC327" s="9"/>
      <c r="AD327" s="9" t="s">
        <v>20</v>
      </c>
    </row>
    <row r="328" spans="1:30" ht="29">
      <c r="A328" s="3" t="s">
        <v>2176</v>
      </c>
      <c r="B328" s="3" t="s">
        <v>2177</v>
      </c>
      <c r="C328" s="3" t="s">
        <v>2178</v>
      </c>
      <c r="G328" s="9" t="s">
        <v>12120</v>
      </c>
      <c r="H328" s="9"/>
      <c r="I328" s="9"/>
      <c r="J328" s="9"/>
      <c r="K328" s="9"/>
      <c r="L328" s="9"/>
      <c r="M328" s="9"/>
      <c r="N328" s="10"/>
      <c r="O328" s="9"/>
      <c r="P328" s="9"/>
      <c r="Q328" s="9"/>
      <c r="R328" s="9" t="s">
        <v>12795</v>
      </c>
      <c r="S328" s="9" t="s">
        <v>12795</v>
      </c>
      <c r="T328" s="9"/>
      <c r="U328" s="9"/>
      <c r="V328" s="9"/>
      <c r="W328" s="9"/>
      <c r="X328" s="9"/>
      <c r="Y328" s="9"/>
      <c r="Z328" s="9"/>
      <c r="AA328" s="9"/>
      <c r="AB328" s="9"/>
      <c r="AC328" s="9"/>
      <c r="AD328" s="9" t="s">
        <v>20</v>
      </c>
    </row>
    <row r="329" spans="1:30" ht="72.5">
      <c r="A329" s="3" t="s">
        <v>2183</v>
      </c>
      <c r="B329" s="3" t="s">
        <v>7215</v>
      </c>
      <c r="C329" s="3" t="s">
        <v>7214</v>
      </c>
      <c r="G329" s="9" t="s">
        <v>25</v>
      </c>
      <c r="H329" s="9"/>
      <c r="I329" s="9">
        <v>2</v>
      </c>
      <c r="J329" s="9">
        <v>5</v>
      </c>
      <c r="K329" s="9"/>
      <c r="L329" s="9" t="s">
        <v>12079</v>
      </c>
      <c r="M329" s="9"/>
      <c r="N329" s="10"/>
      <c r="O329" s="9"/>
      <c r="P329" s="9">
        <v>1966</v>
      </c>
      <c r="Q329" s="9"/>
      <c r="R329" s="9" t="s">
        <v>12795</v>
      </c>
      <c r="S329" s="9" t="s">
        <v>12795</v>
      </c>
      <c r="T329" s="9"/>
      <c r="U329" s="9"/>
      <c r="V329" s="9"/>
      <c r="W329" s="9"/>
      <c r="X329" s="9"/>
      <c r="Y329" s="9"/>
      <c r="Z329" s="9"/>
      <c r="AA329" s="9"/>
      <c r="AB329" s="9"/>
      <c r="AC329" s="9"/>
      <c r="AD329" s="9" t="s">
        <v>13141</v>
      </c>
    </row>
    <row r="330" spans="1:30" ht="29">
      <c r="A330" s="3" t="s">
        <v>2186</v>
      </c>
      <c r="B330" s="3" t="s">
        <v>7220</v>
      </c>
      <c r="C330" s="3" t="s">
        <v>7221</v>
      </c>
      <c r="G330" s="9" t="s">
        <v>25</v>
      </c>
      <c r="H330" s="9"/>
      <c r="I330" s="9">
        <v>1</v>
      </c>
      <c r="J330" s="9">
        <v>2</v>
      </c>
      <c r="K330" s="9" t="s">
        <v>12078</v>
      </c>
      <c r="L330" s="9" t="s">
        <v>12119</v>
      </c>
      <c r="M330" s="9"/>
      <c r="N330" s="10"/>
      <c r="O330" s="9"/>
      <c r="P330" s="9">
        <v>11843</v>
      </c>
      <c r="Q330" s="9"/>
      <c r="R330" s="9" t="s">
        <v>12795</v>
      </c>
      <c r="S330" s="9" t="s">
        <v>12795</v>
      </c>
      <c r="T330" s="9"/>
      <c r="U330" s="9"/>
      <c r="V330" s="9"/>
      <c r="W330" s="9"/>
      <c r="X330" s="9"/>
      <c r="Y330" s="9"/>
      <c r="Z330" s="9"/>
      <c r="AA330" s="9"/>
      <c r="AB330" s="9"/>
      <c r="AC330" s="9"/>
      <c r="AD330" s="9" t="s">
        <v>20</v>
      </c>
    </row>
    <row r="331" spans="1:30" ht="29">
      <c r="A331" s="3" t="s">
        <v>2211</v>
      </c>
      <c r="B331" s="3" t="s">
        <v>2212</v>
      </c>
      <c r="C331" s="3" t="s">
        <v>2213</v>
      </c>
      <c r="F331" t="s">
        <v>19</v>
      </c>
      <c r="G331" s="9" t="s">
        <v>12120</v>
      </c>
      <c r="H331" s="9"/>
      <c r="I331" s="9"/>
      <c r="J331" s="9"/>
      <c r="K331" s="9"/>
      <c r="L331" s="9"/>
      <c r="M331" s="9"/>
      <c r="N331" s="10"/>
      <c r="O331" s="9"/>
      <c r="P331" s="9"/>
      <c r="Q331" s="9"/>
      <c r="R331" s="9" t="s">
        <v>12795</v>
      </c>
      <c r="S331" s="9" t="s">
        <v>12795</v>
      </c>
      <c r="T331" s="9"/>
      <c r="U331" s="9"/>
      <c r="V331" s="9"/>
      <c r="W331" s="9"/>
      <c r="X331" s="9"/>
      <c r="Y331" s="9"/>
      <c r="Z331" s="9"/>
      <c r="AA331" s="9"/>
      <c r="AB331" s="9"/>
      <c r="AC331" s="9"/>
      <c r="AD331" s="9" t="s">
        <v>20</v>
      </c>
    </row>
    <row r="332" spans="1:30" ht="29">
      <c r="A332" s="3" t="s">
        <v>2221</v>
      </c>
      <c r="B332" s="3" t="s">
        <v>7241</v>
      </c>
      <c r="C332" s="3" t="s">
        <v>13032</v>
      </c>
      <c r="G332" s="9" t="s">
        <v>12120</v>
      </c>
      <c r="H332" s="9"/>
      <c r="I332" s="9"/>
      <c r="J332" s="9"/>
      <c r="K332" s="9"/>
      <c r="L332" s="9"/>
      <c r="M332" s="9"/>
      <c r="N332" s="10"/>
      <c r="O332" s="9"/>
      <c r="P332" s="9"/>
      <c r="Q332" s="9"/>
      <c r="R332" s="9" t="s">
        <v>12795</v>
      </c>
      <c r="S332" s="9" t="s">
        <v>12795</v>
      </c>
      <c r="T332" s="9"/>
      <c r="U332" s="9"/>
      <c r="V332" s="9"/>
      <c r="W332" s="9"/>
      <c r="X332" s="9"/>
      <c r="Y332" s="9"/>
      <c r="Z332" s="9"/>
      <c r="AA332" s="9"/>
      <c r="AB332" s="9"/>
      <c r="AC332" s="9"/>
      <c r="AD332" s="9" t="s">
        <v>20</v>
      </c>
    </row>
    <row r="333" spans="1:30" ht="72.5">
      <c r="A333" s="3" t="s">
        <v>2233</v>
      </c>
      <c r="B333" s="3" t="s">
        <v>7246</v>
      </c>
      <c r="C333" s="3" t="s">
        <v>7247</v>
      </c>
      <c r="G333" s="9" t="s">
        <v>26</v>
      </c>
      <c r="H333" s="9"/>
      <c r="I333" s="9"/>
      <c r="J333" s="9"/>
      <c r="K333" s="9"/>
      <c r="L333" s="9"/>
      <c r="M333" s="9"/>
      <c r="N333" s="10"/>
      <c r="O333" s="9"/>
      <c r="P333" s="9"/>
      <c r="Q333" s="9"/>
      <c r="R333" s="9" t="s">
        <v>12795</v>
      </c>
      <c r="S333" s="9" t="s">
        <v>12795</v>
      </c>
      <c r="T333" s="9"/>
      <c r="U333" s="9"/>
      <c r="V333" s="9"/>
      <c r="W333" s="9"/>
      <c r="X333" s="9"/>
      <c r="Y333" s="9"/>
      <c r="Z333" s="9"/>
      <c r="AA333" s="9"/>
      <c r="AB333" s="9"/>
      <c r="AC333" s="9"/>
      <c r="AD333" s="9" t="s">
        <v>20</v>
      </c>
    </row>
    <row r="334" spans="1:30" ht="29">
      <c r="A334" s="3" t="s">
        <v>2242</v>
      </c>
      <c r="B334" s="3" t="s">
        <v>2243</v>
      </c>
      <c r="C334" s="3" t="s">
        <v>2244</v>
      </c>
      <c r="G334" s="9" t="s">
        <v>12120</v>
      </c>
      <c r="H334" s="9"/>
      <c r="I334" s="9"/>
      <c r="J334" s="9"/>
      <c r="K334" s="9"/>
      <c r="L334" s="9"/>
      <c r="M334" s="9"/>
      <c r="N334" s="10"/>
      <c r="O334" s="9"/>
      <c r="P334" s="9"/>
      <c r="Q334" s="9"/>
      <c r="R334" s="9" t="s">
        <v>12795</v>
      </c>
      <c r="S334" s="9" t="s">
        <v>12795</v>
      </c>
      <c r="T334" s="9"/>
      <c r="U334" s="9"/>
      <c r="V334" s="9"/>
      <c r="W334" s="9"/>
      <c r="X334" s="9"/>
      <c r="Y334" s="9"/>
      <c r="Z334" s="9"/>
      <c r="AA334" s="9"/>
      <c r="AB334" s="9"/>
      <c r="AC334" s="9"/>
      <c r="AD334" s="9" t="s">
        <v>20</v>
      </c>
    </row>
    <row r="335" spans="1:30" ht="43.5">
      <c r="A335" s="3" t="s">
        <v>2248</v>
      </c>
      <c r="B335" s="3" t="s">
        <v>7263</v>
      </c>
      <c r="C335" s="3" t="s">
        <v>7262</v>
      </c>
      <c r="G335" s="9" t="s">
        <v>26</v>
      </c>
      <c r="H335" s="9"/>
      <c r="I335" s="9"/>
      <c r="J335" s="9"/>
      <c r="K335" s="9"/>
      <c r="L335" s="9"/>
      <c r="M335" s="9"/>
      <c r="N335" s="10"/>
      <c r="O335" s="9"/>
      <c r="P335" s="9"/>
      <c r="Q335" s="9"/>
      <c r="R335" s="9" t="s">
        <v>12795</v>
      </c>
      <c r="S335" s="9" t="s">
        <v>12795</v>
      </c>
      <c r="T335" s="9"/>
      <c r="U335" s="9"/>
      <c r="V335" s="9"/>
      <c r="W335" s="9"/>
      <c r="X335" s="9"/>
      <c r="Y335" s="9"/>
      <c r="Z335" s="9"/>
      <c r="AA335" s="9"/>
      <c r="AB335" s="9"/>
      <c r="AC335" s="9"/>
      <c r="AD335" s="9" t="s">
        <v>20</v>
      </c>
    </row>
    <row r="336" spans="1:30" ht="130.5">
      <c r="A336" s="3" t="s">
        <v>2258</v>
      </c>
      <c r="B336" s="3" t="s">
        <v>7291</v>
      </c>
      <c r="C336" s="3" t="s">
        <v>7292</v>
      </c>
      <c r="G336" s="9" t="s">
        <v>26</v>
      </c>
      <c r="H336" s="9"/>
      <c r="I336" s="9"/>
      <c r="J336" s="9"/>
      <c r="K336" s="9"/>
      <c r="L336" s="9"/>
      <c r="M336" s="9"/>
      <c r="N336" s="10"/>
      <c r="O336" s="9"/>
      <c r="P336" s="9"/>
      <c r="Q336" s="9"/>
      <c r="R336" s="9" t="s">
        <v>12795</v>
      </c>
      <c r="S336" s="9" t="s">
        <v>12795</v>
      </c>
      <c r="T336" s="9"/>
      <c r="U336" s="9"/>
      <c r="V336" s="9"/>
      <c r="W336" s="9"/>
      <c r="X336" s="9"/>
      <c r="Y336" s="9"/>
      <c r="Z336" s="9"/>
      <c r="AA336" s="9"/>
      <c r="AB336" s="9"/>
      <c r="AC336" s="9"/>
      <c r="AD336" s="9" t="s">
        <v>20</v>
      </c>
    </row>
    <row r="337" spans="1:30" ht="72.5">
      <c r="A337" s="3" t="s">
        <v>2259</v>
      </c>
      <c r="B337" s="3" t="s">
        <v>12366</v>
      </c>
      <c r="C337" s="3" t="s">
        <v>12365</v>
      </c>
      <c r="G337" s="9" t="s">
        <v>25</v>
      </c>
      <c r="H337" s="9"/>
      <c r="I337" s="9">
        <v>2</v>
      </c>
      <c r="J337" s="9">
        <v>6</v>
      </c>
      <c r="K337" s="9"/>
      <c r="L337" s="9" t="s">
        <v>12079</v>
      </c>
      <c r="M337" s="9"/>
      <c r="N337" s="10"/>
      <c r="O337" s="9"/>
      <c r="P337" s="9">
        <v>75</v>
      </c>
      <c r="Q337" s="9"/>
      <c r="R337" s="9" t="s">
        <v>12795</v>
      </c>
      <c r="S337" s="9" t="s">
        <v>12795</v>
      </c>
      <c r="T337" s="9"/>
      <c r="U337" s="9"/>
      <c r="V337" s="9"/>
      <c r="W337" s="9"/>
      <c r="X337" s="9"/>
      <c r="Y337" s="9"/>
      <c r="Z337" s="9"/>
      <c r="AA337" s="9"/>
      <c r="AB337" s="9"/>
      <c r="AC337" s="9"/>
      <c r="AD337" s="9" t="s">
        <v>20</v>
      </c>
    </row>
    <row r="338" spans="1:30" ht="58">
      <c r="A338" s="3" t="s">
        <v>2265</v>
      </c>
      <c r="B338" s="3" t="s">
        <v>7303</v>
      </c>
      <c r="C338" s="3" t="s">
        <v>7300</v>
      </c>
      <c r="G338" s="9" t="s">
        <v>25</v>
      </c>
      <c r="H338" s="9"/>
      <c r="I338" s="9">
        <v>1</v>
      </c>
      <c r="J338" s="9">
        <v>2</v>
      </c>
      <c r="K338" s="9" t="s">
        <v>12078</v>
      </c>
      <c r="L338" s="9" t="s">
        <v>12119</v>
      </c>
      <c r="M338" s="9"/>
      <c r="N338" s="10"/>
      <c r="O338" s="9"/>
      <c r="P338" s="9">
        <v>11843</v>
      </c>
      <c r="Q338" s="9"/>
      <c r="R338" s="9" t="s">
        <v>12795</v>
      </c>
      <c r="S338" s="9" t="s">
        <v>12795</v>
      </c>
      <c r="T338" s="9"/>
      <c r="U338" s="9"/>
      <c r="V338" s="9"/>
      <c r="W338" s="9"/>
      <c r="X338" s="9"/>
      <c r="Y338" s="9"/>
      <c r="Z338" s="9"/>
      <c r="AA338" s="9"/>
      <c r="AB338" s="9"/>
      <c r="AC338" s="9"/>
      <c r="AD338" s="9" t="s">
        <v>20</v>
      </c>
    </row>
    <row r="339" spans="1:30" ht="43.5">
      <c r="A339" s="3" t="s">
        <v>2265</v>
      </c>
      <c r="B339" s="3" t="s">
        <v>7305</v>
      </c>
      <c r="C339" s="3" t="s">
        <v>7304</v>
      </c>
      <c r="G339" s="9" t="s">
        <v>12118</v>
      </c>
      <c r="H339" s="9"/>
      <c r="I339" s="9"/>
      <c r="J339" s="9"/>
      <c r="K339" s="9"/>
      <c r="L339" s="9"/>
      <c r="M339" s="9"/>
      <c r="N339" s="10"/>
      <c r="O339" s="9"/>
      <c r="P339" s="9"/>
      <c r="Q339" s="9">
        <v>1610</v>
      </c>
      <c r="R339" s="9">
        <v>356</v>
      </c>
      <c r="S339" s="9">
        <v>1966</v>
      </c>
      <c r="T339" s="9"/>
      <c r="U339" s="9"/>
      <c r="V339" s="9"/>
      <c r="W339" s="9"/>
      <c r="X339" s="9"/>
      <c r="Y339" s="9"/>
      <c r="Z339" s="9"/>
      <c r="AA339" s="9"/>
      <c r="AB339" s="9"/>
      <c r="AC339" s="9"/>
      <c r="AD339" s="9" t="s">
        <v>20</v>
      </c>
    </row>
    <row r="340" spans="1:30" ht="58">
      <c r="A340" s="3" t="s">
        <v>2268</v>
      </c>
      <c r="B340" s="3" t="s">
        <v>12369</v>
      </c>
      <c r="C340" s="3" t="s">
        <v>7308</v>
      </c>
      <c r="G340" s="9" t="s">
        <v>25</v>
      </c>
      <c r="H340" s="9"/>
      <c r="I340" s="9">
        <v>1</v>
      </c>
      <c r="J340" s="9">
        <v>2</v>
      </c>
      <c r="K340" s="9" t="s">
        <v>12087</v>
      </c>
      <c r="L340" s="9" t="s">
        <v>12119</v>
      </c>
      <c r="M340" s="9"/>
      <c r="N340" s="10"/>
      <c r="O340" s="9"/>
      <c r="P340" s="9">
        <v>1966</v>
      </c>
      <c r="Q340" s="9"/>
      <c r="R340" s="9" t="s">
        <v>12795</v>
      </c>
      <c r="S340" s="9" t="s">
        <v>12795</v>
      </c>
      <c r="T340" s="9"/>
      <c r="U340" s="9"/>
      <c r="V340" s="9"/>
      <c r="W340" s="9"/>
      <c r="X340" s="9"/>
      <c r="Y340" s="9"/>
      <c r="Z340" s="9"/>
      <c r="AA340" s="9"/>
      <c r="AB340" s="9"/>
      <c r="AC340" s="9"/>
      <c r="AD340" s="9" t="s">
        <v>20</v>
      </c>
    </row>
    <row r="341" spans="1:30" ht="58">
      <c r="A341" s="3" t="s">
        <v>2268</v>
      </c>
      <c r="B341" s="3" t="s">
        <v>7309</v>
      </c>
      <c r="C341" s="3" t="s">
        <v>12370</v>
      </c>
      <c r="G341" s="9" t="s">
        <v>24</v>
      </c>
      <c r="H341" s="9"/>
      <c r="I341" s="9">
        <v>1</v>
      </c>
      <c r="J341" s="9">
        <v>3</v>
      </c>
      <c r="K341" s="9" t="s">
        <v>12087</v>
      </c>
      <c r="L341" s="9" t="s">
        <v>12079</v>
      </c>
      <c r="M341" s="9"/>
      <c r="N341" s="10"/>
      <c r="O341" s="9"/>
      <c r="P341" s="9">
        <v>356</v>
      </c>
      <c r="Q341" s="9"/>
      <c r="R341" s="9" t="s">
        <v>12795</v>
      </c>
      <c r="S341" s="9" t="s">
        <v>12795</v>
      </c>
      <c r="T341" s="9"/>
      <c r="U341" s="9"/>
      <c r="V341" s="9"/>
      <c r="W341" s="9"/>
      <c r="X341" s="9"/>
      <c r="Y341" s="9"/>
      <c r="Z341" s="9"/>
      <c r="AA341" s="9"/>
      <c r="AB341" s="9"/>
      <c r="AC341" s="9"/>
      <c r="AD341" s="9" t="s">
        <v>20</v>
      </c>
    </row>
    <row r="342" spans="1:30" ht="43.5">
      <c r="A342" s="3" t="s">
        <v>2270</v>
      </c>
      <c r="B342" s="3" t="s">
        <v>7310</v>
      </c>
      <c r="C342" s="3" t="s">
        <v>7311</v>
      </c>
      <c r="G342" s="9" t="s">
        <v>25</v>
      </c>
      <c r="H342" s="9"/>
      <c r="I342" s="9">
        <v>1</v>
      </c>
      <c r="J342" s="9">
        <v>6</v>
      </c>
      <c r="K342" s="9" t="s">
        <v>12078</v>
      </c>
      <c r="L342" s="9" t="s">
        <v>12079</v>
      </c>
      <c r="M342" s="9"/>
      <c r="N342" s="10"/>
      <c r="O342" s="9"/>
      <c r="P342" s="9">
        <v>11843</v>
      </c>
      <c r="Q342" s="9"/>
      <c r="R342" s="9" t="s">
        <v>12795</v>
      </c>
      <c r="S342" s="9" t="s">
        <v>12795</v>
      </c>
      <c r="T342" s="9"/>
      <c r="U342" s="9"/>
      <c r="V342" s="9"/>
      <c r="W342" s="9"/>
      <c r="X342" s="9"/>
      <c r="Y342" s="9"/>
      <c r="Z342" s="9"/>
      <c r="AA342" s="9"/>
      <c r="AB342" s="9"/>
      <c r="AC342" s="9"/>
      <c r="AD342" s="9" t="s">
        <v>20</v>
      </c>
    </row>
    <row r="343" spans="1:30" ht="101.5">
      <c r="A343" s="3" t="s">
        <v>2271</v>
      </c>
      <c r="B343" s="3" t="s">
        <v>7313</v>
      </c>
      <c r="C343" s="3" t="s">
        <v>7312</v>
      </c>
      <c r="G343" s="9" t="s">
        <v>25</v>
      </c>
      <c r="H343" s="9"/>
      <c r="I343" s="9">
        <v>3</v>
      </c>
      <c r="J343" s="9">
        <v>18</v>
      </c>
      <c r="K343" s="9"/>
      <c r="L343" s="9" t="s">
        <v>12073</v>
      </c>
      <c r="M343" s="9" t="s">
        <v>12135</v>
      </c>
      <c r="N343" s="10" t="s">
        <v>12136</v>
      </c>
      <c r="O343" s="9"/>
      <c r="P343" s="9">
        <v>83</v>
      </c>
      <c r="Q343" s="9"/>
      <c r="R343" s="9" t="s">
        <v>12795</v>
      </c>
      <c r="S343" s="9" t="s">
        <v>12795</v>
      </c>
      <c r="T343" s="9"/>
      <c r="U343" s="9"/>
      <c r="V343" s="9"/>
      <c r="W343" s="9"/>
      <c r="X343" s="9"/>
      <c r="Y343" s="9"/>
      <c r="Z343" s="9"/>
      <c r="AA343" s="9"/>
      <c r="AB343" s="9"/>
      <c r="AC343" s="9"/>
      <c r="AD343" s="9" t="s">
        <v>20</v>
      </c>
    </row>
    <row r="344" spans="1:30" ht="43.5">
      <c r="A344" s="3" t="s">
        <v>2274</v>
      </c>
      <c r="B344" s="3" t="s">
        <v>7316</v>
      </c>
      <c r="C344" s="3" t="s">
        <v>7317</v>
      </c>
      <c r="G344" s="9" t="s">
        <v>12120</v>
      </c>
      <c r="H344" s="9"/>
      <c r="I344" s="9"/>
      <c r="J344" s="9"/>
      <c r="K344" s="9"/>
      <c r="L344" s="9"/>
      <c r="M344" s="9"/>
      <c r="N344" s="10"/>
      <c r="O344" s="9"/>
      <c r="P344" s="9"/>
      <c r="Q344" s="9"/>
      <c r="R344" s="9" t="s">
        <v>12795</v>
      </c>
      <c r="S344" s="9" t="s">
        <v>12795</v>
      </c>
      <c r="T344" s="9"/>
      <c r="U344" s="9"/>
      <c r="V344" s="9"/>
      <c r="W344" s="9"/>
      <c r="X344" s="9"/>
      <c r="Y344" s="9"/>
      <c r="Z344" s="9"/>
      <c r="AA344" s="9"/>
      <c r="AB344" s="9"/>
      <c r="AC344" s="9"/>
      <c r="AD344" s="9" t="s">
        <v>20</v>
      </c>
    </row>
    <row r="345" spans="1:30" ht="29">
      <c r="A345" s="3" t="s">
        <v>2283</v>
      </c>
      <c r="B345" s="3" t="s">
        <v>7323</v>
      </c>
      <c r="C345" s="3" t="s">
        <v>7324</v>
      </c>
      <c r="G345" s="9" t="s">
        <v>25</v>
      </c>
      <c r="H345" s="9"/>
      <c r="I345" s="9">
        <v>1</v>
      </c>
      <c r="J345" s="9">
        <v>5</v>
      </c>
      <c r="K345" s="9" t="s">
        <v>12094</v>
      </c>
      <c r="L345" s="9" t="s">
        <v>12079</v>
      </c>
      <c r="M345" s="9"/>
      <c r="N345" s="10"/>
      <c r="O345" s="9"/>
      <c r="P345" s="9">
        <v>930</v>
      </c>
      <c r="Q345" s="9"/>
      <c r="R345" s="9" t="s">
        <v>12795</v>
      </c>
      <c r="S345" s="9" t="s">
        <v>12795</v>
      </c>
      <c r="T345" s="9"/>
      <c r="U345" s="9"/>
      <c r="V345" s="9"/>
      <c r="W345" s="9"/>
      <c r="X345" s="9"/>
      <c r="Y345" s="9"/>
      <c r="Z345" s="9"/>
      <c r="AA345" s="9"/>
      <c r="AB345" s="9"/>
      <c r="AC345" s="9"/>
      <c r="AD345" s="9" t="s">
        <v>20</v>
      </c>
    </row>
    <row r="346" spans="1:30" ht="43.5">
      <c r="A346" s="3" t="s">
        <v>2288</v>
      </c>
      <c r="B346" s="3" t="s">
        <v>7337</v>
      </c>
      <c r="C346" s="3" t="s">
        <v>7338</v>
      </c>
      <c r="G346" s="9" t="s">
        <v>12118</v>
      </c>
      <c r="H346" s="9"/>
      <c r="I346" s="9"/>
      <c r="J346" s="9"/>
      <c r="K346" s="9"/>
      <c r="L346" s="9"/>
      <c r="M346" s="9"/>
      <c r="N346" s="10"/>
      <c r="O346" s="9"/>
      <c r="P346" s="9"/>
      <c r="Q346" s="9">
        <v>-7</v>
      </c>
      <c r="R346" s="9">
        <v>7</v>
      </c>
      <c r="S346" s="9">
        <v>0</v>
      </c>
      <c r="T346" s="9"/>
      <c r="U346" s="9"/>
      <c r="V346" s="9"/>
      <c r="W346" s="9"/>
      <c r="X346" s="9"/>
      <c r="Y346" s="9"/>
      <c r="Z346" s="9"/>
      <c r="AA346" s="9"/>
      <c r="AB346" s="9"/>
      <c r="AC346" s="9"/>
      <c r="AD346" s="9" t="s">
        <v>20</v>
      </c>
    </row>
    <row r="347" spans="1:30" ht="159.5">
      <c r="A347" s="3" t="s">
        <v>2289</v>
      </c>
      <c r="B347" s="3" t="s">
        <v>7339</v>
      </c>
      <c r="C347" s="3" t="s">
        <v>7340</v>
      </c>
      <c r="G347" s="9" t="s">
        <v>26</v>
      </c>
      <c r="H347" s="9"/>
      <c r="I347" s="9"/>
      <c r="J347" s="9"/>
      <c r="K347" s="9"/>
      <c r="L347" s="9"/>
      <c r="M347" s="9"/>
      <c r="N347" s="10"/>
      <c r="O347" s="9"/>
      <c r="P347" s="9"/>
      <c r="Q347" s="9"/>
      <c r="R347" s="9" t="s">
        <v>12795</v>
      </c>
      <c r="S347" s="9" t="s">
        <v>12795</v>
      </c>
      <c r="T347" s="9"/>
      <c r="U347" s="9"/>
      <c r="V347" s="9"/>
      <c r="W347" s="9"/>
      <c r="X347" s="9"/>
      <c r="Y347" s="9"/>
      <c r="Z347" s="9"/>
      <c r="AA347" s="9"/>
      <c r="AB347" s="9"/>
      <c r="AC347" s="9"/>
      <c r="AD347" s="9" t="s">
        <v>20</v>
      </c>
    </row>
    <row r="348" spans="1:30" ht="43.5">
      <c r="A348" s="3" t="s">
        <v>2292</v>
      </c>
      <c r="B348" s="3" t="s">
        <v>7343</v>
      </c>
      <c r="C348" s="3" t="s">
        <v>7344</v>
      </c>
      <c r="G348" s="9" t="s">
        <v>24</v>
      </c>
      <c r="H348" s="9"/>
      <c r="I348" s="9">
        <v>1</v>
      </c>
      <c r="J348" s="9">
        <v>3</v>
      </c>
      <c r="K348" s="9" t="s">
        <v>12078</v>
      </c>
      <c r="L348" s="9" t="s">
        <v>12079</v>
      </c>
      <c r="M348" s="9"/>
      <c r="N348" s="10"/>
      <c r="O348" s="9"/>
      <c r="P348" s="9">
        <v>11843</v>
      </c>
      <c r="Q348" s="9"/>
      <c r="R348" s="9" t="s">
        <v>12795</v>
      </c>
      <c r="S348" s="9" t="s">
        <v>12795</v>
      </c>
      <c r="T348" s="9"/>
      <c r="U348" s="9"/>
      <c r="V348" s="9"/>
      <c r="W348" s="9"/>
      <c r="X348" s="9"/>
      <c r="Y348" s="9"/>
      <c r="Z348" s="9"/>
      <c r="AA348" s="9"/>
      <c r="AB348" s="9"/>
      <c r="AC348" s="9"/>
      <c r="AD348" s="9" t="s">
        <v>20</v>
      </c>
    </row>
    <row r="349" spans="1:30" ht="29">
      <c r="A349" s="3" t="s">
        <v>2296</v>
      </c>
      <c r="B349" s="3" t="s">
        <v>2297</v>
      </c>
      <c r="C349" s="3" t="s">
        <v>302</v>
      </c>
      <c r="G349" s="9" t="s">
        <v>12120</v>
      </c>
      <c r="H349" s="9"/>
      <c r="I349" s="9"/>
      <c r="J349" s="9"/>
      <c r="K349" s="9"/>
      <c r="L349" s="9"/>
      <c r="M349" s="9"/>
      <c r="N349" s="10"/>
      <c r="O349" s="9"/>
      <c r="P349" s="9"/>
      <c r="Q349" s="9"/>
      <c r="R349" s="9" t="s">
        <v>12795</v>
      </c>
      <c r="S349" s="9" t="s">
        <v>12795</v>
      </c>
      <c r="T349" s="9"/>
      <c r="U349" s="9"/>
      <c r="V349" s="9"/>
      <c r="W349" s="9"/>
      <c r="X349" s="9"/>
      <c r="Y349" s="9"/>
      <c r="Z349" s="9"/>
      <c r="AA349" s="9"/>
      <c r="AB349" s="9"/>
      <c r="AC349" s="9"/>
      <c r="AD349" s="9" t="s">
        <v>20</v>
      </c>
    </row>
    <row r="350" spans="1:30" ht="29">
      <c r="A350" s="3" t="s">
        <v>2303</v>
      </c>
      <c r="B350" s="3" t="s">
        <v>7351</v>
      </c>
      <c r="C350" s="3" t="s">
        <v>7350</v>
      </c>
      <c r="G350" s="9" t="s">
        <v>25</v>
      </c>
      <c r="H350" s="9"/>
      <c r="I350" s="9">
        <v>1</v>
      </c>
      <c r="J350" s="9">
        <v>1</v>
      </c>
      <c r="K350" s="9" t="s">
        <v>12078</v>
      </c>
      <c r="L350" s="9" t="s">
        <v>12079</v>
      </c>
      <c r="M350" s="9"/>
      <c r="N350" s="10"/>
      <c r="O350" s="9"/>
      <c r="P350" s="9">
        <v>11843</v>
      </c>
      <c r="Q350" s="9"/>
      <c r="R350" s="9" t="s">
        <v>12795</v>
      </c>
      <c r="S350" s="9" t="s">
        <v>12795</v>
      </c>
      <c r="T350" s="9"/>
      <c r="U350" s="9"/>
      <c r="V350" s="9"/>
      <c r="W350" s="9"/>
      <c r="X350" s="9"/>
      <c r="Y350" s="9"/>
      <c r="Z350" s="9"/>
      <c r="AA350" s="9"/>
      <c r="AB350" s="9"/>
      <c r="AC350" s="9"/>
      <c r="AD350" s="9" t="s">
        <v>13141</v>
      </c>
    </row>
    <row r="351" spans="1:30" ht="87">
      <c r="A351" s="3" t="s">
        <v>2304</v>
      </c>
      <c r="B351" s="3" t="s">
        <v>7355</v>
      </c>
      <c r="C351" s="3" t="s">
        <v>7354</v>
      </c>
      <c r="G351" s="9" t="s">
        <v>12118</v>
      </c>
      <c r="H351" s="9"/>
      <c r="I351" s="9"/>
      <c r="J351" s="9"/>
      <c r="K351" s="9"/>
      <c r="L351" s="9"/>
      <c r="M351" s="9"/>
      <c r="N351" s="10"/>
      <c r="O351" s="9"/>
      <c r="P351" s="9"/>
      <c r="Q351" s="9">
        <v>11777</v>
      </c>
      <c r="R351" s="9">
        <v>66</v>
      </c>
      <c r="S351" s="9">
        <v>11843</v>
      </c>
      <c r="T351" s="9"/>
      <c r="U351" s="9"/>
      <c r="V351" s="9"/>
      <c r="W351" s="9"/>
      <c r="X351" s="9"/>
      <c r="Y351" s="9"/>
      <c r="Z351" s="9"/>
      <c r="AA351" s="9"/>
      <c r="AB351" s="9"/>
      <c r="AC351" s="9"/>
      <c r="AD351" s="9" t="s">
        <v>20</v>
      </c>
    </row>
    <row r="352" spans="1:30" ht="29">
      <c r="A352" s="3" t="s">
        <v>2305</v>
      </c>
      <c r="B352" s="11" t="s">
        <v>12897</v>
      </c>
      <c r="C352" s="11" t="s">
        <v>7358</v>
      </c>
      <c r="G352" s="9" t="s">
        <v>25</v>
      </c>
      <c r="H352" s="9"/>
      <c r="I352" s="9">
        <v>1</v>
      </c>
      <c r="J352" s="9">
        <v>1</v>
      </c>
      <c r="K352" s="9" t="s">
        <v>12078</v>
      </c>
      <c r="L352" s="9" t="s">
        <v>12079</v>
      </c>
      <c r="M352" s="9"/>
      <c r="N352" s="10"/>
      <c r="O352" s="9"/>
      <c r="P352" s="9">
        <v>11843</v>
      </c>
      <c r="Q352" s="9"/>
      <c r="R352" s="9" t="s">
        <v>12795</v>
      </c>
      <c r="S352" s="9" t="s">
        <v>12795</v>
      </c>
      <c r="T352" s="9"/>
      <c r="U352" s="9"/>
      <c r="V352" s="9"/>
      <c r="W352" s="9"/>
      <c r="X352" s="9"/>
      <c r="Y352" s="9"/>
      <c r="Z352" s="9"/>
      <c r="AA352" s="9"/>
      <c r="AB352" s="9"/>
      <c r="AC352" s="9"/>
      <c r="AD352" s="9" t="s">
        <v>20</v>
      </c>
    </row>
    <row r="353" spans="1:30" ht="43.5">
      <c r="A353" s="3" t="s">
        <v>2310</v>
      </c>
      <c r="B353" s="3" t="s">
        <v>7361</v>
      </c>
      <c r="C353" s="3" t="s">
        <v>7362</v>
      </c>
      <c r="G353" s="9" t="s">
        <v>12118</v>
      </c>
      <c r="H353" s="9"/>
      <c r="I353" s="9"/>
      <c r="J353" s="9"/>
      <c r="K353" s="9"/>
      <c r="L353" s="9"/>
      <c r="M353" s="9"/>
      <c r="N353" s="10"/>
      <c r="O353" s="9"/>
      <c r="P353" s="9"/>
      <c r="Q353" s="9">
        <v>4</v>
      </c>
      <c r="R353" s="9">
        <v>133</v>
      </c>
      <c r="S353" s="9">
        <v>137</v>
      </c>
      <c r="T353" s="9"/>
      <c r="U353" s="9"/>
      <c r="V353" s="9"/>
      <c r="W353" s="9"/>
      <c r="X353" s="9"/>
      <c r="Y353" s="9"/>
      <c r="Z353" s="9"/>
      <c r="AA353" s="9"/>
      <c r="AB353" s="9"/>
      <c r="AC353" s="9"/>
      <c r="AD353" s="9" t="s">
        <v>20</v>
      </c>
    </row>
    <row r="354" spans="1:30" ht="391.5">
      <c r="A354" s="3" t="s">
        <v>2315</v>
      </c>
      <c r="B354" s="3" t="s">
        <v>12898</v>
      </c>
      <c r="C354" s="3" t="s">
        <v>7368</v>
      </c>
      <c r="G354" s="9" t="s">
        <v>26</v>
      </c>
      <c r="H354" s="9"/>
      <c r="I354" s="9"/>
      <c r="J354" s="9"/>
      <c r="K354" s="9"/>
      <c r="L354" s="9"/>
      <c r="M354" s="9"/>
      <c r="N354" s="10"/>
      <c r="O354" s="9"/>
      <c r="P354" s="9"/>
      <c r="Q354" s="9"/>
      <c r="R354" s="9" t="s">
        <v>12795</v>
      </c>
      <c r="S354" s="9" t="s">
        <v>12795</v>
      </c>
      <c r="T354" s="9"/>
      <c r="U354" s="9"/>
      <c r="V354" s="9"/>
      <c r="W354" s="9"/>
      <c r="X354" s="9"/>
      <c r="Y354" s="9"/>
      <c r="Z354" s="9"/>
      <c r="AA354" s="9"/>
      <c r="AB354" s="9"/>
      <c r="AC354" s="9"/>
      <c r="AD354" s="9" t="s">
        <v>20</v>
      </c>
    </row>
    <row r="355" spans="1:30" ht="391.5">
      <c r="A355" s="3" t="s">
        <v>2320</v>
      </c>
      <c r="B355" s="3" t="s">
        <v>12899</v>
      </c>
      <c r="C355" s="3" t="s">
        <v>7369</v>
      </c>
      <c r="G355" s="9" t="s">
        <v>12120</v>
      </c>
      <c r="H355" s="9"/>
      <c r="I355" s="9"/>
      <c r="J355" s="9"/>
      <c r="K355" s="9"/>
      <c r="L355" s="9"/>
      <c r="M355" s="9"/>
      <c r="N355" s="10"/>
      <c r="O355" s="9"/>
      <c r="P355" s="9"/>
      <c r="Q355" s="9"/>
      <c r="R355" s="9"/>
      <c r="S355" s="9" t="s">
        <v>12795</v>
      </c>
      <c r="T355" s="9"/>
      <c r="U355" s="9"/>
      <c r="V355" s="9"/>
      <c r="W355" s="9"/>
      <c r="X355" s="9"/>
      <c r="Y355" s="9"/>
      <c r="Z355" s="9"/>
      <c r="AA355" s="9"/>
      <c r="AB355" s="9"/>
      <c r="AC355" s="9"/>
      <c r="AD355" s="9" t="s">
        <v>20</v>
      </c>
    </row>
    <row r="356" spans="1:30">
      <c r="A356" s="3" t="s">
        <v>2321</v>
      </c>
      <c r="B356" s="3" t="s">
        <v>2322</v>
      </c>
      <c r="C356" s="3" t="s">
        <v>2323</v>
      </c>
      <c r="G356" s="9" t="s">
        <v>12120</v>
      </c>
      <c r="H356" s="9"/>
      <c r="I356" s="9"/>
      <c r="J356" s="9"/>
      <c r="K356" s="9"/>
      <c r="L356" s="9"/>
      <c r="M356" s="9"/>
      <c r="N356" s="10"/>
      <c r="O356" s="9"/>
      <c r="P356" s="9"/>
      <c r="Q356" s="9"/>
      <c r="R356" s="9" t="s">
        <v>12795</v>
      </c>
      <c r="S356" s="9" t="s">
        <v>12795</v>
      </c>
      <c r="T356" s="9"/>
      <c r="U356" s="9"/>
      <c r="V356" s="9"/>
      <c r="W356" s="9"/>
      <c r="X356" s="9"/>
      <c r="Y356" s="9"/>
      <c r="Z356" s="9"/>
      <c r="AA356" s="9"/>
      <c r="AB356" s="9"/>
      <c r="AC356" s="9"/>
      <c r="AD356" s="9" t="s">
        <v>20</v>
      </c>
    </row>
    <row r="357" spans="1:30" ht="29">
      <c r="A357" s="3" t="s">
        <v>2324</v>
      </c>
      <c r="B357" s="3" t="s">
        <v>7373</v>
      </c>
      <c r="C357" s="3" t="s">
        <v>7372</v>
      </c>
      <c r="G357" s="9" t="s">
        <v>12120</v>
      </c>
      <c r="H357" s="9"/>
      <c r="I357" s="9"/>
      <c r="J357" s="9"/>
      <c r="K357" s="9"/>
      <c r="L357" s="9"/>
      <c r="M357" s="9"/>
      <c r="N357" s="10"/>
      <c r="O357" s="9"/>
      <c r="P357" s="9"/>
      <c r="Q357" s="9"/>
      <c r="R357" s="9" t="s">
        <v>12795</v>
      </c>
      <c r="S357" s="9" t="s">
        <v>12795</v>
      </c>
      <c r="T357" s="9"/>
      <c r="U357" s="9"/>
      <c r="V357" s="9"/>
      <c r="W357" s="9"/>
      <c r="X357" s="9"/>
      <c r="Y357" s="9"/>
      <c r="Z357" s="9"/>
      <c r="AA357" s="9"/>
      <c r="AB357" s="9"/>
      <c r="AC357" s="9"/>
      <c r="AD357" s="9" t="s">
        <v>20</v>
      </c>
    </row>
    <row r="358" spans="1:30" ht="29">
      <c r="A358" s="3" t="s">
        <v>2332</v>
      </c>
      <c r="B358" s="3" t="s">
        <v>7384</v>
      </c>
      <c r="C358" s="3" t="s">
        <v>7386</v>
      </c>
      <c r="G358" s="9" t="s">
        <v>25</v>
      </c>
      <c r="H358" s="9"/>
      <c r="I358" s="9">
        <v>1</v>
      </c>
      <c r="J358" s="9">
        <v>2</v>
      </c>
      <c r="K358" s="9" t="s">
        <v>12087</v>
      </c>
      <c r="L358" s="9" t="s">
        <v>12119</v>
      </c>
      <c r="M358" s="9"/>
      <c r="N358" s="10"/>
      <c r="O358" s="9"/>
      <c r="P358" s="9">
        <v>227</v>
      </c>
      <c r="Q358" s="9"/>
      <c r="R358" s="9" t="s">
        <v>12795</v>
      </c>
      <c r="S358" s="9" t="s">
        <v>12795</v>
      </c>
      <c r="T358" s="9"/>
      <c r="U358" s="9"/>
      <c r="V358" s="9"/>
      <c r="W358" s="9"/>
      <c r="X358" s="9"/>
      <c r="Y358" s="9"/>
      <c r="Z358" s="9"/>
      <c r="AA358" s="9"/>
      <c r="AB358" s="9"/>
      <c r="AC358" s="9"/>
      <c r="AD358" s="9" t="s">
        <v>20</v>
      </c>
    </row>
    <row r="359" spans="1:30" ht="43.5">
      <c r="A359" s="3" t="s">
        <v>2333</v>
      </c>
      <c r="B359" s="3" t="s">
        <v>7385</v>
      </c>
      <c r="C359" s="3" t="s">
        <v>7387</v>
      </c>
      <c r="G359" s="9" t="s">
        <v>25</v>
      </c>
      <c r="H359" s="9"/>
      <c r="I359" s="9">
        <v>1</v>
      </c>
      <c r="J359" s="9">
        <v>2</v>
      </c>
      <c r="K359" s="9" t="s">
        <v>12087</v>
      </c>
      <c r="L359" s="9" t="s">
        <v>12119</v>
      </c>
      <c r="M359" s="9"/>
      <c r="N359" s="10"/>
      <c r="O359" s="9"/>
      <c r="P359" s="9">
        <v>227</v>
      </c>
      <c r="Q359" s="9"/>
      <c r="R359" s="9" t="s">
        <v>12795</v>
      </c>
      <c r="S359" s="9" t="s">
        <v>12795</v>
      </c>
      <c r="T359" s="9"/>
      <c r="U359" s="9"/>
      <c r="V359" s="9"/>
      <c r="W359" s="9"/>
      <c r="X359" s="9"/>
      <c r="Y359" s="9"/>
      <c r="Z359" s="9"/>
      <c r="AA359" s="9"/>
      <c r="AB359" s="9"/>
      <c r="AC359" s="9"/>
      <c r="AD359" s="9" t="s">
        <v>20</v>
      </c>
    </row>
    <row r="360" spans="1:30" ht="101.5">
      <c r="A360" s="3" t="s">
        <v>2343</v>
      </c>
      <c r="B360" s="3" t="s">
        <v>7390</v>
      </c>
      <c r="C360" s="3" t="s">
        <v>7393</v>
      </c>
      <c r="G360" s="9" t="s">
        <v>24</v>
      </c>
      <c r="H360" s="9"/>
      <c r="I360" s="9">
        <v>1</v>
      </c>
      <c r="J360" s="9">
        <v>10</v>
      </c>
      <c r="K360" s="9" t="s">
        <v>12092</v>
      </c>
      <c r="L360" s="9" t="s">
        <v>12073</v>
      </c>
      <c r="M360" s="9" t="s">
        <v>12142</v>
      </c>
      <c r="N360" s="10" t="s">
        <v>12375</v>
      </c>
      <c r="O360" s="9" t="s">
        <v>12074</v>
      </c>
      <c r="P360" s="9">
        <v>17</v>
      </c>
      <c r="Q360" s="9"/>
      <c r="R360" s="9" t="s">
        <v>12795</v>
      </c>
      <c r="S360" s="9" t="s">
        <v>12795</v>
      </c>
      <c r="T360" s="9"/>
      <c r="U360" s="9"/>
      <c r="V360" s="9"/>
      <c r="W360" s="9"/>
      <c r="X360" s="9"/>
      <c r="Y360" s="9"/>
      <c r="Z360" s="9"/>
      <c r="AA360" s="9"/>
      <c r="AB360" s="9"/>
      <c r="AC360" s="9"/>
      <c r="AD360" s="9" t="s">
        <v>20</v>
      </c>
    </row>
    <row r="361" spans="1:30" ht="29">
      <c r="A361" s="3" t="s">
        <v>2344</v>
      </c>
      <c r="B361" s="3" t="s">
        <v>7395</v>
      </c>
      <c r="C361" s="3" t="s">
        <v>7394</v>
      </c>
      <c r="G361" s="9" t="s">
        <v>24</v>
      </c>
      <c r="H361" s="9"/>
      <c r="I361" s="9">
        <v>1</v>
      </c>
      <c r="J361" s="9">
        <v>2</v>
      </c>
      <c r="K361" s="9" t="s">
        <v>12087</v>
      </c>
      <c r="L361" s="9" t="s">
        <v>12119</v>
      </c>
      <c r="M361" s="9"/>
      <c r="N361" s="10"/>
      <c r="O361" s="9"/>
      <c r="P361" s="9">
        <v>1966</v>
      </c>
      <c r="Q361" s="9"/>
      <c r="R361" s="9" t="s">
        <v>12795</v>
      </c>
      <c r="S361" s="9" t="s">
        <v>12795</v>
      </c>
      <c r="T361" s="9"/>
      <c r="U361" s="9"/>
      <c r="V361" s="9"/>
      <c r="W361" s="9"/>
      <c r="X361" s="9"/>
      <c r="Y361" s="9"/>
      <c r="Z361" s="9"/>
      <c r="AA361" s="9"/>
      <c r="AB361" s="9"/>
      <c r="AC361" s="9"/>
      <c r="AD361" s="9" t="s">
        <v>20</v>
      </c>
    </row>
    <row r="362" spans="1:30" ht="72.5">
      <c r="A362" s="3" t="s">
        <v>2348</v>
      </c>
      <c r="B362" s="3" t="s">
        <v>7402</v>
      </c>
      <c r="C362" s="3" t="s">
        <v>7403</v>
      </c>
      <c r="G362" s="9" t="s">
        <v>12118</v>
      </c>
      <c r="H362" s="9"/>
      <c r="I362" s="9"/>
      <c r="J362" s="9"/>
      <c r="K362" s="9"/>
      <c r="L362" s="9"/>
      <c r="M362" s="9"/>
      <c r="N362" s="10"/>
      <c r="O362" s="9"/>
      <c r="P362" s="9"/>
      <c r="Q362" s="9">
        <v>202</v>
      </c>
      <c r="R362" s="9">
        <v>0</v>
      </c>
      <c r="S362" s="9">
        <v>202</v>
      </c>
      <c r="T362" s="9"/>
      <c r="U362" s="9"/>
      <c r="V362" s="9"/>
      <c r="W362" s="9"/>
      <c r="X362" s="9"/>
      <c r="Y362" s="9"/>
      <c r="Z362" s="9"/>
      <c r="AA362" s="9"/>
      <c r="AB362" s="9"/>
      <c r="AC362" s="9"/>
      <c r="AD362" s="9" t="s">
        <v>20</v>
      </c>
    </row>
    <row r="363" spans="1:30" ht="159.5">
      <c r="A363" s="3" t="s">
        <v>2357</v>
      </c>
      <c r="B363" s="3" t="s">
        <v>7413</v>
      </c>
      <c r="C363" s="3" t="s">
        <v>7410</v>
      </c>
      <c r="G363" s="9" t="s">
        <v>25</v>
      </c>
      <c r="H363" s="9"/>
      <c r="I363" s="9">
        <v>1</v>
      </c>
      <c r="J363" s="9">
        <v>2</v>
      </c>
      <c r="K363" s="9" t="s">
        <v>12078</v>
      </c>
      <c r="L363" s="9" t="s">
        <v>12119</v>
      </c>
      <c r="M363" s="9"/>
      <c r="N363" s="10"/>
      <c r="O363" s="9"/>
      <c r="P363" s="9">
        <v>11843</v>
      </c>
      <c r="Q363" s="9"/>
      <c r="R363" s="9" t="s">
        <v>12795</v>
      </c>
      <c r="S363" s="9" t="s">
        <v>12795</v>
      </c>
      <c r="T363" s="9"/>
      <c r="U363" s="9"/>
      <c r="V363" s="9"/>
      <c r="W363" s="9"/>
      <c r="X363" s="9"/>
      <c r="Y363" s="9"/>
      <c r="Z363" s="9"/>
      <c r="AA363" s="9"/>
      <c r="AB363" s="9"/>
      <c r="AC363" s="9"/>
      <c r="AD363" s="9" t="s">
        <v>20</v>
      </c>
    </row>
    <row r="364" spans="1:30" ht="87">
      <c r="A364" s="3" t="s">
        <v>2360</v>
      </c>
      <c r="B364" s="3" t="s">
        <v>12376</v>
      </c>
      <c r="C364" s="3" t="s">
        <v>12377</v>
      </c>
      <c r="G364" s="9" t="s">
        <v>25</v>
      </c>
      <c r="H364" s="9"/>
      <c r="I364" s="9">
        <v>3</v>
      </c>
      <c r="J364" s="9">
        <v>12</v>
      </c>
      <c r="K364" s="9"/>
      <c r="L364" s="9" t="s">
        <v>12073</v>
      </c>
      <c r="M364" s="9" t="s">
        <v>12140</v>
      </c>
      <c r="N364" s="10" t="s">
        <v>12193</v>
      </c>
      <c r="O364" s="9"/>
      <c r="P364" s="9">
        <v>2042</v>
      </c>
      <c r="Q364" s="9"/>
      <c r="R364" s="9" t="s">
        <v>12795</v>
      </c>
      <c r="S364" s="9" t="s">
        <v>12795</v>
      </c>
      <c r="T364" s="9"/>
      <c r="U364" s="9"/>
      <c r="V364" s="9"/>
      <c r="W364" s="9"/>
      <c r="X364" s="9"/>
      <c r="Y364" s="9"/>
      <c r="Z364" s="9"/>
      <c r="AA364" s="9"/>
      <c r="AB364" s="9"/>
      <c r="AC364" s="9"/>
      <c r="AD364" s="9" t="s">
        <v>20</v>
      </c>
    </row>
    <row r="365" spans="1:30" ht="58">
      <c r="A365" s="3" t="s">
        <v>2369</v>
      </c>
      <c r="B365" s="3" t="s">
        <v>7434</v>
      </c>
      <c r="C365" s="3" t="s">
        <v>7435</v>
      </c>
      <c r="G365" s="9" t="s">
        <v>12118</v>
      </c>
      <c r="H365" s="9"/>
      <c r="I365" s="9"/>
      <c r="J365" s="9"/>
      <c r="K365" s="9"/>
      <c r="L365" s="9"/>
      <c r="M365" s="9"/>
      <c r="N365" s="10"/>
      <c r="O365" s="9"/>
      <c r="P365" s="9"/>
      <c r="Q365" s="9">
        <v>-81</v>
      </c>
      <c r="R365" s="9">
        <v>83</v>
      </c>
      <c r="S365" s="9">
        <v>2</v>
      </c>
      <c r="T365" s="9"/>
      <c r="U365" s="9"/>
      <c r="V365" s="9"/>
      <c r="W365" s="9"/>
      <c r="X365" s="9"/>
      <c r="Y365" s="9"/>
      <c r="Z365" s="9"/>
      <c r="AA365" s="9"/>
      <c r="AB365" s="9"/>
      <c r="AC365" s="9"/>
      <c r="AD365" s="9" t="s">
        <v>20</v>
      </c>
    </row>
    <row r="366" spans="1:30" ht="29">
      <c r="A366" s="3" t="s">
        <v>2372</v>
      </c>
      <c r="B366" s="3" t="s">
        <v>7439</v>
      </c>
      <c r="C366" s="3" t="s">
        <v>7438</v>
      </c>
      <c r="G366" s="9" t="s">
        <v>25</v>
      </c>
      <c r="H366" s="9"/>
      <c r="I366" s="9">
        <v>1</v>
      </c>
      <c r="J366" s="9">
        <v>2</v>
      </c>
      <c r="K366" s="9" t="s">
        <v>12096</v>
      </c>
      <c r="L366" s="9" t="s">
        <v>12119</v>
      </c>
      <c r="M366" s="9"/>
      <c r="N366" s="10"/>
      <c r="O366" s="9"/>
      <c r="P366" s="9">
        <v>1294</v>
      </c>
      <c r="Q366" s="9"/>
      <c r="R366" s="9" t="s">
        <v>12795</v>
      </c>
      <c r="S366" s="9" t="s">
        <v>12795</v>
      </c>
      <c r="T366" s="9"/>
      <c r="U366" s="9"/>
      <c r="V366" s="9"/>
      <c r="W366" s="9"/>
      <c r="X366" s="9"/>
      <c r="Y366" s="9"/>
      <c r="Z366" s="9"/>
      <c r="AA366" s="9"/>
      <c r="AB366" s="9"/>
      <c r="AC366" s="9"/>
      <c r="AD366" s="9" t="s">
        <v>20</v>
      </c>
    </row>
    <row r="367" spans="1:30" ht="87">
      <c r="A367" s="3" t="s">
        <v>2381</v>
      </c>
      <c r="B367" s="3" t="s">
        <v>7451</v>
      </c>
      <c r="C367" s="3" t="s">
        <v>7452</v>
      </c>
      <c r="G367" s="9" t="s">
        <v>26</v>
      </c>
      <c r="H367" s="9"/>
      <c r="I367" s="9"/>
      <c r="J367" s="9"/>
      <c r="K367" s="9"/>
      <c r="L367" s="9"/>
      <c r="M367" s="9"/>
      <c r="N367" s="10"/>
      <c r="O367" s="9"/>
      <c r="P367" s="9"/>
      <c r="Q367" s="9"/>
      <c r="R367" s="9" t="s">
        <v>12795</v>
      </c>
      <c r="S367" s="9" t="s">
        <v>12795</v>
      </c>
      <c r="T367" s="9" t="s">
        <v>12117</v>
      </c>
      <c r="U367" s="9"/>
      <c r="V367" s="9"/>
      <c r="W367" s="9"/>
      <c r="X367" s="9"/>
      <c r="Y367" s="9"/>
      <c r="Z367" s="9"/>
      <c r="AA367" s="9"/>
      <c r="AB367" s="9"/>
      <c r="AC367" s="9"/>
      <c r="AD367" s="9" t="s">
        <v>20</v>
      </c>
    </row>
    <row r="368" spans="1:30" ht="72.5">
      <c r="A368" s="3" t="s">
        <v>2398</v>
      </c>
      <c r="B368" s="3" t="s">
        <v>7469</v>
      </c>
      <c r="C368" s="3" t="s">
        <v>7470</v>
      </c>
      <c r="G368" s="9" t="s">
        <v>12120</v>
      </c>
      <c r="H368" s="9"/>
      <c r="I368" s="9"/>
      <c r="J368" s="9"/>
      <c r="K368" s="9"/>
      <c r="L368" s="9"/>
      <c r="M368" s="9"/>
      <c r="N368" s="10"/>
      <c r="O368" s="9"/>
      <c r="P368" s="9"/>
      <c r="Q368" s="9"/>
      <c r="R368" s="9" t="s">
        <v>12795</v>
      </c>
      <c r="S368" s="9" t="s">
        <v>12795</v>
      </c>
      <c r="T368" s="9"/>
      <c r="U368" s="9"/>
      <c r="V368" s="9"/>
      <c r="W368" s="9"/>
      <c r="X368" s="9"/>
      <c r="Y368" s="9"/>
      <c r="Z368" s="9"/>
      <c r="AA368" s="9"/>
      <c r="AB368" s="9"/>
      <c r="AC368" s="9"/>
      <c r="AD368" s="9" t="s">
        <v>20</v>
      </c>
    </row>
    <row r="369" spans="1:30" ht="116">
      <c r="A369" s="3" t="s">
        <v>2399</v>
      </c>
      <c r="B369" s="3" t="s">
        <v>7472</v>
      </c>
      <c r="C369" s="3" t="s">
        <v>7471</v>
      </c>
      <c r="G369" s="9" t="s">
        <v>25</v>
      </c>
      <c r="H369" s="9"/>
      <c r="I369" s="9">
        <v>3</v>
      </c>
      <c r="J369" s="9">
        <v>18</v>
      </c>
      <c r="K369" s="9"/>
      <c r="L369" s="9" t="s">
        <v>12073</v>
      </c>
      <c r="M369" s="9" t="s">
        <v>12386</v>
      </c>
      <c r="N369" s="10" t="s">
        <v>12136</v>
      </c>
      <c r="O369" s="9"/>
      <c r="P369" s="9">
        <v>18</v>
      </c>
      <c r="Q369" s="9"/>
      <c r="R369" s="9" t="s">
        <v>12795</v>
      </c>
      <c r="S369" s="9" t="s">
        <v>12795</v>
      </c>
      <c r="T369" s="9"/>
      <c r="U369" s="9"/>
      <c r="V369" s="9"/>
      <c r="W369" s="9"/>
      <c r="X369" s="9"/>
      <c r="Y369" s="9"/>
      <c r="Z369" s="9"/>
      <c r="AA369" s="9"/>
      <c r="AB369" s="9"/>
      <c r="AC369" s="9"/>
      <c r="AD369" s="9" t="s">
        <v>13141</v>
      </c>
    </row>
    <row r="370" spans="1:30" ht="29">
      <c r="A370" s="3" t="s">
        <v>2416</v>
      </c>
      <c r="B370" s="3" t="s">
        <v>7495</v>
      </c>
      <c r="C370" s="3" t="s">
        <v>7496</v>
      </c>
      <c r="G370" s="9" t="s">
        <v>25</v>
      </c>
      <c r="H370" s="9"/>
      <c r="I370" s="9">
        <v>1</v>
      </c>
      <c r="J370" s="9">
        <v>3</v>
      </c>
      <c r="K370" s="9" t="s">
        <v>12087</v>
      </c>
      <c r="L370" s="9" t="s">
        <v>12079</v>
      </c>
      <c r="M370" s="9"/>
      <c r="N370" s="10"/>
      <c r="O370" s="9"/>
      <c r="P370" s="9">
        <v>810</v>
      </c>
      <c r="Q370" s="9"/>
      <c r="R370" s="9" t="s">
        <v>12795</v>
      </c>
      <c r="S370" s="9" t="s">
        <v>12795</v>
      </c>
      <c r="T370" s="9"/>
      <c r="U370" s="9"/>
      <c r="V370" s="9"/>
      <c r="W370" s="9"/>
      <c r="X370" s="9"/>
      <c r="Y370" s="9"/>
      <c r="Z370" s="9"/>
      <c r="AA370" s="9"/>
      <c r="AB370" s="9"/>
      <c r="AC370" s="9"/>
      <c r="AD370" s="9" t="s">
        <v>20</v>
      </c>
    </row>
    <row r="371" spans="1:30" ht="43.5">
      <c r="A371" s="3" t="s">
        <v>2418</v>
      </c>
      <c r="B371" s="3" t="s">
        <v>7501</v>
      </c>
      <c r="C371" s="3" t="s">
        <v>7502</v>
      </c>
      <c r="G371" s="9" t="s">
        <v>25</v>
      </c>
      <c r="H371" s="9"/>
      <c r="I371" s="9">
        <v>1</v>
      </c>
      <c r="J371" s="9">
        <v>5</v>
      </c>
      <c r="K371" s="9" t="s">
        <v>12094</v>
      </c>
      <c r="L371" s="9" t="s">
        <v>12079</v>
      </c>
      <c r="M371" s="9"/>
      <c r="N371" s="10"/>
      <c r="O371" s="9"/>
      <c r="P371" s="9">
        <v>4240</v>
      </c>
      <c r="Q371" s="9"/>
      <c r="R371" s="9" t="s">
        <v>12795</v>
      </c>
      <c r="S371" s="9" t="s">
        <v>12795</v>
      </c>
      <c r="T371" s="9"/>
      <c r="U371" s="9"/>
      <c r="V371" s="9"/>
      <c r="W371" s="9"/>
      <c r="X371" s="9"/>
      <c r="Y371" s="9"/>
      <c r="Z371" s="9"/>
      <c r="AA371" s="9"/>
      <c r="AB371" s="9"/>
      <c r="AC371" s="9"/>
      <c r="AD371" s="9" t="s">
        <v>20</v>
      </c>
    </row>
    <row r="372" spans="1:30" ht="29">
      <c r="A372" s="3" t="s">
        <v>2421</v>
      </c>
      <c r="B372" s="3" t="s">
        <v>7504</v>
      </c>
      <c r="C372" s="3" t="s">
        <v>7503</v>
      </c>
      <c r="G372" s="9" t="s">
        <v>25</v>
      </c>
      <c r="H372" s="9"/>
      <c r="I372" s="9">
        <v>1</v>
      </c>
      <c r="J372" s="9">
        <v>2</v>
      </c>
      <c r="K372" s="9" t="s">
        <v>12078</v>
      </c>
      <c r="L372" s="9" t="s">
        <v>12119</v>
      </c>
      <c r="M372" s="9"/>
      <c r="N372" s="10"/>
      <c r="O372" s="9"/>
      <c r="P372" s="9">
        <v>11843</v>
      </c>
      <c r="Q372" s="9"/>
      <c r="R372" s="9" t="s">
        <v>12795</v>
      </c>
      <c r="S372" s="9" t="s">
        <v>12795</v>
      </c>
      <c r="T372" s="9"/>
      <c r="U372" s="9"/>
      <c r="V372" s="9"/>
      <c r="W372" s="9"/>
      <c r="X372" s="9"/>
      <c r="Y372" s="9"/>
      <c r="Z372" s="9"/>
      <c r="AA372" s="9"/>
      <c r="AB372" s="9"/>
      <c r="AC372" s="9"/>
      <c r="AD372" s="9" t="s">
        <v>20</v>
      </c>
    </row>
    <row r="373" spans="1:30" ht="29">
      <c r="A373" s="3" t="s">
        <v>2423</v>
      </c>
      <c r="B373" s="3" t="s">
        <v>7507</v>
      </c>
      <c r="C373" s="3" t="s">
        <v>7508</v>
      </c>
      <c r="G373" s="9" t="s">
        <v>24</v>
      </c>
      <c r="H373" s="9"/>
      <c r="I373" s="9">
        <v>1</v>
      </c>
      <c r="J373" s="9">
        <v>3</v>
      </c>
      <c r="K373" s="9" t="s">
        <v>12087</v>
      </c>
      <c r="L373" s="9" t="s">
        <v>12079</v>
      </c>
      <c r="M373" s="9"/>
      <c r="N373" s="10"/>
      <c r="O373" s="9"/>
      <c r="P373" s="9">
        <v>5676</v>
      </c>
      <c r="Q373" s="9"/>
      <c r="R373" s="9" t="s">
        <v>12795</v>
      </c>
      <c r="S373" s="9" t="s">
        <v>12795</v>
      </c>
      <c r="T373" s="9"/>
      <c r="U373" s="9"/>
      <c r="V373" s="9"/>
      <c r="W373" s="9"/>
      <c r="X373" s="9"/>
      <c r="Y373" s="9"/>
      <c r="Z373" s="9"/>
      <c r="AA373" s="9"/>
      <c r="AB373" s="9"/>
      <c r="AC373" s="9"/>
      <c r="AD373" s="9" t="s">
        <v>13141</v>
      </c>
    </row>
    <row r="374" spans="1:30" ht="58">
      <c r="A374" s="3" t="s">
        <v>2426</v>
      </c>
      <c r="B374" s="3" t="s">
        <v>7511</v>
      </c>
      <c r="C374" s="3" t="s">
        <v>7510</v>
      </c>
      <c r="G374" s="9" t="s">
        <v>25</v>
      </c>
      <c r="H374" s="9"/>
      <c r="I374" s="9">
        <v>2</v>
      </c>
      <c r="J374" s="9">
        <v>10</v>
      </c>
      <c r="K374" s="9"/>
      <c r="L374" s="9" t="s">
        <v>12079</v>
      </c>
      <c r="M374" s="9"/>
      <c r="N374" s="10"/>
      <c r="O374" s="9"/>
      <c r="P374" s="9">
        <v>70</v>
      </c>
      <c r="Q374" s="9"/>
      <c r="R374" s="9" t="s">
        <v>12795</v>
      </c>
      <c r="S374" s="9" t="s">
        <v>12795</v>
      </c>
      <c r="T374" s="9"/>
      <c r="U374" s="9"/>
      <c r="V374" s="9"/>
      <c r="W374" s="9"/>
      <c r="X374" s="9"/>
      <c r="Y374" s="9"/>
      <c r="Z374" s="9"/>
      <c r="AA374" s="9"/>
      <c r="AB374" s="9"/>
      <c r="AC374" s="9"/>
      <c r="AD374" s="9" t="s">
        <v>20</v>
      </c>
    </row>
    <row r="375" spans="1:30" ht="58">
      <c r="A375" s="3" t="s">
        <v>2426</v>
      </c>
      <c r="B375" s="3" t="s">
        <v>7509</v>
      </c>
      <c r="C375" s="3" t="s">
        <v>7512</v>
      </c>
      <c r="G375" s="9" t="s">
        <v>24</v>
      </c>
      <c r="H375" s="9"/>
      <c r="I375" s="9">
        <v>1</v>
      </c>
      <c r="J375" s="9">
        <v>3</v>
      </c>
      <c r="K375" s="9" t="s">
        <v>12087</v>
      </c>
      <c r="L375" s="9" t="s">
        <v>12079</v>
      </c>
      <c r="M375" s="9"/>
      <c r="N375" s="10"/>
      <c r="O375" s="9"/>
      <c r="P375" s="9">
        <v>5676</v>
      </c>
      <c r="Q375" s="9"/>
      <c r="R375" s="9" t="s">
        <v>12795</v>
      </c>
      <c r="S375" s="9" t="s">
        <v>12795</v>
      </c>
      <c r="T375" s="9"/>
      <c r="U375" s="9"/>
      <c r="V375" s="9"/>
      <c r="W375" s="9"/>
      <c r="X375" s="9"/>
      <c r="Y375" s="9"/>
      <c r="Z375" s="9"/>
      <c r="AA375" s="9"/>
      <c r="AB375" s="9"/>
      <c r="AC375" s="9"/>
      <c r="AD375" s="9" t="s">
        <v>20</v>
      </c>
    </row>
    <row r="376" spans="1:30" ht="72.5">
      <c r="A376" s="3" t="s">
        <v>2435</v>
      </c>
      <c r="B376" s="3" t="s">
        <v>7524</v>
      </c>
      <c r="C376" s="3" t="s">
        <v>7525</v>
      </c>
      <c r="G376" s="9" t="s">
        <v>24</v>
      </c>
      <c r="H376" s="9"/>
      <c r="I376" s="9">
        <v>1</v>
      </c>
      <c r="J376" s="9">
        <v>3</v>
      </c>
      <c r="K376" s="9" t="s">
        <v>12087</v>
      </c>
      <c r="L376" s="9" t="s">
        <v>12079</v>
      </c>
      <c r="M376" s="9"/>
      <c r="N376" s="10"/>
      <c r="O376" s="9"/>
      <c r="P376" s="9">
        <v>5676</v>
      </c>
      <c r="Q376" s="9"/>
      <c r="R376" s="9" t="s">
        <v>12795</v>
      </c>
      <c r="S376" s="9" t="s">
        <v>12795</v>
      </c>
      <c r="T376" s="9"/>
      <c r="U376" s="9"/>
      <c r="V376" s="9"/>
      <c r="W376" s="9"/>
      <c r="X376" s="9"/>
      <c r="Y376" s="9"/>
      <c r="Z376" s="9"/>
      <c r="AA376" s="9"/>
      <c r="AB376" s="9"/>
      <c r="AC376" s="9"/>
      <c r="AD376" s="9" t="s">
        <v>20</v>
      </c>
    </row>
    <row r="377" spans="1:30" ht="43.5">
      <c r="A377" s="3" t="s">
        <v>2436</v>
      </c>
      <c r="B377" s="3" t="s">
        <v>7527</v>
      </c>
      <c r="C377" s="3" t="s">
        <v>7526</v>
      </c>
      <c r="G377" s="9" t="s">
        <v>25</v>
      </c>
      <c r="H377" s="9"/>
      <c r="I377" s="9">
        <v>1</v>
      </c>
      <c r="J377" s="9">
        <v>2</v>
      </c>
      <c r="K377" s="9" t="s">
        <v>12078</v>
      </c>
      <c r="L377" s="9" t="s">
        <v>12119</v>
      </c>
      <c r="M377" s="9"/>
      <c r="N377" s="10"/>
      <c r="O377" s="9"/>
      <c r="P377" s="9">
        <v>11843</v>
      </c>
      <c r="Q377" s="9"/>
      <c r="R377" s="9" t="s">
        <v>12795</v>
      </c>
      <c r="S377" s="9" t="s">
        <v>12795</v>
      </c>
      <c r="T377" s="9"/>
      <c r="U377" s="9"/>
      <c r="V377" s="9"/>
      <c r="W377" s="9"/>
      <c r="X377" s="9"/>
      <c r="Y377" s="9"/>
      <c r="Z377" s="9"/>
      <c r="AA377" s="9"/>
      <c r="AB377" s="9"/>
      <c r="AC377" s="9"/>
      <c r="AD377" s="9" t="s">
        <v>20</v>
      </c>
    </row>
    <row r="378" spans="1:30" ht="43.5">
      <c r="A378" s="3" t="s">
        <v>2441</v>
      </c>
      <c r="B378" s="3" t="s">
        <v>7534</v>
      </c>
      <c r="C378" s="3" t="s">
        <v>7535</v>
      </c>
      <c r="G378" s="9" t="s">
        <v>25</v>
      </c>
      <c r="H378" s="9"/>
      <c r="I378" s="9">
        <v>1</v>
      </c>
      <c r="J378" s="9">
        <v>2</v>
      </c>
      <c r="K378" s="9" t="s">
        <v>12078</v>
      </c>
      <c r="L378" s="9" t="s">
        <v>12119</v>
      </c>
      <c r="M378" s="9"/>
      <c r="N378" s="10"/>
      <c r="O378" s="9"/>
      <c r="P378" s="9">
        <v>11843</v>
      </c>
      <c r="Q378" s="9"/>
      <c r="R378" s="9" t="s">
        <v>12795</v>
      </c>
      <c r="S378" s="9" t="s">
        <v>12795</v>
      </c>
      <c r="T378" s="9"/>
      <c r="U378" s="9"/>
      <c r="V378" s="9"/>
      <c r="W378" s="9"/>
      <c r="X378" s="9"/>
      <c r="Y378" s="9"/>
      <c r="Z378" s="9"/>
      <c r="AA378" s="9"/>
      <c r="AB378" s="9"/>
      <c r="AC378" s="9"/>
      <c r="AD378" s="9" t="s">
        <v>20</v>
      </c>
    </row>
    <row r="379" spans="1:30" ht="43.5">
      <c r="A379" s="3" t="s">
        <v>2442</v>
      </c>
      <c r="B379" s="3" t="s">
        <v>12902</v>
      </c>
      <c r="C379" s="3" t="s">
        <v>7536</v>
      </c>
      <c r="G379" s="9" t="s">
        <v>26</v>
      </c>
      <c r="H379" s="9"/>
      <c r="I379" s="9"/>
      <c r="J379" s="9"/>
      <c r="K379" s="9"/>
      <c r="L379" s="9"/>
      <c r="M379" s="9"/>
      <c r="N379" s="10"/>
      <c r="O379" s="9"/>
      <c r="P379" s="9"/>
      <c r="Q379" s="9"/>
      <c r="R379" s="9" t="s">
        <v>12795</v>
      </c>
      <c r="S379" s="9" t="s">
        <v>12795</v>
      </c>
      <c r="T379" s="9"/>
      <c r="U379" s="9"/>
      <c r="V379" s="9"/>
      <c r="W379" s="9"/>
      <c r="X379" s="9"/>
      <c r="Y379" s="9"/>
      <c r="Z379" s="9"/>
      <c r="AA379" s="9"/>
      <c r="AB379" s="9"/>
      <c r="AC379" s="9"/>
      <c r="AD379" s="9" t="s">
        <v>20</v>
      </c>
    </row>
    <row r="380" spans="1:30" ht="72.5">
      <c r="A380" s="3" t="s">
        <v>2443</v>
      </c>
      <c r="B380" s="3" t="s">
        <v>7537</v>
      </c>
      <c r="C380" s="3" t="s">
        <v>7538</v>
      </c>
      <c r="G380" s="9" t="s">
        <v>24</v>
      </c>
      <c r="H380" s="9"/>
      <c r="I380" s="9">
        <v>1</v>
      </c>
      <c r="J380" s="9">
        <v>1</v>
      </c>
      <c r="K380" s="9" t="s">
        <v>12078</v>
      </c>
      <c r="L380" s="9" t="s">
        <v>12119</v>
      </c>
      <c r="M380" s="9"/>
      <c r="N380" s="10"/>
      <c r="O380" s="9"/>
      <c r="P380" s="9">
        <v>11843</v>
      </c>
      <c r="Q380" s="9"/>
      <c r="R380" s="9" t="s">
        <v>12795</v>
      </c>
      <c r="S380" s="9" t="s">
        <v>12795</v>
      </c>
      <c r="T380" s="9"/>
      <c r="U380" s="9"/>
      <c r="V380" s="9"/>
      <c r="W380" s="9"/>
      <c r="X380" s="9"/>
      <c r="Y380" s="9"/>
      <c r="Z380" s="9"/>
      <c r="AA380" s="9"/>
      <c r="AB380" s="9"/>
      <c r="AC380" s="9"/>
      <c r="AD380" s="9" t="s">
        <v>20</v>
      </c>
    </row>
    <row r="381" spans="1:30" ht="29">
      <c r="A381" s="3" t="s">
        <v>2446</v>
      </c>
      <c r="B381" s="3" t="s">
        <v>7547</v>
      </c>
      <c r="C381" s="3" t="s">
        <v>7548</v>
      </c>
      <c r="G381" s="9" t="s">
        <v>26</v>
      </c>
      <c r="H381" s="9"/>
      <c r="I381" s="9"/>
      <c r="J381" s="9"/>
      <c r="K381" s="9"/>
      <c r="L381" s="9"/>
      <c r="M381" s="9"/>
      <c r="N381" s="10"/>
      <c r="O381" s="9"/>
      <c r="P381" s="9"/>
      <c r="Q381" s="9"/>
      <c r="R381" s="9" t="s">
        <v>12795</v>
      </c>
      <c r="S381" s="9" t="s">
        <v>12795</v>
      </c>
      <c r="T381" s="9"/>
      <c r="U381" s="9"/>
      <c r="V381" s="9"/>
      <c r="W381" s="9"/>
      <c r="X381" s="9"/>
      <c r="Y381" s="9"/>
      <c r="Z381" s="9"/>
      <c r="AA381" s="9"/>
      <c r="AB381" s="9"/>
      <c r="AC381" s="9"/>
      <c r="AD381" s="9" t="s">
        <v>13141</v>
      </c>
    </row>
    <row r="382" spans="1:30" ht="43.5">
      <c r="A382" s="3" t="s">
        <v>2451</v>
      </c>
      <c r="B382" s="3" t="s">
        <v>7553</v>
      </c>
      <c r="C382" s="3" t="s">
        <v>7554</v>
      </c>
      <c r="G382" s="9" t="s">
        <v>12118</v>
      </c>
      <c r="H382" s="9"/>
      <c r="I382" s="9"/>
      <c r="J382" s="9"/>
      <c r="K382" s="9"/>
      <c r="L382" s="9"/>
      <c r="M382" s="9"/>
      <c r="N382" s="10"/>
      <c r="O382" s="9"/>
      <c r="P382" s="9"/>
      <c r="Q382" s="9">
        <v>-2</v>
      </c>
      <c r="R382" s="9">
        <v>2</v>
      </c>
      <c r="S382" s="9">
        <v>0</v>
      </c>
      <c r="T382" s="9"/>
      <c r="U382" s="9"/>
      <c r="V382" s="9"/>
      <c r="W382" s="9"/>
      <c r="X382" s="9"/>
      <c r="Y382" s="9"/>
      <c r="Z382" s="9"/>
      <c r="AA382" s="9"/>
      <c r="AB382" s="9"/>
      <c r="AC382" s="9"/>
      <c r="AD382" s="9" t="s">
        <v>20</v>
      </c>
    </row>
    <row r="383" spans="1:30" ht="58">
      <c r="A383" s="3" t="s">
        <v>2457</v>
      </c>
      <c r="B383" s="3" t="s">
        <v>7557</v>
      </c>
      <c r="C383" s="3" t="s">
        <v>7558</v>
      </c>
      <c r="G383" s="9" t="s">
        <v>25</v>
      </c>
      <c r="H383" s="9"/>
      <c r="I383" s="9">
        <v>1</v>
      </c>
      <c r="J383" s="9">
        <v>2</v>
      </c>
      <c r="K383" s="9" t="s">
        <v>12078</v>
      </c>
      <c r="L383" s="9" t="s">
        <v>12119</v>
      </c>
      <c r="M383" s="9"/>
      <c r="N383" s="10"/>
      <c r="O383" s="9"/>
      <c r="P383" s="9">
        <v>11843</v>
      </c>
      <c r="Q383" s="9"/>
      <c r="R383" s="9" t="s">
        <v>12795</v>
      </c>
      <c r="S383" s="9" t="s">
        <v>12795</v>
      </c>
      <c r="T383" s="9"/>
      <c r="U383" s="9"/>
      <c r="V383" s="9"/>
      <c r="W383" s="9"/>
      <c r="X383" s="9"/>
      <c r="Y383" s="9"/>
      <c r="Z383" s="9"/>
      <c r="AA383" s="9"/>
      <c r="AB383" s="9"/>
      <c r="AC383" s="9"/>
      <c r="AD383" s="9" t="s">
        <v>20</v>
      </c>
    </row>
    <row r="384" spans="1:30" ht="43.5">
      <c r="A384" s="3" t="s">
        <v>2461</v>
      </c>
      <c r="B384" s="3" t="s">
        <v>7564</v>
      </c>
      <c r="C384" s="3" t="s">
        <v>7563</v>
      </c>
      <c r="G384" s="9" t="s">
        <v>24</v>
      </c>
      <c r="H384" s="9"/>
      <c r="I384" s="9">
        <v>1</v>
      </c>
      <c r="J384" s="9">
        <v>3</v>
      </c>
      <c r="K384" s="9" t="s">
        <v>12078</v>
      </c>
      <c r="L384" s="9" t="s">
        <v>12073</v>
      </c>
      <c r="M384" s="9" t="s">
        <v>12142</v>
      </c>
      <c r="N384" s="10" t="s">
        <v>12143</v>
      </c>
      <c r="O384" s="9" t="s">
        <v>12074</v>
      </c>
      <c r="P384" s="9">
        <v>11843</v>
      </c>
      <c r="Q384" s="9"/>
      <c r="R384" s="9" t="s">
        <v>12795</v>
      </c>
      <c r="S384" s="9" t="s">
        <v>12795</v>
      </c>
      <c r="T384" s="9"/>
      <c r="U384" s="9"/>
      <c r="V384" s="9"/>
      <c r="W384" s="9"/>
      <c r="X384" s="9"/>
      <c r="Y384" s="9"/>
      <c r="Z384" s="9"/>
      <c r="AA384" s="9"/>
      <c r="AB384" s="9"/>
      <c r="AC384" s="9"/>
      <c r="AD384" s="9" t="s">
        <v>20</v>
      </c>
    </row>
    <row r="385" spans="1:30" ht="58">
      <c r="A385" s="3" t="s">
        <v>2463</v>
      </c>
      <c r="B385" s="3" t="s">
        <v>7567</v>
      </c>
      <c r="C385" s="3" t="s">
        <v>7568</v>
      </c>
      <c r="G385" s="9" t="s">
        <v>12118</v>
      </c>
      <c r="H385" s="9"/>
      <c r="I385" s="9"/>
      <c r="J385" s="9"/>
      <c r="K385" s="9"/>
      <c r="L385" s="9"/>
      <c r="M385" s="9"/>
      <c r="N385" s="10"/>
      <c r="O385" s="9"/>
      <c r="P385" s="9"/>
      <c r="Q385" s="9">
        <v>0</v>
      </c>
      <c r="R385" s="9">
        <v>4</v>
      </c>
      <c r="S385" s="9">
        <v>4</v>
      </c>
      <c r="T385" s="9"/>
      <c r="U385" s="9"/>
      <c r="V385" s="9"/>
      <c r="W385" s="9"/>
      <c r="X385" s="9"/>
      <c r="Y385" s="9"/>
      <c r="Z385" s="9"/>
      <c r="AA385" s="9"/>
      <c r="AB385" s="9"/>
      <c r="AC385" s="9"/>
      <c r="AD385" s="9" t="s">
        <v>20</v>
      </c>
    </row>
    <row r="386" spans="1:30" ht="43.5">
      <c r="A386" s="3" t="s">
        <v>2470</v>
      </c>
      <c r="B386" s="3" t="s">
        <v>7570</v>
      </c>
      <c r="C386" s="3" t="s">
        <v>7569</v>
      </c>
      <c r="G386" s="9" t="s">
        <v>25</v>
      </c>
      <c r="H386" s="9"/>
      <c r="I386" s="9">
        <v>1</v>
      </c>
      <c r="J386" s="9">
        <v>9</v>
      </c>
      <c r="K386" s="9" t="s">
        <v>12092</v>
      </c>
      <c r="L386" s="9" t="s">
        <v>12073</v>
      </c>
      <c r="M386" s="9" t="s">
        <v>12142</v>
      </c>
      <c r="N386" s="10" t="s">
        <v>12143</v>
      </c>
      <c r="O386" s="9"/>
      <c r="P386" s="9">
        <v>2</v>
      </c>
      <c r="Q386" s="9"/>
      <c r="R386" s="9" t="s">
        <v>12795</v>
      </c>
      <c r="S386" s="9" t="s">
        <v>12795</v>
      </c>
      <c r="T386" s="9"/>
      <c r="U386" s="9"/>
      <c r="V386" s="9"/>
      <c r="W386" s="9"/>
      <c r="X386" s="9"/>
      <c r="Y386" s="9"/>
      <c r="Z386" s="9"/>
      <c r="AA386" s="9"/>
      <c r="AB386" s="9"/>
      <c r="AC386" s="9"/>
      <c r="AD386" s="9" t="s">
        <v>20</v>
      </c>
    </row>
    <row r="387" spans="1:30" ht="72.5">
      <c r="A387" s="3" t="s">
        <v>2489</v>
      </c>
      <c r="B387" s="3" t="s">
        <v>7590</v>
      </c>
      <c r="C387" s="3" t="s">
        <v>7589</v>
      </c>
      <c r="G387" s="9" t="s">
        <v>26</v>
      </c>
      <c r="H387" s="9"/>
      <c r="I387" s="9"/>
      <c r="J387" s="9"/>
      <c r="K387" s="9"/>
      <c r="L387" s="9"/>
      <c r="M387" s="9"/>
      <c r="N387" s="10"/>
      <c r="O387" s="9"/>
      <c r="P387" s="9"/>
      <c r="Q387" s="9"/>
      <c r="R387" s="9" t="s">
        <v>12795</v>
      </c>
      <c r="S387" s="9" t="s">
        <v>12795</v>
      </c>
      <c r="T387" s="9"/>
      <c r="U387" s="9"/>
      <c r="V387" s="9"/>
      <c r="W387" s="9"/>
      <c r="X387" s="9"/>
      <c r="Y387" s="9"/>
      <c r="Z387" s="9"/>
      <c r="AA387" s="9"/>
      <c r="AB387" s="9"/>
      <c r="AC387" s="9"/>
      <c r="AD387" s="9" t="s">
        <v>20</v>
      </c>
    </row>
    <row r="388" spans="1:30" ht="43.5">
      <c r="A388" s="3" t="s">
        <v>2491</v>
      </c>
      <c r="B388" s="3" t="s">
        <v>7593</v>
      </c>
      <c r="C388" s="3" t="s">
        <v>7594</v>
      </c>
      <c r="G388" s="9" t="s">
        <v>12118</v>
      </c>
      <c r="H388" s="9"/>
      <c r="I388" s="9"/>
      <c r="J388" s="9"/>
      <c r="K388" s="9"/>
      <c r="L388" s="9"/>
      <c r="M388" s="9"/>
      <c r="N388" s="10"/>
      <c r="O388" s="9"/>
      <c r="P388" s="9"/>
      <c r="Q388" s="9">
        <v>-3768</v>
      </c>
      <c r="R388" s="9">
        <v>4240</v>
      </c>
      <c r="S388" s="9">
        <v>472</v>
      </c>
      <c r="T388" s="9"/>
      <c r="U388" s="9"/>
      <c r="V388" s="9"/>
      <c r="W388" s="9"/>
      <c r="X388" s="9"/>
      <c r="Y388" s="9"/>
      <c r="Z388" s="9"/>
      <c r="AA388" s="9"/>
      <c r="AB388" s="9"/>
      <c r="AC388" s="9"/>
      <c r="AD388" s="9" t="s">
        <v>20</v>
      </c>
    </row>
    <row r="389" spans="1:30" ht="43.5">
      <c r="A389" s="3" t="s">
        <v>2493</v>
      </c>
      <c r="B389" s="3" t="s">
        <v>7605</v>
      </c>
      <c r="C389" s="3" t="s">
        <v>7606</v>
      </c>
      <c r="G389" s="9" t="s">
        <v>12118</v>
      </c>
      <c r="H389" s="9"/>
      <c r="I389" s="9"/>
      <c r="J389" s="9"/>
      <c r="K389" s="9"/>
      <c r="L389" s="9"/>
      <c r="M389" s="9"/>
      <c r="N389" s="10"/>
      <c r="O389" s="9"/>
      <c r="P389" s="9"/>
      <c r="Q389" s="9">
        <v>-1846</v>
      </c>
      <c r="R389" s="9">
        <v>2042</v>
      </c>
      <c r="S389" s="9">
        <v>196</v>
      </c>
      <c r="T389" s="9"/>
      <c r="U389" s="9"/>
      <c r="V389" s="9"/>
      <c r="W389" s="9"/>
      <c r="X389" s="9"/>
      <c r="Y389" s="9"/>
      <c r="Z389" s="9"/>
      <c r="AA389" s="9"/>
      <c r="AB389" s="9"/>
      <c r="AC389" s="9"/>
      <c r="AD389" s="9" t="s">
        <v>20</v>
      </c>
    </row>
    <row r="390" spans="1:30" ht="43.5">
      <c r="A390" s="3" t="s">
        <v>2498</v>
      </c>
      <c r="B390" s="3" t="s">
        <v>7615</v>
      </c>
      <c r="C390" s="3" t="s">
        <v>7616</v>
      </c>
      <c r="G390" s="9" t="s">
        <v>25</v>
      </c>
      <c r="H390" s="9"/>
      <c r="I390" s="9">
        <v>1</v>
      </c>
      <c r="J390" s="9">
        <v>3</v>
      </c>
      <c r="K390" s="9" t="s">
        <v>12123</v>
      </c>
      <c r="L390" s="9" t="s">
        <v>12079</v>
      </c>
      <c r="M390" s="9"/>
      <c r="N390" s="10"/>
      <c r="O390" s="9"/>
      <c r="P390" s="9">
        <v>887</v>
      </c>
      <c r="Q390" s="9"/>
      <c r="R390" s="9" t="s">
        <v>12795</v>
      </c>
      <c r="S390" s="9" t="s">
        <v>12795</v>
      </c>
      <c r="T390" s="9"/>
      <c r="U390" s="9"/>
      <c r="V390" s="9"/>
      <c r="W390" s="9"/>
      <c r="X390" s="9"/>
      <c r="Y390" s="9"/>
      <c r="Z390" s="9"/>
      <c r="AA390" s="9"/>
      <c r="AB390" s="9"/>
      <c r="AC390" s="9"/>
      <c r="AD390" s="9" t="s">
        <v>20</v>
      </c>
    </row>
    <row r="391" spans="1:30" ht="43.5">
      <c r="A391" s="3" t="s">
        <v>2507</v>
      </c>
      <c r="B391" s="3" t="s">
        <v>7618</v>
      </c>
      <c r="C391" s="3" t="s">
        <v>7617</v>
      </c>
      <c r="G391" s="9" t="s">
        <v>25</v>
      </c>
      <c r="H391" s="9"/>
      <c r="I391" s="9">
        <v>1</v>
      </c>
      <c r="J391" s="9">
        <v>2</v>
      </c>
      <c r="K391" s="9" t="s">
        <v>12087</v>
      </c>
      <c r="L391" s="9" t="s">
        <v>12119</v>
      </c>
      <c r="M391" s="9"/>
      <c r="N391" s="10"/>
      <c r="O391" s="9"/>
      <c r="P391" s="9">
        <v>1966</v>
      </c>
      <c r="Q391" s="9"/>
      <c r="R391" s="9" t="s">
        <v>12795</v>
      </c>
      <c r="S391" s="9" t="s">
        <v>12795</v>
      </c>
      <c r="T391" s="9"/>
      <c r="U391" s="9"/>
      <c r="V391" s="9"/>
      <c r="W391" s="9"/>
      <c r="X391" s="9"/>
      <c r="Y391" s="9"/>
      <c r="Z391" s="9"/>
      <c r="AA391" s="9"/>
      <c r="AB391" s="9"/>
      <c r="AC391" s="9"/>
      <c r="AD391" s="9" t="s">
        <v>20</v>
      </c>
    </row>
    <row r="392" spans="1:30" ht="87">
      <c r="A392" s="3" t="s">
        <v>2513</v>
      </c>
      <c r="B392" s="3" t="s">
        <v>7632</v>
      </c>
      <c r="C392" s="3" t="s">
        <v>7631</v>
      </c>
      <c r="G392" s="9" t="s">
        <v>26</v>
      </c>
      <c r="H392" s="9"/>
      <c r="I392" s="9"/>
      <c r="J392" s="9"/>
      <c r="K392" s="9"/>
      <c r="L392" s="9"/>
      <c r="M392" s="9"/>
      <c r="N392" s="10"/>
      <c r="O392" s="9"/>
      <c r="P392" s="9"/>
      <c r="Q392" s="9"/>
      <c r="R392" s="9" t="s">
        <v>12795</v>
      </c>
      <c r="S392" s="9" t="s">
        <v>12795</v>
      </c>
      <c r="T392" s="9" t="s">
        <v>12117</v>
      </c>
      <c r="U392" s="9"/>
      <c r="V392" s="9"/>
      <c r="W392" s="9"/>
      <c r="X392" s="9"/>
      <c r="Y392" s="9"/>
      <c r="Z392" s="9"/>
      <c r="AA392" s="9"/>
      <c r="AB392" s="9"/>
      <c r="AC392" s="9"/>
      <c r="AD392" s="9" t="s">
        <v>20</v>
      </c>
    </row>
    <row r="393" spans="1:30" ht="87">
      <c r="A393" s="3" t="s">
        <v>2521</v>
      </c>
      <c r="B393" s="3" t="s">
        <v>7639</v>
      </c>
      <c r="C393" s="3" t="s">
        <v>7640</v>
      </c>
      <c r="G393" s="9" t="s">
        <v>26</v>
      </c>
      <c r="H393" s="9"/>
      <c r="I393" s="9"/>
      <c r="J393" s="9"/>
      <c r="K393" s="9"/>
      <c r="L393" s="9"/>
      <c r="M393" s="9"/>
      <c r="N393" s="10"/>
      <c r="O393" s="9"/>
      <c r="P393" s="9"/>
      <c r="Q393" s="9"/>
      <c r="R393" s="9" t="s">
        <v>12795</v>
      </c>
      <c r="S393" s="9" t="s">
        <v>12795</v>
      </c>
      <c r="T393" s="9"/>
      <c r="U393" s="9"/>
      <c r="V393" s="9"/>
      <c r="W393" s="9"/>
      <c r="X393" s="9"/>
      <c r="Y393" s="9"/>
      <c r="Z393" s="9"/>
      <c r="AA393" s="9"/>
      <c r="AB393" s="9"/>
      <c r="AC393" s="9"/>
      <c r="AD393" s="9" t="s">
        <v>20</v>
      </c>
    </row>
    <row r="394" spans="1:30" ht="29">
      <c r="A394" s="3" t="s">
        <v>2522</v>
      </c>
      <c r="B394" s="3" t="s">
        <v>7641</v>
      </c>
      <c r="C394" s="3" t="s">
        <v>7642</v>
      </c>
      <c r="G394" s="9" t="s">
        <v>12120</v>
      </c>
      <c r="H394" s="9"/>
      <c r="I394" s="9"/>
      <c r="J394" s="9"/>
      <c r="K394" s="9"/>
      <c r="L394" s="9"/>
      <c r="M394" s="9"/>
      <c r="N394" s="10"/>
      <c r="O394" s="9"/>
      <c r="P394" s="9"/>
      <c r="Q394" s="9"/>
      <c r="R394" s="9" t="s">
        <v>12795</v>
      </c>
      <c r="S394" s="9" t="s">
        <v>12795</v>
      </c>
      <c r="T394" s="9"/>
      <c r="U394" s="9"/>
      <c r="V394" s="9"/>
      <c r="W394" s="9"/>
      <c r="X394" s="9"/>
      <c r="Y394" s="9"/>
      <c r="Z394" s="9"/>
      <c r="AA394" s="9"/>
      <c r="AB394" s="9"/>
      <c r="AC394" s="9"/>
      <c r="AD394" s="9" t="s">
        <v>13141</v>
      </c>
    </row>
    <row r="395" spans="1:30" ht="29">
      <c r="A395" s="3" t="s">
        <v>2522</v>
      </c>
      <c r="B395" s="3" t="s">
        <v>2523</v>
      </c>
      <c r="C395" s="3" t="s">
        <v>2524</v>
      </c>
      <c r="G395" s="9" t="s">
        <v>12120</v>
      </c>
      <c r="H395" s="9"/>
      <c r="I395" s="9"/>
      <c r="J395" s="9"/>
      <c r="K395" s="9"/>
      <c r="L395" s="9"/>
      <c r="M395" s="9"/>
      <c r="N395" s="10"/>
      <c r="O395" s="9"/>
      <c r="P395" s="9"/>
      <c r="Q395" s="9"/>
      <c r="R395" s="9" t="s">
        <v>12795</v>
      </c>
      <c r="S395" s="9" t="s">
        <v>12795</v>
      </c>
      <c r="T395" s="9"/>
      <c r="U395" s="9"/>
      <c r="V395" s="9"/>
      <c r="W395" s="9"/>
      <c r="X395" s="9"/>
      <c r="Y395" s="9"/>
      <c r="Z395" s="9"/>
      <c r="AA395" s="9"/>
      <c r="AB395" s="9"/>
      <c r="AC395" s="9"/>
      <c r="AD395" s="9" t="s">
        <v>20</v>
      </c>
    </row>
    <row r="396" spans="1:30" ht="58">
      <c r="A396" s="3" t="s">
        <v>2540</v>
      </c>
      <c r="B396" s="3" t="s">
        <v>7665</v>
      </c>
      <c r="C396" s="3" t="s">
        <v>7664</v>
      </c>
      <c r="G396" s="9" t="s">
        <v>24</v>
      </c>
      <c r="H396" s="9"/>
      <c r="I396" s="9">
        <v>1</v>
      </c>
      <c r="J396" s="9">
        <v>3</v>
      </c>
      <c r="K396" s="9" t="s">
        <v>12078</v>
      </c>
      <c r="L396" s="9" t="s">
        <v>12079</v>
      </c>
      <c r="M396" s="9"/>
      <c r="N396" s="10"/>
      <c r="O396" s="9"/>
      <c r="P396" s="9">
        <v>11843</v>
      </c>
      <c r="Q396" s="9"/>
      <c r="R396" s="9" t="s">
        <v>12795</v>
      </c>
      <c r="S396" s="9" t="s">
        <v>12795</v>
      </c>
      <c r="T396" s="9"/>
      <c r="U396" s="9"/>
      <c r="V396" s="9"/>
      <c r="W396" s="9"/>
      <c r="X396" s="9"/>
      <c r="Y396" s="9"/>
      <c r="Z396" s="9"/>
      <c r="AA396" s="9"/>
      <c r="AB396" s="9"/>
      <c r="AC396" s="9"/>
      <c r="AD396" s="9" t="s">
        <v>20</v>
      </c>
    </row>
    <row r="397" spans="1:30" ht="29">
      <c r="A397" s="3" t="s">
        <v>2541</v>
      </c>
      <c r="B397" s="3" t="s">
        <v>2542</v>
      </c>
      <c r="C397" s="3" t="s">
        <v>2543</v>
      </c>
      <c r="D397" t="s">
        <v>12</v>
      </c>
      <c r="G397" s="9" t="s">
        <v>12120</v>
      </c>
      <c r="H397" s="9"/>
      <c r="I397" s="9"/>
      <c r="J397" s="9"/>
      <c r="K397" s="9"/>
      <c r="L397" s="9"/>
      <c r="M397" s="9"/>
      <c r="N397" s="10"/>
      <c r="O397" s="9"/>
      <c r="P397" s="9"/>
      <c r="Q397" s="9"/>
      <c r="R397" s="9" t="s">
        <v>12795</v>
      </c>
      <c r="S397" s="9" t="s">
        <v>12795</v>
      </c>
      <c r="T397" s="9"/>
      <c r="U397" s="9"/>
      <c r="V397" s="9"/>
      <c r="W397" s="9"/>
      <c r="X397" s="9"/>
      <c r="Y397" s="9"/>
      <c r="Z397" s="9"/>
      <c r="AA397" s="9"/>
      <c r="AB397" s="9"/>
      <c r="AC397" s="9"/>
      <c r="AD397" s="9" t="s">
        <v>20</v>
      </c>
    </row>
    <row r="398" spans="1:30" ht="58">
      <c r="A398" s="3" t="s">
        <v>2544</v>
      </c>
      <c r="B398" s="3" t="s">
        <v>7667</v>
      </c>
      <c r="C398" s="3" t="s">
        <v>7666</v>
      </c>
      <c r="G398" s="9" t="s">
        <v>26</v>
      </c>
      <c r="H398" s="9"/>
      <c r="I398" s="9"/>
      <c r="J398" s="9"/>
      <c r="K398" s="9"/>
      <c r="L398" s="9"/>
      <c r="M398" s="9"/>
      <c r="N398" s="10"/>
      <c r="O398" s="9"/>
      <c r="P398" s="9"/>
      <c r="Q398" s="9"/>
      <c r="R398" s="9" t="s">
        <v>12795</v>
      </c>
      <c r="S398" s="9" t="s">
        <v>12795</v>
      </c>
      <c r="T398" s="9"/>
      <c r="U398" s="9"/>
      <c r="V398" s="9"/>
      <c r="W398" s="9"/>
      <c r="X398" s="9"/>
      <c r="Y398" s="9"/>
      <c r="Z398" s="9"/>
      <c r="AA398" s="9"/>
      <c r="AB398" s="9"/>
      <c r="AC398" s="9"/>
      <c r="AD398" s="9" t="s">
        <v>13141</v>
      </c>
    </row>
    <row r="399" spans="1:30" ht="58">
      <c r="A399" s="3" t="s">
        <v>2554</v>
      </c>
      <c r="B399" s="3" t="s">
        <v>7674</v>
      </c>
      <c r="C399" s="3" t="s">
        <v>7676</v>
      </c>
      <c r="G399" s="9" t="s">
        <v>12120</v>
      </c>
      <c r="H399" s="9"/>
      <c r="I399" s="9"/>
      <c r="J399" s="9"/>
      <c r="K399" s="9"/>
      <c r="L399" s="9"/>
      <c r="M399" s="9"/>
      <c r="N399" s="10"/>
      <c r="O399" s="9"/>
      <c r="P399" s="9"/>
      <c r="Q399" s="9"/>
      <c r="R399" s="9" t="s">
        <v>12795</v>
      </c>
      <c r="S399" s="9" t="s">
        <v>12795</v>
      </c>
      <c r="T399" s="9"/>
      <c r="U399" s="9"/>
      <c r="V399" s="9"/>
      <c r="W399" s="9"/>
      <c r="X399" s="9"/>
      <c r="Y399" s="9"/>
      <c r="Z399" s="9"/>
      <c r="AA399" s="9"/>
      <c r="AB399" s="9"/>
      <c r="AC399" s="9"/>
      <c r="AD399" s="9" t="s">
        <v>20</v>
      </c>
    </row>
    <row r="400" spans="1:30" ht="29">
      <c r="A400" s="3" t="s">
        <v>2557</v>
      </c>
      <c r="B400" s="3" t="s">
        <v>7623</v>
      </c>
      <c r="C400" s="3" t="s">
        <v>7680</v>
      </c>
      <c r="G400" s="9" t="s">
        <v>25</v>
      </c>
      <c r="H400" s="9"/>
      <c r="I400" s="9">
        <v>1</v>
      </c>
      <c r="J400" s="9">
        <v>2</v>
      </c>
      <c r="K400" s="9" t="s">
        <v>12087</v>
      </c>
      <c r="L400" s="9" t="s">
        <v>12119</v>
      </c>
      <c r="M400" s="9"/>
      <c r="N400" s="10"/>
      <c r="O400" s="9"/>
      <c r="P400" s="9">
        <v>1966</v>
      </c>
      <c r="Q400" s="9"/>
      <c r="R400" s="9" t="s">
        <v>12795</v>
      </c>
      <c r="S400" s="9" t="s">
        <v>12795</v>
      </c>
      <c r="T400" s="9"/>
      <c r="U400" s="9"/>
      <c r="V400" s="9"/>
      <c r="W400" s="9"/>
      <c r="X400" s="9"/>
      <c r="Y400" s="9"/>
      <c r="Z400" s="9"/>
      <c r="AA400" s="9"/>
      <c r="AB400" s="9"/>
      <c r="AC400" s="9"/>
      <c r="AD400" s="9" t="s">
        <v>20</v>
      </c>
    </row>
    <row r="401" spans="1:30" ht="101.5">
      <c r="A401" s="3" t="s">
        <v>2558</v>
      </c>
      <c r="B401" s="3" t="s">
        <v>7682</v>
      </c>
      <c r="C401" s="3" t="s">
        <v>7681</v>
      </c>
      <c r="G401" s="9" t="s">
        <v>26</v>
      </c>
      <c r="H401" s="9"/>
      <c r="I401" s="9"/>
      <c r="J401" s="9"/>
      <c r="K401" s="9"/>
      <c r="L401" s="9"/>
      <c r="M401" s="9"/>
      <c r="N401" s="10"/>
      <c r="O401" s="9"/>
      <c r="P401" s="9"/>
      <c r="Q401" s="9"/>
      <c r="R401" s="9" t="s">
        <v>12795</v>
      </c>
      <c r="S401" s="9" t="s">
        <v>12795</v>
      </c>
      <c r="T401" s="9"/>
      <c r="U401" s="9"/>
      <c r="V401" s="9"/>
      <c r="W401" s="9"/>
      <c r="X401" s="9"/>
      <c r="Y401" s="9"/>
      <c r="Z401" s="9"/>
      <c r="AA401" s="9"/>
      <c r="AB401" s="9"/>
      <c r="AC401" s="9"/>
      <c r="AD401" s="9" t="s">
        <v>20</v>
      </c>
    </row>
    <row r="402" spans="1:30" ht="87">
      <c r="A402" s="3" t="s">
        <v>2562</v>
      </c>
      <c r="B402" s="3" t="s">
        <v>7693</v>
      </c>
      <c r="C402" s="3" t="s">
        <v>7694</v>
      </c>
      <c r="G402" s="9" t="s">
        <v>24</v>
      </c>
      <c r="H402" s="9"/>
      <c r="I402" s="9">
        <v>1</v>
      </c>
      <c r="J402" s="9">
        <v>3</v>
      </c>
      <c r="K402" s="9" t="s">
        <v>12084</v>
      </c>
      <c r="L402" s="9" t="s">
        <v>12079</v>
      </c>
      <c r="M402" s="9"/>
      <c r="N402" s="10"/>
      <c r="O402" s="9"/>
      <c r="P402" s="9">
        <v>50</v>
      </c>
      <c r="Q402" s="9"/>
      <c r="R402" s="9" t="s">
        <v>12795</v>
      </c>
      <c r="S402" s="9" t="s">
        <v>12795</v>
      </c>
      <c r="T402" s="9"/>
      <c r="U402" s="9"/>
      <c r="V402" s="9"/>
      <c r="W402" s="9"/>
      <c r="X402" s="9"/>
      <c r="Y402" s="9"/>
      <c r="Z402" s="9"/>
      <c r="AA402" s="9"/>
      <c r="AB402" s="9"/>
      <c r="AC402" s="9"/>
      <c r="AD402" s="9" t="s">
        <v>20</v>
      </c>
    </row>
    <row r="403" spans="1:30" ht="29">
      <c r="A403" s="3" t="s">
        <v>2565</v>
      </c>
      <c r="B403" s="3" t="s">
        <v>7699</v>
      </c>
      <c r="C403" s="3" t="s">
        <v>7700</v>
      </c>
      <c r="G403" s="9" t="s">
        <v>25</v>
      </c>
      <c r="H403" s="9"/>
      <c r="I403" s="9">
        <v>1</v>
      </c>
      <c r="J403" s="9">
        <v>3</v>
      </c>
      <c r="K403" s="9" t="s">
        <v>12078</v>
      </c>
      <c r="L403" s="9" t="s">
        <v>12079</v>
      </c>
      <c r="M403" s="9"/>
      <c r="N403" s="10"/>
      <c r="O403" s="9"/>
      <c r="P403" s="9">
        <v>11843</v>
      </c>
      <c r="Q403" s="9"/>
      <c r="R403" s="9" t="s">
        <v>12795</v>
      </c>
      <c r="S403" s="9" t="s">
        <v>12795</v>
      </c>
      <c r="T403" s="9"/>
      <c r="U403" s="9"/>
      <c r="V403" s="9"/>
      <c r="W403" s="9"/>
      <c r="X403" s="9"/>
      <c r="Y403" s="9"/>
      <c r="Z403" s="9"/>
      <c r="AA403" s="9"/>
      <c r="AB403" s="9"/>
      <c r="AC403" s="9"/>
      <c r="AD403" s="9" t="s">
        <v>20</v>
      </c>
    </row>
    <row r="404" spans="1:30" ht="29">
      <c r="A404" s="3" t="s">
        <v>2569</v>
      </c>
      <c r="B404" s="3" t="s">
        <v>7702</v>
      </c>
      <c r="C404" s="3" t="s">
        <v>7703</v>
      </c>
      <c r="G404" s="9" t="s">
        <v>12118</v>
      </c>
      <c r="H404" s="9"/>
      <c r="I404" s="9"/>
      <c r="J404" s="9"/>
      <c r="K404" s="9"/>
      <c r="L404" s="9"/>
      <c r="M404" s="9"/>
      <c r="N404" s="10"/>
      <c r="O404" s="9"/>
      <c r="P404" s="9"/>
      <c r="Q404" s="9">
        <v>41</v>
      </c>
      <c r="R404" s="9">
        <v>444</v>
      </c>
      <c r="S404" s="9">
        <v>485</v>
      </c>
      <c r="T404" s="9"/>
      <c r="U404" s="9"/>
      <c r="V404" s="9"/>
      <c r="W404" s="9"/>
      <c r="X404" s="9"/>
      <c r="Y404" s="9"/>
      <c r="Z404" s="9"/>
      <c r="AA404" s="9"/>
      <c r="AB404" s="9"/>
      <c r="AC404" s="9"/>
      <c r="AD404" s="9" t="s">
        <v>13141</v>
      </c>
    </row>
    <row r="405" spans="1:30" ht="29">
      <c r="A405" s="3" t="s">
        <v>2570</v>
      </c>
      <c r="B405" s="3" t="s">
        <v>7705</v>
      </c>
      <c r="C405" s="3" t="s">
        <v>7704</v>
      </c>
      <c r="G405" s="9" t="s">
        <v>24</v>
      </c>
      <c r="H405" s="9"/>
      <c r="I405" s="9">
        <v>1</v>
      </c>
      <c r="J405" s="9">
        <v>2</v>
      </c>
      <c r="K405" s="9" t="s">
        <v>12087</v>
      </c>
      <c r="L405" s="9" t="s">
        <v>12119</v>
      </c>
      <c r="M405" s="9"/>
      <c r="N405" s="10"/>
      <c r="O405" s="9"/>
      <c r="P405" s="9">
        <v>1966</v>
      </c>
      <c r="Q405" s="9"/>
      <c r="R405" s="9" t="s">
        <v>12795</v>
      </c>
      <c r="S405" s="9" t="s">
        <v>12795</v>
      </c>
      <c r="T405" s="9"/>
      <c r="U405" s="9"/>
      <c r="V405" s="9"/>
      <c r="W405" s="9"/>
      <c r="X405" s="9"/>
      <c r="Y405" s="9"/>
      <c r="Z405" s="9"/>
      <c r="AA405" s="9"/>
      <c r="AB405" s="9"/>
      <c r="AC405" s="9"/>
      <c r="AD405" s="9" t="s">
        <v>20</v>
      </c>
    </row>
    <row r="406" spans="1:30" ht="58">
      <c r="A406" s="3" t="s">
        <v>2584</v>
      </c>
      <c r="B406" s="3" t="s">
        <v>7712</v>
      </c>
      <c r="C406" s="3" t="s">
        <v>7713</v>
      </c>
      <c r="G406" s="9" t="s">
        <v>25</v>
      </c>
      <c r="H406" s="9"/>
      <c r="I406" s="9">
        <v>1</v>
      </c>
      <c r="J406" s="9">
        <v>3</v>
      </c>
      <c r="K406" s="9" t="s">
        <v>12078</v>
      </c>
      <c r="L406" s="9" t="s">
        <v>12119</v>
      </c>
      <c r="M406" s="9"/>
      <c r="N406" s="10"/>
      <c r="O406" s="9"/>
      <c r="P406" s="9">
        <v>11843</v>
      </c>
      <c r="Q406" s="9"/>
      <c r="R406" s="9" t="s">
        <v>12795</v>
      </c>
      <c r="S406" s="9" t="s">
        <v>12795</v>
      </c>
      <c r="T406" s="9"/>
      <c r="U406" s="9"/>
      <c r="V406" s="9"/>
      <c r="W406" s="9"/>
      <c r="X406" s="9"/>
      <c r="Y406" s="9"/>
      <c r="Z406" s="9"/>
      <c r="AA406" s="9"/>
      <c r="AB406" s="9"/>
      <c r="AC406" s="9"/>
      <c r="AD406" s="9" t="s">
        <v>20</v>
      </c>
    </row>
    <row r="407" spans="1:30" ht="43.5">
      <c r="A407" s="3" t="s">
        <v>2589</v>
      </c>
      <c r="B407" s="3" t="s">
        <v>7722</v>
      </c>
      <c r="C407" s="3" t="s">
        <v>7723</v>
      </c>
      <c r="G407" s="9" t="s">
        <v>12118</v>
      </c>
      <c r="H407" s="9"/>
      <c r="I407" s="9"/>
      <c r="J407" s="9"/>
      <c r="K407" s="9"/>
      <c r="L407" s="9"/>
      <c r="M407" s="9"/>
      <c r="N407" s="10"/>
      <c r="O407" s="9"/>
      <c r="P407" s="9"/>
      <c r="Q407" s="9">
        <v>-89</v>
      </c>
      <c r="R407" s="9">
        <v>92</v>
      </c>
      <c r="S407" s="9">
        <v>3</v>
      </c>
      <c r="T407" s="9"/>
      <c r="U407" s="9"/>
      <c r="V407" s="9"/>
      <c r="W407" s="9"/>
      <c r="X407" s="9"/>
      <c r="Y407" s="9"/>
      <c r="Z407" s="9"/>
      <c r="AA407" s="9"/>
      <c r="AB407" s="9"/>
      <c r="AC407" s="9"/>
      <c r="AD407" s="9" t="s">
        <v>20</v>
      </c>
    </row>
    <row r="408" spans="1:30" ht="101.5">
      <c r="A408" s="3" t="s">
        <v>2595</v>
      </c>
      <c r="B408" s="3" t="s">
        <v>12400</v>
      </c>
      <c r="C408" s="3" t="s">
        <v>12401</v>
      </c>
      <c r="E408" t="s">
        <v>20</v>
      </c>
      <c r="G408" s="9" t="s">
        <v>12120</v>
      </c>
      <c r="H408" s="9"/>
      <c r="I408" s="9"/>
      <c r="J408" s="9"/>
      <c r="K408" s="9"/>
      <c r="L408" s="9"/>
      <c r="M408" s="9"/>
      <c r="N408" s="10"/>
      <c r="O408" s="9"/>
      <c r="P408" s="9"/>
      <c r="Q408" s="9"/>
      <c r="R408" s="9" t="s">
        <v>12795</v>
      </c>
      <c r="S408" s="9" t="s">
        <v>12795</v>
      </c>
      <c r="T408" s="9"/>
      <c r="U408" s="9"/>
      <c r="V408" s="9"/>
      <c r="W408" s="9"/>
      <c r="X408" s="9"/>
      <c r="Y408" s="9"/>
      <c r="Z408" s="9"/>
      <c r="AA408" s="9"/>
      <c r="AB408" s="9"/>
      <c r="AC408" s="9"/>
      <c r="AD408" s="9" t="s">
        <v>20</v>
      </c>
    </row>
    <row r="409" spans="1:30" ht="72.5">
      <c r="A409" s="3" t="s">
        <v>2602</v>
      </c>
      <c r="B409" s="3" t="s">
        <v>7738</v>
      </c>
      <c r="C409" s="3" t="s">
        <v>7739</v>
      </c>
      <c r="G409" s="9" t="s">
        <v>12120</v>
      </c>
      <c r="H409" s="9"/>
      <c r="I409" s="9"/>
      <c r="J409" s="9"/>
      <c r="K409" s="9"/>
      <c r="L409" s="9"/>
      <c r="M409" s="9"/>
      <c r="N409" s="10"/>
      <c r="O409" s="9"/>
      <c r="P409" s="9"/>
      <c r="Q409" s="9"/>
      <c r="R409" s="9" t="s">
        <v>12795</v>
      </c>
      <c r="S409" s="9" t="s">
        <v>12795</v>
      </c>
      <c r="T409" s="9"/>
      <c r="U409" s="9"/>
      <c r="V409" s="9"/>
      <c r="W409" s="9"/>
      <c r="X409" s="9"/>
      <c r="Y409" s="9"/>
      <c r="Z409" s="9"/>
      <c r="AA409" s="9"/>
      <c r="AB409" s="9"/>
      <c r="AC409" s="9"/>
      <c r="AD409" s="9" t="s">
        <v>20</v>
      </c>
    </row>
    <row r="410" spans="1:30" ht="58">
      <c r="A410" s="3" t="s">
        <v>2606</v>
      </c>
      <c r="B410" s="3" t="s">
        <v>7740</v>
      </c>
      <c r="C410" s="3" t="s">
        <v>7741</v>
      </c>
      <c r="G410" s="9" t="s">
        <v>25</v>
      </c>
      <c r="H410" s="9"/>
      <c r="I410" s="9">
        <v>1</v>
      </c>
      <c r="J410" s="9">
        <v>3</v>
      </c>
      <c r="K410" s="9" t="s">
        <v>12078</v>
      </c>
      <c r="L410" s="9" t="s">
        <v>12073</v>
      </c>
      <c r="M410" s="9" t="s">
        <v>12149</v>
      </c>
      <c r="N410" s="10" t="s">
        <v>12143</v>
      </c>
      <c r="O410" s="9"/>
      <c r="P410" s="9">
        <v>11843</v>
      </c>
      <c r="Q410" s="9"/>
      <c r="R410" s="9" t="s">
        <v>12795</v>
      </c>
      <c r="S410" s="9" t="s">
        <v>12795</v>
      </c>
      <c r="T410" s="9"/>
      <c r="U410" s="9"/>
      <c r="V410" s="9"/>
      <c r="W410" s="9"/>
      <c r="X410" s="9"/>
      <c r="Y410" s="9"/>
      <c r="Z410" s="9"/>
      <c r="AA410" s="9"/>
      <c r="AB410" s="9"/>
      <c r="AC410" s="9"/>
      <c r="AD410" s="9" t="s">
        <v>20</v>
      </c>
    </row>
    <row r="411" spans="1:30" ht="29">
      <c r="A411" s="3" t="s">
        <v>2621</v>
      </c>
      <c r="B411" s="3" t="s">
        <v>7765</v>
      </c>
      <c r="C411" s="3" t="s">
        <v>7764</v>
      </c>
      <c r="G411" s="9" t="s">
        <v>25</v>
      </c>
      <c r="H411" s="9"/>
      <c r="I411" s="9">
        <v>1</v>
      </c>
      <c r="J411" s="9">
        <v>2</v>
      </c>
      <c r="K411" s="9" t="s">
        <v>12078</v>
      </c>
      <c r="L411" s="9" t="s">
        <v>12119</v>
      </c>
      <c r="M411" s="9"/>
      <c r="N411" s="10"/>
      <c r="O411" s="9"/>
      <c r="P411" s="9">
        <v>11843</v>
      </c>
      <c r="Q411" s="9"/>
      <c r="R411" s="9" t="s">
        <v>12795</v>
      </c>
      <c r="S411" s="9" t="s">
        <v>12795</v>
      </c>
      <c r="T411" s="9"/>
      <c r="U411" s="9"/>
      <c r="V411" s="9"/>
      <c r="W411" s="9"/>
      <c r="X411" s="9"/>
      <c r="Y411" s="9"/>
      <c r="Z411" s="9"/>
      <c r="AA411" s="9"/>
      <c r="AB411" s="9"/>
      <c r="AC411" s="9"/>
      <c r="AD411" s="9" t="s">
        <v>20</v>
      </c>
    </row>
    <row r="412" spans="1:30" ht="58">
      <c r="A412" s="3" t="s">
        <v>2625</v>
      </c>
      <c r="B412" s="3" t="s">
        <v>7766</v>
      </c>
      <c r="C412" s="3" t="s">
        <v>7767</v>
      </c>
      <c r="G412" s="9" t="s">
        <v>12120</v>
      </c>
      <c r="H412" s="9"/>
      <c r="I412" s="9"/>
      <c r="J412" s="9"/>
      <c r="K412" s="9"/>
      <c r="L412" s="9"/>
      <c r="M412" s="9"/>
      <c r="N412" s="10"/>
      <c r="O412" s="9"/>
      <c r="P412" s="9"/>
      <c r="Q412" s="9"/>
      <c r="R412" s="9" t="s">
        <v>12795</v>
      </c>
      <c r="S412" s="9" t="s">
        <v>12795</v>
      </c>
      <c r="T412" s="9"/>
      <c r="U412" s="9"/>
      <c r="V412" s="9"/>
      <c r="W412" s="9"/>
      <c r="X412" s="9"/>
      <c r="Y412" s="9"/>
      <c r="Z412" s="9"/>
      <c r="AA412" s="9"/>
      <c r="AB412" s="9"/>
      <c r="AC412" s="9"/>
      <c r="AD412" s="9" t="s">
        <v>20</v>
      </c>
    </row>
    <row r="413" spans="1:30" ht="87">
      <c r="A413" s="3" t="s">
        <v>2626</v>
      </c>
      <c r="B413" s="3" t="s">
        <v>7769</v>
      </c>
      <c r="C413" s="3" t="s">
        <v>7768</v>
      </c>
      <c r="G413" s="9" t="s">
        <v>26</v>
      </c>
      <c r="H413" s="9"/>
      <c r="I413" s="9"/>
      <c r="J413" s="9"/>
      <c r="K413" s="9"/>
      <c r="L413" s="9"/>
      <c r="M413" s="9"/>
      <c r="N413" s="10"/>
      <c r="O413" s="9"/>
      <c r="P413" s="9"/>
      <c r="Q413" s="9"/>
      <c r="R413" s="9" t="s">
        <v>12795</v>
      </c>
      <c r="S413" s="9" t="s">
        <v>12795</v>
      </c>
      <c r="T413" s="9"/>
      <c r="U413" s="9"/>
      <c r="V413" s="9"/>
      <c r="W413" s="9"/>
      <c r="X413" s="9"/>
      <c r="Y413" s="9"/>
      <c r="Z413" s="9"/>
      <c r="AA413" s="9"/>
      <c r="AB413" s="9"/>
      <c r="AC413" s="9"/>
      <c r="AD413" s="9" t="s">
        <v>20</v>
      </c>
    </row>
    <row r="414" spans="1:30" ht="58">
      <c r="A414" s="3" t="s">
        <v>2627</v>
      </c>
      <c r="B414" s="3" t="s">
        <v>7771</v>
      </c>
      <c r="C414" s="3" t="s">
        <v>7770</v>
      </c>
      <c r="G414" s="9" t="s">
        <v>25</v>
      </c>
      <c r="H414" s="9"/>
      <c r="I414" s="9">
        <v>1</v>
      </c>
      <c r="J414" s="9">
        <v>4</v>
      </c>
      <c r="K414" s="9" t="s">
        <v>12125</v>
      </c>
      <c r="L414" s="9" t="s">
        <v>12079</v>
      </c>
      <c r="M414" s="9"/>
      <c r="N414" s="10"/>
      <c r="O414" s="9"/>
      <c r="P414" s="9">
        <v>2042</v>
      </c>
      <c r="Q414" s="9"/>
      <c r="R414" s="9" t="s">
        <v>12795</v>
      </c>
      <c r="S414" s="9" t="s">
        <v>12795</v>
      </c>
      <c r="T414" s="9"/>
      <c r="U414" s="9"/>
      <c r="V414" s="9"/>
      <c r="W414" s="9"/>
      <c r="X414" s="9"/>
      <c r="Y414" s="9"/>
      <c r="Z414" s="9"/>
      <c r="AA414" s="9"/>
      <c r="AB414" s="9"/>
      <c r="AC414" s="9"/>
      <c r="AD414" s="9" t="s">
        <v>20</v>
      </c>
    </row>
    <row r="415" spans="1:30" ht="43.5">
      <c r="A415" s="3" t="s">
        <v>2629</v>
      </c>
      <c r="B415" s="3" t="s">
        <v>7773</v>
      </c>
      <c r="C415" s="3" t="s">
        <v>7772</v>
      </c>
      <c r="G415" s="9" t="s">
        <v>25</v>
      </c>
      <c r="H415" s="9"/>
      <c r="I415" s="9">
        <v>1</v>
      </c>
      <c r="J415" s="9">
        <v>3</v>
      </c>
      <c r="K415" s="9" t="s">
        <v>12078</v>
      </c>
      <c r="L415" s="9" t="s">
        <v>12079</v>
      </c>
      <c r="M415" s="9"/>
      <c r="N415" s="10"/>
      <c r="O415" s="9"/>
      <c r="P415" s="9">
        <v>11843</v>
      </c>
      <c r="Q415" s="9"/>
      <c r="R415" s="9" t="s">
        <v>12795</v>
      </c>
      <c r="S415" s="9" t="s">
        <v>12795</v>
      </c>
      <c r="T415" s="9"/>
      <c r="U415" s="9"/>
      <c r="V415" s="9"/>
      <c r="W415" s="9"/>
      <c r="X415" s="9"/>
      <c r="Y415" s="9"/>
      <c r="Z415" s="9"/>
      <c r="AA415" s="9"/>
      <c r="AB415" s="9"/>
      <c r="AC415" s="9"/>
      <c r="AD415" s="9" t="s">
        <v>20</v>
      </c>
    </row>
    <row r="416" spans="1:30" ht="43.5">
      <c r="A416" s="3" t="s">
        <v>2648</v>
      </c>
      <c r="B416" s="3" t="s">
        <v>7786</v>
      </c>
      <c r="C416" s="3" t="s">
        <v>7785</v>
      </c>
      <c r="G416" s="9" t="s">
        <v>12118</v>
      </c>
      <c r="H416" s="9"/>
      <c r="I416" s="9"/>
      <c r="J416" s="9"/>
      <c r="K416" s="9"/>
      <c r="L416" s="9"/>
      <c r="M416" s="9"/>
      <c r="N416" s="10"/>
      <c r="O416" s="9"/>
      <c r="P416" s="9"/>
      <c r="Q416" s="9">
        <v>122</v>
      </c>
      <c r="R416" s="9">
        <v>20</v>
      </c>
      <c r="S416" s="9">
        <v>142</v>
      </c>
      <c r="T416" s="9"/>
      <c r="U416" s="9"/>
      <c r="V416" s="9"/>
      <c r="W416" s="9"/>
      <c r="X416" s="9"/>
      <c r="Y416" s="9"/>
      <c r="Z416" s="9"/>
      <c r="AA416" s="9"/>
      <c r="AB416" s="9"/>
      <c r="AC416" s="9"/>
      <c r="AD416" s="9" t="s">
        <v>20</v>
      </c>
    </row>
    <row r="417" spans="1:30" ht="29">
      <c r="A417" s="3" t="s">
        <v>2649</v>
      </c>
      <c r="B417" s="3" t="s">
        <v>7788</v>
      </c>
      <c r="C417" s="3" t="s">
        <v>7787</v>
      </c>
      <c r="G417" s="9" t="s">
        <v>25</v>
      </c>
      <c r="H417" s="9"/>
      <c r="I417" s="9">
        <v>1</v>
      </c>
      <c r="J417" s="9">
        <v>2</v>
      </c>
      <c r="K417" s="9" t="s">
        <v>12078</v>
      </c>
      <c r="L417" s="9" t="s">
        <v>12119</v>
      </c>
      <c r="M417" s="9"/>
      <c r="N417" s="10"/>
      <c r="O417" s="9"/>
      <c r="P417" s="9">
        <v>11843</v>
      </c>
      <c r="Q417" s="9"/>
      <c r="R417" s="9" t="s">
        <v>12795</v>
      </c>
      <c r="S417" s="9" t="s">
        <v>12795</v>
      </c>
      <c r="T417" s="9"/>
      <c r="U417" s="9"/>
      <c r="V417" s="9"/>
      <c r="W417" s="9"/>
      <c r="X417" s="9"/>
      <c r="Y417" s="9"/>
      <c r="Z417" s="9"/>
      <c r="AA417" s="9"/>
      <c r="AB417" s="9"/>
      <c r="AC417" s="9"/>
      <c r="AD417" s="9" t="s">
        <v>20</v>
      </c>
    </row>
    <row r="418" spans="1:30" ht="43.5">
      <c r="A418" s="3" t="s">
        <v>2651</v>
      </c>
      <c r="B418" s="3" t="s">
        <v>7792</v>
      </c>
      <c r="C418" s="3" t="s">
        <v>7791</v>
      </c>
      <c r="G418" s="9" t="s">
        <v>12118</v>
      </c>
      <c r="H418" s="9"/>
      <c r="I418" s="9"/>
      <c r="J418" s="9"/>
      <c r="K418" s="9"/>
      <c r="L418" s="9"/>
      <c r="M418" s="9"/>
      <c r="N418" s="10"/>
      <c r="O418" s="9"/>
      <c r="P418" s="9"/>
      <c r="Q418" s="9">
        <v>11063</v>
      </c>
      <c r="R418" s="9">
        <v>780</v>
      </c>
      <c r="S418" s="9">
        <v>11843</v>
      </c>
      <c r="T418" s="9"/>
      <c r="U418" s="9"/>
      <c r="V418" s="9"/>
      <c r="W418" s="9"/>
      <c r="X418" s="9"/>
      <c r="Y418" s="9"/>
      <c r="Z418" s="9"/>
      <c r="AA418" s="9"/>
      <c r="AB418" s="9"/>
      <c r="AC418" s="9"/>
      <c r="AD418" s="9" t="s">
        <v>20</v>
      </c>
    </row>
    <row r="419" spans="1:30" ht="29">
      <c r="A419" s="3" t="s">
        <v>2655</v>
      </c>
      <c r="B419" s="3" t="s">
        <v>12909</v>
      </c>
      <c r="C419" s="3" t="s">
        <v>7798</v>
      </c>
      <c r="G419" s="9" t="s">
        <v>25</v>
      </c>
      <c r="H419" s="9"/>
      <c r="I419" s="9">
        <v>1</v>
      </c>
      <c r="J419" s="9">
        <v>5</v>
      </c>
      <c r="K419" s="9" t="s">
        <v>12094</v>
      </c>
      <c r="L419" s="9" t="s">
        <v>12079</v>
      </c>
      <c r="M419" s="9"/>
      <c r="N419" s="10"/>
      <c r="O419" s="9"/>
      <c r="P419" s="9">
        <v>4240</v>
      </c>
      <c r="Q419" s="9"/>
      <c r="R419" s="9" t="s">
        <v>12795</v>
      </c>
      <c r="S419" s="9" t="s">
        <v>12795</v>
      </c>
      <c r="T419" s="9"/>
      <c r="U419" s="9"/>
      <c r="V419" s="9"/>
      <c r="W419" s="9"/>
      <c r="X419" s="9"/>
      <c r="Y419" s="9"/>
      <c r="Z419" s="9"/>
      <c r="AA419" s="9"/>
      <c r="AB419" s="9"/>
      <c r="AC419" s="9"/>
      <c r="AD419" s="9" t="s">
        <v>20</v>
      </c>
    </row>
    <row r="420" spans="1:30" ht="159.5">
      <c r="A420" s="3" t="s">
        <v>2675</v>
      </c>
      <c r="B420" s="3" t="s">
        <v>7810</v>
      </c>
      <c r="C420" s="3" t="s">
        <v>7811</v>
      </c>
      <c r="G420" s="9" t="s">
        <v>26</v>
      </c>
      <c r="H420" s="9"/>
      <c r="I420" s="9"/>
      <c r="J420" s="9"/>
      <c r="K420" s="9"/>
      <c r="L420" s="9"/>
      <c r="M420" s="9"/>
      <c r="N420" s="10"/>
      <c r="O420" s="9"/>
      <c r="P420" s="9"/>
      <c r="Q420" s="9"/>
      <c r="R420" s="9" t="s">
        <v>12795</v>
      </c>
      <c r="S420" s="9" t="s">
        <v>12795</v>
      </c>
      <c r="T420" s="9"/>
      <c r="U420" s="9"/>
      <c r="V420" s="9"/>
      <c r="W420" s="9"/>
      <c r="X420" s="9"/>
      <c r="Y420" s="9"/>
      <c r="Z420" s="9"/>
      <c r="AA420" s="9"/>
      <c r="AB420" s="9"/>
      <c r="AC420" s="9"/>
      <c r="AD420" s="9" t="s">
        <v>20</v>
      </c>
    </row>
    <row r="421" spans="1:30" ht="29">
      <c r="A421" s="3" t="s">
        <v>2676</v>
      </c>
      <c r="B421" s="3" t="s">
        <v>2677</v>
      </c>
      <c r="C421" s="3" t="s">
        <v>2678</v>
      </c>
      <c r="G421" s="9" t="s">
        <v>12120</v>
      </c>
      <c r="H421" s="9"/>
      <c r="I421" s="9"/>
      <c r="J421" s="9"/>
      <c r="K421" s="9"/>
      <c r="L421" s="9"/>
      <c r="M421" s="9"/>
      <c r="N421" s="10"/>
      <c r="O421" s="9"/>
      <c r="P421" s="9"/>
      <c r="Q421" s="9"/>
      <c r="R421" s="9" t="s">
        <v>12795</v>
      </c>
      <c r="S421" s="9" t="s">
        <v>12795</v>
      </c>
      <c r="T421" s="9"/>
      <c r="U421" s="9"/>
      <c r="V421" s="9"/>
      <c r="W421" s="9"/>
      <c r="X421" s="9"/>
      <c r="Y421" s="9"/>
      <c r="Z421" s="9"/>
      <c r="AA421" s="9"/>
      <c r="AB421" s="9"/>
      <c r="AC421" s="9"/>
      <c r="AD421" s="9" t="s">
        <v>20</v>
      </c>
    </row>
    <row r="422" spans="1:30" ht="58">
      <c r="A422" s="3" t="s">
        <v>2679</v>
      </c>
      <c r="B422" s="3" t="s">
        <v>7814</v>
      </c>
      <c r="C422" s="3" t="s">
        <v>7813</v>
      </c>
      <c r="G422" s="9" t="s">
        <v>24</v>
      </c>
      <c r="H422" s="9"/>
      <c r="I422" s="9">
        <v>1</v>
      </c>
      <c r="J422" s="9">
        <v>6</v>
      </c>
      <c r="K422" s="9" t="s">
        <v>12094</v>
      </c>
      <c r="L422" s="9" t="s">
        <v>12073</v>
      </c>
      <c r="M422" s="9" t="s">
        <v>12149</v>
      </c>
      <c r="N422" s="10" t="s">
        <v>12143</v>
      </c>
      <c r="O422" s="9"/>
      <c r="P422" s="9">
        <v>930</v>
      </c>
      <c r="Q422" s="9"/>
      <c r="R422" s="9" t="s">
        <v>12795</v>
      </c>
      <c r="S422" s="9" t="s">
        <v>12795</v>
      </c>
      <c r="T422" s="9"/>
      <c r="U422" s="9"/>
      <c r="V422" s="9"/>
      <c r="W422" s="9"/>
      <c r="X422" s="9"/>
      <c r="Y422" s="9"/>
      <c r="Z422" s="9"/>
      <c r="AA422" s="9"/>
      <c r="AB422" s="9"/>
      <c r="AC422" s="9"/>
      <c r="AD422" s="9" t="s">
        <v>20</v>
      </c>
    </row>
    <row r="423" spans="1:30" ht="58">
      <c r="A423" s="3" t="s">
        <v>2684</v>
      </c>
      <c r="B423" s="3" t="s">
        <v>7824</v>
      </c>
      <c r="C423" s="3" t="s">
        <v>7823</v>
      </c>
      <c r="G423" s="9" t="s">
        <v>12118</v>
      </c>
      <c r="H423" s="9"/>
      <c r="I423" s="9"/>
      <c r="J423" s="9"/>
      <c r="K423" s="9"/>
      <c r="L423" s="9"/>
      <c r="M423" s="9"/>
      <c r="N423" s="10"/>
      <c r="O423" s="9"/>
      <c r="P423" s="9"/>
      <c r="Q423" s="9">
        <v>116</v>
      </c>
      <c r="R423" s="9">
        <v>444</v>
      </c>
      <c r="S423" s="9">
        <v>560</v>
      </c>
      <c r="T423" s="9"/>
      <c r="U423" s="9"/>
      <c r="V423" s="9"/>
      <c r="W423" s="9"/>
      <c r="X423" s="9"/>
      <c r="Y423" s="9"/>
      <c r="Z423" s="9"/>
      <c r="AA423" s="9"/>
      <c r="AB423" s="9"/>
      <c r="AC423" s="9"/>
      <c r="AD423" s="9" t="s">
        <v>20</v>
      </c>
    </row>
    <row r="424" spans="1:30" ht="43.5">
      <c r="A424" s="3" t="s">
        <v>2684</v>
      </c>
      <c r="B424" s="3" t="s">
        <v>7828</v>
      </c>
      <c r="C424" s="3" t="s">
        <v>7827</v>
      </c>
      <c r="G424" s="9" t="s">
        <v>25</v>
      </c>
      <c r="H424" s="9"/>
      <c r="I424" s="9">
        <v>1</v>
      </c>
      <c r="J424" s="9">
        <v>5</v>
      </c>
      <c r="K424" s="9" t="s">
        <v>12094</v>
      </c>
      <c r="L424" s="9" t="s">
        <v>12079</v>
      </c>
      <c r="M424" s="9"/>
      <c r="N424" s="10"/>
      <c r="O424" s="9"/>
      <c r="P424" s="9">
        <v>4240</v>
      </c>
      <c r="Q424" s="9"/>
      <c r="R424" s="9" t="s">
        <v>12795</v>
      </c>
      <c r="S424" s="9" t="s">
        <v>12795</v>
      </c>
      <c r="T424" s="9"/>
      <c r="U424" s="9"/>
      <c r="V424" s="9"/>
      <c r="W424" s="9"/>
      <c r="X424" s="9"/>
      <c r="Y424" s="9"/>
      <c r="Z424" s="9"/>
      <c r="AA424" s="9"/>
      <c r="AB424" s="9"/>
      <c r="AC424" s="9"/>
      <c r="AD424" s="9" t="s">
        <v>20</v>
      </c>
    </row>
    <row r="425" spans="1:30" ht="58">
      <c r="A425" s="3" t="s">
        <v>2685</v>
      </c>
      <c r="B425" s="3" t="s">
        <v>7830</v>
      </c>
      <c r="C425" s="3" t="s">
        <v>7829</v>
      </c>
      <c r="G425" s="9" t="s">
        <v>25</v>
      </c>
      <c r="H425" s="9"/>
      <c r="I425" s="9">
        <v>1</v>
      </c>
      <c r="J425" s="9">
        <v>7</v>
      </c>
      <c r="K425" s="9" t="s">
        <v>12092</v>
      </c>
      <c r="L425" s="9" t="s">
        <v>12073</v>
      </c>
      <c r="M425" s="9" t="s">
        <v>12142</v>
      </c>
      <c r="N425" s="10" t="s">
        <v>12160</v>
      </c>
      <c r="O425" s="9"/>
      <c r="P425" s="9">
        <v>2</v>
      </c>
      <c r="Q425" s="9"/>
      <c r="R425" s="9" t="s">
        <v>12795</v>
      </c>
      <c r="S425" s="9" t="s">
        <v>12795</v>
      </c>
      <c r="T425" s="9"/>
      <c r="U425" s="9"/>
      <c r="V425" s="9"/>
      <c r="W425" s="9"/>
      <c r="X425" s="9"/>
      <c r="Y425" s="9"/>
      <c r="Z425" s="9"/>
      <c r="AA425" s="9"/>
      <c r="AB425" s="9"/>
      <c r="AC425" s="9"/>
      <c r="AD425" s="9" t="s">
        <v>20</v>
      </c>
    </row>
    <row r="426" spans="1:30" ht="43.5">
      <c r="A426" s="3" t="s">
        <v>2686</v>
      </c>
      <c r="B426" s="3" t="s">
        <v>7832</v>
      </c>
      <c r="C426" s="3" t="s">
        <v>7831</v>
      </c>
      <c r="G426" s="9" t="s">
        <v>24</v>
      </c>
      <c r="H426" s="9"/>
      <c r="I426" s="9">
        <v>1</v>
      </c>
      <c r="J426" s="9">
        <v>2</v>
      </c>
      <c r="K426" s="9" t="s">
        <v>12078</v>
      </c>
      <c r="L426" s="9" t="s">
        <v>12119</v>
      </c>
      <c r="M426" s="9"/>
      <c r="N426" s="10"/>
      <c r="O426" s="9"/>
      <c r="P426" s="9">
        <v>11843</v>
      </c>
      <c r="Q426" s="9"/>
      <c r="R426" s="9" t="s">
        <v>12795</v>
      </c>
      <c r="S426" s="9" t="s">
        <v>12795</v>
      </c>
      <c r="T426" s="9"/>
      <c r="U426" s="9"/>
      <c r="V426" s="9"/>
      <c r="W426" s="9"/>
      <c r="X426" s="9"/>
      <c r="Y426" s="9"/>
      <c r="Z426" s="9"/>
      <c r="AA426" s="9"/>
      <c r="AB426" s="9"/>
      <c r="AC426" s="9"/>
      <c r="AD426" s="9" t="s">
        <v>20</v>
      </c>
    </row>
    <row r="427" spans="1:30" ht="87">
      <c r="A427" s="3" t="s">
        <v>2694</v>
      </c>
      <c r="B427" s="3" t="s">
        <v>7839</v>
      </c>
      <c r="C427" s="3" t="s">
        <v>7838</v>
      </c>
      <c r="G427" s="9" t="s">
        <v>26</v>
      </c>
      <c r="H427" s="9"/>
      <c r="I427" s="9"/>
      <c r="J427" s="9"/>
      <c r="K427" s="9"/>
      <c r="L427" s="9"/>
      <c r="M427" s="9"/>
      <c r="N427" s="10"/>
      <c r="O427" s="9"/>
      <c r="P427" s="9"/>
      <c r="Q427" s="9"/>
      <c r="R427" s="9" t="s">
        <v>12795</v>
      </c>
      <c r="S427" s="9" t="s">
        <v>12795</v>
      </c>
      <c r="T427" s="9"/>
      <c r="U427" s="9"/>
      <c r="V427" s="9"/>
      <c r="W427" s="9"/>
      <c r="X427" s="9"/>
      <c r="Y427" s="9"/>
      <c r="Z427" s="9"/>
      <c r="AA427" s="9"/>
      <c r="AB427" s="9"/>
      <c r="AC427" s="9"/>
      <c r="AD427" s="9" t="s">
        <v>20</v>
      </c>
    </row>
    <row r="428" spans="1:30" ht="29">
      <c r="A428" s="3" t="s">
        <v>2696</v>
      </c>
      <c r="B428" s="3" t="s">
        <v>7845</v>
      </c>
      <c r="C428" s="3" t="s">
        <v>7844</v>
      </c>
      <c r="G428" s="9" t="s">
        <v>12118</v>
      </c>
      <c r="H428" s="9"/>
      <c r="I428" s="9"/>
      <c r="J428" s="9"/>
      <c r="K428" s="9"/>
      <c r="L428" s="9"/>
      <c r="M428" s="9"/>
      <c r="N428" s="10"/>
      <c r="O428" s="9"/>
      <c r="P428" s="9"/>
      <c r="Q428" s="9">
        <v>-5483</v>
      </c>
      <c r="R428" s="9">
        <v>5676</v>
      </c>
      <c r="S428" s="9">
        <v>193</v>
      </c>
      <c r="T428" s="9"/>
      <c r="U428" s="9"/>
      <c r="V428" s="9"/>
      <c r="W428" s="9"/>
      <c r="X428" s="9"/>
      <c r="Y428" s="9"/>
      <c r="Z428" s="9"/>
      <c r="AA428" s="9"/>
      <c r="AB428" s="9"/>
      <c r="AC428" s="9"/>
      <c r="AD428" s="9" t="s">
        <v>20</v>
      </c>
    </row>
    <row r="429" spans="1:30" ht="58">
      <c r="A429" s="3" t="s">
        <v>2698</v>
      </c>
      <c r="B429" s="3" t="s">
        <v>7851</v>
      </c>
      <c r="C429" s="3" t="s">
        <v>7850</v>
      </c>
      <c r="G429" s="9" t="s">
        <v>12118</v>
      </c>
      <c r="H429" s="9"/>
      <c r="I429" s="9"/>
      <c r="J429" s="9"/>
      <c r="K429" s="9"/>
      <c r="L429" s="9"/>
      <c r="M429" s="9"/>
      <c r="N429" s="10"/>
      <c r="O429" s="9"/>
      <c r="P429" s="9"/>
      <c r="Q429" s="9">
        <v>222</v>
      </c>
      <c r="R429" s="9">
        <v>134</v>
      </c>
      <c r="S429" s="9">
        <v>356</v>
      </c>
      <c r="T429" s="9"/>
      <c r="U429" s="9"/>
      <c r="V429" s="9"/>
      <c r="W429" s="9"/>
      <c r="X429" s="9"/>
      <c r="Y429" s="9"/>
      <c r="Z429" s="9"/>
      <c r="AA429" s="9"/>
      <c r="AB429" s="9"/>
      <c r="AC429" s="9"/>
      <c r="AD429" s="9" t="s">
        <v>20</v>
      </c>
    </row>
    <row r="430" spans="1:30" ht="232">
      <c r="A430" s="3" t="s">
        <v>2707</v>
      </c>
      <c r="B430" s="3" t="s">
        <v>7859</v>
      </c>
      <c r="C430" s="3" t="s">
        <v>7858</v>
      </c>
      <c r="G430" s="9" t="s">
        <v>25</v>
      </c>
      <c r="H430" s="9"/>
      <c r="I430" s="9">
        <v>13</v>
      </c>
      <c r="J430" s="9">
        <v>65</v>
      </c>
      <c r="K430" s="9"/>
      <c r="L430" s="9" t="s">
        <v>12079</v>
      </c>
      <c r="M430" s="9"/>
      <c r="N430" s="10"/>
      <c r="O430" s="9"/>
      <c r="P430" s="9">
        <v>31</v>
      </c>
      <c r="Q430" s="9"/>
      <c r="R430" s="9" t="s">
        <v>12795</v>
      </c>
      <c r="S430" s="9" t="s">
        <v>12795</v>
      </c>
      <c r="T430" s="9"/>
      <c r="U430" s="9"/>
      <c r="V430" s="9"/>
      <c r="W430" s="9"/>
      <c r="X430" s="9"/>
      <c r="Y430" s="9"/>
      <c r="Z430" s="9"/>
      <c r="AA430" s="9"/>
      <c r="AB430" s="9"/>
      <c r="AC430" s="9"/>
      <c r="AD430" s="9" t="s">
        <v>20</v>
      </c>
    </row>
    <row r="431" spans="1:30" ht="116">
      <c r="A431" s="3" t="s">
        <v>2711</v>
      </c>
      <c r="B431" s="3" t="s">
        <v>7861</v>
      </c>
      <c r="C431" s="3" t="s">
        <v>7860</v>
      </c>
      <c r="G431" s="9" t="s">
        <v>24</v>
      </c>
      <c r="H431" s="9"/>
      <c r="I431" s="9">
        <v>4</v>
      </c>
      <c r="J431" s="9">
        <v>15</v>
      </c>
      <c r="K431" s="9"/>
      <c r="L431" s="9" t="s">
        <v>12073</v>
      </c>
      <c r="M431" s="9" t="s">
        <v>12154</v>
      </c>
      <c r="N431" s="10" t="s">
        <v>12405</v>
      </c>
      <c r="O431" s="9"/>
      <c r="P431" s="9">
        <v>28</v>
      </c>
      <c r="Q431" s="9"/>
      <c r="R431" s="9" t="s">
        <v>12795</v>
      </c>
      <c r="S431" s="9" t="s">
        <v>12795</v>
      </c>
      <c r="T431" s="9"/>
      <c r="U431" s="9"/>
      <c r="V431" s="9"/>
      <c r="W431" s="9"/>
      <c r="X431" s="9"/>
      <c r="Y431" s="9"/>
      <c r="Z431" s="9"/>
      <c r="AA431" s="9"/>
      <c r="AB431" s="9"/>
      <c r="AC431" s="9"/>
      <c r="AD431" s="9" t="s">
        <v>20</v>
      </c>
    </row>
    <row r="432" spans="1:30" ht="101.5">
      <c r="A432" s="3" t="s">
        <v>2716</v>
      </c>
      <c r="B432" s="3" t="s">
        <v>7873</v>
      </c>
      <c r="C432" s="3" t="s">
        <v>7872</v>
      </c>
      <c r="G432" s="9" t="s">
        <v>26</v>
      </c>
      <c r="H432" s="9"/>
      <c r="I432" s="9"/>
      <c r="J432" s="9"/>
      <c r="K432" s="9"/>
      <c r="L432" s="9"/>
      <c r="M432" s="9"/>
      <c r="N432" s="10"/>
      <c r="O432" s="9"/>
      <c r="P432" s="9"/>
      <c r="Q432" s="9"/>
      <c r="R432" s="9" t="s">
        <v>12795</v>
      </c>
      <c r="S432" s="9" t="s">
        <v>12795</v>
      </c>
      <c r="T432" s="9"/>
      <c r="U432" s="9"/>
      <c r="V432" s="9"/>
      <c r="W432" s="9"/>
      <c r="X432" s="9"/>
      <c r="Y432" s="9"/>
      <c r="Z432" s="9"/>
      <c r="AA432" s="9"/>
      <c r="AB432" s="9"/>
      <c r="AC432" s="9"/>
      <c r="AD432" s="9" t="s">
        <v>20</v>
      </c>
    </row>
    <row r="433" spans="1:30" ht="58">
      <c r="A433" s="3" t="s">
        <v>2730</v>
      </c>
      <c r="B433" s="3" t="s">
        <v>7891</v>
      </c>
      <c r="C433" s="3" t="s">
        <v>7892</v>
      </c>
      <c r="G433" s="9" t="s">
        <v>12120</v>
      </c>
      <c r="H433" s="9"/>
      <c r="I433" s="9"/>
      <c r="J433" s="9"/>
      <c r="K433" s="9"/>
      <c r="L433" s="9"/>
      <c r="M433" s="9"/>
      <c r="N433" s="10"/>
      <c r="O433" s="9"/>
      <c r="P433" s="9"/>
      <c r="Q433" s="9"/>
      <c r="R433" s="9" t="s">
        <v>12795</v>
      </c>
      <c r="S433" s="9" t="s">
        <v>12795</v>
      </c>
      <c r="T433" s="9"/>
      <c r="U433" s="9"/>
      <c r="V433" s="9"/>
      <c r="W433" s="9"/>
      <c r="X433" s="9"/>
      <c r="Y433" s="9"/>
      <c r="Z433" s="9"/>
      <c r="AA433" s="9"/>
      <c r="AB433" s="9"/>
      <c r="AC433" s="9"/>
      <c r="AD433" s="9" t="s">
        <v>20</v>
      </c>
    </row>
    <row r="434" spans="1:30" ht="43.5">
      <c r="A434" s="3" t="s">
        <v>2731</v>
      </c>
      <c r="B434" s="3" t="s">
        <v>7896</v>
      </c>
      <c r="C434" s="3" t="s">
        <v>7895</v>
      </c>
      <c r="G434" s="9" t="s">
        <v>26</v>
      </c>
      <c r="H434" s="9"/>
      <c r="I434" s="9"/>
      <c r="J434" s="9"/>
      <c r="K434" s="9"/>
      <c r="L434" s="9"/>
      <c r="M434" s="9"/>
      <c r="N434" s="10"/>
      <c r="O434" s="9"/>
      <c r="P434" s="9"/>
      <c r="Q434" s="9"/>
      <c r="R434" s="9" t="s">
        <v>12795</v>
      </c>
      <c r="S434" s="9" t="s">
        <v>12795</v>
      </c>
      <c r="T434" s="9"/>
      <c r="U434" s="9"/>
      <c r="V434" s="9"/>
      <c r="W434" s="9"/>
      <c r="X434" s="9"/>
      <c r="Y434" s="9"/>
      <c r="Z434" s="9"/>
      <c r="AA434" s="9"/>
      <c r="AB434" s="9"/>
      <c r="AC434" s="9"/>
      <c r="AD434" s="9" t="s">
        <v>20</v>
      </c>
    </row>
    <row r="435" spans="1:30" ht="29">
      <c r="A435" s="3" t="s">
        <v>2735</v>
      </c>
      <c r="B435" s="3" t="s">
        <v>7904</v>
      </c>
      <c r="C435" s="3" t="s">
        <v>7903</v>
      </c>
      <c r="G435" s="9" t="s">
        <v>12121</v>
      </c>
      <c r="H435" s="9"/>
      <c r="I435" s="9"/>
      <c r="J435" s="9"/>
      <c r="K435" s="9"/>
      <c r="L435" s="9"/>
      <c r="M435" s="9"/>
      <c r="N435" s="10"/>
      <c r="O435" s="9"/>
      <c r="P435" s="9"/>
      <c r="Q435" s="9">
        <v>-635</v>
      </c>
      <c r="R435" s="9">
        <v>1565</v>
      </c>
      <c r="S435" s="9">
        <v>930</v>
      </c>
      <c r="T435" s="9"/>
      <c r="U435" s="9"/>
      <c r="V435" s="9"/>
      <c r="W435" s="9"/>
      <c r="X435" s="9"/>
      <c r="Y435" s="9"/>
      <c r="Z435" s="9"/>
      <c r="AA435" s="9"/>
      <c r="AB435" s="9"/>
      <c r="AC435" s="9"/>
      <c r="AD435" s="9" t="s">
        <v>20</v>
      </c>
    </row>
    <row r="436" spans="1:30" ht="72.5">
      <c r="A436" s="3" t="s">
        <v>2738</v>
      </c>
      <c r="B436" s="3" t="s">
        <v>7911</v>
      </c>
      <c r="C436" s="3" t="s">
        <v>7912</v>
      </c>
      <c r="G436" s="9" t="s">
        <v>12120</v>
      </c>
      <c r="H436" s="9"/>
      <c r="I436" s="9"/>
      <c r="J436" s="9"/>
      <c r="K436" s="9"/>
      <c r="L436" s="9"/>
      <c r="M436" s="9"/>
      <c r="N436" s="10"/>
      <c r="O436" s="9"/>
      <c r="P436" s="9"/>
      <c r="Q436" s="9"/>
      <c r="R436" s="9" t="s">
        <v>12795</v>
      </c>
      <c r="S436" s="9" t="s">
        <v>12795</v>
      </c>
      <c r="T436" s="9"/>
      <c r="U436" s="9"/>
      <c r="V436" s="9"/>
      <c r="W436" s="9"/>
      <c r="X436" s="9"/>
      <c r="Y436" s="9"/>
      <c r="Z436" s="9"/>
      <c r="AA436" s="9"/>
      <c r="AB436" s="9"/>
      <c r="AC436" s="9"/>
      <c r="AD436" s="9" t="s">
        <v>20</v>
      </c>
    </row>
    <row r="437" spans="1:30" ht="29">
      <c r="A437" s="3" t="s">
        <v>2750</v>
      </c>
      <c r="B437" s="3" t="s">
        <v>7926</v>
      </c>
      <c r="C437" s="3" t="s">
        <v>7925</v>
      </c>
      <c r="G437" s="9" t="s">
        <v>24</v>
      </c>
      <c r="H437" s="9"/>
      <c r="I437" s="9">
        <v>1</v>
      </c>
      <c r="J437" s="9">
        <v>3</v>
      </c>
      <c r="K437" s="9" t="s">
        <v>12078</v>
      </c>
      <c r="L437" s="9" t="s">
        <v>12079</v>
      </c>
      <c r="M437" s="9"/>
      <c r="N437" s="10"/>
      <c r="O437" s="9"/>
      <c r="P437" s="9">
        <v>11843</v>
      </c>
      <c r="Q437" s="9"/>
      <c r="R437" s="9" t="s">
        <v>12795</v>
      </c>
      <c r="S437" s="9" t="s">
        <v>12795</v>
      </c>
      <c r="T437" s="9"/>
      <c r="U437" s="9"/>
      <c r="V437" s="9"/>
      <c r="W437" s="9"/>
      <c r="X437" s="9"/>
      <c r="Y437" s="9"/>
      <c r="Z437" s="9"/>
      <c r="AA437" s="9"/>
      <c r="AB437" s="9"/>
      <c r="AC437" s="9"/>
      <c r="AD437" s="9" t="s">
        <v>20</v>
      </c>
    </row>
    <row r="438" spans="1:30" ht="58">
      <c r="A438" s="3" t="s">
        <v>2771</v>
      </c>
      <c r="B438" s="3" t="s">
        <v>7947</v>
      </c>
      <c r="C438" s="3" t="s">
        <v>7948</v>
      </c>
      <c r="G438" s="9" t="s">
        <v>26</v>
      </c>
      <c r="H438" s="9"/>
      <c r="I438" s="9"/>
      <c r="J438" s="9"/>
      <c r="K438" s="9"/>
      <c r="L438" s="9"/>
      <c r="M438" s="9"/>
      <c r="N438" s="10"/>
      <c r="O438" s="9"/>
      <c r="P438" s="9"/>
      <c r="Q438" s="9"/>
      <c r="R438" s="9" t="s">
        <v>12795</v>
      </c>
      <c r="S438" s="9" t="s">
        <v>12795</v>
      </c>
      <c r="T438" s="9"/>
      <c r="U438" s="9"/>
      <c r="V438" s="9"/>
      <c r="W438" s="9"/>
      <c r="X438" s="9"/>
      <c r="Y438" s="9"/>
      <c r="Z438" s="9"/>
      <c r="AA438" s="9"/>
      <c r="AB438" s="9"/>
      <c r="AC438" s="9"/>
      <c r="AD438" s="9" t="s">
        <v>20</v>
      </c>
    </row>
    <row r="439" spans="1:30" ht="58">
      <c r="A439" s="3" t="s">
        <v>2771</v>
      </c>
      <c r="B439" s="3" t="s">
        <v>7950</v>
      </c>
      <c r="C439" s="3" t="s">
        <v>7949</v>
      </c>
      <c r="G439" s="9" t="s">
        <v>12118</v>
      </c>
      <c r="H439" s="9"/>
      <c r="I439" s="9"/>
      <c r="J439" s="9"/>
      <c r="K439" s="9"/>
      <c r="L439" s="9"/>
      <c r="M439" s="9"/>
      <c r="N439" s="10"/>
      <c r="O439" s="9"/>
      <c r="P439" s="9"/>
      <c r="Q439" s="9">
        <v>36</v>
      </c>
      <c r="R439" s="9">
        <v>0</v>
      </c>
      <c r="S439" s="9">
        <v>36</v>
      </c>
      <c r="T439" s="9"/>
      <c r="U439" s="9"/>
      <c r="V439" s="9"/>
      <c r="W439" s="9"/>
      <c r="X439" s="9"/>
      <c r="Y439" s="9"/>
      <c r="Z439" s="9"/>
      <c r="AA439" s="9"/>
      <c r="AB439" s="9"/>
      <c r="AC439" s="9"/>
      <c r="AD439" s="9" t="s">
        <v>20</v>
      </c>
    </row>
    <row r="440" spans="1:30" ht="101.5">
      <c r="A440" s="3" t="s">
        <v>2772</v>
      </c>
      <c r="B440" s="3" t="s">
        <v>7951</v>
      </c>
      <c r="C440" s="3" t="s">
        <v>12412</v>
      </c>
      <c r="G440" s="9" t="s">
        <v>26</v>
      </c>
      <c r="H440" s="9"/>
      <c r="I440" s="9"/>
      <c r="J440" s="9"/>
      <c r="K440" s="9"/>
      <c r="L440" s="9"/>
      <c r="M440" s="9"/>
      <c r="N440" s="10"/>
      <c r="O440" s="9"/>
      <c r="P440" s="9"/>
      <c r="Q440" s="9"/>
      <c r="R440" s="9" t="s">
        <v>12795</v>
      </c>
      <c r="S440" s="9" t="s">
        <v>12795</v>
      </c>
      <c r="T440" s="9"/>
      <c r="U440" s="9"/>
      <c r="V440" s="9"/>
      <c r="W440" s="9"/>
      <c r="X440" s="9"/>
      <c r="Y440" s="9"/>
      <c r="Z440" s="9"/>
      <c r="AA440" s="9"/>
      <c r="AB440" s="9"/>
      <c r="AC440" s="9"/>
      <c r="AD440" s="9" t="s">
        <v>20</v>
      </c>
    </row>
    <row r="441" spans="1:30" ht="58">
      <c r="A441" s="3" t="s">
        <v>2782</v>
      </c>
      <c r="B441" s="3" t="s">
        <v>7962</v>
      </c>
      <c r="C441" s="3" t="s">
        <v>7961</v>
      </c>
      <c r="G441" s="9" t="s">
        <v>26</v>
      </c>
      <c r="H441" s="9"/>
      <c r="I441" s="9"/>
      <c r="J441" s="9"/>
      <c r="K441" s="9"/>
      <c r="L441" s="9"/>
      <c r="M441" s="9"/>
      <c r="N441" s="10"/>
      <c r="O441" s="9"/>
      <c r="P441" s="9"/>
      <c r="Q441" s="9"/>
      <c r="R441" s="9" t="s">
        <v>12795</v>
      </c>
      <c r="S441" s="9" t="s">
        <v>12795</v>
      </c>
      <c r="T441" s="9"/>
      <c r="U441" s="9"/>
      <c r="V441" s="9"/>
      <c r="W441" s="9"/>
      <c r="X441" s="9"/>
      <c r="Y441" s="9"/>
      <c r="Z441" s="9"/>
      <c r="AA441" s="9"/>
      <c r="AB441" s="9"/>
      <c r="AC441" s="9"/>
      <c r="AD441" s="9" t="s">
        <v>13141</v>
      </c>
    </row>
    <row r="442" spans="1:30" ht="130.5">
      <c r="A442" s="3" t="s">
        <v>2788</v>
      </c>
      <c r="B442" s="3" t="s">
        <v>12415</v>
      </c>
      <c r="C442" s="3" t="s">
        <v>12416</v>
      </c>
      <c r="G442" s="9" t="s">
        <v>25</v>
      </c>
      <c r="H442" s="9"/>
      <c r="I442" s="9">
        <v>5</v>
      </c>
      <c r="J442" s="9">
        <v>29</v>
      </c>
      <c r="K442" s="9"/>
      <c r="L442" s="9" t="s">
        <v>12073</v>
      </c>
      <c r="M442" s="9" t="s">
        <v>12140</v>
      </c>
      <c r="N442" s="10" t="s">
        <v>12417</v>
      </c>
      <c r="O442" s="9"/>
      <c r="P442" s="9">
        <v>9</v>
      </c>
      <c r="Q442" s="9"/>
      <c r="R442" s="9" t="s">
        <v>12795</v>
      </c>
      <c r="S442" s="9" t="s">
        <v>12795</v>
      </c>
      <c r="T442" s="9"/>
      <c r="U442" s="9"/>
      <c r="V442" s="9"/>
      <c r="W442" s="9"/>
      <c r="X442" s="9"/>
      <c r="Y442" s="9"/>
      <c r="Z442" s="9"/>
      <c r="AA442" s="9"/>
      <c r="AB442" s="9"/>
      <c r="AC442" s="9"/>
      <c r="AD442" s="9" t="s">
        <v>20</v>
      </c>
    </row>
    <row r="443" spans="1:30" ht="87">
      <c r="A443" s="3" t="s">
        <v>2791</v>
      </c>
      <c r="B443" s="3" t="s">
        <v>7978</v>
      </c>
      <c r="C443" s="3" t="s">
        <v>7977</v>
      </c>
      <c r="G443" s="9" t="s">
        <v>25</v>
      </c>
      <c r="H443" s="9"/>
      <c r="I443" s="9">
        <v>3</v>
      </c>
      <c r="J443" s="9">
        <v>13</v>
      </c>
      <c r="K443" s="9"/>
      <c r="L443" s="9" t="s">
        <v>12079</v>
      </c>
      <c r="M443" s="9"/>
      <c r="N443" s="10"/>
      <c r="O443" s="9"/>
      <c r="P443" s="9">
        <v>75</v>
      </c>
      <c r="Q443" s="9"/>
      <c r="R443" s="9" t="s">
        <v>12795</v>
      </c>
      <c r="S443" s="9" t="s">
        <v>12795</v>
      </c>
      <c r="T443" s="9"/>
      <c r="U443" s="9"/>
      <c r="V443" s="9"/>
      <c r="W443" s="9"/>
      <c r="X443" s="9"/>
      <c r="Y443" s="9"/>
      <c r="Z443" s="9"/>
      <c r="AA443" s="9"/>
      <c r="AB443" s="9"/>
      <c r="AC443" s="9"/>
      <c r="AD443" s="9" t="s">
        <v>20</v>
      </c>
    </row>
    <row r="444" spans="1:30" ht="58">
      <c r="A444" s="3" t="s">
        <v>2796</v>
      </c>
      <c r="B444" s="3" t="s">
        <v>7991</v>
      </c>
      <c r="C444" s="3" t="s">
        <v>7988</v>
      </c>
      <c r="G444" s="9" t="s">
        <v>25</v>
      </c>
      <c r="H444" s="9"/>
      <c r="I444" s="9">
        <v>2</v>
      </c>
      <c r="J444" s="9">
        <v>8</v>
      </c>
      <c r="K444" s="9"/>
      <c r="L444" s="9" t="s">
        <v>12079</v>
      </c>
      <c r="M444" s="9"/>
      <c r="N444" s="10"/>
      <c r="O444" s="9"/>
      <c r="P444" s="9">
        <v>58</v>
      </c>
      <c r="Q444" s="9"/>
      <c r="R444" s="9" t="s">
        <v>12795</v>
      </c>
      <c r="S444" s="9" t="s">
        <v>12795</v>
      </c>
      <c r="T444" s="9"/>
      <c r="U444" s="9"/>
      <c r="V444" s="9"/>
      <c r="W444" s="9"/>
      <c r="X444" s="9"/>
      <c r="Y444" s="9"/>
      <c r="Z444" s="9"/>
      <c r="AA444" s="9"/>
      <c r="AB444" s="9"/>
      <c r="AC444" s="9"/>
      <c r="AD444" s="9" t="s">
        <v>20</v>
      </c>
    </row>
    <row r="445" spans="1:30" ht="43.5">
      <c r="A445" s="3" t="s">
        <v>2797</v>
      </c>
      <c r="B445" s="3" t="s">
        <v>7992</v>
      </c>
      <c r="C445" s="3" t="s">
        <v>7993</v>
      </c>
      <c r="G445" s="9" t="s">
        <v>12120</v>
      </c>
      <c r="H445" s="9"/>
      <c r="I445" s="9"/>
      <c r="J445" s="9"/>
      <c r="K445" s="9"/>
      <c r="L445" s="9"/>
      <c r="M445" s="9"/>
      <c r="N445" s="10"/>
      <c r="O445" s="9"/>
      <c r="P445" s="9"/>
      <c r="Q445" s="9"/>
      <c r="R445" s="9" t="s">
        <v>12795</v>
      </c>
      <c r="S445" s="9" t="s">
        <v>12795</v>
      </c>
      <c r="T445" s="9"/>
      <c r="U445" s="9"/>
      <c r="V445" s="9"/>
      <c r="W445" s="9"/>
      <c r="X445" s="9"/>
      <c r="Y445" s="9"/>
      <c r="Z445" s="9"/>
      <c r="AA445" s="9"/>
      <c r="AB445" s="9"/>
      <c r="AC445" s="9"/>
      <c r="AD445" s="9" t="s">
        <v>20</v>
      </c>
    </row>
    <row r="446" spans="1:30" ht="43.5">
      <c r="A446" s="3" t="s">
        <v>2801</v>
      </c>
      <c r="B446" s="3" t="s">
        <v>8009</v>
      </c>
      <c r="C446" s="3" t="s">
        <v>8008</v>
      </c>
      <c r="G446" s="9" t="s">
        <v>25</v>
      </c>
      <c r="H446" s="9"/>
      <c r="I446" s="9">
        <v>1</v>
      </c>
      <c r="J446" s="9">
        <v>6</v>
      </c>
      <c r="K446" s="9" t="s">
        <v>12094</v>
      </c>
      <c r="L446" s="9" t="s">
        <v>12079</v>
      </c>
      <c r="M446" s="9"/>
      <c r="N446" s="10"/>
      <c r="O446" s="9"/>
      <c r="P446" s="9">
        <v>4240</v>
      </c>
      <c r="Q446" s="9"/>
      <c r="R446" s="9" t="s">
        <v>12795</v>
      </c>
      <c r="S446" s="9" t="s">
        <v>12795</v>
      </c>
      <c r="T446" s="9"/>
      <c r="U446" s="9"/>
      <c r="V446" s="9"/>
      <c r="W446" s="9"/>
      <c r="X446" s="9"/>
      <c r="Y446" s="9"/>
      <c r="Z446" s="9"/>
      <c r="AA446" s="9"/>
      <c r="AB446" s="9"/>
      <c r="AC446" s="9"/>
      <c r="AD446" s="9" t="s">
        <v>20</v>
      </c>
    </row>
    <row r="447" spans="1:30" ht="43.5">
      <c r="A447" s="3" t="s">
        <v>2801</v>
      </c>
      <c r="B447" s="3" t="s">
        <v>8010</v>
      </c>
      <c r="C447" s="3" t="s">
        <v>8011</v>
      </c>
      <c r="G447" s="9" t="s">
        <v>12120</v>
      </c>
      <c r="H447" s="9"/>
      <c r="I447" s="9"/>
      <c r="J447" s="9"/>
      <c r="K447" s="9"/>
      <c r="L447" s="9"/>
      <c r="M447" s="9"/>
      <c r="N447" s="10"/>
      <c r="O447" s="9"/>
      <c r="P447" s="9"/>
      <c r="Q447" s="9"/>
      <c r="R447" s="9" t="s">
        <v>12795</v>
      </c>
      <c r="S447" s="9" t="s">
        <v>12795</v>
      </c>
      <c r="T447" s="9"/>
      <c r="U447" s="9"/>
      <c r="V447" s="9"/>
      <c r="W447" s="9"/>
      <c r="X447" s="9"/>
      <c r="Y447" s="9"/>
      <c r="Z447" s="9"/>
      <c r="AA447" s="9"/>
      <c r="AB447" s="9"/>
      <c r="AC447" s="9"/>
      <c r="AD447" s="9" t="s">
        <v>20</v>
      </c>
    </row>
    <row r="448" spans="1:30" ht="58">
      <c r="A448" s="3" t="s">
        <v>2802</v>
      </c>
      <c r="B448" s="3" t="s">
        <v>8013</v>
      </c>
      <c r="C448" s="3" t="s">
        <v>8012</v>
      </c>
      <c r="G448" s="9" t="s">
        <v>26</v>
      </c>
      <c r="H448" s="9"/>
      <c r="I448" s="9"/>
      <c r="J448" s="9"/>
      <c r="K448" s="9"/>
      <c r="L448" s="9"/>
      <c r="M448" s="9"/>
      <c r="N448" s="10"/>
      <c r="O448" s="9"/>
      <c r="P448" s="9"/>
      <c r="Q448" s="9"/>
      <c r="R448" s="9" t="s">
        <v>12795</v>
      </c>
      <c r="S448" s="9" t="s">
        <v>12795</v>
      </c>
      <c r="T448" s="9"/>
      <c r="U448" s="9"/>
      <c r="V448" s="9"/>
      <c r="W448" s="9"/>
      <c r="X448" s="9"/>
      <c r="Y448" s="9"/>
      <c r="Z448" s="9"/>
      <c r="AA448" s="9"/>
      <c r="AB448" s="9"/>
      <c r="AC448" s="9"/>
      <c r="AD448" s="9" t="s">
        <v>20</v>
      </c>
    </row>
    <row r="449" spans="1:30" ht="43.5">
      <c r="A449" s="3" t="s">
        <v>2803</v>
      </c>
      <c r="B449" s="3" t="s">
        <v>8015</v>
      </c>
      <c r="C449" s="3" t="s">
        <v>8014</v>
      </c>
      <c r="G449" s="9" t="s">
        <v>26</v>
      </c>
      <c r="H449" s="9"/>
      <c r="I449" s="9"/>
      <c r="J449" s="9"/>
      <c r="K449" s="9"/>
      <c r="L449" s="9"/>
      <c r="M449" s="9"/>
      <c r="N449" s="10"/>
      <c r="O449" s="9"/>
      <c r="P449" s="9"/>
      <c r="Q449" s="9"/>
      <c r="R449" s="9" t="s">
        <v>12795</v>
      </c>
      <c r="S449" s="9" t="s">
        <v>12795</v>
      </c>
      <c r="T449" s="9"/>
      <c r="U449" s="9"/>
      <c r="V449" s="9"/>
      <c r="W449" s="9"/>
      <c r="X449" s="9"/>
      <c r="Y449" s="9"/>
      <c r="Z449" s="9"/>
      <c r="AA449" s="9"/>
      <c r="AB449" s="9"/>
      <c r="AC449" s="9"/>
      <c r="AD449" s="9" t="s">
        <v>20</v>
      </c>
    </row>
    <row r="450" spans="1:30" ht="29">
      <c r="A450" s="3" t="s">
        <v>2812</v>
      </c>
      <c r="B450" s="3" t="s">
        <v>8040</v>
      </c>
      <c r="C450" s="3" t="s">
        <v>8039</v>
      </c>
      <c r="G450" s="9" t="s">
        <v>25</v>
      </c>
      <c r="H450" s="9"/>
      <c r="I450" s="9">
        <v>1</v>
      </c>
      <c r="J450" s="9">
        <v>3</v>
      </c>
      <c r="K450" s="9" t="s">
        <v>12078</v>
      </c>
      <c r="L450" s="9" t="s">
        <v>12079</v>
      </c>
      <c r="M450" s="9"/>
      <c r="N450" s="10"/>
      <c r="O450" s="9"/>
      <c r="P450" s="9">
        <v>11843</v>
      </c>
      <c r="Q450" s="9"/>
      <c r="R450" s="9" t="s">
        <v>12795</v>
      </c>
      <c r="S450" s="9" t="s">
        <v>12795</v>
      </c>
      <c r="T450" s="9"/>
      <c r="U450" s="9"/>
      <c r="V450" s="9"/>
      <c r="W450" s="9"/>
      <c r="X450" s="9"/>
      <c r="Y450" s="9"/>
      <c r="Z450" s="9"/>
      <c r="AA450" s="9"/>
      <c r="AB450" s="9"/>
      <c r="AC450" s="9"/>
      <c r="AD450" s="9" t="s">
        <v>20</v>
      </c>
    </row>
    <row r="451" spans="1:30" ht="43.5">
      <c r="A451" s="3" t="s">
        <v>2814</v>
      </c>
      <c r="B451" s="3" t="s">
        <v>8045</v>
      </c>
      <c r="C451" s="3" t="s">
        <v>8046</v>
      </c>
      <c r="G451" s="9" t="s">
        <v>12118</v>
      </c>
      <c r="H451" s="9"/>
      <c r="I451" s="9"/>
      <c r="J451" s="9"/>
      <c r="K451" s="9"/>
      <c r="L451" s="9"/>
      <c r="M451" s="9"/>
      <c r="N451" s="10"/>
      <c r="O451" s="9"/>
      <c r="P451" s="9"/>
      <c r="Q451" s="9">
        <v>7</v>
      </c>
      <c r="R451" s="9">
        <v>20</v>
      </c>
      <c r="S451" s="9">
        <v>27</v>
      </c>
      <c r="T451" s="9"/>
      <c r="U451" s="9"/>
      <c r="V451" s="9"/>
      <c r="W451" s="9"/>
      <c r="X451" s="9"/>
      <c r="Y451" s="9"/>
      <c r="Z451" s="9"/>
      <c r="AA451" s="9"/>
      <c r="AB451" s="9"/>
      <c r="AC451" s="9"/>
      <c r="AD451" s="9" t="s">
        <v>20</v>
      </c>
    </row>
    <row r="452" spans="1:30" ht="174">
      <c r="A452" s="3" t="s">
        <v>2823</v>
      </c>
      <c r="B452" s="3" t="s">
        <v>8055</v>
      </c>
      <c r="C452" s="3" t="s">
        <v>8056</v>
      </c>
      <c r="G452" s="9" t="s">
        <v>12118</v>
      </c>
      <c r="H452" s="9"/>
      <c r="I452" s="9"/>
      <c r="J452" s="9"/>
      <c r="K452" s="9"/>
      <c r="L452" s="9"/>
      <c r="M452" s="9"/>
      <c r="N452" s="10"/>
      <c r="O452" s="9"/>
      <c r="P452" s="9"/>
      <c r="Q452" s="9">
        <v>302</v>
      </c>
      <c r="R452" s="9">
        <v>508</v>
      </c>
      <c r="S452" s="9">
        <v>810</v>
      </c>
      <c r="T452" s="9"/>
      <c r="U452" s="9"/>
      <c r="V452" s="9"/>
      <c r="W452" s="9"/>
      <c r="X452" s="9"/>
      <c r="Y452" s="9"/>
      <c r="Z452" s="9"/>
      <c r="AA452" s="9"/>
      <c r="AB452" s="9"/>
      <c r="AC452" s="9"/>
      <c r="AD452" s="9" t="s">
        <v>20</v>
      </c>
    </row>
    <row r="453" spans="1:30" ht="29">
      <c r="A453" s="3" t="s">
        <v>2824</v>
      </c>
      <c r="B453" s="3" t="s">
        <v>8058</v>
      </c>
      <c r="C453" s="3" t="s">
        <v>8057</v>
      </c>
      <c r="G453" s="9" t="s">
        <v>25</v>
      </c>
      <c r="H453" s="9"/>
      <c r="I453" s="9">
        <v>1</v>
      </c>
      <c r="J453" s="9">
        <v>2</v>
      </c>
      <c r="K453" s="9" t="s">
        <v>12123</v>
      </c>
      <c r="L453" s="9" t="s">
        <v>12119</v>
      </c>
      <c r="M453" s="9"/>
      <c r="N453" s="10"/>
      <c r="O453" s="9"/>
      <c r="P453" s="9">
        <v>887</v>
      </c>
      <c r="Q453" s="9"/>
      <c r="R453" s="9" t="s">
        <v>12795</v>
      </c>
      <c r="S453" s="9" t="s">
        <v>12795</v>
      </c>
      <c r="T453" s="9"/>
      <c r="U453" s="9"/>
      <c r="V453" s="9"/>
      <c r="W453" s="9"/>
      <c r="X453" s="9"/>
      <c r="Y453" s="9"/>
      <c r="Z453" s="9"/>
      <c r="AA453" s="9"/>
      <c r="AB453" s="9"/>
      <c r="AC453" s="9"/>
      <c r="AD453" s="9" t="s">
        <v>20</v>
      </c>
    </row>
    <row r="454" spans="1:30" ht="58">
      <c r="A454" s="3" t="s">
        <v>2825</v>
      </c>
      <c r="B454" s="3" t="s">
        <v>8062</v>
      </c>
      <c r="C454" s="3" t="s">
        <v>8061</v>
      </c>
      <c r="G454" s="9" t="s">
        <v>24</v>
      </c>
      <c r="H454" s="9"/>
      <c r="I454" s="9">
        <v>1</v>
      </c>
      <c r="J454" s="9">
        <v>4</v>
      </c>
      <c r="K454" s="9" t="s">
        <v>12078</v>
      </c>
      <c r="L454" s="9" t="s">
        <v>12073</v>
      </c>
      <c r="M454" s="9" t="s">
        <v>12149</v>
      </c>
      <c r="N454" s="10" t="s">
        <v>12143</v>
      </c>
      <c r="O454" s="9"/>
      <c r="P454" s="9">
        <v>11843</v>
      </c>
      <c r="Q454" s="9"/>
      <c r="R454" s="9" t="s">
        <v>12795</v>
      </c>
      <c r="S454" s="9" t="s">
        <v>12795</v>
      </c>
      <c r="T454" s="9"/>
      <c r="U454" s="9"/>
      <c r="V454" s="9"/>
      <c r="W454" s="9"/>
      <c r="X454" s="9"/>
      <c r="Y454" s="9"/>
      <c r="Z454" s="9"/>
      <c r="AA454" s="9"/>
      <c r="AB454" s="9"/>
      <c r="AC454" s="9"/>
      <c r="AD454" s="9" t="s">
        <v>20</v>
      </c>
    </row>
    <row r="455" spans="1:30" ht="29">
      <c r="A455" s="3" t="s">
        <v>2832</v>
      </c>
      <c r="B455" s="3" t="s">
        <v>8074</v>
      </c>
      <c r="C455" s="3" t="s">
        <v>8075</v>
      </c>
      <c r="G455" s="9" t="s">
        <v>12120</v>
      </c>
      <c r="H455" s="9"/>
      <c r="I455" s="9"/>
      <c r="J455" s="9"/>
      <c r="K455" s="9"/>
      <c r="L455" s="9"/>
      <c r="M455" s="9"/>
      <c r="N455" s="10"/>
      <c r="O455" s="9"/>
      <c r="P455" s="9"/>
      <c r="Q455" s="9"/>
      <c r="R455" s="9" t="s">
        <v>12795</v>
      </c>
      <c r="S455" s="9" t="s">
        <v>12795</v>
      </c>
      <c r="T455" s="9"/>
      <c r="U455" s="9"/>
      <c r="V455" s="9"/>
      <c r="W455" s="9"/>
      <c r="X455" s="9"/>
      <c r="Y455" s="9"/>
      <c r="Z455" s="9"/>
      <c r="AA455" s="9"/>
      <c r="AB455" s="9"/>
      <c r="AC455" s="9"/>
      <c r="AD455" s="9" t="s">
        <v>20</v>
      </c>
    </row>
    <row r="456" spans="1:30" ht="145">
      <c r="A456" s="3" t="s">
        <v>2833</v>
      </c>
      <c r="B456" s="3" t="s">
        <v>8081</v>
      </c>
      <c r="C456" s="3" t="s">
        <v>8078</v>
      </c>
      <c r="G456" s="9" t="s">
        <v>25</v>
      </c>
      <c r="H456" s="9"/>
      <c r="I456" s="9">
        <v>2</v>
      </c>
      <c r="J456" s="9">
        <v>9</v>
      </c>
      <c r="K456" s="9"/>
      <c r="L456" s="9" t="s">
        <v>12073</v>
      </c>
      <c r="M456" s="9" t="s">
        <v>12140</v>
      </c>
      <c r="N456" s="10" t="s">
        <v>12193</v>
      </c>
      <c r="O456" s="9"/>
      <c r="P456" s="9">
        <v>8</v>
      </c>
      <c r="Q456" s="9"/>
      <c r="R456" s="9" t="s">
        <v>12795</v>
      </c>
      <c r="S456" s="9" t="s">
        <v>12795</v>
      </c>
      <c r="T456" s="9"/>
      <c r="U456" s="9"/>
      <c r="V456" s="9"/>
      <c r="W456" s="9"/>
      <c r="X456" s="9"/>
      <c r="Y456" s="9"/>
      <c r="Z456" s="9"/>
      <c r="AA456" s="9"/>
      <c r="AB456" s="9"/>
      <c r="AC456" s="9"/>
      <c r="AD456" s="9" t="s">
        <v>20</v>
      </c>
    </row>
    <row r="457" spans="1:30" ht="43.5">
      <c r="A457" s="3" t="s">
        <v>2834</v>
      </c>
      <c r="B457" s="3" t="s">
        <v>8086</v>
      </c>
      <c r="C457" s="3" t="s">
        <v>8087</v>
      </c>
      <c r="G457" s="9" t="s">
        <v>12118</v>
      </c>
      <c r="H457" s="9"/>
      <c r="I457" s="9"/>
      <c r="J457" s="9"/>
      <c r="K457" s="9"/>
      <c r="L457" s="9"/>
      <c r="M457" s="9"/>
      <c r="N457" s="10"/>
      <c r="O457" s="9"/>
      <c r="P457" s="9"/>
      <c r="Q457" s="9">
        <v>768</v>
      </c>
      <c r="R457" s="9">
        <v>42</v>
      </c>
      <c r="S457" s="9">
        <v>810</v>
      </c>
      <c r="T457" s="9"/>
      <c r="U457" s="9"/>
      <c r="V457" s="9"/>
      <c r="W457" s="9"/>
      <c r="X457" s="9"/>
      <c r="Y457" s="9"/>
      <c r="Z457" s="9"/>
      <c r="AA457" s="9"/>
      <c r="AB457" s="9"/>
      <c r="AC457" s="9"/>
      <c r="AD457" s="9" t="s">
        <v>20</v>
      </c>
    </row>
    <row r="458" spans="1:30" ht="29">
      <c r="A458" s="3" t="s">
        <v>2836</v>
      </c>
      <c r="B458" s="3" t="s">
        <v>8093</v>
      </c>
      <c r="C458" s="3" t="s">
        <v>8094</v>
      </c>
      <c r="G458" s="9" t="s">
        <v>12118</v>
      </c>
      <c r="H458" s="9"/>
      <c r="I458" s="9"/>
      <c r="J458" s="9"/>
      <c r="K458" s="9"/>
      <c r="L458" s="9"/>
      <c r="M458" s="9"/>
      <c r="N458" s="10"/>
      <c r="O458" s="9"/>
      <c r="P458" s="9"/>
      <c r="Q458" s="9">
        <v>342</v>
      </c>
      <c r="R458" s="9">
        <v>165</v>
      </c>
      <c r="S458" s="9">
        <v>507</v>
      </c>
      <c r="T458" s="9"/>
      <c r="U458" s="9"/>
      <c r="V458" s="9"/>
      <c r="W458" s="9"/>
      <c r="X458" s="9"/>
      <c r="Y458" s="9"/>
      <c r="Z458" s="9"/>
      <c r="AA458" s="9"/>
      <c r="AB458" s="9"/>
      <c r="AC458" s="9"/>
      <c r="AD458" s="9" t="s">
        <v>20</v>
      </c>
    </row>
    <row r="459" spans="1:30" ht="29">
      <c r="A459" s="3" t="s">
        <v>2837</v>
      </c>
      <c r="B459" s="3" t="s">
        <v>8096</v>
      </c>
      <c r="C459" s="3" t="s">
        <v>8095</v>
      </c>
      <c r="G459" s="9" t="s">
        <v>25</v>
      </c>
      <c r="H459" s="9"/>
      <c r="I459" s="9">
        <v>1</v>
      </c>
      <c r="J459" s="9">
        <v>2</v>
      </c>
      <c r="K459" s="9" t="s">
        <v>12123</v>
      </c>
      <c r="L459" s="9" t="s">
        <v>12119</v>
      </c>
      <c r="M459" s="9"/>
      <c r="N459" s="10"/>
      <c r="O459" s="9"/>
      <c r="P459" s="9">
        <v>526</v>
      </c>
      <c r="Q459" s="9"/>
      <c r="R459" s="9" t="s">
        <v>12795</v>
      </c>
      <c r="S459" s="9" t="s">
        <v>12795</v>
      </c>
      <c r="T459" s="9"/>
      <c r="U459" s="9"/>
      <c r="V459" s="9"/>
      <c r="W459" s="9"/>
      <c r="X459" s="9"/>
      <c r="Y459" s="9"/>
      <c r="Z459" s="9"/>
      <c r="AA459" s="9"/>
      <c r="AB459" s="9"/>
      <c r="AC459" s="9"/>
      <c r="AD459" s="9" t="s">
        <v>20</v>
      </c>
    </row>
    <row r="460" spans="1:30" ht="58">
      <c r="A460" s="3" t="s">
        <v>2858</v>
      </c>
      <c r="B460" s="3" t="s">
        <v>8118</v>
      </c>
      <c r="C460" s="3" t="s">
        <v>8119</v>
      </c>
      <c r="G460" s="9" t="s">
        <v>25</v>
      </c>
      <c r="H460" s="9"/>
      <c r="I460" s="9">
        <v>1</v>
      </c>
      <c r="J460" s="9">
        <v>5</v>
      </c>
      <c r="K460" s="9" t="s">
        <v>12125</v>
      </c>
      <c r="L460" s="9" t="s">
        <v>12079</v>
      </c>
      <c r="M460" s="9"/>
      <c r="N460" s="10"/>
      <c r="O460" s="9"/>
      <c r="P460" s="9">
        <v>1565</v>
      </c>
      <c r="Q460" s="9"/>
      <c r="R460" s="9" t="s">
        <v>12795</v>
      </c>
      <c r="S460" s="9" t="s">
        <v>12795</v>
      </c>
      <c r="T460" s="9"/>
      <c r="U460" s="9"/>
      <c r="V460" s="9"/>
      <c r="W460" s="9"/>
      <c r="X460" s="9"/>
      <c r="Y460" s="9"/>
      <c r="Z460" s="9"/>
      <c r="AA460" s="9"/>
      <c r="AB460" s="9"/>
      <c r="AC460" s="9"/>
      <c r="AD460" s="9" t="s">
        <v>20</v>
      </c>
    </row>
    <row r="461" spans="1:30" ht="29">
      <c r="A461" s="3" t="s">
        <v>2859</v>
      </c>
      <c r="B461" s="3" t="s">
        <v>8120</v>
      </c>
      <c r="C461" s="3" t="s">
        <v>8121</v>
      </c>
      <c r="G461" s="9" t="s">
        <v>25</v>
      </c>
      <c r="H461" s="9"/>
      <c r="I461" s="9">
        <v>1</v>
      </c>
      <c r="J461" s="9">
        <v>2</v>
      </c>
      <c r="K461" s="9" t="s">
        <v>12078</v>
      </c>
      <c r="L461" s="9" t="s">
        <v>12119</v>
      </c>
      <c r="M461" s="9"/>
      <c r="N461" s="10"/>
      <c r="O461" s="9"/>
      <c r="P461" s="9">
        <v>11843</v>
      </c>
      <c r="Q461" s="9"/>
      <c r="R461" s="9" t="s">
        <v>12795</v>
      </c>
      <c r="S461" s="9" t="s">
        <v>12795</v>
      </c>
      <c r="T461" s="9"/>
      <c r="U461" s="9"/>
      <c r="V461" s="9"/>
      <c r="W461" s="9"/>
      <c r="X461" s="9"/>
      <c r="Y461" s="9"/>
      <c r="Z461" s="9"/>
      <c r="AA461" s="9"/>
      <c r="AB461" s="9"/>
      <c r="AC461" s="9"/>
      <c r="AD461" s="9" t="s">
        <v>20</v>
      </c>
    </row>
    <row r="462" spans="1:30" ht="29">
      <c r="A462" s="3" t="s">
        <v>2869</v>
      </c>
      <c r="B462" s="3" t="s">
        <v>2870</v>
      </c>
      <c r="C462" s="3" t="s">
        <v>2871</v>
      </c>
      <c r="G462" s="9" t="s">
        <v>12120</v>
      </c>
      <c r="H462" s="9"/>
      <c r="I462" s="9"/>
      <c r="J462" s="9"/>
      <c r="K462" s="9"/>
      <c r="L462" s="9"/>
      <c r="M462" s="9"/>
      <c r="N462" s="10"/>
      <c r="O462" s="9"/>
      <c r="P462" s="9"/>
      <c r="Q462" s="9"/>
      <c r="R462" s="9" t="s">
        <v>12795</v>
      </c>
      <c r="S462" s="9" t="s">
        <v>12795</v>
      </c>
      <c r="T462" s="9"/>
      <c r="U462" s="9"/>
      <c r="V462" s="9"/>
      <c r="W462" s="9"/>
      <c r="X462" s="9"/>
      <c r="Y462" s="9"/>
      <c r="Z462" s="9"/>
      <c r="AA462" s="9"/>
      <c r="AB462" s="9"/>
      <c r="AC462" s="9"/>
      <c r="AD462" s="9" t="s">
        <v>20</v>
      </c>
    </row>
    <row r="463" spans="1:30" ht="72.5">
      <c r="A463" s="3" t="s">
        <v>2881</v>
      </c>
      <c r="B463" s="3" t="s">
        <v>8139</v>
      </c>
      <c r="C463" s="3" t="s">
        <v>8140</v>
      </c>
      <c r="G463" s="9" t="s">
        <v>26</v>
      </c>
      <c r="H463" s="9"/>
      <c r="I463" s="9"/>
      <c r="J463" s="9"/>
      <c r="K463" s="9"/>
      <c r="L463" s="9"/>
      <c r="M463" s="9"/>
      <c r="N463" s="10"/>
      <c r="O463" s="9"/>
      <c r="P463" s="9"/>
      <c r="Q463" s="9"/>
      <c r="R463" s="9" t="s">
        <v>12795</v>
      </c>
      <c r="S463" s="9" t="s">
        <v>12795</v>
      </c>
      <c r="T463" s="9"/>
      <c r="U463" s="9"/>
      <c r="V463" s="9"/>
      <c r="W463" s="9"/>
      <c r="X463" s="9"/>
      <c r="Y463" s="9"/>
      <c r="Z463" s="9"/>
      <c r="AA463" s="9"/>
      <c r="AB463" s="9"/>
      <c r="AC463" s="9"/>
      <c r="AD463" s="9" t="s">
        <v>20</v>
      </c>
    </row>
    <row r="464" spans="1:30" ht="87">
      <c r="A464" s="3" t="s">
        <v>2885</v>
      </c>
      <c r="B464" s="3" t="s">
        <v>8151</v>
      </c>
      <c r="C464" s="3" t="s">
        <v>13048</v>
      </c>
      <c r="G464" s="9" t="s">
        <v>25</v>
      </c>
      <c r="H464" s="9"/>
      <c r="I464" s="9">
        <v>1</v>
      </c>
      <c r="J464" s="9">
        <v>11</v>
      </c>
      <c r="K464" s="9" t="s">
        <v>12125</v>
      </c>
      <c r="L464" s="9" t="s">
        <v>12073</v>
      </c>
      <c r="M464" s="9" t="s">
        <v>12142</v>
      </c>
      <c r="N464" s="10" t="s">
        <v>12170</v>
      </c>
      <c r="O464" s="9"/>
      <c r="P464" s="9">
        <v>229</v>
      </c>
      <c r="Q464" s="9"/>
      <c r="R464" s="9" t="s">
        <v>12795</v>
      </c>
      <c r="S464" s="9" t="s">
        <v>12795</v>
      </c>
      <c r="T464" s="9"/>
      <c r="U464" s="9"/>
      <c r="V464" s="9"/>
      <c r="W464" s="9"/>
      <c r="X464" s="9"/>
      <c r="Y464" s="9"/>
      <c r="Z464" s="9"/>
      <c r="AA464" s="9"/>
      <c r="AB464" s="9"/>
      <c r="AC464" s="9"/>
      <c r="AD464" s="9" t="s">
        <v>20</v>
      </c>
    </row>
    <row r="465" spans="1:30" ht="43.5">
      <c r="A465" s="3" t="s">
        <v>2886</v>
      </c>
      <c r="B465" s="3" t="s">
        <v>8153</v>
      </c>
      <c r="C465" s="3" t="s">
        <v>8152</v>
      </c>
      <c r="G465" s="9" t="s">
        <v>25</v>
      </c>
      <c r="H465" s="9"/>
      <c r="I465" s="9">
        <v>1</v>
      </c>
      <c r="J465" s="9">
        <v>3</v>
      </c>
      <c r="K465" s="9" t="s">
        <v>12078</v>
      </c>
      <c r="L465" s="9" t="s">
        <v>12079</v>
      </c>
      <c r="M465" s="9"/>
      <c r="N465" s="10"/>
      <c r="O465" s="9"/>
      <c r="P465" s="9">
        <v>11843</v>
      </c>
      <c r="Q465" s="9"/>
      <c r="R465" s="9" t="s">
        <v>12795</v>
      </c>
      <c r="S465" s="9" t="s">
        <v>12795</v>
      </c>
      <c r="T465" s="9"/>
      <c r="U465" s="9"/>
      <c r="V465" s="9"/>
      <c r="W465" s="9"/>
      <c r="X465" s="9"/>
      <c r="Y465" s="9"/>
      <c r="Z465" s="9"/>
      <c r="AA465" s="9"/>
      <c r="AB465" s="9"/>
      <c r="AC465" s="9"/>
      <c r="AD465" s="9" t="s">
        <v>20</v>
      </c>
    </row>
    <row r="466" spans="1:30" ht="43.5">
      <c r="A466" s="3" t="s">
        <v>2890</v>
      </c>
      <c r="B466" s="11" t="s">
        <v>8161</v>
      </c>
      <c r="C466" s="3" t="s">
        <v>8160</v>
      </c>
      <c r="G466" s="9" t="s">
        <v>24</v>
      </c>
      <c r="H466" s="9"/>
      <c r="I466" s="9">
        <v>1</v>
      </c>
      <c r="J466" s="9">
        <v>3</v>
      </c>
      <c r="K466" s="9" t="s">
        <v>12078</v>
      </c>
      <c r="L466" s="9" t="s">
        <v>12079</v>
      </c>
      <c r="M466" s="9"/>
      <c r="N466" s="10"/>
      <c r="O466" s="9"/>
      <c r="P466" s="9">
        <v>11843</v>
      </c>
      <c r="Q466" s="9"/>
      <c r="R466" s="9" t="s">
        <v>12795</v>
      </c>
      <c r="S466" s="9" t="s">
        <v>12795</v>
      </c>
      <c r="T466" s="9"/>
      <c r="U466" s="9"/>
      <c r="V466" s="9"/>
      <c r="W466" s="9"/>
      <c r="X466" s="9"/>
      <c r="Y466" s="9"/>
      <c r="Z466" s="9"/>
      <c r="AA466" s="9"/>
      <c r="AB466" s="9"/>
      <c r="AC466" s="9"/>
      <c r="AD466" s="9" t="s">
        <v>20</v>
      </c>
    </row>
    <row r="467" spans="1:30" ht="29">
      <c r="A467" s="3" t="s">
        <v>2892</v>
      </c>
      <c r="B467" s="3" t="s">
        <v>8166</v>
      </c>
      <c r="C467" s="3" t="s">
        <v>8167</v>
      </c>
      <c r="G467" s="9" t="s">
        <v>12118</v>
      </c>
      <c r="H467" s="9"/>
      <c r="I467" s="9"/>
      <c r="J467" s="9"/>
      <c r="K467" s="9"/>
      <c r="L467" s="9"/>
      <c r="M467" s="9"/>
      <c r="N467" s="10"/>
      <c r="O467" s="9"/>
      <c r="P467" s="9"/>
      <c r="Q467" s="9">
        <v>-91</v>
      </c>
      <c r="R467" s="9">
        <v>105</v>
      </c>
      <c r="S467" s="9">
        <v>14</v>
      </c>
      <c r="T467" s="9"/>
      <c r="U467" s="9"/>
      <c r="V467" s="9"/>
      <c r="W467" s="9"/>
      <c r="X467" s="9"/>
      <c r="Y467" s="9"/>
      <c r="Z467" s="9"/>
      <c r="AA467" s="9"/>
      <c r="AB467" s="9"/>
      <c r="AC467" s="9"/>
      <c r="AD467" s="9" t="s">
        <v>20</v>
      </c>
    </row>
    <row r="468" spans="1:30" ht="43.5">
      <c r="A468" s="3" t="s">
        <v>2895</v>
      </c>
      <c r="B468" s="3" t="s">
        <v>8171</v>
      </c>
      <c r="C468" s="3" t="s">
        <v>8170</v>
      </c>
      <c r="G468" s="9" t="s">
        <v>12120</v>
      </c>
      <c r="H468" s="9"/>
      <c r="I468" s="9"/>
      <c r="J468" s="9"/>
      <c r="K468" s="9"/>
      <c r="L468" s="9"/>
      <c r="M468" s="9"/>
      <c r="N468" s="10"/>
      <c r="O468" s="9"/>
      <c r="P468" s="9"/>
      <c r="Q468" s="9"/>
      <c r="R468" s="9" t="s">
        <v>12795</v>
      </c>
      <c r="S468" s="9" t="s">
        <v>12795</v>
      </c>
      <c r="T468" s="9"/>
      <c r="U468" s="9"/>
      <c r="V468" s="9"/>
      <c r="W468" s="9"/>
      <c r="X468" s="9"/>
      <c r="Y468" s="9"/>
      <c r="Z468" s="9"/>
      <c r="AA468" s="9"/>
      <c r="AB468" s="9"/>
      <c r="AC468" s="9"/>
      <c r="AD468" s="9" t="s">
        <v>20</v>
      </c>
    </row>
    <row r="469" spans="1:30" ht="130.5">
      <c r="A469" s="3" t="s">
        <v>2904</v>
      </c>
      <c r="B469" s="3" t="s">
        <v>8177</v>
      </c>
      <c r="C469" s="3" t="s">
        <v>8178</v>
      </c>
      <c r="G469" s="9" t="s">
        <v>26</v>
      </c>
      <c r="H469" s="9"/>
      <c r="I469" s="9"/>
      <c r="J469" s="9"/>
      <c r="K469" s="9"/>
      <c r="L469" s="9"/>
      <c r="M469" s="9"/>
      <c r="N469" s="10"/>
      <c r="O469" s="9"/>
      <c r="P469" s="9"/>
      <c r="Q469" s="9"/>
      <c r="R469" s="9" t="s">
        <v>12795</v>
      </c>
      <c r="S469" s="9" t="s">
        <v>12795</v>
      </c>
      <c r="T469" s="9"/>
      <c r="U469" s="9"/>
      <c r="V469" s="9"/>
      <c r="W469" s="9"/>
      <c r="X469" s="9"/>
      <c r="Y469" s="9"/>
      <c r="Z469" s="9"/>
      <c r="AA469" s="9"/>
      <c r="AB469" s="9"/>
      <c r="AC469" s="9"/>
      <c r="AD469" s="9" t="s">
        <v>20</v>
      </c>
    </row>
    <row r="470" spans="1:30" ht="43.5">
      <c r="A470" s="3" t="s">
        <v>2905</v>
      </c>
      <c r="B470" s="3" t="s">
        <v>8179</v>
      </c>
      <c r="C470" s="3" t="s">
        <v>8180</v>
      </c>
      <c r="G470" s="9" t="s">
        <v>12120</v>
      </c>
      <c r="H470" s="9"/>
      <c r="I470" s="9"/>
      <c r="J470" s="9"/>
      <c r="K470" s="9"/>
      <c r="L470" s="9"/>
      <c r="M470" s="9"/>
      <c r="N470" s="10"/>
      <c r="O470" s="9"/>
      <c r="P470" s="9"/>
      <c r="Q470" s="9"/>
      <c r="R470" s="9" t="s">
        <v>12795</v>
      </c>
      <c r="S470" s="9" t="s">
        <v>12795</v>
      </c>
      <c r="T470" s="9"/>
      <c r="U470" s="9"/>
      <c r="V470" s="9"/>
      <c r="W470" s="9"/>
      <c r="X470" s="9"/>
      <c r="Y470" s="9"/>
      <c r="Z470" s="9"/>
      <c r="AA470" s="9"/>
      <c r="AB470" s="9"/>
      <c r="AC470" s="9"/>
      <c r="AD470" s="9" t="s">
        <v>20</v>
      </c>
    </row>
    <row r="471" spans="1:30" ht="58">
      <c r="A471" s="3" t="s">
        <v>2908</v>
      </c>
      <c r="B471" s="3" t="s">
        <v>8182</v>
      </c>
      <c r="C471" s="3" t="s">
        <v>8181</v>
      </c>
      <c r="F471" t="s">
        <v>19</v>
      </c>
      <c r="G471" s="9" t="s">
        <v>24</v>
      </c>
      <c r="H471" s="9"/>
      <c r="I471" s="9">
        <v>1</v>
      </c>
      <c r="J471" s="9">
        <v>2</v>
      </c>
      <c r="K471" s="9" t="s">
        <v>12078</v>
      </c>
      <c r="L471" s="9" t="s">
        <v>12119</v>
      </c>
      <c r="M471" s="9"/>
      <c r="N471" s="10"/>
      <c r="O471" s="9"/>
      <c r="P471" s="9">
        <v>11843</v>
      </c>
      <c r="Q471" s="9"/>
      <c r="R471" s="9" t="s">
        <v>12795</v>
      </c>
      <c r="S471" s="9" t="s">
        <v>12795</v>
      </c>
      <c r="T471" s="9"/>
      <c r="U471" s="9"/>
      <c r="V471" s="9"/>
      <c r="W471" s="9"/>
      <c r="X471" s="9"/>
      <c r="Y471" s="9"/>
      <c r="Z471" s="9"/>
      <c r="AA471" s="9"/>
      <c r="AB471" s="9"/>
      <c r="AC471" s="9"/>
      <c r="AD471" s="9" t="s">
        <v>20</v>
      </c>
    </row>
    <row r="472" spans="1:30" ht="101.5">
      <c r="A472" s="3" t="s">
        <v>2910</v>
      </c>
      <c r="B472" s="3" t="s">
        <v>8188</v>
      </c>
      <c r="C472" s="3" t="s">
        <v>8187</v>
      </c>
      <c r="G472" s="9" t="s">
        <v>26</v>
      </c>
      <c r="H472" s="9"/>
      <c r="I472" s="9"/>
      <c r="J472" s="9"/>
      <c r="K472" s="9"/>
      <c r="L472" s="9"/>
      <c r="M472" s="9"/>
      <c r="N472" s="10"/>
      <c r="O472" s="9"/>
      <c r="P472" s="9"/>
      <c r="Q472" s="9"/>
      <c r="R472" s="9" t="s">
        <v>12795</v>
      </c>
      <c r="S472" s="9" t="s">
        <v>12795</v>
      </c>
      <c r="T472" s="9"/>
      <c r="U472" s="9"/>
      <c r="V472" s="9"/>
      <c r="W472" s="9"/>
      <c r="X472" s="9"/>
      <c r="Y472" s="9"/>
      <c r="Z472" s="9"/>
      <c r="AA472" s="9"/>
      <c r="AB472" s="9"/>
      <c r="AC472" s="9"/>
      <c r="AD472" s="9" t="s">
        <v>20</v>
      </c>
    </row>
    <row r="473" spans="1:30" ht="29">
      <c r="A473" s="3" t="s">
        <v>2911</v>
      </c>
      <c r="B473" s="3" t="s">
        <v>8189</v>
      </c>
      <c r="C473" s="3" t="s">
        <v>8190</v>
      </c>
      <c r="G473" s="9" t="s">
        <v>24</v>
      </c>
      <c r="H473" s="9"/>
      <c r="I473" s="9">
        <v>1</v>
      </c>
      <c r="J473" s="9">
        <v>1</v>
      </c>
      <c r="K473" s="9" t="s">
        <v>12078</v>
      </c>
      <c r="L473" s="9" t="s">
        <v>12119</v>
      </c>
      <c r="M473" s="9"/>
      <c r="N473" s="10"/>
      <c r="O473" s="9"/>
      <c r="P473" s="9">
        <v>11843</v>
      </c>
      <c r="Q473" s="9"/>
      <c r="R473" s="9" t="s">
        <v>12795</v>
      </c>
      <c r="S473" s="9" t="s">
        <v>12795</v>
      </c>
      <c r="T473" s="9"/>
      <c r="U473" s="9"/>
      <c r="V473" s="9"/>
      <c r="W473" s="9"/>
      <c r="X473" s="9"/>
      <c r="Y473" s="9"/>
      <c r="Z473" s="9"/>
      <c r="AA473" s="9"/>
      <c r="AB473" s="9"/>
      <c r="AC473" s="9"/>
      <c r="AD473" s="9" t="s">
        <v>20</v>
      </c>
    </row>
    <row r="474" spans="1:30" ht="87">
      <c r="A474" s="3" t="s">
        <v>2914</v>
      </c>
      <c r="B474" s="3" t="s">
        <v>8194</v>
      </c>
      <c r="C474" s="3" t="s">
        <v>8193</v>
      </c>
      <c r="G474" s="9" t="s">
        <v>26</v>
      </c>
      <c r="H474" s="9"/>
      <c r="I474" s="9"/>
      <c r="J474" s="9"/>
      <c r="K474" s="9"/>
      <c r="L474" s="9"/>
      <c r="M474" s="9"/>
      <c r="N474" s="10"/>
      <c r="O474" s="9"/>
      <c r="P474" s="9"/>
      <c r="Q474" s="9"/>
      <c r="R474" s="9" t="s">
        <v>12795</v>
      </c>
      <c r="S474" s="9" t="s">
        <v>12795</v>
      </c>
      <c r="T474" s="9"/>
      <c r="U474" s="9"/>
      <c r="V474" s="9"/>
      <c r="W474" s="9"/>
      <c r="X474" s="9"/>
      <c r="Y474" s="9"/>
      <c r="Z474" s="9"/>
      <c r="AA474" s="9"/>
      <c r="AB474" s="9"/>
      <c r="AC474" s="9"/>
      <c r="AD474" s="9" t="s">
        <v>20</v>
      </c>
    </row>
    <row r="475" spans="1:30" ht="43.5">
      <c r="A475" s="3" t="s">
        <v>2920</v>
      </c>
      <c r="B475" s="3" t="s">
        <v>8196</v>
      </c>
      <c r="C475" s="3" t="s">
        <v>8197</v>
      </c>
      <c r="G475" s="9" t="s">
        <v>12118</v>
      </c>
      <c r="H475" s="9"/>
      <c r="I475" s="9"/>
      <c r="J475" s="9"/>
      <c r="K475" s="9"/>
      <c r="L475" s="9"/>
      <c r="M475" s="9"/>
      <c r="N475" s="10"/>
      <c r="O475" s="9"/>
      <c r="P475" s="9"/>
      <c r="Q475" s="9">
        <v>0</v>
      </c>
      <c r="R475" s="9">
        <v>73</v>
      </c>
      <c r="S475" s="9">
        <v>73</v>
      </c>
      <c r="T475" s="9"/>
      <c r="U475" s="9"/>
      <c r="V475" s="9"/>
      <c r="W475" s="9"/>
      <c r="X475" s="9"/>
      <c r="Y475" s="9"/>
      <c r="Z475" s="9"/>
      <c r="AA475" s="9"/>
      <c r="AB475" s="9"/>
      <c r="AC475" s="9"/>
      <c r="AD475" s="9" t="s">
        <v>20</v>
      </c>
    </row>
    <row r="476" spans="1:30" ht="29">
      <c r="A476" s="3" t="s">
        <v>2923</v>
      </c>
      <c r="B476" s="3" t="s">
        <v>2924</v>
      </c>
      <c r="C476" s="3" t="s">
        <v>2925</v>
      </c>
      <c r="G476" s="9" t="s">
        <v>12120</v>
      </c>
      <c r="H476" s="9"/>
      <c r="I476" s="9"/>
      <c r="J476" s="9"/>
      <c r="K476" s="9"/>
      <c r="L476" s="9"/>
      <c r="M476" s="9"/>
      <c r="N476" s="10"/>
      <c r="O476" s="9"/>
      <c r="P476" s="9"/>
      <c r="Q476" s="9"/>
      <c r="R476" s="9" t="s">
        <v>12795</v>
      </c>
      <c r="S476" s="9" t="s">
        <v>12795</v>
      </c>
      <c r="T476" s="9"/>
      <c r="U476" s="9"/>
      <c r="V476" s="9"/>
      <c r="W476" s="9"/>
      <c r="X476" s="9"/>
      <c r="Y476" s="9"/>
      <c r="Z476" s="9"/>
      <c r="AA476" s="9"/>
      <c r="AB476" s="9"/>
      <c r="AC476" s="9"/>
      <c r="AD476" s="9" t="s">
        <v>20</v>
      </c>
    </row>
    <row r="477" spans="1:30" ht="58">
      <c r="A477" s="3" t="s">
        <v>2923</v>
      </c>
      <c r="B477" s="3" t="s">
        <v>8202</v>
      </c>
      <c r="C477" s="3" t="s">
        <v>8203</v>
      </c>
      <c r="G477" s="9" t="s">
        <v>12120</v>
      </c>
      <c r="H477" s="9"/>
      <c r="I477" s="9"/>
      <c r="J477" s="9"/>
      <c r="K477" s="9"/>
      <c r="L477" s="9"/>
      <c r="M477" s="9"/>
      <c r="N477" s="10"/>
      <c r="O477" s="9"/>
      <c r="P477" s="9"/>
      <c r="Q477" s="9"/>
      <c r="R477" s="9" t="s">
        <v>12795</v>
      </c>
      <c r="S477" s="9" t="s">
        <v>12795</v>
      </c>
      <c r="T477" s="9"/>
      <c r="U477" s="9"/>
      <c r="V477" s="9"/>
      <c r="W477" s="9"/>
      <c r="X477" s="9"/>
      <c r="Y477" s="9"/>
      <c r="Z477" s="9"/>
      <c r="AA477" s="9"/>
      <c r="AB477" s="9"/>
      <c r="AC477" s="9"/>
      <c r="AD477" s="9" t="s">
        <v>20</v>
      </c>
    </row>
    <row r="478" spans="1:30" ht="43.5">
      <c r="A478" s="3" t="s">
        <v>2932</v>
      </c>
      <c r="B478" s="3" t="s">
        <v>8212</v>
      </c>
      <c r="C478" s="3" t="s">
        <v>8213</v>
      </c>
      <c r="G478" s="9" t="s">
        <v>25</v>
      </c>
      <c r="H478" s="9"/>
      <c r="I478" s="9">
        <v>1</v>
      </c>
      <c r="J478" s="9">
        <v>3</v>
      </c>
      <c r="K478" s="9" t="s">
        <v>12094</v>
      </c>
      <c r="L478" s="9" t="s">
        <v>12079</v>
      </c>
      <c r="M478" s="9"/>
      <c r="N478" s="10"/>
      <c r="O478" s="9"/>
      <c r="P478" s="9">
        <v>1741</v>
      </c>
      <c r="Q478" s="9"/>
      <c r="R478" s="9" t="s">
        <v>12795</v>
      </c>
      <c r="S478" s="9" t="s">
        <v>12795</v>
      </c>
      <c r="T478" s="9"/>
      <c r="U478" s="9"/>
      <c r="V478" s="9"/>
      <c r="W478" s="9"/>
      <c r="X478" s="9"/>
      <c r="Y478" s="9"/>
      <c r="Z478" s="9"/>
      <c r="AA478" s="9"/>
      <c r="AB478" s="9"/>
      <c r="AC478" s="9"/>
      <c r="AD478" s="9" t="s">
        <v>20</v>
      </c>
    </row>
    <row r="479" spans="1:30" ht="29">
      <c r="A479" s="3" t="s">
        <v>2945</v>
      </c>
      <c r="B479" s="3" t="s">
        <v>8221</v>
      </c>
      <c r="C479" s="3" t="s">
        <v>8220</v>
      </c>
      <c r="G479" s="9" t="s">
        <v>25</v>
      </c>
      <c r="H479" s="9"/>
      <c r="I479" s="9">
        <v>1</v>
      </c>
      <c r="J479" s="9">
        <v>2</v>
      </c>
      <c r="K479" s="9" t="s">
        <v>12078</v>
      </c>
      <c r="L479" s="9" t="s">
        <v>12119</v>
      </c>
      <c r="M479" s="9"/>
      <c r="N479" s="10"/>
      <c r="O479" s="9"/>
      <c r="P479" s="9">
        <v>11843</v>
      </c>
      <c r="Q479" s="9"/>
      <c r="R479" s="9" t="s">
        <v>12795</v>
      </c>
      <c r="S479" s="9" t="s">
        <v>12795</v>
      </c>
      <c r="T479" s="9"/>
      <c r="U479" s="9"/>
      <c r="V479" s="9"/>
      <c r="W479" s="9"/>
      <c r="X479" s="9"/>
      <c r="Y479" s="9"/>
      <c r="Z479" s="9"/>
      <c r="AA479" s="9"/>
      <c r="AB479" s="9"/>
      <c r="AC479" s="9"/>
      <c r="AD479" s="9" t="s">
        <v>20</v>
      </c>
    </row>
    <row r="480" spans="1:30" ht="58">
      <c r="A480" s="3" t="s">
        <v>2947</v>
      </c>
      <c r="B480" s="3" t="s">
        <v>8223</v>
      </c>
      <c r="C480" s="3" t="s">
        <v>8224</v>
      </c>
      <c r="G480" s="9" t="s">
        <v>24</v>
      </c>
      <c r="H480" s="9"/>
      <c r="I480" s="9">
        <v>1</v>
      </c>
      <c r="J480" s="9">
        <v>3</v>
      </c>
      <c r="K480" s="9" t="s">
        <v>12078</v>
      </c>
      <c r="L480" s="9" t="s">
        <v>12073</v>
      </c>
      <c r="M480" s="9" t="s">
        <v>12142</v>
      </c>
      <c r="N480" s="10" t="s">
        <v>12143</v>
      </c>
      <c r="O480" s="9" t="s">
        <v>12074</v>
      </c>
      <c r="P480" s="9">
        <v>11843</v>
      </c>
      <c r="Q480" s="9"/>
      <c r="R480" s="9" t="s">
        <v>12795</v>
      </c>
      <c r="S480" s="9" t="s">
        <v>12795</v>
      </c>
      <c r="T480" s="9"/>
      <c r="U480" s="9"/>
      <c r="V480" s="9"/>
      <c r="W480" s="9"/>
      <c r="X480" s="9"/>
      <c r="Y480" s="9"/>
      <c r="Z480" s="9"/>
      <c r="AA480" s="9"/>
      <c r="AB480" s="9"/>
      <c r="AC480" s="9"/>
      <c r="AD480" s="9" t="s">
        <v>20</v>
      </c>
    </row>
    <row r="481" spans="1:30" ht="43.5">
      <c r="A481" s="3" t="s">
        <v>2947</v>
      </c>
      <c r="B481" s="3" t="s">
        <v>12426</v>
      </c>
      <c r="C481" s="3" t="s">
        <v>12427</v>
      </c>
      <c r="G481" s="9" t="s">
        <v>25</v>
      </c>
      <c r="H481" s="9"/>
      <c r="I481" s="9">
        <v>1</v>
      </c>
      <c r="J481" s="9">
        <v>1</v>
      </c>
      <c r="K481" s="9" t="s">
        <v>12078</v>
      </c>
      <c r="L481" s="9" t="s">
        <v>12119</v>
      </c>
      <c r="M481" s="9"/>
      <c r="N481" s="10"/>
      <c r="O481" s="9"/>
      <c r="P481" s="9">
        <v>11843</v>
      </c>
      <c r="Q481" s="9"/>
      <c r="R481" s="9" t="s">
        <v>12795</v>
      </c>
      <c r="S481" s="9" t="s">
        <v>12795</v>
      </c>
      <c r="T481" s="9"/>
      <c r="U481" s="9"/>
      <c r="V481" s="9"/>
      <c r="W481" s="9"/>
      <c r="X481" s="9"/>
      <c r="Y481" s="9"/>
      <c r="Z481" s="9"/>
      <c r="AA481" s="9"/>
      <c r="AB481" s="9"/>
      <c r="AC481" s="9"/>
      <c r="AD481" s="9" t="s">
        <v>13141</v>
      </c>
    </row>
    <row r="482" spans="1:30" ht="58">
      <c r="A482" s="3" t="s">
        <v>2950</v>
      </c>
      <c r="B482" s="3" t="s">
        <v>8225</v>
      </c>
      <c r="C482" s="3" t="s">
        <v>8226</v>
      </c>
      <c r="G482" s="9" t="s">
        <v>26</v>
      </c>
      <c r="H482" s="9"/>
      <c r="I482" s="9"/>
      <c r="J482" s="9"/>
      <c r="K482" s="9"/>
      <c r="L482" s="9"/>
      <c r="M482" s="9"/>
      <c r="N482" s="10"/>
      <c r="O482" s="9"/>
      <c r="P482" s="9"/>
      <c r="Q482" s="9"/>
      <c r="R482" s="9" t="s">
        <v>12795</v>
      </c>
      <c r="S482" s="9" t="s">
        <v>12795</v>
      </c>
      <c r="T482" s="9"/>
      <c r="U482" s="9"/>
      <c r="V482" s="9"/>
      <c r="W482" s="9"/>
      <c r="X482" s="9"/>
      <c r="Y482" s="9"/>
      <c r="Z482" s="9"/>
      <c r="AA482" s="9"/>
      <c r="AB482" s="9"/>
      <c r="AC482" s="9"/>
      <c r="AD482" s="9" t="s">
        <v>20</v>
      </c>
    </row>
    <row r="483" spans="1:30" ht="145">
      <c r="A483" s="3" t="s">
        <v>2952</v>
      </c>
      <c r="B483" s="3" t="s">
        <v>12428</v>
      </c>
      <c r="C483" s="3" t="s">
        <v>8232</v>
      </c>
      <c r="G483" s="9" t="s">
        <v>24</v>
      </c>
      <c r="H483" s="9"/>
      <c r="I483" s="9">
        <v>3</v>
      </c>
      <c r="J483" s="9">
        <v>14</v>
      </c>
      <c r="K483" s="9"/>
      <c r="L483" s="9" t="s">
        <v>12079</v>
      </c>
      <c r="M483" s="9"/>
      <c r="N483" s="10"/>
      <c r="O483" s="9"/>
      <c r="P483" s="9">
        <v>47</v>
      </c>
      <c r="Q483" s="9"/>
      <c r="R483" s="9" t="s">
        <v>12795</v>
      </c>
      <c r="S483" s="9" t="s">
        <v>12795</v>
      </c>
      <c r="T483" s="9"/>
      <c r="U483" s="9"/>
      <c r="V483" s="9"/>
      <c r="W483" s="9"/>
      <c r="X483" s="9"/>
      <c r="Y483" s="9"/>
      <c r="Z483" s="9"/>
      <c r="AA483" s="9"/>
      <c r="AB483" s="9"/>
      <c r="AC483" s="9"/>
      <c r="AD483" s="9" t="s">
        <v>20</v>
      </c>
    </row>
    <row r="484" spans="1:30" ht="145">
      <c r="A484" s="3" t="s">
        <v>2952</v>
      </c>
      <c r="B484" s="3" t="s">
        <v>12430</v>
      </c>
      <c r="C484" s="3" t="s">
        <v>12429</v>
      </c>
      <c r="G484" s="9" t="s">
        <v>25</v>
      </c>
      <c r="H484" s="9"/>
      <c r="I484" s="9">
        <v>3</v>
      </c>
      <c r="J484" s="9">
        <v>14</v>
      </c>
      <c r="K484" s="9"/>
      <c r="L484" s="9" t="s">
        <v>12073</v>
      </c>
      <c r="M484" s="9" t="s">
        <v>12140</v>
      </c>
      <c r="N484" s="10" t="s">
        <v>12136</v>
      </c>
      <c r="O484" s="9"/>
      <c r="P484" s="9">
        <v>47</v>
      </c>
      <c r="Q484" s="9"/>
      <c r="R484" s="9" t="s">
        <v>12795</v>
      </c>
      <c r="S484" s="9" t="s">
        <v>12795</v>
      </c>
      <c r="T484" s="9"/>
      <c r="U484" s="9"/>
      <c r="V484" s="9"/>
      <c r="W484" s="9"/>
      <c r="X484" s="9"/>
      <c r="Y484" s="9"/>
      <c r="Z484" s="9"/>
      <c r="AA484" s="9"/>
      <c r="AB484" s="9"/>
      <c r="AC484" s="9"/>
      <c r="AD484" s="9" t="s">
        <v>20</v>
      </c>
    </row>
    <row r="485" spans="1:30" ht="43.5">
      <c r="A485" s="3" t="s">
        <v>2956</v>
      </c>
      <c r="B485" s="3" t="s">
        <v>8238</v>
      </c>
      <c r="C485" s="3" t="s">
        <v>8237</v>
      </c>
      <c r="G485" s="9" t="s">
        <v>25</v>
      </c>
      <c r="H485" s="9"/>
      <c r="I485" s="9">
        <v>1</v>
      </c>
      <c r="J485" s="9">
        <v>3</v>
      </c>
      <c r="K485" s="9" t="s">
        <v>12087</v>
      </c>
      <c r="L485" s="9" t="s">
        <v>12079</v>
      </c>
      <c r="M485" s="9"/>
      <c r="N485" s="10"/>
      <c r="O485" s="9"/>
      <c r="P485" s="9">
        <v>431</v>
      </c>
      <c r="Q485" s="9"/>
      <c r="R485" s="9" t="s">
        <v>12795</v>
      </c>
      <c r="S485" s="9" t="s">
        <v>12795</v>
      </c>
      <c r="T485" s="9"/>
      <c r="U485" s="9"/>
      <c r="V485" s="9"/>
      <c r="W485" s="9"/>
      <c r="X485" s="9"/>
      <c r="Y485" s="9"/>
      <c r="Z485" s="9"/>
      <c r="AA485" s="9"/>
      <c r="AB485" s="9"/>
      <c r="AC485" s="9"/>
      <c r="AD485" s="9" t="s">
        <v>20</v>
      </c>
    </row>
    <row r="486" spans="1:30" ht="43.5">
      <c r="A486" s="3" t="s">
        <v>2957</v>
      </c>
      <c r="B486" s="3" t="s">
        <v>8240</v>
      </c>
      <c r="C486" s="3" t="s">
        <v>8239</v>
      </c>
      <c r="G486" s="9" t="s">
        <v>25</v>
      </c>
      <c r="H486" s="9"/>
      <c r="I486" s="9">
        <v>1</v>
      </c>
      <c r="J486" s="9">
        <v>2</v>
      </c>
      <c r="K486" s="9" t="s">
        <v>12078</v>
      </c>
      <c r="L486" s="9" t="s">
        <v>12119</v>
      </c>
      <c r="M486" s="9"/>
      <c r="N486" s="10"/>
      <c r="O486" s="9" t="s">
        <v>12074</v>
      </c>
      <c r="P486" s="9">
        <v>11843</v>
      </c>
      <c r="Q486" s="9"/>
      <c r="R486" s="9" t="s">
        <v>12795</v>
      </c>
      <c r="S486" s="9" t="s">
        <v>12795</v>
      </c>
      <c r="T486" s="9"/>
      <c r="U486" s="9"/>
      <c r="V486" s="9"/>
      <c r="W486" s="9"/>
      <c r="X486" s="9"/>
      <c r="Y486" s="9"/>
      <c r="Z486" s="9"/>
      <c r="AA486" s="9"/>
      <c r="AB486" s="9"/>
      <c r="AC486" s="9"/>
      <c r="AD486" s="9" t="s">
        <v>20</v>
      </c>
    </row>
    <row r="487" spans="1:30" ht="58">
      <c r="A487" s="3" t="s">
        <v>2962</v>
      </c>
      <c r="B487" s="3" t="s">
        <v>8242</v>
      </c>
      <c r="C487" s="3" t="s">
        <v>8243</v>
      </c>
      <c r="F487" t="s">
        <v>19</v>
      </c>
      <c r="G487" s="9" t="s">
        <v>12118</v>
      </c>
      <c r="H487" s="9"/>
      <c r="I487" s="9"/>
      <c r="J487" s="9"/>
      <c r="K487" s="9"/>
      <c r="L487" s="9"/>
      <c r="M487" s="9"/>
      <c r="N487" s="10"/>
      <c r="O487" s="9"/>
      <c r="P487" s="9"/>
      <c r="Q487" s="9">
        <v>11750</v>
      </c>
      <c r="R487" s="9">
        <v>93</v>
      </c>
      <c r="S487" s="9">
        <v>11843</v>
      </c>
      <c r="T487" s="9"/>
      <c r="U487" s="9"/>
      <c r="V487" s="9"/>
      <c r="W487" s="9"/>
      <c r="X487" s="9"/>
      <c r="Y487" s="9"/>
      <c r="Z487" s="9"/>
      <c r="AA487" s="9"/>
      <c r="AB487" s="9"/>
      <c r="AC487" s="9"/>
      <c r="AD487" s="9" t="s">
        <v>20</v>
      </c>
    </row>
    <row r="488" spans="1:30" ht="43.5">
      <c r="A488" s="3" t="s">
        <v>2965</v>
      </c>
      <c r="B488" s="3" t="s">
        <v>8251</v>
      </c>
      <c r="C488" s="3" t="s">
        <v>8252</v>
      </c>
      <c r="G488" s="9" t="s">
        <v>25</v>
      </c>
      <c r="H488" s="9"/>
      <c r="I488" s="9">
        <v>1</v>
      </c>
      <c r="J488" s="9">
        <v>6</v>
      </c>
      <c r="K488" s="9" t="s">
        <v>12125</v>
      </c>
      <c r="L488" s="9" t="s">
        <v>12079</v>
      </c>
      <c r="M488" s="9"/>
      <c r="N488" s="10"/>
      <c r="O488" s="9"/>
      <c r="P488" s="9">
        <v>265</v>
      </c>
      <c r="Q488" s="9"/>
      <c r="R488" s="9" t="s">
        <v>12795</v>
      </c>
      <c r="S488" s="9" t="s">
        <v>12795</v>
      </c>
      <c r="T488" s="9"/>
      <c r="U488" s="9"/>
      <c r="V488" s="9"/>
      <c r="W488" s="9"/>
      <c r="X488" s="9"/>
      <c r="Y488" s="9"/>
      <c r="Z488" s="9"/>
      <c r="AA488" s="9"/>
      <c r="AB488" s="9"/>
      <c r="AC488" s="9"/>
      <c r="AD488" s="9" t="s">
        <v>20</v>
      </c>
    </row>
    <row r="489" spans="1:30" ht="43.5">
      <c r="A489" s="3" t="s">
        <v>2970</v>
      </c>
      <c r="B489" s="3" t="s">
        <v>8258</v>
      </c>
      <c r="C489" s="3" t="s">
        <v>8257</v>
      </c>
      <c r="G489" s="9" t="s">
        <v>25</v>
      </c>
      <c r="H489" s="9"/>
      <c r="I489" s="9">
        <v>1</v>
      </c>
      <c r="J489" s="9">
        <v>2</v>
      </c>
      <c r="K489" s="9" t="s">
        <v>12123</v>
      </c>
      <c r="L489" s="9" t="s">
        <v>12119</v>
      </c>
      <c r="M489" s="9"/>
      <c r="N489" s="10"/>
      <c r="O489" s="9"/>
      <c r="P489" s="9">
        <v>526</v>
      </c>
      <c r="Q489" s="9"/>
      <c r="R489" s="9" t="s">
        <v>12795</v>
      </c>
      <c r="S489" s="9" t="s">
        <v>12795</v>
      </c>
      <c r="T489" s="9"/>
      <c r="U489" s="9"/>
      <c r="V489" s="9"/>
      <c r="W489" s="9"/>
      <c r="X489" s="9"/>
      <c r="Y489" s="9"/>
      <c r="Z489" s="9"/>
      <c r="AA489" s="9"/>
      <c r="AB489" s="9"/>
      <c r="AC489" s="9"/>
      <c r="AD489" s="9" t="s">
        <v>20</v>
      </c>
    </row>
    <row r="490" spans="1:30" ht="58">
      <c r="A490" s="3" t="s">
        <v>2971</v>
      </c>
      <c r="B490" s="3" t="s">
        <v>8260</v>
      </c>
      <c r="C490" s="3" t="s">
        <v>8259</v>
      </c>
      <c r="G490" s="9" t="s">
        <v>25</v>
      </c>
      <c r="H490" s="9"/>
      <c r="I490" s="9">
        <v>3</v>
      </c>
      <c r="J490" s="9">
        <v>9</v>
      </c>
      <c r="K490" s="9"/>
      <c r="L490" s="9" t="s">
        <v>12079</v>
      </c>
      <c r="M490" s="9"/>
      <c r="N490" s="10"/>
      <c r="O490" s="9"/>
      <c r="P490" s="9">
        <v>75</v>
      </c>
      <c r="Q490" s="9"/>
      <c r="R490" s="9" t="s">
        <v>12795</v>
      </c>
      <c r="S490" s="9" t="s">
        <v>12795</v>
      </c>
      <c r="T490" s="9"/>
      <c r="U490" s="9"/>
      <c r="V490" s="9"/>
      <c r="W490" s="9"/>
      <c r="X490" s="9"/>
      <c r="Y490" s="9"/>
      <c r="Z490" s="9"/>
      <c r="AA490" s="9"/>
      <c r="AB490" s="9"/>
      <c r="AC490" s="9"/>
      <c r="AD490" s="9" t="s">
        <v>13141</v>
      </c>
    </row>
    <row r="491" spans="1:30" ht="29">
      <c r="A491" s="3" t="s">
        <v>2978</v>
      </c>
      <c r="B491" s="3" t="s">
        <v>8272</v>
      </c>
      <c r="C491" s="3" t="s">
        <v>8271</v>
      </c>
      <c r="F491" t="s">
        <v>19</v>
      </c>
      <c r="G491" s="9" t="s">
        <v>25</v>
      </c>
      <c r="H491" s="9"/>
      <c r="I491" s="9">
        <v>1</v>
      </c>
      <c r="J491" s="9">
        <v>3</v>
      </c>
      <c r="K491" s="9" t="s">
        <v>12123</v>
      </c>
      <c r="L491" s="9" t="s">
        <v>12079</v>
      </c>
      <c r="M491" s="9"/>
      <c r="N491" s="10"/>
      <c r="O491" s="9"/>
      <c r="P491" s="9">
        <v>887</v>
      </c>
      <c r="Q491" s="9"/>
      <c r="R491" s="9" t="s">
        <v>12795</v>
      </c>
      <c r="S491" s="9" t="s">
        <v>12795</v>
      </c>
      <c r="T491" s="9"/>
      <c r="U491" s="9"/>
      <c r="V491" s="9"/>
      <c r="W491" s="9"/>
      <c r="X491" s="9"/>
      <c r="Y491" s="9"/>
      <c r="Z491" s="9"/>
      <c r="AA491" s="9"/>
      <c r="AB491" s="9"/>
      <c r="AC491" s="9"/>
      <c r="AD491" s="9" t="s">
        <v>20</v>
      </c>
    </row>
    <row r="492" spans="1:30" ht="29">
      <c r="A492" s="3" t="s">
        <v>2981</v>
      </c>
      <c r="B492" s="3" t="s">
        <v>2982</v>
      </c>
      <c r="C492" s="3" t="s">
        <v>8277</v>
      </c>
      <c r="F492" t="s">
        <v>19</v>
      </c>
      <c r="G492" s="9" t="s">
        <v>12120</v>
      </c>
      <c r="H492" s="9"/>
      <c r="I492" s="9"/>
      <c r="J492" s="9"/>
      <c r="K492" s="9"/>
      <c r="L492" s="9"/>
      <c r="M492" s="9"/>
      <c r="N492" s="10"/>
      <c r="O492" s="9"/>
      <c r="P492" s="9"/>
      <c r="Q492" s="9"/>
      <c r="R492" s="9" t="s">
        <v>12795</v>
      </c>
      <c r="S492" s="9" t="s">
        <v>12795</v>
      </c>
      <c r="T492" s="9"/>
      <c r="U492" s="9"/>
      <c r="V492" s="9"/>
      <c r="W492" s="9"/>
      <c r="X492" s="9"/>
      <c r="Y492" s="9"/>
      <c r="Z492" s="9"/>
      <c r="AA492" s="9"/>
      <c r="AB492" s="9"/>
      <c r="AC492" s="9"/>
      <c r="AD492" s="9" t="s">
        <v>20</v>
      </c>
    </row>
    <row r="493" spans="1:30" ht="72.5">
      <c r="A493" s="3" t="s">
        <v>2981</v>
      </c>
      <c r="B493" s="3" t="s">
        <v>8278</v>
      </c>
      <c r="C493" s="3" t="s">
        <v>8279</v>
      </c>
      <c r="G493" s="9" t="s">
        <v>26</v>
      </c>
      <c r="H493" s="9"/>
      <c r="I493" s="9"/>
      <c r="J493" s="9"/>
      <c r="K493" s="9"/>
      <c r="L493" s="9"/>
      <c r="M493" s="9"/>
      <c r="N493" s="10"/>
      <c r="O493" s="9"/>
      <c r="P493" s="9"/>
      <c r="Q493" s="9"/>
      <c r="R493" s="9" t="s">
        <v>12795</v>
      </c>
      <c r="S493" s="9" t="s">
        <v>12795</v>
      </c>
      <c r="T493" s="9"/>
      <c r="U493" s="9"/>
      <c r="V493" s="9"/>
      <c r="W493" s="9"/>
      <c r="X493" s="9"/>
      <c r="Y493" s="9"/>
      <c r="Z493" s="9"/>
      <c r="AA493" s="9"/>
      <c r="AB493" s="9"/>
      <c r="AC493" s="9"/>
      <c r="AD493" s="9" t="s">
        <v>20</v>
      </c>
    </row>
    <row r="494" spans="1:30" ht="72.5">
      <c r="A494" s="3" t="s">
        <v>2981</v>
      </c>
      <c r="B494" s="3" t="s">
        <v>8280</v>
      </c>
      <c r="C494" s="3" t="s">
        <v>8281</v>
      </c>
      <c r="G494" s="9" t="s">
        <v>12120</v>
      </c>
      <c r="H494" s="9"/>
      <c r="I494" s="9"/>
      <c r="J494" s="9"/>
      <c r="K494" s="9"/>
      <c r="L494" s="9"/>
      <c r="M494" s="9"/>
      <c r="N494" s="10"/>
      <c r="O494" s="9"/>
      <c r="P494" s="9"/>
      <c r="Q494" s="9"/>
      <c r="R494" s="9" t="s">
        <v>12795</v>
      </c>
      <c r="S494" s="9" t="s">
        <v>12795</v>
      </c>
      <c r="T494" s="9"/>
      <c r="U494" s="9"/>
      <c r="V494" s="9"/>
      <c r="W494" s="9"/>
      <c r="X494" s="9"/>
      <c r="Y494" s="9"/>
      <c r="Z494" s="9"/>
      <c r="AA494" s="9"/>
      <c r="AB494" s="9"/>
      <c r="AC494" s="9"/>
      <c r="AD494" s="9" t="s">
        <v>20</v>
      </c>
    </row>
    <row r="495" spans="1:30" ht="58">
      <c r="A495" s="3" t="s">
        <v>2985</v>
      </c>
      <c r="B495" s="3" t="s">
        <v>8285</v>
      </c>
      <c r="C495" s="3" t="s">
        <v>8284</v>
      </c>
      <c r="F495" t="s">
        <v>19</v>
      </c>
      <c r="G495" s="9" t="s">
        <v>25</v>
      </c>
      <c r="H495" s="9"/>
      <c r="I495" s="9">
        <v>1</v>
      </c>
      <c r="J495" s="9">
        <v>4</v>
      </c>
      <c r="K495" s="9" t="s">
        <v>12078</v>
      </c>
      <c r="L495" s="9" t="s">
        <v>12073</v>
      </c>
      <c r="M495" s="9" t="s">
        <v>12149</v>
      </c>
      <c r="N495" s="10" t="s">
        <v>12143</v>
      </c>
      <c r="O495" s="9"/>
      <c r="P495" s="9">
        <v>11843</v>
      </c>
      <c r="Q495" s="9"/>
      <c r="R495" s="9" t="s">
        <v>12795</v>
      </c>
      <c r="S495" s="9" t="s">
        <v>12795</v>
      </c>
      <c r="T495" s="9"/>
      <c r="U495" s="9"/>
      <c r="V495" s="9"/>
      <c r="W495" s="9"/>
      <c r="X495" s="9"/>
      <c r="Y495" s="9"/>
      <c r="Z495" s="9"/>
      <c r="AA495" s="9"/>
      <c r="AB495" s="9"/>
      <c r="AC495" s="9"/>
      <c r="AD495" s="9" t="s">
        <v>20</v>
      </c>
    </row>
    <row r="496" spans="1:30" ht="246.5">
      <c r="A496" s="3" t="s">
        <v>2993</v>
      </c>
      <c r="B496" s="3" t="s">
        <v>8293</v>
      </c>
      <c r="C496" s="3" t="s">
        <v>8294</v>
      </c>
      <c r="G496" s="9" t="s">
        <v>26</v>
      </c>
      <c r="H496" s="9"/>
      <c r="I496" s="9"/>
      <c r="J496" s="9"/>
      <c r="K496" s="9"/>
      <c r="L496" s="9"/>
      <c r="M496" s="9"/>
      <c r="N496" s="10"/>
      <c r="O496" s="9"/>
      <c r="P496" s="9"/>
      <c r="Q496" s="9"/>
      <c r="R496" s="9" t="s">
        <v>12795</v>
      </c>
      <c r="S496" s="9" t="s">
        <v>12795</v>
      </c>
      <c r="T496" s="9"/>
      <c r="U496" s="9"/>
      <c r="V496" s="9"/>
      <c r="W496" s="9"/>
      <c r="X496" s="9"/>
      <c r="Y496" s="9"/>
      <c r="Z496" s="9"/>
      <c r="AA496" s="9"/>
      <c r="AB496" s="9"/>
      <c r="AC496" s="9" t="s">
        <v>19</v>
      </c>
      <c r="AD496" s="9" t="s">
        <v>20</v>
      </c>
    </row>
    <row r="497" spans="1:30" ht="116">
      <c r="A497" s="3" t="s">
        <v>2994</v>
      </c>
      <c r="B497" s="3" t="s">
        <v>8296</v>
      </c>
      <c r="C497" s="3" t="s">
        <v>8297</v>
      </c>
      <c r="G497" s="9" t="s">
        <v>24</v>
      </c>
      <c r="H497" s="9"/>
      <c r="I497" s="9">
        <v>1</v>
      </c>
      <c r="J497" s="9">
        <v>11</v>
      </c>
      <c r="K497" s="9" t="s">
        <v>12098</v>
      </c>
      <c r="L497" s="9" t="s">
        <v>12073</v>
      </c>
      <c r="M497" s="9" t="s">
        <v>12142</v>
      </c>
      <c r="N497" s="10" t="s">
        <v>12434</v>
      </c>
      <c r="O497" s="9" t="s">
        <v>12074</v>
      </c>
      <c r="P497" s="9">
        <v>101</v>
      </c>
      <c r="Q497" s="9"/>
      <c r="R497" s="9" t="s">
        <v>12795</v>
      </c>
      <c r="S497" s="9" t="s">
        <v>12795</v>
      </c>
      <c r="T497" s="9"/>
      <c r="U497" s="9"/>
      <c r="V497" s="9"/>
      <c r="W497" s="9"/>
      <c r="X497" s="9"/>
      <c r="Y497" s="9"/>
      <c r="Z497" s="9"/>
      <c r="AA497" s="9"/>
      <c r="AB497" s="9"/>
      <c r="AC497" s="9"/>
      <c r="AD497" s="9" t="s">
        <v>20</v>
      </c>
    </row>
    <row r="498" spans="1:30" ht="58">
      <c r="A498" s="3" t="s">
        <v>2997</v>
      </c>
      <c r="B498" s="3" t="s">
        <v>8310</v>
      </c>
      <c r="C498" s="3" t="s">
        <v>8313</v>
      </c>
      <c r="G498" s="9" t="s">
        <v>24</v>
      </c>
      <c r="H498" s="9"/>
      <c r="I498" s="9">
        <v>1</v>
      </c>
      <c r="J498" s="9">
        <v>2</v>
      </c>
      <c r="K498" s="9" t="s">
        <v>12078</v>
      </c>
      <c r="L498" s="9" t="s">
        <v>12119</v>
      </c>
      <c r="M498" s="9"/>
      <c r="N498" s="10"/>
      <c r="O498" s="9"/>
      <c r="P498" s="9">
        <v>11843</v>
      </c>
      <c r="Q498" s="9"/>
      <c r="R498" s="9" t="s">
        <v>12795</v>
      </c>
      <c r="S498" s="9" t="s">
        <v>12795</v>
      </c>
      <c r="T498" s="9"/>
      <c r="U498" s="9"/>
      <c r="V498" s="9"/>
      <c r="W498" s="9"/>
      <c r="X498" s="9"/>
      <c r="Y498" s="9"/>
      <c r="Z498" s="9"/>
      <c r="AA498" s="9"/>
      <c r="AB498" s="9"/>
      <c r="AC498" s="9"/>
      <c r="AD498" s="9" t="s">
        <v>20</v>
      </c>
    </row>
    <row r="499" spans="1:30" ht="43.5">
      <c r="A499" s="3" t="s">
        <v>2998</v>
      </c>
      <c r="B499" s="3" t="s">
        <v>8314</v>
      </c>
      <c r="C499" s="3" t="s">
        <v>8315</v>
      </c>
      <c r="G499" s="9" t="s">
        <v>25</v>
      </c>
      <c r="H499" s="9"/>
      <c r="I499" s="9">
        <v>1</v>
      </c>
      <c r="J499" s="9">
        <v>2</v>
      </c>
      <c r="K499" s="9" t="s">
        <v>12096</v>
      </c>
      <c r="L499" s="9" t="s">
        <v>12119</v>
      </c>
      <c r="M499" s="9"/>
      <c r="N499" s="10"/>
      <c r="O499" s="9" t="s">
        <v>12074</v>
      </c>
      <c r="P499" s="9">
        <v>1294</v>
      </c>
      <c r="Q499" s="9"/>
      <c r="R499" s="9" t="s">
        <v>12795</v>
      </c>
      <c r="S499" s="9" t="s">
        <v>12795</v>
      </c>
      <c r="T499" s="9"/>
      <c r="U499" s="9"/>
      <c r="V499" s="9"/>
      <c r="W499" s="9"/>
      <c r="X499" s="9"/>
      <c r="Y499" s="9"/>
      <c r="Z499" s="9"/>
      <c r="AA499" s="9"/>
      <c r="AB499" s="9"/>
      <c r="AC499" s="9"/>
      <c r="AD499" s="9" t="s">
        <v>20</v>
      </c>
    </row>
    <row r="500" spans="1:30" ht="101.5">
      <c r="A500" s="3" t="s">
        <v>3010</v>
      </c>
      <c r="B500" s="3" t="s">
        <v>8340</v>
      </c>
      <c r="C500" s="3" t="s">
        <v>8339</v>
      </c>
      <c r="G500" s="9" t="s">
        <v>25</v>
      </c>
      <c r="H500" s="9"/>
      <c r="I500" s="9">
        <v>4</v>
      </c>
      <c r="J500" s="9">
        <v>13</v>
      </c>
      <c r="K500" s="9"/>
      <c r="L500" s="9" t="s">
        <v>12079</v>
      </c>
      <c r="M500" s="9"/>
      <c r="N500" s="10"/>
      <c r="O500" s="9"/>
      <c r="P500" s="9">
        <v>173</v>
      </c>
      <c r="Q500" s="9"/>
      <c r="R500" s="9" t="s">
        <v>12795</v>
      </c>
      <c r="S500" s="9" t="s">
        <v>12795</v>
      </c>
      <c r="T500" s="9"/>
      <c r="U500" s="9"/>
      <c r="V500" s="9"/>
      <c r="W500" s="9"/>
      <c r="X500" s="9"/>
      <c r="Y500" s="9"/>
      <c r="Z500" s="9"/>
      <c r="AA500" s="9"/>
      <c r="AB500" s="9"/>
      <c r="AC500" s="9"/>
      <c r="AD500" s="9" t="s">
        <v>13141</v>
      </c>
    </row>
    <row r="501" spans="1:30" ht="72.5">
      <c r="A501" s="3" t="s">
        <v>3011</v>
      </c>
      <c r="B501" s="3" t="s">
        <v>8343</v>
      </c>
      <c r="C501" s="3" t="s">
        <v>8342</v>
      </c>
      <c r="F501" t="s">
        <v>19</v>
      </c>
      <c r="G501" s="9" t="s">
        <v>25</v>
      </c>
      <c r="H501" s="9"/>
      <c r="I501" s="9">
        <v>1</v>
      </c>
      <c r="J501" s="9">
        <v>2</v>
      </c>
      <c r="K501" s="9" t="s">
        <v>12087</v>
      </c>
      <c r="L501" s="9" t="s">
        <v>12119</v>
      </c>
      <c r="M501" s="9"/>
      <c r="N501" s="10"/>
      <c r="O501" s="9"/>
      <c r="P501" s="9">
        <v>207</v>
      </c>
      <c r="Q501" s="9"/>
      <c r="R501" s="9" t="s">
        <v>12795</v>
      </c>
      <c r="S501" s="9" t="s">
        <v>12795</v>
      </c>
      <c r="T501" s="9"/>
      <c r="U501" s="9"/>
      <c r="V501" s="9"/>
      <c r="W501" s="9"/>
      <c r="X501" s="9"/>
      <c r="Y501" s="9"/>
      <c r="Z501" s="9"/>
      <c r="AA501" s="9"/>
      <c r="AB501" s="9"/>
      <c r="AC501" s="9"/>
      <c r="AD501" s="9" t="s">
        <v>20</v>
      </c>
    </row>
    <row r="502" spans="1:30">
      <c r="A502" s="3" t="s">
        <v>3015</v>
      </c>
      <c r="B502" s="3" t="s">
        <v>1714</v>
      </c>
      <c r="C502" s="3" t="s">
        <v>3016</v>
      </c>
      <c r="G502" s="9" t="s">
        <v>12120</v>
      </c>
      <c r="H502" s="9"/>
      <c r="I502" s="9"/>
      <c r="J502" s="9"/>
      <c r="K502" s="9"/>
      <c r="L502" s="9"/>
      <c r="M502" s="9"/>
      <c r="N502" s="10"/>
      <c r="O502" s="9"/>
      <c r="P502" s="9"/>
      <c r="Q502" s="9"/>
      <c r="R502" s="9" t="s">
        <v>12795</v>
      </c>
      <c r="S502" s="9" t="s">
        <v>12795</v>
      </c>
      <c r="T502" s="9"/>
      <c r="U502" s="9"/>
      <c r="V502" s="9"/>
      <c r="W502" s="9"/>
      <c r="X502" s="9"/>
      <c r="Y502" s="9"/>
      <c r="Z502" s="9"/>
      <c r="AA502" s="9"/>
      <c r="AB502" s="9"/>
      <c r="AC502" s="9"/>
      <c r="AD502" s="9" t="s">
        <v>20</v>
      </c>
    </row>
    <row r="503" spans="1:30" ht="58">
      <c r="A503" s="3" t="s">
        <v>3017</v>
      </c>
      <c r="B503" s="3" t="s">
        <v>8354</v>
      </c>
      <c r="C503" s="3" t="s">
        <v>8351</v>
      </c>
      <c r="G503" s="9" t="s">
        <v>25</v>
      </c>
      <c r="H503" s="9"/>
      <c r="I503" s="9">
        <v>1</v>
      </c>
      <c r="J503" s="9">
        <v>3</v>
      </c>
      <c r="K503" s="9" t="s">
        <v>12078</v>
      </c>
      <c r="L503" s="9" t="s">
        <v>12079</v>
      </c>
      <c r="M503" s="9"/>
      <c r="N503" s="10"/>
      <c r="O503" s="9"/>
      <c r="P503" s="9">
        <v>11843</v>
      </c>
      <c r="Q503" s="9"/>
      <c r="R503" s="9" t="s">
        <v>12795</v>
      </c>
      <c r="S503" s="9" t="s">
        <v>12795</v>
      </c>
      <c r="T503" s="9"/>
      <c r="U503" s="9"/>
      <c r="V503" s="9"/>
      <c r="W503" s="9"/>
      <c r="X503" s="9"/>
      <c r="Y503" s="9"/>
      <c r="Z503" s="9"/>
      <c r="AA503" s="9"/>
      <c r="AB503" s="9"/>
      <c r="AC503" s="9"/>
      <c r="AD503" s="9" t="s">
        <v>13141</v>
      </c>
    </row>
    <row r="504" spans="1:30" ht="72.5">
      <c r="A504" s="3" t="s">
        <v>3017</v>
      </c>
      <c r="B504" s="3" t="s">
        <v>8356</v>
      </c>
      <c r="C504" s="3" t="s">
        <v>8355</v>
      </c>
      <c r="G504" s="9" t="s">
        <v>25</v>
      </c>
      <c r="H504" s="9"/>
      <c r="I504" s="9">
        <v>1</v>
      </c>
      <c r="J504" s="9">
        <v>3</v>
      </c>
      <c r="K504" s="9" t="s">
        <v>12078</v>
      </c>
      <c r="L504" s="9" t="s">
        <v>12079</v>
      </c>
      <c r="M504" s="9"/>
      <c r="N504" s="10"/>
      <c r="O504" s="9"/>
      <c r="P504" s="9">
        <v>11843</v>
      </c>
      <c r="Q504" s="9"/>
      <c r="R504" s="9" t="s">
        <v>12795</v>
      </c>
      <c r="S504" s="9" t="s">
        <v>12795</v>
      </c>
      <c r="T504" s="9"/>
      <c r="U504" s="9"/>
      <c r="V504" s="9"/>
      <c r="W504" s="9"/>
      <c r="X504" s="9"/>
      <c r="Y504" s="9"/>
      <c r="Z504" s="9"/>
      <c r="AA504" s="9"/>
      <c r="AB504" s="9"/>
      <c r="AC504" s="9"/>
      <c r="AD504" s="9" t="s">
        <v>20</v>
      </c>
    </row>
    <row r="505" spans="1:30" ht="72.5">
      <c r="A505" s="3" t="s">
        <v>3017</v>
      </c>
      <c r="B505" s="3" t="s">
        <v>8357</v>
      </c>
      <c r="C505" s="3" t="s">
        <v>8355</v>
      </c>
      <c r="G505" s="9" t="s">
        <v>25</v>
      </c>
      <c r="H505" s="9"/>
      <c r="I505" s="9">
        <v>1</v>
      </c>
      <c r="J505" s="9">
        <v>1</v>
      </c>
      <c r="K505" s="9" t="s">
        <v>12078</v>
      </c>
      <c r="L505" s="9" t="s">
        <v>12119</v>
      </c>
      <c r="M505" s="9"/>
      <c r="N505" s="10"/>
      <c r="O505" s="9"/>
      <c r="P505" s="9">
        <v>11843</v>
      </c>
      <c r="Q505" s="9"/>
      <c r="R505" s="9" t="s">
        <v>12795</v>
      </c>
      <c r="S505" s="9" t="s">
        <v>12795</v>
      </c>
      <c r="T505" s="9"/>
      <c r="U505" s="9"/>
      <c r="V505" s="9"/>
      <c r="W505" s="9"/>
      <c r="X505" s="9"/>
      <c r="Y505" s="9"/>
      <c r="Z505" s="9"/>
      <c r="AA505" s="9"/>
      <c r="AB505" s="9"/>
      <c r="AC505" s="9"/>
      <c r="AD505" s="9" t="s">
        <v>20</v>
      </c>
    </row>
    <row r="506" spans="1:30" ht="29">
      <c r="A506" s="3" t="s">
        <v>3022</v>
      </c>
      <c r="B506" s="3" t="s">
        <v>8364</v>
      </c>
      <c r="C506" s="3" t="s">
        <v>8363</v>
      </c>
      <c r="G506" s="9" t="s">
        <v>25</v>
      </c>
      <c r="H506" s="9"/>
      <c r="I506" s="9">
        <v>1</v>
      </c>
      <c r="J506" s="9">
        <v>1</v>
      </c>
      <c r="K506" s="9" t="s">
        <v>12078</v>
      </c>
      <c r="L506" s="9" t="s">
        <v>12119</v>
      </c>
      <c r="M506" s="9"/>
      <c r="N506" s="10"/>
      <c r="O506" s="9"/>
      <c r="P506" s="9">
        <v>11843</v>
      </c>
      <c r="Q506" s="9"/>
      <c r="R506" s="9" t="s">
        <v>12795</v>
      </c>
      <c r="S506" s="9" t="s">
        <v>12795</v>
      </c>
      <c r="T506" s="9"/>
      <c r="U506" s="9"/>
      <c r="V506" s="9"/>
      <c r="W506" s="9"/>
      <c r="X506" s="9"/>
      <c r="Y506" s="9"/>
      <c r="Z506" s="9"/>
      <c r="AA506" s="9"/>
      <c r="AB506" s="9"/>
      <c r="AC506" s="9"/>
      <c r="AD506" s="9" t="s">
        <v>20</v>
      </c>
    </row>
    <row r="507" spans="1:30" ht="101.5">
      <c r="A507" s="3" t="s">
        <v>3025</v>
      </c>
      <c r="B507" s="3" t="s">
        <v>8369</v>
      </c>
      <c r="C507" s="3" t="s">
        <v>8370</v>
      </c>
      <c r="G507" s="9" t="s">
        <v>26</v>
      </c>
      <c r="H507" s="9"/>
      <c r="I507" s="9"/>
      <c r="J507" s="9"/>
      <c r="K507" s="9"/>
      <c r="L507" s="9"/>
      <c r="M507" s="9"/>
      <c r="N507" s="10"/>
      <c r="O507" s="9"/>
      <c r="P507" s="9"/>
      <c r="Q507" s="9"/>
      <c r="R507" s="9" t="s">
        <v>12795</v>
      </c>
      <c r="S507" s="9" t="s">
        <v>12795</v>
      </c>
      <c r="T507" s="9"/>
      <c r="U507" s="9"/>
      <c r="V507" s="9"/>
      <c r="W507" s="9"/>
      <c r="X507" s="9"/>
      <c r="Y507" s="9"/>
      <c r="Z507" s="9"/>
      <c r="AA507" s="9"/>
      <c r="AB507" s="9"/>
      <c r="AC507" s="9"/>
      <c r="AD507" s="9" t="s">
        <v>20</v>
      </c>
    </row>
    <row r="508" spans="1:30" ht="43.5">
      <c r="A508" s="3" t="s">
        <v>3026</v>
      </c>
      <c r="B508" s="3" t="s">
        <v>8371</v>
      </c>
      <c r="C508" s="5" t="s">
        <v>8372</v>
      </c>
      <c r="D508" t="s">
        <v>32</v>
      </c>
      <c r="E508" t="s">
        <v>20</v>
      </c>
      <c r="G508" s="9" t="s">
        <v>12118</v>
      </c>
      <c r="H508" s="9"/>
      <c r="I508" s="9"/>
      <c r="J508" s="9"/>
      <c r="K508" s="9"/>
      <c r="L508" s="9"/>
      <c r="M508" s="9"/>
      <c r="N508" s="10"/>
      <c r="O508" s="9" t="s">
        <v>12074</v>
      </c>
      <c r="P508" s="9"/>
      <c r="Q508" s="9">
        <v>-11806</v>
      </c>
      <c r="R508" s="9">
        <v>11843</v>
      </c>
      <c r="S508" s="9">
        <v>37</v>
      </c>
      <c r="T508" s="9"/>
      <c r="U508" s="9"/>
      <c r="V508" s="9"/>
      <c r="W508" s="9"/>
      <c r="X508" s="9"/>
      <c r="Y508" s="9"/>
      <c r="Z508" s="9"/>
      <c r="AA508" s="9"/>
      <c r="AB508" s="9"/>
      <c r="AC508" s="9"/>
      <c r="AD508" s="9" t="s">
        <v>20</v>
      </c>
    </row>
    <row r="509" spans="1:30" ht="43.5">
      <c r="A509" s="3" t="s">
        <v>3028</v>
      </c>
      <c r="B509" s="3" t="s">
        <v>8380</v>
      </c>
      <c r="C509" s="3" t="s">
        <v>8377</v>
      </c>
      <c r="G509" s="9" t="s">
        <v>25</v>
      </c>
      <c r="H509" s="9"/>
      <c r="I509" s="9">
        <v>1</v>
      </c>
      <c r="J509" s="9">
        <v>2</v>
      </c>
      <c r="K509" s="9" t="s">
        <v>12087</v>
      </c>
      <c r="L509" s="9" t="s">
        <v>12119</v>
      </c>
      <c r="M509" s="9"/>
      <c r="N509" s="10"/>
      <c r="O509" s="9"/>
      <c r="P509" s="9">
        <v>1966</v>
      </c>
      <c r="Q509" s="9"/>
      <c r="R509" s="9" t="s">
        <v>12795</v>
      </c>
      <c r="S509" s="9" t="s">
        <v>12795</v>
      </c>
      <c r="T509" s="9"/>
      <c r="U509" s="9"/>
      <c r="V509" s="9"/>
      <c r="W509" s="9"/>
      <c r="X509" s="9"/>
      <c r="Y509" s="9"/>
      <c r="Z509" s="9"/>
      <c r="AA509" s="9"/>
      <c r="AB509" s="9"/>
      <c r="AC509" s="9"/>
      <c r="AD509" s="9" t="s">
        <v>20</v>
      </c>
    </row>
    <row r="510" spans="1:30" ht="43.5">
      <c r="A510" s="3" t="s">
        <v>3029</v>
      </c>
      <c r="B510" s="3" t="s">
        <v>8381</v>
      </c>
      <c r="C510" s="3" t="s">
        <v>12438</v>
      </c>
      <c r="G510" s="9" t="s">
        <v>25</v>
      </c>
      <c r="H510" s="9"/>
      <c r="I510" s="9">
        <v>1</v>
      </c>
      <c r="J510" s="9">
        <v>5</v>
      </c>
      <c r="K510" s="9" t="s">
        <v>12094</v>
      </c>
      <c r="L510" s="9" t="s">
        <v>12079</v>
      </c>
      <c r="M510" s="9"/>
      <c r="N510" s="10"/>
      <c r="O510" s="9"/>
      <c r="P510" s="9">
        <v>4240</v>
      </c>
      <c r="Q510" s="9"/>
      <c r="R510" s="9" t="s">
        <v>12795</v>
      </c>
      <c r="S510" s="9" t="s">
        <v>12795</v>
      </c>
      <c r="T510" s="9"/>
      <c r="U510" s="9"/>
      <c r="V510" s="9"/>
      <c r="W510" s="9"/>
      <c r="X510" s="9"/>
      <c r="Y510" s="9"/>
      <c r="Z510" s="9"/>
      <c r="AA510" s="9"/>
      <c r="AB510" s="9"/>
      <c r="AC510" s="9"/>
      <c r="AD510" s="9" t="s">
        <v>20</v>
      </c>
    </row>
    <row r="511" spans="1:30" ht="29">
      <c r="A511" s="3" t="s">
        <v>3033</v>
      </c>
      <c r="B511" s="3" t="s">
        <v>8382</v>
      </c>
      <c r="C511" s="11" t="s">
        <v>8383</v>
      </c>
      <c r="G511" s="9" t="s">
        <v>25</v>
      </c>
      <c r="H511" s="9"/>
      <c r="I511" s="9">
        <v>1</v>
      </c>
      <c r="J511" s="9">
        <v>2</v>
      </c>
      <c r="K511" s="9" t="s">
        <v>12078</v>
      </c>
      <c r="L511" s="9" t="s">
        <v>12119</v>
      </c>
      <c r="M511" s="9"/>
      <c r="N511" s="10"/>
      <c r="O511" s="9"/>
      <c r="P511" s="9">
        <v>11843</v>
      </c>
      <c r="Q511" s="9"/>
      <c r="R511" s="9" t="s">
        <v>12795</v>
      </c>
      <c r="S511" s="9" t="s">
        <v>12795</v>
      </c>
      <c r="T511" s="9"/>
      <c r="U511" s="9"/>
      <c r="V511" s="9"/>
      <c r="W511" s="9"/>
      <c r="X511" s="9"/>
      <c r="Y511" s="9"/>
      <c r="Z511" s="9"/>
      <c r="AA511" s="9"/>
      <c r="AB511" s="9"/>
      <c r="AC511" s="9"/>
      <c r="AD511" s="9" t="s">
        <v>20</v>
      </c>
    </row>
    <row r="512" spans="1:30" ht="29">
      <c r="A512" s="3" t="s">
        <v>3034</v>
      </c>
      <c r="B512" s="3" t="s">
        <v>8386</v>
      </c>
      <c r="C512" s="3" t="s">
        <v>8387</v>
      </c>
      <c r="G512" s="9" t="s">
        <v>12120</v>
      </c>
      <c r="H512" s="9"/>
      <c r="I512" s="9"/>
      <c r="J512" s="9"/>
      <c r="K512" s="9"/>
      <c r="L512" s="9"/>
      <c r="M512" s="9"/>
      <c r="N512" s="10"/>
      <c r="O512" s="9"/>
      <c r="P512" s="9"/>
      <c r="Q512" s="9"/>
      <c r="R512" s="9" t="s">
        <v>12795</v>
      </c>
      <c r="S512" s="9" t="s">
        <v>12795</v>
      </c>
      <c r="T512" s="9"/>
      <c r="U512" s="9"/>
      <c r="V512" s="9"/>
      <c r="W512" s="9"/>
      <c r="X512" s="9"/>
      <c r="Y512" s="9"/>
      <c r="Z512" s="9"/>
      <c r="AA512" s="9"/>
      <c r="AB512" s="9"/>
      <c r="AC512" s="9"/>
      <c r="AD512" s="9" t="s">
        <v>20</v>
      </c>
    </row>
    <row r="513" spans="1:30" ht="29">
      <c r="A513" s="3" t="s">
        <v>3036</v>
      </c>
      <c r="B513" s="3" t="s">
        <v>8388</v>
      </c>
      <c r="C513" s="3" t="s">
        <v>8389</v>
      </c>
      <c r="F513" t="s">
        <v>19</v>
      </c>
      <c r="G513" s="9" t="s">
        <v>24</v>
      </c>
      <c r="H513" s="9"/>
      <c r="I513" s="9">
        <v>1</v>
      </c>
      <c r="J513" s="9">
        <v>2</v>
      </c>
      <c r="K513" s="9" t="s">
        <v>12078</v>
      </c>
      <c r="L513" s="9" t="s">
        <v>12119</v>
      </c>
      <c r="M513" s="9"/>
      <c r="N513" s="10"/>
      <c r="O513" s="9"/>
      <c r="P513" s="9">
        <v>11843</v>
      </c>
      <c r="Q513" s="9"/>
      <c r="R513" s="9" t="s">
        <v>12795</v>
      </c>
      <c r="S513" s="9" t="s">
        <v>12795</v>
      </c>
      <c r="T513" s="9"/>
      <c r="U513" s="9"/>
      <c r="V513" s="9"/>
      <c r="W513" s="9"/>
      <c r="X513" s="9"/>
      <c r="Y513" s="9"/>
      <c r="Z513" s="9"/>
      <c r="AA513" s="9"/>
      <c r="AB513" s="9"/>
      <c r="AC513" s="9"/>
      <c r="AD513" s="9" t="s">
        <v>20</v>
      </c>
    </row>
    <row r="514" spans="1:30" ht="43.5">
      <c r="A514" s="3" t="s">
        <v>3039</v>
      </c>
      <c r="B514" s="3" t="s">
        <v>8395</v>
      </c>
      <c r="C514" s="3" t="s">
        <v>8394</v>
      </c>
      <c r="G514" s="9" t="s">
        <v>12118</v>
      </c>
      <c r="H514" s="9"/>
      <c r="I514" s="9"/>
      <c r="J514" s="9"/>
      <c r="K514" s="9"/>
      <c r="L514" s="9"/>
      <c r="M514" s="9"/>
      <c r="N514" s="10"/>
      <c r="O514" s="9"/>
      <c r="P514" s="9"/>
      <c r="Q514" s="9">
        <v>-3710</v>
      </c>
      <c r="R514" s="9">
        <v>5676</v>
      </c>
      <c r="S514" s="9">
        <v>1966</v>
      </c>
      <c r="T514" s="9"/>
      <c r="U514" s="9"/>
      <c r="V514" s="9"/>
      <c r="W514" s="9"/>
      <c r="X514" s="9"/>
      <c r="Y514" s="9"/>
      <c r="Z514" s="9"/>
      <c r="AA514" s="9"/>
      <c r="AB514" s="9"/>
      <c r="AC514" s="9"/>
      <c r="AD514" s="9" t="s">
        <v>20</v>
      </c>
    </row>
    <row r="515" spans="1:30" ht="29">
      <c r="A515" s="3" t="s">
        <v>3039</v>
      </c>
      <c r="B515" s="3" t="s">
        <v>8396</v>
      </c>
      <c r="C515" s="3" t="s">
        <v>8397</v>
      </c>
      <c r="G515" s="9" t="s">
        <v>12120</v>
      </c>
      <c r="H515" s="9"/>
      <c r="I515" s="9"/>
      <c r="J515" s="9"/>
      <c r="K515" s="9"/>
      <c r="L515" s="9"/>
      <c r="M515" s="9"/>
      <c r="N515" s="10"/>
      <c r="O515" s="9"/>
      <c r="P515" s="9"/>
      <c r="Q515" s="9"/>
      <c r="R515" s="9" t="s">
        <v>12795</v>
      </c>
      <c r="S515" s="9" t="s">
        <v>12795</v>
      </c>
      <c r="T515" s="9"/>
      <c r="U515" s="9"/>
      <c r="V515" s="9"/>
      <c r="W515" s="9"/>
      <c r="X515" s="9"/>
      <c r="Y515" s="9"/>
      <c r="Z515" s="9"/>
      <c r="AA515" s="9"/>
      <c r="AB515" s="9"/>
      <c r="AC515" s="9"/>
      <c r="AD515" s="9" t="s">
        <v>20</v>
      </c>
    </row>
    <row r="516" spans="1:30" ht="29">
      <c r="A516" s="3" t="s">
        <v>3045</v>
      </c>
      <c r="B516" s="3" t="s">
        <v>8404</v>
      </c>
      <c r="C516" s="3" t="s">
        <v>8403</v>
      </c>
      <c r="G516" s="9" t="s">
        <v>25</v>
      </c>
      <c r="H516" s="9"/>
      <c r="I516" s="9">
        <v>1</v>
      </c>
      <c r="J516" s="9">
        <v>3</v>
      </c>
      <c r="K516" s="9" t="s">
        <v>12123</v>
      </c>
      <c r="L516" s="9" t="s">
        <v>12079</v>
      </c>
      <c r="M516" s="9"/>
      <c r="N516" s="10"/>
      <c r="O516" s="9"/>
      <c r="P516" s="9">
        <v>92</v>
      </c>
      <c r="Q516" s="9"/>
      <c r="R516" s="9" t="s">
        <v>12795</v>
      </c>
      <c r="S516" s="9" t="s">
        <v>12795</v>
      </c>
      <c r="T516" s="9"/>
      <c r="U516" s="9"/>
      <c r="V516" s="9"/>
      <c r="W516" s="9"/>
      <c r="X516" s="9"/>
      <c r="Y516" s="9"/>
      <c r="Z516" s="9"/>
      <c r="AA516" s="9"/>
      <c r="AB516" s="9"/>
      <c r="AC516" s="9"/>
      <c r="AD516" s="9" t="s">
        <v>20</v>
      </c>
    </row>
    <row r="517" spans="1:30" ht="43.5">
      <c r="A517" s="3" t="s">
        <v>3046</v>
      </c>
      <c r="B517" s="3" t="s">
        <v>5309</v>
      </c>
      <c r="C517" s="3" t="s">
        <v>5310</v>
      </c>
      <c r="G517" s="9" t="s">
        <v>25</v>
      </c>
      <c r="H517" s="9"/>
      <c r="I517" s="9">
        <v>1</v>
      </c>
      <c r="J517" s="9">
        <v>2</v>
      </c>
      <c r="K517" s="9" t="s">
        <v>12087</v>
      </c>
      <c r="L517" s="9" t="s">
        <v>12119</v>
      </c>
      <c r="M517" s="9"/>
      <c r="N517" s="10"/>
      <c r="O517" s="9"/>
      <c r="P517" s="9">
        <v>1966</v>
      </c>
      <c r="Q517" s="9"/>
      <c r="R517" s="9" t="s">
        <v>12795</v>
      </c>
      <c r="S517" s="9" t="s">
        <v>12795</v>
      </c>
      <c r="T517" s="9"/>
      <c r="U517" s="9"/>
      <c r="V517" s="9"/>
      <c r="W517" s="9"/>
      <c r="X517" s="9"/>
      <c r="Y517" s="9"/>
      <c r="Z517" s="9"/>
      <c r="AA517" s="9"/>
      <c r="AB517" s="9"/>
      <c r="AC517" s="9"/>
      <c r="AD517" s="9" t="s">
        <v>20</v>
      </c>
    </row>
    <row r="518" spans="1:30" ht="43.5">
      <c r="A518" s="3" t="s">
        <v>3046</v>
      </c>
      <c r="B518" s="11" t="s">
        <v>8409</v>
      </c>
      <c r="C518" s="3" t="s">
        <v>8408</v>
      </c>
      <c r="G518" s="9" t="s">
        <v>25</v>
      </c>
      <c r="H518" s="9"/>
      <c r="I518" s="9">
        <v>1</v>
      </c>
      <c r="J518" s="9">
        <v>2</v>
      </c>
      <c r="K518" s="9" t="s">
        <v>12078</v>
      </c>
      <c r="L518" s="9" t="s">
        <v>12119</v>
      </c>
      <c r="M518" s="9"/>
      <c r="N518" s="10"/>
      <c r="O518" s="9"/>
      <c r="P518" s="9">
        <v>11843</v>
      </c>
      <c r="Q518" s="9"/>
      <c r="R518" s="9" t="s">
        <v>12795</v>
      </c>
      <c r="S518" s="9" t="s">
        <v>12795</v>
      </c>
      <c r="T518" s="9"/>
      <c r="U518" s="9"/>
      <c r="V518" s="9"/>
      <c r="W518" s="9"/>
      <c r="X518" s="9"/>
      <c r="Y518" s="9"/>
      <c r="Z518" s="9"/>
      <c r="AA518" s="9"/>
      <c r="AB518" s="9"/>
      <c r="AC518" s="9"/>
      <c r="AD518" s="9" t="s">
        <v>20</v>
      </c>
    </row>
    <row r="519" spans="1:30" ht="29">
      <c r="A519" s="3" t="s">
        <v>3054</v>
      </c>
      <c r="B519" s="3" t="s">
        <v>8413</v>
      </c>
      <c r="C519" s="3" t="s">
        <v>8412</v>
      </c>
      <c r="G519" s="9" t="s">
        <v>12121</v>
      </c>
      <c r="H519" s="9"/>
      <c r="I519" s="9"/>
      <c r="J519" s="9"/>
      <c r="K519" s="9"/>
      <c r="L519" s="9"/>
      <c r="M519" s="9"/>
      <c r="N519" s="10"/>
      <c r="O519" s="9"/>
      <c r="P519" s="9"/>
      <c r="Q519" s="9">
        <v>-1</v>
      </c>
      <c r="R519" s="9">
        <v>1</v>
      </c>
      <c r="S519" s="9">
        <v>0</v>
      </c>
      <c r="T519" s="9"/>
      <c r="U519" s="9"/>
      <c r="V519" s="9"/>
      <c r="W519" s="9"/>
      <c r="X519" s="9"/>
      <c r="Y519" s="9"/>
      <c r="Z519" s="9"/>
      <c r="AA519" s="9"/>
      <c r="AB519" s="9"/>
      <c r="AC519" s="9"/>
      <c r="AD519" s="9" t="s">
        <v>20</v>
      </c>
    </row>
    <row r="520" spans="1:30" ht="72.5">
      <c r="A520" s="3" t="s">
        <v>3055</v>
      </c>
      <c r="B520" s="3" t="s">
        <v>8414</v>
      </c>
      <c r="C520" s="3" t="s">
        <v>12441</v>
      </c>
      <c r="G520" s="9" t="s">
        <v>12120</v>
      </c>
      <c r="H520" s="9"/>
      <c r="I520" s="9"/>
      <c r="J520" s="9"/>
      <c r="K520" s="9"/>
      <c r="L520" s="9"/>
      <c r="M520" s="9"/>
      <c r="N520" s="10"/>
      <c r="O520" s="9"/>
      <c r="P520" s="9"/>
      <c r="Q520" s="9"/>
      <c r="R520" s="9" t="s">
        <v>12795</v>
      </c>
      <c r="S520" s="9" t="s">
        <v>12795</v>
      </c>
      <c r="T520" s="9"/>
      <c r="U520" s="9"/>
      <c r="V520" s="9"/>
      <c r="W520" s="9"/>
      <c r="X520" s="9"/>
      <c r="Y520" s="9"/>
      <c r="Z520" s="9"/>
      <c r="AA520" s="9"/>
      <c r="AB520" s="9"/>
      <c r="AC520" s="9"/>
      <c r="AD520" s="9" t="s">
        <v>20</v>
      </c>
    </row>
    <row r="521" spans="1:30" ht="101.5">
      <c r="A521" s="3" t="s">
        <v>3069</v>
      </c>
      <c r="B521" s="3" t="s">
        <v>8427</v>
      </c>
      <c r="C521" s="3" t="s">
        <v>8428</v>
      </c>
      <c r="G521" s="9" t="s">
        <v>25</v>
      </c>
      <c r="H521" s="9"/>
      <c r="I521" s="9">
        <v>1</v>
      </c>
      <c r="J521" s="9">
        <v>3</v>
      </c>
      <c r="K521" s="9" t="s">
        <v>12072</v>
      </c>
      <c r="L521" s="9" t="s">
        <v>12079</v>
      </c>
      <c r="M521" s="9"/>
      <c r="N521" s="10"/>
      <c r="O521" s="9"/>
      <c r="P521" s="9">
        <v>214</v>
      </c>
      <c r="Q521" s="9"/>
      <c r="R521" s="9" t="s">
        <v>12795</v>
      </c>
      <c r="S521" s="9" t="s">
        <v>12795</v>
      </c>
      <c r="T521" s="9"/>
      <c r="U521" s="9"/>
      <c r="V521" s="9"/>
      <c r="W521" s="9"/>
      <c r="X521" s="9"/>
      <c r="Y521" s="9"/>
      <c r="Z521" s="9"/>
      <c r="AA521" s="9"/>
      <c r="AB521" s="9"/>
      <c r="AC521" s="9"/>
      <c r="AD521" s="9" t="s">
        <v>20</v>
      </c>
    </row>
    <row r="522" spans="1:30" ht="29">
      <c r="A522" s="3" t="s">
        <v>3069</v>
      </c>
      <c r="B522" s="3" t="s">
        <v>3070</v>
      </c>
      <c r="C522" s="3" t="s">
        <v>3071</v>
      </c>
      <c r="G522" s="9" t="s">
        <v>12120</v>
      </c>
      <c r="H522" s="9"/>
      <c r="I522" s="9"/>
      <c r="J522" s="9"/>
      <c r="K522" s="9"/>
      <c r="L522" s="9"/>
      <c r="M522" s="9"/>
      <c r="N522" s="10"/>
      <c r="O522" s="9"/>
      <c r="P522" s="9"/>
      <c r="Q522" s="9"/>
      <c r="R522" s="9" t="s">
        <v>12795</v>
      </c>
      <c r="S522" s="9" t="s">
        <v>12795</v>
      </c>
      <c r="T522" s="9"/>
      <c r="U522" s="9"/>
      <c r="V522" s="9"/>
      <c r="W522" s="9"/>
      <c r="X522" s="9"/>
      <c r="Y522" s="9"/>
      <c r="Z522" s="9"/>
      <c r="AA522" s="9"/>
      <c r="AB522" s="9"/>
      <c r="AC522" s="9"/>
      <c r="AD522" s="9" t="s">
        <v>20</v>
      </c>
    </row>
    <row r="523" spans="1:30" ht="43.5">
      <c r="A523" s="3" t="s">
        <v>3073</v>
      </c>
      <c r="B523" s="3" t="s">
        <v>8438</v>
      </c>
      <c r="C523" s="3" t="s">
        <v>8437</v>
      </c>
      <c r="G523" s="9" t="s">
        <v>25</v>
      </c>
      <c r="H523" s="9"/>
      <c r="I523" s="9">
        <v>1</v>
      </c>
      <c r="J523" s="9">
        <v>6</v>
      </c>
      <c r="K523" s="9" t="s">
        <v>12094</v>
      </c>
      <c r="L523" s="9" t="s">
        <v>12079</v>
      </c>
      <c r="M523" s="9"/>
      <c r="N523" s="10"/>
      <c r="O523" s="9"/>
      <c r="P523" s="9">
        <v>4240</v>
      </c>
      <c r="Q523" s="9"/>
      <c r="R523" s="9" t="s">
        <v>12795</v>
      </c>
      <c r="S523" s="9" t="s">
        <v>12795</v>
      </c>
      <c r="T523" s="9"/>
      <c r="U523" s="9"/>
      <c r="V523" s="9"/>
      <c r="W523" s="9"/>
      <c r="X523" s="9"/>
      <c r="Y523" s="9"/>
      <c r="Z523" s="9"/>
      <c r="AA523" s="9"/>
      <c r="AB523" s="9"/>
      <c r="AC523" s="9"/>
      <c r="AD523" s="9" t="s">
        <v>20</v>
      </c>
    </row>
    <row r="524" spans="1:30" ht="58">
      <c r="A524" s="3" t="s">
        <v>3080</v>
      </c>
      <c r="B524" s="3" t="s">
        <v>8449</v>
      </c>
      <c r="C524" s="3" t="s">
        <v>8448</v>
      </c>
      <c r="G524" s="9" t="s">
        <v>24</v>
      </c>
      <c r="H524" s="9"/>
      <c r="I524" s="9">
        <v>2</v>
      </c>
      <c r="J524" s="9">
        <v>10</v>
      </c>
      <c r="K524" s="9"/>
      <c r="L524" s="9" t="s">
        <v>12079</v>
      </c>
      <c r="M524" s="9"/>
      <c r="N524" s="10"/>
      <c r="O524" s="9"/>
      <c r="P524" s="9">
        <v>508</v>
      </c>
      <c r="Q524" s="9"/>
      <c r="R524" s="9" t="s">
        <v>12795</v>
      </c>
      <c r="S524" s="9" t="s">
        <v>12795</v>
      </c>
      <c r="T524" s="9"/>
      <c r="U524" s="9"/>
      <c r="V524" s="9"/>
      <c r="W524" s="9"/>
      <c r="X524" s="9"/>
      <c r="Y524" s="9"/>
      <c r="Z524" s="9"/>
      <c r="AA524" s="9"/>
      <c r="AB524" s="9"/>
      <c r="AC524" s="9"/>
      <c r="AD524" s="9" t="s">
        <v>13141</v>
      </c>
    </row>
    <row r="525" spans="1:30" ht="43.5">
      <c r="A525" s="3" t="s">
        <v>3081</v>
      </c>
      <c r="B525" s="3" t="s">
        <v>8452</v>
      </c>
      <c r="C525" s="3" t="s">
        <v>8451</v>
      </c>
      <c r="G525" s="9" t="s">
        <v>12120</v>
      </c>
      <c r="H525" s="9"/>
      <c r="I525" s="9"/>
      <c r="J525" s="9"/>
      <c r="K525" s="9"/>
      <c r="L525" s="9"/>
      <c r="M525" s="9"/>
      <c r="N525" s="10"/>
      <c r="O525" s="9"/>
      <c r="P525" s="9"/>
      <c r="Q525" s="9"/>
      <c r="R525" s="9" t="s">
        <v>12795</v>
      </c>
      <c r="S525" s="9" t="s">
        <v>12795</v>
      </c>
      <c r="T525" s="9"/>
      <c r="U525" s="9"/>
      <c r="V525" s="9"/>
      <c r="W525" s="9"/>
      <c r="X525" s="9"/>
      <c r="Y525" s="9"/>
      <c r="Z525" s="9"/>
      <c r="AA525" s="9"/>
      <c r="AB525" s="9"/>
      <c r="AC525" s="9"/>
      <c r="AD525" s="9" t="s">
        <v>20</v>
      </c>
    </row>
    <row r="526" spans="1:30" ht="29">
      <c r="A526" s="3" t="s">
        <v>3084</v>
      </c>
      <c r="B526" s="3" t="s">
        <v>3085</v>
      </c>
      <c r="C526" s="3" t="s">
        <v>3086</v>
      </c>
      <c r="F526" t="s">
        <v>22</v>
      </c>
      <c r="G526" s="9" t="s">
        <v>12120</v>
      </c>
      <c r="H526" s="9"/>
      <c r="I526" s="9"/>
      <c r="J526" s="9"/>
      <c r="K526" s="9"/>
      <c r="L526" s="9"/>
      <c r="M526" s="9"/>
      <c r="N526" s="10"/>
      <c r="O526" s="9"/>
      <c r="P526" s="9"/>
      <c r="Q526" s="9"/>
      <c r="R526" s="9" t="s">
        <v>12795</v>
      </c>
      <c r="S526" s="9" t="s">
        <v>12795</v>
      </c>
      <c r="T526" s="9"/>
      <c r="U526" s="9"/>
      <c r="V526" s="9"/>
      <c r="W526" s="9"/>
      <c r="X526" s="9"/>
      <c r="Y526" s="9"/>
      <c r="Z526" s="9"/>
      <c r="AA526" s="9"/>
      <c r="AB526" s="9"/>
      <c r="AC526" s="9"/>
      <c r="AD526" s="9" t="s">
        <v>20</v>
      </c>
    </row>
    <row r="527" spans="1:30" ht="43.5">
      <c r="A527" s="3" t="s">
        <v>3097</v>
      </c>
      <c r="B527" s="3" t="s">
        <v>8462</v>
      </c>
      <c r="C527" s="3" t="s">
        <v>8463</v>
      </c>
      <c r="G527" s="9" t="s">
        <v>25</v>
      </c>
      <c r="H527" s="9"/>
      <c r="I527" s="9">
        <v>1</v>
      </c>
      <c r="J527" s="9">
        <v>3</v>
      </c>
      <c r="K527" s="9" t="s">
        <v>12078</v>
      </c>
      <c r="L527" s="9" t="s">
        <v>12073</v>
      </c>
      <c r="M527" s="9" t="s">
        <v>12149</v>
      </c>
      <c r="N527" s="10" t="s">
        <v>12143</v>
      </c>
      <c r="O527" s="9"/>
      <c r="P527" s="9">
        <v>11843</v>
      </c>
      <c r="Q527" s="9"/>
      <c r="R527" s="9" t="s">
        <v>12795</v>
      </c>
      <c r="S527" s="9" t="s">
        <v>12795</v>
      </c>
      <c r="T527" s="9"/>
      <c r="U527" s="9"/>
      <c r="V527" s="9"/>
      <c r="W527" s="9"/>
      <c r="X527" s="9"/>
      <c r="Y527" s="9"/>
      <c r="Z527" s="9"/>
      <c r="AA527" s="9"/>
      <c r="AB527" s="9"/>
      <c r="AC527" s="9"/>
      <c r="AD527" s="9" t="s">
        <v>20</v>
      </c>
    </row>
    <row r="528" spans="1:30" ht="29">
      <c r="A528" s="3" t="s">
        <v>3097</v>
      </c>
      <c r="B528" s="3" t="s">
        <v>8464</v>
      </c>
      <c r="C528" s="3" t="s">
        <v>8465</v>
      </c>
      <c r="G528" s="9" t="s">
        <v>25</v>
      </c>
      <c r="H528" s="9"/>
      <c r="I528" s="9">
        <v>1</v>
      </c>
      <c r="J528" s="9">
        <v>5</v>
      </c>
      <c r="K528" s="9" t="s">
        <v>12094</v>
      </c>
      <c r="L528" s="9" t="s">
        <v>12073</v>
      </c>
      <c r="M528" s="9" t="s">
        <v>12149</v>
      </c>
      <c r="N528" s="10" t="s">
        <v>12160</v>
      </c>
      <c r="O528" s="9"/>
      <c r="P528" s="9">
        <v>4240</v>
      </c>
      <c r="Q528" s="9"/>
      <c r="R528" s="9" t="s">
        <v>12795</v>
      </c>
      <c r="S528" s="9" t="s">
        <v>12795</v>
      </c>
      <c r="T528" s="9"/>
      <c r="U528" s="9"/>
      <c r="V528" s="9"/>
      <c r="W528" s="9"/>
      <c r="X528" s="9"/>
      <c r="Y528" s="9"/>
      <c r="Z528" s="9"/>
      <c r="AA528" s="9"/>
      <c r="AB528" s="9"/>
      <c r="AC528" s="9"/>
      <c r="AD528" s="9" t="s">
        <v>20</v>
      </c>
    </row>
    <row r="529" spans="1:30" ht="29">
      <c r="A529" s="3" t="s">
        <v>3100</v>
      </c>
      <c r="B529" s="3" t="s">
        <v>8476</v>
      </c>
      <c r="C529" s="3" t="s">
        <v>8477</v>
      </c>
      <c r="G529" s="9" t="s">
        <v>24</v>
      </c>
      <c r="H529" s="9"/>
      <c r="I529" s="9">
        <v>1</v>
      </c>
      <c r="J529" s="9">
        <v>3</v>
      </c>
      <c r="K529" s="9" t="s">
        <v>12123</v>
      </c>
      <c r="L529" s="9" t="s">
        <v>12073</v>
      </c>
      <c r="M529" s="9" t="s">
        <v>12142</v>
      </c>
      <c r="N529" s="10" t="s">
        <v>12143</v>
      </c>
      <c r="O529" s="9" t="s">
        <v>12074</v>
      </c>
      <c r="P529" s="9">
        <v>887</v>
      </c>
      <c r="Q529" s="9"/>
      <c r="R529" s="9" t="s">
        <v>12795</v>
      </c>
      <c r="S529" s="9" t="s">
        <v>12795</v>
      </c>
      <c r="T529" s="9"/>
      <c r="U529" s="9"/>
      <c r="V529" s="9"/>
      <c r="W529" s="9"/>
      <c r="X529" s="9"/>
      <c r="Y529" s="9"/>
      <c r="Z529" s="9"/>
      <c r="AA529" s="9"/>
      <c r="AB529" s="9"/>
      <c r="AC529" s="9"/>
      <c r="AD529" s="9" t="s">
        <v>20</v>
      </c>
    </row>
    <row r="530" spans="1:30" ht="43.5">
      <c r="A530" s="3" t="s">
        <v>3100</v>
      </c>
      <c r="B530" s="3" t="s">
        <v>8478</v>
      </c>
      <c r="C530" s="3" t="s">
        <v>8479</v>
      </c>
      <c r="G530" s="9" t="s">
        <v>12120</v>
      </c>
      <c r="H530" s="9"/>
      <c r="I530" s="9"/>
      <c r="J530" s="9"/>
      <c r="K530" s="9"/>
      <c r="L530" s="9"/>
      <c r="M530" s="9"/>
      <c r="N530" s="10"/>
      <c r="O530" s="9"/>
      <c r="P530" s="9"/>
      <c r="Q530" s="9"/>
      <c r="R530" s="9" t="s">
        <v>12795</v>
      </c>
      <c r="S530" s="9" t="s">
        <v>12795</v>
      </c>
      <c r="T530" s="9"/>
      <c r="U530" s="9"/>
      <c r="V530" s="9"/>
      <c r="W530" s="9"/>
      <c r="X530" s="9"/>
      <c r="Y530" s="9"/>
      <c r="Z530" s="9"/>
      <c r="AA530" s="9"/>
      <c r="AB530" s="9"/>
      <c r="AC530" s="9"/>
      <c r="AD530" s="9" t="s">
        <v>20</v>
      </c>
    </row>
    <row r="531" spans="1:30" ht="43.5">
      <c r="A531" s="3" t="s">
        <v>3106</v>
      </c>
      <c r="B531" s="3" t="s">
        <v>8497</v>
      </c>
      <c r="C531" s="3" t="s">
        <v>8496</v>
      </c>
      <c r="G531" s="9" t="s">
        <v>12118</v>
      </c>
      <c r="H531" s="9"/>
      <c r="I531" s="9"/>
      <c r="J531" s="9"/>
      <c r="K531" s="9"/>
      <c r="L531" s="9"/>
      <c r="M531" s="9"/>
      <c r="N531" s="10"/>
      <c r="O531" s="9"/>
      <c r="P531" s="9"/>
      <c r="Q531" s="9">
        <v>731</v>
      </c>
      <c r="R531" s="9">
        <v>156</v>
      </c>
      <c r="S531" s="9">
        <v>887</v>
      </c>
      <c r="T531" s="9"/>
      <c r="U531" s="9"/>
      <c r="V531" s="9"/>
      <c r="W531" s="9"/>
      <c r="X531" s="9"/>
      <c r="Y531" s="9"/>
      <c r="Z531" s="9"/>
      <c r="AA531" s="9"/>
      <c r="AB531" s="9"/>
      <c r="AC531" s="9"/>
      <c r="AD531" s="9" t="s">
        <v>20</v>
      </c>
    </row>
    <row r="532" spans="1:30" ht="87">
      <c r="A532" s="3" t="s">
        <v>3112</v>
      </c>
      <c r="B532" s="3" t="s">
        <v>8517</v>
      </c>
      <c r="C532" s="3" t="s">
        <v>8516</v>
      </c>
      <c r="G532" s="9" t="s">
        <v>25</v>
      </c>
      <c r="H532" s="9"/>
      <c r="I532" s="9">
        <v>3</v>
      </c>
      <c r="J532" s="9">
        <v>16</v>
      </c>
      <c r="K532" s="9"/>
      <c r="L532" s="9" t="s">
        <v>12073</v>
      </c>
      <c r="M532" s="9" t="s">
        <v>12140</v>
      </c>
      <c r="N532" s="10" t="s">
        <v>12137</v>
      </c>
      <c r="O532" s="9"/>
      <c r="P532" s="9">
        <v>591</v>
      </c>
      <c r="Q532" s="9"/>
      <c r="R532" s="9" t="s">
        <v>12795</v>
      </c>
      <c r="S532" s="9" t="s">
        <v>12795</v>
      </c>
      <c r="T532" s="9"/>
      <c r="U532" s="9"/>
      <c r="V532" s="9"/>
      <c r="W532" s="9"/>
      <c r="X532" s="9"/>
      <c r="Y532" s="9"/>
      <c r="Z532" s="9"/>
      <c r="AA532" s="9"/>
      <c r="AB532" s="9"/>
      <c r="AC532" s="9"/>
      <c r="AD532" s="9" t="s">
        <v>20</v>
      </c>
    </row>
    <row r="533" spans="1:30" ht="101.5">
      <c r="A533" s="3" t="s">
        <v>3116</v>
      </c>
      <c r="B533" s="3" t="s">
        <v>12444</v>
      </c>
      <c r="C533" s="3" t="s">
        <v>8524</v>
      </c>
      <c r="G533" s="9" t="s">
        <v>25</v>
      </c>
      <c r="H533" s="9"/>
      <c r="I533" s="9">
        <v>5</v>
      </c>
      <c r="J533" s="9">
        <v>16</v>
      </c>
      <c r="K533" s="9"/>
      <c r="L533" s="9" t="s">
        <v>12073</v>
      </c>
      <c r="M533" s="9" t="s">
        <v>12140</v>
      </c>
      <c r="N533" s="10" t="s">
        <v>12417</v>
      </c>
      <c r="O533" s="9"/>
      <c r="P533" s="9">
        <v>133</v>
      </c>
      <c r="Q533" s="9"/>
      <c r="R533" s="9" t="s">
        <v>12795</v>
      </c>
      <c r="S533" s="9" t="s">
        <v>12795</v>
      </c>
      <c r="T533" s="9"/>
      <c r="U533" s="9"/>
      <c r="V533" s="9"/>
      <c r="W533" s="9"/>
      <c r="X533" s="9"/>
      <c r="Y533" s="9"/>
      <c r="Z533" s="9"/>
      <c r="AA533" s="9"/>
      <c r="AB533" s="9"/>
      <c r="AC533" s="9"/>
      <c r="AD533" s="9" t="s">
        <v>20</v>
      </c>
    </row>
    <row r="534" spans="1:30" ht="29">
      <c r="A534" s="3" t="s">
        <v>3117</v>
      </c>
      <c r="B534" s="3" t="s">
        <v>8527</v>
      </c>
      <c r="C534" s="3" t="s">
        <v>8526</v>
      </c>
      <c r="G534" s="9" t="s">
        <v>24</v>
      </c>
      <c r="H534" s="9"/>
      <c r="I534" s="9">
        <v>1</v>
      </c>
      <c r="J534" s="9">
        <v>2</v>
      </c>
      <c r="K534" s="9" t="s">
        <v>12087</v>
      </c>
      <c r="L534" s="9" t="s">
        <v>12119</v>
      </c>
      <c r="M534" s="9"/>
      <c r="N534" s="10"/>
      <c r="O534" s="9"/>
      <c r="P534" s="9">
        <v>1966</v>
      </c>
      <c r="Q534" s="9"/>
      <c r="R534" s="9" t="s">
        <v>12795</v>
      </c>
      <c r="S534" s="9" t="s">
        <v>12795</v>
      </c>
      <c r="T534" s="9"/>
      <c r="U534" s="9"/>
      <c r="V534" s="9"/>
      <c r="W534" s="9"/>
      <c r="X534" s="9"/>
      <c r="Y534" s="9"/>
      <c r="Z534" s="9"/>
      <c r="AA534" s="9"/>
      <c r="AB534" s="9"/>
      <c r="AC534" s="9"/>
      <c r="AD534" s="9" t="s">
        <v>20</v>
      </c>
    </row>
    <row r="535" spans="1:30" ht="43.5">
      <c r="A535" s="3" t="s">
        <v>3134</v>
      </c>
      <c r="B535" s="3" t="s">
        <v>8558</v>
      </c>
      <c r="C535" s="3" t="s">
        <v>8559</v>
      </c>
      <c r="G535" s="9" t="s">
        <v>26</v>
      </c>
      <c r="H535" s="9"/>
      <c r="I535" s="9"/>
      <c r="J535" s="9"/>
      <c r="K535" s="9"/>
      <c r="L535" s="9"/>
      <c r="M535" s="9"/>
      <c r="N535" s="10"/>
      <c r="O535" s="9"/>
      <c r="P535" s="9"/>
      <c r="Q535" s="9"/>
      <c r="R535" s="9" t="s">
        <v>12795</v>
      </c>
      <c r="S535" s="9" t="s">
        <v>12795</v>
      </c>
      <c r="T535" s="9" t="s">
        <v>12117</v>
      </c>
      <c r="U535" s="9"/>
      <c r="V535" s="9"/>
      <c r="W535" s="9"/>
      <c r="X535" s="9"/>
      <c r="Y535" s="9"/>
      <c r="Z535" s="9"/>
      <c r="AA535" s="9"/>
      <c r="AB535" s="9"/>
      <c r="AC535" s="9"/>
      <c r="AD535" s="9" t="s">
        <v>20</v>
      </c>
    </row>
    <row r="536" spans="1:30" ht="72.5">
      <c r="A536" s="3" t="s">
        <v>3144</v>
      </c>
      <c r="B536" s="3" t="s">
        <v>8572</v>
      </c>
      <c r="C536" s="3" t="s">
        <v>8571</v>
      </c>
      <c r="G536" s="9" t="s">
        <v>26</v>
      </c>
      <c r="H536" s="9"/>
      <c r="I536" s="9"/>
      <c r="J536" s="9"/>
      <c r="K536" s="9"/>
      <c r="L536" s="9"/>
      <c r="M536" s="9"/>
      <c r="N536" s="10"/>
      <c r="O536" s="9"/>
      <c r="P536" s="9"/>
      <c r="Q536" s="9"/>
      <c r="R536" s="9" t="s">
        <v>12795</v>
      </c>
      <c r="S536" s="9" t="s">
        <v>12795</v>
      </c>
      <c r="T536" s="9"/>
      <c r="U536" s="9"/>
      <c r="V536" s="9"/>
      <c r="W536" s="9"/>
      <c r="X536" s="9"/>
      <c r="Y536" s="9"/>
      <c r="Z536" s="9"/>
      <c r="AA536" s="9"/>
      <c r="AB536" s="9"/>
      <c r="AC536" s="9"/>
      <c r="AD536" s="9" t="s">
        <v>20</v>
      </c>
    </row>
    <row r="537" spans="1:30" ht="58">
      <c r="A537" s="3" t="s">
        <v>3146</v>
      </c>
      <c r="B537" s="3" t="s">
        <v>8576</v>
      </c>
      <c r="C537" s="3" t="s">
        <v>8575</v>
      </c>
      <c r="G537" s="9" t="s">
        <v>25</v>
      </c>
      <c r="H537" s="9"/>
      <c r="I537" s="9">
        <v>2</v>
      </c>
      <c r="J537" s="9">
        <v>5</v>
      </c>
      <c r="K537" s="9"/>
      <c r="L537" s="9" t="s">
        <v>12073</v>
      </c>
      <c r="M537" s="9" t="s">
        <v>12142</v>
      </c>
      <c r="N537" s="10" t="s">
        <v>12160</v>
      </c>
      <c r="O537" s="9"/>
      <c r="P537" s="9">
        <v>301</v>
      </c>
      <c r="Q537" s="9"/>
      <c r="R537" s="9" t="s">
        <v>12795</v>
      </c>
      <c r="S537" s="9" t="s">
        <v>12795</v>
      </c>
      <c r="T537" s="9"/>
      <c r="U537" s="9"/>
      <c r="V537" s="9"/>
      <c r="W537" s="9"/>
      <c r="X537" s="9"/>
      <c r="Y537" s="9"/>
      <c r="Z537" s="9"/>
      <c r="AA537" s="9"/>
      <c r="AB537" s="9"/>
      <c r="AC537" s="9"/>
      <c r="AD537" s="9" t="s">
        <v>20</v>
      </c>
    </row>
    <row r="538" spans="1:30" ht="101.5">
      <c r="A538" s="3" t="s">
        <v>3150</v>
      </c>
      <c r="B538" s="3" t="s">
        <v>8579</v>
      </c>
      <c r="C538" s="3" t="s">
        <v>8580</v>
      </c>
      <c r="G538" s="9" t="s">
        <v>26</v>
      </c>
      <c r="H538" s="9"/>
      <c r="I538" s="9"/>
      <c r="J538" s="9"/>
      <c r="K538" s="9"/>
      <c r="L538" s="9"/>
      <c r="M538" s="9"/>
      <c r="N538" s="10"/>
      <c r="O538" s="9"/>
      <c r="P538" s="9"/>
      <c r="Q538" s="9"/>
      <c r="R538" s="9" t="s">
        <v>12795</v>
      </c>
      <c r="S538" s="9" t="s">
        <v>12795</v>
      </c>
      <c r="T538" s="9"/>
      <c r="U538" s="9"/>
      <c r="V538" s="9"/>
      <c r="W538" s="9"/>
      <c r="X538" s="9"/>
      <c r="Y538" s="9"/>
      <c r="Z538" s="9"/>
      <c r="AA538" s="9"/>
      <c r="AB538" s="9"/>
      <c r="AC538" s="9"/>
      <c r="AD538" s="9" t="s">
        <v>20</v>
      </c>
    </row>
    <row r="539" spans="1:30" ht="43.5">
      <c r="A539" s="3" t="s">
        <v>3151</v>
      </c>
      <c r="B539" s="3" t="s">
        <v>8589</v>
      </c>
      <c r="C539" s="3" t="s">
        <v>8590</v>
      </c>
      <c r="G539" s="9" t="s">
        <v>12120</v>
      </c>
      <c r="H539" s="9"/>
      <c r="I539" s="9"/>
      <c r="J539" s="9"/>
      <c r="K539" s="9"/>
      <c r="L539" s="9"/>
      <c r="M539" s="9"/>
      <c r="N539" s="10"/>
      <c r="O539" s="9"/>
      <c r="P539" s="9"/>
      <c r="Q539" s="9"/>
      <c r="R539" s="9" t="s">
        <v>12795</v>
      </c>
      <c r="S539" s="9" t="s">
        <v>12795</v>
      </c>
      <c r="T539" s="9"/>
      <c r="U539" s="9"/>
      <c r="V539" s="9"/>
      <c r="W539" s="9"/>
      <c r="X539" s="9"/>
      <c r="Y539" s="9"/>
      <c r="Z539" s="9"/>
      <c r="AA539" s="9"/>
      <c r="AB539" s="9"/>
      <c r="AC539" s="9"/>
      <c r="AD539" s="9" t="s">
        <v>20</v>
      </c>
    </row>
    <row r="540" spans="1:30" ht="319">
      <c r="A540" s="3" t="s">
        <v>3172</v>
      </c>
      <c r="B540" s="3" t="s">
        <v>12449</v>
      </c>
      <c r="C540" s="3" t="s">
        <v>12448</v>
      </c>
      <c r="G540" s="9" t="s">
        <v>25</v>
      </c>
      <c r="H540" s="9"/>
      <c r="I540" s="9">
        <v>15</v>
      </c>
      <c r="J540" s="9">
        <v>70</v>
      </c>
      <c r="K540" s="9"/>
      <c r="L540" s="9" t="s">
        <v>12073</v>
      </c>
      <c r="M540" s="9" t="s">
        <v>12140</v>
      </c>
      <c r="N540" s="10" t="s">
        <v>12450</v>
      </c>
      <c r="O540" s="9"/>
      <c r="P540" s="9">
        <v>11</v>
      </c>
      <c r="Q540" s="9"/>
      <c r="R540" s="9" t="s">
        <v>12795</v>
      </c>
      <c r="S540" s="9" t="s">
        <v>12795</v>
      </c>
      <c r="T540" s="9"/>
      <c r="U540" s="9"/>
      <c r="V540" s="9"/>
      <c r="W540" s="9"/>
      <c r="X540" s="9"/>
      <c r="Y540" s="9"/>
      <c r="Z540" s="9"/>
      <c r="AA540" s="9"/>
      <c r="AB540" s="9"/>
      <c r="AC540" s="9"/>
      <c r="AD540" s="9" t="s">
        <v>20</v>
      </c>
    </row>
    <row r="541" spans="1:30" ht="58">
      <c r="A541" s="3" t="s">
        <v>3183</v>
      </c>
      <c r="B541" s="3" t="s">
        <v>8639</v>
      </c>
      <c r="C541" s="3" t="s">
        <v>8636</v>
      </c>
      <c r="G541" s="9" t="s">
        <v>25</v>
      </c>
      <c r="H541" s="9"/>
      <c r="I541" s="9">
        <v>1</v>
      </c>
      <c r="J541" s="9">
        <v>1</v>
      </c>
      <c r="K541" s="9" t="s">
        <v>12078</v>
      </c>
      <c r="L541" s="9" t="s">
        <v>12119</v>
      </c>
      <c r="M541" s="9"/>
      <c r="N541" s="10"/>
      <c r="O541" s="9"/>
      <c r="P541" s="9">
        <v>11843</v>
      </c>
      <c r="Q541" s="9"/>
      <c r="R541" s="9" t="s">
        <v>12795</v>
      </c>
      <c r="S541" s="9" t="s">
        <v>12795</v>
      </c>
      <c r="T541" s="9"/>
      <c r="U541" s="9"/>
      <c r="V541" s="9"/>
      <c r="W541" s="9"/>
      <c r="X541" s="9"/>
      <c r="Y541" s="9"/>
      <c r="Z541" s="9"/>
      <c r="AA541" s="9"/>
      <c r="AB541" s="9"/>
      <c r="AC541" s="9"/>
      <c r="AD541" s="9" t="s">
        <v>13141</v>
      </c>
    </row>
    <row r="542" spans="1:30" ht="101.5">
      <c r="A542" s="3" t="s">
        <v>3191</v>
      </c>
      <c r="B542" s="3" t="s">
        <v>8652</v>
      </c>
      <c r="C542" s="3" t="s">
        <v>8653</v>
      </c>
      <c r="G542" s="9" t="s">
        <v>26</v>
      </c>
      <c r="H542" s="9"/>
      <c r="I542" s="9"/>
      <c r="J542" s="9"/>
      <c r="K542" s="9"/>
      <c r="L542" s="9"/>
      <c r="M542" s="9"/>
      <c r="N542" s="10"/>
      <c r="O542" s="9"/>
      <c r="P542" s="9"/>
      <c r="Q542" s="9"/>
      <c r="R542" s="9" t="s">
        <v>12795</v>
      </c>
      <c r="S542" s="9" t="s">
        <v>12795</v>
      </c>
      <c r="T542" s="9"/>
      <c r="U542" s="9"/>
      <c r="V542" s="9"/>
      <c r="W542" s="9"/>
      <c r="X542" s="9"/>
      <c r="Y542" s="9"/>
      <c r="Z542" s="9"/>
      <c r="AA542" s="9"/>
      <c r="AB542" s="9"/>
      <c r="AC542" s="9"/>
      <c r="AD542" s="9" t="s">
        <v>20</v>
      </c>
    </row>
    <row r="543" spans="1:30" ht="43.5">
      <c r="A543" s="3" t="s">
        <v>3195</v>
      </c>
      <c r="B543" s="3" t="s">
        <v>8657</v>
      </c>
      <c r="C543" s="3" t="s">
        <v>8656</v>
      </c>
      <c r="G543" s="9" t="s">
        <v>25</v>
      </c>
      <c r="H543" s="9"/>
      <c r="I543" s="9">
        <v>1</v>
      </c>
      <c r="J543" s="9">
        <v>5</v>
      </c>
      <c r="K543" s="9" t="s">
        <v>12094</v>
      </c>
      <c r="L543" s="9" t="s">
        <v>12079</v>
      </c>
      <c r="M543" s="9"/>
      <c r="N543" s="10"/>
      <c r="O543" s="9"/>
      <c r="P543" s="9">
        <v>4240</v>
      </c>
      <c r="Q543" s="9"/>
      <c r="R543" s="9" t="s">
        <v>12795</v>
      </c>
      <c r="S543" s="9" t="s">
        <v>12795</v>
      </c>
      <c r="T543" s="9"/>
      <c r="U543" s="9"/>
      <c r="V543" s="9"/>
      <c r="W543" s="9"/>
      <c r="X543" s="9"/>
      <c r="Y543" s="9"/>
      <c r="Z543" s="9"/>
      <c r="AA543" s="9"/>
      <c r="AB543" s="9"/>
      <c r="AC543" s="9"/>
      <c r="AD543" s="9" t="s">
        <v>20</v>
      </c>
    </row>
    <row r="544" spans="1:30" ht="72.5">
      <c r="A544" s="3" t="s">
        <v>3195</v>
      </c>
      <c r="B544" s="3" t="s">
        <v>8662</v>
      </c>
      <c r="C544" s="3" t="s">
        <v>8663</v>
      </c>
      <c r="G544" s="9" t="s">
        <v>12118</v>
      </c>
      <c r="H544" s="9"/>
      <c r="I544" s="9"/>
      <c r="J544" s="9"/>
      <c r="K544" s="9"/>
      <c r="L544" s="9"/>
      <c r="M544" s="9"/>
      <c r="N544" s="10"/>
      <c r="O544" s="9"/>
      <c r="P544" s="9"/>
      <c r="Q544" s="9">
        <v>50</v>
      </c>
      <c r="R544" s="9">
        <v>37</v>
      </c>
      <c r="S544" s="9">
        <v>87</v>
      </c>
      <c r="T544" s="9"/>
      <c r="U544" s="9"/>
      <c r="V544" s="9"/>
      <c r="W544" s="9"/>
      <c r="X544" s="9"/>
      <c r="Y544" s="9"/>
      <c r="Z544" s="9"/>
      <c r="AA544" s="9"/>
      <c r="AB544" s="9"/>
      <c r="AC544" s="9"/>
      <c r="AD544" s="9" t="s">
        <v>20</v>
      </c>
    </row>
    <row r="545" spans="1:30" ht="58">
      <c r="A545" s="3" t="s">
        <v>3202</v>
      </c>
      <c r="B545" s="3" t="s">
        <v>8678</v>
      </c>
      <c r="C545" s="3" t="s">
        <v>8679</v>
      </c>
      <c r="G545" s="9" t="s">
        <v>12120</v>
      </c>
      <c r="H545" s="9"/>
      <c r="I545" s="9"/>
      <c r="J545" s="9"/>
      <c r="K545" s="9"/>
      <c r="L545" s="9"/>
      <c r="M545" s="9"/>
      <c r="N545" s="10"/>
      <c r="O545" s="9"/>
      <c r="P545" s="9"/>
      <c r="Q545" s="9"/>
      <c r="R545" s="9" t="s">
        <v>12795</v>
      </c>
      <c r="S545" s="9" t="s">
        <v>12795</v>
      </c>
      <c r="T545" s="9"/>
      <c r="U545" s="9"/>
      <c r="V545" s="9"/>
      <c r="W545" s="9"/>
      <c r="X545" s="9"/>
      <c r="Y545" s="9"/>
      <c r="Z545" s="9"/>
      <c r="AA545" s="9"/>
      <c r="AB545" s="9"/>
      <c r="AC545" s="9"/>
      <c r="AD545" s="9" t="s">
        <v>20</v>
      </c>
    </row>
    <row r="546" spans="1:30" ht="29">
      <c r="A546" s="3" t="s">
        <v>3215</v>
      </c>
      <c r="B546" s="3" t="s">
        <v>8693</v>
      </c>
      <c r="C546" s="3" t="s">
        <v>8694</v>
      </c>
      <c r="G546" s="9" t="s">
        <v>25</v>
      </c>
      <c r="H546" s="9"/>
      <c r="I546" s="9">
        <v>1</v>
      </c>
      <c r="J546" s="9">
        <v>3</v>
      </c>
      <c r="K546" s="9" t="s">
        <v>12087</v>
      </c>
      <c r="L546" s="9" t="s">
        <v>12079</v>
      </c>
      <c r="M546" s="9"/>
      <c r="N546" s="10"/>
      <c r="O546" s="9"/>
      <c r="P546" s="9">
        <v>810</v>
      </c>
      <c r="Q546" s="9"/>
      <c r="R546" s="9" t="s">
        <v>12795</v>
      </c>
      <c r="S546" s="9" t="s">
        <v>12795</v>
      </c>
      <c r="T546" s="9"/>
      <c r="U546" s="9"/>
      <c r="V546" s="9"/>
      <c r="W546" s="9"/>
      <c r="X546" s="9"/>
      <c r="Y546" s="9"/>
      <c r="Z546" s="9"/>
      <c r="AA546" s="9"/>
      <c r="AB546" s="9"/>
      <c r="AC546" s="9"/>
      <c r="AD546" s="9" t="s">
        <v>20</v>
      </c>
    </row>
    <row r="547" spans="1:30" ht="29">
      <c r="A547" s="3" t="s">
        <v>3217</v>
      </c>
      <c r="B547" s="3" t="s">
        <v>8699</v>
      </c>
      <c r="C547" s="3" t="s">
        <v>8700</v>
      </c>
      <c r="G547" s="9" t="s">
        <v>12118</v>
      </c>
      <c r="H547" s="9"/>
      <c r="I547" s="9"/>
      <c r="J547" s="9"/>
      <c r="K547" s="9"/>
      <c r="L547" s="9"/>
      <c r="M547" s="9"/>
      <c r="N547" s="10"/>
      <c r="O547" s="9"/>
      <c r="P547" s="9"/>
      <c r="Q547" s="9">
        <v>18</v>
      </c>
      <c r="R547" s="9">
        <v>19</v>
      </c>
      <c r="S547" s="9">
        <v>37</v>
      </c>
      <c r="T547" s="9"/>
      <c r="U547" s="9"/>
      <c r="V547" s="9"/>
      <c r="W547" s="9"/>
      <c r="X547" s="9"/>
      <c r="Y547" s="9"/>
      <c r="Z547" s="9"/>
      <c r="AA547" s="9"/>
      <c r="AB547" s="9"/>
      <c r="AC547" s="9"/>
      <c r="AD547" s="9" t="s">
        <v>20</v>
      </c>
    </row>
    <row r="548" spans="1:30" ht="87">
      <c r="A548" s="3" t="s">
        <v>3219</v>
      </c>
      <c r="B548" s="3" t="s">
        <v>8703</v>
      </c>
      <c r="C548" s="3" t="s">
        <v>8704</v>
      </c>
      <c r="G548" s="9" t="s">
        <v>24</v>
      </c>
      <c r="H548" s="9"/>
      <c r="I548" s="9">
        <v>2</v>
      </c>
      <c r="J548" s="9">
        <v>7</v>
      </c>
      <c r="K548" s="9"/>
      <c r="L548" s="9" t="s">
        <v>12073</v>
      </c>
      <c r="M548" s="9" t="s">
        <v>12142</v>
      </c>
      <c r="N548" s="10" t="s">
        <v>12156</v>
      </c>
      <c r="O548" s="9" t="s">
        <v>12074</v>
      </c>
      <c r="P548" s="9">
        <v>1496</v>
      </c>
      <c r="Q548" s="9"/>
      <c r="R548" s="9" t="s">
        <v>12795</v>
      </c>
      <c r="S548" s="9" t="s">
        <v>12795</v>
      </c>
      <c r="T548" s="9"/>
      <c r="U548" s="9"/>
      <c r="V548" s="9"/>
      <c r="W548" s="9"/>
      <c r="X548" s="9"/>
      <c r="Y548" s="9"/>
      <c r="Z548" s="9"/>
      <c r="AA548" s="9"/>
      <c r="AB548" s="9"/>
      <c r="AC548" s="9"/>
      <c r="AD548" s="9" t="s">
        <v>20</v>
      </c>
    </row>
    <row r="549" spans="1:30" ht="29">
      <c r="A549" s="3" t="s">
        <v>3220</v>
      </c>
      <c r="B549" s="3" t="s">
        <v>8707</v>
      </c>
      <c r="C549" s="3" t="s">
        <v>8708</v>
      </c>
      <c r="G549" s="9" t="s">
        <v>12121</v>
      </c>
      <c r="H549" s="9"/>
      <c r="I549" s="9"/>
      <c r="J549" s="9"/>
      <c r="K549" s="9"/>
      <c r="L549" s="9"/>
      <c r="M549" s="9"/>
      <c r="N549" s="10"/>
      <c r="O549" s="9"/>
      <c r="P549" s="9"/>
      <c r="Q549" s="9">
        <v>146</v>
      </c>
      <c r="R549" s="9">
        <v>103</v>
      </c>
      <c r="S549" s="9">
        <v>249</v>
      </c>
      <c r="T549" s="9"/>
      <c r="U549" s="9"/>
      <c r="V549" s="9"/>
      <c r="W549" s="9"/>
      <c r="X549" s="9"/>
      <c r="Y549" s="9"/>
      <c r="Z549" s="9"/>
      <c r="AA549" s="9"/>
      <c r="AB549" s="9"/>
      <c r="AC549" s="9"/>
      <c r="AD549" s="9" t="s">
        <v>20</v>
      </c>
    </row>
    <row r="550" spans="1:30" ht="58">
      <c r="A550" s="3" t="s">
        <v>3225</v>
      </c>
      <c r="B550" s="3" t="s">
        <v>8717</v>
      </c>
      <c r="C550" s="3" t="s">
        <v>8718</v>
      </c>
      <c r="G550" s="9" t="s">
        <v>12120</v>
      </c>
      <c r="H550" s="9"/>
      <c r="I550" s="9"/>
      <c r="J550" s="9"/>
      <c r="K550" s="9"/>
      <c r="L550" s="9"/>
      <c r="M550" s="9"/>
      <c r="N550" s="10"/>
      <c r="O550" s="9"/>
      <c r="P550" s="9"/>
      <c r="Q550" s="9"/>
      <c r="R550" s="9" t="s">
        <v>12795</v>
      </c>
      <c r="S550" s="9" t="s">
        <v>12795</v>
      </c>
      <c r="T550" s="9"/>
      <c r="U550" s="9"/>
      <c r="V550" s="9"/>
      <c r="W550" s="9"/>
      <c r="X550" s="9"/>
      <c r="Y550" s="9"/>
      <c r="Z550" s="9"/>
      <c r="AA550" s="9"/>
      <c r="AB550" s="9"/>
      <c r="AC550" s="9"/>
      <c r="AD550" s="9" t="s">
        <v>20</v>
      </c>
    </row>
    <row r="551" spans="1:30" ht="58">
      <c r="A551" s="3" t="s">
        <v>3229</v>
      </c>
      <c r="B551" s="3" t="s">
        <v>8721</v>
      </c>
      <c r="C551" s="3" t="s">
        <v>8720</v>
      </c>
      <c r="G551" s="9" t="s">
        <v>25</v>
      </c>
      <c r="H551" s="9"/>
      <c r="I551" s="9">
        <v>2</v>
      </c>
      <c r="J551" s="9">
        <v>9</v>
      </c>
      <c r="K551" s="9"/>
      <c r="L551" s="9" t="s">
        <v>12079</v>
      </c>
      <c r="M551" s="9"/>
      <c r="N551" s="10"/>
      <c r="O551" s="9"/>
      <c r="P551" s="9">
        <v>61</v>
      </c>
      <c r="Q551" s="9"/>
      <c r="R551" s="9" t="s">
        <v>12795</v>
      </c>
      <c r="S551" s="9" t="s">
        <v>12795</v>
      </c>
      <c r="T551" s="9"/>
      <c r="U551" s="9"/>
      <c r="V551" s="9"/>
      <c r="W551" s="9"/>
      <c r="X551" s="9"/>
      <c r="Y551" s="9"/>
      <c r="Z551" s="9"/>
      <c r="AA551" s="9"/>
      <c r="AB551" s="9"/>
      <c r="AC551" s="9"/>
      <c r="AD551" s="9" t="s">
        <v>20</v>
      </c>
    </row>
    <row r="552" spans="1:30" ht="43.5">
      <c r="A552" s="3" t="s">
        <v>3231</v>
      </c>
      <c r="B552" s="3" t="s">
        <v>8728</v>
      </c>
      <c r="C552" s="3" t="s">
        <v>8727</v>
      </c>
      <c r="G552" s="9" t="s">
        <v>25</v>
      </c>
      <c r="H552" s="9"/>
      <c r="I552" s="9">
        <v>2</v>
      </c>
      <c r="J552" s="9">
        <v>5</v>
      </c>
      <c r="K552" s="9"/>
      <c r="L552" s="9" t="s">
        <v>12079</v>
      </c>
      <c r="M552" s="9"/>
      <c r="N552" s="10"/>
      <c r="O552" s="9"/>
      <c r="P552" s="9">
        <v>472</v>
      </c>
      <c r="Q552" s="9"/>
      <c r="R552" s="9" t="s">
        <v>12795</v>
      </c>
      <c r="S552" s="9" t="s">
        <v>12795</v>
      </c>
      <c r="T552" s="9"/>
      <c r="U552" s="9"/>
      <c r="V552" s="9"/>
      <c r="W552" s="9"/>
      <c r="X552" s="9"/>
      <c r="Y552" s="9"/>
      <c r="Z552" s="9"/>
      <c r="AA552" s="9"/>
      <c r="AB552" s="9"/>
      <c r="AC552" s="9"/>
      <c r="AD552" s="9" t="s">
        <v>20</v>
      </c>
    </row>
    <row r="553" spans="1:30" ht="58">
      <c r="A553" s="3" t="s">
        <v>3243</v>
      </c>
      <c r="B553" s="3" t="s">
        <v>8745</v>
      </c>
      <c r="C553" s="3" t="s">
        <v>8744</v>
      </c>
      <c r="G553" s="9" t="s">
        <v>24</v>
      </c>
      <c r="H553" s="9"/>
      <c r="I553" s="9">
        <v>1</v>
      </c>
      <c r="J553" s="9">
        <v>5</v>
      </c>
      <c r="K553" s="9" t="s">
        <v>12092</v>
      </c>
      <c r="L553" s="9" t="s">
        <v>12079</v>
      </c>
      <c r="M553" s="9"/>
      <c r="N553" s="10"/>
      <c r="O553" s="9"/>
      <c r="P553" s="9">
        <v>308</v>
      </c>
      <c r="Q553" s="9"/>
      <c r="R553" s="9" t="s">
        <v>12795</v>
      </c>
      <c r="S553" s="9" t="s">
        <v>12795</v>
      </c>
      <c r="T553" s="9"/>
      <c r="U553" s="9"/>
      <c r="V553" s="9"/>
      <c r="W553" s="9"/>
      <c r="X553" s="9"/>
      <c r="Y553" s="9"/>
      <c r="Z553" s="9"/>
      <c r="AA553" s="9"/>
      <c r="AB553" s="9"/>
      <c r="AC553" s="9"/>
      <c r="AD553" s="9" t="s">
        <v>20</v>
      </c>
    </row>
    <row r="554" spans="1:30" ht="29">
      <c r="A554" s="3" t="s">
        <v>3243</v>
      </c>
      <c r="B554" s="3" t="s">
        <v>8747</v>
      </c>
      <c r="C554" s="3" t="s">
        <v>8746</v>
      </c>
      <c r="G554" s="9" t="s">
        <v>12118</v>
      </c>
      <c r="H554" s="9"/>
      <c r="I554" s="9"/>
      <c r="J554" s="9"/>
      <c r="K554" s="9"/>
      <c r="L554" s="9"/>
      <c r="M554" s="9"/>
      <c r="N554" s="10"/>
      <c r="O554" s="9"/>
      <c r="P554" s="9"/>
      <c r="Q554" s="9">
        <v>-560</v>
      </c>
      <c r="R554" s="9">
        <v>591</v>
      </c>
      <c r="S554" s="9">
        <v>31</v>
      </c>
      <c r="T554" s="9"/>
      <c r="U554" s="9"/>
      <c r="V554" s="9"/>
      <c r="W554" s="9"/>
      <c r="X554" s="9"/>
      <c r="Y554" s="9"/>
      <c r="Z554" s="9"/>
      <c r="AA554" s="9"/>
      <c r="AB554" s="9"/>
      <c r="AC554" s="9"/>
      <c r="AD554" s="9" t="s">
        <v>20</v>
      </c>
    </row>
    <row r="555" spans="1:30" ht="43.5">
      <c r="A555" s="3" t="s">
        <v>3244</v>
      </c>
      <c r="B555" s="3" t="s">
        <v>8749</v>
      </c>
      <c r="C555" s="3" t="s">
        <v>8748</v>
      </c>
      <c r="G555" s="9" t="s">
        <v>25</v>
      </c>
      <c r="H555" s="9"/>
      <c r="I555" s="9">
        <v>1</v>
      </c>
      <c r="J555" s="9">
        <v>2</v>
      </c>
      <c r="K555" s="9" t="s">
        <v>12096</v>
      </c>
      <c r="L555" s="9" t="s">
        <v>12119</v>
      </c>
      <c r="M555" s="9"/>
      <c r="N555" s="10"/>
      <c r="O555" s="9"/>
      <c r="P555" s="9">
        <v>1294</v>
      </c>
      <c r="Q555" s="9"/>
      <c r="R555" s="9" t="s">
        <v>12795</v>
      </c>
      <c r="S555" s="9" t="s">
        <v>12795</v>
      </c>
      <c r="T555" s="9" t="s">
        <v>12117</v>
      </c>
      <c r="U555" s="9"/>
      <c r="V555" s="9"/>
      <c r="W555" s="9"/>
      <c r="X555" s="9"/>
      <c r="Y555" s="9"/>
      <c r="Z555" s="9"/>
      <c r="AA555" s="9"/>
      <c r="AB555" s="9"/>
      <c r="AC555" s="9"/>
      <c r="AD555" s="9" t="s">
        <v>20</v>
      </c>
    </row>
    <row r="556" spans="1:30" ht="29">
      <c r="A556" s="3" t="s">
        <v>3246</v>
      </c>
      <c r="B556" s="3" t="s">
        <v>8753</v>
      </c>
      <c r="C556" s="3" t="s">
        <v>8752</v>
      </c>
      <c r="G556" s="9" t="s">
        <v>25</v>
      </c>
      <c r="H556" s="9"/>
      <c r="I556" s="9">
        <v>1</v>
      </c>
      <c r="J556" s="9">
        <v>5</v>
      </c>
      <c r="K556" s="9" t="s">
        <v>12125</v>
      </c>
      <c r="L556" s="9" t="s">
        <v>12079</v>
      </c>
      <c r="M556" s="9"/>
      <c r="N556" s="10"/>
      <c r="O556" s="9"/>
      <c r="P556" s="9">
        <v>1565</v>
      </c>
      <c r="Q556" s="9"/>
      <c r="R556" s="9" t="s">
        <v>12795</v>
      </c>
      <c r="S556" s="9" t="s">
        <v>12795</v>
      </c>
      <c r="T556" s="9"/>
      <c r="U556" s="9"/>
      <c r="V556" s="9"/>
      <c r="W556" s="9"/>
      <c r="X556" s="9"/>
      <c r="Y556" s="9"/>
      <c r="Z556" s="9"/>
      <c r="AA556" s="9"/>
      <c r="AB556" s="9"/>
      <c r="AC556" s="9"/>
      <c r="AD556" s="9" t="s">
        <v>20</v>
      </c>
    </row>
    <row r="557" spans="1:30" ht="29">
      <c r="A557" s="3" t="s">
        <v>3246</v>
      </c>
      <c r="B557" s="3" t="s">
        <v>8754</v>
      </c>
      <c r="C557" s="3" t="s">
        <v>8755</v>
      </c>
      <c r="G557" s="9" t="s">
        <v>12118</v>
      </c>
      <c r="H557" s="9"/>
      <c r="I557" s="9"/>
      <c r="J557" s="9"/>
      <c r="K557" s="9"/>
      <c r="L557" s="9"/>
      <c r="M557" s="9"/>
      <c r="N557" s="10"/>
      <c r="O557" s="9"/>
      <c r="P557" s="9"/>
      <c r="Q557" s="9">
        <v>4080</v>
      </c>
      <c r="R557" s="9">
        <v>160</v>
      </c>
      <c r="S557" s="9">
        <v>4240</v>
      </c>
      <c r="T557" s="9"/>
      <c r="U557" s="9"/>
      <c r="V557" s="9"/>
      <c r="W557" s="9"/>
      <c r="X557" s="9"/>
      <c r="Y557" s="9"/>
      <c r="Z557" s="9"/>
      <c r="AA557" s="9"/>
      <c r="AB557" s="9"/>
      <c r="AC557" s="9"/>
      <c r="AD557" s="9" t="s">
        <v>20</v>
      </c>
    </row>
    <row r="558" spans="1:30" ht="87">
      <c r="A558" s="3" t="s">
        <v>3247</v>
      </c>
      <c r="B558" s="3" t="s">
        <v>8757</v>
      </c>
      <c r="C558" s="3" t="s">
        <v>8756</v>
      </c>
      <c r="G558" s="9" t="s">
        <v>25</v>
      </c>
      <c r="H558" s="9"/>
      <c r="I558" s="9">
        <v>1</v>
      </c>
      <c r="J558" s="9">
        <v>1</v>
      </c>
      <c r="K558" s="9" t="s">
        <v>12078</v>
      </c>
      <c r="L558" s="9" t="s">
        <v>12119</v>
      </c>
      <c r="M558" s="9"/>
      <c r="N558" s="10"/>
      <c r="O558" s="9"/>
      <c r="P558" s="9">
        <v>11843</v>
      </c>
      <c r="Q558" s="9"/>
      <c r="R558" s="9" t="s">
        <v>12795</v>
      </c>
      <c r="S558" s="9" t="s">
        <v>12795</v>
      </c>
      <c r="T558" s="9" t="s">
        <v>12117</v>
      </c>
      <c r="U558" s="9"/>
      <c r="V558" s="9"/>
      <c r="W558" s="9"/>
      <c r="X558" s="9"/>
      <c r="Y558" s="9"/>
      <c r="Z558" s="9"/>
      <c r="AA558" s="9"/>
      <c r="AB558" s="9"/>
      <c r="AC558" s="9"/>
      <c r="AD558" s="9" t="s">
        <v>20</v>
      </c>
    </row>
    <row r="559" spans="1:30" ht="116">
      <c r="A559" s="3" t="s">
        <v>3249</v>
      </c>
      <c r="B559" s="3" t="s">
        <v>8765</v>
      </c>
      <c r="C559" s="3" t="s">
        <v>8764</v>
      </c>
      <c r="G559" s="9" t="s">
        <v>24</v>
      </c>
      <c r="H559" s="9"/>
      <c r="I559" s="9">
        <v>2</v>
      </c>
      <c r="J559" s="9">
        <v>12</v>
      </c>
      <c r="K559" s="9"/>
      <c r="L559" s="9" t="s">
        <v>12079</v>
      </c>
      <c r="M559" s="9"/>
      <c r="N559" s="10"/>
      <c r="O559" s="9" t="s">
        <v>12080</v>
      </c>
      <c r="P559" s="9">
        <v>42</v>
      </c>
      <c r="Q559" s="9"/>
      <c r="R559" s="9" t="s">
        <v>12795</v>
      </c>
      <c r="S559" s="9" t="s">
        <v>12795</v>
      </c>
      <c r="T559" s="9"/>
      <c r="U559" s="9"/>
      <c r="V559" s="9"/>
      <c r="W559" s="9"/>
      <c r="X559" s="9"/>
      <c r="Y559" s="9"/>
      <c r="Z559" s="9"/>
      <c r="AA559" s="9"/>
      <c r="AB559" s="9"/>
      <c r="AC559" s="9"/>
      <c r="AD559" s="9" t="s">
        <v>20</v>
      </c>
    </row>
    <row r="560" spans="1:30" ht="87">
      <c r="A560" s="3" t="s">
        <v>3250</v>
      </c>
      <c r="B560" s="3" t="s">
        <v>8766</v>
      </c>
      <c r="C560" s="3" t="s">
        <v>8767</v>
      </c>
      <c r="G560" s="9" t="s">
        <v>26</v>
      </c>
      <c r="H560" s="9"/>
      <c r="I560" s="9"/>
      <c r="J560" s="9"/>
      <c r="K560" s="9"/>
      <c r="L560" s="9"/>
      <c r="M560" s="9"/>
      <c r="N560" s="10"/>
      <c r="O560" s="9"/>
      <c r="P560" s="9"/>
      <c r="Q560" s="9"/>
      <c r="R560" s="9" t="s">
        <v>12795</v>
      </c>
      <c r="S560" s="9" t="s">
        <v>12795</v>
      </c>
      <c r="T560" s="9"/>
      <c r="U560" s="9"/>
      <c r="V560" s="9"/>
      <c r="W560" s="9"/>
      <c r="X560" s="9"/>
      <c r="Y560" s="9"/>
      <c r="Z560" s="9"/>
      <c r="AA560" s="9"/>
      <c r="AB560" s="9"/>
      <c r="AC560" s="9"/>
      <c r="AD560" s="9" t="s">
        <v>20</v>
      </c>
    </row>
    <row r="561" spans="1:30" ht="58">
      <c r="A561" s="3" t="s">
        <v>3254</v>
      </c>
      <c r="B561" s="3" t="s">
        <v>8768</v>
      </c>
      <c r="C561" s="3" t="s">
        <v>8769</v>
      </c>
      <c r="G561" s="9" t="s">
        <v>26</v>
      </c>
      <c r="H561" s="9"/>
      <c r="I561" s="9"/>
      <c r="J561" s="9"/>
      <c r="K561" s="9"/>
      <c r="L561" s="9"/>
      <c r="M561" s="9"/>
      <c r="N561" s="10"/>
      <c r="O561" s="9"/>
      <c r="P561" s="9"/>
      <c r="Q561" s="9"/>
      <c r="R561" s="9" t="s">
        <v>12795</v>
      </c>
      <c r="S561" s="9" t="s">
        <v>12795</v>
      </c>
      <c r="T561" s="9"/>
      <c r="U561" s="9"/>
      <c r="V561" s="9"/>
      <c r="W561" s="9"/>
      <c r="X561" s="9"/>
      <c r="Y561" s="9"/>
      <c r="Z561" s="9"/>
      <c r="AA561" s="9"/>
      <c r="AB561" s="9"/>
      <c r="AC561" s="9"/>
      <c r="AD561" s="9" t="s">
        <v>20</v>
      </c>
    </row>
    <row r="562" spans="1:30" ht="43.5">
      <c r="A562" s="3" t="s">
        <v>3255</v>
      </c>
      <c r="B562" s="3" t="s">
        <v>8775</v>
      </c>
      <c r="C562" s="3" t="s">
        <v>8774</v>
      </c>
      <c r="G562" s="9" t="s">
        <v>26</v>
      </c>
      <c r="H562" s="9"/>
      <c r="I562" s="9"/>
      <c r="J562" s="9"/>
      <c r="K562" s="9"/>
      <c r="L562" s="9"/>
      <c r="M562" s="9"/>
      <c r="N562" s="10"/>
      <c r="O562" s="9"/>
      <c r="P562" s="9"/>
      <c r="Q562" s="9"/>
      <c r="R562" s="9" t="s">
        <v>12795</v>
      </c>
      <c r="S562" s="9" t="s">
        <v>12795</v>
      </c>
      <c r="T562" s="9" t="s">
        <v>4</v>
      </c>
      <c r="U562" s="9"/>
      <c r="V562" s="9"/>
      <c r="W562" s="9"/>
      <c r="X562" s="9"/>
      <c r="Y562" s="9"/>
      <c r="Z562" s="9"/>
      <c r="AA562" s="9"/>
      <c r="AB562" s="9"/>
      <c r="AC562" s="9"/>
      <c r="AD562" s="9" t="s">
        <v>20</v>
      </c>
    </row>
    <row r="563" spans="1:30" ht="43.5">
      <c r="A563" s="3" t="s">
        <v>3255</v>
      </c>
      <c r="B563" s="3" t="s">
        <v>8777</v>
      </c>
      <c r="C563" s="3" t="s">
        <v>8776</v>
      </c>
      <c r="F563" t="s">
        <v>19</v>
      </c>
      <c r="G563" s="9" t="s">
        <v>25</v>
      </c>
      <c r="H563" s="9"/>
      <c r="I563" s="9">
        <v>2</v>
      </c>
      <c r="J563" s="9">
        <v>4</v>
      </c>
      <c r="K563" s="9"/>
      <c r="L563" s="9" t="s">
        <v>12079</v>
      </c>
      <c r="M563" s="9"/>
      <c r="N563" s="10"/>
      <c r="O563" s="9"/>
      <c r="P563" s="9">
        <v>635</v>
      </c>
      <c r="Q563" s="9"/>
      <c r="R563" s="9" t="s">
        <v>12795</v>
      </c>
      <c r="S563" s="9" t="s">
        <v>12795</v>
      </c>
      <c r="T563" s="9"/>
      <c r="U563" s="9"/>
      <c r="V563" s="9"/>
      <c r="W563" s="9"/>
      <c r="X563" s="9"/>
      <c r="Y563" s="9"/>
      <c r="Z563" s="9"/>
      <c r="AA563" s="9"/>
      <c r="AB563" s="9"/>
      <c r="AC563" s="9"/>
      <c r="AD563" s="9" t="s">
        <v>20</v>
      </c>
    </row>
    <row r="564" spans="1:30" ht="43.5">
      <c r="A564" s="3" t="s">
        <v>3258</v>
      </c>
      <c r="B564" s="3" t="s">
        <v>8783</v>
      </c>
      <c r="C564" s="3" t="s">
        <v>8784</v>
      </c>
      <c r="G564" s="9" t="s">
        <v>25</v>
      </c>
      <c r="H564" s="9"/>
      <c r="I564" s="9">
        <v>1</v>
      </c>
      <c r="J564" s="9">
        <v>4</v>
      </c>
      <c r="K564" s="9" t="s">
        <v>12094</v>
      </c>
      <c r="L564" s="9" t="s">
        <v>12079</v>
      </c>
      <c r="M564" s="9"/>
      <c r="N564" s="10"/>
      <c r="O564" s="9"/>
      <c r="P564" s="9">
        <v>4240</v>
      </c>
      <c r="Q564" s="9"/>
      <c r="R564" s="9" t="s">
        <v>12795</v>
      </c>
      <c r="S564" s="9" t="s">
        <v>12795</v>
      </c>
      <c r="T564" s="9"/>
      <c r="U564" s="9"/>
      <c r="V564" s="9"/>
      <c r="W564" s="9"/>
      <c r="X564" s="9"/>
      <c r="Y564" s="9"/>
      <c r="Z564" s="9"/>
      <c r="AA564" s="9"/>
      <c r="AB564" s="9"/>
      <c r="AC564" s="9"/>
      <c r="AD564" s="9" t="s">
        <v>20</v>
      </c>
    </row>
    <row r="565" spans="1:30" ht="101.5">
      <c r="A565" s="3" t="s">
        <v>3260</v>
      </c>
      <c r="B565" s="3" t="s">
        <v>8790</v>
      </c>
      <c r="C565" s="3" t="s">
        <v>8788</v>
      </c>
      <c r="G565" s="9" t="s">
        <v>25</v>
      </c>
      <c r="H565" s="9"/>
      <c r="I565" s="9">
        <v>2</v>
      </c>
      <c r="J565" s="9">
        <v>4</v>
      </c>
      <c r="K565" s="9"/>
      <c r="L565" s="9" t="s">
        <v>12079</v>
      </c>
      <c r="M565" s="9"/>
      <c r="N565" s="10"/>
      <c r="O565" s="9"/>
      <c r="P565" s="9">
        <v>635</v>
      </c>
      <c r="Q565" s="9"/>
      <c r="R565" s="9" t="s">
        <v>12795</v>
      </c>
      <c r="S565" s="9" t="s">
        <v>12795</v>
      </c>
      <c r="T565" s="9"/>
      <c r="U565" s="9"/>
      <c r="V565" s="9"/>
      <c r="W565" s="9"/>
      <c r="X565" s="9"/>
      <c r="Y565" s="9"/>
      <c r="Z565" s="9"/>
      <c r="AA565" s="9"/>
      <c r="AB565" s="9"/>
      <c r="AC565" s="9"/>
      <c r="AD565" s="9" t="s">
        <v>20</v>
      </c>
    </row>
    <row r="566" spans="1:30" ht="101.5">
      <c r="A566" s="3" t="s">
        <v>3260</v>
      </c>
      <c r="B566" s="3" t="s">
        <v>8793</v>
      </c>
      <c r="C566" s="3" t="s">
        <v>8794</v>
      </c>
      <c r="G566" s="9" t="s">
        <v>12120</v>
      </c>
      <c r="H566" s="9"/>
      <c r="I566" s="9"/>
      <c r="J566" s="9"/>
      <c r="K566" s="9"/>
      <c r="L566" s="9"/>
      <c r="M566" s="9"/>
      <c r="N566" s="10"/>
      <c r="O566" s="9"/>
      <c r="P566" s="9"/>
      <c r="Q566" s="9"/>
      <c r="R566" s="9" t="s">
        <v>12795</v>
      </c>
      <c r="S566" s="9" t="s">
        <v>12795</v>
      </c>
      <c r="T566" s="9"/>
      <c r="U566" s="9"/>
      <c r="V566" s="9"/>
      <c r="W566" s="9"/>
      <c r="X566" s="9"/>
      <c r="Y566" s="9"/>
      <c r="Z566" s="9"/>
      <c r="AA566" s="9"/>
      <c r="AB566" s="9"/>
      <c r="AC566" s="9"/>
      <c r="AD566" s="9" t="s">
        <v>20</v>
      </c>
    </row>
    <row r="567" spans="1:30" ht="409.5">
      <c r="A567" s="3" t="s">
        <v>3269</v>
      </c>
      <c r="B567" s="3" t="s">
        <v>12913</v>
      </c>
      <c r="C567" s="3" t="s">
        <v>12454</v>
      </c>
      <c r="G567" s="9" t="s">
        <v>24</v>
      </c>
      <c r="H567" s="9"/>
      <c r="I567" s="9">
        <v>37</v>
      </c>
      <c r="J567" s="9">
        <v>151</v>
      </c>
      <c r="K567" s="9"/>
      <c r="L567" s="9" t="s">
        <v>12073</v>
      </c>
      <c r="M567" s="9" t="s">
        <v>12142</v>
      </c>
      <c r="N567" s="10" t="s">
        <v>12455</v>
      </c>
      <c r="O567" s="9" t="s">
        <v>12074</v>
      </c>
      <c r="P567" s="9">
        <v>1</v>
      </c>
      <c r="Q567" s="9"/>
      <c r="R567" s="9" t="s">
        <v>12795</v>
      </c>
      <c r="S567" s="9" t="s">
        <v>12795</v>
      </c>
      <c r="T567" s="9"/>
      <c r="U567" s="9"/>
      <c r="V567" s="9"/>
      <c r="W567" s="9"/>
      <c r="X567" s="9"/>
      <c r="Y567" s="9"/>
      <c r="Z567" s="9"/>
      <c r="AA567" s="9"/>
      <c r="AB567" s="9"/>
      <c r="AC567" s="9" t="s">
        <v>19</v>
      </c>
      <c r="AD567" s="9" t="s">
        <v>20</v>
      </c>
    </row>
    <row r="568" spans="1:30" ht="29">
      <c r="A568" s="3" t="s">
        <v>3272</v>
      </c>
      <c r="B568" s="3" t="s">
        <v>8815</v>
      </c>
      <c r="C568" s="3" t="s">
        <v>8816</v>
      </c>
      <c r="G568" s="9" t="s">
        <v>25</v>
      </c>
      <c r="H568" s="9"/>
      <c r="I568" s="9">
        <v>1</v>
      </c>
      <c r="J568" s="9">
        <v>1</v>
      </c>
      <c r="K568" s="9" t="s">
        <v>12078</v>
      </c>
      <c r="L568" s="9" t="s">
        <v>12119</v>
      </c>
      <c r="M568" s="9"/>
      <c r="N568" s="10"/>
      <c r="O568" s="9"/>
      <c r="P568" s="9">
        <v>11843</v>
      </c>
      <c r="Q568" s="9"/>
      <c r="R568" s="9" t="s">
        <v>12795</v>
      </c>
      <c r="S568" s="9" t="s">
        <v>12795</v>
      </c>
      <c r="T568" s="9"/>
      <c r="U568" s="9"/>
      <c r="V568" s="9"/>
      <c r="W568" s="9"/>
      <c r="X568" s="9"/>
      <c r="Y568" s="9"/>
      <c r="Z568" s="9"/>
      <c r="AA568" s="9"/>
      <c r="AB568" s="9"/>
      <c r="AC568" s="9"/>
      <c r="AD568" s="9" t="s">
        <v>20</v>
      </c>
    </row>
    <row r="569" spans="1:30" ht="43.5">
      <c r="A569" s="3" t="s">
        <v>3279</v>
      </c>
      <c r="B569" s="3" t="s">
        <v>8824</v>
      </c>
      <c r="C569" s="3" t="s">
        <v>8823</v>
      </c>
      <c r="G569" s="9" t="s">
        <v>12120</v>
      </c>
      <c r="H569" s="9"/>
      <c r="I569" s="9"/>
      <c r="J569" s="9"/>
      <c r="K569" s="9"/>
      <c r="L569" s="9"/>
      <c r="M569" s="9"/>
      <c r="N569" s="10"/>
      <c r="O569" s="9"/>
      <c r="P569" s="9"/>
      <c r="Q569" s="9"/>
      <c r="R569" s="9" t="s">
        <v>12795</v>
      </c>
      <c r="S569" s="9" t="s">
        <v>12795</v>
      </c>
      <c r="T569" s="9"/>
      <c r="U569" s="9"/>
      <c r="V569" s="9"/>
      <c r="W569" s="9"/>
      <c r="X569" s="9"/>
      <c r="Y569" s="9"/>
      <c r="Z569" s="9"/>
      <c r="AA569" s="9"/>
      <c r="AB569" s="9"/>
      <c r="AC569" s="9"/>
      <c r="AD569" s="9" t="s">
        <v>20</v>
      </c>
    </row>
    <row r="570" spans="1:30" ht="29">
      <c r="A570" s="3" t="s">
        <v>3281</v>
      </c>
      <c r="B570" s="3" t="s">
        <v>3282</v>
      </c>
      <c r="C570" s="3" t="s">
        <v>3283</v>
      </c>
      <c r="G570" s="9" t="s">
        <v>12120</v>
      </c>
      <c r="H570" s="9"/>
      <c r="I570" s="9"/>
      <c r="J570" s="9"/>
      <c r="K570" s="9"/>
      <c r="L570" s="9"/>
      <c r="M570" s="9"/>
      <c r="N570" s="10"/>
      <c r="O570" s="9"/>
      <c r="P570" s="9"/>
      <c r="Q570" s="9"/>
      <c r="R570" s="9" t="s">
        <v>12795</v>
      </c>
      <c r="S570" s="9" t="s">
        <v>12795</v>
      </c>
      <c r="T570" s="9"/>
      <c r="U570" s="9"/>
      <c r="V570" s="9"/>
      <c r="W570" s="9"/>
      <c r="X570" s="9"/>
      <c r="Y570" s="9"/>
      <c r="Z570" s="9"/>
      <c r="AA570" s="9"/>
      <c r="AB570" s="9"/>
      <c r="AC570" s="9"/>
      <c r="AD570" s="9" t="s">
        <v>20</v>
      </c>
    </row>
    <row r="571" spans="1:30" ht="29">
      <c r="A571" s="3" t="s">
        <v>3285</v>
      </c>
      <c r="B571" s="3" t="s">
        <v>8834</v>
      </c>
      <c r="C571" s="3" t="s">
        <v>8835</v>
      </c>
      <c r="G571" s="9" t="s">
        <v>25</v>
      </c>
      <c r="H571" s="9"/>
      <c r="I571" s="9">
        <v>1</v>
      </c>
      <c r="J571" s="9">
        <v>2</v>
      </c>
      <c r="K571" s="9" t="s">
        <v>12078</v>
      </c>
      <c r="L571" s="9" t="s">
        <v>12119</v>
      </c>
      <c r="M571" s="9"/>
      <c r="N571" s="10"/>
      <c r="O571" s="9"/>
      <c r="P571" s="9">
        <v>11843</v>
      </c>
      <c r="Q571" s="9"/>
      <c r="R571" s="9" t="s">
        <v>12795</v>
      </c>
      <c r="S571" s="9" t="s">
        <v>12795</v>
      </c>
      <c r="T571" s="9"/>
      <c r="U571" s="9"/>
      <c r="V571" s="9"/>
      <c r="W571" s="9"/>
      <c r="X571" s="9"/>
      <c r="Y571" s="9"/>
      <c r="Z571" s="9"/>
      <c r="AA571" s="9"/>
      <c r="AB571" s="9"/>
      <c r="AC571" s="9"/>
      <c r="AD571" s="9" t="s">
        <v>20</v>
      </c>
    </row>
    <row r="572" spans="1:30" ht="58">
      <c r="A572" s="3" t="s">
        <v>3285</v>
      </c>
      <c r="B572" s="3" t="s">
        <v>8839</v>
      </c>
      <c r="C572" s="3" t="s">
        <v>8836</v>
      </c>
      <c r="G572" s="9" t="s">
        <v>25</v>
      </c>
      <c r="H572" s="9"/>
      <c r="I572" s="9">
        <v>1</v>
      </c>
      <c r="J572" s="9">
        <v>3</v>
      </c>
      <c r="K572" s="9" t="s">
        <v>12078</v>
      </c>
      <c r="L572" s="9" t="s">
        <v>12079</v>
      </c>
      <c r="M572" s="9"/>
      <c r="N572" s="10"/>
      <c r="O572" s="9"/>
      <c r="P572" s="9">
        <v>11843</v>
      </c>
      <c r="Q572" s="9"/>
      <c r="R572" s="9" t="s">
        <v>12795</v>
      </c>
      <c r="S572" s="9" t="s">
        <v>12795</v>
      </c>
      <c r="T572" s="9"/>
      <c r="U572" s="9"/>
      <c r="V572" s="9"/>
      <c r="W572" s="9"/>
      <c r="X572" s="9"/>
      <c r="Y572" s="9"/>
      <c r="Z572" s="9"/>
      <c r="AA572" s="9"/>
      <c r="AB572" s="9"/>
      <c r="AC572" s="9"/>
      <c r="AD572" s="9" t="s">
        <v>20</v>
      </c>
    </row>
    <row r="573" spans="1:30" ht="101.5">
      <c r="A573" s="3" t="s">
        <v>3287</v>
      </c>
      <c r="B573" s="3" t="s">
        <v>8843</v>
      </c>
      <c r="C573" s="3" t="s">
        <v>8842</v>
      </c>
      <c r="G573" s="9" t="s">
        <v>25</v>
      </c>
      <c r="H573" s="9"/>
      <c r="I573" s="9">
        <v>1</v>
      </c>
      <c r="J573" s="9">
        <v>2</v>
      </c>
      <c r="K573" s="9" t="s">
        <v>12087</v>
      </c>
      <c r="L573" s="9" t="s">
        <v>12119</v>
      </c>
      <c r="M573" s="9"/>
      <c r="N573" s="10"/>
      <c r="O573" s="9"/>
      <c r="P573" s="9">
        <v>1966</v>
      </c>
      <c r="Q573" s="9"/>
      <c r="R573" s="9" t="s">
        <v>12795</v>
      </c>
      <c r="S573" s="9" t="s">
        <v>12795</v>
      </c>
      <c r="T573" s="9"/>
      <c r="U573" s="9"/>
      <c r="V573" s="9"/>
      <c r="W573" s="9"/>
      <c r="X573" s="9"/>
      <c r="Y573" s="9"/>
      <c r="Z573" s="9"/>
      <c r="AA573" s="9"/>
      <c r="AB573" s="9"/>
      <c r="AC573" s="9"/>
      <c r="AD573" s="9" t="s">
        <v>20</v>
      </c>
    </row>
    <row r="574" spans="1:30" ht="101.5">
      <c r="A574" s="3" t="s">
        <v>3287</v>
      </c>
      <c r="B574" s="3" t="s">
        <v>8847</v>
      </c>
      <c r="C574" s="3" t="s">
        <v>8842</v>
      </c>
      <c r="F574" t="s">
        <v>19</v>
      </c>
      <c r="G574" s="9" t="s">
        <v>25</v>
      </c>
      <c r="H574" s="9"/>
      <c r="I574" s="9">
        <v>1</v>
      </c>
      <c r="J574" s="9">
        <v>2</v>
      </c>
      <c r="K574" s="9" t="s">
        <v>12078</v>
      </c>
      <c r="L574" s="9" t="s">
        <v>12119</v>
      </c>
      <c r="M574" s="9"/>
      <c r="N574" s="10"/>
      <c r="O574" s="9"/>
      <c r="P574" s="9">
        <v>11843</v>
      </c>
      <c r="Q574" s="9"/>
      <c r="R574" s="9" t="s">
        <v>12795</v>
      </c>
      <c r="S574" s="9" t="s">
        <v>12795</v>
      </c>
      <c r="T574" s="9"/>
      <c r="U574" s="9"/>
      <c r="V574" s="9"/>
      <c r="W574" s="9"/>
      <c r="X574" s="9"/>
      <c r="Y574" s="9"/>
      <c r="Z574" s="9"/>
      <c r="AA574" s="9"/>
      <c r="AB574" s="9"/>
      <c r="AC574" s="9"/>
      <c r="AD574" s="9" t="s">
        <v>20</v>
      </c>
    </row>
    <row r="575" spans="1:30" ht="72.5">
      <c r="A575" s="3" t="s">
        <v>3290</v>
      </c>
      <c r="B575" s="3" t="s">
        <v>8856</v>
      </c>
      <c r="C575" s="3" t="s">
        <v>8857</v>
      </c>
      <c r="G575" s="9" t="s">
        <v>25</v>
      </c>
      <c r="H575" s="9"/>
      <c r="I575" s="9">
        <v>2</v>
      </c>
      <c r="J575" s="9">
        <v>11</v>
      </c>
      <c r="K575" s="9"/>
      <c r="L575" s="9" t="s">
        <v>12079</v>
      </c>
      <c r="M575" s="9"/>
      <c r="N575" s="10"/>
      <c r="O575" s="9"/>
      <c r="P575" s="9">
        <v>16</v>
      </c>
      <c r="Q575" s="9"/>
      <c r="R575" s="9" t="s">
        <v>12795</v>
      </c>
      <c r="S575" s="9" t="s">
        <v>12795</v>
      </c>
      <c r="T575" s="9"/>
      <c r="U575" s="9"/>
      <c r="V575" s="9"/>
      <c r="W575" s="9"/>
      <c r="X575" s="9"/>
      <c r="Y575" s="9"/>
      <c r="Z575" s="9"/>
      <c r="AA575" s="9"/>
      <c r="AB575" s="9"/>
      <c r="AC575" s="9"/>
      <c r="AD575" s="9" t="s">
        <v>20</v>
      </c>
    </row>
    <row r="576" spans="1:30" ht="72.5">
      <c r="A576" s="3" t="s">
        <v>3292</v>
      </c>
      <c r="B576" s="3" t="s">
        <v>8861</v>
      </c>
      <c r="C576" s="3" t="s">
        <v>8860</v>
      </c>
      <c r="G576" s="9" t="s">
        <v>25</v>
      </c>
      <c r="H576" s="9"/>
      <c r="I576" s="9">
        <v>2</v>
      </c>
      <c r="J576" s="9">
        <v>8</v>
      </c>
      <c r="K576" s="9"/>
      <c r="L576" s="9" t="s">
        <v>12079</v>
      </c>
      <c r="M576" s="9"/>
      <c r="N576" s="10"/>
      <c r="O576" s="9"/>
      <c r="P576" s="9">
        <v>27</v>
      </c>
      <c r="Q576" s="9"/>
      <c r="R576" s="9" t="s">
        <v>12795</v>
      </c>
      <c r="S576" s="9" t="s">
        <v>12795</v>
      </c>
      <c r="T576" s="9"/>
      <c r="U576" s="9"/>
      <c r="V576" s="9"/>
      <c r="W576" s="9"/>
      <c r="X576" s="9"/>
      <c r="Y576" s="9"/>
      <c r="Z576" s="9"/>
      <c r="AA576" s="9"/>
      <c r="AB576" s="9"/>
      <c r="AC576" s="9"/>
      <c r="AD576" s="9" t="s">
        <v>20</v>
      </c>
    </row>
    <row r="577" spans="1:30" ht="116">
      <c r="A577" s="3" t="s">
        <v>3298</v>
      </c>
      <c r="B577" s="3" t="s">
        <v>8870</v>
      </c>
      <c r="C577" s="3" t="s">
        <v>8871</v>
      </c>
      <c r="G577" s="9" t="s">
        <v>26</v>
      </c>
      <c r="H577" s="9"/>
      <c r="I577" s="9"/>
      <c r="J577" s="9"/>
      <c r="K577" s="9"/>
      <c r="L577" s="9"/>
      <c r="M577" s="9"/>
      <c r="N577" s="10"/>
      <c r="O577" s="9"/>
      <c r="P577" s="9"/>
      <c r="Q577" s="9"/>
      <c r="R577" s="9" t="s">
        <v>12795</v>
      </c>
      <c r="S577" s="9" t="s">
        <v>12795</v>
      </c>
      <c r="T577" s="9"/>
      <c r="U577" s="9"/>
      <c r="V577" s="9"/>
      <c r="W577" s="9"/>
      <c r="X577" s="9"/>
      <c r="Y577" s="9"/>
      <c r="Z577" s="9"/>
      <c r="AA577" s="9"/>
      <c r="AB577" s="9"/>
      <c r="AC577" s="9"/>
      <c r="AD577" s="9" t="s">
        <v>13141</v>
      </c>
    </row>
    <row r="578" spans="1:30" ht="101.5">
      <c r="A578" s="3" t="s">
        <v>3300</v>
      </c>
      <c r="B578" s="3" t="s">
        <v>8876</v>
      </c>
      <c r="C578" s="3" t="s">
        <v>8877</v>
      </c>
      <c r="G578" s="9" t="s">
        <v>26</v>
      </c>
      <c r="H578" s="9"/>
      <c r="I578" s="9"/>
      <c r="J578" s="9"/>
      <c r="K578" s="9"/>
      <c r="L578" s="9"/>
      <c r="M578" s="9"/>
      <c r="N578" s="10"/>
      <c r="O578" s="9"/>
      <c r="P578" s="9"/>
      <c r="Q578" s="9"/>
      <c r="R578" s="9" t="s">
        <v>12795</v>
      </c>
      <c r="S578" s="9" t="s">
        <v>12795</v>
      </c>
      <c r="T578" s="9"/>
      <c r="U578" s="9"/>
      <c r="V578" s="9"/>
      <c r="W578" s="9"/>
      <c r="X578" s="9"/>
      <c r="Y578" s="9"/>
      <c r="Z578" s="9"/>
      <c r="AA578" s="9"/>
      <c r="AB578" s="9"/>
      <c r="AC578" s="9"/>
      <c r="AD578" s="9" t="s">
        <v>20</v>
      </c>
    </row>
    <row r="579" spans="1:30" ht="159.5">
      <c r="A579" s="3" t="s">
        <v>3302</v>
      </c>
      <c r="B579" s="3" t="s">
        <v>8878</v>
      </c>
      <c r="C579" s="3" t="s">
        <v>8879</v>
      </c>
      <c r="G579" s="9" t="s">
        <v>26</v>
      </c>
      <c r="H579" s="9"/>
      <c r="I579" s="9"/>
      <c r="J579" s="9"/>
      <c r="K579" s="9"/>
      <c r="L579" s="9"/>
      <c r="M579" s="9"/>
      <c r="N579" s="10"/>
      <c r="O579" s="9"/>
      <c r="P579" s="9"/>
      <c r="Q579" s="9"/>
      <c r="R579" s="9" t="s">
        <v>12795</v>
      </c>
      <c r="S579" s="9" t="s">
        <v>12795</v>
      </c>
      <c r="T579" s="9"/>
      <c r="U579" s="9"/>
      <c r="V579" s="9"/>
      <c r="W579" s="9"/>
      <c r="X579" s="9"/>
      <c r="Y579" s="9"/>
      <c r="Z579" s="9"/>
      <c r="AA579" s="9"/>
      <c r="AB579" s="9"/>
      <c r="AC579" s="9"/>
      <c r="AD579" s="9" t="s">
        <v>20</v>
      </c>
    </row>
    <row r="580" spans="1:30" ht="29">
      <c r="A580" s="3" t="s">
        <v>3304</v>
      </c>
      <c r="B580" s="3" t="s">
        <v>8882</v>
      </c>
      <c r="C580" s="3" t="s">
        <v>8883</v>
      </c>
      <c r="G580" s="9" t="s">
        <v>25</v>
      </c>
      <c r="H580" s="9"/>
      <c r="I580" s="9">
        <v>2</v>
      </c>
      <c r="J580" s="9">
        <v>8</v>
      </c>
      <c r="K580" s="9"/>
      <c r="L580" s="9" t="s">
        <v>12079</v>
      </c>
      <c r="M580" s="9"/>
      <c r="N580" s="10"/>
      <c r="O580" s="9"/>
      <c r="P580" s="9">
        <v>14</v>
      </c>
      <c r="Q580" s="9"/>
      <c r="R580" s="9" t="s">
        <v>12795</v>
      </c>
      <c r="S580" s="9" t="s">
        <v>12795</v>
      </c>
      <c r="T580" s="9"/>
      <c r="U580" s="9"/>
      <c r="V580" s="9"/>
      <c r="W580" s="9"/>
      <c r="X580" s="9"/>
      <c r="Y580" s="9"/>
      <c r="Z580" s="9"/>
      <c r="AA580" s="9"/>
      <c r="AB580" s="9"/>
      <c r="AC580" s="9"/>
      <c r="AD580" s="9" t="s">
        <v>20</v>
      </c>
    </row>
    <row r="581" spans="1:30" ht="29">
      <c r="A581" s="3" t="s">
        <v>3305</v>
      </c>
      <c r="B581" s="3" t="s">
        <v>8884</v>
      </c>
      <c r="C581" s="3" t="s">
        <v>8886</v>
      </c>
      <c r="G581" s="9" t="s">
        <v>25</v>
      </c>
      <c r="H581" s="9"/>
      <c r="I581" s="9">
        <v>1</v>
      </c>
      <c r="J581" s="9">
        <v>2</v>
      </c>
      <c r="K581" s="9" t="s">
        <v>12087</v>
      </c>
      <c r="L581" s="9" t="s">
        <v>12119</v>
      </c>
      <c r="M581" s="9"/>
      <c r="N581" s="10"/>
      <c r="O581" s="9"/>
      <c r="P581" s="9">
        <v>1966</v>
      </c>
      <c r="Q581" s="9"/>
      <c r="R581" s="9" t="s">
        <v>12795</v>
      </c>
      <c r="S581" s="9" t="s">
        <v>12795</v>
      </c>
      <c r="T581" s="9"/>
      <c r="U581" s="9"/>
      <c r="V581" s="9"/>
      <c r="W581" s="9"/>
      <c r="X581" s="9"/>
      <c r="Y581" s="9"/>
      <c r="Z581" s="9"/>
      <c r="AA581" s="9"/>
      <c r="AB581" s="9"/>
      <c r="AC581" s="9"/>
      <c r="AD581" s="9" t="s">
        <v>20</v>
      </c>
    </row>
    <row r="582" spans="1:30" ht="29">
      <c r="A582" s="3" t="s">
        <v>3305</v>
      </c>
      <c r="B582" s="3" t="s">
        <v>8885</v>
      </c>
      <c r="C582" s="3" t="s">
        <v>8887</v>
      </c>
      <c r="G582" s="9" t="s">
        <v>25</v>
      </c>
      <c r="H582" s="9"/>
      <c r="I582" s="9">
        <v>1</v>
      </c>
      <c r="J582" s="9">
        <v>2</v>
      </c>
      <c r="K582" s="9" t="s">
        <v>12087</v>
      </c>
      <c r="L582" s="9" t="s">
        <v>12119</v>
      </c>
      <c r="M582" s="9"/>
      <c r="N582" s="10"/>
      <c r="O582" s="9"/>
      <c r="P582" s="9">
        <v>1966</v>
      </c>
      <c r="Q582" s="9"/>
      <c r="R582" s="9" t="s">
        <v>12795</v>
      </c>
      <c r="S582" s="9" t="s">
        <v>12795</v>
      </c>
      <c r="T582" s="9"/>
      <c r="U582" s="9"/>
      <c r="V582" s="9"/>
      <c r="W582" s="9"/>
      <c r="X582" s="9"/>
      <c r="Y582" s="9"/>
      <c r="Z582" s="9"/>
      <c r="AA582" s="9"/>
      <c r="AB582" s="9"/>
      <c r="AC582" s="9"/>
      <c r="AD582" s="9" t="s">
        <v>13141</v>
      </c>
    </row>
    <row r="583" spans="1:30" ht="72.5">
      <c r="A583" s="3" t="s">
        <v>3306</v>
      </c>
      <c r="B583" s="3" t="s">
        <v>8889</v>
      </c>
      <c r="C583" s="3" t="s">
        <v>8888</v>
      </c>
      <c r="G583" s="9" t="s">
        <v>26</v>
      </c>
      <c r="H583" s="9"/>
      <c r="I583" s="9"/>
      <c r="J583" s="9"/>
      <c r="K583" s="9"/>
      <c r="L583" s="9"/>
      <c r="M583" s="9"/>
      <c r="N583" s="10"/>
      <c r="O583" s="9"/>
      <c r="P583" s="9"/>
      <c r="Q583" s="9"/>
      <c r="R583" s="9" t="s">
        <v>12795</v>
      </c>
      <c r="S583" s="9" t="s">
        <v>12795</v>
      </c>
      <c r="T583" s="9"/>
      <c r="U583" s="9"/>
      <c r="V583" s="9"/>
      <c r="W583" s="9"/>
      <c r="X583" s="9"/>
      <c r="Y583" s="9"/>
      <c r="Z583" s="9"/>
      <c r="AA583" s="9"/>
      <c r="AB583" s="9"/>
      <c r="AC583" s="9"/>
      <c r="AD583" s="9" t="s">
        <v>20</v>
      </c>
    </row>
    <row r="584" spans="1:30" ht="290">
      <c r="A584" s="3" t="s">
        <v>3308</v>
      </c>
      <c r="B584" s="11" t="s">
        <v>12457</v>
      </c>
      <c r="C584" s="11" t="s">
        <v>12458</v>
      </c>
      <c r="G584" s="9" t="s">
        <v>26</v>
      </c>
      <c r="H584" s="9"/>
      <c r="I584" s="9"/>
      <c r="J584" s="9"/>
      <c r="K584" s="9"/>
      <c r="L584" s="9"/>
      <c r="M584" s="9"/>
      <c r="N584" s="10"/>
      <c r="O584" s="9"/>
      <c r="P584" s="9"/>
      <c r="Q584" s="9"/>
      <c r="R584" s="9" t="s">
        <v>12795</v>
      </c>
      <c r="S584" s="9" t="s">
        <v>12795</v>
      </c>
      <c r="T584" s="9"/>
      <c r="U584" s="9"/>
      <c r="V584" s="9"/>
      <c r="W584" s="9"/>
      <c r="X584" s="9"/>
      <c r="Y584" s="9"/>
      <c r="Z584" s="9"/>
      <c r="AA584" s="9"/>
      <c r="AB584" s="9"/>
      <c r="AC584" s="9"/>
      <c r="AD584" s="9" t="s">
        <v>20</v>
      </c>
    </row>
    <row r="585" spans="1:30" ht="290">
      <c r="A585" s="3" t="s">
        <v>3308</v>
      </c>
      <c r="B585" s="3" t="s">
        <v>12461</v>
      </c>
      <c r="C585" s="3" t="s">
        <v>12462</v>
      </c>
      <c r="G585" s="9" t="s">
        <v>12120</v>
      </c>
      <c r="H585" s="9"/>
      <c r="I585" s="9"/>
      <c r="J585" s="9"/>
      <c r="K585" s="9"/>
      <c r="L585" s="9"/>
      <c r="M585" s="9"/>
      <c r="N585" s="10"/>
      <c r="O585" s="9"/>
      <c r="P585" s="9"/>
      <c r="Q585" s="9"/>
      <c r="R585" s="9" t="s">
        <v>12795</v>
      </c>
      <c r="S585" s="9" t="s">
        <v>12795</v>
      </c>
      <c r="T585" s="9"/>
      <c r="U585" s="9"/>
      <c r="V585" s="9"/>
      <c r="W585" s="9"/>
      <c r="X585" s="9"/>
      <c r="Y585" s="9"/>
      <c r="Z585" s="9"/>
      <c r="AA585" s="9"/>
      <c r="AB585" s="9"/>
      <c r="AC585" s="9"/>
      <c r="AD585" s="9" t="s">
        <v>20</v>
      </c>
    </row>
    <row r="586" spans="1:30" ht="290">
      <c r="A586" s="3" t="s">
        <v>3308</v>
      </c>
      <c r="B586" s="3" t="s">
        <v>12460</v>
      </c>
      <c r="C586" s="3" t="s">
        <v>12463</v>
      </c>
      <c r="G586" s="9" t="s">
        <v>24</v>
      </c>
      <c r="H586" s="9"/>
      <c r="I586" s="9">
        <v>6</v>
      </c>
      <c r="J586" s="9">
        <v>30</v>
      </c>
      <c r="K586" s="9"/>
      <c r="L586" s="9" t="s">
        <v>12079</v>
      </c>
      <c r="M586" s="9"/>
      <c r="N586" s="10"/>
      <c r="O586" s="9"/>
      <c r="P586" s="9">
        <v>31</v>
      </c>
      <c r="Q586" s="9"/>
      <c r="R586" s="9" t="s">
        <v>12795</v>
      </c>
      <c r="S586" s="9" t="s">
        <v>12795</v>
      </c>
      <c r="T586" s="9"/>
      <c r="U586" s="9"/>
      <c r="V586" s="9"/>
      <c r="W586" s="9"/>
      <c r="X586" s="9"/>
      <c r="Y586" s="9"/>
      <c r="Z586" s="9"/>
      <c r="AA586" s="9"/>
      <c r="AB586" s="9"/>
      <c r="AC586" s="9"/>
      <c r="AD586" s="9" t="s">
        <v>20</v>
      </c>
    </row>
    <row r="587" spans="1:30" ht="43.5">
      <c r="A587" s="3" t="s">
        <v>3309</v>
      </c>
      <c r="B587" s="3" t="s">
        <v>8893</v>
      </c>
      <c r="C587" s="3" t="s">
        <v>8892</v>
      </c>
      <c r="G587" s="9" t="s">
        <v>25</v>
      </c>
      <c r="H587" s="9"/>
      <c r="I587" s="9">
        <v>2</v>
      </c>
      <c r="J587" s="9">
        <v>8</v>
      </c>
      <c r="K587" s="9"/>
      <c r="L587" s="9" t="s">
        <v>12079</v>
      </c>
      <c r="M587" s="9"/>
      <c r="N587" s="10"/>
      <c r="O587" s="9"/>
      <c r="P587" s="9">
        <v>33</v>
      </c>
      <c r="Q587" s="9"/>
      <c r="R587" s="9" t="s">
        <v>12795</v>
      </c>
      <c r="S587" s="9" t="s">
        <v>12795</v>
      </c>
      <c r="T587" s="9"/>
      <c r="U587" s="9"/>
      <c r="V587" s="9"/>
      <c r="W587" s="9"/>
      <c r="X587" s="9"/>
      <c r="Y587" s="9"/>
      <c r="Z587" s="9"/>
      <c r="AA587" s="9"/>
      <c r="AB587" s="9"/>
      <c r="AC587" s="9"/>
      <c r="AD587" s="9" t="s">
        <v>20</v>
      </c>
    </row>
    <row r="588" spans="1:30" ht="58">
      <c r="A588" s="3" t="s">
        <v>3310</v>
      </c>
      <c r="B588" s="3" t="s">
        <v>8894</v>
      </c>
      <c r="C588" s="3" t="s">
        <v>8895</v>
      </c>
      <c r="G588" s="9" t="s">
        <v>26</v>
      </c>
      <c r="H588" s="9"/>
      <c r="I588" s="9"/>
      <c r="J588" s="9"/>
      <c r="K588" s="9"/>
      <c r="L588" s="9"/>
      <c r="M588" s="9"/>
      <c r="N588" s="10"/>
      <c r="O588" s="9"/>
      <c r="P588" s="9"/>
      <c r="Q588" s="9"/>
      <c r="R588" s="9" t="s">
        <v>12795</v>
      </c>
      <c r="S588" s="9" t="s">
        <v>12795</v>
      </c>
      <c r="T588" s="9"/>
      <c r="U588" s="9"/>
      <c r="V588" s="9"/>
      <c r="W588" s="9"/>
      <c r="X588" s="9"/>
      <c r="Y588" s="9"/>
      <c r="Z588" s="9"/>
      <c r="AA588" s="9"/>
      <c r="AB588" s="9"/>
      <c r="AC588" s="9"/>
      <c r="AD588" s="9" t="s">
        <v>13141</v>
      </c>
    </row>
    <row r="589" spans="1:30" ht="29">
      <c r="A589" s="3" t="s">
        <v>3310</v>
      </c>
      <c r="B589" s="3" t="s">
        <v>8896</v>
      </c>
      <c r="C589" s="3" t="s">
        <v>8897</v>
      </c>
      <c r="G589" s="9" t="s">
        <v>12120</v>
      </c>
      <c r="H589" s="9"/>
      <c r="I589" s="9"/>
      <c r="J589" s="9"/>
      <c r="K589" s="9"/>
      <c r="L589" s="9"/>
      <c r="M589" s="9"/>
      <c r="N589" s="10"/>
      <c r="O589" s="9"/>
      <c r="P589" s="9"/>
      <c r="Q589" s="9"/>
      <c r="R589" s="9" t="s">
        <v>12795</v>
      </c>
      <c r="S589" s="9" t="s">
        <v>12795</v>
      </c>
      <c r="T589" s="9"/>
      <c r="U589" s="9"/>
      <c r="V589" s="9"/>
      <c r="W589" s="9"/>
      <c r="X589" s="9"/>
      <c r="Y589" s="9"/>
      <c r="Z589" s="9"/>
      <c r="AA589" s="9"/>
      <c r="AB589" s="9"/>
      <c r="AC589" s="9"/>
      <c r="AD589" s="9" t="s">
        <v>20</v>
      </c>
    </row>
    <row r="590" spans="1:30" ht="58">
      <c r="A590" s="3" t="s">
        <v>3318</v>
      </c>
      <c r="B590" s="3" t="s">
        <v>8904</v>
      </c>
      <c r="C590" s="3" t="s">
        <v>8905</v>
      </c>
      <c r="G590" s="9" t="s">
        <v>12118</v>
      </c>
      <c r="H590" s="9"/>
      <c r="I590" s="9"/>
      <c r="J590" s="9"/>
      <c r="K590" s="9"/>
      <c r="L590" s="9"/>
      <c r="M590" s="9"/>
      <c r="N590" s="10"/>
      <c r="O590" s="9"/>
      <c r="P590" s="9"/>
      <c r="Q590" s="9">
        <v>-4</v>
      </c>
      <c r="R590" s="9">
        <v>6</v>
      </c>
      <c r="S590" s="9">
        <v>2</v>
      </c>
      <c r="T590" s="9"/>
      <c r="U590" s="9"/>
      <c r="V590" s="9"/>
      <c r="W590" s="9"/>
      <c r="X590" s="9"/>
      <c r="Y590" s="9"/>
      <c r="Z590" s="9"/>
      <c r="AA590" s="9"/>
      <c r="AB590" s="9"/>
      <c r="AC590" s="9"/>
      <c r="AD590" s="9" t="s">
        <v>20</v>
      </c>
    </row>
    <row r="591" spans="1:30" ht="159.5">
      <c r="A591" s="3" t="s">
        <v>3321</v>
      </c>
      <c r="B591" s="3" t="s">
        <v>8912</v>
      </c>
      <c r="C591" s="3" t="s">
        <v>8913</v>
      </c>
      <c r="G591" s="9" t="s">
        <v>25</v>
      </c>
      <c r="H591" s="9"/>
      <c r="I591" s="9">
        <v>7</v>
      </c>
      <c r="J591" s="9">
        <v>26</v>
      </c>
      <c r="K591" s="9"/>
      <c r="L591" s="9" t="s">
        <v>12073</v>
      </c>
      <c r="M591" s="9" t="s">
        <v>12154</v>
      </c>
      <c r="N591" s="10" t="s">
        <v>12466</v>
      </c>
      <c r="O591" s="9"/>
      <c r="P591" s="9"/>
      <c r="Q591" s="9"/>
      <c r="R591" s="9" t="s">
        <v>12795</v>
      </c>
      <c r="S591" s="9" t="s">
        <v>12795</v>
      </c>
      <c r="T591" s="9"/>
      <c r="U591" s="9"/>
      <c r="V591" s="9"/>
      <c r="W591" s="9"/>
      <c r="X591" s="9"/>
      <c r="Y591" s="9"/>
      <c r="Z591" s="9"/>
      <c r="AA591" s="9"/>
      <c r="AB591" s="9"/>
      <c r="AC591" s="9"/>
      <c r="AD591" s="9" t="s">
        <v>20</v>
      </c>
    </row>
    <row r="592" spans="1:30" ht="58">
      <c r="A592" s="3" t="s">
        <v>3330</v>
      </c>
      <c r="B592" s="3" t="s">
        <v>8928</v>
      </c>
      <c r="C592" s="3" t="s">
        <v>8929</v>
      </c>
      <c r="G592" s="9" t="s">
        <v>25</v>
      </c>
      <c r="H592" s="9"/>
      <c r="I592" s="9">
        <v>1</v>
      </c>
      <c r="J592" s="9">
        <v>6</v>
      </c>
      <c r="K592" s="9" t="s">
        <v>12094</v>
      </c>
      <c r="L592" s="9" t="s">
        <v>12073</v>
      </c>
      <c r="M592" s="9" t="s">
        <v>12142</v>
      </c>
      <c r="N592" s="10" t="s">
        <v>12160</v>
      </c>
      <c r="O592" s="9"/>
      <c r="P592" s="9">
        <v>156</v>
      </c>
      <c r="Q592" s="9"/>
      <c r="R592" s="9" t="s">
        <v>12795</v>
      </c>
      <c r="S592" s="9" t="s">
        <v>12795</v>
      </c>
      <c r="T592" s="9"/>
      <c r="U592" s="9"/>
      <c r="V592" s="9"/>
      <c r="W592" s="9"/>
      <c r="X592" s="9"/>
      <c r="Y592" s="9"/>
      <c r="Z592" s="9"/>
      <c r="AA592" s="9"/>
      <c r="AB592" s="9"/>
      <c r="AC592" s="9"/>
      <c r="AD592" s="9" t="s">
        <v>20</v>
      </c>
    </row>
    <row r="593" spans="1:30" ht="29">
      <c r="A593" s="3" t="s">
        <v>3340</v>
      </c>
      <c r="B593" s="3" t="s">
        <v>8939</v>
      </c>
      <c r="C593" s="3" t="s">
        <v>8940</v>
      </c>
      <c r="G593" s="9" t="s">
        <v>25</v>
      </c>
      <c r="H593" s="9"/>
      <c r="I593" s="9">
        <v>1</v>
      </c>
      <c r="J593" s="9">
        <v>3</v>
      </c>
      <c r="K593" s="9" t="s">
        <v>12087</v>
      </c>
      <c r="L593" s="9" t="s">
        <v>12079</v>
      </c>
      <c r="M593" s="9"/>
      <c r="N593" s="10"/>
      <c r="O593" s="9"/>
      <c r="P593" s="9">
        <v>356</v>
      </c>
      <c r="Q593" s="9"/>
      <c r="R593" s="9" t="s">
        <v>12795</v>
      </c>
      <c r="S593" s="9" t="s">
        <v>12795</v>
      </c>
      <c r="T593" s="9"/>
      <c r="U593" s="9"/>
      <c r="V593" s="9"/>
      <c r="W593" s="9"/>
      <c r="X593" s="9"/>
      <c r="Y593" s="9"/>
      <c r="Z593" s="9"/>
      <c r="AA593" s="9"/>
      <c r="AB593" s="9"/>
      <c r="AC593" s="9"/>
      <c r="AD593" s="9" t="s">
        <v>20</v>
      </c>
    </row>
    <row r="594" spans="1:30" ht="29">
      <c r="A594" s="3" t="s">
        <v>3346</v>
      </c>
      <c r="B594" s="3" t="s">
        <v>8950</v>
      </c>
      <c r="C594" s="3" t="s">
        <v>8951</v>
      </c>
      <c r="G594" s="9" t="s">
        <v>12120</v>
      </c>
      <c r="H594" s="9"/>
      <c r="I594" s="9"/>
      <c r="J594" s="9"/>
      <c r="K594" s="9"/>
      <c r="L594" s="9"/>
      <c r="M594" s="9"/>
      <c r="N594" s="10"/>
      <c r="O594" s="9"/>
      <c r="P594" s="9"/>
      <c r="Q594" s="9"/>
      <c r="R594" s="9" t="s">
        <v>12795</v>
      </c>
      <c r="S594" s="9" t="s">
        <v>12795</v>
      </c>
      <c r="T594" s="9"/>
      <c r="U594" s="9"/>
      <c r="V594" s="9"/>
      <c r="W594" s="9"/>
      <c r="X594" s="9"/>
      <c r="Y594" s="9"/>
      <c r="Z594" s="9"/>
      <c r="AA594" s="9"/>
      <c r="AB594" s="9"/>
      <c r="AC594" s="9"/>
      <c r="AD594" s="9" t="s">
        <v>20</v>
      </c>
    </row>
    <row r="595" spans="1:30" ht="72.5">
      <c r="A595" s="3" t="s">
        <v>3347</v>
      </c>
      <c r="B595" s="3" t="s">
        <v>8954</v>
      </c>
      <c r="C595" s="3" t="s">
        <v>8955</v>
      </c>
      <c r="G595" s="9" t="s">
        <v>26</v>
      </c>
      <c r="H595" s="9"/>
      <c r="I595" s="9"/>
      <c r="J595" s="9"/>
      <c r="K595" s="9"/>
      <c r="L595" s="9"/>
      <c r="M595" s="9"/>
      <c r="N595" s="10"/>
      <c r="O595" s="9"/>
      <c r="P595" s="9"/>
      <c r="Q595" s="9"/>
      <c r="R595" s="9" t="s">
        <v>12795</v>
      </c>
      <c r="S595" s="9" t="s">
        <v>12795</v>
      </c>
      <c r="T595" s="9"/>
      <c r="U595" s="9"/>
      <c r="V595" s="9"/>
      <c r="W595" s="9"/>
      <c r="X595" s="9"/>
      <c r="Y595" s="9"/>
      <c r="Z595" s="9"/>
      <c r="AA595" s="9"/>
      <c r="AB595" s="9"/>
      <c r="AC595" s="9"/>
      <c r="AD595" s="9" t="s">
        <v>20</v>
      </c>
    </row>
    <row r="596" spans="1:30" ht="43.5">
      <c r="A596" s="3" t="s">
        <v>3353</v>
      </c>
      <c r="B596" s="3" t="s">
        <v>8969</v>
      </c>
      <c r="C596" s="3" t="s">
        <v>8968</v>
      </c>
      <c r="G596" s="9" t="s">
        <v>25</v>
      </c>
      <c r="H596" s="9"/>
      <c r="I596" s="9">
        <v>1</v>
      </c>
      <c r="J596" s="9">
        <v>4</v>
      </c>
      <c r="K596" s="9" t="s">
        <v>12084</v>
      </c>
      <c r="L596" s="9" t="s">
        <v>12079</v>
      </c>
      <c r="M596" s="9"/>
      <c r="N596" s="10"/>
      <c r="O596" s="9"/>
      <c r="P596" s="9">
        <v>13</v>
      </c>
      <c r="Q596" s="9"/>
      <c r="R596" s="9" t="s">
        <v>12795</v>
      </c>
      <c r="S596" s="9" t="s">
        <v>12795</v>
      </c>
      <c r="T596" s="9"/>
      <c r="U596" s="9"/>
      <c r="V596" s="9"/>
      <c r="W596" s="9"/>
      <c r="X596" s="9"/>
      <c r="Y596" s="9"/>
      <c r="Z596" s="9"/>
      <c r="AA596" s="9"/>
      <c r="AB596" s="9"/>
      <c r="AC596" s="9"/>
      <c r="AD596" s="9" t="s">
        <v>20</v>
      </c>
    </row>
    <row r="597" spans="1:30" ht="72.5">
      <c r="A597" s="3" t="s">
        <v>3356</v>
      </c>
      <c r="B597" s="3" t="s">
        <v>8984</v>
      </c>
      <c r="C597" s="3" t="s">
        <v>8981</v>
      </c>
      <c r="G597" s="9" t="s">
        <v>24</v>
      </c>
      <c r="H597" s="9"/>
      <c r="I597" s="9">
        <v>1</v>
      </c>
      <c r="J597" s="9">
        <v>3</v>
      </c>
      <c r="K597" s="9" t="s">
        <v>12094</v>
      </c>
      <c r="L597" s="9" t="s">
        <v>12079</v>
      </c>
      <c r="M597" s="9"/>
      <c r="N597" s="10"/>
      <c r="O597" s="9"/>
      <c r="P597" s="9">
        <v>1496</v>
      </c>
      <c r="Q597" s="9"/>
      <c r="R597" s="9" t="s">
        <v>12795</v>
      </c>
      <c r="S597" s="9" t="s">
        <v>12795</v>
      </c>
      <c r="T597" s="9"/>
      <c r="U597" s="9"/>
      <c r="V597" s="9"/>
      <c r="W597" s="9"/>
      <c r="X597" s="9"/>
      <c r="Y597" s="9"/>
      <c r="Z597" s="9"/>
      <c r="AA597" s="9"/>
      <c r="AB597" s="9"/>
      <c r="AC597" s="9"/>
      <c r="AD597" s="9" t="s">
        <v>20</v>
      </c>
    </row>
    <row r="598" spans="1:30" ht="29">
      <c r="A598" s="3" t="s">
        <v>3359</v>
      </c>
      <c r="B598" s="3" t="s">
        <v>8988</v>
      </c>
      <c r="C598" s="3" t="s">
        <v>8989</v>
      </c>
      <c r="G598" s="9" t="s">
        <v>25</v>
      </c>
      <c r="H598" s="9"/>
      <c r="I598" s="9">
        <v>1</v>
      </c>
      <c r="J598" s="9">
        <v>3</v>
      </c>
      <c r="K598" s="9" t="s">
        <v>12078</v>
      </c>
      <c r="L598" s="9" t="s">
        <v>12079</v>
      </c>
      <c r="M598" s="9"/>
      <c r="N598" s="10"/>
      <c r="O598" s="9"/>
      <c r="P598" s="9">
        <v>11843</v>
      </c>
      <c r="Q598" s="9"/>
      <c r="R598" s="9" t="s">
        <v>12795</v>
      </c>
      <c r="S598" s="9" t="s">
        <v>12795</v>
      </c>
      <c r="T598" s="9"/>
      <c r="U598" s="9"/>
      <c r="V598" s="9"/>
      <c r="W598" s="9"/>
      <c r="X598" s="9"/>
      <c r="Y598" s="9"/>
      <c r="Z598" s="9"/>
      <c r="AA598" s="9"/>
      <c r="AB598" s="9"/>
      <c r="AC598" s="9"/>
      <c r="AD598" s="9" t="s">
        <v>13141</v>
      </c>
    </row>
    <row r="599" spans="1:30" ht="29">
      <c r="A599" s="3" t="s">
        <v>3363</v>
      </c>
      <c r="B599" s="3" t="s">
        <v>9001</v>
      </c>
      <c r="C599" s="3" t="s">
        <v>9000</v>
      </c>
      <c r="G599" s="9" t="s">
        <v>24</v>
      </c>
      <c r="H599" s="9"/>
      <c r="I599" s="9">
        <v>1</v>
      </c>
      <c r="J599" s="9">
        <v>3</v>
      </c>
      <c r="K599" s="9" t="s">
        <v>12087</v>
      </c>
      <c r="L599" s="9" t="s">
        <v>12079</v>
      </c>
      <c r="M599" s="9"/>
      <c r="N599" s="10"/>
      <c r="O599" s="9"/>
      <c r="P599" s="9">
        <v>5676</v>
      </c>
      <c r="Q599" s="9"/>
      <c r="R599" s="9" t="s">
        <v>12795</v>
      </c>
      <c r="S599" s="9" t="s">
        <v>12795</v>
      </c>
      <c r="T599" s="9"/>
      <c r="U599" s="9"/>
      <c r="V599" s="9"/>
      <c r="W599" s="9"/>
      <c r="X599" s="9"/>
      <c r="Y599" s="9"/>
      <c r="Z599" s="9"/>
      <c r="AA599" s="9"/>
      <c r="AB599" s="9"/>
      <c r="AC599" s="9"/>
      <c r="AD599" s="9" t="s">
        <v>20</v>
      </c>
    </row>
    <row r="600" spans="1:30" ht="72.5">
      <c r="A600" s="3" t="s">
        <v>3369</v>
      </c>
      <c r="B600" s="3" t="s">
        <v>9005</v>
      </c>
      <c r="C600" s="3" t="s">
        <v>9006</v>
      </c>
      <c r="G600" s="9" t="s">
        <v>26</v>
      </c>
      <c r="H600" s="9"/>
      <c r="I600" s="9"/>
      <c r="J600" s="9"/>
      <c r="K600" s="9"/>
      <c r="L600" s="9"/>
      <c r="M600" s="9"/>
      <c r="N600" s="10"/>
      <c r="O600" s="9"/>
      <c r="P600" s="9"/>
      <c r="Q600" s="9"/>
      <c r="R600" s="9" t="s">
        <v>12795</v>
      </c>
      <c r="S600" s="9" t="s">
        <v>12795</v>
      </c>
      <c r="T600" s="9"/>
      <c r="U600" s="9"/>
      <c r="V600" s="9"/>
      <c r="W600" s="9"/>
      <c r="X600" s="9"/>
      <c r="Y600" s="9"/>
      <c r="Z600" s="9"/>
      <c r="AA600" s="9"/>
      <c r="AB600" s="9"/>
      <c r="AC600" s="9"/>
      <c r="AD600" s="9" t="s">
        <v>13141</v>
      </c>
    </row>
    <row r="601" spans="1:30" ht="203">
      <c r="A601" s="3" t="s">
        <v>3371</v>
      </c>
      <c r="B601" s="3" t="s">
        <v>12470</v>
      </c>
      <c r="C601" s="3" t="s">
        <v>12471</v>
      </c>
      <c r="G601" s="9" t="s">
        <v>25</v>
      </c>
      <c r="H601" s="9"/>
      <c r="I601" s="9">
        <v>9</v>
      </c>
      <c r="J601" s="9">
        <v>43</v>
      </c>
      <c r="K601" s="9"/>
      <c r="L601" s="9" t="s">
        <v>12073</v>
      </c>
      <c r="M601" s="9" t="s">
        <v>12140</v>
      </c>
      <c r="N601" s="10" t="s">
        <v>12472</v>
      </c>
      <c r="O601" s="9"/>
      <c r="P601" s="9">
        <v>45</v>
      </c>
      <c r="Q601" s="9"/>
      <c r="R601" s="9" t="s">
        <v>12795</v>
      </c>
      <c r="S601" s="9" t="s">
        <v>12795</v>
      </c>
      <c r="T601" s="9"/>
      <c r="U601" s="9"/>
      <c r="V601" s="9"/>
      <c r="W601" s="9"/>
      <c r="X601" s="9"/>
      <c r="Y601" s="9"/>
      <c r="Z601" s="9"/>
      <c r="AA601" s="9"/>
      <c r="AB601" s="9"/>
      <c r="AC601" s="9"/>
      <c r="AD601" s="9" t="s">
        <v>20</v>
      </c>
    </row>
    <row r="602" spans="1:30" ht="87">
      <c r="A602" s="3" t="s">
        <v>3376</v>
      </c>
      <c r="B602" s="3" t="s">
        <v>9016</v>
      </c>
      <c r="C602" s="3" t="s">
        <v>9015</v>
      </c>
      <c r="G602" s="9" t="s">
        <v>25</v>
      </c>
      <c r="H602" s="9"/>
      <c r="I602" s="9">
        <v>1</v>
      </c>
      <c r="J602" s="9">
        <v>3</v>
      </c>
      <c r="K602" s="9" t="s">
        <v>12087</v>
      </c>
      <c r="L602" s="9" t="s">
        <v>12079</v>
      </c>
      <c r="M602" s="9"/>
      <c r="N602" s="10"/>
      <c r="O602" s="9"/>
      <c r="P602" s="9">
        <v>356</v>
      </c>
      <c r="Q602" s="9"/>
      <c r="R602" s="9" t="s">
        <v>12795</v>
      </c>
      <c r="S602" s="9" t="s">
        <v>12795</v>
      </c>
      <c r="T602" s="9"/>
      <c r="U602" s="9"/>
      <c r="V602" s="9"/>
      <c r="W602" s="9"/>
      <c r="X602" s="9"/>
      <c r="Y602" s="9"/>
      <c r="Z602" s="9"/>
      <c r="AA602" s="9"/>
      <c r="AB602" s="9"/>
      <c r="AC602" s="9"/>
      <c r="AD602" s="9" t="s">
        <v>20</v>
      </c>
    </row>
    <row r="603" spans="1:30" ht="43.5">
      <c r="A603" s="3" t="s">
        <v>3383</v>
      </c>
      <c r="B603" s="3" t="s">
        <v>9037</v>
      </c>
      <c r="C603" s="3" t="s">
        <v>9036</v>
      </c>
      <c r="G603" s="9" t="s">
        <v>26</v>
      </c>
      <c r="H603" s="9"/>
      <c r="I603" s="9"/>
      <c r="J603" s="9"/>
      <c r="K603" s="9"/>
      <c r="L603" s="9"/>
      <c r="M603" s="9"/>
      <c r="N603" s="10"/>
      <c r="O603" s="9"/>
      <c r="P603" s="9"/>
      <c r="Q603" s="9"/>
      <c r="R603" s="9" t="s">
        <v>12795</v>
      </c>
      <c r="S603" s="9" t="s">
        <v>12795</v>
      </c>
      <c r="T603" s="9"/>
      <c r="U603" s="9"/>
      <c r="V603" s="9"/>
      <c r="W603" s="9"/>
      <c r="X603" s="9"/>
      <c r="Y603" s="9"/>
      <c r="Z603" s="9"/>
      <c r="AA603" s="9"/>
      <c r="AB603" s="9"/>
      <c r="AC603" s="9"/>
      <c r="AD603" s="9" t="s">
        <v>20</v>
      </c>
    </row>
    <row r="604" spans="1:30" ht="87">
      <c r="A604" s="3" t="s">
        <v>3385</v>
      </c>
      <c r="B604" s="3" t="s">
        <v>9038</v>
      </c>
      <c r="C604" s="3" t="s">
        <v>9039</v>
      </c>
      <c r="G604" s="9" t="s">
        <v>26</v>
      </c>
      <c r="H604" s="9"/>
      <c r="I604" s="9"/>
      <c r="J604" s="9"/>
      <c r="K604" s="9"/>
      <c r="L604" s="9"/>
      <c r="M604" s="9"/>
      <c r="N604" s="10"/>
      <c r="O604" s="9"/>
      <c r="P604" s="9"/>
      <c r="Q604" s="9"/>
      <c r="R604" s="9" t="s">
        <v>12795</v>
      </c>
      <c r="S604" s="9" t="s">
        <v>12795</v>
      </c>
      <c r="T604" s="9"/>
      <c r="U604" s="9"/>
      <c r="V604" s="9"/>
      <c r="W604" s="9"/>
      <c r="X604" s="9"/>
      <c r="Y604" s="9"/>
      <c r="Z604" s="9"/>
      <c r="AA604" s="9"/>
      <c r="AB604" s="9"/>
      <c r="AC604" s="9"/>
      <c r="AD604" s="9" t="s">
        <v>20</v>
      </c>
    </row>
    <row r="605" spans="1:30" ht="43.5">
      <c r="A605" s="3" t="s">
        <v>3386</v>
      </c>
      <c r="B605" s="3" t="s">
        <v>9042</v>
      </c>
      <c r="C605" s="3" t="s">
        <v>9043</v>
      </c>
      <c r="G605" s="9" t="s">
        <v>24</v>
      </c>
      <c r="H605" s="9"/>
      <c r="I605" s="9">
        <v>1</v>
      </c>
      <c r="J605" s="9">
        <v>3</v>
      </c>
      <c r="K605" s="9" t="s">
        <v>12087</v>
      </c>
      <c r="L605" s="9" t="s">
        <v>12079</v>
      </c>
      <c r="M605" s="9"/>
      <c r="N605" s="10"/>
      <c r="O605" s="9"/>
      <c r="P605" s="9">
        <v>5676</v>
      </c>
      <c r="Q605" s="9"/>
      <c r="R605" s="9" t="s">
        <v>12795</v>
      </c>
      <c r="S605" s="9" t="s">
        <v>12795</v>
      </c>
      <c r="T605" s="9"/>
      <c r="U605" s="9"/>
      <c r="V605" s="9"/>
      <c r="W605" s="9"/>
      <c r="X605" s="9"/>
      <c r="Y605" s="9"/>
      <c r="Z605" s="9"/>
      <c r="AA605" s="9"/>
      <c r="AB605" s="9"/>
      <c r="AC605" s="9"/>
      <c r="AD605" s="9" t="s">
        <v>20</v>
      </c>
    </row>
    <row r="606" spans="1:30" ht="29">
      <c r="A606" s="3" t="s">
        <v>3386</v>
      </c>
      <c r="B606" s="3" t="s">
        <v>3387</v>
      </c>
      <c r="C606" s="3" t="s">
        <v>3388</v>
      </c>
      <c r="G606" s="9" t="s">
        <v>12120</v>
      </c>
      <c r="H606" s="9"/>
      <c r="I606" s="9"/>
      <c r="J606" s="9"/>
      <c r="K606" s="9"/>
      <c r="L606" s="9"/>
      <c r="M606" s="9"/>
      <c r="N606" s="10"/>
      <c r="O606" s="9"/>
      <c r="P606" s="9"/>
      <c r="Q606" s="9"/>
      <c r="R606" s="9" t="s">
        <v>12795</v>
      </c>
      <c r="S606" s="9" t="s">
        <v>12795</v>
      </c>
      <c r="T606" s="9"/>
      <c r="U606" s="9"/>
      <c r="V606" s="9"/>
      <c r="W606" s="9"/>
      <c r="X606" s="9"/>
      <c r="Y606" s="9"/>
      <c r="Z606" s="9"/>
      <c r="AA606" s="9"/>
      <c r="AB606" s="9"/>
      <c r="AC606" s="9"/>
      <c r="AD606" s="9" t="s">
        <v>20</v>
      </c>
    </row>
    <row r="607" spans="1:30" ht="43.5">
      <c r="A607" s="3" t="s">
        <v>3389</v>
      </c>
      <c r="B607" s="3" t="s">
        <v>9044</v>
      </c>
      <c r="C607" s="3" t="s">
        <v>9045</v>
      </c>
      <c r="G607" s="9" t="s">
        <v>26</v>
      </c>
      <c r="H607" s="9"/>
      <c r="I607" s="9"/>
      <c r="J607" s="9"/>
      <c r="K607" s="9"/>
      <c r="L607" s="9"/>
      <c r="M607" s="9"/>
      <c r="N607" s="10"/>
      <c r="O607" s="9"/>
      <c r="P607" s="9"/>
      <c r="Q607" s="9"/>
      <c r="R607" s="9" t="s">
        <v>12795</v>
      </c>
      <c r="S607" s="9" t="s">
        <v>12795</v>
      </c>
      <c r="T607" s="9"/>
      <c r="U607" s="9"/>
      <c r="V607" s="9"/>
      <c r="W607" s="9"/>
      <c r="X607" s="9"/>
      <c r="Y607" s="9"/>
      <c r="Z607" s="9"/>
      <c r="AA607" s="9"/>
      <c r="AB607" s="9"/>
      <c r="AC607" s="9"/>
      <c r="AD607" s="9" t="s">
        <v>20</v>
      </c>
    </row>
    <row r="608" spans="1:30" ht="72.5">
      <c r="A608" s="3" t="s">
        <v>3391</v>
      </c>
      <c r="B608" s="3" t="s">
        <v>9048</v>
      </c>
      <c r="C608" s="3" t="s">
        <v>9049</v>
      </c>
      <c r="G608" s="9" t="s">
        <v>26</v>
      </c>
      <c r="H608" s="9"/>
      <c r="I608" s="9"/>
      <c r="J608" s="9"/>
      <c r="K608" s="9"/>
      <c r="L608" s="9"/>
      <c r="M608" s="9"/>
      <c r="N608" s="10"/>
      <c r="O608" s="9"/>
      <c r="P608" s="9"/>
      <c r="Q608" s="9"/>
      <c r="R608" s="9" t="s">
        <v>12795</v>
      </c>
      <c r="S608" s="9" t="s">
        <v>12795</v>
      </c>
      <c r="T608" s="9"/>
      <c r="U608" s="9"/>
      <c r="V608" s="9"/>
      <c r="W608" s="9"/>
      <c r="X608" s="9"/>
      <c r="Y608" s="9"/>
      <c r="Z608" s="9"/>
      <c r="AA608" s="9"/>
      <c r="AB608" s="9"/>
      <c r="AC608" s="9"/>
      <c r="AD608" s="9" t="s">
        <v>20</v>
      </c>
    </row>
    <row r="609" spans="1:30" ht="72.5">
      <c r="A609" s="3" t="s">
        <v>3392</v>
      </c>
      <c r="B609" s="3" t="s">
        <v>9054</v>
      </c>
      <c r="C609" s="3" t="s">
        <v>9055</v>
      </c>
      <c r="G609" s="9" t="s">
        <v>25</v>
      </c>
      <c r="H609" s="9"/>
      <c r="I609" s="9">
        <v>1</v>
      </c>
      <c r="J609" s="9">
        <v>3</v>
      </c>
      <c r="K609" s="9" t="s">
        <v>12078</v>
      </c>
      <c r="L609" s="9" t="s">
        <v>12079</v>
      </c>
      <c r="M609" s="9"/>
      <c r="N609" s="10"/>
      <c r="O609" s="9"/>
      <c r="P609" s="9">
        <v>11843</v>
      </c>
      <c r="Q609" s="9"/>
      <c r="R609" s="9" t="s">
        <v>12795</v>
      </c>
      <c r="S609" s="9" t="s">
        <v>12795</v>
      </c>
      <c r="T609" s="9"/>
      <c r="U609" s="9"/>
      <c r="V609" s="9"/>
      <c r="W609" s="9"/>
      <c r="X609" s="9"/>
      <c r="Y609" s="9"/>
      <c r="Z609" s="9"/>
      <c r="AA609" s="9"/>
      <c r="AB609" s="9"/>
      <c r="AC609" s="9"/>
      <c r="AD609" s="9" t="s">
        <v>20</v>
      </c>
    </row>
    <row r="610" spans="1:30" ht="72.5">
      <c r="A610" s="3" t="s">
        <v>3392</v>
      </c>
      <c r="B610" s="3" t="s">
        <v>12474</v>
      </c>
      <c r="C610" s="3" t="s">
        <v>12475</v>
      </c>
      <c r="G610" s="9" t="s">
        <v>26</v>
      </c>
      <c r="H610" s="9"/>
      <c r="I610" s="9"/>
      <c r="J610" s="9"/>
      <c r="K610" s="9"/>
      <c r="L610" s="9"/>
      <c r="M610" s="9"/>
      <c r="N610" s="10"/>
      <c r="O610" s="9"/>
      <c r="P610" s="9"/>
      <c r="Q610" s="9"/>
      <c r="R610" s="9" t="s">
        <v>12795</v>
      </c>
      <c r="S610" s="9" t="s">
        <v>12795</v>
      </c>
      <c r="T610" s="9"/>
      <c r="U610" s="9"/>
      <c r="V610" s="9"/>
      <c r="W610" s="9"/>
      <c r="X610" s="9"/>
      <c r="Y610" s="9"/>
      <c r="Z610" s="9"/>
      <c r="AA610" s="9"/>
      <c r="AB610" s="9"/>
      <c r="AC610" s="9"/>
      <c r="AD610" s="9" t="s">
        <v>20</v>
      </c>
    </row>
    <row r="611" spans="1:30" ht="43.5">
      <c r="A611" s="3" t="s">
        <v>3393</v>
      </c>
      <c r="B611" s="3" t="s">
        <v>9057</v>
      </c>
      <c r="C611" s="3" t="s">
        <v>9056</v>
      </c>
      <c r="G611" s="9" t="s">
        <v>25</v>
      </c>
      <c r="H611" s="9"/>
      <c r="I611" s="9">
        <v>1</v>
      </c>
      <c r="J611" s="9">
        <v>2</v>
      </c>
      <c r="K611" s="9" t="s">
        <v>12078</v>
      </c>
      <c r="L611" s="9" t="s">
        <v>12119</v>
      </c>
      <c r="M611" s="9"/>
      <c r="N611" s="10"/>
      <c r="O611" s="9"/>
      <c r="P611" s="9">
        <v>11843</v>
      </c>
      <c r="Q611" s="9"/>
      <c r="R611" s="9" t="s">
        <v>12795</v>
      </c>
      <c r="S611" s="9" t="s">
        <v>12795</v>
      </c>
      <c r="T611" s="9"/>
      <c r="U611" s="9"/>
      <c r="V611" s="9"/>
      <c r="W611" s="9"/>
      <c r="X611" s="9"/>
      <c r="Y611" s="9"/>
      <c r="Z611" s="9"/>
      <c r="AA611" s="9"/>
      <c r="AB611" s="9"/>
      <c r="AC611" s="9"/>
      <c r="AD611" s="9" t="s">
        <v>20</v>
      </c>
    </row>
    <row r="612" spans="1:30" ht="58">
      <c r="A612" s="3" t="s">
        <v>3394</v>
      </c>
      <c r="B612" s="3" t="s">
        <v>9059</v>
      </c>
      <c r="C612" s="3" t="s">
        <v>9058</v>
      </c>
      <c r="G612" s="9" t="s">
        <v>26</v>
      </c>
      <c r="H612" s="9"/>
      <c r="I612" s="9"/>
      <c r="J612" s="9"/>
      <c r="K612" s="9"/>
      <c r="L612" s="9"/>
      <c r="M612" s="9"/>
      <c r="N612" s="10"/>
      <c r="O612" s="9"/>
      <c r="P612" s="9"/>
      <c r="Q612" s="9"/>
      <c r="R612" s="9" t="s">
        <v>12795</v>
      </c>
      <c r="S612" s="9" t="s">
        <v>12795</v>
      </c>
      <c r="T612" s="9"/>
      <c r="U612" s="9"/>
      <c r="V612" s="9"/>
      <c r="W612" s="9"/>
      <c r="X612" s="9"/>
      <c r="Y612" s="9"/>
      <c r="Z612" s="9"/>
      <c r="AA612" s="9"/>
      <c r="AB612" s="9"/>
      <c r="AC612" s="9"/>
      <c r="AD612" s="9" t="s">
        <v>20</v>
      </c>
    </row>
    <row r="613" spans="1:30" ht="58">
      <c r="A613" s="3" t="s">
        <v>3395</v>
      </c>
      <c r="B613" s="3" t="s">
        <v>9060</v>
      </c>
      <c r="C613" s="3" t="s">
        <v>9061</v>
      </c>
      <c r="G613" s="9" t="s">
        <v>26</v>
      </c>
      <c r="H613" s="9"/>
      <c r="I613" s="9"/>
      <c r="J613" s="9"/>
      <c r="K613" s="9"/>
      <c r="L613" s="9"/>
      <c r="M613" s="9"/>
      <c r="N613" s="10"/>
      <c r="O613" s="9"/>
      <c r="P613" s="9"/>
      <c r="Q613" s="9"/>
      <c r="R613" s="9" t="s">
        <v>12795</v>
      </c>
      <c r="S613" s="9" t="s">
        <v>12795</v>
      </c>
      <c r="T613" s="9"/>
      <c r="U613" s="9"/>
      <c r="V613" s="9"/>
      <c r="W613" s="9"/>
      <c r="X613" s="9"/>
      <c r="Y613" s="9"/>
      <c r="Z613" s="9"/>
      <c r="AA613" s="9"/>
      <c r="AB613" s="9"/>
      <c r="AC613" s="9"/>
      <c r="AD613" s="9" t="s">
        <v>20</v>
      </c>
    </row>
    <row r="614" spans="1:30" ht="58">
      <c r="A614" s="3" t="s">
        <v>3396</v>
      </c>
      <c r="B614" s="3" t="s">
        <v>9064</v>
      </c>
      <c r="C614" s="3" t="s">
        <v>9065</v>
      </c>
      <c r="G614" s="9" t="s">
        <v>26</v>
      </c>
      <c r="H614" s="9"/>
      <c r="I614" s="9"/>
      <c r="J614" s="9"/>
      <c r="K614" s="9"/>
      <c r="L614" s="9"/>
      <c r="M614" s="9"/>
      <c r="N614" s="10"/>
      <c r="O614" s="9"/>
      <c r="P614" s="9"/>
      <c r="Q614" s="9"/>
      <c r="R614" s="9" t="s">
        <v>12795</v>
      </c>
      <c r="S614" s="9" t="s">
        <v>12795</v>
      </c>
      <c r="T614" s="9"/>
      <c r="U614" s="9"/>
      <c r="V614" s="9"/>
      <c r="W614" s="9"/>
      <c r="X614" s="9"/>
      <c r="Y614" s="9"/>
      <c r="Z614" s="9"/>
      <c r="AA614" s="9"/>
      <c r="AB614" s="9"/>
      <c r="AC614" s="9"/>
      <c r="AD614" s="9" t="s">
        <v>20</v>
      </c>
    </row>
    <row r="615" spans="1:30" ht="29">
      <c r="A615" s="3" t="s">
        <v>3399</v>
      </c>
      <c r="B615" s="3" t="s">
        <v>9072</v>
      </c>
      <c r="C615" s="3" t="s">
        <v>9073</v>
      </c>
      <c r="G615" s="9" t="s">
        <v>12120</v>
      </c>
      <c r="H615" s="9"/>
      <c r="I615" s="9"/>
      <c r="J615" s="9"/>
      <c r="K615" s="9"/>
      <c r="L615" s="9"/>
      <c r="M615" s="9"/>
      <c r="N615" s="10"/>
      <c r="O615" s="9"/>
      <c r="P615" s="9"/>
      <c r="Q615" s="9"/>
      <c r="R615" s="9" t="s">
        <v>12795</v>
      </c>
      <c r="S615" s="9" t="s">
        <v>12795</v>
      </c>
      <c r="T615" s="9"/>
      <c r="U615" s="9"/>
      <c r="V615" s="9"/>
      <c r="W615" s="9"/>
      <c r="X615" s="9"/>
      <c r="Y615" s="9"/>
      <c r="Z615" s="9"/>
      <c r="AA615" s="9"/>
      <c r="AB615" s="9"/>
      <c r="AC615" s="9"/>
      <c r="AD615" s="9" t="s">
        <v>20</v>
      </c>
    </row>
    <row r="616" spans="1:30" ht="58">
      <c r="A616" s="3" t="s">
        <v>3405</v>
      </c>
      <c r="B616" s="3" t="s">
        <v>9081</v>
      </c>
      <c r="C616" s="3" t="s">
        <v>9080</v>
      </c>
      <c r="G616" s="9" t="s">
        <v>24</v>
      </c>
      <c r="H616" s="9"/>
      <c r="I616" s="9">
        <v>1</v>
      </c>
      <c r="J616" s="9">
        <v>3</v>
      </c>
      <c r="K616" s="9" t="s">
        <v>12078</v>
      </c>
      <c r="L616" s="9" t="s">
        <v>12079</v>
      </c>
      <c r="M616" s="9"/>
      <c r="N616" s="10"/>
      <c r="O616" s="9"/>
      <c r="P616" s="9">
        <v>11843</v>
      </c>
      <c r="Q616" s="9"/>
      <c r="R616" s="9" t="s">
        <v>12795</v>
      </c>
      <c r="S616" s="9" t="s">
        <v>12795</v>
      </c>
      <c r="T616" s="9"/>
      <c r="U616" s="9"/>
      <c r="V616" s="9"/>
      <c r="W616" s="9"/>
      <c r="X616" s="9"/>
      <c r="Y616" s="9"/>
      <c r="Z616" s="9"/>
      <c r="AA616" s="9"/>
      <c r="AB616" s="9"/>
      <c r="AC616" s="9"/>
      <c r="AD616" s="9" t="s">
        <v>20</v>
      </c>
    </row>
    <row r="617" spans="1:30" ht="58">
      <c r="A617" s="3" t="s">
        <v>3414</v>
      </c>
      <c r="B617" s="3" t="s">
        <v>9089</v>
      </c>
      <c r="C617" s="3" t="s">
        <v>9086</v>
      </c>
      <c r="G617" s="9" t="s">
        <v>25</v>
      </c>
      <c r="H617" s="9"/>
      <c r="I617" s="9">
        <v>2</v>
      </c>
      <c r="J617" s="9">
        <v>10</v>
      </c>
      <c r="K617" s="9"/>
      <c r="L617" s="9" t="s">
        <v>12079</v>
      </c>
      <c r="M617" s="9"/>
      <c r="N617" s="10"/>
      <c r="O617" s="9"/>
      <c r="P617" s="9">
        <v>167</v>
      </c>
      <c r="Q617" s="9"/>
      <c r="R617" s="9" t="s">
        <v>12795</v>
      </c>
      <c r="S617" s="9" t="s">
        <v>12795</v>
      </c>
      <c r="T617" s="9"/>
      <c r="U617" s="9"/>
      <c r="V617" s="9"/>
      <c r="W617" s="9"/>
      <c r="X617" s="9"/>
      <c r="Y617" s="9"/>
      <c r="Z617" s="9"/>
      <c r="AA617" s="9"/>
      <c r="AB617" s="9"/>
      <c r="AC617" s="9"/>
      <c r="AD617" s="9" t="s">
        <v>20</v>
      </c>
    </row>
    <row r="618" spans="1:30" ht="43.5">
      <c r="A618" s="3" t="s">
        <v>3414</v>
      </c>
      <c r="B618" s="3" t="s">
        <v>9091</v>
      </c>
      <c r="C618" s="3" t="s">
        <v>9090</v>
      </c>
      <c r="G618" s="9" t="s">
        <v>25</v>
      </c>
      <c r="H618" s="9"/>
      <c r="I618" s="9">
        <v>1</v>
      </c>
      <c r="J618" s="9">
        <v>3</v>
      </c>
      <c r="K618" s="9" t="s">
        <v>12087</v>
      </c>
      <c r="L618" s="9" t="s">
        <v>12079</v>
      </c>
      <c r="M618" s="9"/>
      <c r="N618" s="10"/>
      <c r="O618" s="9"/>
      <c r="P618" s="9">
        <v>5676</v>
      </c>
      <c r="Q618" s="9"/>
      <c r="R618" s="9" t="s">
        <v>12795</v>
      </c>
      <c r="S618" s="9" t="s">
        <v>12795</v>
      </c>
      <c r="T618" s="9"/>
      <c r="U618" s="9"/>
      <c r="V618" s="9"/>
      <c r="W618" s="9"/>
      <c r="X618" s="9"/>
      <c r="Y618" s="9"/>
      <c r="Z618" s="9"/>
      <c r="AA618" s="9"/>
      <c r="AB618" s="9"/>
      <c r="AC618" s="9"/>
      <c r="AD618" s="9" t="s">
        <v>20</v>
      </c>
    </row>
    <row r="619" spans="1:30" ht="87">
      <c r="A619" s="3" t="s">
        <v>3425</v>
      </c>
      <c r="B619" s="3" t="s">
        <v>9106</v>
      </c>
      <c r="C619" s="3" t="s">
        <v>9107</v>
      </c>
      <c r="G619" s="9" t="s">
        <v>25</v>
      </c>
      <c r="H619" s="9"/>
      <c r="I619" s="9">
        <v>6</v>
      </c>
      <c r="J619" s="9">
        <v>17</v>
      </c>
      <c r="K619" s="9"/>
      <c r="L619" s="9" t="s">
        <v>12079</v>
      </c>
      <c r="M619" s="9"/>
      <c r="N619" s="10"/>
      <c r="O619" s="9"/>
      <c r="P619" s="9">
        <v>277</v>
      </c>
      <c r="Q619" s="9"/>
      <c r="R619" s="9" t="s">
        <v>12795</v>
      </c>
      <c r="S619" s="9" t="s">
        <v>12795</v>
      </c>
      <c r="T619" s="9"/>
      <c r="U619" s="9"/>
      <c r="V619" s="9"/>
      <c r="W619" s="9"/>
      <c r="X619" s="9"/>
      <c r="Y619" s="9"/>
      <c r="Z619" s="9"/>
      <c r="AA619" s="9"/>
      <c r="AB619" s="9"/>
      <c r="AC619" s="9"/>
      <c r="AD619" s="9" t="s">
        <v>20</v>
      </c>
    </row>
    <row r="620" spans="1:30" ht="72.5">
      <c r="A620" s="3" t="s">
        <v>3427</v>
      </c>
      <c r="B620" s="3" t="s">
        <v>9110</v>
      </c>
      <c r="C620" s="3" t="s">
        <v>9111</v>
      </c>
      <c r="G620" s="9" t="s">
        <v>12118</v>
      </c>
      <c r="H620" s="9"/>
      <c r="I620" s="9"/>
      <c r="J620" s="9"/>
      <c r="K620" s="9"/>
      <c r="L620" s="9"/>
      <c r="M620" s="9"/>
      <c r="N620" s="10"/>
      <c r="O620" s="9"/>
      <c r="P620" s="9"/>
      <c r="Q620" s="9">
        <v>-3605</v>
      </c>
      <c r="R620" s="9">
        <v>4240</v>
      </c>
      <c r="S620" s="9">
        <v>635</v>
      </c>
      <c r="T620" s="9"/>
      <c r="U620" s="9"/>
      <c r="V620" s="9"/>
      <c r="W620" s="9"/>
      <c r="X620" s="9"/>
      <c r="Y620" s="9"/>
      <c r="Z620" s="9"/>
      <c r="AA620" s="9"/>
      <c r="AB620" s="9"/>
      <c r="AC620" s="9"/>
      <c r="AD620" s="9" t="s">
        <v>20</v>
      </c>
    </row>
    <row r="621" spans="1:30" ht="87">
      <c r="A621" s="3" t="s">
        <v>3439</v>
      </c>
      <c r="B621" s="3" t="s">
        <v>9127</v>
      </c>
      <c r="C621" s="3" t="s">
        <v>9126</v>
      </c>
      <c r="G621" s="9" t="s">
        <v>26</v>
      </c>
      <c r="H621" s="9"/>
      <c r="I621" s="9"/>
      <c r="J621" s="9"/>
      <c r="K621" s="9"/>
      <c r="L621" s="9"/>
      <c r="M621" s="9"/>
      <c r="N621" s="10"/>
      <c r="O621" s="9"/>
      <c r="P621" s="9"/>
      <c r="Q621" s="9"/>
      <c r="R621" s="9" t="s">
        <v>12795</v>
      </c>
      <c r="S621" s="9" t="s">
        <v>12795</v>
      </c>
      <c r="T621" s="9" t="s">
        <v>12117</v>
      </c>
      <c r="U621" s="9"/>
      <c r="V621" s="9"/>
      <c r="W621" s="9"/>
      <c r="X621" s="9"/>
      <c r="Y621" s="9"/>
      <c r="Z621" s="9"/>
      <c r="AA621" s="9"/>
      <c r="AB621" s="9"/>
      <c r="AC621" s="9"/>
      <c r="AD621" s="9" t="s">
        <v>20</v>
      </c>
    </row>
    <row r="622" spans="1:30" ht="87">
      <c r="A622" s="3" t="s">
        <v>3440</v>
      </c>
      <c r="B622" s="3" t="s">
        <v>9130</v>
      </c>
      <c r="C622" s="3" t="s">
        <v>9128</v>
      </c>
      <c r="G622" s="9" t="s">
        <v>26</v>
      </c>
      <c r="H622" s="9"/>
      <c r="I622" s="9"/>
      <c r="J622" s="9"/>
      <c r="K622" s="9"/>
      <c r="L622" s="9"/>
      <c r="M622" s="9"/>
      <c r="N622" s="10"/>
      <c r="O622" s="9"/>
      <c r="P622" s="9"/>
      <c r="Q622" s="9"/>
      <c r="R622" s="9" t="s">
        <v>12795</v>
      </c>
      <c r="S622" s="9" t="s">
        <v>12795</v>
      </c>
      <c r="T622" s="9"/>
      <c r="U622" s="9"/>
      <c r="V622" s="9"/>
      <c r="W622" s="9"/>
      <c r="X622" s="9"/>
      <c r="Y622" s="9"/>
      <c r="Z622" s="9"/>
      <c r="AA622" s="9"/>
      <c r="AB622" s="9"/>
      <c r="AC622" s="9"/>
      <c r="AD622" s="9" t="s">
        <v>20</v>
      </c>
    </row>
    <row r="623" spans="1:30" ht="43.5">
      <c r="A623" s="3" t="s">
        <v>3443</v>
      </c>
      <c r="B623" s="3" t="s">
        <v>9138</v>
      </c>
      <c r="C623" s="3" t="s">
        <v>9139</v>
      </c>
      <c r="G623" s="9" t="s">
        <v>25</v>
      </c>
      <c r="H623" s="9"/>
      <c r="I623" s="9">
        <v>1</v>
      </c>
      <c r="J623" s="9">
        <v>1</v>
      </c>
      <c r="K623" s="9" t="s">
        <v>12078</v>
      </c>
      <c r="L623" s="9" t="s">
        <v>12119</v>
      </c>
      <c r="M623" s="9"/>
      <c r="N623" s="10"/>
      <c r="O623" s="9"/>
      <c r="P623" s="9">
        <v>11843</v>
      </c>
      <c r="Q623" s="9"/>
      <c r="R623" s="9" t="s">
        <v>12795</v>
      </c>
      <c r="S623" s="9" t="s">
        <v>12795</v>
      </c>
      <c r="T623" s="9"/>
      <c r="U623" s="9"/>
      <c r="V623" s="9"/>
      <c r="W623" s="9"/>
      <c r="X623" s="9"/>
      <c r="Y623" s="9"/>
      <c r="Z623" s="9"/>
      <c r="AA623" s="9"/>
      <c r="AB623" s="9"/>
      <c r="AC623" s="9"/>
      <c r="AD623" s="9" t="s">
        <v>20</v>
      </c>
    </row>
    <row r="624" spans="1:30" ht="101.5">
      <c r="A624" s="3" t="s">
        <v>3447</v>
      </c>
      <c r="B624" s="3" t="s">
        <v>12479</v>
      </c>
      <c r="C624" s="3" t="s">
        <v>9152</v>
      </c>
      <c r="G624" s="9" t="s">
        <v>26</v>
      </c>
      <c r="H624" s="9"/>
      <c r="I624" s="9"/>
      <c r="J624" s="9"/>
      <c r="K624" s="9"/>
      <c r="L624" s="9"/>
      <c r="M624" s="9"/>
      <c r="N624" s="10"/>
      <c r="O624" s="9"/>
      <c r="P624" s="9"/>
      <c r="Q624" s="9"/>
      <c r="R624" s="9" t="s">
        <v>12795</v>
      </c>
      <c r="S624" s="9" t="s">
        <v>12795</v>
      </c>
      <c r="T624" s="9"/>
      <c r="U624" s="9"/>
      <c r="V624" s="9"/>
      <c r="W624" s="9"/>
      <c r="X624" s="9"/>
      <c r="Y624" s="9"/>
      <c r="Z624" s="9"/>
      <c r="AA624" s="9"/>
      <c r="AB624" s="9"/>
      <c r="AC624" s="9"/>
      <c r="AD624" s="9" t="s">
        <v>20</v>
      </c>
    </row>
    <row r="625" spans="1:30" ht="72.5">
      <c r="A625" s="3" t="s">
        <v>3450</v>
      </c>
      <c r="B625" s="3" t="s">
        <v>9164</v>
      </c>
      <c r="C625" s="3" t="s">
        <v>9163</v>
      </c>
      <c r="G625" s="9" t="s">
        <v>25</v>
      </c>
      <c r="H625" s="9"/>
      <c r="I625" s="9">
        <v>1</v>
      </c>
      <c r="J625" s="9">
        <v>2</v>
      </c>
      <c r="K625" s="9" t="s">
        <v>12078</v>
      </c>
      <c r="L625" s="9" t="s">
        <v>12119</v>
      </c>
      <c r="M625" s="9"/>
      <c r="N625" s="10"/>
      <c r="O625" s="9"/>
      <c r="P625" s="9">
        <v>11843</v>
      </c>
      <c r="Q625" s="9"/>
      <c r="R625" s="9" t="s">
        <v>12795</v>
      </c>
      <c r="S625" s="9" t="s">
        <v>12795</v>
      </c>
      <c r="T625" s="9"/>
      <c r="U625" s="9"/>
      <c r="V625" s="9"/>
      <c r="W625" s="9"/>
      <c r="X625" s="9"/>
      <c r="Y625" s="9"/>
      <c r="Z625" s="9"/>
      <c r="AA625" s="9"/>
      <c r="AB625" s="9"/>
      <c r="AC625" s="9"/>
      <c r="AD625" s="9" t="s">
        <v>20</v>
      </c>
    </row>
    <row r="626" spans="1:30" ht="29">
      <c r="A626" s="3" t="s">
        <v>3459</v>
      </c>
      <c r="B626" s="3" t="s">
        <v>9176</v>
      </c>
      <c r="C626" s="3" t="s">
        <v>9175</v>
      </c>
      <c r="G626" s="9" t="s">
        <v>25</v>
      </c>
      <c r="H626" s="9"/>
      <c r="I626" s="9">
        <v>1</v>
      </c>
      <c r="J626" s="9">
        <v>1</v>
      </c>
      <c r="K626" s="9" t="s">
        <v>12078</v>
      </c>
      <c r="L626" s="9" t="s">
        <v>12119</v>
      </c>
      <c r="M626" s="9"/>
      <c r="N626" s="10"/>
      <c r="O626" s="9"/>
      <c r="P626" s="9">
        <v>11843</v>
      </c>
      <c r="Q626" s="9"/>
      <c r="R626" s="9" t="s">
        <v>12795</v>
      </c>
      <c r="S626" s="9" t="s">
        <v>12795</v>
      </c>
      <c r="T626" s="9"/>
      <c r="U626" s="9"/>
      <c r="V626" s="9"/>
      <c r="W626" s="9"/>
      <c r="X626" s="9"/>
      <c r="Y626" s="9"/>
      <c r="Z626" s="9"/>
      <c r="AA626" s="9"/>
      <c r="AB626" s="9"/>
      <c r="AC626" s="9"/>
      <c r="AD626" s="9" t="s">
        <v>20</v>
      </c>
    </row>
    <row r="627" spans="1:30" ht="43.5">
      <c r="A627" s="3" t="s">
        <v>3460</v>
      </c>
      <c r="B627" s="3" t="s">
        <v>9181</v>
      </c>
      <c r="C627" s="3" t="s">
        <v>9182</v>
      </c>
      <c r="G627" s="9" t="s">
        <v>25</v>
      </c>
      <c r="H627" s="9"/>
      <c r="I627" s="9">
        <v>1</v>
      </c>
      <c r="J627" s="9">
        <v>3</v>
      </c>
      <c r="K627" s="9" t="s">
        <v>12084</v>
      </c>
      <c r="L627" s="9" t="s">
        <v>12079</v>
      </c>
      <c r="M627" s="9"/>
      <c r="N627" s="10"/>
      <c r="O627" s="9"/>
      <c r="P627" s="9">
        <v>4</v>
      </c>
      <c r="Q627" s="9"/>
      <c r="R627" s="9" t="s">
        <v>12795</v>
      </c>
      <c r="S627" s="9" t="s">
        <v>12795</v>
      </c>
      <c r="T627" s="9"/>
      <c r="U627" s="9"/>
      <c r="V627" s="9"/>
      <c r="W627" s="9"/>
      <c r="X627" s="9"/>
      <c r="Y627" s="9"/>
      <c r="Z627" s="9"/>
      <c r="AA627" s="9"/>
      <c r="AB627" s="9"/>
      <c r="AC627" s="9"/>
      <c r="AD627" s="9" t="s">
        <v>20</v>
      </c>
    </row>
    <row r="628" spans="1:30" ht="29">
      <c r="A628" s="3" t="s">
        <v>3470</v>
      </c>
      <c r="B628" s="3" t="s">
        <v>12918</v>
      </c>
      <c r="C628" s="3" t="s">
        <v>9188</v>
      </c>
      <c r="G628" s="9" t="s">
        <v>12120</v>
      </c>
      <c r="H628" s="9"/>
      <c r="I628" s="9"/>
      <c r="J628" s="9"/>
      <c r="K628" s="9"/>
      <c r="L628" s="9"/>
      <c r="M628" s="9"/>
      <c r="N628" s="10"/>
      <c r="O628" s="9"/>
      <c r="P628" s="9"/>
      <c r="Q628" s="9"/>
      <c r="R628" s="9" t="s">
        <v>12795</v>
      </c>
      <c r="S628" s="9" t="s">
        <v>12795</v>
      </c>
      <c r="T628" s="9"/>
      <c r="U628" s="9"/>
      <c r="V628" s="9"/>
      <c r="W628" s="9"/>
      <c r="X628" s="9"/>
      <c r="Y628" s="9"/>
      <c r="Z628" s="9"/>
      <c r="AA628" s="9"/>
      <c r="AB628" s="9"/>
      <c r="AC628" s="9"/>
      <c r="AD628" s="9" t="s">
        <v>20</v>
      </c>
    </row>
    <row r="629" spans="1:30" ht="43.5">
      <c r="A629" s="3" t="s">
        <v>3471</v>
      </c>
      <c r="B629" s="3" t="s">
        <v>12919</v>
      </c>
      <c r="C629" s="3" t="s">
        <v>9189</v>
      </c>
      <c r="G629" s="9" t="s">
        <v>25</v>
      </c>
      <c r="H629" s="9"/>
      <c r="I629" s="9">
        <v>1</v>
      </c>
      <c r="J629" s="9">
        <v>2</v>
      </c>
      <c r="K629" s="9" t="s">
        <v>12078</v>
      </c>
      <c r="L629" s="9" t="s">
        <v>12119</v>
      </c>
      <c r="M629" s="9"/>
      <c r="N629" s="10"/>
      <c r="O629" s="9"/>
      <c r="P629" s="9">
        <v>11843</v>
      </c>
      <c r="Q629" s="9"/>
      <c r="R629" s="9" t="s">
        <v>12795</v>
      </c>
      <c r="S629" s="9" t="s">
        <v>12795</v>
      </c>
      <c r="T629" s="9"/>
      <c r="U629" s="9"/>
      <c r="V629" s="9"/>
      <c r="W629" s="9"/>
      <c r="X629" s="9"/>
      <c r="Y629" s="9"/>
      <c r="Z629" s="9"/>
      <c r="AA629" s="9"/>
      <c r="AB629" s="9"/>
      <c r="AC629" s="9"/>
      <c r="AD629" s="9" t="s">
        <v>20</v>
      </c>
    </row>
    <row r="630" spans="1:30" ht="72.5">
      <c r="A630" s="3" t="s">
        <v>3472</v>
      </c>
      <c r="B630" s="3" t="s">
        <v>9194</v>
      </c>
      <c r="C630" s="3" t="s">
        <v>9192</v>
      </c>
      <c r="G630" s="9" t="s">
        <v>25</v>
      </c>
      <c r="H630" s="9"/>
      <c r="I630" s="9">
        <v>1</v>
      </c>
      <c r="J630" s="9">
        <v>7</v>
      </c>
      <c r="K630" s="9" t="s">
        <v>12098</v>
      </c>
      <c r="L630" s="9" t="s">
        <v>12079</v>
      </c>
      <c r="M630" s="9"/>
      <c r="N630" s="10"/>
      <c r="O630" s="9"/>
      <c r="P630" s="9">
        <v>111</v>
      </c>
      <c r="Q630" s="9"/>
      <c r="R630" s="9" t="s">
        <v>12795</v>
      </c>
      <c r="S630" s="9" t="s">
        <v>12795</v>
      </c>
      <c r="T630" s="9"/>
      <c r="U630" s="9"/>
      <c r="V630" s="9"/>
      <c r="W630" s="9"/>
      <c r="X630" s="9"/>
      <c r="Y630" s="9"/>
      <c r="Z630" s="9"/>
      <c r="AA630" s="9"/>
      <c r="AB630" s="9"/>
      <c r="AC630" s="9"/>
      <c r="AD630" s="9" t="s">
        <v>20</v>
      </c>
    </row>
    <row r="631" spans="1:30" ht="29">
      <c r="A631" s="3" t="s">
        <v>3477</v>
      </c>
      <c r="B631" s="3" t="s">
        <v>3478</v>
      </c>
      <c r="C631" s="3" t="s">
        <v>3479</v>
      </c>
      <c r="G631" s="9" t="s">
        <v>12120</v>
      </c>
      <c r="H631" s="9"/>
      <c r="I631" s="9"/>
      <c r="J631" s="9"/>
      <c r="K631" s="9"/>
      <c r="L631" s="9"/>
      <c r="M631" s="9"/>
      <c r="N631" s="10"/>
      <c r="O631" s="9"/>
      <c r="P631" s="9"/>
      <c r="Q631" s="9"/>
      <c r="R631" s="9" t="s">
        <v>12795</v>
      </c>
      <c r="S631" s="9" t="s">
        <v>12795</v>
      </c>
      <c r="T631" s="9"/>
      <c r="U631" s="9"/>
      <c r="V631" s="9"/>
      <c r="W631" s="9"/>
      <c r="X631" s="9"/>
      <c r="Y631" s="9"/>
      <c r="Z631" s="9"/>
      <c r="AA631" s="9"/>
      <c r="AB631" s="9"/>
      <c r="AC631" s="9"/>
      <c r="AD631" s="9" t="s">
        <v>13141</v>
      </c>
    </row>
    <row r="632" spans="1:30" ht="87">
      <c r="A632" s="3" t="s">
        <v>3481</v>
      </c>
      <c r="B632" s="3" t="s">
        <v>9212</v>
      </c>
      <c r="C632" s="3" t="s">
        <v>9211</v>
      </c>
      <c r="G632" s="9" t="s">
        <v>12120</v>
      </c>
      <c r="H632" s="9"/>
      <c r="I632" s="9"/>
      <c r="J632" s="9"/>
      <c r="K632" s="9"/>
      <c r="L632" s="9"/>
      <c r="M632" s="9"/>
      <c r="N632" s="10"/>
      <c r="O632" s="9"/>
      <c r="P632" s="9"/>
      <c r="Q632" s="9"/>
      <c r="R632" s="9" t="s">
        <v>12795</v>
      </c>
      <c r="S632" s="9" t="s">
        <v>12795</v>
      </c>
      <c r="T632" s="9"/>
      <c r="U632" s="9"/>
      <c r="V632" s="9"/>
      <c r="W632" s="9"/>
      <c r="X632" s="9"/>
      <c r="Y632" s="9"/>
      <c r="Z632" s="9"/>
      <c r="AA632" s="9"/>
      <c r="AB632" s="9"/>
      <c r="AC632" s="9"/>
      <c r="AD632" s="9" t="s">
        <v>20</v>
      </c>
    </row>
    <row r="633" spans="1:30" ht="87">
      <c r="A633" s="3" t="s">
        <v>3484</v>
      </c>
      <c r="B633" s="3" t="s">
        <v>13061</v>
      </c>
      <c r="C633" s="3" t="s">
        <v>13064</v>
      </c>
      <c r="G633" s="9" t="s">
        <v>12118</v>
      </c>
      <c r="H633" s="9"/>
      <c r="I633" s="9"/>
      <c r="J633" s="9"/>
      <c r="K633" s="9"/>
      <c r="L633" s="9"/>
      <c r="M633" s="9"/>
      <c r="N633" s="10"/>
      <c r="O633" s="9"/>
      <c r="P633" s="9"/>
      <c r="Q633" s="9">
        <v>-45</v>
      </c>
      <c r="R633" s="9">
        <v>309</v>
      </c>
      <c r="S633" s="9">
        <v>264</v>
      </c>
      <c r="T633" s="9"/>
      <c r="U633" s="9"/>
      <c r="V633" s="9"/>
      <c r="W633" s="9"/>
      <c r="X633" s="9"/>
      <c r="Y633" s="9"/>
      <c r="Z633" s="9"/>
      <c r="AA633" s="9"/>
      <c r="AB633" s="9"/>
      <c r="AC633" s="9"/>
      <c r="AD633" s="9" t="s">
        <v>20</v>
      </c>
    </row>
    <row r="634" spans="1:30" ht="87">
      <c r="A634" s="3" t="s">
        <v>3484</v>
      </c>
      <c r="B634" s="3" t="s">
        <v>13062</v>
      </c>
      <c r="C634" s="3" t="s">
        <v>13065</v>
      </c>
      <c r="G634" s="9" t="s">
        <v>25</v>
      </c>
      <c r="H634" s="9"/>
      <c r="I634" s="9">
        <v>1</v>
      </c>
      <c r="J634" s="9">
        <v>6</v>
      </c>
      <c r="K634" s="9" t="s">
        <v>12125</v>
      </c>
      <c r="L634" s="9" t="s">
        <v>12079</v>
      </c>
      <c r="M634" s="9"/>
      <c r="N634" s="10"/>
      <c r="O634" s="9"/>
      <c r="P634" s="9">
        <v>336</v>
      </c>
      <c r="Q634" s="9"/>
      <c r="R634" s="9" t="s">
        <v>12795</v>
      </c>
      <c r="S634" s="9" t="s">
        <v>12795</v>
      </c>
      <c r="T634" s="9"/>
      <c r="U634" s="9"/>
      <c r="V634" s="9"/>
      <c r="W634" s="9"/>
      <c r="X634" s="9"/>
      <c r="Y634" s="9"/>
      <c r="Z634" s="9"/>
      <c r="AA634" s="9"/>
      <c r="AB634" s="9"/>
      <c r="AC634" s="9"/>
      <c r="AD634" s="9" t="s">
        <v>20</v>
      </c>
    </row>
    <row r="635" spans="1:30" ht="29">
      <c r="A635" s="3" t="s">
        <v>3488</v>
      </c>
      <c r="B635" s="3" t="s">
        <v>3489</v>
      </c>
      <c r="C635" s="3" t="s">
        <v>3490</v>
      </c>
      <c r="G635" s="9" t="s">
        <v>12118</v>
      </c>
      <c r="H635" s="9"/>
      <c r="I635" s="9"/>
      <c r="J635" s="9"/>
      <c r="K635" s="9"/>
      <c r="L635" s="9"/>
      <c r="M635" s="9"/>
      <c r="N635" s="10"/>
      <c r="O635" s="9"/>
      <c r="P635" s="9"/>
      <c r="Q635" s="9">
        <v>0</v>
      </c>
      <c r="R635" s="9">
        <v>1</v>
      </c>
      <c r="S635" s="9">
        <v>1</v>
      </c>
      <c r="T635" s="9"/>
      <c r="U635" s="9"/>
      <c r="V635" s="9"/>
      <c r="W635" s="9"/>
      <c r="X635" s="9"/>
      <c r="Y635" s="9"/>
      <c r="Z635" s="9"/>
      <c r="AA635" s="9"/>
      <c r="AB635" s="9"/>
      <c r="AC635" s="9"/>
      <c r="AD635" s="9" t="s">
        <v>20</v>
      </c>
    </row>
    <row r="636" spans="1:30" ht="43.5">
      <c r="A636" s="3" t="s">
        <v>3494</v>
      </c>
      <c r="B636" s="3" t="s">
        <v>9228</v>
      </c>
      <c r="C636" s="3" t="s">
        <v>9229</v>
      </c>
      <c r="G636" s="9" t="s">
        <v>25</v>
      </c>
      <c r="H636" s="9"/>
      <c r="I636" s="9">
        <v>1</v>
      </c>
      <c r="J636" s="9">
        <v>7</v>
      </c>
      <c r="K636" s="9" t="s">
        <v>12125</v>
      </c>
      <c r="L636" s="9" t="s">
        <v>12079</v>
      </c>
      <c r="M636" s="9"/>
      <c r="N636" s="10"/>
      <c r="O636" s="9"/>
      <c r="P636" s="9">
        <v>320</v>
      </c>
      <c r="Q636" s="9"/>
      <c r="R636" s="9" t="s">
        <v>12795</v>
      </c>
      <c r="S636" s="9" t="s">
        <v>12795</v>
      </c>
      <c r="T636" s="9"/>
      <c r="U636" s="9"/>
      <c r="V636" s="9"/>
      <c r="W636" s="9"/>
      <c r="X636" s="9"/>
      <c r="Y636" s="9"/>
      <c r="Z636" s="9"/>
      <c r="AA636" s="9"/>
      <c r="AB636" s="9"/>
      <c r="AC636" s="9"/>
      <c r="AD636" s="9" t="s">
        <v>20</v>
      </c>
    </row>
    <row r="637" spans="1:30" ht="43.5">
      <c r="A637" s="3" t="s">
        <v>3502</v>
      </c>
      <c r="B637" s="3" t="s">
        <v>9233</v>
      </c>
      <c r="C637" s="3" t="s">
        <v>9232</v>
      </c>
      <c r="G637" s="9" t="s">
        <v>26</v>
      </c>
      <c r="H637" s="9"/>
      <c r="I637" s="9"/>
      <c r="J637" s="9"/>
      <c r="K637" s="9"/>
      <c r="L637" s="9"/>
      <c r="M637" s="9"/>
      <c r="N637" s="10"/>
      <c r="O637" s="9"/>
      <c r="P637" s="9"/>
      <c r="Q637" s="9"/>
      <c r="R637" s="9" t="s">
        <v>12795</v>
      </c>
      <c r="S637" s="9" t="s">
        <v>12795</v>
      </c>
      <c r="T637" s="9" t="s">
        <v>12117</v>
      </c>
      <c r="U637" s="9"/>
      <c r="V637" s="9"/>
      <c r="W637" s="9"/>
      <c r="X637" s="9"/>
      <c r="Y637" s="9"/>
      <c r="Z637" s="9"/>
      <c r="AA637" s="9"/>
      <c r="AB637" s="9"/>
      <c r="AC637" s="9"/>
      <c r="AD637" s="9" t="s">
        <v>20</v>
      </c>
    </row>
    <row r="638" spans="1:30" ht="29">
      <c r="A638" s="3" t="s">
        <v>3502</v>
      </c>
      <c r="B638" s="3" t="s">
        <v>9239</v>
      </c>
      <c r="C638" s="3" t="s">
        <v>9238</v>
      </c>
      <c r="G638" s="9" t="s">
        <v>12118</v>
      </c>
      <c r="H638" s="9"/>
      <c r="I638" s="9"/>
      <c r="J638" s="9"/>
      <c r="K638" s="9"/>
      <c r="L638" s="9"/>
      <c r="M638" s="9"/>
      <c r="N638" s="10"/>
      <c r="O638" s="9"/>
      <c r="P638" s="9"/>
      <c r="Q638" s="9">
        <v>-14</v>
      </c>
      <c r="R638" s="9">
        <v>148</v>
      </c>
      <c r="S638" s="9">
        <v>134</v>
      </c>
      <c r="T638" s="9"/>
      <c r="U638" s="9"/>
      <c r="V638" s="9"/>
      <c r="W638" s="9"/>
      <c r="X638" s="9"/>
      <c r="Y638" s="9"/>
      <c r="Z638" s="9"/>
      <c r="AA638" s="9"/>
      <c r="AB638" s="9"/>
      <c r="AC638" s="9"/>
      <c r="AD638" s="9" t="s">
        <v>20</v>
      </c>
    </row>
    <row r="639" spans="1:30" ht="29">
      <c r="A639" s="3" t="s">
        <v>3503</v>
      </c>
      <c r="B639" s="3" t="s">
        <v>9241</v>
      </c>
      <c r="C639" s="3" t="s">
        <v>9240</v>
      </c>
      <c r="G639" s="9" t="s">
        <v>24</v>
      </c>
      <c r="H639" s="9"/>
      <c r="I639" s="9">
        <v>1</v>
      </c>
      <c r="J639" s="9">
        <v>2</v>
      </c>
      <c r="K639" s="9" t="s">
        <v>12087</v>
      </c>
      <c r="L639" s="9" t="s">
        <v>12119</v>
      </c>
      <c r="M639" s="9"/>
      <c r="N639" s="10"/>
      <c r="O639" s="9"/>
      <c r="P639" s="9">
        <v>1966</v>
      </c>
      <c r="Q639" s="9"/>
      <c r="R639" s="9" t="s">
        <v>12795</v>
      </c>
      <c r="S639" s="9" t="s">
        <v>12795</v>
      </c>
      <c r="T639" s="9"/>
      <c r="U639" s="9"/>
      <c r="V639" s="9"/>
      <c r="W639" s="9"/>
      <c r="X639" s="9"/>
      <c r="Y639" s="9"/>
      <c r="Z639" s="9"/>
      <c r="AA639" s="9"/>
      <c r="AB639" s="9"/>
      <c r="AC639" s="9"/>
      <c r="AD639" s="9" t="s">
        <v>20</v>
      </c>
    </row>
    <row r="640" spans="1:30" ht="29">
      <c r="A640" s="3" t="s">
        <v>3504</v>
      </c>
      <c r="B640" s="3" t="s">
        <v>9243</v>
      </c>
      <c r="C640" s="3" t="s">
        <v>9242</v>
      </c>
      <c r="G640" s="9" t="s">
        <v>12120</v>
      </c>
      <c r="H640" s="9"/>
      <c r="I640" s="9"/>
      <c r="J640" s="9"/>
      <c r="K640" s="9"/>
      <c r="L640" s="9"/>
      <c r="M640" s="9"/>
      <c r="N640" s="10"/>
      <c r="O640" s="9"/>
      <c r="P640" s="9"/>
      <c r="Q640" s="9"/>
      <c r="R640" s="9" t="s">
        <v>12795</v>
      </c>
      <c r="S640" s="9" t="s">
        <v>12795</v>
      </c>
      <c r="T640" s="9"/>
      <c r="U640" s="9"/>
      <c r="V640" s="9"/>
      <c r="W640" s="9"/>
      <c r="X640" s="9"/>
      <c r="Y640" s="9"/>
      <c r="Z640" s="9"/>
      <c r="AA640" s="9"/>
      <c r="AB640" s="9"/>
      <c r="AC640" s="9"/>
      <c r="AD640" s="9" t="s">
        <v>20</v>
      </c>
    </row>
    <row r="641" spans="1:30" ht="29">
      <c r="A641" s="3" t="s">
        <v>3504</v>
      </c>
      <c r="B641" s="3" t="s">
        <v>9245</v>
      </c>
      <c r="C641" s="3" t="s">
        <v>9244</v>
      </c>
      <c r="G641" s="9" t="s">
        <v>12118</v>
      </c>
      <c r="H641" s="9"/>
      <c r="I641" s="9"/>
      <c r="J641" s="9"/>
      <c r="K641" s="9"/>
      <c r="L641" s="9"/>
      <c r="M641" s="9"/>
      <c r="N641" s="10"/>
      <c r="O641" s="9"/>
      <c r="P641" s="9"/>
      <c r="Q641" s="9">
        <v>-16</v>
      </c>
      <c r="R641" s="9">
        <v>29</v>
      </c>
      <c r="S641" s="9">
        <v>13</v>
      </c>
      <c r="T641" s="9"/>
      <c r="U641" s="9"/>
      <c r="V641" s="9"/>
      <c r="W641" s="9"/>
      <c r="X641" s="9"/>
      <c r="Y641" s="9"/>
      <c r="Z641" s="9"/>
      <c r="AA641" s="9"/>
      <c r="AB641" s="9"/>
      <c r="AC641" s="9"/>
      <c r="AD641" s="9" t="s">
        <v>20</v>
      </c>
    </row>
    <row r="642" spans="1:30" ht="29">
      <c r="A642" s="3" t="s">
        <v>3512</v>
      </c>
      <c r="B642" s="3" t="s">
        <v>1900</v>
      </c>
      <c r="C642" s="3" t="s">
        <v>1234</v>
      </c>
      <c r="G642" s="9" t="s">
        <v>12118</v>
      </c>
      <c r="H642" s="9"/>
      <c r="I642" s="9"/>
      <c r="J642" s="9"/>
      <c r="K642" s="9"/>
      <c r="L642" s="9"/>
      <c r="M642" s="9"/>
      <c r="N642" s="10"/>
      <c r="O642" s="9"/>
      <c r="P642" s="9"/>
      <c r="Q642" s="9">
        <v>155</v>
      </c>
      <c r="R642" s="9">
        <v>352</v>
      </c>
      <c r="S642" s="9">
        <v>507</v>
      </c>
      <c r="T642" s="9"/>
      <c r="U642" s="9"/>
      <c r="V642" s="9"/>
      <c r="W642" s="9"/>
      <c r="X642" s="9"/>
      <c r="Y642" s="9"/>
      <c r="Z642" s="9"/>
      <c r="AA642" s="9"/>
      <c r="AB642" s="9"/>
      <c r="AC642" s="9"/>
      <c r="AD642" s="9" t="s">
        <v>20</v>
      </c>
    </row>
    <row r="643" spans="1:30" ht="29">
      <c r="A643" s="3" t="s">
        <v>3515</v>
      </c>
      <c r="B643" s="3" t="s">
        <v>9268</v>
      </c>
      <c r="C643" s="3" t="s">
        <v>9267</v>
      </c>
      <c r="G643" s="9" t="s">
        <v>25</v>
      </c>
      <c r="H643" s="9"/>
      <c r="I643" s="9">
        <v>1</v>
      </c>
      <c r="J643" s="9">
        <v>4</v>
      </c>
      <c r="K643" s="9" t="s">
        <v>12094</v>
      </c>
      <c r="L643" s="9" t="s">
        <v>12079</v>
      </c>
      <c r="M643" s="9"/>
      <c r="N643" s="10"/>
      <c r="O643" s="9"/>
      <c r="P643" s="9">
        <v>1496</v>
      </c>
      <c r="Q643" s="9"/>
      <c r="R643" s="9" t="s">
        <v>12795</v>
      </c>
      <c r="S643" s="9" t="s">
        <v>12795</v>
      </c>
      <c r="T643" s="9"/>
      <c r="U643" s="9"/>
      <c r="V643" s="9"/>
      <c r="W643" s="9"/>
      <c r="X643" s="9"/>
      <c r="Y643" s="9"/>
      <c r="Z643" s="9"/>
      <c r="AA643" s="9"/>
      <c r="AB643" s="9"/>
      <c r="AC643" s="9"/>
      <c r="AD643" s="9" t="s">
        <v>20</v>
      </c>
    </row>
    <row r="644" spans="1:30" ht="43.5">
      <c r="A644" s="3" t="s">
        <v>3517</v>
      </c>
      <c r="B644" s="3" t="s">
        <v>9273</v>
      </c>
      <c r="C644" s="3" t="s">
        <v>9274</v>
      </c>
      <c r="G644" s="9" t="s">
        <v>25</v>
      </c>
      <c r="H644" s="9"/>
      <c r="I644" s="9">
        <v>1</v>
      </c>
      <c r="J644" s="9">
        <v>3</v>
      </c>
      <c r="K644" s="9" t="s">
        <v>12078</v>
      </c>
      <c r="L644" s="9" t="s">
        <v>12079</v>
      </c>
      <c r="M644" s="9"/>
      <c r="N644" s="10"/>
      <c r="O644" s="9"/>
      <c r="P644" s="9">
        <v>11843</v>
      </c>
      <c r="Q644" s="9"/>
      <c r="R644" s="9" t="s">
        <v>12795</v>
      </c>
      <c r="S644" s="9" t="s">
        <v>12795</v>
      </c>
      <c r="T644" s="9"/>
      <c r="U644" s="9"/>
      <c r="V644" s="9"/>
      <c r="W644" s="9"/>
      <c r="X644" s="9"/>
      <c r="Y644" s="9"/>
      <c r="Z644" s="9"/>
      <c r="AA644" s="9"/>
      <c r="AB644" s="9"/>
      <c r="AC644" s="9"/>
      <c r="AD644" s="9" t="s">
        <v>20</v>
      </c>
    </row>
    <row r="645" spans="1:30" ht="29">
      <c r="A645" s="3" t="s">
        <v>3520</v>
      </c>
      <c r="B645" s="3" t="s">
        <v>9279</v>
      </c>
      <c r="C645" s="3" t="s">
        <v>9280</v>
      </c>
      <c r="G645" s="9" t="s">
        <v>12118</v>
      </c>
      <c r="H645" s="9"/>
      <c r="I645" s="9"/>
      <c r="J645" s="9"/>
      <c r="K645" s="9"/>
      <c r="L645" s="9"/>
      <c r="M645" s="9"/>
      <c r="N645" s="10"/>
      <c r="O645" s="9"/>
      <c r="P645" s="9"/>
      <c r="Q645" s="9">
        <v>743</v>
      </c>
      <c r="R645" s="9">
        <v>67</v>
      </c>
      <c r="S645" s="9">
        <v>810</v>
      </c>
      <c r="T645" s="9"/>
      <c r="U645" s="9"/>
      <c r="V645" s="9"/>
      <c r="W645" s="9"/>
      <c r="X645" s="9"/>
      <c r="Y645" s="9"/>
      <c r="Z645" s="9"/>
      <c r="AA645" s="9"/>
      <c r="AB645" s="9"/>
      <c r="AC645" s="9"/>
      <c r="AD645" s="9" t="s">
        <v>20</v>
      </c>
    </row>
    <row r="646" spans="1:30" ht="58">
      <c r="A646" s="3" t="s">
        <v>3520</v>
      </c>
      <c r="B646" s="3" t="s">
        <v>9282</v>
      </c>
      <c r="C646" s="3" t="s">
        <v>9281</v>
      </c>
      <c r="G646" s="9" t="s">
        <v>25</v>
      </c>
      <c r="H646" s="9"/>
      <c r="I646" s="9">
        <v>1</v>
      </c>
      <c r="J646" s="9">
        <v>3</v>
      </c>
      <c r="K646" s="9" t="s">
        <v>12078</v>
      </c>
      <c r="L646" s="9" t="s">
        <v>12079</v>
      </c>
      <c r="M646" s="9"/>
      <c r="N646" s="10"/>
      <c r="O646" s="9"/>
      <c r="P646" s="9">
        <v>11843</v>
      </c>
      <c r="Q646" s="9"/>
      <c r="R646" s="9" t="s">
        <v>12795</v>
      </c>
      <c r="S646" s="9" t="s">
        <v>12795</v>
      </c>
      <c r="T646" s="9"/>
      <c r="U646" s="9"/>
      <c r="V646" s="9"/>
      <c r="W646" s="9"/>
      <c r="X646" s="9"/>
      <c r="Y646" s="9"/>
      <c r="Z646" s="9"/>
      <c r="AA646" s="9"/>
      <c r="AB646" s="9"/>
      <c r="AC646" s="9"/>
      <c r="AD646" s="9" t="s">
        <v>20</v>
      </c>
    </row>
    <row r="647" spans="1:30" ht="58">
      <c r="A647" s="3" t="s">
        <v>3520</v>
      </c>
      <c r="B647" s="3" t="s">
        <v>9283</v>
      </c>
      <c r="C647" s="3" t="s">
        <v>9281</v>
      </c>
      <c r="G647" s="9" t="s">
        <v>25</v>
      </c>
      <c r="H647" s="9"/>
      <c r="I647" s="9">
        <v>1</v>
      </c>
      <c r="J647" s="9">
        <v>5</v>
      </c>
      <c r="K647" s="9" t="s">
        <v>12094</v>
      </c>
      <c r="L647" s="9" t="s">
        <v>12079</v>
      </c>
      <c r="M647" s="9"/>
      <c r="N647" s="10"/>
      <c r="O647" s="9"/>
      <c r="P647" s="9">
        <v>4240</v>
      </c>
      <c r="Q647" s="9"/>
      <c r="R647" s="9" t="s">
        <v>12795</v>
      </c>
      <c r="S647" s="9" t="s">
        <v>12795</v>
      </c>
      <c r="T647" s="9"/>
      <c r="U647" s="9"/>
      <c r="V647" s="9"/>
      <c r="W647" s="9"/>
      <c r="X647" s="9"/>
      <c r="Y647" s="9"/>
      <c r="Z647" s="9"/>
      <c r="AA647" s="9"/>
      <c r="AB647" s="9"/>
      <c r="AC647" s="9"/>
      <c r="AD647" s="9" t="s">
        <v>20</v>
      </c>
    </row>
    <row r="648" spans="1:30" ht="43.5">
      <c r="A648" s="3" t="s">
        <v>3524</v>
      </c>
      <c r="B648" s="3" t="s">
        <v>9291</v>
      </c>
      <c r="C648" s="3" t="s">
        <v>9290</v>
      </c>
      <c r="G648" s="9" t="s">
        <v>26</v>
      </c>
      <c r="H648" s="9"/>
      <c r="I648" s="9"/>
      <c r="J648" s="9"/>
      <c r="K648" s="9"/>
      <c r="L648" s="9"/>
      <c r="M648" s="9"/>
      <c r="N648" s="10"/>
      <c r="O648" s="9"/>
      <c r="P648" s="9"/>
      <c r="Q648" s="9"/>
      <c r="R648" s="9" t="s">
        <v>12795</v>
      </c>
      <c r="S648" s="9" t="s">
        <v>12795</v>
      </c>
      <c r="T648" s="9"/>
      <c r="U648" s="9"/>
      <c r="V648" s="9"/>
      <c r="W648" s="9"/>
      <c r="X648" s="9"/>
      <c r="Y648" s="9"/>
      <c r="Z648" s="9"/>
      <c r="AA648" s="9"/>
      <c r="AB648" s="9"/>
      <c r="AC648" s="9"/>
      <c r="AD648" s="9" t="s">
        <v>20</v>
      </c>
    </row>
    <row r="649" spans="1:30" ht="43.5">
      <c r="A649" s="3" t="s">
        <v>3526</v>
      </c>
      <c r="B649" s="3" t="s">
        <v>12923</v>
      </c>
      <c r="C649" s="3" t="s">
        <v>9302</v>
      </c>
      <c r="G649" s="9" t="s">
        <v>25</v>
      </c>
      <c r="H649" s="9"/>
      <c r="I649" s="9">
        <v>1</v>
      </c>
      <c r="J649" s="9">
        <v>3</v>
      </c>
      <c r="K649" s="9" t="s">
        <v>12087</v>
      </c>
      <c r="L649" s="9" t="s">
        <v>12079</v>
      </c>
      <c r="M649" s="9"/>
      <c r="N649" s="10"/>
      <c r="O649" s="9"/>
      <c r="P649" s="9">
        <v>810</v>
      </c>
      <c r="Q649" s="9"/>
      <c r="R649" s="9" t="s">
        <v>12795</v>
      </c>
      <c r="S649" s="9" t="s">
        <v>12795</v>
      </c>
      <c r="T649" s="9"/>
      <c r="U649" s="9"/>
      <c r="V649" s="9"/>
      <c r="W649" s="9"/>
      <c r="X649" s="9"/>
      <c r="Y649" s="9"/>
      <c r="Z649" s="9"/>
      <c r="AA649" s="9"/>
      <c r="AB649" s="9"/>
      <c r="AC649" s="9"/>
      <c r="AD649" s="9" t="s">
        <v>20</v>
      </c>
    </row>
    <row r="650" spans="1:30" ht="43.5">
      <c r="A650" s="3" t="s">
        <v>3530</v>
      </c>
      <c r="B650" s="3" t="s">
        <v>9305</v>
      </c>
      <c r="C650" s="3" t="s">
        <v>9306</v>
      </c>
      <c r="G650" s="9" t="s">
        <v>25</v>
      </c>
      <c r="H650" s="9"/>
      <c r="I650" s="9">
        <v>1</v>
      </c>
      <c r="J650" s="9">
        <v>6</v>
      </c>
      <c r="K650" s="9" t="s">
        <v>12125</v>
      </c>
      <c r="L650" s="9" t="s">
        <v>12079</v>
      </c>
      <c r="M650" s="9"/>
      <c r="N650" s="10"/>
      <c r="O650" s="9"/>
      <c r="P650" s="9">
        <v>92</v>
      </c>
      <c r="Q650" s="9"/>
      <c r="R650" s="9" t="s">
        <v>12795</v>
      </c>
      <c r="S650" s="9" t="s">
        <v>12795</v>
      </c>
      <c r="T650" s="9"/>
      <c r="U650" s="9"/>
      <c r="V650" s="9"/>
      <c r="W650" s="9"/>
      <c r="X650" s="9"/>
      <c r="Y650" s="9"/>
      <c r="Z650" s="9"/>
      <c r="AA650" s="9"/>
      <c r="AB650" s="9"/>
      <c r="AC650" s="9"/>
      <c r="AD650" s="9" t="s">
        <v>20</v>
      </c>
    </row>
    <row r="651" spans="1:30" ht="43.5">
      <c r="A651" s="3" t="s">
        <v>3535</v>
      </c>
      <c r="B651" s="3" t="s">
        <v>9317</v>
      </c>
      <c r="C651" s="3" t="s">
        <v>9316</v>
      </c>
      <c r="F651" t="s">
        <v>19</v>
      </c>
      <c r="G651" s="9" t="s">
        <v>25</v>
      </c>
      <c r="H651" s="9"/>
      <c r="I651" s="9">
        <v>1</v>
      </c>
      <c r="J651" s="9">
        <v>2</v>
      </c>
      <c r="K651" s="9" t="s">
        <v>12092</v>
      </c>
      <c r="L651" s="9" t="s">
        <v>12119</v>
      </c>
      <c r="M651" s="9"/>
      <c r="N651" s="10"/>
      <c r="O651" s="9"/>
      <c r="P651" s="9">
        <v>361</v>
      </c>
      <c r="Q651" s="9"/>
      <c r="R651" s="9" t="s">
        <v>12795</v>
      </c>
      <c r="S651" s="9" t="s">
        <v>12795</v>
      </c>
      <c r="T651" s="9" t="s">
        <v>12117</v>
      </c>
      <c r="U651" s="9"/>
      <c r="V651" s="9"/>
      <c r="W651" s="9"/>
      <c r="X651" s="9"/>
      <c r="Y651" s="9"/>
      <c r="Z651" s="9"/>
      <c r="AA651" s="9"/>
      <c r="AB651" s="9"/>
      <c r="AC651" s="9"/>
      <c r="AD651" s="9" t="s">
        <v>20</v>
      </c>
    </row>
    <row r="652" spans="1:30" ht="101.5">
      <c r="A652" s="3" t="s">
        <v>3536</v>
      </c>
      <c r="B652" s="3" t="s">
        <v>9324</v>
      </c>
      <c r="C652" s="3" t="s">
        <v>9323</v>
      </c>
      <c r="G652" s="9" t="s">
        <v>26</v>
      </c>
      <c r="H652" s="9"/>
      <c r="I652" s="9"/>
      <c r="J652" s="9"/>
      <c r="K652" s="9"/>
      <c r="L652" s="9"/>
      <c r="M652" s="9"/>
      <c r="N652" s="10"/>
      <c r="O652" s="9"/>
      <c r="P652" s="9"/>
      <c r="Q652" s="9"/>
      <c r="R652" s="9" t="s">
        <v>12795</v>
      </c>
      <c r="S652" s="9" t="s">
        <v>12795</v>
      </c>
      <c r="T652" s="9"/>
      <c r="U652" s="9"/>
      <c r="V652" s="9"/>
      <c r="W652" s="9"/>
      <c r="X652" s="9"/>
      <c r="Y652" s="9"/>
      <c r="Z652" s="9"/>
      <c r="AA652" s="9"/>
      <c r="AB652" s="9"/>
      <c r="AC652" s="9"/>
      <c r="AD652" s="9" t="s">
        <v>20</v>
      </c>
    </row>
    <row r="653" spans="1:30" ht="43.5">
      <c r="A653" s="3" t="s">
        <v>3538</v>
      </c>
      <c r="B653" s="3" t="s">
        <v>9336</v>
      </c>
      <c r="C653" s="3" t="s">
        <v>9335</v>
      </c>
      <c r="G653" s="9" t="s">
        <v>25</v>
      </c>
      <c r="H653" s="9"/>
      <c r="I653" s="9">
        <v>1</v>
      </c>
      <c r="J653" s="9">
        <v>8</v>
      </c>
      <c r="K653" s="9" t="s">
        <v>12125</v>
      </c>
      <c r="L653" s="9" t="s">
        <v>12079</v>
      </c>
      <c r="M653" s="9"/>
      <c r="N653" s="10"/>
      <c r="O653" s="9"/>
      <c r="P653" s="9">
        <v>14</v>
      </c>
      <c r="Q653" s="9"/>
      <c r="R653" s="9" t="s">
        <v>12795</v>
      </c>
      <c r="S653" s="9" t="s">
        <v>12795</v>
      </c>
      <c r="T653" s="9"/>
      <c r="U653" s="9"/>
      <c r="V653" s="9"/>
      <c r="W653" s="9"/>
      <c r="X653" s="9"/>
      <c r="Y653" s="9"/>
      <c r="Z653" s="9"/>
      <c r="AA653" s="9"/>
      <c r="AB653" s="9"/>
      <c r="AC653" s="9"/>
      <c r="AD653" s="9" t="s">
        <v>20</v>
      </c>
    </row>
    <row r="654" spans="1:30" ht="58">
      <c r="A654" s="3" t="s">
        <v>3542</v>
      </c>
      <c r="B654" s="3" t="s">
        <v>9337</v>
      </c>
      <c r="C654" s="3" t="s">
        <v>9338</v>
      </c>
      <c r="G654" s="9" t="s">
        <v>25</v>
      </c>
      <c r="H654" s="9"/>
      <c r="I654" s="9">
        <v>1</v>
      </c>
      <c r="J654" s="9">
        <v>3</v>
      </c>
      <c r="K654" s="9" t="s">
        <v>12087</v>
      </c>
      <c r="L654" s="9" t="s">
        <v>12079</v>
      </c>
      <c r="M654" s="9"/>
      <c r="N654" s="10"/>
      <c r="O654" s="9"/>
      <c r="P654" s="9">
        <v>5676</v>
      </c>
      <c r="Q654" s="9"/>
      <c r="R654" s="9" t="s">
        <v>12795</v>
      </c>
      <c r="S654" s="9" t="s">
        <v>12795</v>
      </c>
      <c r="T654" s="9"/>
      <c r="U654" s="9"/>
      <c r="V654" s="9"/>
      <c r="W654" s="9"/>
      <c r="X654" s="9"/>
      <c r="Y654" s="9"/>
      <c r="Z654" s="9"/>
      <c r="AA654" s="9"/>
      <c r="AB654" s="9"/>
      <c r="AC654" s="9"/>
      <c r="AD654" s="9" t="s">
        <v>20</v>
      </c>
    </row>
    <row r="655" spans="1:30" ht="29">
      <c r="A655" s="3" t="s">
        <v>3549</v>
      </c>
      <c r="B655" s="3" t="s">
        <v>9354</v>
      </c>
      <c r="C655" s="3" t="s">
        <v>9355</v>
      </c>
      <c r="G655" s="9" t="s">
        <v>25</v>
      </c>
      <c r="H655" s="9"/>
      <c r="I655" s="9">
        <v>1</v>
      </c>
      <c r="J655" s="9">
        <v>3</v>
      </c>
      <c r="K655" s="9" t="s">
        <v>12087</v>
      </c>
      <c r="L655" s="9" t="s">
        <v>12079</v>
      </c>
      <c r="M655" s="9"/>
      <c r="N655" s="10"/>
      <c r="O655" s="9"/>
      <c r="P655" s="9">
        <v>356</v>
      </c>
      <c r="Q655" s="9"/>
      <c r="R655" s="9" t="s">
        <v>12795</v>
      </c>
      <c r="S655" s="9" t="s">
        <v>12795</v>
      </c>
      <c r="T655" s="9"/>
      <c r="U655" s="9"/>
      <c r="V655" s="9"/>
      <c r="W655" s="9"/>
      <c r="X655" s="9"/>
      <c r="Y655" s="9"/>
      <c r="Z655" s="9"/>
      <c r="AA655" s="9"/>
      <c r="AB655" s="9"/>
      <c r="AC655" s="9"/>
      <c r="AD655" s="9" t="s">
        <v>20</v>
      </c>
    </row>
    <row r="656" spans="1:30" ht="29">
      <c r="A656" s="3" t="s">
        <v>3561</v>
      </c>
      <c r="B656" s="3" t="s">
        <v>9379</v>
      </c>
      <c r="C656" s="3" t="s">
        <v>9380</v>
      </c>
      <c r="G656" s="9" t="s">
        <v>12120</v>
      </c>
      <c r="H656" s="9"/>
      <c r="I656" s="9"/>
      <c r="J656" s="9"/>
      <c r="K656" s="9"/>
      <c r="L656" s="9"/>
      <c r="M656" s="9"/>
      <c r="N656" s="10"/>
      <c r="O656" s="9"/>
      <c r="P656" s="9"/>
      <c r="Q656" s="9"/>
      <c r="R656" s="9" t="s">
        <v>12795</v>
      </c>
      <c r="S656" s="9" t="s">
        <v>12795</v>
      </c>
      <c r="T656" s="9"/>
      <c r="U656" s="9"/>
      <c r="V656" s="9"/>
      <c r="W656" s="9"/>
      <c r="X656" s="9"/>
      <c r="Y656" s="9"/>
      <c r="Z656" s="9"/>
      <c r="AA656" s="9"/>
      <c r="AB656" s="9"/>
      <c r="AC656" s="9"/>
      <c r="AD656" s="9" t="s">
        <v>20</v>
      </c>
    </row>
    <row r="657" spans="1:30" ht="29">
      <c r="A657" s="3" t="s">
        <v>3563</v>
      </c>
      <c r="B657" s="3" t="s">
        <v>9386</v>
      </c>
      <c r="C657" s="3" t="s">
        <v>9387</v>
      </c>
      <c r="G657" s="9" t="s">
        <v>25</v>
      </c>
      <c r="H657" s="9"/>
      <c r="I657" s="9">
        <v>1</v>
      </c>
      <c r="J657" s="9">
        <v>3</v>
      </c>
      <c r="K657" s="9" t="s">
        <v>12094</v>
      </c>
      <c r="L657" s="9" t="s">
        <v>12079</v>
      </c>
      <c r="M657" s="9"/>
      <c r="N657" s="10"/>
      <c r="O657" s="9"/>
      <c r="P657" s="9">
        <v>1496</v>
      </c>
      <c r="Q657" s="9"/>
      <c r="R657" s="9" t="s">
        <v>12795</v>
      </c>
      <c r="S657" s="9" t="s">
        <v>12795</v>
      </c>
      <c r="T657" s="9"/>
      <c r="U657" s="9"/>
      <c r="V657" s="9"/>
      <c r="W657" s="9"/>
      <c r="X657" s="9"/>
      <c r="Y657" s="9"/>
      <c r="Z657" s="9"/>
      <c r="AA657" s="9"/>
      <c r="AB657" s="9"/>
      <c r="AC657" s="9"/>
      <c r="AD657" s="9" t="s">
        <v>20</v>
      </c>
    </row>
    <row r="658" spans="1:30" ht="43.5">
      <c r="A658" s="3" t="s">
        <v>3564</v>
      </c>
      <c r="B658" s="3" t="s">
        <v>9390</v>
      </c>
      <c r="C658" s="3" t="s">
        <v>9389</v>
      </c>
      <c r="E658" t="s">
        <v>20</v>
      </c>
      <c r="G658" s="9" t="s">
        <v>25</v>
      </c>
      <c r="H658" s="9"/>
      <c r="I658" s="9">
        <v>1</v>
      </c>
      <c r="J658" s="9">
        <v>5</v>
      </c>
      <c r="K658" s="9" t="s">
        <v>12094</v>
      </c>
      <c r="L658" s="9" t="s">
        <v>12079</v>
      </c>
      <c r="M658" s="9"/>
      <c r="N658" s="10"/>
      <c r="O658" s="9"/>
      <c r="P658" s="9">
        <v>4240</v>
      </c>
      <c r="Q658" s="9"/>
      <c r="R658" s="9" t="s">
        <v>12795</v>
      </c>
      <c r="S658" s="9" t="s">
        <v>12795</v>
      </c>
      <c r="T658" s="9"/>
      <c r="U658" s="9"/>
      <c r="V658" s="9"/>
      <c r="W658" s="9"/>
      <c r="X658" s="9"/>
      <c r="Y658" s="9"/>
      <c r="Z658" s="9"/>
      <c r="AA658" s="9"/>
      <c r="AB658" s="9"/>
      <c r="AC658" s="9"/>
      <c r="AD658" s="9" t="s">
        <v>20</v>
      </c>
    </row>
    <row r="659" spans="1:30" ht="58">
      <c r="A659" s="3" t="s">
        <v>3579</v>
      </c>
      <c r="B659" s="3" t="s">
        <v>9415</v>
      </c>
      <c r="C659" s="3" t="s">
        <v>9416</v>
      </c>
      <c r="G659" s="9" t="s">
        <v>25</v>
      </c>
      <c r="H659" s="9"/>
      <c r="I659" s="9">
        <v>1</v>
      </c>
      <c r="J659" s="9">
        <v>8</v>
      </c>
      <c r="K659" s="9" t="s">
        <v>12084</v>
      </c>
      <c r="L659" s="9" t="s">
        <v>12079</v>
      </c>
      <c r="M659" s="9"/>
      <c r="N659" s="10"/>
      <c r="O659" s="9"/>
      <c r="P659" s="9">
        <v>8</v>
      </c>
      <c r="Q659" s="9"/>
      <c r="R659" s="9" t="s">
        <v>12795</v>
      </c>
      <c r="S659" s="9" t="s">
        <v>12795</v>
      </c>
      <c r="T659" s="9"/>
      <c r="U659" s="9"/>
      <c r="V659" s="9"/>
      <c r="W659" s="9"/>
      <c r="X659" s="9"/>
      <c r="Y659" s="9"/>
      <c r="Z659" s="9"/>
      <c r="AA659" s="9"/>
      <c r="AB659" s="9"/>
      <c r="AC659" s="9"/>
      <c r="AD659" s="9" t="s">
        <v>20</v>
      </c>
    </row>
    <row r="660" spans="1:30" ht="29">
      <c r="A660" s="3" t="s">
        <v>3612</v>
      </c>
      <c r="B660" s="3" t="s">
        <v>9476</v>
      </c>
      <c r="C660" s="3" t="s">
        <v>9475</v>
      </c>
      <c r="G660" s="9" t="s">
        <v>25</v>
      </c>
      <c r="H660" s="9"/>
      <c r="I660" s="9">
        <v>1</v>
      </c>
      <c r="J660" s="9">
        <v>1</v>
      </c>
      <c r="K660" s="9" t="s">
        <v>12078</v>
      </c>
      <c r="L660" s="9" t="s">
        <v>12119</v>
      </c>
      <c r="M660" s="9"/>
      <c r="N660" s="10"/>
      <c r="O660" s="9"/>
      <c r="P660" s="9">
        <v>11843</v>
      </c>
      <c r="Q660" s="9"/>
      <c r="R660" s="9" t="s">
        <v>12795</v>
      </c>
      <c r="S660" s="9" t="s">
        <v>12795</v>
      </c>
      <c r="T660" s="9"/>
      <c r="U660" s="9"/>
      <c r="V660" s="9"/>
      <c r="W660" s="9"/>
      <c r="X660" s="9"/>
      <c r="Y660" s="9"/>
      <c r="Z660" s="9"/>
      <c r="AA660" s="9"/>
      <c r="AB660" s="9"/>
      <c r="AC660" s="9"/>
      <c r="AD660" s="9" t="s">
        <v>20</v>
      </c>
    </row>
    <row r="661" spans="1:30" ht="43.5">
      <c r="A661" s="3" t="s">
        <v>3612</v>
      </c>
      <c r="B661" s="3" t="s">
        <v>9477</v>
      </c>
      <c r="C661" s="3" t="s">
        <v>9478</v>
      </c>
      <c r="G661" s="9" t="s">
        <v>12118</v>
      </c>
      <c r="H661" s="9"/>
      <c r="I661" s="9"/>
      <c r="J661" s="9"/>
      <c r="K661" s="9"/>
      <c r="L661" s="9"/>
      <c r="M661" s="9"/>
      <c r="N661" s="10"/>
      <c r="O661" s="9"/>
      <c r="P661" s="9"/>
      <c r="Q661" s="9">
        <v>860</v>
      </c>
      <c r="R661" s="9">
        <v>27</v>
      </c>
      <c r="S661" s="9">
        <v>887</v>
      </c>
      <c r="T661" s="9"/>
      <c r="U661" s="9"/>
      <c r="V661" s="9"/>
      <c r="W661" s="9"/>
      <c r="X661" s="9"/>
      <c r="Y661" s="9"/>
      <c r="Z661" s="9"/>
      <c r="AA661" s="9"/>
      <c r="AB661" s="9"/>
      <c r="AC661" s="9"/>
      <c r="AD661" s="9" t="s">
        <v>20</v>
      </c>
    </row>
    <row r="662" spans="1:30" ht="72.5">
      <c r="A662" s="3" t="s">
        <v>3624</v>
      </c>
      <c r="B662" s="3" t="s">
        <v>9499</v>
      </c>
      <c r="C662" s="3" t="s">
        <v>9498</v>
      </c>
      <c r="G662" s="9" t="s">
        <v>25</v>
      </c>
      <c r="H662" s="9"/>
      <c r="I662" s="9">
        <v>1</v>
      </c>
      <c r="J662" s="9">
        <v>3</v>
      </c>
      <c r="K662" s="9" t="s">
        <v>12092</v>
      </c>
      <c r="L662" s="9" t="s">
        <v>12079</v>
      </c>
      <c r="M662" s="9"/>
      <c r="N662" s="10"/>
      <c r="O662" s="9"/>
      <c r="P662" s="9">
        <v>60</v>
      </c>
      <c r="Q662" s="9"/>
      <c r="R662" s="9" t="s">
        <v>12795</v>
      </c>
      <c r="S662" s="9" t="s">
        <v>12795</v>
      </c>
      <c r="T662" s="9"/>
      <c r="U662" s="9"/>
      <c r="V662" s="9"/>
      <c r="W662" s="9"/>
      <c r="X662" s="9"/>
      <c r="Y662" s="9"/>
      <c r="Z662" s="9"/>
      <c r="AA662" s="9"/>
      <c r="AB662" s="9"/>
      <c r="AC662" s="9"/>
      <c r="AD662" s="9" t="s">
        <v>20</v>
      </c>
    </row>
    <row r="663" spans="1:30" ht="43.5">
      <c r="A663" s="3" t="s">
        <v>3625</v>
      </c>
      <c r="B663" s="3" t="s">
        <v>9504</v>
      </c>
      <c r="C663" s="3" t="s">
        <v>9503</v>
      </c>
      <c r="G663" s="9" t="s">
        <v>26</v>
      </c>
      <c r="H663" s="9"/>
      <c r="I663" s="9"/>
      <c r="J663" s="9"/>
      <c r="K663" s="9"/>
      <c r="L663" s="9"/>
      <c r="M663" s="9"/>
      <c r="N663" s="10"/>
      <c r="O663" s="9"/>
      <c r="P663" s="9"/>
      <c r="Q663" s="9"/>
      <c r="R663" s="9" t="s">
        <v>12795</v>
      </c>
      <c r="S663" s="9" t="s">
        <v>12795</v>
      </c>
      <c r="T663" s="9"/>
      <c r="U663" s="9"/>
      <c r="V663" s="9"/>
      <c r="W663" s="9"/>
      <c r="X663" s="9"/>
      <c r="Y663" s="9"/>
      <c r="Z663" s="9"/>
      <c r="AA663" s="9"/>
      <c r="AB663" s="9"/>
      <c r="AC663" s="9"/>
      <c r="AD663" s="9" t="s">
        <v>20</v>
      </c>
    </row>
    <row r="664" spans="1:30" ht="58">
      <c r="A664" s="3" t="s">
        <v>3631</v>
      </c>
      <c r="B664" s="3" t="s">
        <v>9521</v>
      </c>
      <c r="C664" s="3" t="s">
        <v>9522</v>
      </c>
      <c r="G664" s="9" t="s">
        <v>26</v>
      </c>
      <c r="H664" s="9"/>
      <c r="I664" s="9"/>
      <c r="J664" s="9"/>
      <c r="K664" s="9"/>
      <c r="L664" s="9"/>
      <c r="M664" s="9"/>
      <c r="N664" s="10"/>
      <c r="O664" s="9"/>
      <c r="P664" s="9"/>
      <c r="Q664" s="9"/>
      <c r="R664" s="9" t="s">
        <v>12795</v>
      </c>
      <c r="S664" s="9" t="s">
        <v>12795</v>
      </c>
      <c r="T664" s="9"/>
      <c r="U664" s="9"/>
      <c r="V664" s="9"/>
      <c r="W664" s="9"/>
      <c r="X664" s="9"/>
      <c r="Y664" s="9"/>
      <c r="Z664" s="9"/>
      <c r="AA664" s="9"/>
      <c r="AB664" s="9"/>
      <c r="AC664" s="9"/>
      <c r="AD664" s="9" t="s">
        <v>20</v>
      </c>
    </row>
    <row r="665" spans="1:30" ht="58">
      <c r="A665" s="3" t="s">
        <v>3631</v>
      </c>
      <c r="B665" s="3" t="s">
        <v>9523</v>
      </c>
      <c r="C665" s="3" t="s">
        <v>9524</v>
      </c>
      <c r="F665" t="s">
        <v>19</v>
      </c>
      <c r="G665" s="9" t="s">
        <v>12118</v>
      </c>
      <c r="H665" s="9"/>
      <c r="I665" s="9"/>
      <c r="J665" s="9"/>
      <c r="K665" s="9"/>
      <c r="L665" s="9"/>
      <c r="M665" s="9"/>
      <c r="N665" s="10"/>
      <c r="O665" s="9"/>
      <c r="P665" s="9"/>
      <c r="Q665" s="9">
        <v>-11063</v>
      </c>
      <c r="R665" s="9">
        <v>11843</v>
      </c>
      <c r="S665" s="9">
        <v>780</v>
      </c>
      <c r="T665" s="9"/>
      <c r="U665" s="9"/>
      <c r="V665" s="9"/>
      <c r="W665" s="9"/>
      <c r="X665" s="9"/>
      <c r="Y665" s="9"/>
      <c r="Z665" s="9"/>
      <c r="AA665" s="9"/>
      <c r="AB665" s="9"/>
      <c r="AC665" s="9"/>
      <c r="AD665" s="9" t="s">
        <v>20</v>
      </c>
    </row>
    <row r="666" spans="1:30" ht="43.5">
      <c r="A666" s="3" t="s">
        <v>3633</v>
      </c>
      <c r="B666" s="3" t="s">
        <v>9528</v>
      </c>
      <c r="C666" s="3" t="s">
        <v>9527</v>
      </c>
      <c r="G666" s="9" t="s">
        <v>26</v>
      </c>
      <c r="H666" s="9"/>
      <c r="I666" s="9"/>
      <c r="J666" s="9"/>
      <c r="K666" s="9"/>
      <c r="L666" s="9"/>
      <c r="M666" s="9"/>
      <c r="N666" s="10"/>
      <c r="O666" s="9"/>
      <c r="P666" s="9"/>
      <c r="Q666" s="9"/>
      <c r="R666" s="9" t="s">
        <v>12795</v>
      </c>
      <c r="S666" s="9" t="s">
        <v>12795</v>
      </c>
      <c r="T666" s="9"/>
      <c r="U666" s="9"/>
      <c r="V666" s="9"/>
      <c r="W666" s="9"/>
      <c r="X666" s="9"/>
      <c r="Y666" s="9"/>
      <c r="Z666" s="9"/>
      <c r="AA666" s="9"/>
      <c r="AB666" s="9"/>
      <c r="AC666" s="9"/>
      <c r="AD666" s="9" t="s">
        <v>20</v>
      </c>
    </row>
    <row r="667" spans="1:30" ht="43.5">
      <c r="A667" s="3" t="s">
        <v>3640</v>
      </c>
      <c r="B667" s="3" t="s">
        <v>9541</v>
      </c>
      <c r="C667" s="3" t="s">
        <v>9540</v>
      </c>
      <c r="G667" s="9" t="s">
        <v>25</v>
      </c>
      <c r="H667" s="9"/>
      <c r="I667" s="9">
        <v>1</v>
      </c>
      <c r="J667" s="9">
        <v>2</v>
      </c>
      <c r="K667" s="9" t="s">
        <v>12094</v>
      </c>
      <c r="L667" s="9" t="s">
        <v>12119</v>
      </c>
      <c r="M667" s="9"/>
      <c r="N667" s="10"/>
      <c r="O667" s="9"/>
      <c r="P667" s="9">
        <v>1741</v>
      </c>
      <c r="Q667" s="9"/>
      <c r="R667" s="9" t="s">
        <v>12795</v>
      </c>
      <c r="S667" s="9" t="s">
        <v>12795</v>
      </c>
      <c r="T667" s="9"/>
      <c r="U667" s="9"/>
      <c r="V667" s="9"/>
      <c r="W667" s="9"/>
      <c r="X667" s="9"/>
      <c r="Y667" s="9"/>
      <c r="Z667" s="9"/>
      <c r="AA667" s="9"/>
      <c r="AB667" s="9"/>
      <c r="AC667" s="9"/>
      <c r="AD667" s="9" t="s">
        <v>20</v>
      </c>
    </row>
    <row r="668" spans="1:30" ht="72.5">
      <c r="A668" s="3" t="s">
        <v>3641</v>
      </c>
      <c r="B668" s="3" t="s">
        <v>9542</v>
      </c>
      <c r="C668" s="3" t="s">
        <v>9543</v>
      </c>
      <c r="G668" s="9" t="s">
        <v>25</v>
      </c>
      <c r="H668" s="9"/>
      <c r="I668" s="9">
        <v>3</v>
      </c>
      <c r="J668" s="9">
        <v>12</v>
      </c>
      <c r="K668" s="9"/>
      <c r="L668" s="9" t="s">
        <v>12079</v>
      </c>
      <c r="M668" s="9"/>
      <c r="N668" s="10"/>
      <c r="O668" s="9"/>
      <c r="P668" s="9">
        <v>49</v>
      </c>
      <c r="Q668" s="9"/>
      <c r="R668" s="9" t="s">
        <v>12795</v>
      </c>
      <c r="S668" s="9" t="s">
        <v>12795</v>
      </c>
      <c r="T668" s="9"/>
      <c r="U668" s="9"/>
      <c r="V668" s="9"/>
      <c r="W668" s="9"/>
      <c r="X668" s="9"/>
      <c r="Y668" s="9"/>
      <c r="Z668" s="9"/>
      <c r="AA668" s="9"/>
      <c r="AB668" s="9"/>
      <c r="AC668" s="9"/>
      <c r="AD668" s="9" t="s">
        <v>20</v>
      </c>
    </row>
    <row r="669" spans="1:30" ht="29">
      <c r="A669" s="3" t="s">
        <v>3642</v>
      </c>
      <c r="B669" s="3" t="s">
        <v>9544</v>
      </c>
      <c r="C669" s="3" t="s">
        <v>9546</v>
      </c>
      <c r="F669" t="s">
        <v>19</v>
      </c>
      <c r="G669" s="9" t="s">
        <v>25</v>
      </c>
      <c r="H669" s="9"/>
      <c r="I669" s="9">
        <v>1</v>
      </c>
      <c r="J669" s="9">
        <v>3</v>
      </c>
      <c r="K669" s="9" t="s">
        <v>12087</v>
      </c>
      <c r="L669" s="9" t="s">
        <v>12079</v>
      </c>
      <c r="M669" s="9"/>
      <c r="N669" s="10"/>
      <c r="O669" s="9"/>
      <c r="P669" s="9">
        <v>5676</v>
      </c>
      <c r="Q669" s="9"/>
      <c r="R669" s="9" t="s">
        <v>12795</v>
      </c>
      <c r="S669" s="9" t="s">
        <v>12795</v>
      </c>
      <c r="T669" s="9"/>
      <c r="U669" s="9"/>
      <c r="V669" s="9"/>
      <c r="W669" s="9"/>
      <c r="X669" s="9"/>
      <c r="Y669" s="9"/>
      <c r="Z669" s="9"/>
      <c r="AA669" s="9"/>
      <c r="AB669" s="9"/>
      <c r="AC669" s="9"/>
      <c r="AD669" s="9" t="s">
        <v>20</v>
      </c>
    </row>
    <row r="670" spans="1:30" ht="101.5">
      <c r="A670" s="3" t="s">
        <v>3646</v>
      </c>
      <c r="B670" s="3" t="s">
        <v>9551</v>
      </c>
      <c r="C670" s="3" t="s">
        <v>9552</v>
      </c>
      <c r="G670" s="9" t="s">
        <v>26</v>
      </c>
      <c r="H670" s="9"/>
      <c r="I670" s="9"/>
      <c r="J670" s="9"/>
      <c r="K670" s="9"/>
      <c r="L670" s="9"/>
      <c r="M670" s="9"/>
      <c r="N670" s="10"/>
      <c r="O670" s="9"/>
      <c r="P670" s="9"/>
      <c r="Q670" s="9"/>
      <c r="R670" s="9" t="s">
        <v>12795</v>
      </c>
      <c r="S670" s="9" t="s">
        <v>12795</v>
      </c>
      <c r="T670" s="9"/>
      <c r="U670" s="9"/>
      <c r="V670" s="9"/>
      <c r="W670" s="9"/>
      <c r="X670" s="9"/>
      <c r="Y670" s="9"/>
      <c r="Z670" s="9"/>
      <c r="AA670" s="9"/>
      <c r="AB670" s="9"/>
      <c r="AC670" s="9"/>
      <c r="AD670" s="9" t="s">
        <v>20</v>
      </c>
    </row>
    <row r="671" spans="1:30" ht="29">
      <c r="A671" s="3" t="s">
        <v>3665</v>
      </c>
      <c r="B671" s="3" t="s">
        <v>9576</v>
      </c>
      <c r="C671" s="3" t="s">
        <v>9577</v>
      </c>
      <c r="G671" s="9" t="s">
        <v>12118</v>
      </c>
      <c r="H671" s="9"/>
      <c r="I671" s="9"/>
      <c r="J671" s="9"/>
      <c r="K671" s="9"/>
      <c r="L671" s="9"/>
      <c r="M671" s="9"/>
      <c r="N671" s="10"/>
      <c r="O671" s="9"/>
      <c r="P671" s="9"/>
      <c r="Q671" s="9">
        <v>1706</v>
      </c>
      <c r="R671" s="9">
        <v>336</v>
      </c>
      <c r="S671" s="9">
        <v>2042</v>
      </c>
      <c r="T671" s="9"/>
      <c r="U671" s="9"/>
      <c r="V671" s="9"/>
      <c r="W671" s="9"/>
      <c r="X671" s="9"/>
      <c r="Y671" s="9"/>
      <c r="Z671" s="9"/>
      <c r="AA671" s="9"/>
      <c r="AB671" s="9"/>
      <c r="AC671" s="9"/>
      <c r="AD671" s="9" t="s">
        <v>20</v>
      </c>
    </row>
    <row r="672" spans="1:30" ht="58">
      <c r="A672" s="3" t="s">
        <v>3681</v>
      </c>
      <c r="B672" s="3" t="s">
        <v>9587</v>
      </c>
      <c r="C672" s="3" t="s">
        <v>9586</v>
      </c>
      <c r="G672" s="9" t="s">
        <v>26</v>
      </c>
      <c r="H672" s="9"/>
      <c r="I672" s="9"/>
      <c r="J672" s="9"/>
      <c r="K672" s="9"/>
      <c r="L672" s="9"/>
      <c r="M672" s="9"/>
      <c r="N672" s="10"/>
      <c r="O672" s="9"/>
      <c r="P672" s="9"/>
      <c r="Q672" s="9"/>
      <c r="R672" s="9" t="s">
        <v>12795</v>
      </c>
      <c r="S672" s="9" t="s">
        <v>12795</v>
      </c>
      <c r="T672" s="9"/>
      <c r="U672" s="9"/>
      <c r="V672" s="9"/>
      <c r="W672" s="9"/>
      <c r="X672" s="9"/>
      <c r="Y672" s="9"/>
      <c r="Z672" s="9"/>
      <c r="AA672" s="9"/>
      <c r="AB672" s="9"/>
      <c r="AC672" s="9"/>
      <c r="AD672" s="9" t="s">
        <v>20</v>
      </c>
    </row>
    <row r="673" spans="1:30" ht="29">
      <c r="A673" s="3" t="s">
        <v>3690</v>
      </c>
      <c r="B673" s="3" t="s">
        <v>9599</v>
      </c>
      <c r="C673" s="3" t="s">
        <v>9598</v>
      </c>
      <c r="F673" t="s">
        <v>19</v>
      </c>
      <c r="G673" s="9" t="s">
        <v>25</v>
      </c>
      <c r="H673" s="9"/>
      <c r="I673" s="9">
        <v>1</v>
      </c>
      <c r="J673" s="9">
        <v>2</v>
      </c>
      <c r="K673" s="9" t="s">
        <v>12078</v>
      </c>
      <c r="L673" s="9" t="s">
        <v>12119</v>
      </c>
      <c r="M673" s="9"/>
      <c r="N673" s="10"/>
      <c r="O673" s="9"/>
      <c r="P673" s="9">
        <v>11843</v>
      </c>
      <c r="Q673" s="9"/>
      <c r="R673" s="9" t="s">
        <v>12795</v>
      </c>
      <c r="S673" s="9" t="s">
        <v>12795</v>
      </c>
      <c r="T673" s="9"/>
      <c r="U673" s="9"/>
      <c r="V673" s="9"/>
      <c r="W673" s="9"/>
      <c r="X673" s="9"/>
      <c r="Y673" s="9"/>
      <c r="Z673" s="9"/>
      <c r="AA673" s="9"/>
      <c r="AB673" s="9"/>
      <c r="AC673" s="9"/>
      <c r="AD673" s="9" t="s">
        <v>20</v>
      </c>
    </row>
    <row r="674" spans="1:30" ht="145">
      <c r="A674" s="3" t="s">
        <v>3692</v>
      </c>
      <c r="B674" s="3" t="s">
        <v>9603</v>
      </c>
      <c r="C674" s="3" t="s">
        <v>9602</v>
      </c>
      <c r="G674" s="9" t="s">
        <v>25</v>
      </c>
      <c r="H674" s="9"/>
      <c r="I674" s="9">
        <v>7</v>
      </c>
      <c r="J674" s="9">
        <v>36</v>
      </c>
      <c r="K674" s="9"/>
      <c r="L674" s="9" t="s">
        <v>12079</v>
      </c>
      <c r="M674" s="9"/>
      <c r="N674" s="10"/>
      <c r="O674" s="9"/>
      <c r="P674" s="9">
        <v>3</v>
      </c>
      <c r="Q674" s="9"/>
      <c r="R674" s="9" t="s">
        <v>12795</v>
      </c>
      <c r="S674" s="9" t="s">
        <v>12795</v>
      </c>
      <c r="T674" s="9"/>
      <c r="U674" s="9"/>
      <c r="V674" s="9"/>
      <c r="W674" s="9"/>
      <c r="X674" s="9"/>
      <c r="Y674" s="9"/>
      <c r="Z674" s="9"/>
      <c r="AA674" s="9"/>
      <c r="AB674" s="9"/>
      <c r="AC674" s="9"/>
      <c r="AD674" s="9" t="s">
        <v>20</v>
      </c>
    </row>
    <row r="675" spans="1:30" ht="29">
      <c r="A675" s="3" t="s">
        <v>3696</v>
      </c>
      <c r="B675" s="3" t="s">
        <v>3698</v>
      </c>
      <c r="C675" s="3" t="s">
        <v>3697</v>
      </c>
      <c r="G675" s="9" t="s">
        <v>12118</v>
      </c>
      <c r="H675" s="9"/>
      <c r="I675" s="9"/>
      <c r="J675" s="9"/>
      <c r="K675" s="9"/>
      <c r="L675" s="9"/>
      <c r="M675" s="9"/>
      <c r="N675" s="10"/>
      <c r="O675" s="9"/>
      <c r="P675" s="9"/>
      <c r="Q675" s="9">
        <v>36</v>
      </c>
      <c r="R675" s="9">
        <v>1</v>
      </c>
      <c r="S675" s="9">
        <v>37</v>
      </c>
      <c r="T675" s="9"/>
      <c r="U675" s="9"/>
      <c r="V675" s="9"/>
      <c r="W675" s="9"/>
      <c r="X675" s="9"/>
      <c r="Y675" s="9"/>
      <c r="Z675" s="9"/>
      <c r="AA675" s="9"/>
      <c r="AB675" s="9"/>
      <c r="AC675" s="9"/>
      <c r="AD675" s="9" t="s">
        <v>20</v>
      </c>
    </row>
    <row r="676" spans="1:30" ht="29">
      <c r="A676" s="3" t="s">
        <v>3709</v>
      </c>
      <c r="B676" s="3" t="s">
        <v>3711</v>
      </c>
      <c r="C676" s="3" t="s">
        <v>3710</v>
      </c>
      <c r="F676" t="s">
        <v>19</v>
      </c>
      <c r="G676" s="9" t="s">
        <v>12118</v>
      </c>
      <c r="H676" s="9"/>
      <c r="I676" s="9"/>
      <c r="J676" s="9"/>
      <c r="K676" s="9"/>
      <c r="L676" s="9"/>
      <c r="M676" s="9"/>
      <c r="N676" s="10"/>
      <c r="O676" s="9"/>
      <c r="P676" s="9"/>
      <c r="Q676" s="9">
        <v>-25</v>
      </c>
      <c r="R676" s="9">
        <v>27</v>
      </c>
      <c r="S676" s="9">
        <v>2</v>
      </c>
      <c r="T676" s="9"/>
      <c r="U676" s="9"/>
      <c r="V676" s="9"/>
      <c r="W676" s="9"/>
      <c r="X676" s="9"/>
      <c r="Y676" s="9"/>
      <c r="Z676" s="9"/>
      <c r="AA676" s="9"/>
      <c r="AB676" s="9"/>
      <c r="AC676" s="9"/>
      <c r="AD676" s="9" t="s">
        <v>20</v>
      </c>
    </row>
    <row r="677" spans="1:30" ht="29">
      <c r="A677" s="3" t="s">
        <v>3716</v>
      </c>
      <c r="B677" s="3" t="s">
        <v>9639</v>
      </c>
      <c r="C677" s="3" t="s">
        <v>9638</v>
      </c>
      <c r="G677" s="9" t="s">
        <v>25</v>
      </c>
      <c r="H677" s="9"/>
      <c r="I677" s="9">
        <v>1</v>
      </c>
      <c r="J677" s="9">
        <v>1</v>
      </c>
      <c r="K677" s="9" t="s">
        <v>12094</v>
      </c>
      <c r="L677" s="9" t="s">
        <v>12119</v>
      </c>
      <c r="M677" s="9"/>
      <c r="N677" s="10"/>
      <c r="O677" s="9"/>
      <c r="P677" s="9">
        <v>780</v>
      </c>
      <c r="Q677" s="9"/>
      <c r="R677" s="9" t="s">
        <v>12795</v>
      </c>
      <c r="S677" s="9" t="s">
        <v>12795</v>
      </c>
      <c r="T677" s="9"/>
      <c r="U677" s="9"/>
      <c r="V677" s="9"/>
      <c r="W677" s="9"/>
      <c r="X677" s="9"/>
      <c r="Y677" s="9"/>
      <c r="Z677" s="9"/>
      <c r="AA677" s="9"/>
      <c r="AB677" s="9"/>
      <c r="AC677" s="9"/>
      <c r="AD677" s="9" t="s">
        <v>20</v>
      </c>
    </row>
    <row r="678" spans="1:30" ht="58">
      <c r="A678" s="3" t="s">
        <v>3717</v>
      </c>
      <c r="B678" s="3" t="s">
        <v>9642</v>
      </c>
      <c r="C678" s="3" t="s">
        <v>9643</v>
      </c>
      <c r="G678" s="9" t="s">
        <v>24</v>
      </c>
      <c r="H678" s="9"/>
      <c r="I678" s="9">
        <v>1</v>
      </c>
      <c r="J678" s="9">
        <v>7</v>
      </c>
      <c r="K678" s="9" t="s">
        <v>12125</v>
      </c>
      <c r="L678" s="9" t="s">
        <v>12073</v>
      </c>
      <c r="M678" s="9" t="s">
        <v>12142</v>
      </c>
      <c r="N678" s="10" t="s">
        <v>12156</v>
      </c>
      <c r="O678" s="9" t="s">
        <v>12074</v>
      </c>
      <c r="P678" s="9">
        <v>336</v>
      </c>
      <c r="Q678" s="9"/>
      <c r="R678" s="9" t="s">
        <v>12795</v>
      </c>
      <c r="S678" s="9" t="s">
        <v>12795</v>
      </c>
      <c r="T678" s="9"/>
      <c r="U678" s="9"/>
      <c r="V678" s="9"/>
      <c r="W678" s="9"/>
      <c r="X678" s="9"/>
      <c r="Y678" s="9"/>
      <c r="Z678" s="9"/>
      <c r="AA678" s="9"/>
      <c r="AB678" s="9"/>
      <c r="AC678" s="9"/>
      <c r="AD678" s="9" t="s">
        <v>20</v>
      </c>
    </row>
    <row r="679" spans="1:30" ht="29">
      <c r="A679" s="3" t="s">
        <v>3738</v>
      </c>
      <c r="B679" s="3" t="s">
        <v>9668</v>
      </c>
      <c r="C679" s="3" t="s">
        <v>9669</v>
      </c>
      <c r="G679" s="9" t="s">
        <v>12120</v>
      </c>
      <c r="H679" s="9"/>
      <c r="I679" s="9"/>
      <c r="J679" s="9"/>
      <c r="K679" s="9"/>
      <c r="L679" s="9"/>
      <c r="M679" s="9"/>
      <c r="N679" s="10"/>
      <c r="O679" s="9"/>
      <c r="P679" s="9"/>
      <c r="Q679" s="9"/>
      <c r="R679" s="9" t="s">
        <v>12795</v>
      </c>
      <c r="S679" s="9" t="s">
        <v>12795</v>
      </c>
      <c r="T679" s="9"/>
      <c r="U679" s="9"/>
      <c r="V679" s="9"/>
      <c r="W679" s="9"/>
      <c r="X679" s="9"/>
      <c r="Y679" s="9"/>
      <c r="Z679" s="9"/>
      <c r="AA679" s="9"/>
      <c r="AB679" s="9"/>
      <c r="AC679" s="9"/>
      <c r="AD679" s="9" t="s">
        <v>20</v>
      </c>
    </row>
    <row r="680" spans="1:30" ht="43.5">
      <c r="A680" s="3" t="s">
        <v>3750</v>
      </c>
      <c r="B680" s="3" t="s">
        <v>9698</v>
      </c>
      <c r="C680" s="3" t="s">
        <v>9699</v>
      </c>
      <c r="G680" s="9" t="s">
        <v>25</v>
      </c>
      <c r="H680" s="9"/>
      <c r="I680" s="9">
        <v>1</v>
      </c>
      <c r="J680" s="9">
        <v>2</v>
      </c>
      <c r="K680" s="9" t="s">
        <v>12078</v>
      </c>
      <c r="L680" s="9" t="s">
        <v>12119</v>
      </c>
      <c r="M680" s="9"/>
      <c r="N680" s="10"/>
      <c r="O680" s="9"/>
      <c r="P680" s="9">
        <v>11843</v>
      </c>
      <c r="Q680" s="9"/>
      <c r="R680" s="9" t="s">
        <v>12795</v>
      </c>
      <c r="S680" s="9" t="s">
        <v>12795</v>
      </c>
      <c r="T680" s="9"/>
      <c r="U680" s="9"/>
      <c r="V680" s="9"/>
      <c r="W680" s="9"/>
      <c r="X680" s="9"/>
      <c r="Y680" s="9"/>
      <c r="Z680" s="9"/>
      <c r="AA680" s="9"/>
      <c r="AB680" s="9"/>
      <c r="AC680" s="9"/>
      <c r="AD680" s="9" t="s">
        <v>20</v>
      </c>
    </row>
    <row r="681" spans="1:30" ht="174">
      <c r="A681" s="3" t="s">
        <v>3754</v>
      </c>
      <c r="B681" s="3" t="s">
        <v>12503</v>
      </c>
      <c r="C681" s="3" t="s">
        <v>12504</v>
      </c>
      <c r="G681" s="9" t="s">
        <v>25</v>
      </c>
      <c r="H681" s="9"/>
      <c r="I681" s="9">
        <v>9</v>
      </c>
      <c r="J681" s="9">
        <v>36</v>
      </c>
      <c r="K681" s="9"/>
      <c r="L681" s="9" t="s">
        <v>12073</v>
      </c>
      <c r="M681" s="9" t="s">
        <v>12140</v>
      </c>
      <c r="N681" s="10" t="s">
        <v>12417</v>
      </c>
      <c r="O681" s="9"/>
      <c r="P681" s="9">
        <v>75</v>
      </c>
      <c r="Q681" s="9"/>
      <c r="R681" s="9" t="s">
        <v>12795</v>
      </c>
      <c r="S681" s="9" t="s">
        <v>12795</v>
      </c>
      <c r="T681" s="9"/>
      <c r="U681" s="9"/>
      <c r="V681" s="9"/>
      <c r="W681" s="9"/>
      <c r="X681" s="9"/>
      <c r="Y681" s="9"/>
      <c r="Z681" s="9"/>
      <c r="AA681" s="9"/>
      <c r="AB681" s="9"/>
      <c r="AC681" s="9"/>
      <c r="AD681" s="9" t="s">
        <v>20</v>
      </c>
    </row>
    <row r="682" spans="1:30" ht="116">
      <c r="A682" s="3" t="s">
        <v>3755</v>
      </c>
      <c r="B682" s="3" t="s">
        <v>9704</v>
      </c>
      <c r="C682" s="3" t="s">
        <v>9705</v>
      </c>
      <c r="G682" s="9" t="s">
        <v>26</v>
      </c>
      <c r="H682" s="9"/>
      <c r="I682" s="9"/>
      <c r="J682" s="9"/>
      <c r="K682" s="9"/>
      <c r="L682" s="9"/>
      <c r="M682" s="9"/>
      <c r="N682" s="10"/>
      <c r="O682" s="9"/>
      <c r="P682" s="9"/>
      <c r="Q682" s="9"/>
      <c r="R682" s="9" t="s">
        <v>12795</v>
      </c>
      <c r="S682" s="9" t="s">
        <v>12795</v>
      </c>
      <c r="T682" s="9"/>
      <c r="U682" s="9"/>
      <c r="V682" s="9"/>
      <c r="W682" s="9"/>
      <c r="X682" s="9"/>
      <c r="Y682" s="9"/>
      <c r="Z682" s="9"/>
      <c r="AA682" s="9"/>
      <c r="AB682" s="9"/>
      <c r="AC682" s="9"/>
      <c r="AD682" s="9" t="s">
        <v>20</v>
      </c>
    </row>
    <row r="683" spans="1:30" ht="43.5">
      <c r="A683" s="3" t="s">
        <v>3762</v>
      </c>
      <c r="B683" s="3" t="s">
        <v>9719</v>
      </c>
      <c r="C683" s="3" t="s">
        <v>9720</v>
      </c>
      <c r="G683" s="9" t="s">
        <v>12120</v>
      </c>
      <c r="H683" s="9"/>
      <c r="I683" s="9"/>
      <c r="J683" s="9"/>
      <c r="K683" s="9"/>
      <c r="L683" s="9"/>
      <c r="M683" s="9"/>
      <c r="N683" s="10"/>
      <c r="O683" s="9"/>
      <c r="P683" s="9"/>
      <c r="Q683" s="9"/>
      <c r="R683" s="9" t="s">
        <v>12795</v>
      </c>
      <c r="S683" s="9" t="s">
        <v>12795</v>
      </c>
      <c r="T683" s="9"/>
      <c r="U683" s="9"/>
      <c r="V683" s="9"/>
      <c r="W683" s="9"/>
      <c r="X683" s="9"/>
      <c r="Y683" s="9"/>
      <c r="Z683" s="9"/>
      <c r="AA683" s="9"/>
      <c r="AB683" s="9"/>
      <c r="AC683" s="9"/>
      <c r="AD683" s="9" t="s">
        <v>20</v>
      </c>
    </row>
    <row r="684" spans="1:30" ht="43.5">
      <c r="A684" s="3" t="s">
        <v>3775</v>
      </c>
      <c r="B684" s="3" t="s">
        <v>9748</v>
      </c>
      <c r="C684" s="3" t="s">
        <v>9747</v>
      </c>
      <c r="G684" s="9" t="s">
        <v>24</v>
      </c>
      <c r="H684" s="9"/>
      <c r="I684" s="9">
        <v>1</v>
      </c>
      <c r="J684" s="9">
        <v>2</v>
      </c>
      <c r="K684" s="9" t="s">
        <v>12096</v>
      </c>
      <c r="L684" s="9" t="s">
        <v>12119</v>
      </c>
      <c r="M684" s="9"/>
      <c r="N684" s="10"/>
      <c r="O684" s="9" t="s">
        <v>12074</v>
      </c>
      <c r="P684" s="9">
        <v>1294</v>
      </c>
      <c r="Q684" s="9"/>
      <c r="R684" s="9" t="s">
        <v>12795</v>
      </c>
      <c r="S684" s="9" t="s">
        <v>12795</v>
      </c>
      <c r="T684" s="9"/>
      <c r="U684" s="9"/>
      <c r="V684" s="9"/>
      <c r="W684" s="9"/>
      <c r="X684" s="9"/>
      <c r="Y684" s="9"/>
      <c r="Z684" s="9"/>
      <c r="AA684" s="9"/>
      <c r="AB684" s="9"/>
      <c r="AC684" s="9"/>
      <c r="AD684" s="9" t="s">
        <v>20</v>
      </c>
    </row>
    <row r="685" spans="1:30" ht="101.5">
      <c r="A685" s="3" t="s">
        <v>3775</v>
      </c>
      <c r="B685" s="3" t="s">
        <v>9751</v>
      </c>
      <c r="C685" s="3" t="s">
        <v>9752</v>
      </c>
      <c r="G685" s="9" t="s">
        <v>12118</v>
      </c>
      <c r="H685" s="9"/>
      <c r="I685" s="9"/>
      <c r="J685" s="9"/>
      <c r="K685" s="9"/>
      <c r="L685" s="9"/>
      <c r="M685" s="9"/>
      <c r="N685" s="10"/>
      <c r="O685" s="9"/>
      <c r="P685" s="9"/>
      <c r="Q685" s="9">
        <v>10913</v>
      </c>
      <c r="R685" s="9">
        <v>930</v>
      </c>
      <c r="S685" s="9">
        <v>11843</v>
      </c>
      <c r="T685" s="9"/>
      <c r="U685" s="9"/>
      <c r="V685" s="9"/>
      <c r="W685" s="9"/>
      <c r="X685" s="9"/>
      <c r="Y685" s="9"/>
      <c r="Z685" s="9"/>
      <c r="AA685" s="9"/>
      <c r="AB685" s="9"/>
      <c r="AC685" s="9"/>
      <c r="AD685" s="9" t="s">
        <v>20</v>
      </c>
    </row>
    <row r="686" spans="1:30" ht="29">
      <c r="A686" s="3" t="s">
        <v>3777</v>
      </c>
      <c r="B686" s="3" t="s">
        <v>9760</v>
      </c>
      <c r="C686" s="3" t="s">
        <v>9761</v>
      </c>
      <c r="G686" s="9" t="s">
        <v>12120</v>
      </c>
      <c r="H686" s="9"/>
      <c r="I686" s="9"/>
      <c r="J686" s="9"/>
      <c r="K686" s="9"/>
      <c r="L686" s="9"/>
      <c r="M686" s="9"/>
      <c r="N686" s="10"/>
      <c r="O686" s="9"/>
      <c r="P686" s="9"/>
      <c r="Q686" s="9"/>
      <c r="R686" s="9" t="s">
        <v>12795</v>
      </c>
      <c r="S686" s="9" t="s">
        <v>12795</v>
      </c>
      <c r="T686" s="9"/>
      <c r="U686" s="9"/>
      <c r="V686" s="9"/>
      <c r="W686" s="9"/>
      <c r="X686" s="9"/>
      <c r="Y686" s="9"/>
      <c r="Z686" s="9"/>
      <c r="AA686" s="9"/>
      <c r="AB686" s="9"/>
      <c r="AC686" s="9"/>
      <c r="AD686" s="9" t="s">
        <v>20</v>
      </c>
    </row>
    <row r="687" spans="1:30" ht="43.5">
      <c r="A687" s="3" t="s">
        <v>3778</v>
      </c>
      <c r="B687" s="3" t="s">
        <v>9762</v>
      </c>
      <c r="C687" s="3" t="s">
        <v>12506</v>
      </c>
      <c r="G687" s="9" t="s">
        <v>12118</v>
      </c>
      <c r="H687" s="9"/>
      <c r="I687" s="9"/>
      <c r="J687" s="9"/>
      <c r="K687" s="9"/>
      <c r="L687" s="9"/>
      <c r="M687" s="9"/>
      <c r="N687" s="10"/>
      <c r="O687" s="9"/>
      <c r="P687" s="9"/>
      <c r="Q687" s="9">
        <v>930</v>
      </c>
      <c r="R687" s="9">
        <v>0</v>
      </c>
      <c r="S687" s="9">
        <v>930</v>
      </c>
      <c r="T687" s="9"/>
      <c r="U687" s="9"/>
      <c r="V687" s="9"/>
      <c r="W687" s="9"/>
      <c r="X687" s="9"/>
      <c r="Y687" s="9"/>
      <c r="Z687" s="9"/>
      <c r="AA687" s="9"/>
      <c r="AB687" s="9"/>
      <c r="AC687" s="9"/>
      <c r="AD687" s="9" t="s">
        <v>20</v>
      </c>
    </row>
    <row r="688" spans="1:30" ht="58">
      <c r="A688" s="3" t="s">
        <v>3782</v>
      </c>
      <c r="B688" s="3" t="s">
        <v>9765</v>
      </c>
      <c r="C688" s="3" t="s">
        <v>9764</v>
      </c>
      <c r="G688" s="9" t="s">
        <v>25</v>
      </c>
      <c r="H688" s="9"/>
      <c r="I688" s="9">
        <v>1</v>
      </c>
      <c r="J688" s="9">
        <v>5</v>
      </c>
      <c r="K688" s="9" t="s">
        <v>12094</v>
      </c>
      <c r="L688" s="9" t="s">
        <v>12073</v>
      </c>
      <c r="M688" s="9" t="s">
        <v>12142</v>
      </c>
      <c r="N688" s="10" t="s">
        <v>12143</v>
      </c>
      <c r="O688" s="9"/>
      <c r="P688" s="9">
        <v>4240</v>
      </c>
      <c r="Q688" s="9"/>
      <c r="R688" s="9" t="s">
        <v>12795</v>
      </c>
      <c r="S688" s="9" t="s">
        <v>12795</v>
      </c>
      <c r="T688" s="9"/>
      <c r="U688" s="9"/>
      <c r="V688" s="9"/>
      <c r="W688" s="9"/>
      <c r="X688" s="9"/>
      <c r="Y688" s="9"/>
      <c r="Z688" s="9"/>
      <c r="AA688" s="9"/>
      <c r="AB688" s="9"/>
      <c r="AC688" s="9"/>
      <c r="AD688" s="9" t="s">
        <v>20</v>
      </c>
    </row>
    <row r="689" spans="1:30" ht="29">
      <c r="A689" s="3" t="s">
        <v>3797</v>
      </c>
      <c r="B689" s="3" t="s">
        <v>9792</v>
      </c>
      <c r="C689" s="3" t="s">
        <v>9791</v>
      </c>
      <c r="G689" s="9" t="s">
        <v>12118</v>
      </c>
      <c r="H689" s="9"/>
      <c r="I689" s="9"/>
      <c r="J689" s="9"/>
      <c r="K689" s="9"/>
      <c r="L689" s="9"/>
      <c r="M689" s="9"/>
      <c r="N689" s="10"/>
      <c r="O689" s="9"/>
      <c r="P689" s="9"/>
      <c r="Q689" s="9">
        <v>-3710</v>
      </c>
      <c r="R689" s="9">
        <v>5676</v>
      </c>
      <c r="S689" s="9">
        <v>1966</v>
      </c>
      <c r="T689" s="9"/>
      <c r="U689" s="9"/>
      <c r="V689" s="9"/>
      <c r="W689" s="9"/>
      <c r="X689" s="9"/>
      <c r="Y689" s="9"/>
      <c r="Z689" s="9"/>
      <c r="AA689" s="9"/>
      <c r="AB689" s="9"/>
      <c r="AC689" s="9"/>
      <c r="AD689" s="9" t="s">
        <v>20</v>
      </c>
    </row>
    <row r="690" spans="1:30" ht="130.5">
      <c r="A690" s="3" t="s">
        <v>3826</v>
      </c>
      <c r="B690" s="3" t="s">
        <v>9861</v>
      </c>
      <c r="C690" s="3" t="s">
        <v>9862</v>
      </c>
      <c r="G690" s="9" t="s">
        <v>26</v>
      </c>
      <c r="H690" s="9"/>
      <c r="I690" s="9"/>
      <c r="J690" s="9"/>
      <c r="K690" s="9"/>
      <c r="L690" s="9"/>
      <c r="M690" s="9"/>
      <c r="N690" s="10"/>
      <c r="O690" s="9"/>
      <c r="P690" s="9"/>
      <c r="Q690" s="9"/>
      <c r="R690" s="9" t="s">
        <v>12795</v>
      </c>
      <c r="S690" s="9" t="s">
        <v>12795</v>
      </c>
      <c r="T690" s="9"/>
      <c r="U690" s="9"/>
      <c r="V690" s="9"/>
      <c r="W690" s="9"/>
      <c r="X690" s="9"/>
      <c r="Y690" s="9"/>
      <c r="Z690" s="9"/>
      <c r="AA690" s="9"/>
      <c r="AB690" s="9"/>
      <c r="AC690" s="9"/>
      <c r="AD690" s="9" t="s">
        <v>20</v>
      </c>
    </row>
    <row r="691" spans="1:30" ht="29">
      <c r="A691" s="3" t="s">
        <v>3832</v>
      </c>
      <c r="B691" s="3" t="s">
        <v>3833</v>
      </c>
      <c r="C691" s="3" t="s">
        <v>3834</v>
      </c>
      <c r="G691" s="9" t="s">
        <v>12120</v>
      </c>
      <c r="H691" s="9"/>
      <c r="I691" s="9"/>
      <c r="J691" s="9"/>
      <c r="K691" s="9"/>
      <c r="L691" s="9"/>
      <c r="M691" s="9"/>
      <c r="N691" s="10"/>
      <c r="O691" s="9"/>
      <c r="P691" s="9"/>
      <c r="Q691" s="9"/>
      <c r="R691" s="9" t="s">
        <v>12795</v>
      </c>
      <c r="S691" s="9" t="s">
        <v>12795</v>
      </c>
      <c r="T691" s="9"/>
      <c r="U691" s="9"/>
      <c r="V691" s="9"/>
      <c r="W691" s="9"/>
      <c r="X691" s="9"/>
      <c r="Y691" s="9"/>
      <c r="Z691" s="9"/>
      <c r="AA691" s="9"/>
      <c r="AB691" s="9"/>
      <c r="AC691" s="9"/>
      <c r="AD691" s="9" t="s">
        <v>20</v>
      </c>
    </row>
    <row r="692" spans="1:30" ht="43.5">
      <c r="A692" s="3" t="s">
        <v>3842</v>
      </c>
      <c r="B692" s="3" t="s">
        <v>12931</v>
      </c>
      <c r="C692" s="3" t="s">
        <v>9900</v>
      </c>
      <c r="F692" t="s">
        <v>19</v>
      </c>
      <c r="G692" s="9" t="s">
        <v>24</v>
      </c>
      <c r="H692" s="9"/>
      <c r="I692" s="9">
        <v>1</v>
      </c>
      <c r="J692" s="9">
        <v>2</v>
      </c>
      <c r="K692" s="9" t="s">
        <v>12078</v>
      </c>
      <c r="L692" s="9" t="s">
        <v>12119</v>
      </c>
      <c r="M692" s="9"/>
      <c r="N692" s="10"/>
      <c r="O692" s="9"/>
      <c r="P692" s="9">
        <v>11843</v>
      </c>
      <c r="Q692" s="9"/>
      <c r="R692" s="9" t="s">
        <v>12795</v>
      </c>
      <c r="S692" s="9" t="s">
        <v>12795</v>
      </c>
      <c r="T692" s="9"/>
      <c r="U692" s="9"/>
      <c r="V692" s="9"/>
      <c r="W692" s="9"/>
      <c r="X692" s="9"/>
      <c r="Y692" s="9"/>
      <c r="Z692" s="9"/>
      <c r="AA692" s="9"/>
      <c r="AB692" s="9"/>
      <c r="AC692" s="9"/>
      <c r="AD692" s="9" t="s">
        <v>20</v>
      </c>
    </row>
    <row r="693" spans="1:30" ht="58">
      <c r="A693" s="3" t="s">
        <v>3846</v>
      </c>
      <c r="B693" s="3" t="s">
        <v>9908</v>
      </c>
      <c r="C693" s="3" t="s">
        <v>9907</v>
      </c>
      <c r="G693" s="9" t="s">
        <v>25</v>
      </c>
      <c r="H693" s="9"/>
      <c r="I693" s="9">
        <v>1</v>
      </c>
      <c r="J693" s="9">
        <v>2</v>
      </c>
      <c r="K693" s="9" t="s">
        <v>12125</v>
      </c>
      <c r="L693" s="9" t="s">
        <v>12079</v>
      </c>
      <c r="M693" s="9"/>
      <c r="N693" s="10"/>
      <c r="O693" s="9"/>
      <c r="P693" s="9">
        <v>4</v>
      </c>
      <c r="Q693" s="9"/>
      <c r="R693" s="9" t="s">
        <v>12795</v>
      </c>
      <c r="S693" s="9" t="s">
        <v>12795</v>
      </c>
      <c r="T693" s="9"/>
      <c r="U693" s="9"/>
      <c r="V693" s="9"/>
      <c r="W693" s="9"/>
      <c r="X693" s="9"/>
      <c r="Y693" s="9"/>
      <c r="Z693" s="9"/>
      <c r="AA693" s="9"/>
      <c r="AB693" s="9"/>
      <c r="AC693" s="9"/>
      <c r="AD693" s="9" t="s">
        <v>20</v>
      </c>
    </row>
    <row r="694" spans="1:30" ht="43.5">
      <c r="A694" s="3" t="s">
        <v>3851</v>
      </c>
      <c r="B694" s="3" t="s">
        <v>9917</v>
      </c>
      <c r="C694" s="3" t="s">
        <v>9918</v>
      </c>
      <c r="G694" s="9" t="s">
        <v>12118</v>
      </c>
      <c r="H694" s="9"/>
      <c r="I694" s="9"/>
      <c r="J694" s="9"/>
      <c r="K694" s="9"/>
      <c r="L694" s="9"/>
      <c r="M694" s="9"/>
      <c r="N694" s="10"/>
      <c r="O694" s="9"/>
      <c r="P694" s="9"/>
      <c r="Q694" s="9">
        <v>-15</v>
      </c>
      <c r="R694" s="9">
        <v>21</v>
      </c>
      <c r="S694" s="9">
        <v>6</v>
      </c>
      <c r="T694" s="9"/>
      <c r="U694" s="9"/>
      <c r="V694" s="9"/>
      <c r="W694" s="9"/>
      <c r="X694" s="9"/>
      <c r="Y694" s="9"/>
      <c r="Z694" s="9"/>
      <c r="AA694" s="9"/>
      <c r="AB694" s="9"/>
      <c r="AC694" s="9"/>
      <c r="AD694" s="9" t="s">
        <v>20</v>
      </c>
    </row>
    <row r="695" spans="1:30" ht="58">
      <c r="A695" s="3" t="s">
        <v>3858</v>
      </c>
      <c r="B695" s="3" t="s">
        <v>9943</v>
      </c>
      <c r="C695" s="3" t="s">
        <v>9944</v>
      </c>
      <c r="G695" s="9" t="s">
        <v>12118</v>
      </c>
      <c r="H695" s="9"/>
      <c r="I695" s="9"/>
      <c r="J695" s="9"/>
      <c r="K695" s="9"/>
      <c r="L695" s="9"/>
      <c r="M695" s="9"/>
      <c r="N695" s="10"/>
      <c r="O695" s="9"/>
      <c r="P695" s="9"/>
      <c r="Q695" s="9">
        <v>-245</v>
      </c>
      <c r="R695" s="9">
        <v>1741</v>
      </c>
      <c r="S695" s="9">
        <v>1496</v>
      </c>
      <c r="T695" s="9"/>
      <c r="U695" s="9"/>
      <c r="V695" s="9"/>
      <c r="W695" s="9"/>
      <c r="X695" s="9"/>
      <c r="Y695" s="9"/>
      <c r="Z695" s="9"/>
      <c r="AA695" s="9"/>
      <c r="AB695" s="9"/>
      <c r="AC695" s="9"/>
      <c r="AD695" s="9" t="s">
        <v>20</v>
      </c>
    </row>
    <row r="696" spans="1:30" ht="58">
      <c r="A696" s="3" t="s">
        <v>3859</v>
      </c>
      <c r="B696" s="3" t="s">
        <v>9946</v>
      </c>
      <c r="C696" s="3" t="s">
        <v>9945</v>
      </c>
      <c r="G696" s="9" t="s">
        <v>25</v>
      </c>
      <c r="H696" s="9"/>
      <c r="I696" s="9">
        <v>1</v>
      </c>
      <c r="J696" s="9">
        <v>3</v>
      </c>
      <c r="K696" s="9" t="s">
        <v>12087</v>
      </c>
      <c r="L696" s="9" t="s">
        <v>12079</v>
      </c>
      <c r="M696" s="9"/>
      <c r="N696" s="10"/>
      <c r="O696" s="9"/>
      <c r="P696" s="9">
        <v>356</v>
      </c>
      <c r="Q696" s="9"/>
      <c r="R696" s="9" t="s">
        <v>12795</v>
      </c>
      <c r="S696" s="9" t="s">
        <v>12795</v>
      </c>
      <c r="T696" s="9"/>
      <c r="U696" s="9"/>
      <c r="V696" s="9"/>
      <c r="W696" s="9"/>
      <c r="X696" s="9"/>
      <c r="Y696" s="9"/>
      <c r="Z696" s="9"/>
      <c r="AA696" s="9"/>
      <c r="AB696" s="9"/>
      <c r="AC696" s="9"/>
      <c r="AD696" s="9" t="s">
        <v>20</v>
      </c>
    </row>
    <row r="697" spans="1:30" ht="43.5">
      <c r="A697" s="3" t="s">
        <v>3870</v>
      </c>
      <c r="B697" s="3" t="s">
        <v>9970</v>
      </c>
      <c r="C697" s="3" t="s">
        <v>9969</v>
      </c>
      <c r="G697" s="9" t="s">
        <v>25</v>
      </c>
      <c r="H697" s="9"/>
      <c r="I697" s="9">
        <v>1</v>
      </c>
      <c r="J697" s="9">
        <v>3</v>
      </c>
      <c r="K697" s="9" t="s">
        <v>12087</v>
      </c>
      <c r="L697" s="9" t="s">
        <v>12079</v>
      </c>
      <c r="M697" s="9"/>
      <c r="N697" s="10"/>
      <c r="O697" s="9"/>
      <c r="P697" s="9">
        <v>5676</v>
      </c>
      <c r="Q697" s="9"/>
      <c r="R697" s="9" t="s">
        <v>12795</v>
      </c>
      <c r="S697" s="9" t="s">
        <v>12795</v>
      </c>
      <c r="T697" s="9"/>
      <c r="U697" s="9"/>
      <c r="V697" s="9"/>
      <c r="W697" s="9"/>
      <c r="X697" s="9"/>
      <c r="Y697" s="9"/>
      <c r="Z697" s="9"/>
      <c r="AA697" s="9"/>
      <c r="AB697" s="9"/>
      <c r="AC697" s="9"/>
      <c r="AD697" s="9" t="s">
        <v>20</v>
      </c>
    </row>
    <row r="698" spans="1:30" ht="58">
      <c r="A698" s="3" t="s">
        <v>3874</v>
      </c>
      <c r="B698" s="3" t="s">
        <v>9975</v>
      </c>
      <c r="C698" s="3" t="s">
        <v>9976</v>
      </c>
      <c r="G698" s="9" t="s">
        <v>25</v>
      </c>
      <c r="H698" s="9"/>
      <c r="I698" s="9">
        <v>1</v>
      </c>
      <c r="J698" s="9">
        <v>4</v>
      </c>
      <c r="K698" s="9" t="s">
        <v>12094</v>
      </c>
      <c r="L698" s="9" t="s">
        <v>12079</v>
      </c>
      <c r="M698" s="9"/>
      <c r="N698" s="10"/>
      <c r="O698" s="9"/>
      <c r="P698" s="9">
        <v>4240</v>
      </c>
      <c r="Q698" s="9"/>
      <c r="R698" s="9" t="s">
        <v>12795</v>
      </c>
      <c r="S698" s="9" t="s">
        <v>12795</v>
      </c>
      <c r="T698" s="9"/>
      <c r="U698" s="9"/>
      <c r="V698" s="9"/>
      <c r="W698" s="9"/>
      <c r="X698" s="9"/>
      <c r="Y698" s="9"/>
      <c r="Z698" s="9"/>
      <c r="AA698" s="9"/>
      <c r="AB698" s="9"/>
      <c r="AC698" s="9"/>
      <c r="AD698" s="9" t="s">
        <v>20</v>
      </c>
    </row>
    <row r="699" spans="1:30" ht="29">
      <c r="A699" s="3" t="s">
        <v>3875</v>
      </c>
      <c r="B699" s="3" t="s">
        <v>3876</v>
      </c>
      <c r="C699" s="3" t="s">
        <v>3877</v>
      </c>
      <c r="E699" t="s">
        <v>20</v>
      </c>
      <c r="G699" s="9" t="s">
        <v>12120</v>
      </c>
      <c r="H699" s="9"/>
      <c r="I699" s="9"/>
      <c r="J699" s="9"/>
      <c r="K699" s="9"/>
      <c r="L699" s="9"/>
      <c r="M699" s="9"/>
      <c r="N699" s="10"/>
      <c r="O699" s="9"/>
      <c r="P699" s="9"/>
      <c r="Q699" s="9"/>
      <c r="R699" s="9" t="s">
        <v>12795</v>
      </c>
      <c r="S699" s="9" t="s">
        <v>12795</v>
      </c>
      <c r="T699" s="9"/>
      <c r="U699" s="9"/>
      <c r="V699" s="9"/>
      <c r="W699" s="9"/>
      <c r="X699" s="9"/>
      <c r="Y699" s="9"/>
      <c r="Z699" s="9"/>
      <c r="AA699" s="9"/>
      <c r="AB699" s="9"/>
      <c r="AC699" s="9"/>
      <c r="AD699" s="9" t="s">
        <v>20</v>
      </c>
    </row>
    <row r="700" spans="1:30" ht="87">
      <c r="A700" s="3" t="s">
        <v>3885</v>
      </c>
      <c r="B700" s="3" t="s">
        <v>10006</v>
      </c>
      <c r="C700" s="3" t="s">
        <v>10005</v>
      </c>
      <c r="G700" s="9" t="s">
        <v>25</v>
      </c>
      <c r="H700" s="9"/>
      <c r="I700" s="9">
        <v>2</v>
      </c>
      <c r="J700" s="9">
        <v>10</v>
      </c>
      <c r="K700" s="9"/>
      <c r="L700" s="9" t="s">
        <v>12079</v>
      </c>
      <c r="M700" s="9"/>
      <c r="N700" s="10"/>
      <c r="O700" s="9"/>
      <c r="P700" s="9">
        <v>12</v>
      </c>
      <c r="Q700" s="9"/>
      <c r="R700" s="9" t="s">
        <v>12795</v>
      </c>
      <c r="S700" s="9" t="s">
        <v>12795</v>
      </c>
      <c r="T700" s="9"/>
      <c r="U700" s="9"/>
      <c r="V700" s="9"/>
      <c r="W700" s="9"/>
      <c r="X700" s="9"/>
      <c r="Y700" s="9"/>
      <c r="Z700" s="9"/>
      <c r="AA700" s="9"/>
      <c r="AB700" s="9"/>
      <c r="AC700" s="9"/>
      <c r="AD700" s="9" t="s">
        <v>20</v>
      </c>
    </row>
    <row r="701" spans="1:30" ht="72.5">
      <c r="A701" s="3" t="s">
        <v>3885</v>
      </c>
      <c r="B701" s="3" t="s">
        <v>10011</v>
      </c>
      <c r="C701" s="3" t="s">
        <v>10012</v>
      </c>
      <c r="G701" s="9" t="s">
        <v>12118</v>
      </c>
      <c r="H701" s="9"/>
      <c r="I701" s="9"/>
      <c r="J701" s="9"/>
      <c r="K701" s="9"/>
      <c r="L701" s="9"/>
      <c r="M701" s="9"/>
      <c r="N701" s="10"/>
      <c r="O701" s="9"/>
      <c r="P701" s="9"/>
      <c r="Q701" s="9">
        <v>0</v>
      </c>
      <c r="R701" s="9">
        <v>12</v>
      </c>
      <c r="S701" s="9">
        <v>12</v>
      </c>
      <c r="T701" s="9"/>
      <c r="U701" s="9"/>
      <c r="V701" s="9"/>
      <c r="W701" s="9"/>
      <c r="X701" s="9"/>
      <c r="Y701" s="9"/>
      <c r="Z701" s="9"/>
      <c r="AA701" s="9"/>
      <c r="AB701" s="9"/>
      <c r="AC701" s="9"/>
      <c r="AD701" s="9" t="s">
        <v>20</v>
      </c>
    </row>
    <row r="702" spans="1:30" ht="29">
      <c r="A702" s="3" t="s">
        <v>3888</v>
      </c>
      <c r="B702" s="3" t="s">
        <v>10017</v>
      </c>
      <c r="C702" s="3" t="s">
        <v>10016</v>
      </c>
      <c r="G702" s="9" t="s">
        <v>24</v>
      </c>
      <c r="H702" s="9"/>
      <c r="I702" s="9">
        <v>1</v>
      </c>
      <c r="J702" s="9">
        <v>3</v>
      </c>
      <c r="K702" s="9" t="s">
        <v>12094</v>
      </c>
      <c r="L702" s="9" t="s">
        <v>12079</v>
      </c>
      <c r="M702" s="9"/>
      <c r="N702" s="10"/>
      <c r="O702" s="9"/>
      <c r="P702" s="9">
        <v>1741</v>
      </c>
      <c r="Q702" s="9"/>
      <c r="R702" s="9" t="s">
        <v>12795</v>
      </c>
      <c r="S702" s="9" t="s">
        <v>12795</v>
      </c>
      <c r="T702" s="9"/>
      <c r="U702" s="9"/>
      <c r="V702" s="9"/>
      <c r="W702" s="9"/>
      <c r="X702" s="9"/>
      <c r="Y702" s="9"/>
      <c r="Z702" s="9"/>
      <c r="AA702" s="9"/>
      <c r="AB702" s="9"/>
      <c r="AC702" s="9"/>
      <c r="AD702" s="9" t="s">
        <v>20</v>
      </c>
    </row>
    <row r="703" spans="1:30" ht="72.5">
      <c r="A703" s="3" t="s">
        <v>3888</v>
      </c>
      <c r="B703" s="3" t="s">
        <v>10018</v>
      </c>
      <c r="C703" s="3" t="s">
        <v>10019</v>
      </c>
      <c r="F703" t="s">
        <v>19</v>
      </c>
      <c r="G703" s="9" t="s">
        <v>24</v>
      </c>
      <c r="H703" s="9"/>
      <c r="I703" s="9">
        <v>2</v>
      </c>
      <c r="J703" s="9">
        <v>9</v>
      </c>
      <c r="K703" s="9"/>
      <c r="L703" s="9" t="s">
        <v>12073</v>
      </c>
      <c r="M703" s="9" t="s">
        <v>12135</v>
      </c>
      <c r="N703" s="10" t="s">
        <v>12136</v>
      </c>
      <c r="O703" s="9"/>
      <c r="P703" s="9">
        <v>111</v>
      </c>
      <c r="Q703" s="9"/>
      <c r="R703" s="9" t="s">
        <v>12795</v>
      </c>
      <c r="S703" s="9" t="s">
        <v>12795</v>
      </c>
      <c r="T703" s="9"/>
      <c r="U703" s="9"/>
      <c r="V703" s="9"/>
      <c r="W703" s="9"/>
      <c r="X703" s="9"/>
      <c r="Y703" s="9"/>
      <c r="Z703" s="9"/>
      <c r="AA703" s="9"/>
      <c r="AB703" s="9"/>
      <c r="AC703" s="9"/>
      <c r="AD703" s="9" t="s">
        <v>13141</v>
      </c>
    </row>
    <row r="704" spans="1:30" ht="130.5">
      <c r="A704" s="3" t="s">
        <v>3894</v>
      </c>
      <c r="B704" s="3" t="s">
        <v>10029</v>
      </c>
      <c r="C704" s="3" t="s">
        <v>10024</v>
      </c>
      <c r="G704" s="9" t="s">
        <v>25</v>
      </c>
      <c r="H704" s="9"/>
      <c r="I704" s="9">
        <v>1</v>
      </c>
      <c r="J704" s="9">
        <v>8</v>
      </c>
      <c r="K704" s="9" t="s">
        <v>12072</v>
      </c>
      <c r="L704" s="9" t="s">
        <v>12073</v>
      </c>
      <c r="M704" s="9" t="s">
        <v>12149</v>
      </c>
      <c r="N704" s="10" t="s">
        <v>12143</v>
      </c>
      <c r="O704" s="9"/>
      <c r="P704" s="9">
        <v>1</v>
      </c>
      <c r="Q704" s="9"/>
      <c r="R704" s="9" t="s">
        <v>12795</v>
      </c>
      <c r="S704" s="9" t="s">
        <v>12795</v>
      </c>
      <c r="T704" s="9"/>
      <c r="U704" s="9"/>
      <c r="V704" s="9"/>
      <c r="W704" s="9"/>
      <c r="X704" s="9"/>
      <c r="Y704" s="9"/>
      <c r="Z704" s="9"/>
      <c r="AA704" s="9"/>
      <c r="AB704" s="9"/>
      <c r="AC704" s="9"/>
      <c r="AD704" s="9" t="s">
        <v>20</v>
      </c>
    </row>
    <row r="705" spans="1:30" ht="43.5">
      <c r="A705" s="3" t="s">
        <v>3897</v>
      </c>
      <c r="B705" s="3" t="s">
        <v>10033</v>
      </c>
      <c r="C705" s="3" t="s">
        <v>10034</v>
      </c>
      <c r="G705" s="9" t="s">
        <v>24</v>
      </c>
      <c r="H705" s="9"/>
      <c r="I705" s="9">
        <v>2</v>
      </c>
      <c r="J705" s="9">
        <v>5</v>
      </c>
      <c r="K705" s="9"/>
      <c r="L705" s="9" t="s">
        <v>12073</v>
      </c>
      <c r="M705" s="9" t="s">
        <v>12142</v>
      </c>
      <c r="N705" s="10" t="s">
        <v>12170</v>
      </c>
      <c r="O705" s="9" t="s">
        <v>12074</v>
      </c>
      <c r="P705" s="9">
        <v>472</v>
      </c>
      <c r="Q705" s="9"/>
      <c r="R705" s="9" t="s">
        <v>12795</v>
      </c>
      <c r="S705" s="9" t="s">
        <v>12795</v>
      </c>
      <c r="T705" s="9"/>
      <c r="U705" s="9"/>
      <c r="V705" s="9"/>
      <c r="W705" s="9"/>
      <c r="X705" s="9"/>
      <c r="Y705" s="9"/>
      <c r="Z705" s="9"/>
      <c r="AA705" s="9"/>
      <c r="AB705" s="9"/>
      <c r="AC705" s="9"/>
      <c r="AD705" s="9" t="s">
        <v>20</v>
      </c>
    </row>
    <row r="706" spans="1:30" ht="58">
      <c r="A706" s="3" t="s">
        <v>3903</v>
      </c>
      <c r="B706" s="3" t="s">
        <v>10053</v>
      </c>
      <c r="C706" s="3" t="s">
        <v>10051</v>
      </c>
      <c r="G706" s="9" t="s">
        <v>25</v>
      </c>
      <c r="H706" s="9"/>
      <c r="I706" s="9">
        <v>1</v>
      </c>
      <c r="J706" s="9">
        <v>5</v>
      </c>
      <c r="K706" s="9" t="s">
        <v>12084</v>
      </c>
      <c r="L706" s="9" t="s">
        <v>12079</v>
      </c>
      <c r="M706" s="9"/>
      <c r="N706" s="10"/>
      <c r="O706" s="9"/>
      <c r="P706" s="9">
        <v>17</v>
      </c>
      <c r="Q706" s="9"/>
      <c r="R706" s="9" t="s">
        <v>12795</v>
      </c>
      <c r="S706" s="9" t="s">
        <v>12795</v>
      </c>
      <c r="T706" s="9"/>
      <c r="U706" s="9"/>
      <c r="V706" s="9"/>
      <c r="W706" s="9"/>
      <c r="X706" s="9"/>
      <c r="Y706" s="9"/>
      <c r="Z706" s="9"/>
      <c r="AA706" s="9"/>
      <c r="AB706" s="9"/>
      <c r="AC706" s="9"/>
      <c r="AD706" s="9" t="s">
        <v>20</v>
      </c>
    </row>
    <row r="707" spans="1:30" ht="29">
      <c r="A707" s="3" t="s">
        <v>3906</v>
      </c>
      <c r="B707" s="3" t="s">
        <v>12936</v>
      </c>
      <c r="C707" s="3" t="s">
        <v>10060</v>
      </c>
      <c r="G707" s="9" t="s">
        <v>12118</v>
      </c>
      <c r="H707" s="9"/>
      <c r="I707" s="9"/>
      <c r="J707" s="9"/>
      <c r="K707" s="9"/>
      <c r="L707" s="9"/>
      <c r="M707" s="9"/>
      <c r="N707" s="10"/>
      <c r="O707" s="9"/>
      <c r="P707" s="9"/>
      <c r="Q707" s="9">
        <v>-245</v>
      </c>
      <c r="R707" s="9">
        <v>1741</v>
      </c>
      <c r="S707" s="9">
        <v>1496</v>
      </c>
      <c r="T707" s="9"/>
      <c r="U707" s="9"/>
      <c r="V707" s="9"/>
      <c r="W707" s="9"/>
      <c r="X707" s="9"/>
      <c r="Y707" s="9"/>
      <c r="Z707" s="9"/>
      <c r="AA707" s="9"/>
      <c r="AB707" s="9"/>
      <c r="AC707" s="9"/>
      <c r="AD707" s="9" t="s">
        <v>20</v>
      </c>
    </row>
    <row r="708" spans="1:30" ht="29">
      <c r="A708" s="3" t="s">
        <v>3922</v>
      </c>
      <c r="B708" s="3" t="s">
        <v>10102</v>
      </c>
      <c r="C708" s="3" t="s">
        <v>10103</v>
      </c>
      <c r="G708" s="9" t="s">
        <v>12120</v>
      </c>
      <c r="H708" s="9"/>
      <c r="I708" s="9"/>
      <c r="J708" s="9"/>
      <c r="K708" s="9"/>
      <c r="L708" s="9"/>
      <c r="M708" s="9"/>
      <c r="N708" s="10"/>
      <c r="O708" s="9"/>
      <c r="P708" s="9"/>
      <c r="Q708" s="9"/>
      <c r="R708" s="9" t="s">
        <v>12795</v>
      </c>
      <c r="S708" s="9" t="s">
        <v>12795</v>
      </c>
      <c r="T708" s="9"/>
      <c r="U708" s="9"/>
      <c r="V708" s="9"/>
      <c r="W708" s="9"/>
      <c r="X708" s="9"/>
      <c r="Y708" s="9"/>
      <c r="Z708" s="9"/>
      <c r="AA708" s="9"/>
      <c r="AB708" s="9"/>
      <c r="AC708" s="9"/>
      <c r="AD708" s="9" t="s">
        <v>20</v>
      </c>
    </row>
    <row r="709" spans="1:30" ht="116">
      <c r="A709" s="3" t="s">
        <v>3936</v>
      </c>
      <c r="B709" s="3" t="s">
        <v>10123</v>
      </c>
      <c r="C709" s="3" t="s">
        <v>10124</v>
      </c>
      <c r="G709" s="9" t="s">
        <v>26</v>
      </c>
      <c r="H709" s="9"/>
      <c r="I709" s="9"/>
      <c r="J709" s="9"/>
      <c r="K709" s="9"/>
      <c r="L709" s="9"/>
      <c r="M709" s="9"/>
      <c r="N709" s="10"/>
      <c r="O709" s="9"/>
      <c r="P709" s="9"/>
      <c r="Q709" s="9"/>
      <c r="R709" s="9" t="s">
        <v>12795</v>
      </c>
      <c r="S709" s="9" t="s">
        <v>12795</v>
      </c>
      <c r="T709" s="9"/>
      <c r="U709" s="9"/>
      <c r="V709" s="9"/>
      <c r="W709" s="9"/>
      <c r="X709" s="9"/>
      <c r="Y709" s="9"/>
      <c r="Z709" s="9"/>
      <c r="AA709" s="9"/>
      <c r="AB709" s="9"/>
      <c r="AC709" s="9"/>
      <c r="AD709" s="9" t="s">
        <v>20</v>
      </c>
    </row>
    <row r="710" spans="1:30" ht="116">
      <c r="A710" s="3" t="s">
        <v>3936</v>
      </c>
      <c r="B710" s="3" t="s">
        <v>10126</v>
      </c>
      <c r="C710" s="3" t="s">
        <v>10121</v>
      </c>
      <c r="G710" s="9" t="s">
        <v>25</v>
      </c>
      <c r="H710" s="9"/>
      <c r="I710" s="9">
        <v>1</v>
      </c>
      <c r="J710" s="9">
        <v>4</v>
      </c>
      <c r="K710" s="9" t="s">
        <v>12096</v>
      </c>
      <c r="L710" s="9" t="s">
        <v>12079</v>
      </c>
      <c r="M710" s="9"/>
      <c r="N710" s="10"/>
      <c r="O710" s="9"/>
      <c r="P710" s="9">
        <v>207</v>
      </c>
      <c r="Q710" s="9"/>
      <c r="R710" s="9" t="s">
        <v>12795</v>
      </c>
      <c r="S710" s="9" t="s">
        <v>12795</v>
      </c>
      <c r="T710" s="9"/>
      <c r="U710" s="9"/>
      <c r="V710" s="9"/>
      <c r="W710" s="9"/>
      <c r="X710" s="9"/>
      <c r="Y710" s="9"/>
      <c r="Z710" s="9"/>
      <c r="AA710" s="9"/>
      <c r="AB710" s="9"/>
      <c r="AC710" s="9"/>
      <c r="AD710" s="9" t="s">
        <v>20</v>
      </c>
    </row>
    <row r="711" spans="1:30" ht="58">
      <c r="A711" s="3" t="s">
        <v>3943</v>
      </c>
      <c r="B711" s="3" t="s">
        <v>10131</v>
      </c>
      <c r="C711" s="3" t="s">
        <v>10132</v>
      </c>
      <c r="G711" s="9" t="s">
        <v>12118</v>
      </c>
      <c r="H711" s="9"/>
      <c r="I711" s="9"/>
      <c r="J711" s="9"/>
      <c r="K711" s="9"/>
      <c r="L711" s="9"/>
      <c r="M711" s="9"/>
      <c r="N711" s="10"/>
      <c r="O711" s="9"/>
      <c r="P711" s="9"/>
      <c r="Q711" s="9">
        <v>-34</v>
      </c>
      <c r="R711" s="9">
        <v>74</v>
      </c>
      <c r="S711" s="9">
        <v>40</v>
      </c>
      <c r="T711" s="9"/>
      <c r="U711" s="9"/>
      <c r="V711" s="9"/>
      <c r="W711" s="9"/>
      <c r="X711" s="9"/>
      <c r="Y711" s="9"/>
      <c r="Z711" s="9"/>
      <c r="AA711" s="9"/>
      <c r="AB711" s="9"/>
      <c r="AC711" s="9"/>
      <c r="AD711" s="9" t="s">
        <v>20</v>
      </c>
    </row>
    <row r="712" spans="1:30" ht="87">
      <c r="A712" s="3" t="s">
        <v>3945</v>
      </c>
      <c r="B712" s="3" t="s">
        <v>12519</v>
      </c>
      <c r="C712" s="3" t="s">
        <v>10135</v>
      </c>
      <c r="G712" s="9" t="s">
        <v>25</v>
      </c>
      <c r="H712" s="9"/>
      <c r="I712" s="9">
        <v>1</v>
      </c>
      <c r="J712" s="9">
        <v>3</v>
      </c>
      <c r="K712" s="9" t="s">
        <v>12096</v>
      </c>
      <c r="L712" s="9" t="s">
        <v>12079</v>
      </c>
      <c r="M712" s="9"/>
      <c r="N712" s="10"/>
      <c r="O712" s="9"/>
      <c r="P712" s="9">
        <v>264</v>
      </c>
      <c r="Q712" s="9"/>
      <c r="R712" s="9" t="s">
        <v>12795</v>
      </c>
      <c r="S712" s="9" t="s">
        <v>12795</v>
      </c>
      <c r="T712" s="9"/>
      <c r="U712" s="9"/>
      <c r="V712" s="9"/>
      <c r="W712" s="9"/>
      <c r="X712" s="9"/>
      <c r="Y712" s="9"/>
      <c r="Z712" s="9"/>
      <c r="AA712" s="9"/>
      <c r="AB712" s="9"/>
      <c r="AC712" s="9"/>
      <c r="AD712" s="9" t="s">
        <v>20</v>
      </c>
    </row>
    <row r="713" spans="1:30" ht="101.5">
      <c r="A713" s="3" t="s">
        <v>3945</v>
      </c>
      <c r="B713" s="3" t="s">
        <v>12520</v>
      </c>
      <c r="C713" s="3" t="s">
        <v>12521</v>
      </c>
      <c r="G713" s="9" t="s">
        <v>26</v>
      </c>
      <c r="H713" s="9"/>
      <c r="I713" s="9"/>
      <c r="J713" s="9"/>
      <c r="K713" s="9"/>
      <c r="L713" s="9"/>
      <c r="M713" s="9"/>
      <c r="N713" s="10"/>
      <c r="O713" s="9"/>
      <c r="P713" s="9"/>
      <c r="Q713" s="9"/>
      <c r="R713" s="9" t="s">
        <v>12795</v>
      </c>
      <c r="S713" s="9" t="s">
        <v>12795</v>
      </c>
      <c r="T713" s="9"/>
      <c r="U713" s="9"/>
      <c r="V713" s="9"/>
      <c r="W713" s="9"/>
      <c r="X713" s="9"/>
      <c r="Y713" s="9"/>
      <c r="Z713" s="9"/>
      <c r="AA713" s="9"/>
      <c r="AB713" s="9"/>
      <c r="AC713" s="9"/>
      <c r="AD713" s="9" t="s">
        <v>20</v>
      </c>
    </row>
    <row r="714" spans="1:30" ht="87">
      <c r="A714" s="3" t="s">
        <v>3945</v>
      </c>
      <c r="B714" s="3" t="s">
        <v>10136</v>
      </c>
      <c r="C714" s="3" t="s">
        <v>12522</v>
      </c>
      <c r="G714" s="9" t="s">
        <v>26</v>
      </c>
      <c r="H714" s="9"/>
      <c r="I714" s="9"/>
      <c r="J714" s="9"/>
      <c r="K714" s="9"/>
      <c r="L714" s="9"/>
      <c r="M714" s="9"/>
      <c r="N714" s="10"/>
      <c r="O714" s="9"/>
      <c r="P714" s="9"/>
      <c r="Q714" s="9"/>
      <c r="R714" s="9" t="s">
        <v>12795</v>
      </c>
      <c r="S714" s="9" t="s">
        <v>12795</v>
      </c>
      <c r="T714" s="9"/>
      <c r="U714" s="9"/>
      <c r="V714" s="9"/>
      <c r="W714" s="9"/>
      <c r="X714" s="9"/>
      <c r="Y714" s="9"/>
      <c r="Z714" s="9"/>
      <c r="AA714" s="9"/>
      <c r="AB714" s="9"/>
      <c r="AC714" s="9"/>
      <c r="AD714" s="9" t="s">
        <v>20</v>
      </c>
    </row>
    <row r="715" spans="1:30" ht="72.5">
      <c r="A715" s="3" t="s">
        <v>3955</v>
      </c>
      <c r="B715" s="3" t="s">
        <v>10146</v>
      </c>
      <c r="C715" s="3" t="s">
        <v>10147</v>
      </c>
      <c r="G715" s="9" t="s">
        <v>26</v>
      </c>
      <c r="H715" s="9"/>
      <c r="I715" s="9"/>
      <c r="J715" s="9"/>
      <c r="K715" s="9"/>
      <c r="L715" s="9"/>
      <c r="M715" s="9"/>
      <c r="N715" s="10"/>
      <c r="O715" s="9"/>
      <c r="P715" s="9"/>
      <c r="Q715" s="9"/>
      <c r="R715" s="9" t="s">
        <v>12795</v>
      </c>
      <c r="S715" s="9" t="s">
        <v>12795</v>
      </c>
      <c r="T715" s="9"/>
      <c r="U715" s="9"/>
      <c r="V715" s="9"/>
      <c r="W715" s="9"/>
      <c r="X715" s="9"/>
      <c r="Y715" s="9"/>
      <c r="Z715" s="9"/>
      <c r="AA715" s="9"/>
      <c r="AB715" s="9"/>
      <c r="AC715" s="9"/>
      <c r="AD715" s="9" t="s">
        <v>20</v>
      </c>
    </row>
    <row r="716" spans="1:30" ht="58">
      <c r="A716" s="3" t="s">
        <v>3957</v>
      </c>
      <c r="B716" s="3" t="s">
        <v>10158</v>
      </c>
      <c r="C716" s="3" t="s">
        <v>10159</v>
      </c>
      <c r="G716" s="9" t="s">
        <v>26</v>
      </c>
      <c r="H716" s="9"/>
      <c r="I716" s="9"/>
      <c r="J716" s="9"/>
      <c r="K716" s="9"/>
      <c r="L716" s="9"/>
      <c r="M716" s="9"/>
      <c r="N716" s="10"/>
      <c r="O716" s="9"/>
      <c r="P716" s="9"/>
      <c r="Q716" s="9"/>
      <c r="R716" s="9" t="s">
        <v>12795</v>
      </c>
      <c r="S716" s="9" t="s">
        <v>12795</v>
      </c>
      <c r="T716" s="9"/>
      <c r="U716" s="9"/>
      <c r="V716" s="9"/>
      <c r="W716" s="9"/>
      <c r="X716" s="9"/>
      <c r="Y716" s="9"/>
      <c r="Z716" s="9"/>
      <c r="AA716" s="9"/>
      <c r="AB716" s="9"/>
      <c r="AC716" s="9"/>
      <c r="AD716" s="9" t="s">
        <v>20</v>
      </c>
    </row>
    <row r="717" spans="1:30" ht="29">
      <c r="A717" s="3" t="s">
        <v>3970</v>
      </c>
      <c r="B717" s="3" t="s">
        <v>3971</v>
      </c>
      <c r="C717" s="3" t="s">
        <v>3972</v>
      </c>
      <c r="G717" s="9" t="s">
        <v>12120</v>
      </c>
      <c r="H717" s="9"/>
      <c r="I717" s="9"/>
      <c r="J717" s="9"/>
      <c r="K717" s="9"/>
      <c r="L717" s="9"/>
      <c r="M717" s="9"/>
      <c r="N717" s="10"/>
      <c r="O717" s="9"/>
      <c r="P717" s="9"/>
      <c r="Q717" s="9"/>
      <c r="R717" s="9" t="s">
        <v>12795</v>
      </c>
      <c r="S717" s="9" t="s">
        <v>12795</v>
      </c>
      <c r="T717" s="9"/>
      <c r="U717" s="9"/>
      <c r="V717" s="9"/>
      <c r="W717" s="9"/>
      <c r="X717" s="9"/>
      <c r="Y717" s="9"/>
      <c r="Z717" s="9"/>
      <c r="AA717" s="9"/>
      <c r="AB717" s="9"/>
      <c r="AC717" s="9"/>
      <c r="AD717" s="9" t="s">
        <v>20</v>
      </c>
    </row>
    <row r="718" spans="1:30" ht="58">
      <c r="A718" s="3" t="s">
        <v>3996</v>
      </c>
      <c r="B718" s="3" t="s">
        <v>12523</v>
      </c>
      <c r="C718" s="3" t="s">
        <v>10212</v>
      </c>
      <c r="G718" s="9" t="s">
        <v>12118</v>
      </c>
      <c r="H718" s="9"/>
      <c r="I718" s="9"/>
      <c r="J718" s="9"/>
      <c r="K718" s="9"/>
      <c r="L718" s="9"/>
      <c r="M718" s="9"/>
      <c r="N718" s="10"/>
      <c r="O718" s="9"/>
      <c r="P718" s="9"/>
      <c r="Q718" s="9">
        <v>-24</v>
      </c>
      <c r="R718" s="9">
        <v>24</v>
      </c>
      <c r="S718" s="9">
        <v>0</v>
      </c>
      <c r="T718" s="9"/>
      <c r="U718" s="9"/>
      <c r="V718" s="9"/>
      <c r="W718" s="9"/>
      <c r="X718" s="9"/>
      <c r="Y718" s="9"/>
      <c r="Z718" s="9"/>
      <c r="AA718" s="9"/>
      <c r="AB718" s="9"/>
      <c r="AC718" s="9"/>
      <c r="AD718" s="9" t="s">
        <v>20</v>
      </c>
    </row>
    <row r="719" spans="1:30" ht="87">
      <c r="A719" s="3" t="s">
        <v>4007</v>
      </c>
      <c r="B719" s="3" t="s">
        <v>10242</v>
      </c>
      <c r="C719" s="3" t="s">
        <v>10241</v>
      </c>
      <c r="G719" s="9" t="s">
        <v>25</v>
      </c>
      <c r="H719" s="9"/>
      <c r="I719" s="9">
        <v>1</v>
      </c>
      <c r="J719" s="9">
        <v>3</v>
      </c>
      <c r="K719" s="9" t="s">
        <v>12087</v>
      </c>
      <c r="L719" s="9" t="s">
        <v>12079</v>
      </c>
      <c r="M719" s="9"/>
      <c r="N719" s="10"/>
      <c r="O719" s="9"/>
      <c r="P719" s="9">
        <v>431</v>
      </c>
      <c r="Q719" s="9"/>
      <c r="R719" s="9" t="s">
        <v>12795</v>
      </c>
      <c r="S719" s="9" t="s">
        <v>12795</v>
      </c>
      <c r="T719" s="9"/>
      <c r="U719" s="9"/>
      <c r="V719" s="9"/>
      <c r="W719" s="9"/>
      <c r="X719" s="9"/>
      <c r="Y719" s="9"/>
      <c r="Z719" s="9"/>
      <c r="AA719" s="9"/>
      <c r="AB719" s="9"/>
      <c r="AC719" s="9"/>
      <c r="AD719" s="9" t="s">
        <v>20</v>
      </c>
    </row>
    <row r="720" spans="1:30" ht="87">
      <c r="A720" s="3" t="s">
        <v>4023</v>
      </c>
      <c r="B720" s="3" t="s">
        <v>10290</v>
      </c>
      <c r="C720" s="3" t="s">
        <v>10291</v>
      </c>
      <c r="G720" s="9" t="s">
        <v>25</v>
      </c>
      <c r="H720" s="9"/>
      <c r="I720" s="9">
        <v>1</v>
      </c>
      <c r="J720" s="9">
        <v>2</v>
      </c>
      <c r="K720" s="9" t="s">
        <v>12087</v>
      </c>
      <c r="L720" s="9" t="s">
        <v>12119</v>
      </c>
      <c r="M720" s="9"/>
      <c r="N720" s="10"/>
      <c r="O720" s="9"/>
      <c r="P720" s="9">
        <v>1966</v>
      </c>
      <c r="Q720" s="9"/>
      <c r="R720" s="9" t="s">
        <v>12795</v>
      </c>
      <c r="S720" s="9" t="s">
        <v>12795</v>
      </c>
      <c r="T720" s="9"/>
      <c r="U720" s="9"/>
      <c r="V720" s="9"/>
      <c r="W720" s="9"/>
      <c r="X720" s="9"/>
      <c r="Y720" s="9"/>
      <c r="Z720" s="9"/>
      <c r="AA720" s="9"/>
      <c r="AB720" s="9"/>
      <c r="AC720" s="9"/>
      <c r="AD720" s="9" t="s">
        <v>20</v>
      </c>
    </row>
    <row r="721" spans="1:30" ht="87">
      <c r="A721" s="3" t="s">
        <v>4023</v>
      </c>
      <c r="B721" s="3" t="s">
        <v>10292</v>
      </c>
      <c r="C721" s="3" t="s">
        <v>10291</v>
      </c>
      <c r="G721" s="9" t="s">
        <v>25</v>
      </c>
      <c r="H721" s="9"/>
      <c r="I721" s="9">
        <v>1</v>
      </c>
      <c r="J721" s="9">
        <v>5</v>
      </c>
      <c r="K721" s="9" t="s">
        <v>12125</v>
      </c>
      <c r="L721" s="9" t="s">
        <v>12079</v>
      </c>
      <c r="M721" s="9"/>
      <c r="N721" s="10"/>
      <c r="O721" s="9"/>
      <c r="P721" s="9">
        <v>1565</v>
      </c>
      <c r="Q721" s="9"/>
      <c r="R721" s="9" t="s">
        <v>12795</v>
      </c>
      <c r="S721" s="9" t="s">
        <v>12795</v>
      </c>
      <c r="T721" s="9"/>
      <c r="U721" s="9"/>
      <c r="V721" s="9"/>
      <c r="W721" s="9"/>
      <c r="X721" s="9"/>
      <c r="Y721" s="9"/>
      <c r="Z721" s="9"/>
      <c r="AA721" s="9"/>
      <c r="AB721" s="9"/>
      <c r="AC721" s="9"/>
      <c r="AD721" s="9" t="s">
        <v>20</v>
      </c>
    </row>
    <row r="722" spans="1:30" ht="43.5">
      <c r="A722" s="3" t="s">
        <v>4026</v>
      </c>
      <c r="B722" s="3" t="s">
        <v>10310</v>
      </c>
      <c r="C722" s="3" t="s">
        <v>10309</v>
      </c>
      <c r="G722" s="9" t="s">
        <v>25</v>
      </c>
      <c r="H722" s="9"/>
      <c r="I722" s="9">
        <v>1</v>
      </c>
      <c r="J722" s="9">
        <v>4</v>
      </c>
      <c r="K722" s="9" t="s">
        <v>12078</v>
      </c>
      <c r="L722" s="9" t="s">
        <v>12073</v>
      </c>
      <c r="M722" s="9" t="s">
        <v>12142</v>
      </c>
      <c r="N722" s="10" t="s">
        <v>12160</v>
      </c>
      <c r="O722" s="9" t="s">
        <v>12074</v>
      </c>
      <c r="P722" s="9">
        <v>11843</v>
      </c>
      <c r="Q722" s="9"/>
      <c r="R722" s="9" t="s">
        <v>12795</v>
      </c>
      <c r="S722" s="9" t="s">
        <v>12795</v>
      </c>
      <c r="T722" s="9"/>
      <c r="U722" s="9"/>
      <c r="V722" s="9"/>
      <c r="W722" s="9"/>
      <c r="X722" s="9"/>
      <c r="Y722" s="9"/>
      <c r="Z722" s="9"/>
      <c r="AA722" s="9"/>
      <c r="AB722" s="9"/>
      <c r="AC722" s="9"/>
      <c r="AD722" s="9" t="s">
        <v>20</v>
      </c>
    </row>
    <row r="723" spans="1:30" ht="29">
      <c r="A723" s="3" t="s">
        <v>4029</v>
      </c>
      <c r="B723" s="3" t="s">
        <v>4030</v>
      </c>
      <c r="C723" s="3" t="s">
        <v>4031</v>
      </c>
      <c r="G723" s="9" t="s">
        <v>12120</v>
      </c>
      <c r="H723" s="9"/>
      <c r="I723" s="9"/>
      <c r="J723" s="9"/>
      <c r="K723" s="9"/>
      <c r="L723" s="9"/>
      <c r="M723" s="9"/>
      <c r="N723" s="10"/>
      <c r="O723" s="9"/>
      <c r="P723" s="9"/>
      <c r="Q723" s="9"/>
      <c r="R723" s="9" t="s">
        <v>12795</v>
      </c>
      <c r="S723" s="9" t="s">
        <v>12795</v>
      </c>
      <c r="T723" s="9"/>
      <c r="U723" s="9"/>
      <c r="V723" s="9"/>
      <c r="W723" s="9"/>
      <c r="X723" s="9"/>
      <c r="Y723" s="9"/>
      <c r="Z723" s="9"/>
      <c r="AA723" s="9"/>
      <c r="AB723" s="9"/>
      <c r="AC723" s="9"/>
      <c r="AD723" s="9" t="s">
        <v>20</v>
      </c>
    </row>
    <row r="724" spans="1:30" ht="72.5">
      <c r="A724" s="3" t="s">
        <v>4037</v>
      </c>
      <c r="B724" s="3" t="s">
        <v>10329</v>
      </c>
      <c r="C724" s="3" t="s">
        <v>10330</v>
      </c>
      <c r="G724" s="9" t="s">
        <v>24</v>
      </c>
      <c r="H724" s="9"/>
      <c r="I724" s="9">
        <v>1</v>
      </c>
      <c r="J724" s="9">
        <v>3</v>
      </c>
      <c r="K724" s="9" t="s">
        <v>12078</v>
      </c>
      <c r="L724" s="9" t="s">
        <v>12079</v>
      </c>
      <c r="M724" s="9"/>
      <c r="N724" s="10"/>
      <c r="O724" s="9"/>
      <c r="P724" s="9">
        <v>11843</v>
      </c>
      <c r="Q724" s="9"/>
      <c r="R724" s="9" t="s">
        <v>12795</v>
      </c>
      <c r="S724" s="9" t="s">
        <v>12795</v>
      </c>
      <c r="T724" s="9"/>
      <c r="U724" s="9"/>
      <c r="V724" s="9"/>
      <c r="W724" s="9"/>
      <c r="X724" s="9"/>
      <c r="Y724" s="9"/>
      <c r="Z724" s="9"/>
      <c r="AA724" s="9"/>
      <c r="AB724" s="9"/>
      <c r="AC724" s="9"/>
      <c r="AD724" s="9" t="s">
        <v>20</v>
      </c>
    </row>
    <row r="725" spans="1:30" ht="29">
      <c r="A725" s="3" t="s">
        <v>4043</v>
      </c>
      <c r="B725" s="3" t="s">
        <v>10332</v>
      </c>
      <c r="C725" s="3" t="s">
        <v>10333</v>
      </c>
      <c r="G725" s="9" t="s">
        <v>12118</v>
      </c>
      <c r="H725" s="9"/>
      <c r="I725" s="9"/>
      <c r="J725" s="9"/>
      <c r="K725" s="9"/>
      <c r="L725" s="9"/>
      <c r="M725" s="9"/>
      <c r="N725" s="10"/>
      <c r="O725" s="9"/>
      <c r="P725" s="9"/>
      <c r="Q725" s="9">
        <v>11063</v>
      </c>
      <c r="R725" s="9">
        <v>780</v>
      </c>
      <c r="S725" s="9">
        <v>11843</v>
      </c>
      <c r="T725" s="9"/>
      <c r="U725" s="9"/>
      <c r="V725" s="9"/>
      <c r="W725" s="9"/>
      <c r="X725" s="9"/>
      <c r="Y725" s="9"/>
      <c r="Z725" s="9"/>
      <c r="AA725" s="9"/>
      <c r="AB725" s="9"/>
      <c r="AC725" s="9"/>
      <c r="AD725" s="9" t="s">
        <v>20</v>
      </c>
    </row>
    <row r="726" spans="1:30" ht="246.5">
      <c r="A726" s="3" t="s">
        <v>4043</v>
      </c>
      <c r="B726" s="3" t="s">
        <v>10337</v>
      </c>
      <c r="C726" s="3" t="s">
        <v>10334</v>
      </c>
      <c r="G726" s="9" t="s">
        <v>25</v>
      </c>
      <c r="H726" s="9"/>
      <c r="I726" s="9">
        <v>9</v>
      </c>
      <c r="J726" s="9">
        <v>52</v>
      </c>
      <c r="K726" s="9"/>
      <c r="L726" s="9" t="s">
        <v>12079</v>
      </c>
      <c r="M726" s="9"/>
      <c r="N726" s="10"/>
      <c r="O726" s="9"/>
      <c r="P726" s="9">
        <v>0</v>
      </c>
      <c r="Q726" s="9"/>
      <c r="R726" s="9" t="s">
        <v>12795</v>
      </c>
      <c r="S726" s="9" t="s">
        <v>12795</v>
      </c>
      <c r="T726" s="9"/>
      <c r="U726" s="9"/>
      <c r="V726" s="9"/>
      <c r="W726" s="9"/>
      <c r="X726" s="9"/>
      <c r="Y726" s="9"/>
      <c r="Z726" s="9"/>
      <c r="AA726" s="9"/>
      <c r="AB726" s="9"/>
      <c r="AC726" s="9"/>
      <c r="AD726" s="9" t="s">
        <v>13141</v>
      </c>
    </row>
    <row r="727" spans="1:30" ht="246.5">
      <c r="A727" s="3" t="s">
        <v>4044</v>
      </c>
      <c r="B727" s="3" t="s">
        <v>10338</v>
      </c>
      <c r="C727" s="3" t="s">
        <v>10339</v>
      </c>
      <c r="G727" s="9" t="s">
        <v>12120</v>
      </c>
      <c r="H727" s="9"/>
      <c r="I727" s="9"/>
      <c r="J727" s="9"/>
      <c r="K727" s="9"/>
      <c r="L727" s="9"/>
      <c r="M727" s="9"/>
      <c r="N727" s="10"/>
      <c r="O727" s="9"/>
      <c r="P727" s="9"/>
      <c r="Q727" s="9"/>
      <c r="R727" s="9" t="s">
        <v>12795</v>
      </c>
      <c r="S727" s="9" t="s">
        <v>12795</v>
      </c>
      <c r="T727" s="9"/>
      <c r="U727" s="9"/>
      <c r="V727" s="9"/>
      <c r="W727" s="9"/>
      <c r="X727" s="9"/>
      <c r="Y727" s="9"/>
      <c r="Z727" s="9"/>
      <c r="AA727" s="9"/>
      <c r="AB727" s="9"/>
      <c r="AC727" s="9"/>
      <c r="AD727" s="9" t="s">
        <v>20</v>
      </c>
    </row>
    <row r="728" spans="1:30" ht="29">
      <c r="A728" s="3" t="s">
        <v>4046</v>
      </c>
      <c r="B728" s="3" t="s">
        <v>10347</v>
      </c>
      <c r="C728" s="3" t="s">
        <v>10348</v>
      </c>
      <c r="G728" s="9" t="s">
        <v>12118</v>
      </c>
      <c r="H728" s="9"/>
      <c r="I728" s="9"/>
      <c r="J728" s="9"/>
      <c r="K728" s="9"/>
      <c r="L728" s="9"/>
      <c r="M728" s="9"/>
      <c r="N728" s="10"/>
      <c r="O728" s="9"/>
      <c r="P728" s="9"/>
      <c r="Q728" s="9">
        <v>245</v>
      </c>
      <c r="R728" s="9">
        <v>1496</v>
      </c>
      <c r="S728" s="9">
        <v>1741</v>
      </c>
      <c r="T728" s="9"/>
      <c r="U728" s="9"/>
      <c r="V728" s="9"/>
      <c r="W728" s="9"/>
      <c r="X728" s="9"/>
      <c r="Y728" s="9"/>
      <c r="Z728" s="9"/>
      <c r="AA728" s="9"/>
      <c r="AB728" s="9"/>
      <c r="AC728" s="9"/>
      <c r="AD728" s="9" t="s">
        <v>20</v>
      </c>
    </row>
    <row r="729" spans="1:30" ht="116">
      <c r="A729" s="3" t="s">
        <v>4065</v>
      </c>
      <c r="B729" s="3" t="s">
        <v>10398</v>
      </c>
      <c r="C729" s="3" t="s">
        <v>10397</v>
      </c>
      <c r="G729" s="9" t="s">
        <v>26</v>
      </c>
      <c r="H729" s="9"/>
      <c r="I729" s="9"/>
      <c r="J729" s="9"/>
      <c r="K729" s="9"/>
      <c r="L729" s="9"/>
      <c r="M729" s="9"/>
      <c r="N729" s="10"/>
      <c r="O729" s="9"/>
      <c r="P729" s="9"/>
      <c r="Q729" s="9"/>
      <c r="R729" s="9" t="s">
        <v>12795</v>
      </c>
      <c r="S729" s="9" t="s">
        <v>12795</v>
      </c>
      <c r="T729" s="9"/>
      <c r="U729" s="9"/>
      <c r="V729" s="9"/>
      <c r="W729" s="9"/>
      <c r="X729" s="9"/>
      <c r="Y729" s="9"/>
      <c r="Z729" s="9"/>
      <c r="AA729" s="9"/>
      <c r="AB729" s="9"/>
      <c r="AC729" s="9"/>
      <c r="AD729" s="9" t="s">
        <v>20</v>
      </c>
    </row>
    <row r="730" spans="1:30" ht="159.5">
      <c r="A730" s="3" t="s">
        <v>4070</v>
      </c>
      <c r="B730" s="3" t="s">
        <v>10403</v>
      </c>
      <c r="C730" s="3" t="s">
        <v>10404</v>
      </c>
      <c r="G730" s="9" t="s">
        <v>12120</v>
      </c>
      <c r="H730" s="9"/>
      <c r="I730" s="9"/>
      <c r="J730" s="9"/>
      <c r="K730" s="9"/>
      <c r="L730" s="9"/>
      <c r="M730" s="9"/>
      <c r="N730" s="10"/>
      <c r="O730" s="9"/>
      <c r="P730" s="9"/>
      <c r="Q730" s="9"/>
      <c r="R730" s="9" t="s">
        <v>12795</v>
      </c>
      <c r="S730" s="9" t="s">
        <v>12795</v>
      </c>
      <c r="T730" s="9"/>
      <c r="U730" s="9"/>
      <c r="V730" s="9"/>
      <c r="W730" s="9"/>
      <c r="X730" s="9"/>
      <c r="Y730" s="9"/>
      <c r="Z730" s="9"/>
      <c r="AA730" s="9"/>
      <c r="AB730" s="9"/>
      <c r="AC730" s="9"/>
      <c r="AD730" s="9" t="s">
        <v>20</v>
      </c>
    </row>
    <row r="731" spans="1:30" ht="58">
      <c r="A731" s="3" t="s">
        <v>4071</v>
      </c>
      <c r="B731" s="3" t="s">
        <v>10405</v>
      </c>
      <c r="C731" s="3" t="s">
        <v>10406</v>
      </c>
      <c r="G731" s="9" t="s">
        <v>12118</v>
      </c>
      <c r="H731" s="9"/>
      <c r="I731" s="9"/>
      <c r="J731" s="9"/>
      <c r="K731" s="9"/>
      <c r="L731" s="9"/>
      <c r="M731" s="9"/>
      <c r="N731" s="10"/>
      <c r="O731" s="9"/>
      <c r="P731" s="9"/>
      <c r="Q731" s="9">
        <v>149</v>
      </c>
      <c r="R731" s="9">
        <v>7</v>
      </c>
      <c r="S731" s="9">
        <v>156</v>
      </c>
      <c r="T731" s="9"/>
      <c r="U731" s="9"/>
      <c r="V731" s="9"/>
      <c r="W731" s="9"/>
      <c r="X731" s="9"/>
      <c r="Y731" s="9"/>
      <c r="Z731" s="9"/>
      <c r="AA731" s="9"/>
      <c r="AB731" s="9"/>
      <c r="AC731" s="9"/>
      <c r="AD731" s="9" t="s">
        <v>20</v>
      </c>
    </row>
    <row r="732" spans="1:30" ht="101.5">
      <c r="A732" s="3" t="s">
        <v>4074</v>
      </c>
      <c r="B732" s="3" t="s">
        <v>10416</v>
      </c>
      <c r="C732" s="3" t="s">
        <v>10415</v>
      </c>
      <c r="G732" s="9" t="s">
        <v>25</v>
      </c>
      <c r="H732" s="9"/>
      <c r="I732" s="9">
        <v>3</v>
      </c>
      <c r="J732" s="9">
        <v>19</v>
      </c>
      <c r="K732" s="9"/>
      <c r="L732" s="9" t="s">
        <v>12079</v>
      </c>
      <c r="M732" s="9"/>
      <c r="N732" s="10"/>
      <c r="O732" s="9"/>
      <c r="P732" s="9">
        <v>5</v>
      </c>
      <c r="Q732" s="9"/>
      <c r="R732" s="9" t="s">
        <v>12795</v>
      </c>
      <c r="S732" s="9" t="s">
        <v>12795</v>
      </c>
      <c r="T732" s="9"/>
      <c r="U732" s="9"/>
      <c r="V732" s="9"/>
      <c r="W732" s="9"/>
      <c r="X732" s="9"/>
      <c r="Y732" s="9"/>
      <c r="Z732" s="9"/>
      <c r="AA732" s="9"/>
      <c r="AB732" s="9"/>
      <c r="AC732" s="9"/>
      <c r="AD732" s="9" t="s">
        <v>20</v>
      </c>
    </row>
    <row r="733" spans="1:30" ht="43.5">
      <c r="A733" s="3" t="s">
        <v>4080</v>
      </c>
      <c r="B733" s="3" t="s">
        <v>10423</v>
      </c>
      <c r="C733" s="3" t="s">
        <v>10422</v>
      </c>
      <c r="G733" s="9" t="s">
        <v>25</v>
      </c>
      <c r="H733" s="9"/>
      <c r="I733" s="9">
        <v>1</v>
      </c>
      <c r="J733" s="9">
        <v>1</v>
      </c>
      <c r="K733" s="9" t="s">
        <v>12072</v>
      </c>
      <c r="L733" s="9" t="s">
        <v>12119</v>
      </c>
      <c r="M733" s="9"/>
      <c r="N733" s="10"/>
      <c r="O733" s="9"/>
      <c r="P733" s="9">
        <v>13</v>
      </c>
      <c r="Q733" s="9"/>
      <c r="R733" s="9" t="s">
        <v>12795</v>
      </c>
      <c r="S733" s="9" t="s">
        <v>12795</v>
      </c>
      <c r="T733" s="9"/>
      <c r="U733" s="9"/>
      <c r="V733" s="9"/>
      <c r="W733" s="9"/>
      <c r="X733" s="9"/>
      <c r="Y733" s="9"/>
      <c r="Z733" s="9"/>
      <c r="AA733" s="9"/>
      <c r="AB733" s="9"/>
      <c r="AC733" s="9"/>
      <c r="AD733" s="9" t="s">
        <v>13141</v>
      </c>
    </row>
    <row r="734" spans="1:30" ht="87">
      <c r="A734" s="3" t="s">
        <v>4082</v>
      </c>
      <c r="B734" s="3" t="s">
        <v>10429</v>
      </c>
      <c r="C734" s="3" t="s">
        <v>10428</v>
      </c>
      <c r="F734" t="s">
        <v>19</v>
      </c>
      <c r="G734" s="9" t="s">
        <v>25</v>
      </c>
      <c r="H734" s="9"/>
      <c r="I734" s="9">
        <v>2</v>
      </c>
      <c r="J734" s="9">
        <v>10</v>
      </c>
      <c r="K734" s="9"/>
      <c r="L734" s="9" t="s">
        <v>12073</v>
      </c>
      <c r="M734" s="9" t="s">
        <v>12135</v>
      </c>
      <c r="N734" s="10" t="s">
        <v>12136</v>
      </c>
      <c r="O734" s="9"/>
      <c r="P734" s="9">
        <v>12</v>
      </c>
      <c r="Q734" s="9"/>
      <c r="R734" s="9" t="s">
        <v>12795</v>
      </c>
      <c r="S734" s="9" t="s">
        <v>12795</v>
      </c>
      <c r="T734" s="9"/>
      <c r="U734" s="9"/>
      <c r="V734" s="9"/>
      <c r="W734" s="9"/>
      <c r="X734" s="9"/>
      <c r="Y734" s="9"/>
      <c r="Z734" s="9"/>
      <c r="AA734" s="9"/>
      <c r="AB734" s="9"/>
      <c r="AC734" s="9"/>
      <c r="AD734" s="9" t="s">
        <v>20</v>
      </c>
    </row>
    <row r="735" spans="1:30">
      <c r="A735" s="3" t="s">
        <v>4082</v>
      </c>
      <c r="B735" s="3" t="s">
        <v>4083</v>
      </c>
      <c r="C735" s="3" t="s">
        <v>4084</v>
      </c>
      <c r="G735" s="9" t="s">
        <v>12120</v>
      </c>
      <c r="H735" s="9"/>
      <c r="I735" s="9"/>
      <c r="J735" s="9"/>
      <c r="K735" s="9"/>
      <c r="L735" s="9"/>
      <c r="M735" s="9"/>
      <c r="N735" s="10"/>
      <c r="O735" s="9"/>
      <c r="P735" s="9"/>
      <c r="Q735" s="9"/>
      <c r="R735" s="9" t="s">
        <v>12795</v>
      </c>
      <c r="S735" s="9" t="s">
        <v>12795</v>
      </c>
      <c r="T735" s="9"/>
      <c r="U735" s="9"/>
      <c r="V735" s="9"/>
      <c r="W735" s="9"/>
      <c r="X735" s="9"/>
      <c r="Y735" s="9"/>
      <c r="Z735" s="9"/>
      <c r="AA735" s="9"/>
      <c r="AB735" s="9"/>
      <c r="AC735" s="9"/>
      <c r="AD735" s="9" t="s">
        <v>20</v>
      </c>
    </row>
    <row r="736" spans="1:30" ht="29">
      <c r="A736" s="3" t="s">
        <v>4097</v>
      </c>
      <c r="B736" s="3" t="s">
        <v>10487</v>
      </c>
      <c r="C736" s="3" t="s">
        <v>10488</v>
      </c>
      <c r="F736" t="s">
        <v>19</v>
      </c>
      <c r="G736" s="9" t="s">
        <v>25</v>
      </c>
      <c r="H736" s="9"/>
      <c r="I736" s="9">
        <v>1</v>
      </c>
      <c r="J736" s="9">
        <v>2</v>
      </c>
      <c r="K736" s="9" t="s">
        <v>12092</v>
      </c>
      <c r="L736" s="9" t="s">
        <v>12119</v>
      </c>
      <c r="M736" s="9"/>
      <c r="N736" s="10"/>
      <c r="O736" s="9"/>
      <c r="P736" s="9">
        <v>133</v>
      </c>
      <c r="Q736" s="9"/>
      <c r="R736" s="9" t="s">
        <v>12795</v>
      </c>
      <c r="S736" s="9" t="s">
        <v>12795</v>
      </c>
      <c r="T736" s="9"/>
      <c r="U736" s="9"/>
      <c r="V736" s="9"/>
      <c r="W736" s="9"/>
      <c r="X736" s="9"/>
      <c r="Y736" s="9"/>
      <c r="Z736" s="9"/>
      <c r="AA736" s="9"/>
      <c r="AB736" s="9"/>
      <c r="AC736" s="9"/>
      <c r="AD736" s="9" t="s">
        <v>20</v>
      </c>
    </row>
    <row r="737" spans="1:30" ht="29">
      <c r="A737" s="3" t="s">
        <v>4112</v>
      </c>
      <c r="B737" s="3" t="s">
        <v>10528</v>
      </c>
      <c r="C737" s="3" t="s">
        <v>12533</v>
      </c>
      <c r="G737" s="9" t="s">
        <v>25</v>
      </c>
      <c r="H737" s="9"/>
      <c r="I737" s="9">
        <v>1</v>
      </c>
      <c r="J737" s="9">
        <v>2</v>
      </c>
      <c r="K737" s="9" t="s">
        <v>12078</v>
      </c>
      <c r="L737" s="9" t="s">
        <v>12119</v>
      </c>
      <c r="M737" s="9"/>
      <c r="N737" s="10"/>
      <c r="O737" s="9"/>
      <c r="P737" s="9">
        <v>11843</v>
      </c>
      <c r="Q737" s="9"/>
      <c r="R737" s="9" t="s">
        <v>12795</v>
      </c>
      <c r="S737" s="9" t="s">
        <v>12795</v>
      </c>
      <c r="T737" s="9"/>
      <c r="U737" s="9"/>
      <c r="V737" s="9"/>
      <c r="W737" s="9"/>
      <c r="X737" s="9"/>
      <c r="Y737" s="9"/>
      <c r="Z737" s="9"/>
      <c r="AA737" s="9"/>
      <c r="AB737" s="9"/>
      <c r="AC737" s="9"/>
      <c r="AD737" s="9" t="s">
        <v>20</v>
      </c>
    </row>
    <row r="738" spans="1:30" ht="72.5">
      <c r="A738" s="3" t="s">
        <v>4113</v>
      </c>
      <c r="B738" s="3" t="s">
        <v>10529</v>
      </c>
      <c r="C738" s="3" t="s">
        <v>10530</v>
      </c>
      <c r="G738" s="9" t="s">
        <v>12118</v>
      </c>
      <c r="H738" s="9"/>
      <c r="I738" s="9"/>
      <c r="J738" s="9"/>
      <c r="K738" s="9"/>
      <c r="L738" s="9"/>
      <c r="M738" s="9"/>
      <c r="N738" s="10"/>
      <c r="O738" s="9"/>
      <c r="P738" s="9"/>
      <c r="Q738" s="9">
        <v>-186</v>
      </c>
      <c r="R738" s="9">
        <v>207</v>
      </c>
      <c r="S738" s="9">
        <v>21</v>
      </c>
      <c r="T738" s="9"/>
      <c r="U738" s="9"/>
      <c r="V738" s="9"/>
      <c r="W738" s="9"/>
      <c r="X738" s="9"/>
      <c r="Y738" s="9"/>
      <c r="Z738" s="9"/>
      <c r="AA738" s="9"/>
      <c r="AB738" s="9"/>
      <c r="AC738" s="9"/>
      <c r="AD738" s="9" t="s">
        <v>20</v>
      </c>
    </row>
    <row r="739" spans="1:30" ht="174">
      <c r="A739" s="3" t="s">
        <v>4129</v>
      </c>
      <c r="B739" s="3" t="s">
        <v>10560</v>
      </c>
      <c r="C739" s="3" t="s">
        <v>10561</v>
      </c>
      <c r="G739" s="9" t="s">
        <v>12118</v>
      </c>
      <c r="H739" s="9"/>
      <c r="I739" s="9"/>
      <c r="J739" s="9"/>
      <c r="K739" s="9"/>
      <c r="L739" s="9"/>
      <c r="M739" s="9"/>
      <c r="N739" s="10"/>
      <c r="O739" s="9"/>
      <c r="P739" s="9"/>
      <c r="Q739" s="9">
        <v>-63</v>
      </c>
      <c r="R739" s="9">
        <v>65</v>
      </c>
      <c r="S739" s="9">
        <v>2</v>
      </c>
      <c r="T739" s="9"/>
      <c r="U739" s="9"/>
      <c r="V739" s="9"/>
      <c r="W739" s="9"/>
      <c r="X739" s="9"/>
      <c r="Y739" s="9"/>
      <c r="Z739" s="9"/>
      <c r="AA739" s="9"/>
      <c r="AB739" s="9"/>
      <c r="AC739" s="9"/>
      <c r="AD739" s="9" t="s">
        <v>20</v>
      </c>
    </row>
    <row r="740" spans="1:30" ht="130.5">
      <c r="A740" s="3" t="s">
        <v>4133</v>
      </c>
      <c r="B740" s="3" t="s">
        <v>10565</v>
      </c>
      <c r="C740" s="3" t="s">
        <v>10567</v>
      </c>
      <c r="G740" s="9" t="s">
        <v>24</v>
      </c>
      <c r="H740" s="9"/>
      <c r="I740" s="9">
        <v>1</v>
      </c>
      <c r="J740" s="9">
        <v>3</v>
      </c>
      <c r="K740" s="9" t="s">
        <v>12078</v>
      </c>
      <c r="L740" s="9" t="s">
        <v>12079</v>
      </c>
      <c r="M740" s="9"/>
      <c r="N740" s="10"/>
      <c r="O740" s="9"/>
      <c r="P740" s="9">
        <v>11843</v>
      </c>
      <c r="Q740" s="9"/>
      <c r="R740" s="9" t="s">
        <v>12795</v>
      </c>
      <c r="S740" s="9" t="s">
        <v>12795</v>
      </c>
      <c r="T740" s="9"/>
      <c r="U740" s="9"/>
      <c r="V740" s="9"/>
      <c r="W740" s="9"/>
      <c r="X740" s="9"/>
      <c r="Y740" s="9"/>
      <c r="Z740" s="9"/>
      <c r="AA740" s="9"/>
      <c r="AB740" s="9"/>
      <c r="AC740" s="9"/>
      <c r="AD740" s="9" t="s">
        <v>20</v>
      </c>
    </row>
    <row r="741" spans="1:30" ht="130.5">
      <c r="A741" s="3" t="s">
        <v>4134</v>
      </c>
      <c r="B741" s="3" t="s">
        <v>10565</v>
      </c>
      <c r="C741" s="3" t="s">
        <v>10569</v>
      </c>
      <c r="G741" s="9" t="s">
        <v>24</v>
      </c>
      <c r="H741" s="9"/>
      <c r="I741" s="9">
        <v>6</v>
      </c>
      <c r="J741" s="9">
        <v>20</v>
      </c>
      <c r="K741" s="9"/>
      <c r="L741" s="9" t="s">
        <v>12079</v>
      </c>
      <c r="M741" s="9"/>
      <c r="N741" s="10"/>
      <c r="O741" s="9"/>
      <c r="P741" s="9">
        <v>171</v>
      </c>
      <c r="Q741" s="9"/>
      <c r="R741" s="9" t="s">
        <v>12795</v>
      </c>
      <c r="S741" s="9" t="s">
        <v>12795</v>
      </c>
      <c r="T741" s="9"/>
      <c r="U741" s="9"/>
      <c r="V741" s="9"/>
      <c r="W741" s="9"/>
      <c r="X741" s="9"/>
      <c r="Y741" s="9"/>
      <c r="Z741" s="9"/>
      <c r="AA741" s="9"/>
      <c r="AB741" s="9"/>
      <c r="AC741" s="9"/>
      <c r="AD741" s="9" t="s">
        <v>20</v>
      </c>
    </row>
    <row r="742" spans="1:30" ht="58">
      <c r="A742" s="3" t="s">
        <v>4140</v>
      </c>
      <c r="B742" s="3" t="s">
        <v>10581</v>
      </c>
      <c r="C742" s="3" t="s">
        <v>10582</v>
      </c>
      <c r="G742" s="9" t="s">
        <v>26</v>
      </c>
      <c r="H742" s="9"/>
      <c r="I742" s="9"/>
      <c r="J742" s="9"/>
      <c r="K742" s="9"/>
      <c r="L742" s="9"/>
      <c r="M742" s="9"/>
      <c r="N742" s="10"/>
      <c r="O742" s="9"/>
      <c r="P742" s="9"/>
      <c r="Q742" s="9"/>
      <c r="R742" s="9" t="s">
        <v>12795</v>
      </c>
      <c r="S742" s="9" t="s">
        <v>12795</v>
      </c>
      <c r="T742" s="9"/>
      <c r="U742" s="9"/>
      <c r="V742" s="9"/>
      <c r="W742" s="9"/>
      <c r="X742" s="9"/>
      <c r="Y742" s="9"/>
      <c r="Z742" s="9"/>
      <c r="AA742" s="9"/>
      <c r="AB742" s="9"/>
      <c r="AC742" s="9"/>
      <c r="AD742" s="9" t="s">
        <v>20</v>
      </c>
    </row>
    <row r="743" spans="1:30" ht="58">
      <c r="A743" s="3" t="s">
        <v>4162</v>
      </c>
      <c r="B743" s="3" t="s">
        <v>10632</v>
      </c>
      <c r="C743" s="3" t="s">
        <v>10633</v>
      </c>
      <c r="G743" s="9" t="s">
        <v>12118</v>
      </c>
      <c r="H743" s="9"/>
      <c r="I743" s="9"/>
      <c r="J743" s="9"/>
      <c r="K743" s="9"/>
      <c r="L743" s="9"/>
      <c r="M743" s="9"/>
      <c r="N743" s="10"/>
      <c r="O743" s="9"/>
      <c r="P743" s="9"/>
      <c r="Q743" s="9">
        <v>103</v>
      </c>
      <c r="R743" s="9">
        <v>207</v>
      </c>
      <c r="S743" s="9">
        <v>310</v>
      </c>
      <c r="T743" s="9"/>
      <c r="U743" s="9"/>
      <c r="V743" s="9"/>
      <c r="W743" s="9"/>
      <c r="X743" s="9"/>
      <c r="Y743" s="9"/>
      <c r="Z743" s="9"/>
      <c r="AA743" s="9"/>
      <c r="AB743" s="9"/>
      <c r="AC743" s="9"/>
      <c r="AD743" s="9" t="s">
        <v>20</v>
      </c>
    </row>
    <row r="744" spans="1:30" ht="29">
      <c r="A744" s="3" t="s">
        <v>4165</v>
      </c>
      <c r="B744" s="11" t="s">
        <v>10648</v>
      </c>
      <c r="C744" s="3" t="s">
        <v>10645</v>
      </c>
      <c r="F744" t="s">
        <v>19</v>
      </c>
      <c r="G744" s="9" t="s">
        <v>25</v>
      </c>
      <c r="H744" s="9"/>
      <c r="I744" s="9">
        <v>1</v>
      </c>
      <c r="J744" s="9">
        <v>2</v>
      </c>
      <c r="K744" s="9" t="s">
        <v>12078</v>
      </c>
      <c r="L744" s="9" t="s">
        <v>12119</v>
      </c>
      <c r="M744" s="9"/>
      <c r="N744" s="10"/>
      <c r="O744" s="9"/>
      <c r="P744" s="9">
        <v>11843</v>
      </c>
      <c r="Q744" s="9"/>
      <c r="R744" s="9" t="s">
        <v>12795</v>
      </c>
      <c r="S744" s="9" t="s">
        <v>12795</v>
      </c>
      <c r="T744" s="9"/>
      <c r="U744" s="9"/>
      <c r="V744" s="9"/>
      <c r="W744" s="9"/>
      <c r="X744" s="9"/>
      <c r="Y744" s="9"/>
      <c r="Z744" s="9"/>
      <c r="AA744" s="9"/>
      <c r="AB744" s="9"/>
      <c r="AC744" s="9"/>
      <c r="AD744" s="9" t="s">
        <v>20</v>
      </c>
    </row>
    <row r="745" spans="1:30" ht="58">
      <c r="A745" s="3" t="s">
        <v>4167</v>
      </c>
      <c r="B745" s="3" t="s">
        <v>10654</v>
      </c>
      <c r="C745" s="3" t="s">
        <v>10653</v>
      </c>
      <c r="G745" s="9" t="s">
        <v>25</v>
      </c>
      <c r="H745" s="9"/>
      <c r="I745" s="9">
        <v>2</v>
      </c>
      <c r="J745" s="9">
        <v>7</v>
      </c>
      <c r="K745" s="9"/>
      <c r="L745" s="9" t="s">
        <v>12079</v>
      </c>
      <c r="M745" s="9"/>
      <c r="N745" s="10"/>
      <c r="O745" s="9"/>
      <c r="P745" s="9">
        <v>152</v>
      </c>
      <c r="Q745" s="9"/>
      <c r="R745" s="9" t="s">
        <v>12795</v>
      </c>
      <c r="S745" s="9" t="s">
        <v>12795</v>
      </c>
      <c r="T745" s="9"/>
      <c r="U745" s="9"/>
      <c r="V745" s="9"/>
      <c r="W745" s="9"/>
      <c r="X745" s="9"/>
      <c r="Y745" s="9"/>
      <c r="Z745" s="9"/>
      <c r="AA745" s="9"/>
      <c r="AB745" s="9"/>
      <c r="AC745" s="9"/>
      <c r="AD745" s="9" t="s">
        <v>20</v>
      </c>
    </row>
    <row r="746" spans="1:30" ht="116">
      <c r="A746" s="3" t="s">
        <v>4171</v>
      </c>
      <c r="B746" s="3" t="s">
        <v>10668</v>
      </c>
      <c r="C746" s="3" t="s">
        <v>10667</v>
      </c>
      <c r="G746" s="9" t="s">
        <v>25</v>
      </c>
      <c r="H746" s="9"/>
      <c r="I746" s="9">
        <v>4</v>
      </c>
      <c r="J746" s="9">
        <v>21</v>
      </c>
      <c r="K746" s="9"/>
      <c r="L746" s="9" t="s">
        <v>12079</v>
      </c>
      <c r="M746" s="9"/>
      <c r="N746" s="10"/>
      <c r="O746" s="9"/>
      <c r="P746" s="9">
        <v>1</v>
      </c>
      <c r="Q746" s="9"/>
      <c r="R746" s="9" t="s">
        <v>12795</v>
      </c>
      <c r="S746" s="9" t="s">
        <v>12795</v>
      </c>
      <c r="T746" s="9"/>
      <c r="U746" s="9"/>
      <c r="V746" s="9"/>
      <c r="W746" s="9"/>
      <c r="X746" s="9"/>
      <c r="Y746" s="9"/>
      <c r="Z746" s="9"/>
      <c r="AA746" s="9"/>
      <c r="AB746" s="9"/>
      <c r="AC746" s="9"/>
      <c r="AD746" s="9" t="s">
        <v>20</v>
      </c>
    </row>
    <row r="747" spans="1:30" ht="43.5">
      <c r="A747" s="3" t="s">
        <v>4175</v>
      </c>
      <c r="B747" s="3" t="s">
        <v>10697</v>
      </c>
      <c r="C747" s="3" t="s">
        <v>10694</v>
      </c>
      <c r="G747" s="9" t="s">
        <v>25</v>
      </c>
      <c r="H747" s="9"/>
      <c r="I747" s="9">
        <v>1</v>
      </c>
      <c r="J747" s="9">
        <v>2</v>
      </c>
      <c r="K747" s="9" t="s">
        <v>12087</v>
      </c>
      <c r="L747" s="9" t="s">
        <v>12119</v>
      </c>
      <c r="M747" s="9"/>
      <c r="N747" s="10"/>
      <c r="O747" s="9"/>
      <c r="P747" s="9">
        <v>166</v>
      </c>
      <c r="Q747" s="9"/>
      <c r="R747" s="9" t="s">
        <v>12795</v>
      </c>
      <c r="S747" s="9" t="s">
        <v>12795</v>
      </c>
      <c r="T747" s="9"/>
      <c r="U747" s="9"/>
      <c r="V747" s="9"/>
      <c r="W747" s="9"/>
      <c r="X747" s="9"/>
      <c r="Y747" s="9"/>
      <c r="Z747" s="9"/>
      <c r="AA747" s="9"/>
      <c r="AB747" s="9"/>
      <c r="AC747" s="9"/>
      <c r="AD747" s="9" t="s">
        <v>20</v>
      </c>
    </row>
    <row r="748" spans="1:30" ht="43.5">
      <c r="A748" s="3" t="s">
        <v>4183</v>
      </c>
      <c r="B748" s="3" t="s">
        <v>10726</v>
      </c>
      <c r="C748" s="3" t="s">
        <v>10725</v>
      </c>
      <c r="G748" s="9" t="s">
        <v>12120</v>
      </c>
      <c r="H748" s="9"/>
      <c r="I748" s="9"/>
      <c r="J748" s="9"/>
      <c r="K748" s="9"/>
      <c r="L748" s="9"/>
      <c r="M748" s="9"/>
      <c r="N748" s="10"/>
      <c r="O748" s="9"/>
      <c r="P748" s="9"/>
      <c r="Q748" s="9"/>
      <c r="R748" s="9" t="s">
        <v>12795</v>
      </c>
      <c r="S748" s="9" t="s">
        <v>12795</v>
      </c>
      <c r="T748" s="9"/>
      <c r="U748" s="9"/>
      <c r="V748" s="9"/>
      <c r="W748" s="9"/>
      <c r="X748" s="9"/>
      <c r="Y748" s="9"/>
      <c r="Z748" s="9"/>
      <c r="AA748" s="9"/>
      <c r="AB748" s="9"/>
      <c r="AC748" s="9"/>
      <c r="AD748" s="9" t="s">
        <v>13141</v>
      </c>
    </row>
    <row r="749" spans="1:30" ht="43.5">
      <c r="A749" s="3" t="s">
        <v>4188</v>
      </c>
      <c r="B749" s="3" t="s">
        <v>10739</v>
      </c>
      <c r="C749" s="3" t="s">
        <v>10740</v>
      </c>
      <c r="G749" s="9" t="s">
        <v>24</v>
      </c>
      <c r="H749" s="9"/>
      <c r="I749" s="9">
        <v>1</v>
      </c>
      <c r="J749" s="9">
        <v>5</v>
      </c>
      <c r="K749" s="9" t="s">
        <v>12125</v>
      </c>
      <c r="L749" s="9" t="s">
        <v>12073</v>
      </c>
      <c r="M749" s="9" t="s">
        <v>12142</v>
      </c>
      <c r="N749" s="10" t="s">
        <v>12170</v>
      </c>
      <c r="O749" s="9" t="s">
        <v>12074</v>
      </c>
      <c r="P749" s="9">
        <v>2042</v>
      </c>
      <c r="Q749" s="9"/>
      <c r="R749" s="9" t="s">
        <v>12795</v>
      </c>
      <c r="S749" s="9" t="s">
        <v>12795</v>
      </c>
      <c r="T749" s="9"/>
      <c r="U749" s="9"/>
      <c r="V749" s="9"/>
      <c r="W749" s="9"/>
      <c r="X749" s="9"/>
      <c r="Y749" s="9"/>
      <c r="Z749" s="9"/>
      <c r="AA749" s="9"/>
      <c r="AB749" s="9"/>
      <c r="AC749" s="9"/>
      <c r="AD749" s="9" t="s">
        <v>20</v>
      </c>
    </row>
    <row r="750" spans="1:30" ht="29">
      <c r="A750" s="3" t="s">
        <v>4189</v>
      </c>
      <c r="B750" s="3" t="s">
        <v>10747</v>
      </c>
      <c r="C750" s="3" t="s">
        <v>10746</v>
      </c>
      <c r="G750" s="9" t="s">
        <v>12118</v>
      </c>
      <c r="H750" s="9"/>
      <c r="I750" s="9"/>
      <c r="J750" s="9"/>
      <c r="K750" s="9"/>
      <c r="L750" s="9"/>
      <c r="M750" s="9"/>
      <c r="N750" s="10"/>
      <c r="O750" s="9"/>
      <c r="P750" s="9"/>
      <c r="Q750" s="9">
        <v>245</v>
      </c>
      <c r="R750" s="9">
        <v>1496</v>
      </c>
      <c r="S750" s="9">
        <v>1741</v>
      </c>
      <c r="T750" s="9"/>
      <c r="U750" s="9"/>
      <c r="V750" s="9"/>
      <c r="W750" s="9"/>
      <c r="X750" s="9"/>
      <c r="Y750" s="9"/>
      <c r="Z750" s="9"/>
      <c r="AA750" s="9"/>
      <c r="AB750" s="9"/>
      <c r="AC750" s="9"/>
      <c r="AD750" s="9" t="s">
        <v>20</v>
      </c>
    </row>
    <row r="751" spans="1:30" ht="43.5">
      <c r="A751" s="3" t="s">
        <v>4196</v>
      </c>
      <c r="B751" s="3" t="s">
        <v>10758</v>
      </c>
      <c r="C751" s="3" t="s">
        <v>10759</v>
      </c>
      <c r="G751" s="9" t="s">
        <v>26</v>
      </c>
      <c r="H751" s="9"/>
      <c r="I751" s="9"/>
      <c r="J751" s="9"/>
      <c r="K751" s="9"/>
      <c r="L751" s="9"/>
      <c r="M751" s="9"/>
      <c r="N751" s="10"/>
      <c r="O751" s="9"/>
      <c r="P751" s="9"/>
      <c r="Q751" s="9"/>
      <c r="R751" s="9" t="s">
        <v>12795</v>
      </c>
      <c r="S751" s="9" t="s">
        <v>12795</v>
      </c>
      <c r="T751" s="9"/>
      <c r="U751" s="9"/>
      <c r="V751" s="9"/>
      <c r="W751" s="9"/>
      <c r="X751" s="9"/>
      <c r="Y751" s="9"/>
      <c r="Z751" s="9"/>
      <c r="AA751" s="9"/>
      <c r="AB751" s="9"/>
      <c r="AC751" s="9"/>
      <c r="AD751" s="9" t="s">
        <v>20</v>
      </c>
    </row>
    <row r="752" spans="1:30">
      <c r="A752" s="3" t="s">
        <v>4200</v>
      </c>
      <c r="B752" s="3" t="s">
        <v>10770</v>
      </c>
      <c r="C752" s="3" t="s">
        <v>10771</v>
      </c>
      <c r="G752" s="9" t="s">
        <v>12120</v>
      </c>
      <c r="H752" s="9"/>
      <c r="I752" s="9"/>
      <c r="J752" s="9"/>
      <c r="K752" s="9"/>
      <c r="L752" s="9"/>
      <c r="M752" s="9"/>
      <c r="N752" s="10"/>
      <c r="O752" s="9"/>
      <c r="P752" s="9"/>
      <c r="Q752" s="9"/>
      <c r="R752" s="9" t="s">
        <v>12795</v>
      </c>
      <c r="S752" s="9" t="s">
        <v>12795</v>
      </c>
      <c r="T752" s="9"/>
      <c r="U752" s="9"/>
      <c r="V752" s="9"/>
      <c r="W752" s="9"/>
      <c r="X752" s="9"/>
      <c r="Y752" s="9"/>
      <c r="Z752" s="9"/>
      <c r="AA752" s="9"/>
      <c r="AB752" s="9"/>
      <c r="AC752" s="9"/>
      <c r="AD752" s="9" t="s">
        <v>20</v>
      </c>
    </row>
    <row r="753" spans="1:30" ht="43.5">
      <c r="A753" s="3" t="s">
        <v>4206</v>
      </c>
      <c r="B753" s="3" t="s">
        <v>10775</v>
      </c>
      <c r="C753" s="3" t="s">
        <v>10774</v>
      </c>
      <c r="G753" s="9" t="s">
        <v>25</v>
      </c>
      <c r="H753" s="9"/>
      <c r="I753" s="9">
        <v>1</v>
      </c>
      <c r="J753" s="9">
        <v>2</v>
      </c>
      <c r="K753" s="9" t="s">
        <v>12087</v>
      </c>
      <c r="L753" s="9" t="s">
        <v>12119</v>
      </c>
      <c r="M753" s="9"/>
      <c r="N753" s="10"/>
      <c r="O753" s="9"/>
      <c r="P753" s="9">
        <v>1966</v>
      </c>
      <c r="Q753" s="9"/>
      <c r="R753" s="9" t="s">
        <v>12795</v>
      </c>
      <c r="S753" s="9" t="s">
        <v>12795</v>
      </c>
      <c r="T753" s="9"/>
      <c r="U753" s="9"/>
      <c r="V753" s="9"/>
      <c r="W753" s="9"/>
      <c r="X753" s="9"/>
      <c r="Y753" s="9"/>
      <c r="Z753" s="9"/>
      <c r="AA753" s="9"/>
      <c r="AB753" s="9"/>
      <c r="AC753" s="9"/>
      <c r="AD753" s="9" t="s">
        <v>20</v>
      </c>
    </row>
    <row r="754" spans="1:30" ht="101.5">
      <c r="A754" s="3" t="s">
        <v>4210</v>
      </c>
      <c r="B754" s="3" t="s">
        <v>10789</v>
      </c>
      <c r="C754" s="3" t="s">
        <v>10788</v>
      </c>
      <c r="G754" s="9" t="s">
        <v>26</v>
      </c>
      <c r="H754" s="9"/>
      <c r="I754" s="9"/>
      <c r="J754" s="9"/>
      <c r="K754" s="9"/>
      <c r="L754" s="9"/>
      <c r="M754" s="9"/>
      <c r="N754" s="10"/>
      <c r="O754" s="9"/>
      <c r="P754" s="9"/>
      <c r="Q754" s="9"/>
      <c r="R754" s="9" t="s">
        <v>12795</v>
      </c>
      <c r="S754" s="9" t="s">
        <v>12795</v>
      </c>
      <c r="T754" s="9"/>
      <c r="U754" s="9"/>
      <c r="V754" s="9"/>
      <c r="W754" s="9"/>
      <c r="X754" s="9"/>
      <c r="Y754" s="9"/>
      <c r="Z754" s="9"/>
      <c r="AA754" s="9"/>
      <c r="AB754" s="9"/>
      <c r="AC754" s="9"/>
      <c r="AD754" s="9" t="s">
        <v>20</v>
      </c>
    </row>
    <row r="755" spans="1:30" ht="29">
      <c r="A755" s="3" t="s">
        <v>4213</v>
      </c>
      <c r="B755" s="3" t="s">
        <v>4214</v>
      </c>
      <c r="C755" s="3" t="s">
        <v>4215</v>
      </c>
      <c r="G755" s="9" t="s">
        <v>12120</v>
      </c>
      <c r="H755" s="9"/>
      <c r="I755" s="9"/>
      <c r="J755" s="9"/>
      <c r="K755" s="9"/>
      <c r="L755" s="9"/>
      <c r="M755" s="9"/>
      <c r="N755" s="10"/>
      <c r="O755" s="9"/>
      <c r="P755" s="9"/>
      <c r="Q755" s="9"/>
      <c r="R755" s="9" t="s">
        <v>12795</v>
      </c>
      <c r="S755" s="9" t="s">
        <v>12795</v>
      </c>
      <c r="T755" s="9"/>
      <c r="U755" s="9"/>
      <c r="V755" s="9"/>
      <c r="W755" s="9"/>
      <c r="X755" s="9"/>
      <c r="Y755" s="9"/>
      <c r="Z755" s="9"/>
      <c r="AA755" s="9"/>
      <c r="AB755" s="9"/>
      <c r="AC755" s="9"/>
      <c r="AD755" s="9" t="s">
        <v>20</v>
      </c>
    </row>
    <row r="756" spans="1:30" ht="29">
      <c r="A756" s="3" t="s">
        <v>4216</v>
      </c>
      <c r="B756" s="3" t="s">
        <v>2901</v>
      </c>
      <c r="C756" s="3" t="s">
        <v>2089</v>
      </c>
      <c r="G756" s="9" t="s">
        <v>12120</v>
      </c>
      <c r="H756" s="9"/>
      <c r="I756" s="9"/>
      <c r="J756" s="9"/>
      <c r="K756" s="9"/>
      <c r="L756" s="9"/>
      <c r="M756" s="9"/>
      <c r="N756" s="10"/>
      <c r="O756" s="9"/>
      <c r="P756" s="9"/>
      <c r="Q756" s="9"/>
      <c r="R756" s="9" t="s">
        <v>12795</v>
      </c>
      <c r="S756" s="9" t="s">
        <v>12795</v>
      </c>
      <c r="T756" s="9"/>
      <c r="U756" s="9"/>
      <c r="V756" s="9"/>
      <c r="W756" s="9"/>
      <c r="X756" s="9"/>
      <c r="Y756" s="9"/>
      <c r="Z756" s="9"/>
      <c r="AA756" s="9"/>
      <c r="AB756" s="9"/>
      <c r="AC756" s="9"/>
      <c r="AD756" s="9" t="s">
        <v>20</v>
      </c>
    </row>
    <row r="757" spans="1:30" ht="29">
      <c r="A757" s="3" t="s">
        <v>4217</v>
      </c>
      <c r="B757" s="3" t="s">
        <v>4218</v>
      </c>
      <c r="C757" s="3" t="s">
        <v>4219</v>
      </c>
      <c r="G757" s="9" t="s">
        <v>12118</v>
      </c>
      <c r="H757" s="9"/>
      <c r="I757" s="9"/>
      <c r="J757" s="9"/>
      <c r="K757" s="9"/>
      <c r="L757" s="9"/>
      <c r="M757" s="9"/>
      <c r="N757" s="10"/>
      <c r="O757" s="9"/>
      <c r="P757" s="9"/>
      <c r="Q757" s="9">
        <v>16</v>
      </c>
      <c r="R757" s="9">
        <v>0</v>
      </c>
      <c r="S757" s="9">
        <v>16</v>
      </c>
      <c r="T757" s="9"/>
      <c r="U757" s="9"/>
      <c r="V757" s="9"/>
      <c r="W757" s="9"/>
      <c r="X757" s="9"/>
      <c r="Y757" s="9"/>
      <c r="Z757" s="9"/>
      <c r="AA757" s="9"/>
      <c r="AB757" s="9"/>
      <c r="AC757" s="9"/>
      <c r="AD757" s="9" t="s">
        <v>20</v>
      </c>
    </row>
    <row r="758" spans="1:30" ht="29">
      <c r="A758" s="3" t="s">
        <v>4220</v>
      </c>
      <c r="B758" s="3" t="s">
        <v>4221</v>
      </c>
      <c r="C758" s="3" t="s">
        <v>4222</v>
      </c>
      <c r="G758" s="9" t="s">
        <v>12120</v>
      </c>
      <c r="H758" s="9"/>
      <c r="I758" s="9"/>
      <c r="J758" s="9"/>
      <c r="K758" s="9"/>
      <c r="L758" s="9"/>
      <c r="M758" s="9"/>
      <c r="N758" s="10"/>
      <c r="O758" s="9"/>
      <c r="P758" s="9"/>
      <c r="Q758" s="9"/>
      <c r="R758" s="9" t="s">
        <v>12795</v>
      </c>
      <c r="S758" s="9" t="s">
        <v>12795</v>
      </c>
      <c r="T758" s="9"/>
      <c r="U758" s="9"/>
      <c r="V758" s="9"/>
      <c r="W758" s="9"/>
      <c r="X758" s="9"/>
      <c r="Y758" s="9"/>
      <c r="Z758" s="9"/>
      <c r="AA758" s="9"/>
      <c r="AB758" s="9"/>
      <c r="AC758" s="9"/>
      <c r="AD758" s="9" t="s">
        <v>20</v>
      </c>
    </row>
    <row r="759" spans="1:30" ht="43.5">
      <c r="A759" s="3" t="s">
        <v>4223</v>
      </c>
      <c r="B759" s="3" t="s">
        <v>10802</v>
      </c>
      <c r="C759" s="3" t="s">
        <v>10803</v>
      </c>
      <c r="G759" s="9" t="s">
        <v>12118</v>
      </c>
      <c r="H759" s="9"/>
      <c r="I759" s="9"/>
      <c r="J759" s="9"/>
      <c r="K759" s="9"/>
      <c r="L759" s="9"/>
      <c r="M759" s="9"/>
      <c r="N759" s="10"/>
      <c r="O759" s="9"/>
      <c r="P759" s="9"/>
      <c r="Q759" s="9">
        <v>-21</v>
      </c>
      <c r="R759" s="9">
        <v>186</v>
      </c>
      <c r="S759" s="9">
        <v>165</v>
      </c>
      <c r="T759" s="9"/>
      <c r="U759" s="9"/>
      <c r="V759" s="9"/>
      <c r="W759" s="9"/>
      <c r="X759" s="9"/>
      <c r="Y759" s="9"/>
      <c r="Z759" s="9"/>
      <c r="AA759" s="9"/>
      <c r="AB759" s="9"/>
      <c r="AC759" s="9"/>
      <c r="AD759" s="9" t="s">
        <v>20</v>
      </c>
    </row>
    <row r="760" spans="1:30" ht="29">
      <c r="A760" s="3" t="s">
        <v>4223</v>
      </c>
      <c r="B760" s="3" t="s">
        <v>4224</v>
      </c>
      <c r="C760" s="3" t="s">
        <v>4225</v>
      </c>
      <c r="G760" s="9" t="s">
        <v>12120</v>
      </c>
      <c r="H760" s="9"/>
      <c r="I760" s="9"/>
      <c r="J760" s="9"/>
      <c r="K760" s="9"/>
      <c r="L760" s="9"/>
      <c r="M760" s="9"/>
      <c r="N760" s="10"/>
      <c r="O760" s="9"/>
      <c r="P760" s="9"/>
      <c r="Q760" s="9"/>
      <c r="R760" s="9" t="s">
        <v>12795</v>
      </c>
      <c r="S760" s="9" t="s">
        <v>12795</v>
      </c>
      <c r="T760" s="9"/>
      <c r="U760" s="9"/>
      <c r="V760" s="9"/>
      <c r="W760" s="9"/>
      <c r="X760" s="9"/>
      <c r="Y760" s="9"/>
      <c r="Z760" s="9"/>
      <c r="AA760" s="9"/>
      <c r="AB760" s="9"/>
      <c r="AC760" s="9"/>
      <c r="AD760" s="9" t="s">
        <v>20</v>
      </c>
    </row>
    <row r="761" spans="1:30" ht="43.5">
      <c r="A761" s="3" t="s">
        <v>4233</v>
      </c>
      <c r="B761" s="3" t="s">
        <v>10815</v>
      </c>
      <c r="C761" s="3" t="s">
        <v>10816</v>
      </c>
      <c r="G761" s="9" t="s">
        <v>12118</v>
      </c>
      <c r="H761" s="9"/>
      <c r="I761" s="9"/>
      <c r="J761" s="9"/>
      <c r="K761" s="9"/>
      <c r="L761" s="9"/>
      <c r="M761" s="9"/>
      <c r="N761" s="10"/>
      <c r="O761" s="9"/>
      <c r="P761" s="9"/>
      <c r="Q761" s="9">
        <v>541</v>
      </c>
      <c r="R761" s="9">
        <v>560</v>
      </c>
      <c r="S761" s="9">
        <v>1101</v>
      </c>
      <c r="T761" s="9"/>
      <c r="U761" s="9"/>
      <c r="V761" s="9"/>
      <c r="W761" s="9"/>
      <c r="X761" s="9"/>
      <c r="Y761" s="9"/>
      <c r="Z761" s="9"/>
      <c r="AA761" s="9"/>
      <c r="AB761" s="9"/>
      <c r="AC761" s="9"/>
      <c r="AD761" s="9" t="s">
        <v>20</v>
      </c>
    </row>
    <row r="762" spans="1:30" ht="58">
      <c r="A762" s="3" t="s">
        <v>4242</v>
      </c>
      <c r="B762" s="3" t="s">
        <v>10836</v>
      </c>
      <c r="C762" s="3" t="s">
        <v>10835</v>
      </c>
      <c r="G762" s="9" t="s">
        <v>25</v>
      </c>
      <c r="H762" s="9"/>
      <c r="I762" s="9">
        <v>1</v>
      </c>
      <c r="J762" s="9">
        <v>3</v>
      </c>
      <c r="K762" s="9" t="s">
        <v>12087</v>
      </c>
      <c r="L762" s="9" t="s">
        <v>12079</v>
      </c>
      <c r="M762" s="9"/>
      <c r="N762" s="10"/>
      <c r="O762" s="9"/>
      <c r="P762" s="9">
        <v>5676</v>
      </c>
      <c r="Q762" s="9"/>
      <c r="R762" s="9" t="s">
        <v>12795</v>
      </c>
      <c r="S762" s="9" t="s">
        <v>12795</v>
      </c>
      <c r="T762" s="9"/>
      <c r="U762" s="9"/>
      <c r="V762" s="9"/>
      <c r="W762" s="9"/>
      <c r="X762" s="9"/>
      <c r="Y762" s="9"/>
      <c r="Z762" s="9"/>
      <c r="AA762" s="9"/>
      <c r="AB762" s="9"/>
      <c r="AC762" s="9"/>
      <c r="AD762" s="9" t="s">
        <v>13141</v>
      </c>
    </row>
    <row r="763" spans="1:30" ht="43.5">
      <c r="A763" s="3" t="s">
        <v>4262</v>
      </c>
      <c r="B763" s="3" t="s">
        <v>10861</v>
      </c>
      <c r="C763" s="3" t="s">
        <v>10860</v>
      </c>
      <c r="G763" s="9" t="s">
        <v>12118</v>
      </c>
      <c r="H763" s="9"/>
      <c r="I763" s="9"/>
      <c r="J763" s="9"/>
      <c r="K763" s="9"/>
      <c r="L763" s="9"/>
      <c r="M763" s="9"/>
      <c r="N763" s="10"/>
      <c r="O763" s="9"/>
      <c r="P763" s="9"/>
      <c r="Q763" s="9">
        <v>-7603</v>
      </c>
      <c r="R763" s="9">
        <v>11843</v>
      </c>
      <c r="S763" s="9">
        <v>4240</v>
      </c>
      <c r="T763" s="9"/>
      <c r="U763" s="9"/>
      <c r="V763" s="9"/>
      <c r="W763" s="9"/>
      <c r="X763" s="9"/>
      <c r="Y763" s="9"/>
      <c r="Z763" s="9"/>
      <c r="AA763" s="9"/>
      <c r="AB763" s="9"/>
      <c r="AC763" s="9"/>
      <c r="AD763" s="9" t="s">
        <v>20</v>
      </c>
    </row>
    <row r="764" spans="1:30" ht="29">
      <c r="A764" s="3" t="s">
        <v>4263</v>
      </c>
      <c r="B764" s="3" t="s">
        <v>10866</v>
      </c>
      <c r="C764" s="3" t="s">
        <v>10867</v>
      </c>
      <c r="G764" s="9" t="s">
        <v>12120</v>
      </c>
      <c r="H764" s="9"/>
      <c r="I764" s="9"/>
      <c r="J764" s="9"/>
      <c r="K764" s="9"/>
      <c r="L764" s="9"/>
      <c r="M764" s="9"/>
      <c r="N764" s="10"/>
      <c r="O764" s="9"/>
      <c r="P764" s="9"/>
      <c r="Q764" s="9"/>
      <c r="R764" s="9" t="s">
        <v>12795</v>
      </c>
      <c r="S764" s="9" t="s">
        <v>12795</v>
      </c>
      <c r="T764" s="9"/>
      <c r="U764" s="9"/>
      <c r="V764" s="9"/>
      <c r="W764" s="9"/>
      <c r="X764" s="9"/>
      <c r="Y764" s="9"/>
      <c r="Z764" s="9"/>
      <c r="AA764" s="9"/>
      <c r="AB764" s="9"/>
      <c r="AC764" s="9"/>
      <c r="AD764" s="9" t="s">
        <v>20</v>
      </c>
    </row>
    <row r="765" spans="1:30" ht="58">
      <c r="A765" s="3" t="s">
        <v>4267</v>
      </c>
      <c r="B765" s="3" t="s">
        <v>10880</v>
      </c>
      <c r="C765" s="3" t="s">
        <v>10881</v>
      </c>
      <c r="G765" s="9" t="s">
        <v>12118</v>
      </c>
      <c r="H765" s="9"/>
      <c r="I765" s="9"/>
      <c r="J765" s="9"/>
      <c r="K765" s="9"/>
      <c r="L765" s="9"/>
      <c r="M765" s="9"/>
      <c r="N765" s="10"/>
      <c r="O765" s="9"/>
      <c r="P765" s="9"/>
      <c r="Q765" s="9">
        <v>113</v>
      </c>
      <c r="R765" s="9">
        <v>15</v>
      </c>
      <c r="S765" s="9">
        <v>128</v>
      </c>
      <c r="T765" s="9"/>
      <c r="U765" s="9"/>
      <c r="V765" s="9"/>
      <c r="W765" s="9"/>
      <c r="X765" s="9"/>
      <c r="Y765" s="9"/>
      <c r="Z765" s="9"/>
      <c r="AA765" s="9"/>
      <c r="AB765" s="9"/>
      <c r="AC765" s="9"/>
      <c r="AD765" s="9" t="s">
        <v>20</v>
      </c>
    </row>
    <row r="766" spans="1:30" ht="29">
      <c r="A766" s="3" t="s">
        <v>4278</v>
      </c>
      <c r="B766" s="3" t="s">
        <v>10912</v>
      </c>
      <c r="C766" s="3" t="s">
        <v>10913</v>
      </c>
      <c r="G766" s="9" t="s">
        <v>12118</v>
      </c>
      <c r="H766" s="9"/>
      <c r="I766" s="9"/>
      <c r="J766" s="9"/>
      <c r="K766" s="9"/>
      <c r="L766" s="9"/>
      <c r="M766" s="9"/>
      <c r="N766" s="10"/>
      <c r="O766" s="9"/>
      <c r="P766" s="9"/>
      <c r="Q766" s="9">
        <v>-4</v>
      </c>
      <c r="R766" s="9">
        <v>6</v>
      </c>
      <c r="S766" s="9">
        <v>2</v>
      </c>
      <c r="T766" s="9"/>
      <c r="U766" s="9"/>
      <c r="V766" s="9"/>
      <c r="W766" s="9"/>
      <c r="X766" s="9"/>
      <c r="Y766" s="9"/>
      <c r="Z766" s="9"/>
      <c r="AA766" s="9"/>
      <c r="AB766" s="9"/>
      <c r="AC766" s="9"/>
      <c r="AD766" s="9" t="s">
        <v>20</v>
      </c>
    </row>
    <row r="767" spans="1:30" ht="101.5">
      <c r="A767" s="3" t="s">
        <v>4283</v>
      </c>
      <c r="B767" s="3" t="s">
        <v>10920</v>
      </c>
      <c r="C767" s="3" t="s">
        <v>10921</v>
      </c>
      <c r="G767" s="9" t="s">
        <v>12120</v>
      </c>
      <c r="H767" s="9"/>
      <c r="I767" s="9"/>
      <c r="J767" s="9"/>
      <c r="K767" s="9"/>
      <c r="L767" s="9"/>
      <c r="M767" s="9"/>
      <c r="N767" s="10"/>
      <c r="O767" s="9"/>
      <c r="P767" s="9"/>
      <c r="Q767" s="9"/>
      <c r="R767" s="9" t="s">
        <v>12795</v>
      </c>
      <c r="S767" s="9" t="s">
        <v>12795</v>
      </c>
      <c r="T767" s="9"/>
      <c r="U767" s="9"/>
      <c r="V767" s="9"/>
      <c r="W767" s="9"/>
      <c r="X767" s="9"/>
      <c r="Y767" s="9"/>
      <c r="Z767" s="9"/>
      <c r="AA767" s="9"/>
      <c r="AB767" s="9"/>
      <c r="AC767" s="9"/>
      <c r="AD767" s="9" t="s">
        <v>20</v>
      </c>
    </row>
    <row r="768" spans="1:30" ht="29">
      <c r="A768" s="3" t="s">
        <v>4291</v>
      </c>
      <c r="B768" s="3" t="s">
        <v>563</v>
      </c>
      <c r="C768" s="3" t="s">
        <v>143</v>
      </c>
      <c r="G768" s="9" t="s">
        <v>12120</v>
      </c>
      <c r="H768" s="9"/>
      <c r="I768" s="9"/>
      <c r="J768" s="9"/>
      <c r="K768" s="9"/>
      <c r="L768" s="9"/>
      <c r="M768" s="9"/>
      <c r="N768" s="10"/>
      <c r="O768" s="9"/>
      <c r="P768" s="9"/>
      <c r="Q768" s="9"/>
      <c r="R768" s="9" t="s">
        <v>12795</v>
      </c>
      <c r="S768" s="9" t="s">
        <v>12795</v>
      </c>
      <c r="T768" s="9"/>
      <c r="U768" s="9"/>
      <c r="V768" s="9"/>
      <c r="W768" s="9"/>
      <c r="X768" s="9"/>
      <c r="Y768" s="9"/>
      <c r="Z768" s="9"/>
      <c r="AA768" s="9"/>
      <c r="AB768" s="9"/>
      <c r="AC768" s="9"/>
      <c r="AD768" s="9" t="s">
        <v>20</v>
      </c>
    </row>
    <row r="769" spans="1:30" ht="116">
      <c r="A769" s="3" t="s">
        <v>4292</v>
      </c>
      <c r="B769" s="3" t="s">
        <v>10932</v>
      </c>
      <c r="C769" s="3" t="s">
        <v>13070</v>
      </c>
      <c r="G769" s="9" t="s">
        <v>12120</v>
      </c>
      <c r="H769" s="9"/>
      <c r="I769" s="9"/>
      <c r="J769" s="9"/>
      <c r="K769" s="9"/>
      <c r="L769" s="9"/>
      <c r="M769" s="9"/>
      <c r="N769" s="10"/>
      <c r="O769" s="9"/>
      <c r="P769" s="9"/>
      <c r="Q769" s="9"/>
      <c r="R769" s="9" t="s">
        <v>12795</v>
      </c>
      <c r="S769" s="9" t="s">
        <v>12795</v>
      </c>
      <c r="T769" s="9"/>
      <c r="U769" s="9"/>
      <c r="V769" s="9"/>
      <c r="W769" s="9"/>
      <c r="X769" s="9"/>
      <c r="Y769" s="9"/>
      <c r="Z769" s="9"/>
      <c r="AA769" s="9"/>
      <c r="AB769" s="9"/>
      <c r="AC769" s="9"/>
      <c r="AD769" s="9" t="s">
        <v>20</v>
      </c>
    </row>
    <row r="770" spans="1:30" ht="116">
      <c r="A770" s="3" t="s">
        <v>4292</v>
      </c>
      <c r="B770" s="3" t="s">
        <v>10933</v>
      </c>
      <c r="C770" s="3" t="s">
        <v>13068</v>
      </c>
      <c r="G770" s="9" t="s">
        <v>26</v>
      </c>
      <c r="H770" s="9"/>
      <c r="I770" s="9"/>
      <c r="J770" s="9"/>
      <c r="K770" s="9"/>
      <c r="L770" s="9"/>
      <c r="M770" s="9"/>
      <c r="N770" s="10"/>
      <c r="O770" s="9"/>
      <c r="P770" s="9"/>
      <c r="Q770" s="9"/>
      <c r="R770" s="9" t="s">
        <v>12795</v>
      </c>
      <c r="S770" s="9" t="s">
        <v>12795</v>
      </c>
      <c r="T770" s="9"/>
      <c r="U770" s="9"/>
      <c r="V770" s="9"/>
      <c r="W770" s="9"/>
      <c r="X770" s="9"/>
      <c r="Y770" s="9"/>
      <c r="Z770" s="9"/>
      <c r="AA770" s="9"/>
      <c r="AB770" s="9"/>
      <c r="AC770" s="9"/>
      <c r="AD770" s="9" t="s">
        <v>20</v>
      </c>
    </row>
    <row r="771" spans="1:30" ht="130.5">
      <c r="A771" s="3" t="s">
        <v>4292</v>
      </c>
      <c r="B771" s="3" t="s">
        <v>10934</v>
      </c>
      <c r="C771" s="3" t="s">
        <v>13069</v>
      </c>
      <c r="G771" s="9" t="s">
        <v>12121</v>
      </c>
      <c r="H771" s="9"/>
      <c r="I771" s="9"/>
      <c r="J771" s="9"/>
      <c r="K771" s="9"/>
      <c r="L771" s="9"/>
      <c r="M771" s="9"/>
      <c r="N771" s="10"/>
      <c r="O771" s="9"/>
      <c r="P771" s="9"/>
      <c r="Q771" s="9">
        <v>5204</v>
      </c>
      <c r="R771" s="9">
        <v>472</v>
      </c>
      <c r="S771" s="9">
        <v>5676</v>
      </c>
      <c r="T771" s="9"/>
      <c r="U771" s="9"/>
      <c r="V771" s="9"/>
      <c r="W771" s="9"/>
      <c r="X771" s="9"/>
      <c r="Y771" s="9"/>
      <c r="Z771" s="9"/>
      <c r="AA771" s="9"/>
      <c r="AB771" s="9"/>
      <c r="AC771" s="9"/>
      <c r="AD771" s="9" t="s">
        <v>20</v>
      </c>
    </row>
    <row r="772" spans="1:30" ht="72.5">
      <c r="A772" s="3" t="s">
        <v>4309</v>
      </c>
      <c r="B772" s="3" t="s">
        <v>10962</v>
      </c>
      <c r="C772" s="3" t="s">
        <v>10961</v>
      </c>
      <c r="G772" s="9" t="s">
        <v>25</v>
      </c>
      <c r="H772" s="9"/>
      <c r="I772" s="9">
        <v>1</v>
      </c>
      <c r="J772" s="9">
        <v>5</v>
      </c>
      <c r="K772" s="9" t="s">
        <v>12094</v>
      </c>
      <c r="L772" s="9" t="s">
        <v>12073</v>
      </c>
      <c r="M772" s="9" t="s">
        <v>12142</v>
      </c>
      <c r="N772" s="10" t="s">
        <v>12143</v>
      </c>
      <c r="O772" s="9"/>
      <c r="P772" s="9">
        <v>4240</v>
      </c>
      <c r="Q772" s="9"/>
      <c r="R772" s="9" t="s">
        <v>12795</v>
      </c>
      <c r="S772" s="9" t="s">
        <v>12795</v>
      </c>
      <c r="T772" s="9"/>
      <c r="U772" s="9"/>
      <c r="V772" s="9"/>
      <c r="W772" s="9"/>
      <c r="X772" s="9"/>
      <c r="Y772" s="9"/>
      <c r="Z772" s="9"/>
      <c r="AA772" s="9"/>
      <c r="AB772" s="9"/>
      <c r="AC772" s="9"/>
      <c r="AD772" s="9" t="s">
        <v>20</v>
      </c>
    </row>
    <row r="773" spans="1:30" ht="101.5">
      <c r="A773" s="3" t="s">
        <v>4312</v>
      </c>
      <c r="B773" s="3" t="s">
        <v>10976</v>
      </c>
      <c r="C773" s="3" t="s">
        <v>10975</v>
      </c>
      <c r="G773" s="9" t="s">
        <v>26</v>
      </c>
      <c r="H773" s="9"/>
      <c r="I773" s="9"/>
      <c r="J773" s="9"/>
      <c r="K773" s="9"/>
      <c r="L773" s="9"/>
      <c r="M773" s="9"/>
      <c r="N773" s="10"/>
      <c r="O773" s="9"/>
      <c r="P773" s="9"/>
      <c r="Q773" s="9"/>
      <c r="R773" s="9" t="s">
        <v>12795</v>
      </c>
      <c r="S773" s="9" t="s">
        <v>12795</v>
      </c>
      <c r="T773" s="9"/>
      <c r="U773" s="9"/>
      <c r="V773" s="9"/>
      <c r="W773" s="9"/>
      <c r="X773" s="9"/>
      <c r="Y773" s="9"/>
      <c r="Z773" s="9"/>
      <c r="AA773" s="9"/>
      <c r="AB773" s="9"/>
      <c r="AC773" s="9"/>
      <c r="AD773" s="9" t="s">
        <v>20</v>
      </c>
    </row>
    <row r="774" spans="1:30" ht="58">
      <c r="A774" s="3" t="s">
        <v>4317</v>
      </c>
      <c r="B774" s="3" t="s">
        <v>10983</v>
      </c>
      <c r="C774" s="3" t="s">
        <v>10982</v>
      </c>
      <c r="E774" t="s">
        <v>20</v>
      </c>
      <c r="G774" s="9" t="s">
        <v>25</v>
      </c>
      <c r="H774" s="9"/>
      <c r="I774" s="9">
        <v>1</v>
      </c>
      <c r="J774" s="9">
        <v>3</v>
      </c>
      <c r="K774" s="9" t="s">
        <v>12087</v>
      </c>
      <c r="L774" s="9" t="s">
        <v>12079</v>
      </c>
      <c r="M774" s="9"/>
      <c r="N774" s="10"/>
      <c r="O774" s="9"/>
      <c r="P774" s="9">
        <v>309</v>
      </c>
      <c r="Q774" s="9"/>
      <c r="R774" s="9" t="s">
        <v>12795</v>
      </c>
      <c r="S774" s="9" t="s">
        <v>12795</v>
      </c>
      <c r="T774" s="9"/>
      <c r="U774" s="9"/>
      <c r="V774" s="9"/>
      <c r="W774" s="9"/>
      <c r="X774" s="9"/>
      <c r="Y774" s="9"/>
      <c r="Z774" s="9"/>
      <c r="AA774" s="9"/>
      <c r="AB774" s="9"/>
      <c r="AC774" s="9"/>
      <c r="AD774" s="9" t="s">
        <v>13141</v>
      </c>
    </row>
    <row r="775" spans="1:30" ht="29">
      <c r="A775" s="3" t="s">
        <v>4319</v>
      </c>
      <c r="B775" s="3" t="s">
        <v>10995</v>
      </c>
      <c r="C775" s="3" t="s">
        <v>10996</v>
      </c>
      <c r="G775" s="9" t="s">
        <v>12118</v>
      </c>
      <c r="H775" s="9"/>
      <c r="I775" s="9"/>
      <c r="J775" s="9"/>
      <c r="K775" s="9"/>
      <c r="L775" s="9"/>
      <c r="M775" s="9"/>
      <c r="N775" s="10"/>
      <c r="O775" s="9"/>
      <c r="P775" s="9"/>
      <c r="Q775" s="9">
        <v>-15</v>
      </c>
      <c r="R775" s="9">
        <v>21</v>
      </c>
      <c r="S775" s="9">
        <v>6</v>
      </c>
      <c r="T775" s="9"/>
      <c r="U775" s="9"/>
      <c r="V775" s="9"/>
      <c r="W775" s="9"/>
      <c r="X775" s="9"/>
      <c r="Y775" s="9"/>
      <c r="Z775" s="9"/>
      <c r="AA775" s="9"/>
      <c r="AB775" s="9"/>
      <c r="AC775" s="9"/>
      <c r="AD775" s="9" t="s">
        <v>20</v>
      </c>
    </row>
    <row r="776" spans="1:30" ht="29">
      <c r="A776" s="3" t="s">
        <v>4321</v>
      </c>
      <c r="B776" s="3" t="s">
        <v>11000</v>
      </c>
      <c r="C776" s="3" t="s">
        <v>10999</v>
      </c>
      <c r="G776" s="9" t="s">
        <v>12120</v>
      </c>
      <c r="H776" s="9"/>
      <c r="I776" s="9"/>
      <c r="J776" s="9"/>
      <c r="K776" s="9"/>
      <c r="L776" s="9"/>
      <c r="M776" s="9"/>
      <c r="N776" s="10"/>
      <c r="O776" s="9"/>
      <c r="P776" s="9"/>
      <c r="Q776" s="9"/>
      <c r="R776" s="9" t="s">
        <v>12795</v>
      </c>
      <c r="S776" s="9" t="s">
        <v>12795</v>
      </c>
      <c r="T776" s="9"/>
      <c r="U776" s="9"/>
      <c r="V776" s="9"/>
      <c r="W776" s="9"/>
      <c r="X776" s="9"/>
      <c r="Y776" s="9"/>
      <c r="Z776" s="9"/>
      <c r="AA776" s="9"/>
      <c r="AB776" s="9"/>
      <c r="AC776" s="9"/>
      <c r="AD776" s="9" t="s">
        <v>20</v>
      </c>
    </row>
    <row r="777" spans="1:30" ht="43.5">
      <c r="A777" s="3" t="s">
        <v>4321</v>
      </c>
      <c r="B777" s="3" t="s">
        <v>11002</v>
      </c>
      <c r="C777" s="3" t="s">
        <v>11001</v>
      </c>
      <c r="G777" s="9" t="s">
        <v>25</v>
      </c>
      <c r="H777" s="9"/>
      <c r="I777" s="9">
        <v>1</v>
      </c>
      <c r="J777" s="9">
        <v>3</v>
      </c>
      <c r="K777" s="9" t="s">
        <v>12094</v>
      </c>
      <c r="L777" s="9" t="s">
        <v>12079</v>
      </c>
      <c r="M777" s="9"/>
      <c r="N777" s="10"/>
      <c r="O777" s="9"/>
      <c r="P777" s="9">
        <v>1741</v>
      </c>
      <c r="Q777" s="9"/>
      <c r="R777" s="9" t="s">
        <v>12795</v>
      </c>
      <c r="S777" s="9" t="s">
        <v>12795</v>
      </c>
      <c r="T777" s="9"/>
      <c r="U777" s="9"/>
      <c r="V777" s="9"/>
      <c r="W777" s="9"/>
      <c r="X777" s="9"/>
      <c r="Y777" s="9"/>
      <c r="Z777" s="9"/>
      <c r="AA777" s="9"/>
      <c r="AB777" s="9"/>
      <c r="AC777" s="9"/>
      <c r="AD777" s="9" t="s">
        <v>20</v>
      </c>
    </row>
    <row r="778" spans="1:30" ht="29">
      <c r="A778" s="3" t="s">
        <v>4323</v>
      </c>
      <c r="B778" s="3" t="s">
        <v>11006</v>
      </c>
      <c r="C778" s="3" t="s">
        <v>11005</v>
      </c>
      <c r="G778" s="9" t="s">
        <v>24</v>
      </c>
      <c r="H778" s="9"/>
      <c r="I778" s="9">
        <v>1</v>
      </c>
      <c r="J778" s="9">
        <v>3</v>
      </c>
      <c r="K778" s="9" t="s">
        <v>12078</v>
      </c>
      <c r="L778" s="9" t="s">
        <v>12079</v>
      </c>
      <c r="M778" s="9"/>
      <c r="N778" s="10"/>
      <c r="O778" s="9"/>
      <c r="P778" s="9">
        <v>11843</v>
      </c>
      <c r="Q778" s="9"/>
      <c r="R778" s="9" t="s">
        <v>12795</v>
      </c>
      <c r="S778" s="9" t="s">
        <v>12795</v>
      </c>
      <c r="T778" s="9"/>
      <c r="U778" s="9"/>
      <c r="V778" s="9"/>
      <c r="W778" s="9"/>
      <c r="X778" s="9"/>
      <c r="Y778" s="9"/>
      <c r="Z778" s="9"/>
      <c r="AA778" s="9"/>
      <c r="AB778" s="9"/>
      <c r="AC778" s="9"/>
      <c r="AD778" s="9" t="s">
        <v>20</v>
      </c>
    </row>
    <row r="779" spans="1:30" ht="145">
      <c r="A779" s="3" t="s">
        <v>4325</v>
      </c>
      <c r="B779" s="3" t="s">
        <v>12572</v>
      </c>
      <c r="C779" s="3" t="s">
        <v>12573</v>
      </c>
      <c r="G779" s="9" t="s">
        <v>25</v>
      </c>
      <c r="H779" s="9"/>
      <c r="I779" s="9">
        <v>8</v>
      </c>
      <c r="J779" s="9">
        <v>31</v>
      </c>
      <c r="K779" s="9"/>
      <c r="L779" s="9" t="s">
        <v>12073</v>
      </c>
      <c r="M779" s="9" t="s">
        <v>12140</v>
      </c>
      <c r="N779" s="10" t="s">
        <v>12278</v>
      </c>
      <c r="O779" s="9"/>
      <c r="P779" s="9">
        <v>6</v>
      </c>
      <c r="Q779" s="9"/>
      <c r="R779" s="9" t="s">
        <v>12795</v>
      </c>
      <c r="S779" s="9" t="s">
        <v>12795</v>
      </c>
      <c r="T779" s="9"/>
      <c r="U779" s="9"/>
      <c r="V779" s="9"/>
      <c r="W779" s="9"/>
      <c r="X779" s="9"/>
      <c r="Y779" s="9"/>
      <c r="Z779" s="9"/>
      <c r="AA779" s="9"/>
      <c r="AB779" s="9"/>
      <c r="AC779" s="9"/>
      <c r="AD779" s="9" t="s">
        <v>20</v>
      </c>
    </row>
    <row r="780" spans="1:30" ht="29">
      <c r="A780" s="3" t="s">
        <v>4326</v>
      </c>
      <c r="B780" s="3" t="s">
        <v>11009</v>
      </c>
      <c r="C780" s="3" t="s">
        <v>9864</v>
      </c>
      <c r="G780" s="9" t="s">
        <v>12120</v>
      </c>
      <c r="H780" s="9"/>
      <c r="I780" s="9"/>
      <c r="J780" s="9"/>
      <c r="K780" s="9"/>
      <c r="L780" s="9"/>
      <c r="M780" s="9"/>
      <c r="N780" s="10"/>
      <c r="O780" s="9"/>
      <c r="P780" s="9"/>
      <c r="Q780" s="9"/>
      <c r="R780" s="9" t="s">
        <v>12795</v>
      </c>
      <c r="S780" s="9" t="s">
        <v>12795</v>
      </c>
      <c r="T780" s="9"/>
      <c r="U780" s="9"/>
      <c r="V780" s="9"/>
      <c r="W780" s="9"/>
      <c r="X780" s="9"/>
      <c r="Y780" s="9"/>
      <c r="Z780" s="9"/>
      <c r="AA780" s="9"/>
      <c r="AB780" s="9"/>
      <c r="AC780" s="9"/>
      <c r="AD780" s="9" t="s">
        <v>20</v>
      </c>
    </row>
    <row r="781" spans="1:30" ht="43.5">
      <c r="A781" s="3" t="s">
        <v>4333</v>
      </c>
      <c r="B781" s="3" t="s">
        <v>11028</v>
      </c>
      <c r="C781" s="3" t="s">
        <v>11029</v>
      </c>
      <c r="G781" s="9" t="s">
        <v>25</v>
      </c>
      <c r="H781" s="9"/>
      <c r="I781" s="9">
        <v>1</v>
      </c>
      <c r="J781" s="9">
        <v>6</v>
      </c>
      <c r="K781" s="9" t="s">
        <v>12092</v>
      </c>
      <c r="L781" s="9" t="s">
        <v>12073</v>
      </c>
      <c r="M781" s="9" t="s">
        <v>12149</v>
      </c>
      <c r="N781" s="10" t="s">
        <v>12143</v>
      </c>
      <c r="O781" s="9"/>
      <c r="P781" s="9">
        <v>128</v>
      </c>
      <c r="Q781" s="9"/>
      <c r="R781" s="9" t="s">
        <v>12795</v>
      </c>
      <c r="S781" s="9" t="s">
        <v>12795</v>
      </c>
      <c r="T781" s="9"/>
      <c r="U781" s="9"/>
      <c r="V781" s="9"/>
      <c r="W781" s="9"/>
      <c r="X781" s="9"/>
      <c r="Y781" s="9"/>
      <c r="Z781" s="9"/>
      <c r="AA781" s="9"/>
      <c r="AB781" s="9"/>
      <c r="AC781" s="9"/>
      <c r="AD781" s="9" t="s">
        <v>20</v>
      </c>
    </row>
    <row r="782" spans="1:30" ht="72.5">
      <c r="A782" s="3" t="s">
        <v>4335</v>
      </c>
      <c r="B782" s="3" t="s">
        <v>12946</v>
      </c>
      <c r="C782" s="3" t="s">
        <v>11033</v>
      </c>
      <c r="G782" s="9" t="s">
        <v>24</v>
      </c>
      <c r="H782" s="9"/>
      <c r="I782" s="9">
        <v>1</v>
      </c>
      <c r="J782" s="9">
        <v>6</v>
      </c>
      <c r="K782" s="9" t="s">
        <v>12072</v>
      </c>
      <c r="L782" s="9" t="s">
        <v>12073</v>
      </c>
      <c r="M782" s="9" t="s">
        <v>12142</v>
      </c>
      <c r="N782" s="10" t="s">
        <v>12143</v>
      </c>
      <c r="O782" s="9"/>
      <c r="P782" s="9">
        <v>92</v>
      </c>
      <c r="Q782" s="9"/>
      <c r="R782" s="9" t="s">
        <v>12795</v>
      </c>
      <c r="S782" s="9" t="s">
        <v>12795</v>
      </c>
      <c r="T782" s="9"/>
      <c r="U782" s="9"/>
      <c r="V782" s="9"/>
      <c r="W782" s="9"/>
      <c r="X782" s="9"/>
      <c r="Y782" s="9"/>
      <c r="Z782" s="9"/>
      <c r="AA782" s="9"/>
      <c r="AB782" s="9"/>
      <c r="AC782" s="9"/>
      <c r="AD782" s="9" t="s">
        <v>13141</v>
      </c>
    </row>
    <row r="783" spans="1:30" ht="58">
      <c r="A783" s="3" t="s">
        <v>4337</v>
      </c>
      <c r="B783" s="3" t="s">
        <v>11044</v>
      </c>
      <c r="C783" s="3" t="s">
        <v>11043</v>
      </c>
      <c r="E783" t="s">
        <v>20</v>
      </c>
      <c r="G783" s="9" t="s">
        <v>26</v>
      </c>
      <c r="H783" s="9"/>
      <c r="I783" s="9"/>
      <c r="J783" s="9"/>
      <c r="K783" s="9"/>
      <c r="L783" s="9"/>
      <c r="M783" s="9"/>
      <c r="N783" s="10"/>
      <c r="O783" s="9"/>
      <c r="P783" s="9"/>
      <c r="Q783" s="9"/>
      <c r="R783" s="9" t="s">
        <v>12795</v>
      </c>
      <c r="S783" s="9" t="s">
        <v>12795</v>
      </c>
      <c r="T783" s="9"/>
      <c r="U783" s="9"/>
      <c r="V783" s="9"/>
      <c r="W783" s="9"/>
      <c r="X783" s="9"/>
      <c r="Y783" s="9"/>
      <c r="Z783" s="9"/>
      <c r="AA783" s="9"/>
      <c r="AB783" s="9"/>
      <c r="AC783" s="9"/>
      <c r="AD783" s="9" t="s">
        <v>20</v>
      </c>
    </row>
    <row r="784" spans="1:30" ht="58">
      <c r="A784" s="3" t="s">
        <v>4347</v>
      </c>
      <c r="B784" s="3" t="s">
        <v>11068</v>
      </c>
      <c r="C784" s="3" t="s">
        <v>11067</v>
      </c>
      <c r="G784" s="9" t="s">
        <v>12120</v>
      </c>
      <c r="H784" s="9"/>
      <c r="I784" s="9"/>
      <c r="J784" s="9"/>
      <c r="K784" s="9"/>
      <c r="L784" s="9"/>
      <c r="M784" s="9"/>
      <c r="N784" s="10"/>
      <c r="O784" s="9"/>
      <c r="P784" s="9"/>
      <c r="Q784" s="9"/>
      <c r="R784" s="9" t="s">
        <v>12795</v>
      </c>
      <c r="S784" s="9" t="s">
        <v>12795</v>
      </c>
      <c r="T784" s="9"/>
      <c r="U784" s="9"/>
      <c r="V784" s="9"/>
      <c r="W784" s="9"/>
      <c r="X784" s="9"/>
      <c r="Y784" s="9"/>
      <c r="Z784" s="9"/>
      <c r="AA784" s="9"/>
      <c r="AB784" s="9"/>
      <c r="AC784" s="9"/>
      <c r="AD784" s="9" t="s">
        <v>20</v>
      </c>
    </row>
    <row r="785" spans="1:30" ht="43.5">
      <c r="A785" s="3" t="s">
        <v>4347</v>
      </c>
      <c r="B785" s="3" t="s">
        <v>11069</v>
      </c>
      <c r="C785" s="3" t="s">
        <v>11070</v>
      </c>
      <c r="G785" s="9" t="s">
        <v>25</v>
      </c>
      <c r="H785" s="9"/>
      <c r="I785" s="9">
        <v>1</v>
      </c>
      <c r="J785" s="9">
        <v>3</v>
      </c>
      <c r="K785" s="9" t="s">
        <v>12096</v>
      </c>
      <c r="L785" s="9" t="s">
        <v>12079</v>
      </c>
      <c r="M785" s="9"/>
      <c r="N785" s="10"/>
      <c r="O785" s="9"/>
      <c r="P785" s="9">
        <v>560</v>
      </c>
      <c r="Q785" s="9"/>
      <c r="R785" s="9" t="s">
        <v>12795</v>
      </c>
      <c r="S785" s="9" t="s">
        <v>12795</v>
      </c>
      <c r="T785" s="9"/>
      <c r="U785" s="9"/>
      <c r="V785" s="9"/>
      <c r="W785" s="9"/>
      <c r="X785" s="9"/>
      <c r="Y785" s="9"/>
      <c r="Z785" s="9"/>
      <c r="AA785" s="9"/>
      <c r="AB785" s="9"/>
      <c r="AC785" s="9"/>
      <c r="AD785" s="9" t="s">
        <v>20</v>
      </c>
    </row>
    <row r="786" spans="1:30" ht="43.5">
      <c r="A786" s="3" t="s">
        <v>4365</v>
      </c>
      <c r="B786" s="3" t="s">
        <v>11117</v>
      </c>
      <c r="C786" s="3" t="s">
        <v>11116</v>
      </c>
      <c r="G786" s="9" t="s">
        <v>12120</v>
      </c>
      <c r="H786" s="9"/>
      <c r="I786" s="9"/>
      <c r="J786" s="9"/>
      <c r="K786" s="9"/>
      <c r="L786" s="9"/>
      <c r="M786" s="9"/>
      <c r="N786" s="10"/>
      <c r="O786" s="9"/>
      <c r="P786" s="9"/>
      <c r="Q786" s="9"/>
      <c r="R786" s="9" t="s">
        <v>12795</v>
      </c>
      <c r="S786" s="9" t="s">
        <v>12795</v>
      </c>
      <c r="T786" s="9"/>
      <c r="U786" s="9"/>
      <c r="V786" s="9"/>
      <c r="W786" s="9"/>
      <c r="X786" s="9"/>
      <c r="Y786" s="9"/>
      <c r="Z786" s="9"/>
      <c r="AA786" s="9"/>
      <c r="AB786" s="9"/>
      <c r="AC786" s="9"/>
      <c r="AD786" s="9" t="s">
        <v>20</v>
      </c>
    </row>
    <row r="787" spans="1:30" ht="72.5">
      <c r="A787" s="3" t="s">
        <v>4369</v>
      </c>
      <c r="B787" s="3" t="s">
        <v>11128</v>
      </c>
      <c r="C787" s="3" t="s">
        <v>11129</v>
      </c>
      <c r="G787" s="9" t="s">
        <v>12120</v>
      </c>
      <c r="H787" s="9"/>
      <c r="I787" s="9"/>
      <c r="J787" s="9"/>
      <c r="K787" s="9"/>
      <c r="L787" s="9"/>
      <c r="M787" s="9"/>
      <c r="N787" s="10"/>
      <c r="O787" s="9"/>
      <c r="P787" s="9"/>
      <c r="Q787" s="9"/>
      <c r="R787" s="9" t="s">
        <v>12795</v>
      </c>
      <c r="S787" s="9" t="s">
        <v>12795</v>
      </c>
      <c r="T787" s="9"/>
      <c r="U787" s="9"/>
      <c r="V787" s="9"/>
      <c r="W787" s="9"/>
      <c r="X787" s="9"/>
      <c r="Y787" s="9"/>
      <c r="Z787" s="9"/>
      <c r="AA787" s="9"/>
      <c r="AB787" s="9"/>
      <c r="AC787" s="9"/>
      <c r="AD787" s="9" t="s">
        <v>20</v>
      </c>
    </row>
    <row r="788" spans="1:30" ht="72.5">
      <c r="A788" s="3" t="s">
        <v>4369</v>
      </c>
      <c r="B788" s="3" t="s">
        <v>11130</v>
      </c>
      <c r="C788" s="3" t="s">
        <v>11131</v>
      </c>
      <c r="G788" s="9" t="s">
        <v>12120</v>
      </c>
      <c r="H788" s="9"/>
      <c r="I788" s="9"/>
      <c r="J788" s="9"/>
      <c r="K788" s="9"/>
      <c r="L788" s="9"/>
      <c r="M788" s="9"/>
      <c r="N788" s="10"/>
      <c r="O788" s="9"/>
      <c r="P788" s="9"/>
      <c r="Q788" s="9"/>
      <c r="R788" s="9" t="s">
        <v>12795</v>
      </c>
      <c r="S788" s="9" t="s">
        <v>12795</v>
      </c>
      <c r="T788" s="9"/>
      <c r="U788" s="9"/>
      <c r="V788" s="9"/>
      <c r="W788" s="9"/>
      <c r="X788" s="9"/>
      <c r="Y788" s="9"/>
      <c r="Z788" s="9"/>
      <c r="AA788" s="9"/>
      <c r="AB788" s="9"/>
      <c r="AC788" s="9"/>
      <c r="AD788" s="9" t="s">
        <v>20</v>
      </c>
    </row>
    <row r="789" spans="1:30" ht="87">
      <c r="A789" s="3" t="s">
        <v>4370</v>
      </c>
      <c r="B789" s="3" t="s">
        <v>11133</v>
      </c>
      <c r="C789" s="3" t="s">
        <v>11134</v>
      </c>
      <c r="G789" s="9" t="s">
        <v>24</v>
      </c>
      <c r="H789" s="9"/>
      <c r="I789" s="9">
        <v>1</v>
      </c>
      <c r="J789" s="9">
        <v>2</v>
      </c>
      <c r="K789" s="9" t="s">
        <v>12096</v>
      </c>
      <c r="L789" s="9" t="s">
        <v>12119</v>
      </c>
      <c r="M789" s="9"/>
      <c r="N789" s="10"/>
      <c r="O789" s="9" t="s">
        <v>12074</v>
      </c>
      <c r="P789" s="9">
        <v>1294</v>
      </c>
      <c r="Q789" s="9"/>
      <c r="R789" s="9" t="s">
        <v>12795</v>
      </c>
      <c r="S789" s="9" t="s">
        <v>12795</v>
      </c>
      <c r="T789" s="9"/>
      <c r="U789" s="9"/>
      <c r="V789" s="9"/>
      <c r="W789" s="9"/>
      <c r="X789" s="9"/>
      <c r="Y789" s="9"/>
      <c r="Z789" s="9"/>
      <c r="AA789" s="9"/>
      <c r="AB789" s="9"/>
      <c r="AC789" s="9"/>
      <c r="AD789" s="9" t="s">
        <v>20</v>
      </c>
    </row>
    <row r="790" spans="1:30" ht="87">
      <c r="A790" s="3" t="s">
        <v>4370</v>
      </c>
      <c r="B790" s="3" t="s">
        <v>11137</v>
      </c>
      <c r="C790" s="3" t="s">
        <v>11132</v>
      </c>
      <c r="G790" s="9" t="s">
        <v>25</v>
      </c>
      <c r="H790" s="9"/>
      <c r="I790" s="9">
        <v>4</v>
      </c>
      <c r="J790" s="9">
        <v>17</v>
      </c>
      <c r="K790" s="9"/>
      <c r="L790" s="9" t="s">
        <v>12073</v>
      </c>
      <c r="M790" s="9" t="s">
        <v>12140</v>
      </c>
      <c r="N790" s="10" t="s">
        <v>12136</v>
      </c>
      <c r="O790" s="9"/>
      <c r="P790" s="9">
        <v>63</v>
      </c>
      <c r="Q790" s="9"/>
      <c r="R790" s="9" t="s">
        <v>12795</v>
      </c>
      <c r="S790" s="9" t="s">
        <v>12795</v>
      </c>
      <c r="T790" s="9"/>
      <c r="U790" s="9"/>
      <c r="V790" s="9"/>
      <c r="W790" s="9"/>
      <c r="X790" s="9"/>
      <c r="Y790" s="9"/>
      <c r="Z790" s="9"/>
      <c r="AA790" s="9"/>
      <c r="AB790" s="9"/>
      <c r="AC790" s="9"/>
      <c r="AD790" s="9" t="s">
        <v>20</v>
      </c>
    </row>
    <row r="791" spans="1:30" ht="29">
      <c r="A791" s="3" t="s">
        <v>4372</v>
      </c>
      <c r="B791" s="3" t="s">
        <v>3892</v>
      </c>
      <c r="C791" s="3" t="s">
        <v>3893</v>
      </c>
      <c r="G791" s="9" t="s">
        <v>12118</v>
      </c>
      <c r="H791" s="9"/>
      <c r="I791" s="9"/>
      <c r="J791" s="9"/>
      <c r="K791" s="9"/>
      <c r="L791" s="9"/>
      <c r="M791" s="9"/>
      <c r="N791" s="10"/>
      <c r="O791" s="9"/>
      <c r="P791" s="9"/>
      <c r="Q791" s="9">
        <v>7</v>
      </c>
      <c r="R791" s="9">
        <v>0</v>
      </c>
      <c r="S791" s="9">
        <v>7</v>
      </c>
      <c r="T791" s="9"/>
      <c r="U791" s="9"/>
      <c r="V791" s="9"/>
      <c r="W791" s="9"/>
      <c r="X791" s="9"/>
      <c r="Y791" s="9"/>
      <c r="Z791" s="9"/>
      <c r="AA791" s="9"/>
      <c r="AB791" s="9"/>
      <c r="AC791" s="9"/>
      <c r="AD791" s="9" t="s">
        <v>20</v>
      </c>
    </row>
    <row r="792" spans="1:30" ht="58">
      <c r="A792" s="3" t="s">
        <v>4376</v>
      </c>
      <c r="B792" s="3" t="s">
        <v>11155</v>
      </c>
      <c r="C792" s="3" t="s">
        <v>11154</v>
      </c>
      <c r="G792" s="9" t="s">
        <v>25</v>
      </c>
      <c r="H792" s="9"/>
      <c r="I792" s="9">
        <v>1</v>
      </c>
      <c r="J792" s="9">
        <v>2</v>
      </c>
      <c r="K792" s="9" t="s">
        <v>12087</v>
      </c>
      <c r="L792" s="9" t="s">
        <v>12119</v>
      </c>
      <c r="M792" s="9"/>
      <c r="N792" s="10"/>
      <c r="O792" s="9"/>
      <c r="P792" s="9">
        <v>1966</v>
      </c>
      <c r="Q792" s="9"/>
      <c r="R792" s="9" t="s">
        <v>12795</v>
      </c>
      <c r="S792" s="9" t="s">
        <v>12795</v>
      </c>
      <c r="T792" s="9"/>
      <c r="U792" s="9"/>
      <c r="V792" s="9"/>
      <c r="W792" s="9"/>
      <c r="X792" s="9"/>
      <c r="Y792" s="9"/>
      <c r="Z792" s="9"/>
      <c r="AA792" s="9"/>
      <c r="AB792" s="9"/>
      <c r="AC792" s="9"/>
      <c r="AD792" s="9" t="s">
        <v>20</v>
      </c>
    </row>
    <row r="793" spans="1:30" ht="43.5">
      <c r="A793" s="3" t="s">
        <v>4381</v>
      </c>
      <c r="B793" s="3" t="s">
        <v>11169</v>
      </c>
      <c r="C793" s="3" t="s">
        <v>11170</v>
      </c>
      <c r="F793" t="s">
        <v>19</v>
      </c>
      <c r="G793" s="9" t="s">
        <v>24</v>
      </c>
      <c r="H793" s="9"/>
      <c r="I793" s="9">
        <v>1</v>
      </c>
      <c r="J793" s="9">
        <v>5</v>
      </c>
      <c r="K793" s="9" t="s">
        <v>12094</v>
      </c>
      <c r="L793" s="9" t="s">
        <v>12073</v>
      </c>
      <c r="M793" s="9" t="s">
        <v>12149</v>
      </c>
      <c r="N793" s="10" t="s">
        <v>12143</v>
      </c>
      <c r="O793" s="9"/>
      <c r="P793" s="9">
        <v>4240</v>
      </c>
      <c r="Q793" s="9"/>
      <c r="R793" s="9" t="s">
        <v>12795</v>
      </c>
      <c r="S793" s="9" t="s">
        <v>12795</v>
      </c>
      <c r="T793" s="9"/>
      <c r="U793" s="9"/>
      <c r="V793" s="9"/>
      <c r="W793" s="9"/>
      <c r="X793" s="9"/>
      <c r="Y793" s="9"/>
      <c r="Z793" s="9"/>
      <c r="AA793" s="9"/>
      <c r="AB793" s="9"/>
      <c r="AC793" s="9"/>
      <c r="AD793" s="9" t="s">
        <v>20</v>
      </c>
    </row>
    <row r="794" spans="1:30" ht="43.5">
      <c r="A794" s="3" t="s">
        <v>4387</v>
      </c>
      <c r="B794" s="3" t="s">
        <v>11181</v>
      </c>
      <c r="C794" s="3" t="s">
        <v>11182</v>
      </c>
      <c r="G794" s="9" t="s">
        <v>12118</v>
      </c>
      <c r="H794" s="9"/>
      <c r="I794" s="9"/>
      <c r="J794" s="9"/>
      <c r="K794" s="9"/>
      <c r="L794" s="9"/>
      <c r="M794" s="9"/>
      <c r="N794" s="10"/>
      <c r="O794" s="9"/>
      <c r="P794" s="9"/>
      <c r="Q794" s="9">
        <v>-111</v>
      </c>
      <c r="R794" s="9">
        <v>472</v>
      </c>
      <c r="S794" s="9">
        <v>361</v>
      </c>
      <c r="T794" s="9"/>
      <c r="U794" s="9"/>
      <c r="V794" s="9"/>
      <c r="W794" s="9"/>
      <c r="X794" s="9"/>
      <c r="Y794" s="9"/>
      <c r="Z794" s="9"/>
      <c r="AA794" s="9"/>
      <c r="AB794" s="9"/>
      <c r="AC794" s="9"/>
      <c r="AD794" s="9" t="s">
        <v>20</v>
      </c>
    </row>
    <row r="795" spans="1:30" ht="130.5">
      <c r="A795" s="3" t="s">
        <v>4389</v>
      </c>
      <c r="B795" s="3" t="s">
        <v>11186</v>
      </c>
      <c r="C795" s="3" t="s">
        <v>11185</v>
      </c>
      <c r="G795" s="9" t="s">
        <v>26</v>
      </c>
      <c r="H795" s="9"/>
      <c r="I795" s="9"/>
      <c r="J795" s="9"/>
      <c r="K795" s="9"/>
      <c r="L795" s="9"/>
      <c r="M795" s="9"/>
      <c r="N795" s="10"/>
      <c r="O795" s="9"/>
      <c r="P795" s="9"/>
      <c r="Q795" s="9"/>
      <c r="R795" s="9" t="s">
        <v>12795</v>
      </c>
      <c r="S795" s="9" t="s">
        <v>12795</v>
      </c>
      <c r="T795" s="9"/>
      <c r="U795" s="9"/>
      <c r="V795" s="9"/>
      <c r="W795" s="9"/>
      <c r="X795" s="9"/>
      <c r="Y795" s="9"/>
      <c r="Z795" s="9"/>
      <c r="AA795" s="9"/>
      <c r="AB795" s="9"/>
      <c r="AC795" s="9"/>
      <c r="AD795" s="9" t="s">
        <v>20</v>
      </c>
    </row>
    <row r="796" spans="1:30" ht="29">
      <c r="A796" s="3" t="s">
        <v>4392</v>
      </c>
      <c r="B796" s="3" t="s">
        <v>4393</v>
      </c>
      <c r="C796" s="3" t="s">
        <v>4394</v>
      </c>
      <c r="G796" s="9" t="s">
        <v>12120</v>
      </c>
      <c r="H796" s="9"/>
      <c r="I796" s="9"/>
      <c r="J796" s="9"/>
      <c r="K796" s="9"/>
      <c r="L796" s="9"/>
      <c r="M796" s="9"/>
      <c r="N796" s="10"/>
      <c r="O796" s="9"/>
      <c r="P796" s="9"/>
      <c r="Q796" s="9"/>
      <c r="R796" s="9" t="s">
        <v>12795</v>
      </c>
      <c r="S796" s="9" t="s">
        <v>12795</v>
      </c>
      <c r="T796" s="9"/>
      <c r="U796" s="9"/>
      <c r="V796" s="9"/>
      <c r="W796" s="9"/>
      <c r="X796" s="9"/>
      <c r="Y796" s="9"/>
      <c r="Z796" s="9"/>
      <c r="AA796" s="9"/>
      <c r="AB796" s="9"/>
      <c r="AC796" s="9"/>
      <c r="AD796" s="9" t="s">
        <v>20</v>
      </c>
    </row>
    <row r="797" spans="1:30" ht="72.5">
      <c r="A797" s="3" t="s">
        <v>4399</v>
      </c>
      <c r="B797" s="3" t="s">
        <v>11208</v>
      </c>
      <c r="C797" s="3" t="s">
        <v>11209</v>
      </c>
      <c r="G797" s="9" t="s">
        <v>12120</v>
      </c>
      <c r="H797" s="9"/>
      <c r="I797" s="9"/>
      <c r="J797" s="9"/>
      <c r="K797" s="9"/>
      <c r="L797" s="9"/>
      <c r="M797" s="9"/>
      <c r="N797" s="10"/>
      <c r="O797" s="9"/>
      <c r="P797" s="9"/>
      <c r="Q797" s="9"/>
      <c r="R797" s="9" t="s">
        <v>12795</v>
      </c>
      <c r="S797" s="9" t="s">
        <v>12795</v>
      </c>
      <c r="T797" s="9"/>
      <c r="U797" s="9"/>
      <c r="V797" s="9"/>
      <c r="W797" s="9"/>
      <c r="X797" s="9"/>
      <c r="Y797" s="9"/>
      <c r="Z797" s="9"/>
      <c r="AA797" s="9"/>
      <c r="AB797" s="9"/>
      <c r="AC797" s="9"/>
      <c r="AD797" s="9" t="s">
        <v>20</v>
      </c>
    </row>
    <row r="798" spans="1:30" ht="29">
      <c r="A798" s="3" t="s">
        <v>4423</v>
      </c>
      <c r="B798" s="3" t="s">
        <v>11251</v>
      </c>
      <c r="C798" s="3" t="s">
        <v>11252</v>
      </c>
      <c r="G798" s="9" t="s">
        <v>25</v>
      </c>
      <c r="H798" s="9"/>
      <c r="I798" s="9">
        <v>1</v>
      </c>
      <c r="J798" s="9">
        <v>3</v>
      </c>
      <c r="K798" s="9" t="s">
        <v>12078</v>
      </c>
      <c r="L798" s="9" t="s">
        <v>12079</v>
      </c>
      <c r="M798" s="9"/>
      <c r="N798" s="10"/>
      <c r="O798" s="9"/>
      <c r="P798" s="9">
        <v>11843</v>
      </c>
      <c r="Q798" s="9"/>
      <c r="R798" s="9" t="s">
        <v>12795</v>
      </c>
      <c r="S798" s="9" t="s">
        <v>12795</v>
      </c>
      <c r="T798" s="9"/>
      <c r="U798" s="9"/>
      <c r="V798" s="9"/>
      <c r="W798" s="9"/>
      <c r="X798" s="9"/>
      <c r="Y798" s="9"/>
      <c r="Z798" s="9"/>
      <c r="AA798" s="9"/>
      <c r="AB798" s="9"/>
      <c r="AC798" s="9"/>
      <c r="AD798" s="9" t="s">
        <v>20</v>
      </c>
    </row>
    <row r="799" spans="1:30" ht="87">
      <c r="A799" s="3" t="s">
        <v>4440</v>
      </c>
      <c r="B799" s="3" t="s">
        <v>11293</v>
      </c>
      <c r="C799" s="3" t="s">
        <v>11292</v>
      </c>
      <c r="G799" s="9" t="s">
        <v>26</v>
      </c>
      <c r="H799" s="9"/>
      <c r="I799" s="9"/>
      <c r="J799" s="9"/>
      <c r="K799" s="9"/>
      <c r="L799" s="9"/>
      <c r="M799" s="9"/>
      <c r="N799" s="10"/>
      <c r="O799" s="9"/>
      <c r="P799" s="9"/>
      <c r="Q799" s="9"/>
      <c r="R799" s="9" t="s">
        <v>12795</v>
      </c>
      <c r="S799" s="9" t="s">
        <v>12795</v>
      </c>
      <c r="T799" s="9"/>
      <c r="U799" s="9"/>
      <c r="V799" s="9"/>
      <c r="W799" s="9"/>
      <c r="X799" s="9"/>
      <c r="Y799" s="9"/>
      <c r="Z799" s="9"/>
      <c r="AA799" s="9"/>
      <c r="AB799" s="9"/>
      <c r="AC799" s="9"/>
      <c r="AD799" s="9" t="s">
        <v>20</v>
      </c>
    </row>
    <row r="800" spans="1:30" ht="29">
      <c r="A800" s="3" t="s">
        <v>4441</v>
      </c>
      <c r="B800" s="3" t="s">
        <v>3603</v>
      </c>
      <c r="C800" s="3" t="s">
        <v>4443</v>
      </c>
      <c r="G800" s="9" t="s">
        <v>12120</v>
      </c>
      <c r="H800" s="9"/>
      <c r="I800" s="9"/>
      <c r="J800" s="9"/>
      <c r="K800" s="9"/>
      <c r="L800" s="9"/>
      <c r="M800" s="9"/>
      <c r="N800" s="10"/>
      <c r="O800" s="9"/>
      <c r="P800" s="9"/>
      <c r="Q800" s="9"/>
      <c r="R800" s="9" t="s">
        <v>12795</v>
      </c>
      <c r="S800" s="9" t="s">
        <v>12795</v>
      </c>
      <c r="T800" s="9"/>
      <c r="U800" s="9"/>
      <c r="V800" s="9"/>
      <c r="W800" s="9"/>
      <c r="X800" s="9"/>
      <c r="Y800" s="9"/>
      <c r="Z800" s="9"/>
      <c r="AA800" s="9"/>
      <c r="AB800" s="9"/>
      <c r="AC800" s="9"/>
      <c r="AD800" s="9" t="s">
        <v>20</v>
      </c>
    </row>
    <row r="801" spans="1:30" ht="29">
      <c r="A801" s="3" t="s">
        <v>4447</v>
      </c>
      <c r="B801" s="3" t="s">
        <v>11305</v>
      </c>
      <c r="C801" s="3" t="s">
        <v>11304</v>
      </c>
      <c r="G801" s="9" t="s">
        <v>24</v>
      </c>
      <c r="H801" s="9"/>
      <c r="I801" s="9">
        <v>1</v>
      </c>
      <c r="J801" s="9">
        <v>1</v>
      </c>
      <c r="K801" s="9" t="s">
        <v>12078</v>
      </c>
      <c r="L801" s="9" t="s">
        <v>12119</v>
      </c>
      <c r="M801" s="9"/>
      <c r="N801" s="10"/>
      <c r="O801" s="9"/>
      <c r="P801" s="9">
        <v>11843</v>
      </c>
      <c r="Q801" s="9"/>
      <c r="R801" s="9" t="s">
        <v>12795</v>
      </c>
      <c r="S801" s="9" t="s">
        <v>12795</v>
      </c>
      <c r="T801" s="9"/>
      <c r="U801" s="9"/>
      <c r="V801" s="9"/>
      <c r="W801" s="9"/>
      <c r="X801" s="9"/>
      <c r="Y801" s="9"/>
      <c r="Z801" s="9"/>
      <c r="AA801" s="9"/>
      <c r="AB801" s="9"/>
      <c r="AC801" s="9"/>
      <c r="AD801" s="9" t="s">
        <v>20</v>
      </c>
    </row>
    <row r="802" spans="1:30" ht="29">
      <c r="A802" s="3" t="s">
        <v>4458</v>
      </c>
      <c r="B802" s="3" t="s">
        <v>11325</v>
      </c>
      <c r="C802" s="3" t="s">
        <v>11324</v>
      </c>
      <c r="G802" s="9" t="s">
        <v>26</v>
      </c>
      <c r="H802" s="9"/>
      <c r="I802" s="9"/>
      <c r="J802" s="9"/>
      <c r="K802" s="9"/>
      <c r="L802" s="9"/>
      <c r="M802" s="9"/>
      <c r="N802" s="10"/>
      <c r="O802" s="9"/>
      <c r="P802" s="9"/>
      <c r="Q802" s="9"/>
      <c r="R802" s="9" t="s">
        <v>12795</v>
      </c>
      <c r="S802" s="9" t="s">
        <v>12795</v>
      </c>
      <c r="T802" s="9"/>
      <c r="U802" s="9"/>
      <c r="V802" s="9"/>
      <c r="W802" s="9"/>
      <c r="X802" s="9"/>
      <c r="Y802" s="9"/>
      <c r="Z802" s="9"/>
      <c r="AA802" s="9"/>
      <c r="AB802" s="9"/>
      <c r="AC802" s="9"/>
      <c r="AD802" s="9" t="s">
        <v>20</v>
      </c>
    </row>
    <row r="803" spans="1:30" ht="29">
      <c r="A803" s="3" t="s">
        <v>4461</v>
      </c>
      <c r="B803" s="3" t="s">
        <v>4463</v>
      </c>
      <c r="C803" s="3" t="s">
        <v>4464</v>
      </c>
      <c r="G803" s="9" t="s">
        <v>12118</v>
      </c>
      <c r="H803" s="9"/>
      <c r="I803" s="9"/>
      <c r="J803" s="9"/>
      <c r="K803" s="9"/>
      <c r="L803" s="9"/>
      <c r="M803" s="9"/>
      <c r="N803" s="10"/>
      <c r="O803" s="9"/>
      <c r="P803" s="9"/>
      <c r="Q803" s="9">
        <v>-36</v>
      </c>
      <c r="R803" s="9">
        <v>37</v>
      </c>
      <c r="S803" s="9">
        <v>1</v>
      </c>
      <c r="T803" s="9"/>
      <c r="U803" s="9"/>
      <c r="V803" s="9"/>
      <c r="W803" s="9"/>
      <c r="X803" s="9"/>
      <c r="Y803" s="9"/>
      <c r="Z803" s="9"/>
      <c r="AA803" s="9"/>
      <c r="AB803" s="9"/>
      <c r="AC803" s="9"/>
      <c r="AD803" s="9" t="s">
        <v>20</v>
      </c>
    </row>
    <row r="804" spans="1:30" ht="29">
      <c r="A804" s="3" t="s">
        <v>4465</v>
      </c>
      <c r="B804" s="3" t="s">
        <v>4466</v>
      </c>
      <c r="C804" s="3" t="s">
        <v>4467</v>
      </c>
      <c r="G804" s="9" t="s">
        <v>12120</v>
      </c>
      <c r="H804" s="9"/>
      <c r="I804" s="9"/>
      <c r="J804" s="9"/>
      <c r="K804" s="9"/>
      <c r="L804" s="9"/>
      <c r="M804" s="9"/>
      <c r="N804" s="10"/>
      <c r="O804" s="9"/>
      <c r="P804" s="9"/>
      <c r="Q804" s="9"/>
      <c r="R804" s="9" t="s">
        <v>12795</v>
      </c>
      <c r="S804" s="9" t="s">
        <v>12795</v>
      </c>
      <c r="T804" s="9"/>
      <c r="U804" s="9"/>
      <c r="V804" s="9"/>
      <c r="W804" s="9"/>
      <c r="X804" s="9"/>
      <c r="Y804" s="9"/>
      <c r="Z804" s="9"/>
      <c r="AA804" s="9"/>
      <c r="AB804" s="9"/>
      <c r="AC804" s="9"/>
      <c r="AD804" s="9" t="s">
        <v>20</v>
      </c>
    </row>
    <row r="805" spans="1:30" ht="58">
      <c r="A805" s="3" t="s">
        <v>4471</v>
      </c>
      <c r="B805" s="3" t="s">
        <v>11336</v>
      </c>
      <c r="C805" s="3" t="s">
        <v>11335</v>
      </c>
      <c r="G805" s="9" t="s">
        <v>26</v>
      </c>
      <c r="H805" s="9"/>
      <c r="I805" s="9"/>
      <c r="J805" s="9"/>
      <c r="K805" s="9"/>
      <c r="L805" s="9"/>
      <c r="M805" s="9"/>
      <c r="N805" s="10"/>
      <c r="O805" s="9"/>
      <c r="P805" s="9"/>
      <c r="Q805" s="9"/>
      <c r="R805" s="9" t="s">
        <v>12795</v>
      </c>
      <c r="S805" s="9" t="s">
        <v>12795</v>
      </c>
      <c r="T805" s="9"/>
      <c r="U805" s="9"/>
      <c r="V805" s="9"/>
      <c r="W805" s="9"/>
      <c r="X805" s="9"/>
      <c r="Y805" s="9"/>
      <c r="Z805" s="9"/>
      <c r="AA805" s="9"/>
      <c r="AB805" s="9"/>
      <c r="AC805" s="9"/>
      <c r="AD805" s="9" t="s">
        <v>20</v>
      </c>
    </row>
    <row r="806" spans="1:30" ht="43.5">
      <c r="A806" s="3" t="s">
        <v>4481</v>
      </c>
      <c r="B806" s="3" t="s">
        <v>11349</v>
      </c>
      <c r="C806" s="3" t="s">
        <v>11346</v>
      </c>
      <c r="G806" s="9" t="s">
        <v>25</v>
      </c>
      <c r="H806" s="9"/>
      <c r="I806" s="9">
        <v>2</v>
      </c>
      <c r="J806" s="9">
        <v>8</v>
      </c>
      <c r="K806" s="9"/>
      <c r="L806" s="9" t="s">
        <v>12079</v>
      </c>
      <c r="M806" s="9"/>
      <c r="N806" s="10"/>
      <c r="O806" s="9"/>
      <c r="P806" s="9">
        <v>16</v>
      </c>
      <c r="Q806" s="9"/>
      <c r="R806" s="9" t="s">
        <v>12795</v>
      </c>
      <c r="S806" s="9" t="s">
        <v>12795</v>
      </c>
      <c r="T806" s="9"/>
      <c r="U806" s="9"/>
      <c r="V806" s="9"/>
      <c r="W806" s="9"/>
      <c r="X806" s="9"/>
      <c r="Y806" s="9"/>
      <c r="Z806" s="9"/>
      <c r="AA806" s="9"/>
      <c r="AB806" s="9"/>
      <c r="AC806" s="9"/>
      <c r="AD806" s="9" t="s">
        <v>13141</v>
      </c>
    </row>
    <row r="807" spans="1:30" ht="29">
      <c r="A807" s="3" t="s">
        <v>4485</v>
      </c>
      <c r="B807" s="3" t="s">
        <v>11367</v>
      </c>
      <c r="C807" s="3" t="s">
        <v>11368</v>
      </c>
      <c r="F807" t="s">
        <v>19</v>
      </c>
      <c r="G807" s="9" t="s">
        <v>25</v>
      </c>
      <c r="H807" s="9"/>
      <c r="I807" s="9">
        <v>1</v>
      </c>
      <c r="J807" s="9">
        <v>3</v>
      </c>
      <c r="K807" s="9" t="s">
        <v>12078</v>
      </c>
      <c r="L807" s="9" t="s">
        <v>12079</v>
      </c>
      <c r="M807" s="9"/>
      <c r="N807" s="10"/>
      <c r="O807" s="9"/>
      <c r="P807" s="9">
        <v>11843</v>
      </c>
      <c r="Q807" s="9"/>
      <c r="R807" s="9" t="s">
        <v>12795</v>
      </c>
      <c r="S807" s="9" t="s">
        <v>12795</v>
      </c>
      <c r="T807" s="9"/>
      <c r="U807" s="9"/>
      <c r="V807" s="9"/>
      <c r="W807" s="9"/>
      <c r="X807" s="9"/>
      <c r="Y807" s="9"/>
      <c r="Z807" s="9"/>
      <c r="AA807" s="9"/>
      <c r="AB807" s="9"/>
      <c r="AC807" s="9"/>
      <c r="AD807" s="9" t="s">
        <v>20</v>
      </c>
    </row>
    <row r="808" spans="1:30" ht="29">
      <c r="A808" s="3" t="s">
        <v>4492</v>
      </c>
      <c r="B808" s="3" t="s">
        <v>4493</v>
      </c>
      <c r="C808" s="3" t="s">
        <v>4494</v>
      </c>
      <c r="G808" s="9" t="s">
        <v>12120</v>
      </c>
      <c r="H808" s="9"/>
      <c r="I808" s="9"/>
      <c r="J808" s="9"/>
      <c r="K808" s="9"/>
      <c r="L808" s="9"/>
      <c r="M808" s="9"/>
      <c r="N808" s="10"/>
      <c r="O808" s="9"/>
      <c r="P808" s="9"/>
      <c r="Q808" s="9"/>
      <c r="R808" s="9" t="s">
        <v>12795</v>
      </c>
      <c r="S808" s="9" t="s">
        <v>12795</v>
      </c>
      <c r="T808" s="9"/>
      <c r="U808" s="9"/>
      <c r="V808" s="9"/>
      <c r="W808" s="9"/>
      <c r="X808" s="9"/>
      <c r="Y808" s="9"/>
      <c r="Z808" s="9"/>
      <c r="AA808" s="9"/>
      <c r="AB808" s="9"/>
      <c r="AC808" s="9"/>
      <c r="AD808" s="9" t="s">
        <v>20</v>
      </c>
    </row>
    <row r="809" spans="1:30" ht="43.5">
      <c r="A809" s="3" t="s">
        <v>4497</v>
      </c>
      <c r="B809" s="3" t="s">
        <v>11398</v>
      </c>
      <c r="C809" s="3" t="s">
        <v>11399</v>
      </c>
      <c r="G809" s="9" t="s">
        <v>12118</v>
      </c>
      <c r="H809" s="9"/>
      <c r="I809" s="9"/>
      <c r="J809" s="9"/>
      <c r="K809" s="9"/>
      <c r="L809" s="9"/>
      <c r="M809" s="9"/>
      <c r="N809" s="10"/>
      <c r="O809" s="9"/>
      <c r="P809" s="9"/>
      <c r="Q809" s="9">
        <v>-10742</v>
      </c>
      <c r="R809" s="9">
        <v>11843</v>
      </c>
      <c r="S809" s="9">
        <v>1101</v>
      </c>
      <c r="T809" s="9"/>
      <c r="U809" s="9"/>
      <c r="V809" s="9"/>
      <c r="W809" s="9"/>
      <c r="X809" s="9"/>
      <c r="Y809" s="9"/>
      <c r="Z809" s="9"/>
      <c r="AA809" s="9"/>
      <c r="AB809" s="9"/>
      <c r="AC809" s="9"/>
      <c r="AD809" s="9" t="s">
        <v>20</v>
      </c>
    </row>
    <row r="810" spans="1:30" ht="29">
      <c r="A810" s="3" t="s">
        <v>4502</v>
      </c>
      <c r="B810" s="3" t="s">
        <v>11414</v>
      </c>
      <c r="C810" s="3" t="s">
        <v>11415</v>
      </c>
      <c r="G810" s="9" t="s">
        <v>12118</v>
      </c>
      <c r="H810" s="9"/>
      <c r="I810" s="9"/>
      <c r="J810" s="9"/>
      <c r="K810" s="9"/>
      <c r="L810" s="9"/>
      <c r="M810" s="9"/>
      <c r="N810" s="10"/>
      <c r="O810" s="9"/>
      <c r="P810" s="9"/>
      <c r="Q810" s="9">
        <v>-1846</v>
      </c>
      <c r="R810" s="9">
        <v>2042</v>
      </c>
      <c r="S810" s="9">
        <v>196</v>
      </c>
      <c r="T810" s="9"/>
      <c r="U810" s="9"/>
      <c r="V810" s="9"/>
      <c r="W810" s="9"/>
      <c r="X810" s="9"/>
      <c r="Y810" s="9"/>
      <c r="Z810" s="9"/>
      <c r="AA810" s="9"/>
      <c r="AB810" s="9"/>
      <c r="AC810" s="9"/>
      <c r="AD810" s="9" t="s">
        <v>20</v>
      </c>
    </row>
    <row r="811" spans="1:30" ht="29">
      <c r="A811" s="3" t="s">
        <v>4509</v>
      </c>
      <c r="B811" s="3" t="s">
        <v>11440</v>
      </c>
      <c r="C811" s="3" t="s">
        <v>11441</v>
      </c>
      <c r="G811" s="9" t="s">
        <v>25</v>
      </c>
      <c r="H811" s="9"/>
      <c r="I811" s="9">
        <v>1</v>
      </c>
      <c r="J811" s="9">
        <v>2</v>
      </c>
      <c r="K811" s="9" t="s">
        <v>12078</v>
      </c>
      <c r="L811" s="9" t="s">
        <v>12119</v>
      </c>
      <c r="M811" s="9"/>
      <c r="N811" s="10"/>
      <c r="O811" s="9"/>
      <c r="P811" s="9">
        <v>11843</v>
      </c>
      <c r="Q811" s="9"/>
      <c r="R811" s="9" t="s">
        <v>12795</v>
      </c>
      <c r="S811" s="9" t="s">
        <v>12795</v>
      </c>
      <c r="T811" s="9"/>
      <c r="U811" s="9"/>
      <c r="V811" s="9"/>
      <c r="W811" s="9"/>
      <c r="X811" s="9"/>
      <c r="Y811" s="9"/>
      <c r="Z811" s="9"/>
      <c r="AA811" s="9"/>
      <c r="AB811" s="9"/>
      <c r="AC811" s="9"/>
      <c r="AD811" s="9" t="s">
        <v>20</v>
      </c>
    </row>
    <row r="812" spans="1:30" ht="58">
      <c r="A812" s="3" t="s">
        <v>4513</v>
      </c>
      <c r="B812" s="3" t="s">
        <v>11470</v>
      </c>
      <c r="C812" s="3" t="s">
        <v>11469</v>
      </c>
      <c r="G812" s="9" t="s">
        <v>12118</v>
      </c>
      <c r="H812" s="9"/>
      <c r="I812" s="9"/>
      <c r="J812" s="9"/>
      <c r="K812" s="9"/>
      <c r="L812" s="9"/>
      <c r="M812" s="9"/>
      <c r="N812" s="10"/>
      <c r="O812" s="9"/>
      <c r="P812" s="9"/>
      <c r="Q812" s="9">
        <v>75</v>
      </c>
      <c r="R812" s="9">
        <v>356</v>
      </c>
      <c r="S812" s="9">
        <v>431</v>
      </c>
      <c r="T812" s="9"/>
      <c r="U812" s="9"/>
      <c r="V812" s="9"/>
      <c r="W812" s="9"/>
      <c r="X812" s="9"/>
      <c r="Y812" s="9"/>
      <c r="Z812" s="9"/>
      <c r="AA812" s="9"/>
      <c r="AB812" s="9"/>
      <c r="AC812" s="9"/>
      <c r="AD812" s="9" t="s">
        <v>20</v>
      </c>
    </row>
    <row r="813" spans="1:30" ht="43.5">
      <c r="A813" s="3" t="s">
        <v>4525</v>
      </c>
      <c r="B813" s="3" t="s">
        <v>11501</v>
      </c>
      <c r="C813" s="3" t="s">
        <v>11500</v>
      </c>
      <c r="G813" s="9" t="s">
        <v>25</v>
      </c>
      <c r="H813" s="9"/>
      <c r="I813" s="9">
        <v>1</v>
      </c>
      <c r="J813" s="9">
        <v>5</v>
      </c>
      <c r="K813" s="9" t="s">
        <v>12125</v>
      </c>
      <c r="L813" s="9" t="s">
        <v>12073</v>
      </c>
      <c r="M813" s="9" t="s">
        <v>12142</v>
      </c>
      <c r="N813" s="10" t="s">
        <v>12143</v>
      </c>
      <c r="O813" s="9"/>
      <c r="P813" s="9">
        <v>1565</v>
      </c>
      <c r="Q813" s="9"/>
      <c r="R813" s="9" t="s">
        <v>12795</v>
      </c>
      <c r="S813" s="9" t="s">
        <v>12795</v>
      </c>
      <c r="T813" s="9"/>
      <c r="U813" s="9"/>
      <c r="V813" s="9"/>
      <c r="W813" s="9"/>
      <c r="X813" s="9"/>
      <c r="Y813" s="9"/>
      <c r="Z813" s="9"/>
      <c r="AA813" s="9"/>
      <c r="AB813" s="9"/>
      <c r="AC813" s="9"/>
      <c r="AD813" s="9" t="s">
        <v>20</v>
      </c>
    </row>
    <row r="814" spans="1:30" ht="29">
      <c r="A814" s="3" t="s">
        <v>4527</v>
      </c>
      <c r="B814" s="3" t="s">
        <v>4528</v>
      </c>
      <c r="C814" s="3" t="s">
        <v>4529</v>
      </c>
      <c r="G814" s="9" t="s">
        <v>12118</v>
      </c>
      <c r="H814" s="9"/>
      <c r="I814" s="9"/>
      <c r="J814" s="9"/>
      <c r="K814" s="9"/>
      <c r="L814" s="9"/>
      <c r="M814" s="9"/>
      <c r="N814" s="10"/>
      <c r="O814" s="9"/>
      <c r="P814" s="9"/>
      <c r="Q814" s="9">
        <v>-4</v>
      </c>
      <c r="R814" s="9">
        <v>4</v>
      </c>
      <c r="S814" s="9">
        <v>0</v>
      </c>
      <c r="T814" s="9"/>
      <c r="U814" s="9"/>
      <c r="V814" s="9"/>
      <c r="W814" s="9"/>
      <c r="X814" s="9"/>
      <c r="Y814" s="9"/>
      <c r="Z814" s="9"/>
      <c r="AA814" s="9"/>
      <c r="AB814" s="9"/>
      <c r="AC814" s="9"/>
      <c r="AD814" s="9" t="s">
        <v>20</v>
      </c>
    </row>
    <row r="815" spans="1:30" ht="43.5">
      <c r="A815" s="3" t="s">
        <v>4539</v>
      </c>
      <c r="B815" s="3" t="s">
        <v>11536</v>
      </c>
      <c r="C815" s="3" t="s">
        <v>11535</v>
      </c>
      <c r="G815" s="9" t="s">
        <v>26</v>
      </c>
      <c r="H815" s="9"/>
      <c r="I815" s="9"/>
      <c r="J815" s="9"/>
      <c r="K815" s="9"/>
      <c r="L815" s="9"/>
      <c r="M815" s="9"/>
      <c r="N815" s="10"/>
      <c r="O815" s="9"/>
      <c r="P815" s="9"/>
      <c r="Q815" s="9"/>
      <c r="R815" s="9" t="s">
        <v>12795</v>
      </c>
      <c r="S815" s="9" t="s">
        <v>12795</v>
      </c>
      <c r="T815" s="9"/>
      <c r="U815" s="9"/>
      <c r="V815" s="9"/>
      <c r="W815" s="9"/>
      <c r="X815" s="9"/>
      <c r="Y815" s="9"/>
      <c r="Z815" s="9"/>
      <c r="AA815" s="9"/>
      <c r="AB815" s="9"/>
      <c r="AC815" s="9"/>
      <c r="AD815" s="9" t="s">
        <v>20</v>
      </c>
    </row>
    <row r="816" spans="1:30" ht="29">
      <c r="A816" s="3" t="s">
        <v>4550</v>
      </c>
      <c r="B816" s="3" t="s">
        <v>4551</v>
      </c>
      <c r="C816" s="3" t="s">
        <v>4552</v>
      </c>
      <c r="G816" s="9" t="s">
        <v>12120</v>
      </c>
      <c r="H816" s="9"/>
      <c r="I816" s="9"/>
      <c r="J816" s="9"/>
      <c r="K816" s="9"/>
      <c r="L816" s="9"/>
      <c r="M816" s="9"/>
      <c r="N816" s="10"/>
      <c r="O816" s="9"/>
      <c r="P816" s="9"/>
      <c r="Q816" s="9"/>
      <c r="R816" s="9" t="s">
        <v>12795</v>
      </c>
      <c r="S816" s="9" t="s">
        <v>12795</v>
      </c>
      <c r="T816" s="9"/>
      <c r="U816" s="9"/>
      <c r="V816" s="9"/>
      <c r="W816" s="9"/>
      <c r="X816" s="9"/>
      <c r="Y816" s="9"/>
      <c r="Z816" s="9"/>
      <c r="AA816" s="9"/>
      <c r="AB816" s="9"/>
      <c r="AC816" s="9"/>
      <c r="AD816" s="9" t="s">
        <v>20</v>
      </c>
    </row>
    <row r="817" spans="1:30" ht="87">
      <c r="A817" s="3" t="s">
        <v>4560</v>
      </c>
      <c r="B817" s="3" t="s">
        <v>11579</v>
      </c>
      <c r="C817" s="3" t="s">
        <v>11578</v>
      </c>
      <c r="G817" s="9" t="s">
        <v>26</v>
      </c>
      <c r="H817" s="9"/>
      <c r="I817" s="9"/>
      <c r="J817" s="9"/>
      <c r="K817" s="9"/>
      <c r="L817" s="9"/>
      <c r="M817" s="9"/>
      <c r="N817" s="10"/>
      <c r="O817" s="9"/>
      <c r="P817" s="9"/>
      <c r="Q817" s="9"/>
      <c r="R817" s="9" t="s">
        <v>12795</v>
      </c>
      <c r="S817" s="9" t="s">
        <v>12795</v>
      </c>
      <c r="T817" s="9"/>
      <c r="U817" s="9"/>
      <c r="V817" s="9"/>
      <c r="W817" s="9"/>
      <c r="X817" s="9"/>
      <c r="Y817" s="9"/>
      <c r="Z817" s="9"/>
      <c r="AA817" s="9"/>
      <c r="AB817" s="9"/>
      <c r="AC817" s="9"/>
      <c r="AD817" s="9" t="s">
        <v>20</v>
      </c>
    </row>
    <row r="818" spans="1:30" ht="58">
      <c r="A818" s="3" t="s">
        <v>4566</v>
      </c>
      <c r="B818" s="3" t="s">
        <v>11593</v>
      </c>
      <c r="C818" s="3" t="s">
        <v>13081</v>
      </c>
      <c r="G818" s="9" t="s">
        <v>25</v>
      </c>
      <c r="H818" s="9"/>
      <c r="I818" s="9">
        <v>1</v>
      </c>
      <c r="J818" s="9">
        <v>3</v>
      </c>
      <c r="K818" s="9" t="s">
        <v>12092</v>
      </c>
      <c r="L818" s="9" t="s">
        <v>12079</v>
      </c>
      <c r="M818" s="9"/>
      <c r="N818" s="10"/>
      <c r="O818" s="9"/>
      <c r="P818" s="9">
        <v>79</v>
      </c>
      <c r="Q818" s="9"/>
      <c r="R818" s="9" t="s">
        <v>12795</v>
      </c>
      <c r="S818" s="9" t="s">
        <v>12795</v>
      </c>
      <c r="T818" s="9"/>
      <c r="U818" s="9"/>
      <c r="V818" s="9"/>
      <c r="W818" s="9"/>
      <c r="X818" s="9"/>
      <c r="Y818" s="9"/>
      <c r="Z818" s="9"/>
      <c r="AA818" s="9"/>
      <c r="AB818" s="9"/>
      <c r="AC818" s="9"/>
      <c r="AD818" s="9" t="s">
        <v>13141</v>
      </c>
    </row>
    <row r="819" spans="1:30" ht="58">
      <c r="A819" s="3" t="s">
        <v>4576</v>
      </c>
      <c r="B819" s="3" t="s">
        <v>11626</v>
      </c>
      <c r="C819" s="3" t="s">
        <v>11625</v>
      </c>
      <c r="G819" s="9" t="s">
        <v>12118</v>
      </c>
      <c r="H819" s="9"/>
      <c r="I819" s="9"/>
      <c r="J819" s="9"/>
      <c r="K819" s="9"/>
      <c r="L819" s="9"/>
      <c r="M819" s="9"/>
      <c r="N819" s="10"/>
      <c r="O819" s="9"/>
      <c r="P819" s="9"/>
      <c r="Q819" s="9">
        <v>26</v>
      </c>
      <c r="R819" s="9">
        <v>21</v>
      </c>
      <c r="S819" s="9">
        <v>47</v>
      </c>
      <c r="T819" s="9"/>
      <c r="U819" s="9"/>
      <c r="V819" s="9"/>
      <c r="W819" s="9"/>
      <c r="X819" s="9"/>
      <c r="Y819" s="9"/>
      <c r="Z819" s="9"/>
      <c r="AA819" s="9"/>
      <c r="AB819" s="9"/>
      <c r="AC819" s="9"/>
      <c r="AD819" s="9" t="s">
        <v>20</v>
      </c>
    </row>
    <row r="820" spans="1:30" ht="43.5">
      <c r="A820" s="3" t="s">
        <v>4600</v>
      </c>
      <c r="B820" s="3" t="s">
        <v>11676</v>
      </c>
      <c r="C820" s="3" t="s">
        <v>11675</v>
      </c>
      <c r="G820" s="9" t="s">
        <v>24</v>
      </c>
      <c r="H820" s="9"/>
      <c r="I820" s="9">
        <v>1</v>
      </c>
      <c r="J820" s="9">
        <v>3</v>
      </c>
      <c r="K820" s="9" t="s">
        <v>12087</v>
      </c>
      <c r="L820" s="9" t="s">
        <v>12073</v>
      </c>
      <c r="M820" s="9" t="s">
        <v>12149</v>
      </c>
      <c r="N820" s="10" t="s">
        <v>12143</v>
      </c>
      <c r="O820" s="9"/>
      <c r="P820" s="9">
        <v>5676</v>
      </c>
      <c r="Q820" s="9"/>
      <c r="R820" s="9" t="s">
        <v>12795</v>
      </c>
      <c r="S820" s="9" t="s">
        <v>12795</v>
      </c>
      <c r="T820" s="9"/>
      <c r="U820" s="9"/>
      <c r="V820" s="9"/>
      <c r="W820" s="9"/>
      <c r="X820" s="9"/>
      <c r="Y820" s="9"/>
      <c r="Z820" s="9"/>
      <c r="AA820" s="9"/>
      <c r="AB820" s="9"/>
      <c r="AC820" s="9"/>
      <c r="AD820" s="9" t="s">
        <v>20</v>
      </c>
    </row>
    <row r="821" spans="1:30" ht="87">
      <c r="A821" s="3" t="s">
        <v>4618</v>
      </c>
      <c r="B821" s="3" t="s">
        <v>12956</v>
      </c>
      <c r="C821" s="3" t="s">
        <v>11706</v>
      </c>
      <c r="G821" s="9" t="s">
        <v>26</v>
      </c>
      <c r="H821" s="9"/>
      <c r="I821" s="9"/>
      <c r="J821" s="9"/>
      <c r="K821" s="9"/>
      <c r="L821" s="9"/>
      <c r="M821" s="9"/>
      <c r="N821" s="10"/>
      <c r="O821" s="9"/>
      <c r="P821" s="9"/>
      <c r="Q821" s="9"/>
      <c r="R821" s="9" t="s">
        <v>12795</v>
      </c>
      <c r="S821" s="9" t="s">
        <v>12795</v>
      </c>
      <c r="T821" s="9"/>
      <c r="U821" s="9"/>
      <c r="V821" s="9"/>
      <c r="W821" s="9"/>
      <c r="X821" s="9"/>
      <c r="Y821" s="9"/>
      <c r="Z821" s="9"/>
      <c r="AA821" s="9"/>
      <c r="AB821" s="9"/>
      <c r="AC821" s="9"/>
      <c r="AD821" s="9" t="s">
        <v>20</v>
      </c>
    </row>
    <row r="822" spans="1:30" ht="43.5">
      <c r="A822" s="3" t="s">
        <v>4621</v>
      </c>
      <c r="B822" s="3" t="s">
        <v>11707</v>
      </c>
      <c r="C822" s="3" t="s">
        <v>11708</v>
      </c>
      <c r="G822" s="9" t="s">
        <v>12118</v>
      </c>
      <c r="H822" s="9"/>
      <c r="I822" s="9"/>
      <c r="J822" s="9"/>
      <c r="K822" s="9"/>
      <c r="L822" s="9"/>
      <c r="M822" s="9"/>
      <c r="N822" s="10"/>
      <c r="O822" s="9"/>
      <c r="P822" s="9"/>
      <c r="Q822" s="9">
        <v>85</v>
      </c>
      <c r="R822" s="9">
        <v>8</v>
      </c>
      <c r="S822" s="9">
        <v>93</v>
      </c>
      <c r="T822" s="9"/>
      <c r="U822" s="9"/>
      <c r="V822" s="9"/>
      <c r="W822" s="9"/>
      <c r="X822" s="9"/>
      <c r="Y822" s="9"/>
      <c r="Z822" s="9"/>
      <c r="AA822" s="9"/>
      <c r="AB822" s="9"/>
      <c r="AC822" s="9"/>
      <c r="AD822" s="9" t="s">
        <v>20</v>
      </c>
    </row>
    <row r="823" spans="1:30" ht="58">
      <c r="A823" s="3" t="s">
        <v>4624</v>
      </c>
      <c r="B823" s="3" t="s">
        <v>11717</v>
      </c>
      <c r="C823" s="3" t="s">
        <v>11716</v>
      </c>
      <c r="G823" s="9" t="s">
        <v>25</v>
      </c>
      <c r="H823" s="9"/>
      <c r="I823" s="9">
        <v>1</v>
      </c>
      <c r="J823" s="9">
        <v>2</v>
      </c>
      <c r="K823" s="9" t="s">
        <v>12078</v>
      </c>
      <c r="L823" s="9" t="s">
        <v>12119</v>
      </c>
      <c r="M823" s="9"/>
      <c r="N823" s="10"/>
      <c r="O823" s="9"/>
      <c r="P823" s="9">
        <v>11843</v>
      </c>
      <c r="Q823" s="9"/>
      <c r="R823" s="9" t="s">
        <v>12795</v>
      </c>
      <c r="S823" s="9" t="s">
        <v>12795</v>
      </c>
      <c r="T823" s="9"/>
      <c r="U823" s="9"/>
      <c r="V823" s="9"/>
      <c r="W823" s="9"/>
      <c r="X823" s="9"/>
      <c r="Y823" s="9"/>
      <c r="Z823" s="9"/>
      <c r="AA823" s="9"/>
      <c r="AB823" s="9"/>
      <c r="AC823" s="9"/>
      <c r="AD823" s="9" t="s">
        <v>20</v>
      </c>
    </row>
    <row r="824" spans="1:30" ht="43.5">
      <c r="A824" s="3" t="s">
        <v>4635</v>
      </c>
      <c r="B824" s="3" t="s">
        <v>11753</v>
      </c>
      <c r="C824" s="3" t="s">
        <v>11754</v>
      </c>
      <c r="G824" s="9" t="s">
        <v>12118</v>
      </c>
      <c r="H824" s="9"/>
      <c r="I824" s="9"/>
      <c r="J824" s="9"/>
      <c r="K824" s="9"/>
      <c r="L824" s="9"/>
      <c r="M824" s="9"/>
      <c r="N824" s="10"/>
      <c r="O824" s="9"/>
      <c r="P824" s="9"/>
      <c r="Q824" s="9">
        <v>348</v>
      </c>
      <c r="R824" s="9">
        <v>4</v>
      </c>
      <c r="S824" s="9">
        <v>352</v>
      </c>
      <c r="T824" s="9"/>
      <c r="U824" s="9"/>
      <c r="V824" s="9"/>
      <c r="W824" s="9"/>
      <c r="X824" s="9"/>
      <c r="Y824" s="9"/>
      <c r="Z824" s="9"/>
      <c r="AA824" s="9"/>
      <c r="AB824" s="9"/>
      <c r="AC824" s="9"/>
      <c r="AD824" s="9" t="s">
        <v>20</v>
      </c>
    </row>
    <row r="825" spans="1:30" ht="29">
      <c r="A825" s="3" t="s">
        <v>4641</v>
      </c>
      <c r="B825" s="3" t="s">
        <v>11765</v>
      </c>
      <c r="C825" s="3" t="s">
        <v>11766</v>
      </c>
      <c r="F825" t="s">
        <v>19</v>
      </c>
      <c r="G825" s="9" t="s">
        <v>25</v>
      </c>
      <c r="H825" s="9"/>
      <c r="I825" s="9">
        <v>1</v>
      </c>
      <c r="J825" s="9">
        <v>3</v>
      </c>
      <c r="K825" s="9" t="s">
        <v>12078</v>
      </c>
      <c r="L825" s="9" t="s">
        <v>12079</v>
      </c>
      <c r="M825" s="9"/>
      <c r="N825" s="10"/>
      <c r="O825" s="9"/>
      <c r="P825" s="9">
        <v>11843</v>
      </c>
      <c r="Q825" s="9"/>
      <c r="R825" s="9" t="s">
        <v>12795</v>
      </c>
      <c r="S825" s="9" t="s">
        <v>12795</v>
      </c>
      <c r="T825" s="9"/>
      <c r="U825" s="9"/>
      <c r="V825" s="9"/>
      <c r="W825" s="9"/>
      <c r="X825" s="9"/>
      <c r="Y825" s="9"/>
      <c r="Z825" s="9"/>
      <c r="AA825" s="9"/>
      <c r="AB825" s="9"/>
      <c r="AC825" s="9"/>
      <c r="AD825" s="9" t="s">
        <v>20</v>
      </c>
    </row>
    <row r="826" spans="1:30" ht="58">
      <c r="A826" s="3" t="s">
        <v>4644</v>
      </c>
      <c r="B826" s="3" t="s">
        <v>11777</v>
      </c>
      <c r="C826" s="3" t="s">
        <v>11776</v>
      </c>
      <c r="G826" s="9" t="s">
        <v>25</v>
      </c>
      <c r="H826" s="9"/>
      <c r="I826" s="9">
        <v>3</v>
      </c>
      <c r="J826" s="9">
        <v>8</v>
      </c>
      <c r="K826" s="9"/>
      <c r="L826" s="9" t="s">
        <v>12079</v>
      </c>
      <c r="M826" s="9"/>
      <c r="N826" s="10"/>
      <c r="O826" s="9"/>
      <c r="P826" s="9">
        <v>12</v>
      </c>
      <c r="Q826" s="9"/>
      <c r="R826" s="9" t="s">
        <v>12795</v>
      </c>
      <c r="S826" s="9" t="s">
        <v>12795</v>
      </c>
      <c r="T826" s="9"/>
      <c r="U826" s="9"/>
      <c r="V826" s="9"/>
      <c r="W826" s="9"/>
      <c r="X826" s="9"/>
      <c r="Y826" s="9"/>
      <c r="Z826" s="9"/>
      <c r="AA826" s="9"/>
      <c r="AB826" s="9"/>
      <c r="AC826" s="9"/>
      <c r="AD826" s="9" t="s">
        <v>20</v>
      </c>
    </row>
    <row r="827" spans="1:30" ht="43.5">
      <c r="A827" s="3" t="s">
        <v>4646</v>
      </c>
      <c r="B827" s="3" t="s">
        <v>11794</v>
      </c>
      <c r="C827" s="3" t="s">
        <v>11795</v>
      </c>
      <c r="G827" s="9" t="s">
        <v>12118</v>
      </c>
      <c r="H827" s="9"/>
      <c r="I827" s="9"/>
      <c r="J827" s="9"/>
      <c r="K827" s="9"/>
      <c r="L827" s="9"/>
      <c r="M827" s="9"/>
      <c r="N827" s="10"/>
      <c r="O827" s="9"/>
      <c r="P827" s="9"/>
      <c r="Q827" s="9">
        <v>118</v>
      </c>
      <c r="R827" s="9">
        <v>2</v>
      </c>
      <c r="S827" s="9">
        <v>120</v>
      </c>
      <c r="T827" s="9"/>
      <c r="U827" s="9"/>
      <c r="V827" s="9"/>
      <c r="W827" s="9"/>
      <c r="X827" s="9"/>
      <c r="Y827" s="9"/>
      <c r="Z827" s="9"/>
      <c r="AA827" s="9"/>
      <c r="AB827" s="9"/>
      <c r="AC827" s="9"/>
      <c r="AD827" s="9" t="s">
        <v>20</v>
      </c>
    </row>
    <row r="828" spans="1:30" ht="130.5">
      <c r="A828" s="3" t="s">
        <v>4646</v>
      </c>
      <c r="B828" s="3" t="s">
        <v>11796</v>
      </c>
      <c r="C828" s="3" t="s">
        <v>11797</v>
      </c>
      <c r="G828" s="9" t="s">
        <v>26</v>
      </c>
      <c r="H828" s="9"/>
      <c r="I828" s="9"/>
      <c r="J828" s="9"/>
      <c r="K828" s="9"/>
      <c r="L828" s="9"/>
      <c r="M828" s="9"/>
      <c r="N828" s="10"/>
      <c r="O828" s="9"/>
      <c r="P828" s="9"/>
      <c r="Q828" s="9"/>
      <c r="R828" s="9" t="s">
        <v>12795</v>
      </c>
      <c r="S828" s="9" t="s">
        <v>12795</v>
      </c>
      <c r="T828" s="9"/>
      <c r="U828" s="9"/>
      <c r="V828" s="9"/>
      <c r="W828" s="9"/>
      <c r="X828" s="9"/>
      <c r="Y828" s="9"/>
      <c r="Z828" s="9"/>
      <c r="AA828" s="9"/>
      <c r="AB828" s="9"/>
      <c r="AC828" s="9"/>
      <c r="AD828" s="9" t="s">
        <v>20</v>
      </c>
    </row>
    <row r="829" spans="1:30" ht="58">
      <c r="A829" s="3" t="s">
        <v>4651</v>
      </c>
      <c r="B829" s="3" t="s">
        <v>11801</v>
      </c>
      <c r="C829" s="3" t="s">
        <v>11800</v>
      </c>
      <c r="G829" s="9" t="s">
        <v>12121</v>
      </c>
      <c r="H829" s="9"/>
      <c r="I829" s="9"/>
      <c r="J829" s="9"/>
      <c r="K829" s="9"/>
      <c r="L829" s="9"/>
      <c r="M829" s="9"/>
      <c r="N829" s="10"/>
      <c r="O829" s="9"/>
      <c r="P829" s="9"/>
      <c r="Q829" s="9">
        <v>7</v>
      </c>
      <c r="R829" s="9">
        <v>59</v>
      </c>
      <c r="S829" s="9">
        <v>66</v>
      </c>
      <c r="T829" s="9"/>
      <c r="U829" s="9"/>
      <c r="V829" s="9"/>
      <c r="W829" s="9"/>
      <c r="X829" s="9"/>
      <c r="Y829" s="9"/>
      <c r="Z829" s="9"/>
      <c r="AA829" s="9"/>
      <c r="AB829" s="9"/>
      <c r="AC829" s="9"/>
      <c r="AD829" s="9" t="s">
        <v>20</v>
      </c>
    </row>
    <row r="830" spans="1:30" ht="29">
      <c r="A830" s="3" t="s">
        <v>4653</v>
      </c>
      <c r="B830" s="3" t="s">
        <v>11815</v>
      </c>
      <c r="C830" s="3" t="s">
        <v>11814</v>
      </c>
      <c r="G830" s="9" t="s">
        <v>24</v>
      </c>
      <c r="H830" s="9"/>
      <c r="I830" s="9">
        <v>1</v>
      </c>
      <c r="J830" s="9">
        <v>2</v>
      </c>
      <c r="K830" s="9" t="s">
        <v>12087</v>
      </c>
      <c r="L830" s="9" t="s">
        <v>12119</v>
      </c>
      <c r="M830" s="9"/>
      <c r="N830" s="10"/>
      <c r="O830" s="9"/>
      <c r="P830" s="9">
        <v>166</v>
      </c>
      <c r="Q830" s="9"/>
      <c r="R830" s="9" t="s">
        <v>12795</v>
      </c>
      <c r="S830" s="9" t="s">
        <v>12795</v>
      </c>
      <c r="T830" s="9" t="s">
        <v>4</v>
      </c>
      <c r="U830" s="9"/>
      <c r="V830" s="9"/>
      <c r="W830" s="9"/>
      <c r="X830" s="9"/>
      <c r="Y830" s="9"/>
      <c r="Z830" s="9"/>
      <c r="AA830" s="9"/>
      <c r="AB830" s="9"/>
      <c r="AC830" s="9"/>
      <c r="AD830" s="9" t="s">
        <v>20</v>
      </c>
    </row>
    <row r="831" spans="1:30" ht="29">
      <c r="A831" s="3" t="s">
        <v>4655</v>
      </c>
      <c r="B831" s="3" t="s">
        <v>11829</v>
      </c>
      <c r="C831" s="3" t="s">
        <v>11830</v>
      </c>
      <c r="F831" t="s">
        <v>19</v>
      </c>
      <c r="G831" s="9" t="s">
        <v>24</v>
      </c>
      <c r="H831" s="9"/>
      <c r="I831" s="9">
        <v>1</v>
      </c>
      <c r="J831" s="9">
        <v>3</v>
      </c>
      <c r="K831" s="9" t="s">
        <v>12094</v>
      </c>
      <c r="L831" s="9" t="s">
        <v>12079</v>
      </c>
      <c r="M831" s="9"/>
      <c r="N831" s="10"/>
      <c r="O831" s="9"/>
      <c r="P831" s="9">
        <v>1496</v>
      </c>
      <c r="Q831" s="9"/>
      <c r="R831" s="9" t="s">
        <v>12795</v>
      </c>
      <c r="S831" s="9" t="s">
        <v>12795</v>
      </c>
      <c r="T831" s="9"/>
      <c r="U831" s="9"/>
      <c r="V831" s="9"/>
      <c r="W831" s="9"/>
      <c r="X831" s="9"/>
      <c r="Y831" s="9"/>
      <c r="Z831" s="9"/>
      <c r="AA831" s="9"/>
      <c r="AB831" s="9"/>
      <c r="AC831" s="9"/>
      <c r="AD831" s="9" t="s">
        <v>20</v>
      </c>
    </row>
    <row r="832" spans="1:30" ht="116">
      <c r="A832" s="3" t="s">
        <v>4686</v>
      </c>
      <c r="B832" s="3" t="s">
        <v>11897</v>
      </c>
      <c r="C832" s="3" t="s">
        <v>11894</v>
      </c>
      <c r="G832" s="9" t="s">
        <v>26</v>
      </c>
      <c r="H832" s="9"/>
      <c r="I832" s="9"/>
      <c r="J832" s="9"/>
      <c r="K832" s="9"/>
      <c r="L832" s="9"/>
      <c r="M832" s="9"/>
      <c r="N832" s="10"/>
      <c r="O832" s="9"/>
      <c r="P832" s="9"/>
      <c r="Q832" s="9"/>
      <c r="R832" s="9" t="s">
        <v>12795</v>
      </c>
      <c r="S832" s="9" t="s">
        <v>12795</v>
      </c>
      <c r="T832" s="9"/>
      <c r="U832" s="9"/>
      <c r="V832" s="9"/>
      <c r="W832" s="9"/>
      <c r="X832" s="9"/>
      <c r="Y832" s="9"/>
      <c r="Z832" s="9"/>
      <c r="AA832" s="9"/>
      <c r="AB832" s="9"/>
      <c r="AC832" s="9"/>
      <c r="AD832" s="9" t="s">
        <v>20</v>
      </c>
    </row>
    <row r="833" spans="1:30" ht="72.5">
      <c r="A833" s="3" t="s">
        <v>4697</v>
      </c>
      <c r="B833" s="3" t="s">
        <v>11928</v>
      </c>
      <c r="C833" s="3" t="s">
        <v>11929</v>
      </c>
      <c r="G833" s="9" t="s">
        <v>26</v>
      </c>
      <c r="H833" s="9"/>
      <c r="I833" s="9"/>
      <c r="J833" s="9"/>
      <c r="K833" s="9"/>
      <c r="L833" s="9"/>
      <c r="M833" s="9"/>
      <c r="N833" s="10"/>
      <c r="O833" s="9"/>
      <c r="P833" s="9"/>
      <c r="Q833" s="9"/>
      <c r="R833" s="9" t="s">
        <v>12795</v>
      </c>
      <c r="S833" s="9" t="s">
        <v>12795</v>
      </c>
      <c r="T833" s="9"/>
      <c r="U833" s="9"/>
      <c r="V833" s="9"/>
      <c r="W833" s="9"/>
      <c r="X833" s="9"/>
      <c r="Y833" s="9"/>
      <c r="Z833" s="9"/>
      <c r="AA833" s="9"/>
      <c r="AB833" s="9"/>
      <c r="AC833" s="9"/>
      <c r="AD833" s="9" t="s">
        <v>20</v>
      </c>
    </row>
    <row r="834" spans="1:30" ht="43.5">
      <c r="A834" s="3" t="s">
        <v>4701</v>
      </c>
      <c r="B834" s="3" t="s">
        <v>11946</v>
      </c>
      <c r="C834" s="3" t="s">
        <v>11945</v>
      </c>
      <c r="G834" s="9" t="s">
        <v>12118</v>
      </c>
      <c r="H834" s="9"/>
      <c r="I834" s="9"/>
      <c r="J834" s="9"/>
      <c r="K834" s="9"/>
      <c r="L834" s="9"/>
      <c r="M834" s="9"/>
      <c r="N834" s="10"/>
      <c r="O834" s="9"/>
      <c r="P834" s="9"/>
      <c r="Q834" s="9">
        <v>-116</v>
      </c>
      <c r="R834" s="9">
        <v>560</v>
      </c>
      <c r="S834" s="9">
        <v>444</v>
      </c>
      <c r="T834" s="9"/>
      <c r="U834" s="9"/>
      <c r="V834" s="9"/>
      <c r="W834" s="9"/>
      <c r="X834" s="9"/>
      <c r="Y834" s="9"/>
      <c r="Z834" s="9"/>
      <c r="AA834" s="9"/>
      <c r="AB834" s="9"/>
      <c r="AC834" s="9"/>
      <c r="AD834" s="9" t="s">
        <v>20</v>
      </c>
    </row>
    <row r="835" spans="1:30" ht="72.5">
      <c r="A835" s="3" t="s">
        <v>4711</v>
      </c>
      <c r="B835" s="3" t="s">
        <v>11971</v>
      </c>
      <c r="C835" s="3" t="s">
        <v>11969</v>
      </c>
      <c r="G835" s="9" t="s">
        <v>25</v>
      </c>
      <c r="H835" s="9"/>
      <c r="I835" s="9">
        <v>1</v>
      </c>
      <c r="J835" s="9">
        <v>3</v>
      </c>
      <c r="K835" s="9" t="s">
        <v>12087</v>
      </c>
      <c r="L835" s="9" t="s">
        <v>12079</v>
      </c>
      <c r="M835" s="9"/>
      <c r="N835" s="10"/>
      <c r="O835" s="9"/>
      <c r="P835" s="9">
        <v>5676</v>
      </c>
      <c r="Q835" s="9"/>
      <c r="R835" s="9" t="s">
        <v>12795</v>
      </c>
      <c r="S835" s="9" t="s">
        <v>12795</v>
      </c>
      <c r="T835" s="9"/>
      <c r="U835" s="9"/>
      <c r="V835" s="9"/>
      <c r="W835" s="9"/>
      <c r="X835" s="9"/>
      <c r="Y835" s="9"/>
      <c r="Z835" s="9"/>
      <c r="AA835" s="9"/>
      <c r="AB835" s="9"/>
      <c r="AC835" s="9"/>
      <c r="AD835" s="9" t="s">
        <v>20</v>
      </c>
    </row>
    <row r="836" spans="1:30" ht="29">
      <c r="A836" s="3" t="s">
        <v>4714</v>
      </c>
      <c r="B836" s="3" t="s">
        <v>4715</v>
      </c>
      <c r="C836" s="3" t="s">
        <v>4716</v>
      </c>
      <c r="G836" s="9" t="s">
        <v>12118</v>
      </c>
      <c r="H836" s="9"/>
      <c r="I836" s="9"/>
      <c r="J836" s="9"/>
      <c r="K836" s="9"/>
      <c r="L836" s="9"/>
      <c r="M836" s="9"/>
      <c r="N836" s="10"/>
      <c r="O836" s="9"/>
      <c r="P836" s="9"/>
      <c r="Q836" s="9">
        <v>-3</v>
      </c>
      <c r="R836" s="9">
        <v>3</v>
      </c>
      <c r="S836" s="9">
        <v>0</v>
      </c>
      <c r="T836" s="9"/>
      <c r="U836" s="9"/>
      <c r="V836" s="9"/>
      <c r="W836" s="9"/>
      <c r="X836" s="9"/>
      <c r="Y836" s="9"/>
      <c r="Z836" s="9"/>
      <c r="AA836" s="9"/>
      <c r="AB836" s="9"/>
      <c r="AC836" s="9"/>
      <c r="AD836" s="9" t="s">
        <v>20</v>
      </c>
    </row>
    <row r="837" spans="1:30" ht="43.5">
      <c r="A837" s="3" t="s">
        <v>4725</v>
      </c>
      <c r="B837" s="3" t="s">
        <v>11991</v>
      </c>
      <c r="C837" s="3" t="s">
        <v>11992</v>
      </c>
      <c r="G837" s="9" t="s">
        <v>12118</v>
      </c>
      <c r="H837" s="9"/>
      <c r="I837" s="9"/>
      <c r="J837" s="9"/>
      <c r="K837" s="9"/>
      <c r="L837" s="9"/>
      <c r="M837" s="9"/>
      <c r="N837" s="10"/>
      <c r="O837" s="9"/>
      <c r="P837" s="9"/>
      <c r="Q837" s="9">
        <v>22</v>
      </c>
      <c r="R837" s="9">
        <v>0</v>
      </c>
      <c r="S837" s="9">
        <v>22</v>
      </c>
      <c r="T837" s="9"/>
      <c r="U837" s="9"/>
      <c r="V837" s="9"/>
      <c r="W837" s="9"/>
      <c r="X837" s="9"/>
      <c r="Y837" s="9"/>
      <c r="Z837" s="9"/>
      <c r="AA837" s="9"/>
      <c r="AB837" s="9"/>
      <c r="AC837" s="9"/>
      <c r="AD837" s="9" t="s">
        <v>20</v>
      </c>
    </row>
    <row r="838" spans="1:30" ht="116">
      <c r="A838" s="3" t="s">
        <v>4726</v>
      </c>
      <c r="B838" s="3" t="s">
        <v>11993</v>
      </c>
      <c r="C838" s="3" t="s">
        <v>11994</v>
      </c>
      <c r="G838" s="9" t="s">
        <v>26</v>
      </c>
      <c r="H838" s="9"/>
      <c r="I838" s="9"/>
      <c r="J838" s="9"/>
      <c r="K838" s="9"/>
      <c r="L838" s="9"/>
      <c r="M838" s="9"/>
      <c r="N838" s="10"/>
      <c r="O838" s="9"/>
      <c r="P838" s="9"/>
      <c r="Q838" s="9"/>
      <c r="R838" s="9" t="s">
        <v>12795</v>
      </c>
      <c r="S838" s="9" t="s">
        <v>12795</v>
      </c>
      <c r="T838" s="9"/>
      <c r="U838" s="9"/>
      <c r="V838" s="9"/>
      <c r="W838" s="9"/>
      <c r="X838" s="9"/>
      <c r="Y838" s="9"/>
      <c r="Z838" s="9"/>
      <c r="AA838" s="9"/>
      <c r="AB838" s="9"/>
      <c r="AC838" s="9"/>
      <c r="AD838" s="9" t="s">
        <v>20</v>
      </c>
    </row>
    <row r="839" spans="1:30" ht="43.5">
      <c r="A839" s="3" t="s">
        <v>4727</v>
      </c>
      <c r="B839" s="3" t="s">
        <v>11999</v>
      </c>
      <c r="C839" s="3" t="s">
        <v>12000</v>
      </c>
      <c r="G839" s="9" t="s">
        <v>25</v>
      </c>
      <c r="H839" s="9"/>
      <c r="I839" s="9">
        <v>1</v>
      </c>
      <c r="J839" s="9">
        <v>2</v>
      </c>
      <c r="K839" s="9" t="s">
        <v>12123</v>
      </c>
      <c r="L839" s="9" t="s">
        <v>12119</v>
      </c>
      <c r="M839" s="9"/>
      <c r="N839" s="10"/>
      <c r="O839" s="9"/>
      <c r="P839" s="9">
        <v>887</v>
      </c>
      <c r="Q839" s="9"/>
      <c r="R839" s="9" t="s">
        <v>12795</v>
      </c>
      <c r="S839" s="9" t="s">
        <v>12795</v>
      </c>
      <c r="T839" s="9"/>
      <c r="U839" s="9"/>
      <c r="V839" s="9"/>
      <c r="W839" s="9"/>
      <c r="X839" s="9"/>
      <c r="Y839" s="9"/>
      <c r="Z839" s="9"/>
      <c r="AA839" s="9"/>
      <c r="AB839" s="9"/>
      <c r="AC839" s="9"/>
      <c r="AD839" s="9" t="s">
        <v>20</v>
      </c>
    </row>
    <row r="840" spans="1:30" ht="58">
      <c r="A840" s="3" t="s">
        <v>4728</v>
      </c>
      <c r="B840" s="3" t="s">
        <v>12004</v>
      </c>
      <c r="C840" s="3" t="s">
        <v>12003</v>
      </c>
      <c r="G840" s="9" t="s">
        <v>24</v>
      </c>
      <c r="H840" s="9"/>
      <c r="I840" s="9">
        <v>1</v>
      </c>
      <c r="J840" s="9">
        <v>7</v>
      </c>
      <c r="K840" s="9" t="s">
        <v>12092</v>
      </c>
      <c r="L840" s="9" t="s">
        <v>12079</v>
      </c>
      <c r="M840" s="9"/>
      <c r="N840" s="10"/>
      <c r="O840" s="9"/>
      <c r="P840" s="9">
        <v>3</v>
      </c>
      <c r="Q840" s="9"/>
      <c r="R840" s="9" t="s">
        <v>12795</v>
      </c>
      <c r="S840" s="9" t="s">
        <v>12795</v>
      </c>
      <c r="T840" s="9"/>
      <c r="U840" s="9"/>
      <c r="V840" s="9"/>
      <c r="W840" s="9"/>
      <c r="X840" s="9"/>
      <c r="Y840" s="9"/>
      <c r="Z840" s="9"/>
      <c r="AA840" s="9"/>
      <c r="AB840" s="9"/>
      <c r="AC840" s="9"/>
      <c r="AD840" s="9" t="s">
        <v>20</v>
      </c>
    </row>
    <row r="841" spans="1:30" ht="58">
      <c r="A841" s="3" t="s">
        <v>4734</v>
      </c>
      <c r="B841" s="3" t="s">
        <v>12010</v>
      </c>
      <c r="C841" s="3" t="s">
        <v>12009</v>
      </c>
      <c r="G841" s="9" t="s">
        <v>24</v>
      </c>
      <c r="H841" s="9"/>
      <c r="I841" s="9">
        <v>1</v>
      </c>
      <c r="J841" s="9">
        <v>8</v>
      </c>
      <c r="K841" s="9" t="s">
        <v>12125</v>
      </c>
      <c r="L841" s="9" t="s">
        <v>12073</v>
      </c>
      <c r="M841" s="9" t="s">
        <v>12142</v>
      </c>
      <c r="N841" s="10" t="s">
        <v>12143</v>
      </c>
      <c r="O841" s="9"/>
      <c r="P841" s="9">
        <v>11</v>
      </c>
      <c r="Q841" s="9"/>
      <c r="R841" s="9" t="s">
        <v>12795</v>
      </c>
      <c r="S841" s="9" t="s">
        <v>12795</v>
      </c>
      <c r="T841" s="9"/>
      <c r="U841" s="9"/>
      <c r="V841" s="9"/>
      <c r="W841" s="9"/>
      <c r="X841" s="9"/>
      <c r="Y841" s="9"/>
      <c r="Z841" s="9"/>
      <c r="AA841" s="9"/>
      <c r="AB841" s="9"/>
      <c r="AC841" s="9"/>
      <c r="AD841" s="9" t="s">
        <v>20</v>
      </c>
    </row>
    <row r="842" spans="1:30" ht="29">
      <c r="A842" s="3" t="s">
        <v>4735</v>
      </c>
      <c r="B842" s="3" t="s">
        <v>4738</v>
      </c>
      <c r="C842" s="3" t="s">
        <v>4739</v>
      </c>
      <c r="G842" s="9" t="s">
        <v>12120</v>
      </c>
      <c r="H842" s="9"/>
      <c r="I842" s="9"/>
      <c r="J842" s="9"/>
      <c r="K842" s="9"/>
      <c r="L842" s="9"/>
      <c r="M842" s="9"/>
      <c r="N842" s="10"/>
      <c r="O842" s="9"/>
      <c r="P842" s="9"/>
      <c r="Q842" s="9"/>
      <c r="R842" s="9" t="s">
        <v>12795</v>
      </c>
      <c r="S842" s="9" t="s">
        <v>12795</v>
      </c>
      <c r="T842" s="9"/>
      <c r="U842" s="9"/>
      <c r="V842" s="9"/>
      <c r="W842" s="9"/>
      <c r="X842" s="9"/>
      <c r="Y842" s="9"/>
      <c r="Z842" s="9"/>
      <c r="AA842" s="9"/>
      <c r="AB842" s="9"/>
      <c r="AC842" s="9"/>
      <c r="AD842" s="9" t="s">
        <v>20</v>
      </c>
    </row>
    <row r="843" spans="1:30" ht="29">
      <c r="A843" s="3" t="s">
        <v>4742</v>
      </c>
      <c r="B843" s="3" t="s">
        <v>12014</v>
      </c>
      <c r="C843" s="3" t="s">
        <v>12013</v>
      </c>
      <c r="G843" s="9" t="s">
        <v>24</v>
      </c>
      <c r="H843" s="9"/>
      <c r="I843" s="9">
        <v>1</v>
      </c>
      <c r="J843" s="9">
        <v>2</v>
      </c>
      <c r="K843" s="9" t="s">
        <v>12087</v>
      </c>
      <c r="L843" s="9" t="s">
        <v>12119</v>
      </c>
      <c r="M843" s="9"/>
      <c r="N843" s="10"/>
      <c r="O843" s="9"/>
      <c r="P843" s="9">
        <v>166</v>
      </c>
      <c r="Q843" s="9"/>
      <c r="R843" s="9" t="s">
        <v>12795</v>
      </c>
      <c r="S843" s="9" t="s">
        <v>12795</v>
      </c>
      <c r="T843" s="9"/>
      <c r="U843" s="9"/>
      <c r="V843" s="9"/>
      <c r="W843" s="9"/>
      <c r="X843" s="9"/>
      <c r="Y843" s="9"/>
      <c r="Z843" s="9"/>
      <c r="AA843" s="9"/>
      <c r="AB843" s="9"/>
      <c r="AC843" s="9"/>
      <c r="AD843" s="9" t="s">
        <v>20</v>
      </c>
    </row>
    <row r="844" spans="1:30" ht="58">
      <c r="A844" s="3" t="s">
        <v>4760</v>
      </c>
      <c r="B844" s="3" t="s">
        <v>12034</v>
      </c>
      <c r="C844" s="3" t="s">
        <v>12033</v>
      </c>
      <c r="G844" s="9" t="s">
        <v>25</v>
      </c>
      <c r="H844" s="9"/>
      <c r="I844" s="9">
        <v>1</v>
      </c>
      <c r="J844" s="9">
        <v>3</v>
      </c>
      <c r="K844" s="9" t="s">
        <v>12087</v>
      </c>
      <c r="L844" s="9" t="s">
        <v>12079</v>
      </c>
      <c r="M844" s="9"/>
      <c r="N844" s="10"/>
      <c r="O844" s="9"/>
      <c r="P844" s="9">
        <v>5676</v>
      </c>
      <c r="Q844" s="9"/>
      <c r="R844" s="9" t="s">
        <v>12795</v>
      </c>
      <c r="S844" s="9" t="s">
        <v>12795</v>
      </c>
      <c r="T844" s="9"/>
      <c r="U844" s="9"/>
      <c r="V844" s="9"/>
      <c r="W844" s="9"/>
      <c r="X844" s="9"/>
      <c r="Y844" s="9"/>
      <c r="Z844" s="9"/>
      <c r="AA844" s="9"/>
      <c r="AB844" s="9"/>
      <c r="AC844" s="9"/>
      <c r="AD844" s="9" t="s">
        <v>20</v>
      </c>
    </row>
    <row r="845" spans="1:30" ht="58">
      <c r="A845" s="3" t="s">
        <v>4764</v>
      </c>
      <c r="B845" s="3" t="s">
        <v>12040</v>
      </c>
      <c r="C845" s="3" t="s">
        <v>12039</v>
      </c>
      <c r="G845" s="9" t="s">
        <v>26</v>
      </c>
      <c r="H845" s="9"/>
      <c r="I845" s="9"/>
      <c r="J845" s="9"/>
      <c r="K845" s="9"/>
      <c r="L845" s="9"/>
      <c r="M845" s="9"/>
      <c r="N845" s="10"/>
      <c r="O845" s="9"/>
      <c r="P845" s="9"/>
      <c r="Q845" s="9"/>
      <c r="R845" s="9" t="s">
        <v>12795</v>
      </c>
      <c r="S845" s="9" t="s">
        <v>12795</v>
      </c>
      <c r="T845" s="9"/>
      <c r="U845" s="9"/>
      <c r="V845" s="9"/>
      <c r="W845" s="9"/>
      <c r="X845" s="9"/>
      <c r="Y845" s="9"/>
      <c r="Z845" s="9"/>
      <c r="AA845" s="9"/>
      <c r="AB845" s="9"/>
      <c r="AC845" s="9"/>
      <c r="AD845" s="9" t="s">
        <v>20</v>
      </c>
    </row>
    <row r="846" spans="1:30" ht="72.5">
      <c r="A846" s="3" t="s">
        <v>4766</v>
      </c>
      <c r="B846" s="3" t="s">
        <v>12044</v>
      </c>
      <c r="C846" s="3" t="s">
        <v>12629</v>
      </c>
      <c r="G846" s="9" t="s">
        <v>26</v>
      </c>
      <c r="H846" s="9"/>
      <c r="I846" s="9"/>
      <c r="J846" s="9"/>
      <c r="K846" s="9"/>
      <c r="L846" s="9"/>
      <c r="M846" s="9"/>
      <c r="N846" s="10"/>
      <c r="O846" s="9"/>
      <c r="P846" s="9"/>
      <c r="Q846" s="9"/>
      <c r="R846" s="9" t="s">
        <v>12795</v>
      </c>
      <c r="S846" s="9" t="s">
        <v>12795</v>
      </c>
      <c r="T846" s="9"/>
      <c r="U846" s="9"/>
      <c r="V846" s="9"/>
      <c r="W846" s="9"/>
      <c r="X846" s="9"/>
      <c r="Y846" s="9"/>
      <c r="Z846" s="9"/>
      <c r="AA846" s="9"/>
      <c r="AB846" s="9"/>
      <c r="AC846" s="9"/>
      <c r="AD846" s="9" t="s">
        <v>20</v>
      </c>
    </row>
    <row r="847" spans="1:30" ht="29">
      <c r="A847" s="3" t="s">
        <v>4767</v>
      </c>
      <c r="B847" s="3" t="s">
        <v>12048</v>
      </c>
      <c r="C847" s="3" t="s">
        <v>12047</v>
      </c>
      <c r="F847" t="s">
        <v>19</v>
      </c>
      <c r="G847" s="9" t="s">
        <v>25</v>
      </c>
      <c r="H847" s="9"/>
      <c r="I847" s="9">
        <v>1</v>
      </c>
      <c r="J847" s="9">
        <v>3</v>
      </c>
      <c r="K847" s="9" t="s">
        <v>12078</v>
      </c>
      <c r="L847" s="9" t="s">
        <v>12079</v>
      </c>
      <c r="M847" s="9"/>
      <c r="N847" s="10"/>
      <c r="O847" s="9"/>
      <c r="P847" s="9">
        <v>11843</v>
      </c>
      <c r="Q847" s="9"/>
      <c r="R847" s="9" t="s">
        <v>12795</v>
      </c>
      <c r="S847" s="9" t="s">
        <v>12795</v>
      </c>
      <c r="T847" s="9"/>
      <c r="U847" s="9"/>
      <c r="V847" s="9"/>
      <c r="W847" s="9"/>
      <c r="X847" s="9"/>
      <c r="Y847" s="9"/>
      <c r="Z847" s="9"/>
      <c r="AA847" s="9"/>
      <c r="AB847" s="9"/>
      <c r="AC847" s="9"/>
      <c r="AD847" s="9" t="s">
        <v>20</v>
      </c>
    </row>
    <row r="848" spans="1:30" ht="29">
      <c r="A848" s="3" t="s">
        <v>4768</v>
      </c>
      <c r="B848" s="3" t="s">
        <v>12054</v>
      </c>
      <c r="C848" s="3" t="s">
        <v>12053</v>
      </c>
      <c r="G848" s="9" t="s">
        <v>24</v>
      </c>
      <c r="H848" s="9"/>
      <c r="I848" s="9">
        <v>1</v>
      </c>
      <c r="J848" s="9">
        <v>2</v>
      </c>
      <c r="K848" s="9" t="s">
        <v>12087</v>
      </c>
      <c r="L848" s="9" t="s">
        <v>12119</v>
      </c>
      <c r="M848" s="9"/>
      <c r="N848" s="10"/>
      <c r="O848" s="9"/>
      <c r="P848" s="9">
        <v>1966</v>
      </c>
      <c r="Q848" s="9"/>
      <c r="R848" s="9" t="s">
        <v>12795</v>
      </c>
      <c r="S848" s="9" t="s">
        <v>12795</v>
      </c>
      <c r="T848" s="9"/>
      <c r="U848" s="9"/>
      <c r="V848" s="9"/>
      <c r="W848" s="9"/>
      <c r="X848" s="9"/>
      <c r="Y848" s="9"/>
      <c r="Z848" s="9"/>
      <c r="AA848" s="9"/>
      <c r="AB848" s="9"/>
      <c r="AC848" s="9"/>
      <c r="AD848" s="9" t="s">
        <v>13141</v>
      </c>
    </row>
  </sheetData>
  <conditionalFormatting sqref="G2:G848">
    <cfRule type="expression" dxfId="160" priority="4">
      <formula>$J2&lt;&gt;""</formula>
    </cfRule>
    <cfRule type="expression" dxfId="159" priority="5">
      <formula>$J2=""</formula>
    </cfRule>
  </conditionalFormatting>
  <conditionalFormatting sqref="H2:L848 O2:P848">
    <cfRule type="expression" dxfId="158" priority="13">
      <formula>AND($J2&lt;&gt;"Addition",$J2&lt;&gt;"Omission",$J2&lt;&gt;"Substitution - Word")</formula>
    </cfRule>
  </conditionalFormatting>
  <conditionalFormatting sqref="H2:P848">
    <cfRule type="expression" dxfId="157" priority="23">
      <formula>AND(OR($J2="Addition",$J2="Omission"), H2&lt;&gt;"")</formula>
    </cfRule>
  </conditionalFormatting>
  <conditionalFormatting sqref="K2:K848">
    <cfRule type="expression" dxfId="156" priority="10">
      <formula>AND($L2&lt;&gt;"",$L2&gt;1)</formula>
    </cfRule>
  </conditionalFormatting>
  <conditionalFormatting sqref="M2:N848">
    <cfRule type="expression" dxfId="155" priority="6">
      <formula>$O2="Absent"</formula>
    </cfRule>
    <cfRule type="expression" dxfId="154" priority="7">
      <formula>$O2="NA"</formula>
    </cfRule>
    <cfRule type="expression" dxfId="153" priority="8">
      <formula>AND(OR($J2="Addition",$J2="Omission"), M2="")</formula>
    </cfRule>
    <cfRule type="expression" dxfId="152" priority="9">
      <formula>AND($J2&lt;&gt;"Addition",$J2&lt;&gt;"Omission")</formula>
    </cfRule>
  </conditionalFormatting>
  <conditionalFormatting sqref="O2:O848">
    <cfRule type="expression" dxfId="151" priority="11">
      <formula>OR($J2="Addition",$J2="Omission",$J2 = "Substitution - Word")</formula>
    </cfRule>
  </conditionalFormatting>
  <conditionalFormatting sqref="O2:P848 H2:L848">
    <cfRule type="expression" dxfId="150" priority="12">
      <formula>AND(OR($J2="Addition",$J2="Omission"), H2="")</formula>
    </cfRule>
  </conditionalFormatting>
  <conditionalFormatting sqref="Q2:S848">
    <cfRule type="expression" dxfId="149" priority="20">
      <formula>AND(AND(LEFT($J2,3)="Sub", RIGHT($J2,4)&lt;&gt;"Form"),$T2&lt;&gt;"")</formula>
    </cfRule>
    <cfRule type="expression" dxfId="148" priority="21">
      <formula>AND(AND(LEFT($J2,3)="Sub", RIGHT($J2,4)&lt;&gt;"Form"),$T2="")</formula>
    </cfRule>
    <cfRule type="expression" dxfId="147" priority="22">
      <formula>"&lt;&gt;AND(LEFT($J2,3)=""Sub"", RIGHT($J2,4)&lt;&gt;""Form"")"</formula>
    </cfRule>
  </conditionalFormatting>
  <conditionalFormatting sqref="R2:S848">
    <cfRule type="expression" dxfId="146" priority="1">
      <formula>AND(AND(LEFT($J2,3)="Sub", RIGHT($J2,4)&lt;&gt;"Form"),$T2&lt;&gt;"")</formula>
    </cfRule>
    <cfRule type="expression" dxfId="145" priority="2">
      <formula>AND(AND(LEFT($J2,3)="Sub", RIGHT($J2,4)&lt;&gt;"Form"),$T2="")</formula>
    </cfRule>
    <cfRule type="expression" dxfId="144" priority="3">
      <formula>"&lt;&gt;AND(LEFT($J2,3)=""Sub"", RIGHT($J2,4)&lt;&gt;""Form"")"</formula>
    </cfRule>
  </conditionalFormatting>
  <conditionalFormatting sqref="T2:T848">
    <cfRule type="expression" dxfId="143" priority="15">
      <formula>AND($W2&lt;&gt;"",OR($AD2="Yes",$AE2&lt;&gt;""))</formula>
    </cfRule>
    <cfRule type="expression" dxfId="142" priority="16">
      <formula>OR($AD2="Yes",$AE2&lt;&gt;"")</formula>
    </cfRule>
    <cfRule type="expression" dxfId="141" priority="26">
      <formula>AND($AD2&lt;&gt;"Yes",$AE2="")</formula>
    </cfRule>
  </conditionalFormatting>
  <conditionalFormatting sqref="T2:AD848">
    <cfRule type="expression" dxfId="140" priority="24">
      <formula>AND($J2&lt;&gt;"",$J2&lt;&gt;"Unclear due to correction")</formula>
    </cfRule>
    <cfRule type="expression" dxfId="139" priority="25">
      <formula>OR($J2="",$J2="Unclear due to correction")</formula>
    </cfRule>
  </conditionalFormatting>
  <conditionalFormatting sqref="U2:U848">
    <cfRule type="expression" dxfId="138" priority="14">
      <formula>AND($J2&lt;&gt;"",$J2&lt;&gt;"Unclear due to correction",$X2="")</formula>
    </cfRule>
  </conditionalFormatting>
  <conditionalFormatting sqref="V2:V848">
    <cfRule type="expression" dxfId="137" priority="17">
      <formula>AND($X2="Yes",$Y2="")</formula>
    </cfRule>
    <cfRule type="expression" dxfId="136" priority="18">
      <formula>$X2=""</formula>
    </cfRule>
  </conditionalFormatting>
  <conditionalFormatting sqref="AA2:AA848">
    <cfRule type="expression" dxfId="135" priority="19">
      <formula>AND(OR($AB2&lt;&gt;"",$AC2&lt;&gt;""),$AD2="")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7">
        <x14:dataValidation type="list" allowBlank="1" showInputMessage="1" showErrorMessage="1" xr:uid="{6381AF00-D41B-4539-AE04-9C09FAA6D88E}">
          <x14:formula1>
            <xm:f>'Data Regularization'!$S$2:$S$5</xm:f>
          </x14:formula1>
          <xm:sqref>AD2:AD848</xm:sqref>
        </x14:dataValidation>
        <x14:dataValidation type="list" allowBlank="1" showInputMessage="1" showErrorMessage="1" xr:uid="{85B2D18C-A73C-4F5C-95A9-9AED010DB079}">
          <x14:formula1>
            <xm:f>'Data Regularization'!$R$2:$R$1048576</xm:f>
          </x14:formula1>
          <xm:sqref>AC2:AC848</xm:sqref>
        </x14:dataValidation>
        <x14:dataValidation type="list" allowBlank="1" showInputMessage="1" xr:uid="{CA6F0576-C6F7-41F2-A719-AA4747CA082F}">
          <x14:formula1>
            <xm:f>'Data Regularization'!$J$2:$J$1048576</xm:f>
          </x14:formula1>
          <xm:sqref>U2:U848</xm:sqref>
        </x14:dataValidation>
        <x14:dataValidation type="list" allowBlank="1" showInputMessage="1" showErrorMessage="1" xr:uid="{E458AEA6-D1CA-48D5-A9BB-3C68D8F236DC}">
          <x14:formula1>
            <xm:f>'Data Regularization'!$H$2:$H$1048576</xm:f>
          </x14:formula1>
          <xm:sqref>T2:T848</xm:sqref>
        </x14:dataValidation>
        <x14:dataValidation type="list" allowBlank="1" showInputMessage="1" showErrorMessage="1" xr:uid="{B08AB42C-0601-4376-9574-8698FAB88C6B}">
          <x14:formula1>
            <xm:f>'Data Regularization'!$Q$2:$Q$1048576</xm:f>
          </x14:formula1>
          <xm:sqref>AB2:AB848</xm:sqref>
        </x14:dataValidation>
        <x14:dataValidation type="list" allowBlank="1" showInputMessage="1" showErrorMessage="1" xr:uid="{2EF77242-7930-415B-9065-AAFB2890ADEF}">
          <x14:formula1>
            <xm:f>'Data Regularization'!$P$2:$P$1048576</xm:f>
          </x14:formula1>
          <xm:sqref>AA2:AA848</xm:sqref>
        </x14:dataValidation>
        <x14:dataValidation type="list" allowBlank="1" showInputMessage="1" showErrorMessage="1" xr:uid="{6E5C2F8A-E6CB-4ED5-930C-3E56D40E39D3}">
          <x14:formula1>
            <xm:f>'Data Regularization'!$O$2:$O$1048576</xm:f>
          </x14:formula1>
          <xm:sqref>Y2:Y848</xm:sqref>
        </x14:dataValidation>
        <x14:dataValidation type="list" allowBlank="1" showInputMessage="1" showErrorMessage="1" xr:uid="{F013E72E-D46F-4D56-9351-4959733F0D0A}">
          <x14:formula1>
            <xm:f>'Data Regularization'!$N$2:$N$1048576</xm:f>
          </x14:formula1>
          <xm:sqref>X2:X848</xm:sqref>
        </x14:dataValidation>
        <x14:dataValidation type="list" allowBlank="1" showInputMessage="1" showErrorMessage="1" xr:uid="{14BFD892-7437-4EDE-97D1-E8BF924C9CBB}">
          <x14:formula1>
            <xm:f>'Data Regularization'!$L$2:$L$1048576</xm:f>
          </x14:formula1>
          <xm:sqref>W2:W848</xm:sqref>
        </x14:dataValidation>
        <x14:dataValidation type="list" allowBlank="1" showInputMessage="1" showErrorMessage="1" xr:uid="{5A7B5418-D12F-4309-AF37-3F3ABBDAF0F5}">
          <x14:formula1>
            <xm:f>'Data Regularization'!$K$2:$K$1048576</xm:f>
          </x14:formula1>
          <xm:sqref>V2:V848</xm:sqref>
        </x14:dataValidation>
        <x14:dataValidation type="list" allowBlank="1" showInputMessage="1" showErrorMessage="1" xr:uid="{6ED46955-DB4A-44D4-A794-EF7603C7FB6B}">
          <x14:formula1>
            <xm:f>'Data Regularization'!$G$2:$G$1048576</xm:f>
          </x14:formula1>
          <xm:sqref>O2:O848</xm:sqref>
        </x14:dataValidation>
        <x14:dataValidation type="list" allowBlank="1" showInputMessage="1" showErrorMessage="1" xr:uid="{434AE413-85CB-4AB5-911D-B6E40938EB00}">
          <x14:formula1>
            <xm:f>'Data Regularization'!$F$2:$F$1048576</xm:f>
          </x14:formula1>
          <xm:sqref>L2:L848</xm:sqref>
        </x14:dataValidation>
        <x14:dataValidation type="list" allowBlank="1" showInputMessage="1" showErrorMessage="1" xr:uid="{46192C74-6EAC-4F39-9CAF-BD8A60B48596}">
          <x14:formula1>
            <xm:f>'Data Regularization'!$E$2:$E$1048576</xm:f>
          </x14:formula1>
          <xm:sqref>K2:K848</xm:sqref>
        </x14:dataValidation>
        <x14:dataValidation type="list" allowBlank="1" showInputMessage="1" showErrorMessage="1" xr:uid="{F711BCC5-AAFB-44D1-AA00-1CD8150136B6}">
          <x14:formula1>
            <xm:f>'Data Regularization'!$A$2:$A$1048576</xm:f>
          </x14:formula1>
          <xm:sqref>D2:D848</xm:sqref>
        </x14:dataValidation>
        <x14:dataValidation type="list" allowBlank="1" showInputMessage="1" showErrorMessage="1" xr:uid="{2C089515-589A-4478-BB22-48C0CE84BC9A}">
          <x14:formula1>
            <xm:f>'Data Regularization'!$C$2:$C$29</xm:f>
          </x14:formula1>
          <xm:sqref>F2:F848</xm:sqref>
        </x14:dataValidation>
        <x14:dataValidation type="list" allowBlank="1" showInputMessage="1" showErrorMessage="1" xr:uid="{00935D0A-E102-468E-B608-29CADFA1502F}">
          <x14:formula1>
            <xm:f>'Data Regularization'!$B$2:$B$1048576</xm:f>
          </x14:formula1>
          <xm:sqref>E2:E848</xm:sqref>
        </x14:dataValidation>
        <x14:dataValidation type="list" allowBlank="1" showInputMessage="1" showErrorMessage="1" xr:uid="{3AAD985F-1F9D-4FF6-BCC6-64C1CD076218}">
          <x14:formula1>
            <xm:f>'Data Regularization'!$D$2:$D$1048576</xm:f>
          </x14:formula1>
          <xm:sqref>G1:G848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47CD-66E1-4D6E-B1C9-312B5E45484B}">
  <dimension ref="A1:AD468"/>
  <sheetViews>
    <sheetView topLeftCell="A417" workbookViewId="0">
      <selection activeCell="K447" sqref="K447"/>
    </sheetView>
  </sheetViews>
  <sheetFormatPr defaultRowHeight="14.5"/>
  <sheetData>
    <row r="1" spans="1:30"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12112</v>
      </c>
      <c r="U1" s="1" t="s">
        <v>12113</v>
      </c>
      <c r="V1" s="1" t="s">
        <v>12114</v>
      </c>
      <c r="W1" s="1" t="s">
        <v>12068</v>
      </c>
      <c r="X1" s="1" t="s">
        <v>12069</v>
      </c>
      <c r="Y1" s="1" t="s">
        <v>12070</v>
      </c>
      <c r="Z1" s="1" t="s">
        <v>12111</v>
      </c>
      <c r="AA1" s="1" t="s">
        <v>12115</v>
      </c>
      <c r="AB1" s="1" t="s">
        <v>12071</v>
      </c>
      <c r="AC1" s="1" t="s">
        <v>12116</v>
      </c>
      <c r="AD1" s="1" t="s">
        <v>13140</v>
      </c>
    </row>
    <row r="2" spans="1:30" ht="43.5">
      <c r="A2" s="3" t="s">
        <v>108</v>
      </c>
      <c r="B2" s="3" t="s">
        <v>4804</v>
      </c>
      <c r="C2" s="3" t="s">
        <v>4805</v>
      </c>
      <c r="F2" t="s">
        <v>19</v>
      </c>
      <c r="G2" s="9" t="s">
        <v>25</v>
      </c>
      <c r="H2" s="9"/>
      <c r="I2" s="9">
        <v>1</v>
      </c>
      <c r="J2" s="9">
        <v>2</v>
      </c>
      <c r="K2" s="9" t="s">
        <v>12078</v>
      </c>
      <c r="L2" s="9" t="s">
        <v>12119</v>
      </c>
      <c r="M2" s="9"/>
      <c r="N2" s="10"/>
      <c r="O2" s="9"/>
      <c r="P2" s="9">
        <v>11843</v>
      </c>
      <c r="Q2" s="9"/>
      <c r="R2" s="9" t="s">
        <v>12795</v>
      </c>
      <c r="S2" s="9" t="s">
        <v>12795</v>
      </c>
      <c r="T2" s="9"/>
      <c r="U2" s="9"/>
      <c r="V2" s="9"/>
      <c r="W2" s="9"/>
      <c r="X2" s="9"/>
      <c r="Y2" s="9"/>
      <c r="Z2" s="9"/>
      <c r="AA2" s="9"/>
      <c r="AB2" s="9"/>
      <c r="AC2" s="9"/>
      <c r="AD2" s="9" t="s">
        <v>20</v>
      </c>
    </row>
    <row r="3" spans="1:30" ht="116">
      <c r="A3" s="3" t="s">
        <v>142</v>
      </c>
      <c r="B3" s="3" t="s">
        <v>4828</v>
      </c>
      <c r="C3" s="3" t="s">
        <v>12959</v>
      </c>
      <c r="G3" s="9" t="s">
        <v>25</v>
      </c>
      <c r="H3" s="9"/>
      <c r="I3" s="9">
        <v>4</v>
      </c>
      <c r="J3" s="9">
        <v>20</v>
      </c>
      <c r="K3" s="9"/>
      <c r="L3" s="9" t="s">
        <v>12073</v>
      </c>
      <c r="M3" s="9" t="s">
        <v>12135</v>
      </c>
      <c r="N3" s="10" t="s">
        <v>12136</v>
      </c>
      <c r="O3" s="9"/>
      <c r="P3" s="9">
        <v>507</v>
      </c>
      <c r="Q3" s="9"/>
      <c r="R3" s="9" t="s">
        <v>12795</v>
      </c>
      <c r="S3" s="9" t="s">
        <v>12795</v>
      </c>
      <c r="T3" s="9"/>
      <c r="U3" s="9"/>
      <c r="V3" s="9"/>
      <c r="W3" s="9"/>
      <c r="X3" s="9"/>
      <c r="Y3" s="9"/>
      <c r="Z3" s="9"/>
      <c r="AA3" s="9"/>
      <c r="AB3" s="9"/>
      <c r="AC3" s="9"/>
      <c r="AD3" s="9" t="s">
        <v>20</v>
      </c>
    </row>
    <row r="4" spans="1:30" ht="43.5">
      <c r="A4" s="3" t="s">
        <v>148</v>
      </c>
      <c r="B4" s="3" t="s">
        <v>4831</v>
      </c>
      <c r="C4" s="3" t="s">
        <v>4832</v>
      </c>
      <c r="G4" s="9" t="s">
        <v>25</v>
      </c>
      <c r="H4" s="9"/>
      <c r="I4" s="9">
        <v>1</v>
      </c>
      <c r="J4" s="9">
        <v>3</v>
      </c>
      <c r="K4" s="9" t="s">
        <v>12078</v>
      </c>
      <c r="L4" s="9" t="s">
        <v>12079</v>
      </c>
      <c r="M4" s="9"/>
      <c r="N4" s="10"/>
      <c r="O4" s="9"/>
      <c r="P4" s="9">
        <v>11843</v>
      </c>
      <c r="Q4" s="9"/>
      <c r="R4" s="9" t="s">
        <v>12795</v>
      </c>
      <c r="S4" s="9" t="s">
        <v>12795</v>
      </c>
      <c r="T4" s="9"/>
      <c r="U4" s="9"/>
      <c r="V4" s="9"/>
      <c r="W4" s="9"/>
      <c r="X4" s="9"/>
      <c r="Y4" s="9"/>
      <c r="Z4" s="9"/>
      <c r="AA4" s="9"/>
      <c r="AB4" s="9"/>
      <c r="AC4" s="9"/>
      <c r="AD4" s="9" t="s">
        <v>20</v>
      </c>
    </row>
    <row r="5" spans="1:30" ht="101.5">
      <c r="A5" s="3" t="s">
        <v>173</v>
      </c>
      <c r="B5" s="3" t="s">
        <v>12634</v>
      </c>
      <c r="C5" s="3" t="s">
        <v>12635</v>
      </c>
      <c r="G5" s="9" t="s">
        <v>25</v>
      </c>
      <c r="H5" s="9"/>
      <c r="I5" s="9">
        <v>2</v>
      </c>
      <c r="J5" s="9">
        <v>15</v>
      </c>
      <c r="K5" s="9"/>
      <c r="L5" s="9" t="s">
        <v>12073</v>
      </c>
      <c r="M5" s="9" t="s">
        <v>12140</v>
      </c>
      <c r="N5" s="10" t="s">
        <v>12137</v>
      </c>
      <c r="O5" s="9"/>
      <c r="P5" s="9">
        <v>83</v>
      </c>
      <c r="Q5" s="9"/>
      <c r="R5" s="9" t="s">
        <v>12795</v>
      </c>
      <c r="S5" s="9" t="s">
        <v>12795</v>
      </c>
      <c r="T5" s="9"/>
      <c r="U5" s="9"/>
      <c r="V5" s="9"/>
      <c r="W5" s="9"/>
      <c r="X5" s="9"/>
      <c r="Y5" s="9"/>
      <c r="Z5" s="9"/>
      <c r="AA5" s="9"/>
      <c r="AB5" s="9"/>
      <c r="AC5" s="9"/>
      <c r="AD5" s="9" t="s">
        <v>20</v>
      </c>
    </row>
    <row r="6" spans="1:30" ht="58">
      <c r="A6" s="3" t="s">
        <v>188</v>
      </c>
      <c r="B6" s="3" t="s">
        <v>4857</v>
      </c>
      <c r="C6" s="3" t="s">
        <v>4858</v>
      </c>
      <c r="F6" t="s">
        <v>19</v>
      </c>
      <c r="G6" s="9" t="s">
        <v>25</v>
      </c>
      <c r="H6" s="9"/>
      <c r="I6" s="9">
        <v>1</v>
      </c>
      <c r="J6" s="9">
        <v>4</v>
      </c>
      <c r="K6" s="9" t="s">
        <v>12078</v>
      </c>
      <c r="L6" s="9" t="s">
        <v>12079</v>
      </c>
      <c r="M6" s="9"/>
      <c r="N6" s="10"/>
      <c r="O6" s="9"/>
      <c r="P6" s="9">
        <v>11843</v>
      </c>
      <c r="Q6" s="9"/>
      <c r="R6" s="9" t="s">
        <v>12795</v>
      </c>
      <c r="S6" s="9" t="s">
        <v>12795</v>
      </c>
      <c r="T6" s="9"/>
      <c r="U6" s="9"/>
      <c r="V6" s="9"/>
      <c r="W6" s="9"/>
      <c r="X6" s="9"/>
      <c r="Y6" s="9"/>
      <c r="Z6" s="9"/>
      <c r="AA6" s="9"/>
      <c r="AB6" s="9"/>
      <c r="AC6" s="9"/>
      <c r="AD6" s="9" t="s">
        <v>20</v>
      </c>
    </row>
    <row r="7" spans="1:30" ht="29">
      <c r="A7" s="3" t="s">
        <v>201</v>
      </c>
      <c r="B7" s="3" t="s">
        <v>4871</v>
      </c>
      <c r="C7" s="3" t="s">
        <v>4872</v>
      </c>
      <c r="E7" t="s">
        <v>20</v>
      </c>
      <c r="G7" s="9" t="s">
        <v>24</v>
      </c>
      <c r="H7" s="9"/>
      <c r="I7" s="9">
        <v>1</v>
      </c>
      <c r="J7" s="9">
        <v>2</v>
      </c>
      <c r="K7" s="9" t="s">
        <v>12087</v>
      </c>
      <c r="L7" s="9" t="s">
        <v>12119</v>
      </c>
      <c r="M7" s="9"/>
      <c r="N7" s="10"/>
      <c r="O7" s="9"/>
      <c r="P7" s="9">
        <v>1966</v>
      </c>
      <c r="Q7" s="9"/>
      <c r="R7" s="9" t="s">
        <v>12795</v>
      </c>
      <c r="S7" s="9" t="s">
        <v>12795</v>
      </c>
      <c r="T7" s="9"/>
      <c r="U7" s="9"/>
      <c r="V7" s="9"/>
      <c r="W7" s="9"/>
      <c r="X7" s="9"/>
      <c r="Y7" s="9"/>
      <c r="Z7" s="9"/>
      <c r="AA7" s="9"/>
      <c r="AB7" s="9"/>
      <c r="AC7" s="9"/>
      <c r="AD7" s="9" t="s">
        <v>20</v>
      </c>
    </row>
    <row r="8" spans="1:30" ht="43.5">
      <c r="A8" s="3" t="s">
        <v>246</v>
      </c>
      <c r="B8" s="3" t="s">
        <v>4898</v>
      </c>
      <c r="C8" s="3" t="s">
        <v>4899</v>
      </c>
      <c r="G8" s="9" t="s">
        <v>25</v>
      </c>
      <c r="H8" s="9"/>
      <c r="I8" s="9">
        <v>1</v>
      </c>
      <c r="J8" s="9">
        <v>1</v>
      </c>
      <c r="K8" s="9" t="s">
        <v>12078</v>
      </c>
      <c r="L8" s="9" t="s">
        <v>12119</v>
      </c>
      <c r="M8" s="9"/>
      <c r="N8" s="10"/>
      <c r="O8" s="9"/>
      <c r="P8" s="9">
        <v>11843</v>
      </c>
      <c r="Q8" s="9"/>
      <c r="R8" s="9" t="s">
        <v>12795</v>
      </c>
      <c r="S8" s="9" t="s">
        <v>12795</v>
      </c>
      <c r="T8" s="9"/>
      <c r="U8" s="9"/>
      <c r="V8" s="9"/>
      <c r="W8" s="9"/>
      <c r="X8" s="9"/>
      <c r="Y8" s="9"/>
      <c r="Z8" s="9"/>
      <c r="AA8" s="9"/>
      <c r="AB8" s="9"/>
      <c r="AC8" s="9"/>
      <c r="AD8" s="9" t="s">
        <v>20</v>
      </c>
    </row>
    <row r="9" spans="1:30" ht="43.5">
      <c r="A9" s="3" t="s">
        <v>247</v>
      </c>
      <c r="B9" s="3" t="s">
        <v>4900</v>
      </c>
      <c r="C9" s="3" t="s">
        <v>4901</v>
      </c>
      <c r="G9" s="9" t="s">
        <v>25</v>
      </c>
      <c r="H9" s="9"/>
      <c r="I9" s="9">
        <v>1</v>
      </c>
      <c r="J9" s="9">
        <v>2</v>
      </c>
      <c r="K9" s="9" t="s">
        <v>12078</v>
      </c>
      <c r="L9" s="9" t="s">
        <v>12119</v>
      </c>
      <c r="M9" s="9"/>
      <c r="N9" s="10"/>
      <c r="O9" s="9"/>
      <c r="P9" s="9">
        <v>11843</v>
      </c>
      <c r="Q9" s="9"/>
      <c r="R9" s="9" t="s">
        <v>12795</v>
      </c>
      <c r="S9" s="9" t="s">
        <v>12795</v>
      </c>
      <c r="T9" s="9" t="s">
        <v>12117</v>
      </c>
      <c r="U9" s="9"/>
      <c r="V9" s="9"/>
      <c r="W9" s="9"/>
      <c r="X9" s="9"/>
      <c r="Y9" s="9"/>
      <c r="Z9" s="9"/>
      <c r="AA9" s="9"/>
      <c r="AB9" s="9"/>
      <c r="AC9" s="9"/>
      <c r="AD9" s="9" t="s">
        <v>20</v>
      </c>
    </row>
    <row r="10" spans="1:30" ht="43.5">
      <c r="A10" s="3" t="s">
        <v>268</v>
      </c>
      <c r="B10" s="3" t="s">
        <v>4917</v>
      </c>
      <c r="C10" s="3" t="s">
        <v>4918</v>
      </c>
      <c r="G10" s="9" t="s">
        <v>25</v>
      </c>
      <c r="H10" s="9"/>
      <c r="I10" s="9">
        <v>1</v>
      </c>
      <c r="J10" s="9">
        <v>2</v>
      </c>
      <c r="K10" s="9" t="s">
        <v>12078</v>
      </c>
      <c r="L10" s="9" t="s">
        <v>12119</v>
      </c>
      <c r="M10" s="9"/>
      <c r="N10" s="10"/>
      <c r="O10" s="9"/>
      <c r="P10" s="9">
        <v>11843</v>
      </c>
      <c r="Q10" s="9"/>
      <c r="R10" s="9" t="s">
        <v>12795</v>
      </c>
      <c r="S10" s="9" t="s">
        <v>12795</v>
      </c>
      <c r="T10" s="9"/>
      <c r="U10" s="9"/>
      <c r="V10" s="9"/>
      <c r="W10" s="9"/>
      <c r="X10" s="9"/>
      <c r="Y10" s="9"/>
      <c r="Z10" s="9"/>
      <c r="AA10" s="9"/>
      <c r="AB10" s="9"/>
      <c r="AC10" s="9"/>
      <c r="AD10" s="9" t="s">
        <v>20</v>
      </c>
    </row>
    <row r="11" spans="1:30" ht="72.5">
      <c r="A11" s="3" t="s">
        <v>306</v>
      </c>
      <c r="B11" s="3" t="s">
        <v>4950</v>
      </c>
      <c r="C11" s="3" t="s">
        <v>4949</v>
      </c>
      <c r="G11" s="9" t="s">
        <v>25</v>
      </c>
      <c r="H11" s="9"/>
      <c r="I11" s="9">
        <v>4</v>
      </c>
      <c r="J11" s="9">
        <v>8</v>
      </c>
      <c r="K11" s="9"/>
      <c r="L11" s="9" t="s">
        <v>12079</v>
      </c>
      <c r="M11" s="9"/>
      <c r="N11" s="10"/>
      <c r="O11" s="9"/>
      <c r="P11" s="9">
        <v>16</v>
      </c>
      <c r="Q11" s="9"/>
      <c r="R11" s="9" t="s">
        <v>12795</v>
      </c>
      <c r="S11" s="9" t="s">
        <v>12795</v>
      </c>
      <c r="T11" s="9"/>
      <c r="U11" s="9"/>
      <c r="V11" s="9"/>
      <c r="W11" s="9"/>
      <c r="X11" s="9"/>
      <c r="Y11" s="9"/>
      <c r="Z11" s="9"/>
      <c r="AA11" s="9"/>
      <c r="AB11" s="9"/>
      <c r="AC11" s="9"/>
      <c r="AD11" s="9" t="s">
        <v>20</v>
      </c>
    </row>
    <row r="12" spans="1:30" ht="43.5">
      <c r="A12" s="3" t="s">
        <v>332</v>
      </c>
      <c r="B12" s="3" t="s">
        <v>4970</v>
      </c>
      <c r="C12" s="3" t="s">
        <v>4971</v>
      </c>
      <c r="F12" t="s">
        <v>19</v>
      </c>
      <c r="G12" s="9" t="s">
        <v>25</v>
      </c>
      <c r="H12" s="9"/>
      <c r="I12" s="9">
        <v>1</v>
      </c>
      <c r="J12" s="9">
        <v>4</v>
      </c>
      <c r="K12" s="9" t="s">
        <v>12078</v>
      </c>
      <c r="L12" s="9" t="s">
        <v>12073</v>
      </c>
      <c r="M12" s="9" t="s">
        <v>12149</v>
      </c>
      <c r="N12" s="10" t="s">
        <v>12143</v>
      </c>
      <c r="O12" s="9"/>
      <c r="P12" s="9">
        <v>11843</v>
      </c>
      <c r="Q12" s="9"/>
      <c r="R12" s="9" t="s">
        <v>12795</v>
      </c>
      <c r="S12" s="9" t="s">
        <v>12795</v>
      </c>
      <c r="T12" s="9"/>
      <c r="U12" s="9"/>
      <c r="V12" s="9"/>
      <c r="W12" s="9"/>
      <c r="X12" s="9"/>
      <c r="Y12" s="9"/>
      <c r="Z12" s="9"/>
      <c r="AA12" s="9"/>
      <c r="AB12" s="9"/>
      <c r="AC12" s="9"/>
      <c r="AD12" s="9" t="s">
        <v>20</v>
      </c>
    </row>
    <row r="13" spans="1:30" ht="29">
      <c r="A13" s="3" t="s">
        <v>335</v>
      </c>
      <c r="B13" s="3" t="s">
        <v>4974</v>
      </c>
      <c r="C13" s="3" t="s">
        <v>4975</v>
      </c>
      <c r="G13" s="9" t="s">
        <v>25</v>
      </c>
      <c r="H13" s="9"/>
      <c r="I13" s="9">
        <v>1</v>
      </c>
      <c r="J13" s="9">
        <v>2</v>
      </c>
      <c r="K13" s="9" t="s">
        <v>12087</v>
      </c>
      <c r="L13" s="9" t="s">
        <v>12119</v>
      </c>
      <c r="M13" s="9"/>
      <c r="N13" s="10"/>
      <c r="O13" s="9"/>
      <c r="P13" s="9">
        <v>1966</v>
      </c>
      <c r="Q13" s="9"/>
      <c r="R13" s="9" t="s">
        <v>12795</v>
      </c>
      <c r="S13" s="9" t="s">
        <v>12795</v>
      </c>
      <c r="T13" s="9"/>
      <c r="U13" s="9"/>
      <c r="V13" s="9"/>
      <c r="W13" s="9"/>
      <c r="X13" s="9"/>
      <c r="Y13" s="9"/>
      <c r="Z13" s="9"/>
      <c r="AA13" s="9"/>
      <c r="AB13" s="9"/>
      <c r="AC13" s="9"/>
      <c r="AD13" s="9" t="s">
        <v>20</v>
      </c>
    </row>
    <row r="14" spans="1:30" ht="58">
      <c r="A14" s="3" t="s">
        <v>350</v>
      </c>
      <c r="B14" s="3" t="s">
        <v>4993</v>
      </c>
      <c r="C14" s="3" t="s">
        <v>4990</v>
      </c>
      <c r="G14" s="9" t="s">
        <v>25</v>
      </c>
      <c r="H14" s="9"/>
      <c r="I14" s="9">
        <v>1</v>
      </c>
      <c r="J14" s="9">
        <v>3</v>
      </c>
      <c r="K14" s="9" t="s">
        <v>12087</v>
      </c>
      <c r="L14" s="9" t="s">
        <v>12073</v>
      </c>
      <c r="M14" s="9" t="s">
        <v>12142</v>
      </c>
      <c r="N14" s="10" t="s">
        <v>12143</v>
      </c>
      <c r="O14" s="9"/>
      <c r="P14" s="9">
        <v>5676</v>
      </c>
      <c r="Q14" s="9"/>
      <c r="R14" s="9" t="s">
        <v>12795</v>
      </c>
      <c r="S14" s="9" t="s">
        <v>12795</v>
      </c>
      <c r="T14" s="9"/>
      <c r="U14" s="9"/>
      <c r="V14" s="9"/>
      <c r="W14" s="9"/>
      <c r="X14" s="9"/>
      <c r="Y14" s="9"/>
      <c r="Z14" s="9"/>
      <c r="AA14" s="9"/>
      <c r="AB14" s="9"/>
      <c r="AC14" s="9"/>
      <c r="AD14" s="9" t="s">
        <v>20</v>
      </c>
    </row>
    <row r="15" spans="1:30" ht="43.5">
      <c r="A15" s="3" t="s">
        <v>365</v>
      </c>
      <c r="B15" s="3" t="s">
        <v>5003</v>
      </c>
      <c r="C15" s="3" t="s">
        <v>5004</v>
      </c>
      <c r="G15" s="9" t="s">
        <v>25</v>
      </c>
      <c r="H15" s="9"/>
      <c r="I15" s="9">
        <v>1</v>
      </c>
      <c r="J15" s="9">
        <v>2</v>
      </c>
      <c r="K15" s="9" t="s">
        <v>12078</v>
      </c>
      <c r="L15" s="9" t="s">
        <v>12119</v>
      </c>
      <c r="M15" s="9"/>
      <c r="N15" s="10"/>
      <c r="O15" s="9"/>
      <c r="P15" s="9">
        <v>11843</v>
      </c>
      <c r="Q15" s="9"/>
      <c r="R15" s="9" t="s">
        <v>12795</v>
      </c>
      <c r="S15" s="9" t="s">
        <v>12795</v>
      </c>
      <c r="T15" s="9"/>
      <c r="U15" s="9"/>
      <c r="V15" s="9"/>
      <c r="W15" s="9"/>
      <c r="X15" s="9"/>
      <c r="Y15" s="9"/>
      <c r="Z15" s="9"/>
      <c r="AA15" s="9"/>
      <c r="AB15" s="9"/>
      <c r="AC15" s="9"/>
      <c r="AD15" s="9" t="s">
        <v>20</v>
      </c>
    </row>
    <row r="16" spans="1:30" ht="43.5">
      <c r="A16" s="3" t="s">
        <v>377</v>
      </c>
      <c r="B16" s="3" t="s">
        <v>5007</v>
      </c>
      <c r="C16" s="3" t="s">
        <v>5008</v>
      </c>
      <c r="G16" s="9" t="s">
        <v>24</v>
      </c>
      <c r="H16" s="9"/>
      <c r="I16" s="9">
        <v>1</v>
      </c>
      <c r="J16" s="9">
        <v>2</v>
      </c>
      <c r="K16" s="9" t="s">
        <v>12087</v>
      </c>
      <c r="L16" s="9" t="s">
        <v>12119</v>
      </c>
      <c r="M16" s="9"/>
      <c r="N16" s="10"/>
      <c r="O16" s="9"/>
      <c r="P16" s="9">
        <v>1966</v>
      </c>
      <c r="Q16" s="9"/>
      <c r="R16" s="9" t="s">
        <v>12795</v>
      </c>
      <c r="S16" s="9" t="s">
        <v>12795</v>
      </c>
      <c r="T16" s="9"/>
      <c r="U16" s="9"/>
      <c r="V16" s="9"/>
      <c r="W16" s="9"/>
      <c r="X16" s="9"/>
      <c r="Y16" s="9"/>
      <c r="Z16" s="9"/>
      <c r="AA16" s="9"/>
      <c r="AB16" s="9"/>
      <c r="AC16" s="9"/>
      <c r="AD16" s="9" t="s">
        <v>20</v>
      </c>
    </row>
    <row r="17" spans="1:30" ht="116">
      <c r="A17" s="3" t="s">
        <v>388</v>
      </c>
      <c r="B17" s="3" t="s">
        <v>5024</v>
      </c>
      <c r="C17" s="3" t="s">
        <v>5025</v>
      </c>
      <c r="G17" s="9" t="s">
        <v>25</v>
      </c>
      <c r="H17" s="9"/>
      <c r="I17" s="9">
        <v>6</v>
      </c>
      <c r="J17" s="9">
        <v>29</v>
      </c>
      <c r="K17" s="9"/>
      <c r="L17" s="9" t="s">
        <v>12073</v>
      </c>
      <c r="M17" s="9" t="s">
        <v>12154</v>
      </c>
      <c r="N17" s="10" t="s">
        <v>12155</v>
      </c>
      <c r="O17" s="9"/>
      <c r="P17" s="9">
        <v>4</v>
      </c>
      <c r="Q17" s="9"/>
      <c r="R17" s="9" t="s">
        <v>12795</v>
      </c>
      <c r="S17" s="9" t="s">
        <v>12795</v>
      </c>
      <c r="T17" s="9"/>
      <c r="U17" s="9"/>
      <c r="V17" s="9"/>
      <c r="W17" s="9"/>
      <c r="X17" s="9"/>
      <c r="Y17" s="9"/>
      <c r="Z17" s="9"/>
      <c r="AA17" s="9"/>
      <c r="AB17" s="9"/>
      <c r="AC17" s="9"/>
      <c r="AD17" s="9" t="s">
        <v>20</v>
      </c>
    </row>
    <row r="18" spans="1:30" ht="43.5">
      <c r="A18" s="3" t="s">
        <v>398</v>
      </c>
      <c r="B18" s="3" t="s">
        <v>5028</v>
      </c>
      <c r="C18" s="3" t="s">
        <v>5029</v>
      </c>
      <c r="F18" t="s">
        <v>19</v>
      </c>
      <c r="G18" s="9" t="s">
        <v>25</v>
      </c>
      <c r="H18" s="9"/>
      <c r="I18" s="9">
        <v>1</v>
      </c>
      <c r="J18" s="9">
        <v>4</v>
      </c>
      <c r="K18" s="9" t="s">
        <v>12078</v>
      </c>
      <c r="L18" s="9" t="s">
        <v>12079</v>
      </c>
      <c r="M18" s="9"/>
      <c r="N18" s="10"/>
      <c r="O18" s="9"/>
      <c r="P18" s="9">
        <v>11843</v>
      </c>
      <c r="Q18" s="9"/>
      <c r="R18" s="9" t="s">
        <v>12795</v>
      </c>
      <c r="S18" s="9" t="s">
        <v>12795</v>
      </c>
      <c r="T18" s="9"/>
      <c r="U18" s="9"/>
      <c r="V18" s="9"/>
      <c r="W18" s="9"/>
      <c r="X18" s="9"/>
      <c r="Y18" s="9"/>
      <c r="Z18" s="9"/>
      <c r="AA18" s="9"/>
      <c r="AB18" s="9"/>
      <c r="AC18" s="9"/>
      <c r="AD18" s="9" t="s">
        <v>20</v>
      </c>
    </row>
    <row r="19" spans="1:30" ht="43.5">
      <c r="A19" s="3" t="s">
        <v>400</v>
      </c>
      <c r="B19" s="3" t="s">
        <v>5032</v>
      </c>
      <c r="C19" s="3" t="s">
        <v>5033</v>
      </c>
      <c r="G19" s="9" t="s">
        <v>24</v>
      </c>
      <c r="H19" s="9"/>
      <c r="I19" s="9">
        <v>1</v>
      </c>
      <c r="J19" s="9">
        <v>2</v>
      </c>
      <c r="K19" s="9" t="s">
        <v>12078</v>
      </c>
      <c r="L19" s="9" t="s">
        <v>12119</v>
      </c>
      <c r="M19" s="9"/>
      <c r="N19" s="10"/>
      <c r="O19" s="9"/>
      <c r="P19" s="9">
        <v>11843</v>
      </c>
      <c r="Q19" s="9"/>
      <c r="R19" s="9" t="s">
        <v>12795</v>
      </c>
      <c r="S19" s="9" t="s">
        <v>12795</v>
      </c>
      <c r="T19" s="9"/>
      <c r="U19" s="9"/>
      <c r="V19" s="9"/>
      <c r="W19" s="9"/>
      <c r="X19" s="9"/>
      <c r="Y19" s="9"/>
      <c r="Z19" s="9"/>
      <c r="AA19" s="9"/>
      <c r="AB19" s="9"/>
      <c r="AC19" s="9"/>
      <c r="AD19" s="9" t="s">
        <v>20</v>
      </c>
    </row>
    <row r="20" spans="1:30" ht="58">
      <c r="A20" s="3" t="s">
        <v>414</v>
      </c>
      <c r="B20" s="3" t="s">
        <v>5054</v>
      </c>
      <c r="C20" s="3" t="s">
        <v>12159</v>
      </c>
      <c r="G20" s="9" t="s">
        <v>25</v>
      </c>
      <c r="H20" s="9"/>
      <c r="I20" s="9">
        <v>1</v>
      </c>
      <c r="J20" s="9">
        <v>4</v>
      </c>
      <c r="K20" s="9" t="s">
        <v>12078</v>
      </c>
      <c r="L20" s="9" t="s">
        <v>12073</v>
      </c>
      <c r="M20" s="9" t="s">
        <v>12149</v>
      </c>
      <c r="N20" s="10" t="s">
        <v>12160</v>
      </c>
      <c r="O20" s="9"/>
      <c r="P20" s="9">
        <v>11843</v>
      </c>
      <c r="Q20" s="9"/>
      <c r="R20" s="9" t="s">
        <v>12795</v>
      </c>
      <c r="S20" s="9" t="s">
        <v>12795</v>
      </c>
      <c r="T20" s="9"/>
      <c r="U20" s="9"/>
      <c r="V20" s="9"/>
      <c r="W20" s="9"/>
      <c r="X20" s="9"/>
      <c r="Y20" s="9"/>
      <c r="Z20" s="9"/>
      <c r="AA20" s="9"/>
      <c r="AB20" s="9"/>
      <c r="AC20" s="9"/>
      <c r="AD20" s="9" t="s">
        <v>20</v>
      </c>
    </row>
    <row r="21" spans="1:30" ht="72.5">
      <c r="A21" s="3" t="s">
        <v>435</v>
      </c>
      <c r="B21" s="3" t="s">
        <v>5075</v>
      </c>
      <c r="C21" s="3" t="s">
        <v>5074</v>
      </c>
      <c r="G21" s="9" t="s">
        <v>25</v>
      </c>
      <c r="H21" s="9"/>
      <c r="I21" s="9">
        <v>1</v>
      </c>
      <c r="J21" s="9">
        <v>3</v>
      </c>
      <c r="K21" s="9" t="s">
        <v>12094</v>
      </c>
      <c r="L21" s="9" t="s">
        <v>12079</v>
      </c>
      <c r="M21" s="9"/>
      <c r="N21" s="10"/>
      <c r="O21" s="9"/>
      <c r="P21" s="9">
        <v>301</v>
      </c>
      <c r="Q21" s="9"/>
      <c r="R21" s="9" t="s">
        <v>12795</v>
      </c>
      <c r="S21" s="9" t="s">
        <v>12795</v>
      </c>
      <c r="T21" s="9"/>
      <c r="U21" s="9"/>
      <c r="V21" s="9"/>
      <c r="W21" s="9"/>
      <c r="X21" s="9"/>
      <c r="Y21" s="9"/>
      <c r="Z21" s="9"/>
      <c r="AA21" s="9"/>
      <c r="AB21" s="9"/>
      <c r="AC21" s="9"/>
      <c r="AD21" s="9" t="s">
        <v>20</v>
      </c>
    </row>
    <row r="22" spans="1:30" ht="58">
      <c r="A22" s="3" t="s">
        <v>441</v>
      </c>
      <c r="B22" s="3" t="s">
        <v>12164</v>
      </c>
      <c r="C22" s="3" t="s">
        <v>12165</v>
      </c>
      <c r="G22" s="9" t="s">
        <v>25</v>
      </c>
      <c r="H22" s="9"/>
      <c r="I22" s="9">
        <v>1</v>
      </c>
      <c r="J22" s="9">
        <v>3</v>
      </c>
      <c r="K22" s="9" t="s">
        <v>12078</v>
      </c>
      <c r="L22" s="9" t="s">
        <v>12079</v>
      </c>
      <c r="M22" s="9"/>
      <c r="N22" s="10"/>
      <c r="O22" s="9"/>
      <c r="P22" s="9">
        <v>11843</v>
      </c>
      <c r="Q22" s="9"/>
      <c r="R22" s="9" t="s">
        <v>12795</v>
      </c>
      <c r="S22" s="9" t="s">
        <v>12795</v>
      </c>
      <c r="T22" s="9"/>
      <c r="U22" s="9"/>
      <c r="V22" s="9"/>
      <c r="W22" s="9"/>
      <c r="X22" s="9"/>
      <c r="Y22" s="9"/>
      <c r="Z22" s="9"/>
      <c r="AA22" s="9"/>
      <c r="AB22" s="9"/>
      <c r="AC22" s="9"/>
      <c r="AD22" s="9" t="s">
        <v>20</v>
      </c>
    </row>
    <row r="23" spans="1:30" ht="43.5">
      <c r="A23" s="3" t="s">
        <v>448</v>
      </c>
      <c r="B23" s="3" t="s">
        <v>5084</v>
      </c>
      <c r="C23" s="3" t="s">
        <v>5085</v>
      </c>
      <c r="G23" s="9" t="s">
        <v>24</v>
      </c>
      <c r="H23" s="9"/>
      <c r="I23" s="9">
        <v>1</v>
      </c>
      <c r="J23" s="9">
        <v>3</v>
      </c>
      <c r="K23" s="9" t="s">
        <v>12123</v>
      </c>
      <c r="L23" s="9" t="s">
        <v>12079</v>
      </c>
      <c r="M23" s="9"/>
      <c r="N23" s="10"/>
      <c r="O23" s="9"/>
      <c r="P23" s="9">
        <v>92</v>
      </c>
      <c r="Q23" s="9"/>
      <c r="R23" s="9" t="s">
        <v>12795</v>
      </c>
      <c r="S23" s="9" t="s">
        <v>12795</v>
      </c>
      <c r="T23" s="9"/>
      <c r="U23" s="9"/>
      <c r="V23" s="9"/>
      <c r="W23" s="9"/>
      <c r="X23" s="9"/>
      <c r="Y23" s="9"/>
      <c r="Z23" s="9"/>
      <c r="AA23" s="9"/>
      <c r="AB23" s="9"/>
      <c r="AC23" s="9"/>
      <c r="AD23" s="9" t="s">
        <v>20</v>
      </c>
    </row>
    <row r="24" spans="1:30" ht="43.5">
      <c r="A24" s="3" t="s">
        <v>451</v>
      </c>
      <c r="B24" s="3" t="s">
        <v>5088</v>
      </c>
      <c r="C24" s="3" t="s">
        <v>5089</v>
      </c>
      <c r="G24" s="9" t="s">
        <v>24</v>
      </c>
      <c r="H24" s="9"/>
      <c r="I24" s="9">
        <v>1</v>
      </c>
      <c r="J24" s="9">
        <v>1</v>
      </c>
      <c r="K24" s="9" t="s">
        <v>12078</v>
      </c>
      <c r="L24" s="9" t="s">
        <v>12119</v>
      </c>
      <c r="M24" s="9"/>
      <c r="N24" s="10"/>
      <c r="O24" s="9"/>
      <c r="P24" s="9">
        <v>11843</v>
      </c>
      <c r="Q24" s="9"/>
      <c r="R24" s="9" t="s">
        <v>12795</v>
      </c>
      <c r="S24" s="9" t="s">
        <v>12795</v>
      </c>
      <c r="T24" s="9"/>
      <c r="U24" s="9"/>
      <c r="V24" s="9"/>
      <c r="W24" s="9"/>
      <c r="X24" s="9"/>
      <c r="Y24" s="9"/>
      <c r="Z24" s="9"/>
      <c r="AA24" s="9"/>
      <c r="AB24" s="9"/>
      <c r="AC24" s="9"/>
      <c r="AD24" s="9" t="s">
        <v>20</v>
      </c>
    </row>
    <row r="25" spans="1:30" ht="29">
      <c r="A25" s="3" t="s">
        <v>485</v>
      </c>
      <c r="B25" s="3" t="s">
        <v>5110</v>
      </c>
      <c r="C25" s="3" t="s">
        <v>5111</v>
      </c>
      <c r="G25" s="9" t="s">
        <v>25</v>
      </c>
      <c r="H25" s="9"/>
      <c r="I25" s="9">
        <v>1</v>
      </c>
      <c r="J25" s="9">
        <v>3</v>
      </c>
      <c r="K25" s="9" t="s">
        <v>12078</v>
      </c>
      <c r="L25" s="9" t="s">
        <v>12079</v>
      </c>
      <c r="M25" s="9"/>
      <c r="N25" s="10"/>
      <c r="O25" s="9"/>
      <c r="P25" s="9">
        <v>11843</v>
      </c>
      <c r="Q25" s="9"/>
      <c r="R25" s="9" t="s">
        <v>12795</v>
      </c>
      <c r="S25" s="9" t="s">
        <v>12795</v>
      </c>
      <c r="T25" s="9"/>
      <c r="U25" s="9"/>
      <c r="V25" s="9"/>
      <c r="W25" s="9"/>
      <c r="X25" s="9"/>
      <c r="Y25" s="9"/>
      <c r="Z25" s="9"/>
      <c r="AA25" s="9"/>
      <c r="AB25" s="9"/>
      <c r="AC25" s="9"/>
      <c r="AD25" s="9" t="s">
        <v>20</v>
      </c>
    </row>
    <row r="26" spans="1:30" ht="29">
      <c r="A26" s="3" t="s">
        <v>486</v>
      </c>
      <c r="B26" s="3" t="s">
        <v>5114</v>
      </c>
      <c r="C26" s="3" t="s">
        <v>12167</v>
      </c>
      <c r="G26" s="9" t="s">
        <v>24</v>
      </c>
      <c r="H26" s="9"/>
      <c r="I26" s="9">
        <v>1</v>
      </c>
      <c r="J26" s="9">
        <v>3</v>
      </c>
      <c r="K26" s="9" t="s">
        <v>12078</v>
      </c>
      <c r="L26" s="9" t="s">
        <v>12079</v>
      </c>
      <c r="M26" s="9"/>
      <c r="N26" s="10"/>
      <c r="O26" s="9"/>
      <c r="P26" s="9">
        <v>11843</v>
      </c>
      <c r="Q26" s="9"/>
      <c r="R26" s="9" t="s">
        <v>12795</v>
      </c>
      <c r="S26" s="9" t="s">
        <v>12795</v>
      </c>
      <c r="T26" s="9"/>
      <c r="U26" s="9"/>
      <c r="V26" s="9"/>
      <c r="W26" s="9"/>
      <c r="X26" s="9"/>
      <c r="Y26" s="9"/>
      <c r="Z26" s="9"/>
      <c r="AA26" s="9"/>
      <c r="AB26" s="9"/>
      <c r="AC26" s="9"/>
      <c r="AD26" s="9" t="s">
        <v>20</v>
      </c>
    </row>
    <row r="27" spans="1:30" ht="29">
      <c r="A27" s="3" t="s">
        <v>492</v>
      </c>
      <c r="B27" s="3" t="s">
        <v>5119</v>
      </c>
      <c r="C27" s="3" t="s">
        <v>5120</v>
      </c>
      <c r="G27" s="9" t="s">
        <v>25</v>
      </c>
      <c r="H27" s="9"/>
      <c r="I27" s="9">
        <v>1</v>
      </c>
      <c r="J27" s="9">
        <v>2</v>
      </c>
      <c r="K27" s="9" t="s">
        <v>12092</v>
      </c>
      <c r="L27" s="9" t="s">
        <v>12119</v>
      </c>
      <c r="M27" s="9"/>
      <c r="N27" s="10"/>
      <c r="O27" s="9"/>
      <c r="P27" s="9">
        <v>472</v>
      </c>
      <c r="Q27" s="9"/>
      <c r="R27" s="9" t="s">
        <v>12795</v>
      </c>
      <c r="S27" s="9" t="s">
        <v>12795</v>
      </c>
      <c r="T27" s="9"/>
      <c r="U27" s="9"/>
      <c r="V27" s="9"/>
      <c r="W27" s="9"/>
      <c r="X27" s="9"/>
      <c r="Y27" s="9"/>
      <c r="Z27" s="9"/>
      <c r="AA27" s="9"/>
      <c r="AB27" s="9"/>
      <c r="AC27" s="9"/>
      <c r="AD27" s="9" t="s">
        <v>20</v>
      </c>
    </row>
    <row r="28" spans="1:30" ht="29">
      <c r="A28" s="3" t="s">
        <v>510</v>
      </c>
      <c r="B28" s="3" t="s">
        <v>5147</v>
      </c>
      <c r="C28" s="3" t="s">
        <v>5148</v>
      </c>
      <c r="F28" t="s">
        <v>19</v>
      </c>
      <c r="G28" s="9" t="s">
        <v>24</v>
      </c>
      <c r="H28" s="9"/>
      <c r="I28" s="9">
        <v>1</v>
      </c>
      <c r="J28" s="9">
        <v>3</v>
      </c>
      <c r="K28" s="9" t="s">
        <v>12078</v>
      </c>
      <c r="L28" s="9" t="s">
        <v>12079</v>
      </c>
      <c r="M28" s="9"/>
      <c r="N28" s="10"/>
      <c r="O28" s="9"/>
      <c r="P28" s="9">
        <v>11843</v>
      </c>
      <c r="Q28" s="9"/>
      <c r="R28" s="9" t="s">
        <v>12795</v>
      </c>
      <c r="S28" s="9" t="s">
        <v>12795</v>
      </c>
      <c r="T28" s="9"/>
      <c r="U28" s="9"/>
      <c r="V28" s="9"/>
      <c r="W28" s="9"/>
      <c r="X28" s="9"/>
      <c r="Y28" s="9"/>
      <c r="Z28" s="9"/>
      <c r="AA28" s="9"/>
      <c r="AB28" s="9"/>
      <c r="AC28" s="9"/>
      <c r="AD28" s="9" t="s">
        <v>20</v>
      </c>
    </row>
    <row r="29" spans="1:30" ht="29">
      <c r="A29" s="3" t="s">
        <v>547</v>
      </c>
      <c r="B29" s="3" t="s">
        <v>5177</v>
      </c>
      <c r="C29" s="3" t="s">
        <v>5178</v>
      </c>
      <c r="G29" s="9" t="s">
        <v>25</v>
      </c>
      <c r="H29" s="9"/>
      <c r="I29" s="9">
        <v>1</v>
      </c>
      <c r="J29" s="9">
        <v>2</v>
      </c>
      <c r="K29" s="9" t="s">
        <v>12123</v>
      </c>
      <c r="L29" s="9" t="s">
        <v>12119</v>
      </c>
      <c r="M29" s="9"/>
      <c r="N29" s="10"/>
      <c r="O29" s="9"/>
      <c r="P29" s="9">
        <v>887</v>
      </c>
      <c r="Q29" s="9"/>
      <c r="R29" s="9" t="s">
        <v>12795</v>
      </c>
      <c r="S29" s="9" t="s">
        <v>12795</v>
      </c>
      <c r="T29" s="9"/>
      <c r="U29" s="9"/>
      <c r="V29" s="9"/>
      <c r="W29" s="9"/>
      <c r="X29" s="9"/>
      <c r="Y29" s="9"/>
      <c r="Z29" s="9"/>
      <c r="AA29" s="9"/>
      <c r="AB29" s="9"/>
      <c r="AC29" s="9"/>
      <c r="AD29" s="9" t="s">
        <v>20</v>
      </c>
    </row>
    <row r="30" spans="1:30" ht="87">
      <c r="A30" s="3" t="s">
        <v>633</v>
      </c>
      <c r="B30" s="3" t="s">
        <v>5228</v>
      </c>
      <c r="C30" s="3" t="s">
        <v>5226</v>
      </c>
      <c r="G30" s="9" t="s">
        <v>25</v>
      </c>
      <c r="H30" s="9"/>
      <c r="I30" s="9">
        <v>1</v>
      </c>
      <c r="J30" s="9">
        <v>7</v>
      </c>
      <c r="K30" s="9" t="s">
        <v>12092</v>
      </c>
      <c r="L30" s="9" t="s">
        <v>12079</v>
      </c>
      <c r="M30" s="9"/>
      <c r="N30" s="10"/>
      <c r="O30" s="9"/>
      <c r="P30" s="9">
        <v>131</v>
      </c>
      <c r="Q30" s="9"/>
      <c r="R30" s="9" t="s">
        <v>12795</v>
      </c>
      <c r="S30" s="9" t="s">
        <v>12795</v>
      </c>
      <c r="T30" s="9"/>
      <c r="U30" s="9"/>
      <c r="V30" s="9"/>
      <c r="W30" s="9"/>
      <c r="X30" s="9"/>
      <c r="Y30" s="9"/>
      <c r="Z30" s="9"/>
      <c r="AA30" s="9"/>
      <c r="AB30" s="9"/>
      <c r="AC30" s="9"/>
      <c r="AD30" s="9" t="s">
        <v>20</v>
      </c>
    </row>
    <row r="31" spans="1:30" ht="58">
      <c r="A31" s="3" t="s">
        <v>635</v>
      </c>
      <c r="B31" s="3" t="s">
        <v>5229</v>
      </c>
      <c r="C31" s="3" t="s">
        <v>5230</v>
      </c>
      <c r="G31" s="9" t="s">
        <v>25</v>
      </c>
      <c r="H31" s="9"/>
      <c r="I31" s="9">
        <v>1</v>
      </c>
      <c r="J31" s="9">
        <v>3</v>
      </c>
      <c r="K31" s="9" t="s">
        <v>12087</v>
      </c>
      <c r="L31" s="9" t="s">
        <v>12079</v>
      </c>
      <c r="M31" s="9"/>
      <c r="N31" s="10"/>
      <c r="O31" s="9"/>
      <c r="P31" s="9">
        <v>5676</v>
      </c>
      <c r="Q31" s="9"/>
      <c r="R31" s="9" t="s">
        <v>12795</v>
      </c>
      <c r="S31" s="9" t="s">
        <v>12795</v>
      </c>
      <c r="T31" s="9"/>
      <c r="U31" s="9"/>
      <c r="V31" s="9"/>
      <c r="W31" s="9"/>
      <c r="X31" s="9"/>
      <c r="Y31" s="9"/>
      <c r="Z31" s="9"/>
      <c r="AA31" s="9"/>
      <c r="AB31" s="9"/>
      <c r="AC31" s="9"/>
      <c r="AD31" s="9" t="s">
        <v>20</v>
      </c>
    </row>
    <row r="32" spans="1:30" ht="29">
      <c r="A32" s="3" t="s">
        <v>651</v>
      </c>
      <c r="B32" s="3" t="s">
        <v>5241</v>
      </c>
      <c r="C32" s="3" t="s">
        <v>5242</v>
      </c>
      <c r="G32" s="9" t="s">
        <v>25</v>
      </c>
      <c r="H32" s="9"/>
      <c r="I32" s="9">
        <v>1</v>
      </c>
      <c r="J32" s="9">
        <v>2</v>
      </c>
      <c r="K32" s="9" t="s">
        <v>12078</v>
      </c>
      <c r="L32" s="9" t="s">
        <v>12119</v>
      </c>
      <c r="M32" s="9"/>
      <c r="N32" s="10"/>
      <c r="O32" s="9"/>
      <c r="P32" s="9">
        <v>11843</v>
      </c>
      <c r="Q32" s="9"/>
      <c r="R32" s="9" t="s">
        <v>12795</v>
      </c>
      <c r="S32" s="9" t="s">
        <v>12795</v>
      </c>
      <c r="T32" s="9"/>
      <c r="U32" s="9"/>
      <c r="V32" s="9"/>
      <c r="W32" s="9"/>
      <c r="X32" s="9"/>
      <c r="Y32" s="9"/>
      <c r="Z32" s="9"/>
      <c r="AA32" s="9"/>
      <c r="AB32" s="9"/>
      <c r="AC32" s="9"/>
      <c r="AD32" s="9" t="s">
        <v>20</v>
      </c>
    </row>
    <row r="33" spans="1:30" ht="58">
      <c r="A33" s="3" t="s">
        <v>673</v>
      </c>
      <c r="B33" s="3" t="s">
        <v>5261</v>
      </c>
      <c r="C33" s="3" t="s">
        <v>5258</v>
      </c>
      <c r="G33" s="9" t="s">
        <v>25</v>
      </c>
      <c r="H33" s="9"/>
      <c r="I33" s="9">
        <v>2</v>
      </c>
      <c r="J33" s="9">
        <v>11</v>
      </c>
      <c r="K33" s="9"/>
      <c r="L33" s="9" t="s">
        <v>12073</v>
      </c>
      <c r="M33" s="9" t="s">
        <v>12140</v>
      </c>
      <c r="N33" s="10" t="s">
        <v>12136</v>
      </c>
      <c r="O33" s="9"/>
      <c r="P33" s="9">
        <v>371</v>
      </c>
      <c r="Q33" s="9"/>
      <c r="R33" s="9" t="s">
        <v>12795</v>
      </c>
      <c r="S33" s="9" t="s">
        <v>12795</v>
      </c>
      <c r="T33" s="9" t="s">
        <v>12117</v>
      </c>
      <c r="U33" s="9"/>
      <c r="V33" s="9"/>
      <c r="W33" s="9"/>
      <c r="X33" s="9"/>
      <c r="Y33" s="9"/>
      <c r="Z33" s="9"/>
      <c r="AA33" s="9"/>
      <c r="AB33" s="9"/>
      <c r="AC33" s="9"/>
      <c r="AD33" s="9" t="s">
        <v>20</v>
      </c>
    </row>
    <row r="34" spans="1:30" ht="72.5">
      <c r="A34" s="3" t="s">
        <v>673</v>
      </c>
      <c r="B34" s="3" t="s">
        <v>5262</v>
      </c>
      <c r="C34" s="3" t="s">
        <v>5263</v>
      </c>
      <c r="G34" s="9" t="s">
        <v>25</v>
      </c>
      <c r="H34" s="9"/>
      <c r="I34" s="9">
        <v>1</v>
      </c>
      <c r="J34" s="9">
        <v>3</v>
      </c>
      <c r="K34" s="9" t="s">
        <v>12078</v>
      </c>
      <c r="L34" s="9" t="s">
        <v>12079</v>
      </c>
      <c r="M34" s="9"/>
      <c r="N34" s="10"/>
      <c r="O34" s="9"/>
      <c r="P34" s="9">
        <v>11843</v>
      </c>
      <c r="Q34" s="9"/>
      <c r="R34" s="9" t="s">
        <v>12795</v>
      </c>
      <c r="S34" s="9" t="s">
        <v>12795</v>
      </c>
      <c r="T34" s="9" t="s">
        <v>12117</v>
      </c>
      <c r="U34" s="9"/>
      <c r="V34" s="9"/>
      <c r="W34" s="9"/>
      <c r="X34" s="9"/>
      <c r="Y34" s="9"/>
      <c r="Z34" s="9"/>
      <c r="AA34" s="9"/>
      <c r="AB34" s="9"/>
      <c r="AC34" s="9"/>
      <c r="AD34" s="9" t="s">
        <v>20</v>
      </c>
    </row>
    <row r="35" spans="1:30" ht="72.5">
      <c r="A35" s="3" t="s">
        <v>676</v>
      </c>
      <c r="B35" s="3" t="s">
        <v>5264</v>
      </c>
      <c r="C35" s="3" t="s">
        <v>5265</v>
      </c>
      <c r="G35" s="9" t="s">
        <v>25</v>
      </c>
      <c r="H35" s="9"/>
      <c r="I35" s="9">
        <v>2</v>
      </c>
      <c r="J35" s="9">
        <v>11</v>
      </c>
      <c r="K35" s="9"/>
      <c r="L35" s="9" t="s">
        <v>12073</v>
      </c>
      <c r="M35" s="9" t="s">
        <v>12178</v>
      </c>
      <c r="N35" s="10" t="s">
        <v>12138</v>
      </c>
      <c r="O35" s="9"/>
      <c r="P35" s="9">
        <v>47</v>
      </c>
      <c r="Q35" s="9"/>
      <c r="R35" s="9" t="s">
        <v>12795</v>
      </c>
      <c r="S35" s="9" t="s">
        <v>12795</v>
      </c>
      <c r="T35" s="9"/>
      <c r="U35" s="9"/>
      <c r="V35" s="9"/>
      <c r="W35" s="9"/>
      <c r="X35" s="9"/>
      <c r="Y35" s="9"/>
      <c r="Z35" s="9"/>
      <c r="AA35" s="9"/>
      <c r="AB35" s="9"/>
      <c r="AC35" s="9"/>
      <c r="AD35" s="9" t="s">
        <v>20</v>
      </c>
    </row>
    <row r="36" spans="1:30" ht="58">
      <c r="A36" s="3" t="s">
        <v>693</v>
      </c>
      <c r="B36" s="3" t="s">
        <v>5271</v>
      </c>
      <c r="C36" s="3" t="s">
        <v>5270</v>
      </c>
      <c r="G36" s="9" t="s">
        <v>25</v>
      </c>
      <c r="H36" s="9"/>
      <c r="I36" s="9">
        <v>1</v>
      </c>
      <c r="J36" s="9">
        <v>3</v>
      </c>
      <c r="K36" s="9" t="s">
        <v>12078</v>
      </c>
      <c r="L36" s="9" t="s">
        <v>12079</v>
      </c>
      <c r="M36" s="9"/>
      <c r="N36" s="10"/>
      <c r="O36" s="9"/>
      <c r="P36" s="9">
        <v>11843</v>
      </c>
      <c r="Q36" s="9"/>
      <c r="R36" s="9" t="s">
        <v>12795</v>
      </c>
      <c r="S36" s="9" t="s">
        <v>12795</v>
      </c>
      <c r="T36" s="9"/>
      <c r="U36" s="9"/>
      <c r="V36" s="9"/>
      <c r="W36" s="9"/>
      <c r="X36" s="9"/>
      <c r="Y36" s="9"/>
      <c r="Z36" s="9"/>
      <c r="AA36" s="9"/>
      <c r="AB36" s="9"/>
      <c r="AC36" s="9"/>
      <c r="AD36" s="9" t="s">
        <v>20</v>
      </c>
    </row>
    <row r="37" spans="1:30" ht="72.5">
      <c r="A37" s="3" t="s">
        <v>741</v>
      </c>
      <c r="B37" s="3" t="s">
        <v>5307</v>
      </c>
      <c r="C37" s="3" t="s">
        <v>5308</v>
      </c>
      <c r="F37" t="s">
        <v>19</v>
      </c>
      <c r="G37" s="9" t="s">
        <v>24</v>
      </c>
      <c r="H37" s="9"/>
      <c r="I37" s="9">
        <v>1</v>
      </c>
      <c r="J37" s="9">
        <v>6</v>
      </c>
      <c r="K37" s="9" t="s">
        <v>12092</v>
      </c>
      <c r="L37" s="9" t="s">
        <v>12079</v>
      </c>
      <c r="M37" s="9"/>
      <c r="N37" s="10"/>
      <c r="O37" s="9"/>
      <c r="P37" s="9">
        <v>152</v>
      </c>
      <c r="Q37" s="9"/>
      <c r="R37" s="9"/>
      <c r="S37" s="9"/>
      <c r="T37" s="9"/>
      <c r="U37" s="9"/>
      <c r="V37" s="9"/>
      <c r="W37" s="9"/>
      <c r="X37" s="9"/>
      <c r="Y37" s="9"/>
      <c r="Z37" s="9"/>
      <c r="AA37" s="9"/>
      <c r="AB37" s="9"/>
      <c r="AC37" s="9"/>
      <c r="AD37" s="9" t="s">
        <v>20</v>
      </c>
    </row>
    <row r="38" spans="1:30" ht="58">
      <c r="A38" s="3" t="s">
        <v>746</v>
      </c>
      <c r="B38" s="3" t="s">
        <v>5316</v>
      </c>
      <c r="C38" s="3" t="s">
        <v>5315</v>
      </c>
      <c r="G38" s="9" t="s">
        <v>25</v>
      </c>
      <c r="H38" s="9"/>
      <c r="I38" s="9">
        <v>1</v>
      </c>
      <c r="J38" s="9">
        <v>5</v>
      </c>
      <c r="K38" s="9" t="s">
        <v>12094</v>
      </c>
      <c r="L38" s="9" t="s">
        <v>12079</v>
      </c>
      <c r="M38" s="9"/>
      <c r="N38" s="10"/>
      <c r="O38" s="9"/>
      <c r="P38" s="9">
        <v>930</v>
      </c>
      <c r="Q38" s="9"/>
      <c r="R38" s="9" t="s">
        <v>12795</v>
      </c>
      <c r="S38" s="9" t="s">
        <v>12795</v>
      </c>
      <c r="T38" s="9"/>
      <c r="U38" s="9"/>
      <c r="V38" s="9"/>
      <c r="W38" s="9"/>
      <c r="X38" s="9"/>
      <c r="Y38" s="9"/>
      <c r="Z38" s="9"/>
      <c r="AA38" s="9"/>
      <c r="AB38" s="9"/>
      <c r="AC38" s="9"/>
      <c r="AD38" s="9" t="s">
        <v>20</v>
      </c>
    </row>
    <row r="39" spans="1:30" ht="116">
      <c r="A39" s="3" t="s">
        <v>749</v>
      </c>
      <c r="B39" s="3" t="s">
        <v>5319</v>
      </c>
      <c r="C39" s="3" t="s">
        <v>12186</v>
      </c>
      <c r="G39" s="9" t="s">
        <v>24</v>
      </c>
      <c r="H39" s="9"/>
      <c r="I39" s="9">
        <v>2</v>
      </c>
      <c r="J39" s="9">
        <v>12</v>
      </c>
      <c r="K39" s="9"/>
      <c r="L39" s="9" t="s">
        <v>12073</v>
      </c>
      <c r="M39" s="9" t="s">
        <v>12142</v>
      </c>
      <c r="N39" s="10" t="s">
        <v>12187</v>
      </c>
      <c r="O39" s="9" t="s">
        <v>12074</v>
      </c>
      <c r="P39" s="9">
        <v>261</v>
      </c>
      <c r="Q39" s="9"/>
      <c r="R39" s="9" t="s">
        <v>12795</v>
      </c>
      <c r="S39" s="9" t="s">
        <v>12795</v>
      </c>
      <c r="T39" s="9"/>
      <c r="U39" s="9"/>
      <c r="V39" s="9"/>
      <c r="W39" s="9"/>
      <c r="X39" s="9"/>
      <c r="Y39" s="9"/>
      <c r="Z39" s="9"/>
      <c r="AA39" s="9"/>
      <c r="AB39" s="9"/>
      <c r="AC39" s="9"/>
      <c r="AD39" s="9" t="s">
        <v>20</v>
      </c>
    </row>
    <row r="40" spans="1:30" ht="29">
      <c r="A40" s="3" t="s">
        <v>774</v>
      </c>
      <c r="B40" s="3" t="s">
        <v>5355</v>
      </c>
      <c r="C40" s="3" t="s">
        <v>5356</v>
      </c>
      <c r="F40" t="s">
        <v>19</v>
      </c>
      <c r="G40" s="9" t="s">
        <v>25</v>
      </c>
      <c r="H40" s="9"/>
      <c r="I40" s="9">
        <v>1</v>
      </c>
      <c r="J40" s="9">
        <v>2</v>
      </c>
      <c r="K40" s="9" t="s">
        <v>12123</v>
      </c>
      <c r="L40" s="9" t="s">
        <v>12119</v>
      </c>
      <c r="M40" s="9"/>
      <c r="N40" s="10"/>
      <c r="O40" s="9"/>
      <c r="P40" s="9">
        <v>526</v>
      </c>
      <c r="Q40" s="9"/>
      <c r="R40" s="9" t="s">
        <v>12795</v>
      </c>
      <c r="S40" s="9" t="s">
        <v>12795</v>
      </c>
      <c r="T40" s="9"/>
      <c r="U40" s="9"/>
      <c r="V40" s="9"/>
      <c r="W40" s="9"/>
      <c r="X40" s="9"/>
      <c r="Y40" s="9"/>
      <c r="Z40" s="9"/>
      <c r="AA40" s="9"/>
      <c r="AB40" s="9"/>
      <c r="AC40" s="9"/>
      <c r="AD40" s="9" t="s">
        <v>20</v>
      </c>
    </row>
    <row r="41" spans="1:30" ht="43.5">
      <c r="A41" s="3" t="s">
        <v>787</v>
      </c>
      <c r="B41" s="3" t="s">
        <v>5361</v>
      </c>
      <c r="C41" s="3" t="s">
        <v>5362</v>
      </c>
      <c r="G41" s="9" t="s">
        <v>25</v>
      </c>
      <c r="H41" s="9"/>
      <c r="I41" s="9">
        <v>1</v>
      </c>
      <c r="J41" s="9">
        <v>6</v>
      </c>
      <c r="K41" s="9" t="s">
        <v>12084</v>
      </c>
      <c r="L41" s="9" t="s">
        <v>12079</v>
      </c>
      <c r="M41" s="9"/>
      <c r="N41" s="10"/>
      <c r="O41" s="9"/>
      <c r="P41" s="9">
        <v>0</v>
      </c>
      <c r="Q41" s="9"/>
      <c r="R41" s="9" t="s">
        <v>12795</v>
      </c>
      <c r="S41" s="9" t="s">
        <v>12795</v>
      </c>
      <c r="T41" s="9"/>
      <c r="U41" s="9"/>
      <c r="V41" s="9"/>
      <c r="W41" s="9"/>
      <c r="X41" s="9"/>
      <c r="Y41" s="9"/>
      <c r="Z41" s="9"/>
      <c r="AA41" s="9"/>
      <c r="AB41" s="9"/>
      <c r="AC41" s="9"/>
      <c r="AD41" s="9" t="s">
        <v>20</v>
      </c>
    </row>
    <row r="42" spans="1:30" ht="58">
      <c r="A42" s="3" t="s">
        <v>798</v>
      </c>
      <c r="B42" s="3" t="s">
        <v>12986</v>
      </c>
      <c r="C42" s="3" t="s">
        <v>12983</v>
      </c>
      <c r="G42" s="9" t="s">
        <v>25</v>
      </c>
      <c r="H42" s="9"/>
      <c r="I42" s="9">
        <v>1</v>
      </c>
      <c r="J42" s="9">
        <v>5</v>
      </c>
      <c r="K42" s="9" t="s">
        <v>12094</v>
      </c>
      <c r="L42" s="9" t="s">
        <v>12073</v>
      </c>
      <c r="M42" s="9" t="s">
        <v>12142</v>
      </c>
      <c r="N42" s="10" t="s">
        <v>12160</v>
      </c>
      <c r="O42" s="9"/>
      <c r="P42" s="9">
        <v>4240</v>
      </c>
      <c r="Q42" s="9"/>
      <c r="R42" s="9" t="s">
        <v>12795</v>
      </c>
      <c r="S42" s="9" t="s">
        <v>12795</v>
      </c>
      <c r="T42" s="9"/>
      <c r="U42" s="9"/>
      <c r="V42" s="9"/>
      <c r="W42" s="9"/>
      <c r="X42" s="9"/>
      <c r="Y42" s="9"/>
      <c r="Z42" s="9"/>
      <c r="AA42" s="9"/>
      <c r="AB42" s="9"/>
      <c r="AC42" s="9"/>
      <c r="AD42" s="9" t="s">
        <v>20</v>
      </c>
    </row>
    <row r="43" spans="1:30" ht="29">
      <c r="A43" s="3" t="s">
        <v>817</v>
      </c>
      <c r="B43" s="3" t="s">
        <v>5381</v>
      </c>
      <c r="C43" s="3" t="s">
        <v>5382</v>
      </c>
      <c r="G43" s="9" t="s">
        <v>25</v>
      </c>
      <c r="H43" s="9"/>
      <c r="I43" s="9">
        <v>1</v>
      </c>
      <c r="J43" s="9">
        <v>2</v>
      </c>
      <c r="K43" s="9" t="s">
        <v>12087</v>
      </c>
      <c r="L43" s="9" t="s">
        <v>12119</v>
      </c>
      <c r="M43" s="9"/>
      <c r="N43" s="10"/>
      <c r="O43" s="9"/>
      <c r="P43" s="9">
        <v>1966</v>
      </c>
      <c r="Q43" s="9"/>
      <c r="R43" s="9" t="s">
        <v>12795</v>
      </c>
      <c r="S43" s="9" t="s">
        <v>12795</v>
      </c>
      <c r="T43" s="9"/>
      <c r="U43" s="9"/>
      <c r="V43" s="9"/>
      <c r="W43" s="9"/>
      <c r="X43" s="9"/>
      <c r="Y43" s="9"/>
      <c r="Z43" s="9"/>
      <c r="AA43" s="9"/>
      <c r="AB43" s="9"/>
      <c r="AC43" s="9"/>
      <c r="AD43" s="9" t="s">
        <v>13141</v>
      </c>
    </row>
    <row r="44" spans="1:30" ht="58">
      <c r="A44" s="3" t="s">
        <v>834</v>
      </c>
      <c r="B44" s="3" t="s">
        <v>5402</v>
      </c>
      <c r="C44" s="3" t="s">
        <v>5401</v>
      </c>
      <c r="G44" s="9" t="s">
        <v>24</v>
      </c>
      <c r="H44" s="9"/>
      <c r="I44" s="9">
        <v>1</v>
      </c>
      <c r="J44" s="9">
        <v>2</v>
      </c>
      <c r="K44" s="9" t="s">
        <v>12123</v>
      </c>
      <c r="L44" s="9" t="s">
        <v>12119</v>
      </c>
      <c r="M44" s="9"/>
      <c r="N44" s="10"/>
      <c r="O44" s="9"/>
      <c r="P44" s="9">
        <v>526</v>
      </c>
      <c r="Q44" s="9"/>
      <c r="R44" s="9" t="s">
        <v>12795</v>
      </c>
      <c r="S44" s="9" t="s">
        <v>12795</v>
      </c>
      <c r="T44" s="9"/>
      <c r="U44" s="9"/>
      <c r="V44" s="9"/>
      <c r="W44" s="9"/>
      <c r="X44" s="9"/>
      <c r="Y44" s="9"/>
      <c r="Z44" s="9"/>
      <c r="AA44" s="9"/>
      <c r="AB44" s="9"/>
      <c r="AC44" s="9"/>
      <c r="AD44" s="9" t="s">
        <v>20</v>
      </c>
    </row>
    <row r="45" spans="1:30" ht="43.5">
      <c r="A45" s="3" t="s">
        <v>838</v>
      </c>
      <c r="B45" s="3" t="s">
        <v>5419</v>
      </c>
      <c r="C45" s="3" t="s">
        <v>5420</v>
      </c>
      <c r="G45" s="9" t="s">
        <v>24</v>
      </c>
      <c r="H45" s="9"/>
      <c r="I45" s="9">
        <v>1</v>
      </c>
      <c r="J45" s="9">
        <v>1</v>
      </c>
      <c r="K45" s="9" t="s">
        <v>12078</v>
      </c>
      <c r="L45" s="9" t="s">
        <v>12119</v>
      </c>
      <c r="M45" s="9"/>
      <c r="N45" s="10"/>
      <c r="O45" s="9"/>
      <c r="P45" s="9">
        <v>11843</v>
      </c>
      <c r="Q45" s="9"/>
      <c r="R45" s="9" t="s">
        <v>12795</v>
      </c>
      <c r="S45" s="9" t="s">
        <v>12795</v>
      </c>
      <c r="T45" s="9"/>
      <c r="U45" s="9"/>
      <c r="V45" s="9"/>
      <c r="W45" s="9"/>
      <c r="X45" s="9"/>
      <c r="Y45" s="9"/>
      <c r="Z45" s="9"/>
      <c r="AA45" s="9"/>
      <c r="AB45" s="9"/>
      <c r="AC45" s="9"/>
      <c r="AD45" s="9" t="s">
        <v>13141</v>
      </c>
    </row>
    <row r="46" spans="1:30" ht="72.5">
      <c r="A46" s="3" t="s">
        <v>865</v>
      </c>
      <c r="B46" s="3" t="s">
        <v>5451</v>
      </c>
      <c r="C46" s="3" t="s">
        <v>5452</v>
      </c>
      <c r="G46" s="9" t="s">
        <v>25</v>
      </c>
      <c r="H46" s="9"/>
      <c r="I46" s="9">
        <v>1</v>
      </c>
      <c r="J46" s="9">
        <v>8</v>
      </c>
      <c r="K46" s="9" t="s">
        <v>12092</v>
      </c>
      <c r="L46" s="9" t="s">
        <v>12079</v>
      </c>
      <c r="M46" s="9"/>
      <c r="N46" s="10"/>
      <c r="O46" s="9"/>
      <c r="P46" s="9">
        <v>371</v>
      </c>
      <c r="Q46" s="9"/>
      <c r="R46" s="9" t="s">
        <v>12795</v>
      </c>
      <c r="S46" s="9" t="s">
        <v>12795</v>
      </c>
      <c r="T46" s="9"/>
      <c r="U46" s="9"/>
      <c r="V46" s="9"/>
      <c r="W46" s="9"/>
      <c r="X46" s="9"/>
      <c r="Y46" s="9"/>
      <c r="Z46" s="9"/>
      <c r="AA46" s="9"/>
      <c r="AB46" s="9"/>
      <c r="AC46" s="9"/>
      <c r="AD46" s="9" t="s">
        <v>20</v>
      </c>
    </row>
    <row r="47" spans="1:30" ht="58">
      <c r="A47" s="3" t="s">
        <v>891</v>
      </c>
      <c r="B47" s="3" t="s">
        <v>5480</v>
      </c>
      <c r="C47" s="3" t="s">
        <v>5479</v>
      </c>
      <c r="G47" s="9" t="s">
        <v>25</v>
      </c>
      <c r="H47" s="9"/>
      <c r="I47" s="9">
        <v>2</v>
      </c>
      <c r="J47" s="9">
        <v>7</v>
      </c>
      <c r="K47" s="9"/>
      <c r="L47" s="9" t="s">
        <v>12079</v>
      </c>
      <c r="M47" s="9"/>
      <c r="N47" s="10"/>
      <c r="O47" s="9"/>
      <c r="P47" s="9">
        <v>75</v>
      </c>
      <c r="Q47" s="9"/>
      <c r="R47" s="9" t="s">
        <v>12795</v>
      </c>
      <c r="S47" s="9" t="s">
        <v>12795</v>
      </c>
      <c r="T47" s="9"/>
      <c r="U47" s="9"/>
      <c r="V47" s="9"/>
      <c r="W47" s="9"/>
      <c r="X47" s="9"/>
      <c r="Y47" s="9"/>
      <c r="Z47" s="9"/>
      <c r="AA47" s="9"/>
      <c r="AB47" s="9"/>
      <c r="AC47" s="9"/>
      <c r="AD47" s="9" t="s">
        <v>20</v>
      </c>
    </row>
    <row r="48" spans="1:30" ht="29">
      <c r="A48" s="3" t="s">
        <v>895</v>
      </c>
      <c r="B48" s="3" t="s">
        <v>5488</v>
      </c>
      <c r="C48" s="3" t="s">
        <v>5489</v>
      </c>
      <c r="G48" s="9" t="s">
        <v>24</v>
      </c>
      <c r="H48" s="9"/>
      <c r="I48" s="9">
        <v>1</v>
      </c>
      <c r="J48" s="9">
        <v>3</v>
      </c>
      <c r="K48" s="9" t="s">
        <v>12078</v>
      </c>
      <c r="L48" s="9" t="s">
        <v>12079</v>
      </c>
      <c r="M48" s="9"/>
      <c r="N48" s="10"/>
      <c r="O48" s="9"/>
      <c r="P48" s="9">
        <v>11843</v>
      </c>
      <c r="Q48" s="9"/>
      <c r="R48" s="9" t="s">
        <v>12795</v>
      </c>
      <c r="S48" s="9" t="s">
        <v>12795</v>
      </c>
      <c r="T48" s="9" t="s">
        <v>12117</v>
      </c>
      <c r="U48" s="9"/>
      <c r="V48" s="9"/>
      <c r="W48" s="9"/>
      <c r="X48" s="9"/>
      <c r="Y48" s="9"/>
      <c r="Z48" s="9"/>
      <c r="AA48" s="9"/>
      <c r="AB48" s="9"/>
      <c r="AC48" s="9"/>
      <c r="AD48" s="9" t="s">
        <v>13141</v>
      </c>
    </row>
    <row r="49" spans="1:30" ht="145">
      <c r="A49" s="3" t="s">
        <v>919</v>
      </c>
      <c r="B49" s="3" t="s">
        <v>5507</v>
      </c>
      <c r="C49" s="3" t="s">
        <v>5509</v>
      </c>
      <c r="F49" t="s">
        <v>22</v>
      </c>
      <c r="G49" s="9" t="s">
        <v>25</v>
      </c>
      <c r="H49" s="9"/>
      <c r="I49" s="9">
        <v>4</v>
      </c>
      <c r="J49" s="9">
        <v>16</v>
      </c>
      <c r="K49" s="9"/>
      <c r="L49" s="9" t="s">
        <v>12073</v>
      </c>
      <c r="M49" s="9" t="s">
        <v>12140</v>
      </c>
      <c r="N49" s="10" t="s">
        <v>12136</v>
      </c>
      <c r="O49" s="9"/>
      <c r="P49" s="9">
        <v>8</v>
      </c>
      <c r="Q49" s="9"/>
      <c r="R49" s="9" t="s">
        <v>12795</v>
      </c>
      <c r="S49" s="9" t="s">
        <v>12795</v>
      </c>
      <c r="T49" s="9" t="s">
        <v>12117</v>
      </c>
      <c r="U49" s="9"/>
      <c r="V49" s="9"/>
      <c r="W49" s="9"/>
      <c r="X49" s="9"/>
      <c r="Y49" s="9"/>
      <c r="Z49" s="9"/>
      <c r="AA49" s="9"/>
      <c r="AB49" s="9"/>
      <c r="AC49" s="9"/>
      <c r="AD49" s="9" t="s">
        <v>20</v>
      </c>
    </row>
    <row r="50" spans="1:30" ht="145">
      <c r="A50" s="3" t="s">
        <v>919</v>
      </c>
      <c r="B50" s="3" t="s">
        <v>5508</v>
      </c>
      <c r="C50" s="3" t="s">
        <v>5509</v>
      </c>
      <c r="G50" s="9" t="s">
        <v>25</v>
      </c>
      <c r="H50" s="9"/>
      <c r="I50" s="9">
        <v>1</v>
      </c>
      <c r="J50" s="9">
        <v>4</v>
      </c>
      <c r="K50" s="9" t="s">
        <v>12094</v>
      </c>
      <c r="L50" s="9" t="s">
        <v>12079</v>
      </c>
      <c r="M50" s="9"/>
      <c r="N50" s="10"/>
      <c r="O50" s="9"/>
      <c r="P50" s="9">
        <v>50</v>
      </c>
      <c r="Q50" s="9"/>
      <c r="R50" s="9" t="s">
        <v>12795</v>
      </c>
      <c r="S50" s="9" t="s">
        <v>12795</v>
      </c>
      <c r="T50" s="9"/>
      <c r="U50" s="9"/>
      <c r="V50" s="9"/>
      <c r="W50" s="9"/>
      <c r="X50" s="9"/>
      <c r="Y50" s="9"/>
      <c r="Z50" s="9"/>
      <c r="AA50" s="9"/>
      <c r="AB50" s="9"/>
      <c r="AC50" s="9"/>
      <c r="AD50" s="9" t="s">
        <v>20</v>
      </c>
    </row>
    <row r="51" spans="1:30" ht="72.5">
      <c r="A51" s="3" t="s">
        <v>929</v>
      </c>
      <c r="B51" s="3" t="s">
        <v>5528</v>
      </c>
      <c r="C51" s="3" t="s">
        <v>5527</v>
      </c>
      <c r="G51" s="9" t="s">
        <v>25</v>
      </c>
      <c r="H51" s="9"/>
      <c r="I51" s="9">
        <v>1</v>
      </c>
      <c r="J51" s="9">
        <v>2</v>
      </c>
      <c r="K51" s="9" t="s">
        <v>12078</v>
      </c>
      <c r="L51" s="9" t="s">
        <v>12119</v>
      </c>
      <c r="M51" s="9"/>
      <c r="N51" s="10"/>
      <c r="O51" s="9"/>
      <c r="P51" s="9">
        <v>11843</v>
      </c>
      <c r="Q51" s="9"/>
      <c r="R51" s="9" t="s">
        <v>12795</v>
      </c>
      <c r="S51" s="9" t="s">
        <v>12795</v>
      </c>
      <c r="T51" s="9"/>
      <c r="U51" s="9"/>
      <c r="V51" s="9"/>
      <c r="W51" s="9"/>
      <c r="X51" s="9"/>
      <c r="Y51" s="9"/>
      <c r="Z51" s="9"/>
      <c r="AA51" s="9"/>
      <c r="AB51" s="9"/>
      <c r="AC51" s="9"/>
      <c r="AD51" s="9" t="s">
        <v>20</v>
      </c>
    </row>
    <row r="52" spans="1:30" ht="58">
      <c r="A52" s="3" t="s">
        <v>940</v>
      </c>
      <c r="B52" s="3" t="s">
        <v>13097</v>
      </c>
      <c r="C52" s="3" t="s">
        <v>5541</v>
      </c>
      <c r="G52" s="9" t="s">
        <v>25</v>
      </c>
      <c r="H52" s="9"/>
      <c r="I52" s="9">
        <v>1</v>
      </c>
      <c r="J52" s="9">
        <v>2</v>
      </c>
      <c r="K52" s="9" t="s">
        <v>12096</v>
      </c>
      <c r="L52" s="9" t="s">
        <v>12119</v>
      </c>
      <c r="M52" s="9"/>
      <c r="N52" s="10"/>
      <c r="O52" s="9"/>
      <c r="P52" s="9">
        <v>560</v>
      </c>
      <c r="Q52" s="9"/>
      <c r="R52" s="9" t="s">
        <v>12795</v>
      </c>
      <c r="S52" s="9" t="s">
        <v>12795</v>
      </c>
      <c r="T52" s="9"/>
      <c r="U52" s="9"/>
      <c r="V52" s="9"/>
      <c r="W52" s="9"/>
      <c r="X52" s="9"/>
      <c r="Y52" s="9"/>
      <c r="Z52" s="9"/>
      <c r="AA52" s="9"/>
      <c r="AB52" s="9"/>
      <c r="AC52" s="9"/>
      <c r="AD52" s="9" t="s">
        <v>20</v>
      </c>
    </row>
    <row r="53" spans="1:30" ht="87">
      <c r="A53" s="3" t="s">
        <v>948</v>
      </c>
      <c r="B53" s="3" t="s">
        <v>5553</v>
      </c>
      <c r="C53" s="3" t="s">
        <v>5554</v>
      </c>
      <c r="G53" s="9" t="s">
        <v>25</v>
      </c>
      <c r="H53" s="9"/>
      <c r="I53" s="9">
        <v>3</v>
      </c>
      <c r="J53" s="9">
        <v>15</v>
      </c>
      <c r="K53" s="9"/>
      <c r="L53" s="9" t="s">
        <v>12073</v>
      </c>
      <c r="M53" s="9" t="s">
        <v>12140</v>
      </c>
      <c r="N53" s="10" t="s">
        <v>12137</v>
      </c>
      <c r="O53" s="9"/>
      <c r="P53" s="9">
        <v>62</v>
      </c>
      <c r="Q53" s="9"/>
      <c r="R53" s="9" t="s">
        <v>12795</v>
      </c>
      <c r="S53" s="9" t="s">
        <v>12795</v>
      </c>
      <c r="T53" s="9"/>
      <c r="U53" s="9"/>
      <c r="V53" s="9"/>
      <c r="W53" s="9"/>
      <c r="X53" s="9"/>
      <c r="Y53" s="9"/>
      <c r="Z53" s="9"/>
      <c r="AA53" s="9"/>
      <c r="AB53" s="9"/>
      <c r="AC53" s="9"/>
      <c r="AD53" s="9" t="s">
        <v>20</v>
      </c>
    </row>
    <row r="54" spans="1:30" ht="72.5">
      <c r="A54" s="3" t="s">
        <v>949</v>
      </c>
      <c r="B54" s="3" t="s">
        <v>5561</v>
      </c>
      <c r="C54" s="3" t="s">
        <v>5563</v>
      </c>
      <c r="G54" s="9" t="s">
        <v>24</v>
      </c>
      <c r="H54" s="9"/>
      <c r="I54" s="9">
        <v>1</v>
      </c>
      <c r="J54" s="9">
        <v>3</v>
      </c>
      <c r="K54" s="9" t="s">
        <v>12078</v>
      </c>
      <c r="L54" s="9" t="s">
        <v>12079</v>
      </c>
      <c r="M54" s="9"/>
      <c r="N54" s="10"/>
      <c r="O54" s="9"/>
      <c r="P54" s="9">
        <v>11843</v>
      </c>
      <c r="Q54" s="9"/>
      <c r="R54" s="9" t="s">
        <v>12795</v>
      </c>
      <c r="S54" s="9" t="s">
        <v>12795</v>
      </c>
      <c r="T54" s="9"/>
      <c r="U54" s="9"/>
      <c r="V54" s="9"/>
      <c r="W54" s="9"/>
      <c r="X54" s="9"/>
      <c r="Y54" s="9"/>
      <c r="Z54" s="9"/>
      <c r="AA54" s="9"/>
      <c r="AB54" s="9"/>
      <c r="AC54" s="9"/>
      <c r="AD54" s="9" t="s">
        <v>20</v>
      </c>
    </row>
    <row r="55" spans="1:30" ht="101.5">
      <c r="A55" s="3" t="s">
        <v>973</v>
      </c>
      <c r="B55" s="3" t="s">
        <v>5591</v>
      </c>
      <c r="C55" s="3" t="s">
        <v>5588</v>
      </c>
      <c r="G55" s="9" t="s">
        <v>25</v>
      </c>
      <c r="H55" s="9"/>
      <c r="I55" s="9">
        <v>3</v>
      </c>
      <c r="J55" s="9">
        <v>13</v>
      </c>
      <c r="K55" s="9"/>
      <c r="L55" s="9" t="s">
        <v>12079</v>
      </c>
      <c r="M55" s="9"/>
      <c r="N55" s="10"/>
      <c r="O55" s="9"/>
      <c r="P55" s="9">
        <v>105</v>
      </c>
      <c r="Q55" s="9"/>
      <c r="R55" s="9" t="s">
        <v>12795</v>
      </c>
      <c r="S55" s="9" t="s">
        <v>12795</v>
      </c>
      <c r="T55" s="9"/>
      <c r="U55" s="9"/>
      <c r="V55" s="9"/>
      <c r="W55" s="9"/>
      <c r="X55" s="9"/>
      <c r="Y55" s="9"/>
      <c r="Z55" s="9"/>
      <c r="AA55" s="9"/>
      <c r="AB55" s="9"/>
      <c r="AC55" s="9"/>
      <c r="AD55" s="9" t="s">
        <v>20</v>
      </c>
    </row>
    <row r="56" spans="1:30" ht="43.5">
      <c r="A56" s="3" t="s">
        <v>1011</v>
      </c>
      <c r="B56" s="3" t="s">
        <v>5614</v>
      </c>
      <c r="C56" s="3" t="s">
        <v>5615</v>
      </c>
      <c r="G56" s="9" t="s">
        <v>24</v>
      </c>
      <c r="H56" s="9"/>
      <c r="I56" s="9">
        <v>2</v>
      </c>
      <c r="J56" s="9">
        <v>4</v>
      </c>
      <c r="K56" s="9"/>
      <c r="L56" s="9" t="s">
        <v>12079</v>
      </c>
      <c r="M56" s="9"/>
      <c r="N56" s="10"/>
      <c r="O56" s="9"/>
      <c r="P56" s="9">
        <v>5676</v>
      </c>
      <c r="Q56" s="9"/>
      <c r="R56" s="9" t="s">
        <v>12795</v>
      </c>
      <c r="S56" s="9" t="s">
        <v>12795</v>
      </c>
      <c r="T56" s="9"/>
      <c r="U56" s="9"/>
      <c r="V56" s="9"/>
      <c r="W56" s="9"/>
      <c r="X56" s="9"/>
      <c r="Y56" s="9"/>
      <c r="Z56" s="9"/>
      <c r="AA56" s="9"/>
      <c r="AB56" s="9"/>
      <c r="AC56" s="9"/>
      <c r="AD56" s="9" t="s">
        <v>20</v>
      </c>
    </row>
    <row r="57" spans="1:30" ht="29">
      <c r="A57" s="3" t="s">
        <v>1032</v>
      </c>
      <c r="B57" s="3" t="s">
        <v>5624</v>
      </c>
      <c r="C57" s="3" t="s">
        <v>5625</v>
      </c>
      <c r="G57" s="9" t="s">
        <v>25</v>
      </c>
      <c r="H57" s="9"/>
      <c r="I57" s="9">
        <v>1</v>
      </c>
      <c r="J57" s="9">
        <v>1</v>
      </c>
      <c r="K57" s="9" t="s">
        <v>12078</v>
      </c>
      <c r="L57" s="9" t="s">
        <v>12119</v>
      </c>
      <c r="M57" s="9"/>
      <c r="N57" s="10"/>
      <c r="O57" s="9"/>
      <c r="P57" s="9">
        <v>11843</v>
      </c>
      <c r="Q57" s="9"/>
      <c r="R57" s="9" t="s">
        <v>12795</v>
      </c>
      <c r="S57" s="9" t="s">
        <v>12795</v>
      </c>
      <c r="T57" s="9"/>
      <c r="U57" s="9"/>
      <c r="V57" s="9"/>
      <c r="W57" s="9"/>
      <c r="X57" s="9"/>
      <c r="Y57" s="9"/>
      <c r="Z57" s="9"/>
      <c r="AA57" s="9"/>
      <c r="AB57" s="9"/>
      <c r="AC57" s="9"/>
      <c r="AD57" s="9" t="s">
        <v>20</v>
      </c>
    </row>
    <row r="58" spans="1:30" ht="43.5">
      <c r="A58" s="3" t="s">
        <v>1037</v>
      </c>
      <c r="B58" s="3" t="s">
        <v>5635</v>
      </c>
      <c r="C58" s="3" t="s">
        <v>5636</v>
      </c>
      <c r="G58" s="9" t="s">
        <v>25</v>
      </c>
      <c r="H58" s="9"/>
      <c r="I58" s="9">
        <v>1</v>
      </c>
      <c r="J58" s="9">
        <v>4</v>
      </c>
      <c r="K58" s="9" t="s">
        <v>12078</v>
      </c>
      <c r="L58" s="9" t="s">
        <v>12073</v>
      </c>
      <c r="M58" s="9" t="s">
        <v>12149</v>
      </c>
      <c r="N58" s="10" t="s">
        <v>12143</v>
      </c>
      <c r="O58" s="9"/>
      <c r="P58" s="9">
        <v>11843</v>
      </c>
      <c r="Q58" s="9"/>
      <c r="R58" s="9" t="s">
        <v>12795</v>
      </c>
      <c r="S58" s="9" t="s">
        <v>12795</v>
      </c>
      <c r="T58" s="9"/>
      <c r="U58" s="9"/>
      <c r="V58" s="9"/>
      <c r="W58" s="9"/>
      <c r="X58" s="9"/>
      <c r="Y58" s="9"/>
      <c r="Z58" s="9"/>
      <c r="AA58" s="9"/>
      <c r="AB58" s="9"/>
      <c r="AC58" s="9"/>
      <c r="AD58" s="9" t="s">
        <v>20</v>
      </c>
    </row>
    <row r="59" spans="1:30" ht="43.5">
      <c r="A59" s="3" t="s">
        <v>1081</v>
      </c>
      <c r="B59" s="3" t="s">
        <v>5661</v>
      </c>
      <c r="C59" s="3" t="s">
        <v>5662</v>
      </c>
      <c r="G59" s="9" t="s">
        <v>24</v>
      </c>
      <c r="H59" s="9"/>
      <c r="I59" s="9">
        <v>1</v>
      </c>
      <c r="J59" s="9">
        <v>1</v>
      </c>
      <c r="K59" s="9" t="s">
        <v>12078</v>
      </c>
      <c r="L59" s="9" t="s">
        <v>12119</v>
      </c>
      <c r="M59" s="9"/>
      <c r="N59" s="10"/>
      <c r="O59" s="9"/>
      <c r="P59" s="9">
        <v>11843</v>
      </c>
      <c r="Q59" s="9"/>
      <c r="R59" s="9" t="s">
        <v>12795</v>
      </c>
      <c r="S59" s="9" t="s">
        <v>12795</v>
      </c>
      <c r="T59" s="9"/>
      <c r="U59" s="9"/>
      <c r="V59" s="9"/>
      <c r="W59" s="9"/>
      <c r="X59" s="9"/>
      <c r="Y59" s="9"/>
      <c r="Z59" s="9"/>
      <c r="AA59" s="9"/>
      <c r="AB59" s="9"/>
      <c r="AC59" s="9"/>
      <c r="AD59" s="9" t="s">
        <v>20</v>
      </c>
    </row>
    <row r="60" spans="1:30" ht="43.5">
      <c r="A60" s="3" t="s">
        <v>1084</v>
      </c>
      <c r="B60" s="3" t="s">
        <v>5665</v>
      </c>
      <c r="C60" s="3" t="s">
        <v>5666</v>
      </c>
      <c r="G60" s="9" t="s">
        <v>24</v>
      </c>
      <c r="H60" s="9"/>
      <c r="I60" s="9">
        <v>1</v>
      </c>
      <c r="J60" s="9">
        <v>2</v>
      </c>
      <c r="K60" s="9" t="s">
        <v>12094</v>
      </c>
      <c r="L60" s="9" t="s">
        <v>12119</v>
      </c>
      <c r="M60" s="9"/>
      <c r="N60" s="10"/>
      <c r="O60" s="9" t="s">
        <v>12074</v>
      </c>
      <c r="P60" s="9">
        <v>412</v>
      </c>
      <c r="Q60" s="9"/>
      <c r="R60" s="9" t="s">
        <v>12795</v>
      </c>
      <c r="S60" s="9" t="s">
        <v>12795</v>
      </c>
      <c r="T60" s="9"/>
      <c r="U60" s="9"/>
      <c r="V60" s="9"/>
      <c r="W60" s="9"/>
      <c r="X60" s="9"/>
      <c r="Y60" s="9"/>
      <c r="Z60" s="9"/>
      <c r="AA60" s="9"/>
      <c r="AB60" s="9"/>
      <c r="AC60" s="9"/>
      <c r="AD60" s="9" t="s">
        <v>20</v>
      </c>
    </row>
    <row r="61" spans="1:30" ht="43.5">
      <c r="A61" s="3" t="s">
        <v>1085</v>
      </c>
      <c r="B61" s="3" t="s">
        <v>5668</v>
      </c>
      <c r="C61" s="3" t="s">
        <v>5667</v>
      </c>
      <c r="G61" s="9" t="s">
        <v>24</v>
      </c>
      <c r="H61" s="9"/>
      <c r="I61" s="9">
        <v>1</v>
      </c>
      <c r="J61" s="9">
        <v>3</v>
      </c>
      <c r="K61" s="9" t="s">
        <v>12078</v>
      </c>
      <c r="L61" s="9" t="s">
        <v>12079</v>
      </c>
      <c r="M61" s="9"/>
      <c r="N61" s="10"/>
      <c r="O61" s="9"/>
      <c r="P61" s="9">
        <v>11843</v>
      </c>
      <c r="Q61" s="9"/>
      <c r="R61" s="9" t="s">
        <v>12795</v>
      </c>
      <c r="S61" s="9" t="s">
        <v>12795</v>
      </c>
      <c r="T61" s="9"/>
      <c r="U61" s="9"/>
      <c r="V61" s="9"/>
      <c r="W61" s="9"/>
      <c r="X61" s="9"/>
      <c r="Y61" s="9"/>
      <c r="Z61" s="9"/>
      <c r="AA61" s="9"/>
      <c r="AB61" s="9"/>
      <c r="AC61" s="9"/>
      <c r="AD61" s="9" t="s">
        <v>20</v>
      </c>
    </row>
    <row r="62" spans="1:30" ht="29">
      <c r="A62" s="3" t="s">
        <v>1096</v>
      </c>
      <c r="B62" s="3" t="s">
        <v>5677</v>
      </c>
      <c r="C62" s="3" t="s">
        <v>5680</v>
      </c>
      <c r="G62" s="9" t="s">
        <v>24</v>
      </c>
      <c r="H62" s="9"/>
      <c r="I62" s="9">
        <v>1</v>
      </c>
      <c r="J62" s="9">
        <v>2</v>
      </c>
      <c r="K62" s="9" t="s">
        <v>12078</v>
      </c>
      <c r="L62" s="9" t="s">
        <v>12119</v>
      </c>
      <c r="M62" s="9"/>
      <c r="N62" s="10"/>
      <c r="O62" s="9"/>
      <c r="P62" s="9">
        <v>11843</v>
      </c>
      <c r="Q62" s="9"/>
      <c r="R62" s="9" t="s">
        <v>12795</v>
      </c>
      <c r="S62" s="9" t="s">
        <v>12795</v>
      </c>
      <c r="T62" s="9"/>
      <c r="U62" s="9"/>
      <c r="V62" s="9"/>
      <c r="W62" s="9"/>
      <c r="X62" s="9"/>
      <c r="Y62" s="9"/>
      <c r="Z62" s="9"/>
      <c r="AA62" s="9"/>
      <c r="AB62" s="9"/>
      <c r="AC62" s="9"/>
      <c r="AD62" s="9" t="s">
        <v>20</v>
      </c>
    </row>
    <row r="63" spans="1:30" ht="58">
      <c r="A63" s="3" t="s">
        <v>1106</v>
      </c>
      <c r="B63" s="3" t="s">
        <v>5687</v>
      </c>
      <c r="C63" s="3" t="s">
        <v>5688</v>
      </c>
      <c r="G63" s="9" t="s">
        <v>25</v>
      </c>
      <c r="H63" s="9"/>
      <c r="I63" s="9">
        <v>1</v>
      </c>
      <c r="J63" s="9">
        <v>3</v>
      </c>
      <c r="K63" s="9" t="s">
        <v>12087</v>
      </c>
      <c r="L63" s="9" t="s">
        <v>12079</v>
      </c>
      <c r="M63" s="9"/>
      <c r="N63" s="10"/>
      <c r="O63" s="9"/>
      <c r="P63" s="9">
        <v>5676</v>
      </c>
      <c r="Q63" s="9"/>
      <c r="R63" s="9" t="s">
        <v>12795</v>
      </c>
      <c r="S63" s="9" t="s">
        <v>12795</v>
      </c>
      <c r="T63" s="9"/>
      <c r="U63" s="9"/>
      <c r="V63" s="9"/>
      <c r="W63" s="9"/>
      <c r="X63" s="9"/>
      <c r="Y63" s="9"/>
      <c r="Z63" s="9"/>
      <c r="AA63" s="9"/>
      <c r="AB63" s="9"/>
      <c r="AC63" s="9"/>
      <c r="AD63" s="9" t="s">
        <v>20</v>
      </c>
    </row>
    <row r="64" spans="1:30" ht="43.5">
      <c r="A64" s="3" t="s">
        <v>1115</v>
      </c>
      <c r="B64" s="3" t="s">
        <v>5693</v>
      </c>
      <c r="C64" s="3" t="s">
        <v>5696</v>
      </c>
      <c r="G64" s="9" t="s">
        <v>24</v>
      </c>
      <c r="H64" s="9"/>
      <c r="I64" s="9">
        <v>1</v>
      </c>
      <c r="J64" s="9">
        <v>4</v>
      </c>
      <c r="K64" s="9" t="s">
        <v>12078</v>
      </c>
      <c r="L64" s="9" t="s">
        <v>12073</v>
      </c>
      <c r="M64" s="9" t="s">
        <v>12149</v>
      </c>
      <c r="N64" s="10" t="s">
        <v>12143</v>
      </c>
      <c r="O64" s="9"/>
      <c r="P64" s="9">
        <v>11843</v>
      </c>
      <c r="Q64" s="9"/>
      <c r="R64" s="9" t="s">
        <v>12795</v>
      </c>
      <c r="S64" s="9" t="s">
        <v>12795</v>
      </c>
      <c r="T64" s="9"/>
      <c r="U64" s="9"/>
      <c r="V64" s="9"/>
      <c r="W64" s="9"/>
      <c r="X64" s="9"/>
      <c r="Y64" s="9"/>
      <c r="Z64" s="9"/>
      <c r="AA64" s="9"/>
      <c r="AB64" s="9"/>
      <c r="AC64" s="9"/>
      <c r="AD64" s="9" t="s">
        <v>13141</v>
      </c>
    </row>
    <row r="65" spans="1:30" ht="72.5">
      <c r="A65" s="3" t="s">
        <v>1152</v>
      </c>
      <c r="B65" s="3" t="s">
        <v>5736</v>
      </c>
      <c r="C65" s="3" t="s">
        <v>5737</v>
      </c>
      <c r="G65" s="9" t="s">
        <v>25</v>
      </c>
      <c r="H65" s="9"/>
      <c r="I65" s="9">
        <v>3</v>
      </c>
      <c r="J65" s="9">
        <v>4</v>
      </c>
      <c r="K65" s="9"/>
      <c r="L65" s="9" t="s">
        <v>12073</v>
      </c>
      <c r="M65" s="9" t="s">
        <v>12140</v>
      </c>
      <c r="N65" s="10" t="s">
        <v>12136</v>
      </c>
      <c r="O65" s="9"/>
      <c r="P65" s="9">
        <v>113</v>
      </c>
      <c r="Q65" s="9"/>
      <c r="R65" s="9" t="s">
        <v>12795</v>
      </c>
      <c r="S65" s="9" t="s">
        <v>12795</v>
      </c>
      <c r="T65" s="9"/>
      <c r="U65" s="9"/>
      <c r="V65" s="9"/>
      <c r="W65" s="9"/>
      <c r="X65" s="9"/>
      <c r="Y65" s="9"/>
      <c r="Z65" s="9"/>
      <c r="AA65" s="9"/>
      <c r="AB65" s="9"/>
      <c r="AC65" s="9"/>
      <c r="AD65" s="9" t="s">
        <v>20</v>
      </c>
    </row>
    <row r="66" spans="1:30" ht="58">
      <c r="A66" s="3" t="s">
        <v>1156</v>
      </c>
      <c r="B66" s="3" t="s">
        <v>5747</v>
      </c>
      <c r="C66" s="3" t="s">
        <v>5745</v>
      </c>
      <c r="G66" s="9" t="s">
        <v>25</v>
      </c>
      <c r="H66" s="9"/>
      <c r="I66" s="9">
        <v>1</v>
      </c>
      <c r="J66" s="9">
        <v>2</v>
      </c>
      <c r="K66" s="9" t="s">
        <v>12078</v>
      </c>
      <c r="L66" s="9" t="s">
        <v>12119</v>
      </c>
      <c r="M66" s="9"/>
      <c r="N66" s="10"/>
      <c r="O66" s="9"/>
      <c r="P66" s="9">
        <v>11843</v>
      </c>
      <c r="Q66" s="9"/>
      <c r="R66" s="9" t="s">
        <v>12795</v>
      </c>
      <c r="S66" s="9" t="s">
        <v>12795</v>
      </c>
      <c r="T66" s="9"/>
      <c r="U66" s="9"/>
      <c r="V66" s="9"/>
      <c r="W66" s="9"/>
      <c r="X66" s="9"/>
      <c r="Y66" s="9"/>
      <c r="Z66" s="9"/>
      <c r="AA66" s="9"/>
      <c r="AB66" s="9"/>
      <c r="AC66" s="9"/>
      <c r="AD66" s="9" t="s">
        <v>20</v>
      </c>
    </row>
    <row r="67" spans="1:30" ht="43.5">
      <c r="A67" s="3" t="s">
        <v>1158</v>
      </c>
      <c r="B67" s="3" t="s">
        <v>5754</v>
      </c>
      <c r="C67" s="3" t="s">
        <v>5755</v>
      </c>
      <c r="G67" s="9" t="s">
        <v>25</v>
      </c>
      <c r="H67" s="9"/>
      <c r="I67" s="9">
        <v>1</v>
      </c>
      <c r="J67" s="9">
        <v>2</v>
      </c>
      <c r="K67" s="9" t="s">
        <v>12123</v>
      </c>
      <c r="L67" s="9" t="s">
        <v>12119</v>
      </c>
      <c r="M67" s="9"/>
      <c r="N67" s="10"/>
      <c r="O67" s="9"/>
      <c r="P67" s="9">
        <v>134</v>
      </c>
      <c r="Q67" s="9"/>
      <c r="R67" s="9" t="s">
        <v>12795</v>
      </c>
      <c r="S67" s="9" t="s">
        <v>12795</v>
      </c>
      <c r="T67" s="9"/>
      <c r="U67" s="9"/>
      <c r="V67" s="9"/>
      <c r="W67" s="9"/>
      <c r="X67" s="9"/>
      <c r="Y67" s="9"/>
      <c r="Z67" s="9"/>
      <c r="AA67" s="9"/>
      <c r="AB67" s="9"/>
      <c r="AC67" s="9"/>
      <c r="AD67" s="9" t="s">
        <v>20</v>
      </c>
    </row>
    <row r="68" spans="1:30" ht="43.5">
      <c r="A68" s="3" t="s">
        <v>1177</v>
      </c>
      <c r="B68" s="3" t="s">
        <v>5777</v>
      </c>
      <c r="C68" s="3" t="s">
        <v>5774</v>
      </c>
      <c r="G68" s="9" t="s">
        <v>25</v>
      </c>
      <c r="H68" s="9"/>
      <c r="I68" s="9">
        <v>1</v>
      </c>
      <c r="J68" s="9">
        <v>4</v>
      </c>
      <c r="K68" s="9" t="s">
        <v>12125</v>
      </c>
      <c r="L68" s="9" t="s">
        <v>12073</v>
      </c>
      <c r="M68" s="9" t="s">
        <v>12142</v>
      </c>
      <c r="N68" s="10" t="s">
        <v>12143</v>
      </c>
      <c r="O68" s="9"/>
      <c r="P68" s="9">
        <v>2042</v>
      </c>
      <c r="Q68" s="9"/>
      <c r="R68" s="9" t="s">
        <v>12795</v>
      </c>
      <c r="S68" s="9" t="s">
        <v>12795</v>
      </c>
      <c r="T68" s="9"/>
      <c r="U68" s="9"/>
      <c r="V68" s="9"/>
      <c r="W68" s="9"/>
      <c r="X68" s="9"/>
      <c r="Y68" s="9"/>
      <c r="Z68" s="9"/>
      <c r="AA68" s="9"/>
      <c r="AB68" s="9"/>
      <c r="AC68" s="9"/>
      <c r="AD68" s="9" t="s">
        <v>20</v>
      </c>
    </row>
    <row r="69" spans="1:30" ht="43.5">
      <c r="A69" s="3" t="s">
        <v>1181</v>
      </c>
      <c r="B69" s="3" t="s">
        <v>5778</v>
      </c>
      <c r="C69" s="3" t="s">
        <v>5779</v>
      </c>
      <c r="G69" s="9" t="s">
        <v>25</v>
      </c>
      <c r="H69" s="9"/>
      <c r="I69" s="9">
        <v>1</v>
      </c>
      <c r="J69" s="9">
        <v>3</v>
      </c>
      <c r="K69" s="9" t="s">
        <v>12087</v>
      </c>
      <c r="L69" s="9" t="s">
        <v>12073</v>
      </c>
      <c r="M69" s="9" t="s">
        <v>12142</v>
      </c>
      <c r="N69" s="10" t="s">
        <v>12143</v>
      </c>
      <c r="O69" s="9"/>
      <c r="P69" s="9">
        <v>5676</v>
      </c>
      <c r="Q69" s="9"/>
      <c r="R69" s="9" t="s">
        <v>12795</v>
      </c>
      <c r="S69" s="9" t="s">
        <v>12795</v>
      </c>
      <c r="T69" s="9"/>
      <c r="U69" s="9"/>
      <c r="V69" s="9"/>
      <c r="W69" s="9"/>
      <c r="X69" s="9"/>
      <c r="Y69" s="9"/>
      <c r="Z69" s="9"/>
      <c r="AA69" s="9"/>
      <c r="AB69" s="9"/>
      <c r="AC69" s="9"/>
      <c r="AD69" s="9" t="s">
        <v>20</v>
      </c>
    </row>
    <row r="70" spans="1:30" ht="72.5">
      <c r="A70" s="3" t="s">
        <v>1191</v>
      </c>
      <c r="B70" s="3" t="s">
        <v>5799</v>
      </c>
      <c r="C70" s="3" t="s">
        <v>5796</v>
      </c>
      <c r="G70" s="9" t="s">
        <v>25</v>
      </c>
      <c r="H70" s="9"/>
      <c r="I70" s="9">
        <v>1</v>
      </c>
      <c r="J70" s="9">
        <v>5</v>
      </c>
      <c r="K70" s="9" t="s">
        <v>12094</v>
      </c>
      <c r="L70" s="9" t="s">
        <v>12073</v>
      </c>
      <c r="M70" s="9" t="s">
        <v>12149</v>
      </c>
      <c r="N70" s="10" t="s">
        <v>12143</v>
      </c>
      <c r="O70" s="9"/>
      <c r="P70" s="9">
        <v>4240</v>
      </c>
      <c r="Q70" s="9"/>
      <c r="R70" s="9" t="s">
        <v>12795</v>
      </c>
      <c r="S70" s="9" t="s">
        <v>12795</v>
      </c>
      <c r="T70" s="9"/>
      <c r="U70" s="9"/>
      <c r="V70" s="9"/>
      <c r="W70" s="9"/>
      <c r="X70" s="9"/>
      <c r="Y70" s="9"/>
      <c r="Z70" s="9"/>
      <c r="AA70" s="9"/>
      <c r="AB70" s="9"/>
      <c r="AC70" s="9"/>
      <c r="AD70" s="9" t="s">
        <v>20</v>
      </c>
    </row>
    <row r="71" spans="1:30" ht="43.5">
      <c r="A71" s="3" t="s">
        <v>1193</v>
      </c>
      <c r="B71" s="3" t="s">
        <v>5802</v>
      </c>
      <c r="C71" s="3" t="s">
        <v>5803</v>
      </c>
      <c r="G71" s="9" t="s">
        <v>25</v>
      </c>
      <c r="H71" s="9"/>
      <c r="I71" s="9">
        <v>1</v>
      </c>
      <c r="J71" s="9">
        <v>5</v>
      </c>
      <c r="K71" s="9" t="s">
        <v>12094</v>
      </c>
      <c r="L71" s="9" t="s">
        <v>12079</v>
      </c>
      <c r="M71" s="9"/>
      <c r="N71" s="10"/>
      <c r="O71" s="9"/>
      <c r="P71" s="9">
        <v>930</v>
      </c>
      <c r="Q71" s="9"/>
      <c r="R71" s="9" t="s">
        <v>12795</v>
      </c>
      <c r="S71" s="9" t="s">
        <v>12795</v>
      </c>
      <c r="T71" s="9"/>
      <c r="U71" s="9"/>
      <c r="V71" s="9"/>
      <c r="W71" s="9"/>
      <c r="X71" s="9"/>
      <c r="Y71" s="9"/>
      <c r="Z71" s="9"/>
      <c r="AA71" s="9"/>
      <c r="AB71" s="9"/>
      <c r="AC71" s="9"/>
      <c r="AD71" s="9" t="s">
        <v>20</v>
      </c>
    </row>
    <row r="72" spans="1:30" ht="43.5">
      <c r="A72" s="3" t="s">
        <v>1222</v>
      </c>
      <c r="B72" s="3" t="s">
        <v>5831</v>
      </c>
      <c r="C72" s="3" t="s">
        <v>5832</v>
      </c>
      <c r="G72" s="9" t="s">
        <v>24</v>
      </c>
      <c r="H72" s="9"/>
      <c r="I72" s="9">
        <v>1</v>
      </c>
      <c r="J72" s="9">
        <v>2</v>
      </c>
      <c r="K72" s="9" t="s">
        <v>12087</v>
      </c>
      <c r="L72" s="9" t="s">
        <v>12119</v>
      </c>
      <c r="M72" s="9"/>
      <c r="N72" s="10"/>
      <c r="O72" s="9"/>
      <c r="P72" s="9">
        <v>1966</v>
      </c>
      <c r="Q72" s="9"/>
      <c r="R72" s="9" t="s">
        <v>12795</v>
      </c>
      <c r="S72" s="9" t="s">
        <v>12795</v>
      </c>
      <c r="T72" s="9"/>
      <c r="U72" s="9"/>
      <c r="V72" s="9"/>
      <c r="W72" s="9"/>
      <c r="X72" s="9"/>
      <c r="Y72" s="9"/>
      <c r="Z72" s="9"/>
      <c r="AA72" s="9"/>
      <c r="AB72" s="9"/>
      <c r="AC72" s="9"/>
      <c r="AD72" s="9" t="s">
        <v>20</v>
      </c>
    </row>
    <row r="73" spans="1:30" ht="116">
      <c r="A73" s="3" t="s">
        <v>1239</v>
      </c>
      <c r="B73" s="3" t="s">
        <v>5850</v>
      </c>
      <c r="C73" s="3" t="s">
        <v>5849</v>
      </c>
      <c r="G73" s="9" t="s">
        <v>25</v>
      </c>
      <c r="H73" s="9"/>
      <c r="I73" s="9">
        <v>2</v>
      </c>
      <c r="J73" s="9">
        <v>13</v>
      </c>
      <c r="K73" s="9"/>
      <c r="L73" s="9" t="s">
        <v>12073</v>
      </c>
      <c r="M73" s="9" t="s">
        <v>12135</v>
      </c>
      <c r="N73" s="10" t="s">
        <v>12136</v>
      </c>
      <c r="O73" s="9"/>
      <c r="P73" s="9">
        <v>25</v>
      </c>
      <c r="Q73" s="9"/>
      <c r="R73" s="9" t="s">
        <v>12795</v>
      </c>
      <c r="S73" s="9" t="s">
        <v>12795</v>
      </c>
      <c r="T73" s="9"/>
      <c r="U73" s="9"/>
      <c r="V73" s="9"/>
      <c r="W73" s="9"/>
      <c r="X73" s="9"/>
      <c r="Y73" s="9"/>
      <c r="Z73" s="9"/>
      <c r="AA73" s="9"/>
      <c r="AB73" s="9"/>
      <c r="AC73" s="9"/>
      <c r="AD73" s="9" t="s">
        <v>20</v>
      </c>
    </row>
    <row r="74" spans="1:30" ht="319">
      <c r="A74" s="3" t="s">
        <v>1246</v>
      </c>
      <c r="B74" s="3" t="s">
        <v>13002</v>
      </c>
      <c r="C74" s="3" t="s">
        <v>12997</v>
      </c>
      <c r="G74" s="9" t="s">
        <v>25</v>
      </c>
      <c r="H74" s="9"/>
      <c r="I74" s="9">
        <v>1</v>
      </c>
      <c r="J74" s="9">
        <v>2</v>
      </c>
      <c r="K74" s="9" t="s">
        <v>12078</v>
      </c>
      <c r="L74" s="9" t="s">
        <v>12119</v>
      </c>
      <c r="M74" s="9"/>
      <c r="N74" s="10"/>
      <c r="O74" s="9"/>
      <c r="P74" s="9">
        <v>11843</v>
      </c>
      <c r="Q74" s="9"/>
      <c r="R74" s="9" t="s">
        <v>12795</v>
      </c>
      <c r="S74" s="9" t="s">
        <v>12795</v>
      </c>
      <c r="T74" s="9"/>
      <c r="U74" s="9"/>
      <c r="V74" s="9"/>
      <c r="W74" s="9"/>
      <c r="X74" s="9"/>
      <c r="Y74" s="9"/>
      <c r="Z74" s="9"/>
      <c r="AA74" s="9"/>
      <c r="AB74" s="9"/>
      <c r="AC74" s="9"/>
      <c r="AD74" s="9" t="s">
        <v>20</v>
      </c>
    </row>
    <row r="75" spans="1:30" ht="43.5">
      <c r="A75" s="3" t="s">
        <v>1249</v>
      </c>
      <c r="B75" s="3" t="s">
        <v>5859</v>
      </c>
      <c r="C75" s="3" t="s">
        <v>5860</v>
      </c>
      <c r="G75" s="9" t="s">
        <v>25</v>
      </c>
      <c r="H75" s="9"/>
      <c r="I75" s="9">
        <v>1</v>
      </c>
      <c r="J75" s="9">
        <v>2</v>
      </c>
      <c r="K75" s="9" t="s">
        <v>12125</v>
      </c>
      <c r="L75" s="9" t="s">
        <v>12119</v>
      </c>
      <c r="M75" s="9"/>
      <c r="N75" s="10"/>
      <c r="O75" s="9"/>
      <c r="P75" s="9">
        <v>1565</v>
      </c>
      <c r="Q75" s="9"/>
      <c r="R75" s="9" t="s">
        <v>12795</v>
      </c>
      <c r="S75" s="9" t="s">
        <v>12795</v>
      </c>
      <c r="T75" s="9"/>
      <c r="U75" s="9"/>
      <c r="V75" s="9"/>
      <c r="W75" s="9"/>
      <c r="X75" s="9"/>
      <c r="Y75" s="9"/>
      <c r="Z75" s="9"/>
      <c r="AA75" s="9"/>
      <c r="AB75" s="9"/>
      <c r="AC75" s="9"/>
      <c r="AD75" s="9" t="s">
        <v>20</v>
      </c>
    </row>
    <row r="76" spans="1:30" ht="101.5">
      <c r="A76" s="3" t="s">
        <v>1262</v>
      </c>
      <c r="B76" s="3" t="s">
        <v>5875</v>
      </c>
      <c r="C76" s="3" t="s">
        <v>12220</v>
      </c>
      <c r="G76" s="9" t="s">
        <v>24</v>
      </c>
      <c r="H76" s="9"/>
      <c r="I76" s="9">
        <v>1</v>
      </c>
      <c r="J76" s="9">
        <v>3</v>
      </c>
      <c r="K76" s="9" t="s">
        <v>12094</v>
      </c>
      <c r="L76" s="9" t="s">
        <v>12079</v>
      </c>
      <c r="M76" s="9"/>
      <c r="N76" s="10"/>
      <c r="O76" s="9"/>
      <c r="P76" s="9">
        <v>1741</v>
      </c>
      <c r="Q76" s="9"/>
      <c r="R76" s="9" t="s">
        <v>12795</v>
      </c>
      <c r="S76" s="9" t="s">
        <v>12795</v>
      </c>
      <c r="T76" s="9"/>
      <c r="U76" s="9"/>
      <c r="V76" s="9"/>
      <c r="W76" s="9"/>
      <c r="X76" s="9"/>
      <c r="Y76" s="9"/>
      <c r="Z76" s="9"/>
      <c r="AA76" s="9"/>
      <c r="AB76" s="9"/>
      <c r="AC76" s="9"/>
      <c r="AD76" s="9" t="s">
        <v>13141</v>
      </c>
    </row>
    <row r="77" spans="1:30" ht="72.5">
      <c r="A77" s="3" t="s">
        <v>1267</v>
      </c>
      <c r="B77" s="3" t="s">
        <v>5882</v>
      </c>
      <c r="C77" s="3" t="s">
        <v>5885</v>
      </c>
      <c r="G77" s="9" t="s">
        <v>24</v>
      </c>
      <c r="H77" s="9"/>
      <c r="I77" s="9">
        <v>1</v>
      </c>
      <c r="J77" s="9">
        <v>3</v>
      </c>
      <c r="K77" s="9" t="s">
        <v>12087</v>
      </c>
      <c r="L77" s="9" t="s">
        <v>12079</v>
      </c>
      <c r="M77" s="9"/>
      <c r="N77" s="10"/>
      <c r="O77" s="9"/>
      <c r="P77" s="9">
        <v>5676</v>
      </c>
      <c r="Q77" s="9"/>
      <c r="R77" s="9" t="s">
        <v>12795</v>
      </c>
      <c r="S77" s="9" t="s">
        <v>12795</v>
      </c>
      <c r="T77" s="9"/>
      <c r="U77" s="9"/>
      <c r="V77" s="9"/>
      <c r="W77" s="9"/>
      <c r="X77" s="9"/>
      <c r="Y77" s="9"/>
      <c r="Z77" s="9"/>
      <c r="AA77" s="9"/>
      <c r="AB77" s="9"/>
      <c r="AC77" s="9"/>
      <c r="AD77" s="9" t="s">
        <v>20</v>
      </c>
    </row>
    <row r="78" spans="1:30" ht="43.5">
      <c r="A78" s="3" t="s">
        <v>1273</v>
      </c>
      <c r="B78" s="3" t="s">
        <v>5890</v>
      </c>
      <c r="C78" s="3" t="s">
        <v>5891</v>
      </c>
      <c r="F78" t="s">
        <v>19</v>
      </c>
      <c r="G78" s="9" t="s">
        <v>25</v>
      </c>
      <c r="H78" s="9"/>
      <c r="I78" s="9">
        <v>1</v>
      </c>
      <c r="J78" s="9">
        <v>3</v>
      </c>
      <c r="K78" s="9" t="s">
        <v>12078</v>
      </c>
      <c r="L78" s="9" t="s">
        <v>12079</v>
      </c>
      <c r="M78" s="9"/>
      <c r="N78" s="10"/>
      <c r="O78" s="9"/>
      <c r="P78" s="9">
        <v>11843</v>
      </c>
      <c r="Q78" s="9"/>
      <c r="R78" s="9" t="s">
        <v>12795</v>
      </c>
      <c r="S78" s="9" t="s">
        <v>12795</v>
      </c>
      <c r="T78" s="9"/>
      <c r="U78" s="9"/>
      <c r="V78" s="9"/>
      <c r="W78" s="9"/>
      <c r="X78" s="9"/>
      <c r="Y78" s="9"/>
      <c r="Z78" s="9"/>
      <c r="AA78" s="9"/>
      <c r="AB78" s="9"/>
      <c r="AC78" s="9"/>
      <c r="AD78" s="9" t="s">
        <v>20</v>
      </c>
    </row>
    <row r="79" spans="1:30" ht="72.5">
      <c r="A79" s="3" t="s">
        <v>1277</v>
      </c>
      <c r="B79" s="3" t="s">
        <v>5896</v>
      </c>
      <c r="C79" s="3" t="s">
        <v>5895</v>
      </c>
      <c r="G79" s="9" t="s">
        <v>25</v>
      </c>
      <c r="H79" s="9"/>
      <c r="I79" s="9">
        <v>1</v>
      </c>
      <c r="J79" s="9">
        <v>3</v>
      </c>
      <c r="K79" s="9" t="s">
        <v>12087</v>
      </c>
      <c r="L79" s="9" t="s">
        <v>12079</v>
      </c>
      <c r="M79" s="9"/>
      <c r="N79" s="10"/>
      <c r="O79" s="9"/>
      <c r="P79" s="9">
        <v>5676</v>
      </c>
      <c r="Q79" s="9"/>
      <c r="R79" s="9" t="s">
        <v>12795</v>
      </c>
      <c r="S79" s="9" t="s">
        <v>12795</v>
      </c>
      <c r="T79" s="9"/>
      <c r="U79" s="9"/>
      <c r="V79" s="9"/>
      <c r="W79" s="9"/>
      <c r="X79" s="9"/>
      <c r="Y79" s="9"/>
      <c r="Z79" s="9"/>
      <c r="AA79" s="9"/>
      <c r="AB79" s="9"/>
      <c r="AC79" s="9"/>
      <c r="AD79" s="9" t="s">
        <v>20</v>
      </c>
    </row>
    <row r="80" spans="1:30" ht="43.5">
      <c r="A80" s="3" t="s">
        <v>1278</v>
      </c>
      <c r="B80" s="3" t="s">
        <v>5901</v>
      </c>
      <c r="C80" s="3" t="s">
        <v>5900</v>
      </c>
      <c r="G80" s="9" t="s">
        <v>25</v>
      </c>
      <c r="H80" s="9"/>
      <c r="I80" s="9">
        <v>1</v>
      </c>
      <c r="J80" s="9">
        <v>2</v>
      </c>
      <c r="K80" s="9" t="s">
        <v>12078</v>
      </c>
      <c r="L80" s="9" t="s">
        <v>12119</v>
      </c>
      <c r="M80" s="9"/>
      <c r="N80" s="10"/>
      <c r="O80" s="9"/>
      <c r="P80" s="9">
        <v>11843</v>
      </c>
      <c r="Q80" s="9"/>
      <c r="R80" s="9" t="s">
        <v>12795</v>
      </c>
      <c r="S80" s="9" t="s">
        <v>12795</v>
      </c>
      <c r="T80" s="9"/>
      <c r="U80" s="9"/>
      <c r="V80" s="9"/>
      <c r="W80" s="9"/>
      <c r="X80" s="9"/>
      <c r="Y80" s="9"/>
      <c r="Z80" s="9"/>
      <c r="AA80" s="9"/>
      <c r="AB80" s="9"/>
      <c r="AC80" s="9"/>
      <c r="AD80" s="9" t="s">
        <v>20</v>
      </c>
    </row>
    <row r="81" spans="1:30" ht="43.5">
      <c r="A81" s="3" t="s">
        <v>1299</v>
      </c>
      <c r="B81" s="3" t="s">
        <v>5918</v>
      </c>
      <c r="C81" s="3" t="s">
        <v>5919</v>
      </c>
      <c r="G81" s="9" t="s">
        <v>25</v>
      </c>
      <c r="H81" s="9"/>
      <c r="I81" s="9">
        <v>1</v>
      </c>
      <c r="J81" s="9">
        <v>3</v>
      </c>
      <c r="K81" s="9" t="s">
        <v>12078</v>
      </c>
      <c r="L81" s="9" t="s">
        <v>12073</v>
      </c>
      <c r="M81" s="9" t="s">
        <v>12149</v>
      </c>
      <c r="N81" s="10" t="s">
        <v>12143</v>
      </c>
      <c r="O81" s="9"/>
      <c r="P81" s="9">
        <v>11843</v>
      </c>
      <c r="Q81" s="9"/>
      <c r="R81" s="9" t="s">
        <v>12795</v>
      </c>
      <c r="S81" s="9" t="s">
        <v>12795</v>
      </c>
      <c r="T81" s="9"/>
      <c r="U81" s="9"/>
      <c r="V81" s="9"/>
      <c r="W81" s="9"/>
      <c r="X81" s="9"/>
      <c r="Y81" s="9"/>
      <c r="Z81" s="9"/>
      <c r="AA81" s="9"/>
      <c r="AB81" s="9"/>
      <c r="AC81" s="9"/>
      <c r="AD81" s="9" t="s">
        <v>20</v>
      </c>
    </row>
    <row r="82" spans="1:30" ht="29">
      <c r="A82" s="3" t="s">
        <v>1326</v>
      </c>
      <c r="B82" s="3" t="s">
        <v>5952</v>
      </c>
      <c r="C82" s="3" t="s">
        <v>5951</v>
      </c>
      <c r="F82" t="s">
        <v>19</v>
      </c>
      <c r="G82" s="9" t="s">
        <v>24</v>
      </c>
      <c r="H82" s="9"/>
      <c r="I82" s="9">
        <v>1</v>
      </c>
      <c r="J82" s="9">
        <v>3</v>
      </c>
      <c r="K82" s="9" t="s">
        <v>12078</v>
      </c>
      <c r="L82" s="9" t="s">
        <v>12079</v>
      </c>
      <c r="M82" s="9"/>
      <c r="N82" s="10"/>
      <c r="O82" s="9"/>
      <c r="P82" s="9">
        <v>11843</v>
      </c>
      <c r="Q82" s="9"/>
      <c r="R82" s="9" t="s">
        <v>12795</v>
      </c>
      <c r="S82" s="9" t="s">
        <v>12795</v>
      </c>
      <c r="T82" s="9"/>
      <c r="U82" s="9"/>
      <c r="V82" s="9"/>
      <c r="W82" s="9"/>
      <c r="X82" s="9"/>
      <c r="Y82" s="9"/>
      <c r="Z82" s="9"/>
      <c r="AA82" s="9"/>
      <c r="AB82" s="9"/>
      <c r="AC82" s="9"/>
      <c r="AD82" s="9" t="s">
        <v>13141</v>
      </c>
    </row>
    <row r="83" spans="1:30" ht="58">
      <c r="A83" s="3" t="s">
        <v>1337</v>
      </c>
      <c r="B83" s="3" t="s">
        <v>5975</v>
      </c>
      <c r="C83" s="3" t="s">
        <v>5974</v>
      </c>
      <c r="F83" t="s">
        <v>19</v>
      </c>
      <c r="G83" s="9" t="s">
        <v>25</v>
      </c>
      <c r="H83" s="9"/>
      <c r="I83" s="9">
        <v>1</v>
      </c>
      <c r="J83" s="9">
        <v>3</v>
      </c>
      <c r="K83" s="9" t="s">
        <v>12087</v>
      </c>
      <c r="L83" s="9" t="s">
        <v>12079</v>
      </c>
      <c r="M83" s="9"/>
      <c r="N83" s="10"/>
      <c r="O83" s="9"/>
      <c r="P83" s="9">
        <v>5676</v>
      </c>
      <c r="Q83" s="9"/>
      <c r="R83" s="9" t="s">
        <v>12795</v>
      </c>
      <c r="S83" s="9" t="s">
        <v>12795</v>
      </c>
      <c r="T83" s="9"/>
      <c r="U83" s="9"/>
      <c r="V83" s="9"/>
      <c r="W83" s="9"/>
      <c r="X83" s="9"/>
      <c r="Y83" s="9"/>
      <c r="Z83" s="9"/>
      <c r="AA83" s="9"/>
      <c r="AB83" s="9"/>
      <c r="AC83" s="9"/>
      <c r="AD83" s="9" t="s">
        <v>20</v>
      </c>
    </row>
    <row r="84" spans="1:30" ht="58">
      <c r="A84" s="3" t="s">
        <v>1337</v>
      </c>
      <c r="B84" s="3" t="s">
        <v>5976</v>
      </c>
      <c r="C84" s="3" t="s">
        <v>5974</v>
      </c>
      <c r="G84" s="9" t="s">
        <v>25</v>
      </c>
      <c r="H84" s="9"/>
      <c r="I84" s="9">
        <v>1</v>
      </c>
      <c r="J84" s="9">
        <v>1</v>
      </c>
      <c r="K84" s="9" t="s">
        <v>12078</v>
      </c>
      <c r="L84" s="9" t="s">
        <v>12119</v>
      </c>
      <c r="M84" s="9"/>
      <c r="N84" s="10"/>
      <c r="O84" s="9"/>
      <c r="P84" s="9">
        <v>11843</v>
      </c>
      <c r="Q84" s="9"/>
      <c r="R84" s="9" t="s">
        <v>12795</v>
      </c>
      <c r="S84" s="9" t="s">
        <v>12795</v>
      </c>
      <c r="T84" s="9"/>
      <c r="U84" s="9"/>
      <c r="V84" s="9"/>
      <c r="W84" s="9"/>
      <c r="X84" s="9"/>
      <c r="Y84" s="9"/>
      <c r="Z84" s="9"/>
      <c r="AA84" s="9"/>
      <c r="AB84" s="9"/>
      <c r="AC84" s="9"/>
      <c r="AD84" s="9" t="s">
        <v>20</v>
      </c>
    </row>
    <row r="85" spans="1:30" ht="29">
      <c r="A85" s="3" t="s">
        <v>1357</v>
      </c>
      <c r="B85" s="3" t="s">
        <v>5995</v>
      </c>
      <c r="C85" s="3" t="s">
        <v>5996</v>
      </c>
      <c r="F85" t="s">
        <v>19</v>
      </c>
      <c r="G85" s="9" t="s">
        <v>24</v>
      </c>
      <c r="H85" s="9"/>
      <c r="I85" s="9">
        <v>1</v>
      </c>
      <c r="J85" s="9">
        <v>1</v>
      </c>
      <c r="K85" s="9" t="s">
        <v>12078</v>
      </c>
      <c r="L85" s="9" t="s">
        <v>12119</v>
      </c>
      <c r="M85" s="9"/>
      <c r="N85" s="10"/>
      <c r="O85" s="9"/>
      <c r="P85" s="9">
        <v>11843</v>
      </c>
      <c r="Q85" s="9"/>
      <c r="R85" s="9" t="s">
        <v>12795</v>
      </c>
      <c r="S85" s="9" t="s">
        <v>12795</v>
      </c>
      <c r="T85" s="9"/>
      <c r="U85" s="9"/>
      <c r="V85" s="9"/>
      <c r="W85" s="9"/>
      <c r="X85" s="9"/>
      <c r="Y85" s="9"/>
      <c r="Z85" s="9"/>
      <c r="AA85" s="9"/>
      <c r="AB85" s="9"/>
      <c r="AC85" s="9"/>
      <c r="AD85" s="9" t="s">
        <v>20</v>
      </c>
    </row>
    <row r="86" spans="1:30" ht="101.5">
      <c r="A86" s="3" t="s">
        <v>1365</v>
      </c>
      <c r="B86" s="3" t="s">
        <v>6014</v>
      </c>
      <c r="C86" s="3" t="s">
        <v>6011</v>
      </c>
      <c r="F86" t="s">
        <v>19</v>
      </c>
      <c r="G86" s="9" t="s">
        <v>25</v>
      </c>
      <c r="H86" s="9"/>
      <c r="I86" s="9">
        <v>1</v>
      </c>
      <c r="J86" s="9">
        <v>3</v>
      </c>
      <c r="K86" s="9" t="s">
        <v>12078</v>
      </c>
      <c r="L86" s="9" t="s">
        <v>12079</v>
      </c>
      <c r="M86" s="9"/>
      <c r="N86" s="10"/>
      <c r="O86" s="9"/>
      <c r="P86" s="9">
        <v>11843</v>
      </c>
      <c r="Q86" s="9"/>
      <c r="R86" s="9" t="s">
        <v>12795</v>
      </c>
      <c r="S86" s="9" t="s">
        <v>12795</v>
      </c>
      <c r="T86" s="9"/>
      <c r="U86" s="9"/>
      <c r="V86" s="9"/>
      <c r="W86" s="9"/>
      <c r="X86" s="9"/>
      <c r="Y86" s="9"/>
      <c r="Z86" s="9"/>
      <c r="AA86" s="9"/>
      <c r="AB86" s="9"/>
      <c r="AC86" s="9"/>
      <c r="AD86" s="9" t="s">
        <v>20</v>
      </c>
    </row>
    <row r="87" spans="1:30" ht="72.5">
      <c r="A87" s="3" t="s">
        <v>1370</v>
      </c>
      <c r="B87" s="3" t="s">
        <v>6017</v>
      </c>
      <c r="C87" s="3" t="s">
        <v>6018</v>
      </c>
      <c r="G87" s="9" t="s">
        <v>24</v>
      </c>
      <c r="H87" s="9"/>
      <c r="I87" s="9">
        <v>1</v>
      </c>
      <c r="J87" s="9">
        <v>6</v>
      </c>
      <c r="K87" s="9" t="s">
        <v>12092</v>
      </c>
      <c r="L87" s="9" t="s">
        <v>12073</v>
      </c>
      <c r="M87" s="9" t="s">
        <v>12142</v>
      </c>
      <c r="N87" s="10" t="s">
        <v>12158</v>
      </c>
      <c r="O87" s="9" t="s">
        <v>12074</v>
      </c>
      <c r="P87" s="9">
        <v>5</v>
      </c>
      <c r="Q87" s="9"/>
      <c r="R87" s="9" t="s">
        <v>12795</v>
      </c>
      <c r="S87" s="9" t="s">
        <v>12795</v>
      </c>
      <c r="T87" s="9"/>
      <c r="U87" s="9"/>
      <c r="V87" s="9"/>
      <c r="W87" s="9"/>
      <c r="X87" s="9"/>
      <c r="Y87" s="9"/>
      <c r="Z87" s="9"/>
      <c r="AA87" s="9"/>
      <c r="AB87" s="9"/>
      <c r="AC87" s="9"/>
      <c r="AD87" s="9" t="s">
        <v>20</v>
      </c>
    </row>
    <row r="88" spans="1:30" ht="203">
      <c r="A88" s="3" t="s">
        <v>1380</v>
      </c>
      <c r="B88" s="3" t="s">
        <v>6032</v>
      </c>
      <c r="C88" s="3" t="s">
        <v>6029</v>
      </c>
      <c r="F88" t="s">
        <v>22</v>
      </c>
      <c r="G88" s="9" t="s">
        <v>25</v>
      </c>
      <c r="H88" s="9"/>
      <c r="I88" s="9">
        <v>3</v>
      </c>
      <c r="J88" s="9">
        <v>14</v>
      </c>
      <c r="K88" s="9"/>
      <c r="L88" s="9" t="s">
        <v>12079</v>
      </c>
      <c r="M88" s="9"/>
      <c r="N88" s="10"/>
      <c r="O88" s="9"/>
      <c r="P88" s="9">
        <v>186</v>
      </c>
      <c r="Q88" s="9"/>
      <c r="R88" s="9" t="s">
        <v>12795</v>
      </c>
      <c r="S88" s="9" t="s">
        <v>12795</v>
      </c>
      <c r="T88" s="9"/>
      <c r="U88" s="9"/>
      <c r="V88" s="9"/>
      <c r="W88" s="9"/>
      <c r="X88" s="9"/>
      <c r="Y88" s="9"/>
      <c r="Z88" s="9"/>
      <c r="AA88" s="9"/>
      <c r="AB88" s="9"/>
      <c r="AC88" s="9"/>
      <c r="AD88" s="9" t="s">
        <v>20</v>
      </c>
    </row>
    <row r="89" spans="1:30" ht="116">
      <c r="A89" s="3" t="s">
        <v>1384</v>
      </c>
      <c r="B89" s="3" t="s">
        <v>6037</v>
      </c>
      <c r="C89" s="3" t="s">
        <v>6036</v>
      </c>
      <c r="F89" t="s">
        <v>19</v>
      </c>
      <c r="G89" s="9" t="s">
        <v>25</v>
      </c>
      <c r="H89" s="9"/>
      <c r="I89" s="9">
        <v>1</v>
      </c>
      <c r="J89" s="9">
        <v>8</v>
      </c>
      <c r="K89" s="9" t="s">
        <v>12098</v>
      </c>
      <c r="L89" s="9" t="s">
        <v>12079</v>
      </c>
      <c r="M89" s="9"/>
      <c r="N89" s="10"/>
      <c r="O89" s="9"/>
      <c r="P89" s="9">
        <v>35</v>
      </c>
      <c r="Q89" s="9"/>
      <c r="R89" s="9" t="s">
        <v>12795</v>
      </c>
      <c r="S89" s="9" t="s">
        <v>12795</v>
      </c>
      <c r="T89" s="9"/>
      <c r="U89" s="9"/>
      <c r="V89" s="9"/>
      <c r="W89" s="9"/>
      <c r="X89" s="9"/>
      <c r="Y89" s="9"/>
      <c r="Z89" s="9"/>
      <c r="AA89" s="9"/>
      <c r="AB89" s="9"/>
      <c r="AC89" s="9"/>
      <c r="AD89" s="9" t="s">
        <v>20</v>
      </c>
    </row>
    <row r="90" spans="1:30" ht="116">
      <c r="A90" s="3" t="s">
        <v>1384</v>
      </c>
      <c r="B90" s="3" t="s">
        <v>6038</v>
      </c>
      <c r="C90" s="3" t="s">
        <v>6036</v>
      </c>
      <c r="F90" t="s">
        <v>19</v>
      </c>
      <c r="G90" s="9" t="s">
        <v>25</v>
      </c>
      <c r="H90" s="9"/>
      <c r="I90" s="9">
        <v>1</v>
      </c>
      <c r="J90" s="9">
        <v>5</v>
      </c>
      <c r="K90" s="9" t="s">
        <v>12094</v>
      </c>
      <c r="L90" s="9" t="s">
        <v>12079</v>
      </c>
      <c r="M90" s="9"/>
      <c r="N90" s="10"/>
      <c r="O90" s="9"/>
      <c r="P90" s="9">
        <v>4240</v>
      </c>
      <c r="Q90" s="9"/>
      <c r="R90" s="9" t="s">
        <v>12795</v>
      </c>
      <c r="S90" s="9" t="s">
        <v>12795</v>
      </c>
      <c r="T90" s="9"/>
      <c r="U90" s="9"/>
      <c r="V90" s="9"/>
      <c r="W90" s="9"/>
      <c r="X90" s="9"/>
      <c r="Y90" s="9"/>
      <c r="Z90" s="9"/>
      <c r="AA90" s="9"/>
      <c r="AB90" s="9"/>
      <c r="AC90" s="9"/>
      <c r="AD90" s="9" t="s">
        <v>20</v>
      </c>
    </row>
    <row r="91" spans="1:30" ht="116">
      <c r="A91" s="3" t="s">
        <v>1384</v>
      </c>
      <c r="B91" s="3" t="s">
        <v>6039</v>
      </c>
      <c r="C91" s="3" t="s">
        <v>6036</v>
      </c>
      <c r="F91" t="s">
        <v>19</v>
      </c>
      <c r="G91" s="9" t="s">
        <v>25</v>
      </c>
      <c r="H91" s="9"/>
      <c r="I91" s="9">
        <v>1</v>
      </c>
      <c r="J91" s="9">
        <v>6</v>
      </c>
      <c r="K91" s="9" t="s">
        <v>12084</v>
      </c>
      <c r="L91" s="9" t="s">
        <v>12079</v>
      </c>
      <c r="M91" s="9"/>
      <c r="N91" s="10"/>
      <c r="O91" s="9"/>
      <c r="P91" s="9">
        <v>32</v>
      </c>
      <c r="Q91" s="9"/>
      <c r="R91" s="9" t="s">
        <v>12795</v>
      </c>
      <c r="S91" s="9" t="s">
        <v>12795</v>
      </c>
      <c r="T91" s="9"/>
      <c r="U91" s="9"/>
      <c r="V91" s="9"/>
      <c r="W91" s="9"/>
      <c r="X91" s="9"/>
      <c r="Y91" s="9"/>
      <c r="Z91" s="9"/>
      <c r="AA91" s="9"/>
      <c r="AB91" s="9"/>
      <c r="AC91" s="9"/>
      <c r="AD91" s="9" t="s">
        <v>20</v>
      </c>
    </row>
    <row r="92" spans="1:30" ht="29">
      <c r="A92" s="3" t="s">
        <v>1402</v>
      </c>
      <c r="B92" s="3" t="s">
        <v>6053</v>
      </c>
      <c r="C92" s="3" t="s">
        <v>6052</v>
      </c>
      <c r="G92" s="9" t="s">
        <v>24</v>
      </c>
      <c r="H92" s="9"/>
      <c r="I92" s="9">
        <v>1</v>
      </c>
      <c r="J92" s="9">
        <v>3</v>
      </c>
      <c r="K92" s="9" t="s">
        <v>12078</v>
      </c>
      <c r="L92" s="9" t="s">
        <v>12079</v>
      </c>
      <c r="M92" s="9"/>
      <c r="N92" s="10"/>
      <c r="O92" s="9"/>
      <c r="P92" s="9">
        <v>11843</v>
      </c>
      <c r="Q92" s="9"/>
      <c r="R92" s="9" t="s">
        <v>12795</v>
      </c>
      <c r="S92" s="9" t="s">
        <v>12795</v>
      </c>
      <c r="T92" s="9"/>
      <c r="U92" s="9"/>
      <c r="V92" s="9"/>
      <c r="W92" s="9"/>
      <c r="X92" s="9"/>
      <c r="Y92" s="9"/>
      <c r="Z92" s="9"/>
      <c r="AA92" s="9"/>
      <c r="AB92" s="9"/>
      <c r="AC92" s="9"/>
      <c r="AD92" s="9" t="s">
        <v>20</v>
      </c>
    </row>
    <row r="93" spans="1:30" ht="58">
      <c r="A93" s="3" t="s">
        <v>1419</v>
      </c>
      <c r="B93" s="3" t="s">
        <v>6078</v>
      </c>
      <c r="C93" s="3" t="s">
        <v>6079</v>
      </c>
      <c r="G93" s="9" t="s">
        <v>25</v>
      </c>
      <c r="H93" s="9"/>
      <c r="I93" s="9">
        <v>1</v>
      </c>
      <c r="J93" s="9">
        <v>6</v>
      </c>
      <c r="K93" s="9" t="s">
        <v>12094</v>
      </c>
      <c r="L93" s="9" t="s">
        <v>12079</v>
      </c>
      <c r="M93" s="9"/>
      <c r="N93" s="10"/>
      <c r="O93" s="9"/>
      <c r="P93" s="9">
        <v>4240</v>
      </c>
      <c r="Q93" s="9"/>
      <c r="R93" s="9" t="s">
        <v>12795</v>
      </c>
      <c r="S93" s="9" t="s">
        <v>12795</v>
      </c>
      <c r="T93" s="9"/>
      <c r="U93" s="9"/>
      <c r="V93" s="9"/>
      <c r="W93" s="9"/>
      <c r="X93" s="9"/>
      <c r="Y93" s="9"/>
      <c r="Z93" s="9"/>
      <c r="AA93" s="9"/>
      <c r="AB93" s="9"/>
      <c r="AC93" s="9"/>
      <c r="AD93" s="9" t="s">
        <v>20</v>
      </c>
    </row>
    <row r="94" spans="1:30" ht="43.5">
      <c r="A94" s="3" t="s">
        <v>1421</v>
      </c>
      <c r="B94" s="3" t="s">
        <v>6082</v>
      </c>
      <c r="C94" s="3" t="s">
        <v>6083</v>
      </c>
      <c r="G94" s="9" t="s">
        <v>25</v>
      </c>
      <c r="H94" s="9"/>
      <c r="I94" s="9">
        <v>1</v>
      </c>
      <c r="J94" s="9">
        <v>3</v>
      </c>
      <c r="K94" s="9" t="s">
        <v>12078</v>
      </c>
      <c r="L94" s="9" t="s">
        <v>12073</v>
      </c>
      <c r="M94" s="9" t="s">
        <v>12149</v>
      </c>
      <c r="N94" s="10" t="s">
        <v>12143</v>
      </c>
      <c r="O94" s="9"/>
      <c r="P94" s="9">
        <v>11843</v>
      </c>
      <c r="Q94" s="9"/>
      <c r="R94" s="9" t="s">
        <v>12795</v>
      </c>
      <c r="S94" s="9" t="s">
        <v>12795</v>
      </c>
      <c r="T94" s="9"/>
      <c r="U94" s="9"/>
      <c r="V94" s="9"/>
      <c r="W94" s="9"/>
      <c r="X94" s="9"/>
      <c r="Y94" s="9"/>
      <c r="Z94" s="9"/>
      <c r="AA94" s="9"/>
      <c r="AB94" s="9"/>
      <c r="AC94" s="9"/>
      <c r="AD94" s="9" t="s">
        <v>20</v>
      </c>
    </row>
    <row r="95" spans="1:30" ht="43.5">
      <c r="A95" s="3" t="s">
        <v>1421</v>
      </c>
      <c r="B95" s="3" t="s">
        <v>6084</v>
      </c>
      <c r="C95" s="3" t="s">
        <v>6085</v>
      </c>
      <c r="G95" s="9" t="s">
        <v>25</v>
      </c>
      <c r="H95" s="9"/>
      <c r="I95" s="9">
        <v>1</v>
      </c>
      <c r="J95" s="9">
        <v>3</v>
      </c>
      <c r="K95" s="9" t="s">
        <v>12078</v>
      </c>
      <c r="L95" s="9" t="s">
        <v>12073</v>
      </c>
      <c r="M95" s="9" t="s">
        <v>12149</v>
      </c>
      <c r="N95" s="10" t="s">
        <v>12143</v>
      </c>
      <c r="O95" s="9"/>
      <c r="P95" s="9">
        <v>11843</v>
      </c>
      <c r="Q95" s="9"/>
      <c r="R95" s="9" t="s">
        <v>12795</v>
      </c>
      <c r="S95" s="9" t="s">
        <v>12795</v>
      </c>
      <c r="T95" s="9"/>
      <c r="U95" s="9"/>
      <c r="V95" s="9"/>
      <c r="W95" s="9"/>
      <c r="X95" s="9"/>
      <c r="Y95" s="9"/>
      <c r="Z95" s="9"/>
      <c r="AA95" s="9"/>
      <c r="AB95" s="9"/>
      <c r="AC95" s="9"/>
      <c r="AD95" s="9" t="s">
        <v>20</v>
      </c>
    </row>
    <row r="96" spans="1:30" ht="72.5">
      <c r="A96" s="3" t="s">
        <v>1432</v>
      </c>
      <c r="B96" s="3" t="s">
        <v>6088</v>
      </c>
      <c r="C96" s="3" t="s">
        <v>6089</v>
      </c>
      <c r="G96" s="9" t="s">
        <v>24</v>
      </c>
      <c r="H96" s="9"/>
      <c r="I96" s="9">
        <v>1</v>
      </c>
      <c r="J96" s="9">
        <v>3</v>
      </c>
      <c r="K96" s="9" t="s">
        <v>12078</v>
      </c>
      <c r="L96" s="9" t="s">
        <v>12073</v>
      </c>
      <c r="M96" s="9" t="s">
        <v>12142</v>
      </c>
      <c r="N96" s="10" t="s">
        <v>12143</v>
      </c>
      <c r="O96" s="9" t="s">
        <v>12074</v>
      </c>
      <c r="P96" s="9">
        <v>11843</v>
      </c>
      <c r="Q96" s="9"/>
      <c r="R96" s="9" t="s">
        <v>12795</v>
      </c>
      <c r="S96" s="9" t="s">
        <v>12795</v>
      </c>
      <c r="T96" s="9"/>
      <c r="U96" s="9"/>
      <c r="V96" s="9"/>
      <c r="W96" s="9"/>
      <c r="X96" s="9"/>
      <c r="Y96" s="9"/>
      <c r="Z96" s="9"/>
      <c r="AA96" s="9"/>
      <c r="AB96" s="9"/>
      <c r="AC96" s="9"/>
      <c r="AD96" s="9" t="s">
        <v>20</v>
      </c>
    </row>
    <row r="97" spans="1:30" ht="145">
      <c r="A97" s="3" t="s">
        <v>1441</v>
      </c>
      <c r="B97" s="3" t="s">
        <v>6117</v>
      </c>
      <c r="C97" s="3" t="s">
        <v>6115</v>
      </c>
      <c r="G97" s="9" t="s">
        <v>25</v>
      </c>
      <c r="H97" s="9"/>
      <c r="I97" s="9">
        <v>4</v>
      </c>
      <c r="J97" s="9">
        <v>14</v>
      </c>
      <c r="K97" s="9"/>
      <c r="L97" s="9" t="s">
        <v>12073</v>
      </c>
      <c r="M97" s="9" t="s">
        <v>12135</v>
      </c>
      <c r="N97" s="10" t="s">
        <v>12233</v>
      </c>
      <c r="O97" s="9"/>
      <c r="P97" s="9">
        <v>11</v>
      </c>
      <c r="Q97" s="9"/>
      <c r="R97" s="9" t="s">
        <v>12795</v>
      </c>
      <c r="S97" s="9" t="s">
        <v>12795</v>
      </c>
      <c r="T97" s="9"/>
      <c r="U97" s="9"/>
      <c r="V97" s="9"/>
      <c r="W97" s="9"/>
      <c r="X97" s="9"/>
      <c r="Y97" s="9"/>
      <c r="Z97" s="9"/>
      <c r="AA97" s="9"/>
      <c r="AB97" s="9"/>
      <c r="AC97" s="9"/>
      <c r="AD97" s="9" t="s">
        <v>20</v>
      </c>
    </row>
    <row r="98" spans="1:30" ht="43.5">
      <c r="A98" s="3" t="s">
        <v>1458</v>
      </c>
      <c r="B98" s="3" t="s">
        <v>6152</v>
      </c>
      <c r="C98" s="3" t="s">
        <v>6153</v>
      </c>
      <c r="G98" s="9" t="s">
        <v>24</v>
      </c>
      <c r="H98" s="9"/>
      <c r="I98" s="9">
        <v>1</v>
      </c>
      <c r="J98" s="9">
        <v>2</v>
      </c>
      <c r="K98" s="9" t="s">
        <v>12123</v>
      </c>
      <c r="L98" s="9" t="s">
        <v>12119</v>
      </c>
      <c r="M98" s="9"/>
      <c r="N98" s="10"/>
      <c r="O98" s="9" t="s">
        <v>12074</v>
      </c>
      <c r="P98" s="9">
        <v>887</v>
      </c>
      <c r="Q98" s="9"/>
      <c r="R98" s="9" t="s">
        <v>12795</v>
      </c>
      <c r="S98" s="9" t="s">
        <v>12795</v>
      </c>
      <c r="T98" s="9" t="s">
        <v>12117</v>
      </c>
      <c r="U98" s="9"/>
      <c r="V98" s="9"/>
      <c r="W98" s="9"/>
      <c r="X98" s="9"/>
      <c r="Y98" s="9"/>
      <c r="Z98" s="9"/>
      <c r="AA98" s="9"/>
      <c r="AB98" s="9"/>
      <c r="AC98" s="9"/>
      <c r="AD98" s="9" t="s">
        <v>20</v>
      </c>
    </row>
    <row r="99" spans="1:30" ht="87">
      <c r="A99" s="3" t="s">
        <v>1488</v>
      </c>
      <c r="B99" s="3" t="s">
        <v>6190</v>
      </c>
      <c r="C99" s="3" t="s">
        <v>6195</v>
      </c>
      <c r="G99" s="9" t="s">
        <v>24</v>
      </c>
      <c r="H99" s="9"/>
      <c r="I99" s="9">
        <v>1</v>
      </c>
      <c r="J99" s="9">
        <v>2</v>
      </c>
      <c r="K99" s="9" t="s">
        <v>12078</v>
      </c>
      <c r="L99" s="9" t="s">
        <v>12119</v>
      </c>
      <c r="M99" s="9"/>
      <c r="N99" s="10"/>
      <c r="O99" s="9"/>
      <c r="P99" s="9">
        <v>11843</v>
      </c>
      <c r="Q99" s="9"/>
      <c r="R99" s="9" t="s">
        <v>12795</v>
      </c>
      <c r="S99" s="9" t="s">
        <v>12795</v>
      </c>
      <c r="T99" s="9"/>
      <c r="U99" s="9"/>
      <c r="V99" s="9"/>
      <c r="W99" s="9"/>
      <c r="X99" s="9"/>
      <c r="Y99" s="9"/>
      <c r="Z99" s="9"/>
      <c r="AA99" s="9"/>
      <c r="AB99" s="9"/>
      <c r="AC99" s="9"/>
      <c r="AD99" s="9" t="s">
        <v>13141</v>
      </c>
    </row>
    <row r="100" spans="1:30" ht="159.5">
      <c r="A100" s="3" t="s">
        <v>1495</v>
      </c>
      <c r="B100" s="3" t="s">
        <v>12252</v>
      </c>
      <c r="C100" s="3" t="s">
        <v>12251</v>
      </c>
      <c r="G100" s="9" t="s">
        <v>25</v>
      </c>
      <c r="H100" s="9"/>
      <c r="I100" s="9">
        <v>6</v>
      </c>
      <c r="J100" s="9">
        <v>31</v>
      </c>
      <c r="K100" s="9"/>
      <c r="L100" s="9" t="s">
        <v>12073</v>
      </c>
      <c r="M100" s="9" t="s">
        <v>12140</v>
      </c>
      <c r="N100" s="10" t="s">
        <v>12193</v>
      </c>
      <c r="O100" s="9"/>
      <c r="P100" s="9">
        <v>81</v>
      </c>
      <c r="Q100" s="9"/>
      <c r="R100" s="9" t="s">
        <v>12795</v>
      </c>
      <c r="S100" s="9" t="s">
        <v>12795</v>
      </c>
      <c r="T100" s="9"/>
      <c r="U100" s="9"/>
      <c r="V100" s="9"/>
      <c r="W100" s="9"/>
      <c r="X100" s="9"/>
      <c r="Y100" s="9"/>
      <c r="Z100" s="9"/>
      <c r="AA100" s="9"/>
      <c r="AB100" s="9"/>
      <c r="AC100" s="9"/>
      <c r="AD100" s="9" t="s">
        <v>20</v>
      </c>
    </row>
    <row r="101" spans="1:30" ht="43.5">
      <c r="A101" s="3" t="s">
        <v>1503</v>
      </c>
      <c r="B101" s="3" t="s">
        <v>6203</v>
      </c>
      <c r="C101" s="3" t="s">
        <v>6202</v>
      </c>
      <c r="G101" s="9" t="s">
        <v>25</v>
      </c>
      <c r="H101" s="9"/>
      <c r="I101" s="9">
        <v>1</v>
      </c>
      <c r="J101" s="9">
        <v>5</v>
      </c>
      <c r="K101" s="9" t="s">
        <v>12125</v>
      </c>
      <c r="L101" s="9" t="s">
        <v>12079</v>
      </c>
      <c r="M101" s="9"/>
      <c r="N101" s="10"/>
      <c r="O101" s="9"/>
      <c r="P101" s="9">
        <v>1565</v>
      </c>
      <c r="Q101" s="9"/>
      <c r="R101" s="9" t="s">
        <v>12795</v>
      </c>
      <c r="S101" s="9" t="s">
        <v>12795</v>
      </c>
      <c r="T101" s="9"/>
      <c r="U101" s="9"/>
      <c r="V101" s="9"/>
      <c r="W101" s="9"/>
      <c r="X101" s="9"/>
      <c r="Y101" s="9"/>
      <c r="Z101" s="9"/>
      <c r="AA101" s="9"/>
      <c r="AB101" s="9"/>
      <c r="AC101" s="9"/>
      <c r="AD101" s="9" t="s">
        <v>20</v>
      </c>
    </row>
    <row r="102" spans="1:30" ht="43.5">
      <c r="A102" s="3" t="s">
        <v>1517</v>
      </c>
      <c r="B102" s="3" t="s">
        <v>6226</v>
      </c>
      <c r="C102" s="3" t="s">
        <v>6227</v>
      </c>
      <c r="G102" s="9" t="s">
        <v>25</v>
      </c>
      <c r="H102" s="9"/>
      <c r="I102" s="9">
        <v>1</v>
      </c>
      <c r="J102" s="9">
        <v>3</v>
      </c>
      <c r="K102" s="9" t="s">
        <v>12078</v>
      </c>
      <c r="L102" s="9" t="s">
        <v>12073</v>
      </c>
      <c r="M102" s="9" t="s">
        <v>12149</v>
      </c>
      <c r="N102" s="10" t="s">
        <v>12136</v>
      </c>
      <c r="O102" s="9"/>
      <c r="P102" s="9">
        <v>11843</v>
      </c>
      <c r="Q102" s="9"/>
      <c r="R102" s="9" t="s">
        <v>12795</v>
      </c>
      <c r="S102" s="9" t="s">
        <v>12795</v>
      </c>
      <c r="T102" s="9"/>
      <c r="U102" s="9"/>
      <c r="V102" s="9"/>
      <c r="W102" s="9"/>
      <c r="X102" s="9"/>
      <c r="Y102" s="9"/>
      <c r="Z102" s="9"/>
      <c r="AA102" s="9"/>
      <c r="AB102" s="9"/>
      <c r="AC102" s="9"/>
      <c r="AD102" s="9" t="s">
        <v>20</v>
      </c>
    </row>
    <row r="103" spans="1:30" ht="43.5">
      <c r="A103" s="3" t="s">
        <v>1521</v>
      </c>
      <c r="B103" s="3" t="s">
        <v>6235</v>
      </c>
      <c r="C103" s="11" t="s">
        <v>6236</v>
      </c>
      <c r="G103" s="9" t="s">
        <v>25</v>
      </c>
      <c r="H103" s="9"/>
      <c r="I103" s="9">
        <v>2</v>
      </c>
      <c r="J103" s="9">
        <v>5</v>
      </c>
      <c r="K103" s="9"/>
      <c r="L103" s="9" t="s">
        <v>12073</v>
      </c>
      <c r="M103" s="9" t="s">
        <v>12149</v>
      </c>
      <c r="N103" s="10" t="s">
        <v>12160</v>
      </c>
      <c r="O103" s="9"/>
      <c r="P103" s="9">
        <v>472</v>
      </c>
      <c r="Q103" s="9"/>
      <c r="R103" s="9" t="s">
        <v>12795</v>
      </c>
      <c r="S103" s="9" t="s">
        <v>12795</v>
      </c>
      <c r="T103" s="9"/>
      <c r="U103" s="9"/>
      <c r="V103" s="9"/>
      <c r="W103" s="9"/>
      <c r="X103" s="9"/>
      <c r="Y103" s="9"/>
      <c r="Z103" s="9"/>
      <c r="AA103" s="9"/>
      <c r="AB103" s="9"/>
      <c r="AC103" s="9"/>
      <c r="AD103" s="9" t="s">
        <v>20</v>
      </c>
    </row>
    <row r="104" spans="1:30" ht="101.5">
      <c r="A104" s="3" t="s">
        <v>1527</v>
      </c>
      <c r="B104" s="3" t="s">
        <v>6248</v>
      </c>
      <c r="C104" s="3" t="s">
        <v>6249</v>
      </c>
      <c r="G104" s="9" t="s">
        <v>25</v>
      </c>
      <c r="H104" s="9"/>
      <c r="I104" s="9">
        <v>3</v>
      </c>
      <c r="J104" s="9">
        <v>14</v>
      </c>
      <c r="K104" s="9"/>
      <c r="L104" s="9" t="s">
        <v>12073</v>
      </c>
      <c r="M104" s="9" t="s">
        <v>12140</v>
      </c>
      <c r="N104" s="10" t="s">
        <v>12136</v>
      </c>
      <c r="O104" s="9"/>
      <c r="P104" s="9">
        <v>12</v>
      </c>
      <c r="Q104" s="9"/>
      <c r="R104" s="9" t="s">
        <v>12795</v>
      </c>
      <c r="S104" s="9" t="s">
        <v>12795</v>
      </c>
      <c r="T104" s="9"/>
      <c r="U104" s="9"/>
      <c r="V104" s="9"/>
      <c r="W104" s="9"/>
      <c r="X104" s="9"/>
      <c r="Y104" s="9"/>
      <c r="Z104" s="9"/>
      <c r="AA104" s="9"/>
      <c r="AB104" s="9"/>
      <c r="AC104" s="9"/>
      <c r="AD104" s="9" t="s">
        <v>20</v>
      </c>
    </row>
    <row r="105" spans="1:30" ht="43.5">
      <c r="A105" s="3" t="s">
        <v>1531</v>
      </c>
      <c r="B105" s="3" t="s">
        <v>6262</v>
      </c>
      <c r="C105" s="3" t="s">
        <v>6263</v>
      </c>
      <c r="G105" s="9" t="s">
        <v>25</v>
      </c>
      <c r="H105" s="9"/>
      <c r="I105" s="9">
        <v>1</v>
      </c>
      <c r="J105" s="9">
        <v>2</v>
      </c>
      <c r="K105" s="9" t="s">
        <v>12094</v>
      </c>
      <c r="L105" s="9" t="s">
        <v>12119</v>
      </c>
      <c r="M105" s="9"/>
      <c r="N105" s="10"/>
      <c r="O105" s="9"/>
      <c r="P105" s="9">
        <v>1741</v>
      </c>
      <c r="Q105" s="9"/>
      <c r="R105" s="9" t="s">
        <v>12795</v>
      </c>
      <c r="S105" s="9" t="s">
        <v>12795</v>
      </c>
      <c r="T105" s="9"/>
      <c r="U105" s="9"/>
      <c r="V105" s="9"/>
      <c r="W105" s="9"/>
      <c r="X105" s="9"/>
      <c r="Y105" s="9"/>
      <c r="Z105" s="9"/>
      <c r="AA105" s="9"/>
      <c r="AB105" s="9"/>
      <c r="AC105" s="9"/>
      <c r="AD105" s="9" t="s">
        <v>20</v>
      </c>
    </row>
    <row r="106" spans="1:30" ht="29">
      <c r="A106" s="3" t="s">
        <v>1536</v>
      </c>
      <c r="B106" s="3" t="s">
        <v>6273</v>
      </c>
      <c r="C106" s="3" t="s">
        <v>6275</v>
      </c>
      <c r="G106" s="9" t="s">
        <v>25</v>
      </c>
      <c r="H106" s="9"/>
      <c r="I106" s="9">
        <v>1</v>
      </c>
      <c r="J106" s="9">
        <v>5</v>
      </c>
      <c r="K106" s="9" t="s">
        <v>12094</v>
      </c>
      <c r="L106" s="9" t="s">
        <v>12073</v>
      </c>
      <c r="M106" s="9" t="s">
        <v>12142</v>
      </c>
      <c r="N106" s="10" t="s">
        <v>12160</v>
      </c>
      <c r="O106" s="9"/>
      <c r="P106" s="9">
        <v>4240</v>
      </c>
      <c r="Q106" s="9"/>
      <c r="R106" s="9" t="s">
        <v>12795</v>
      </c>
      <c r="S106" s="9" t="s">
        <v>12795</v>
      </c>
      <c r="T106" s="9" t="s">
        <v>4</v>
      </c>
      <c r="U106" s="9"/>
      <c r="V106" s="9"/>
      <c r="W106" s="9"/>
      <c r="X106" s="9"/>
      <c r="Y106" s="9"/>
      <c r="Z106" s="9"/>
      <c r="AA106" s="9"/>
      <c r="AB106" s="9"/>
      <c r="AC106" s="9"/>
      <c r="AD106" s="9" t="s">
        <v>20</v>
      </c>
    </row>
    <row r="107" spans="1:30" ht="29">
      <c r="A107" s="3" t="s">
        <v>1542</v>
      </c>
      <c r="B107" s="3" t="s">
        <v>6292</v>
      </c>
      <c r="C107" s="3" t="s">
        <v>6293</v>
      </c>
      <c r="F107" t="s">
        <v>19</v>
      </c>
      <c r="G107" s="9" t="s">
        <v>24</v>
      </c>
      <c r="H107" s="9"/>
      <c r="I107" s="9">
        <v>1</v>
      </c>
      <c r="J107" s="9">
        <v>5</v>
      </c>
      <c r="K107" s="9" t="s">
        <v>12094</v>
      </c>
      <c r="L107" s="9" t="s">
        <v>12073</v>
      </c>
      <c r="M107" s="9" t="s">
        <v>12149</v>
      </c>
      <c r="N107" s="10" t="s">
        <v>12143</v>
      </c>
      <c r="O107" s="9"/>
      <c r="P107" s="9">
        <v>930</v>
      </c>
      <c r="Q107" s="9"/>
      <c r="R107" s="9" t="s">
        <v>12795</v>
      </c>
      <c r="S107" s="9" t="s">
        <v>12795</v>
      </c>
      <c r="T107" s="9"/>
      <c r="U107" s="9"/>
      <c r="V107" s="9"/>
      <c r="W107" s="9"/>
      <c r="X107" s="9"/>
      <c r="Y107" s="9"/>
      <c r="Z107" s="9"/>
      <c r="AA107" s="9"/>
      <c r="AB107" s="9"/>
      <c r="AC107" s="9"/>
      <c r="AD107" s="9" t="s">
        <v>20</v>
      </c>
    </row>
    <row r="108" spans="1:30" ht="29">
      <c r="A108" s="3" t="s">
        <v>1558</v>
      </c>
      <c r="B108" s="3" t="s">
        <v>6306</v>
      </c>
      <c r="C108" s="3" t="s">
        <v>6307</v>
      </c>
      <c r="G108" s="9" t="s">
        <v>25</v>
      </c>
      <c r="H108" s="9"/>
      <c r="I108" s="9">
        <v>1</v>
      </c>
      <c r="J108" s="9">
        <v>2</v>
      </c>
      <c r="K108" s="9" t="s">
        <v>12078</v>
      </c>
      <c r="L108" s="9" t="s">
        <v>12119</v>
      </c>
      <c r="M108" s="9"/>
      <c r="N108" s="10"/>
      <c r="O108" s="9" t="s">
        <v>12074</v>
      </c>
      <c r="P108" s="9">
        <v>11843</v>
      </c>
      <c r="Q108" s="9"/>
      <c r="R108" s="9" t="s">
        <v>12795</v>
      </c>
      <c r="S108" s="9" t="s">
        <v>12795</v>
      </c>
      <c r="T108" s="9"/>
      <c r="U108" s="9"/>
      <c r="V108" s="9"/>
      <c r="W108" s="9"/>
      <c r="X108" s="9"/>
      <c r="Y108" s="9"/>
      <c r="Z108" s="9"/>
      <c r="AA108" s="9"/>
      <c r="AB108" s="9"/>
      <c r="AC108" s="9"/>
      <c r="AD108" s="9" t="s">
        <v>20</v>
      </c>
    </row>
    <row r="109" spans="1:30" ht="87">
      <c r="A109" s="3" t="s">
        <v>1569</v>
      </c>
      <c r="B109" s="3" t="s">
        <v>6318</v>
      </c>
      <c r="C109" s="3" t="s">
        <v>6317</v>
      </c>
      <c r="G109" s="9" t="s">
        <v>25</v>
      </c>
      <c r="H109" s="9"/>
      <c r="I109" s="9">
        <v>1</v>
      </c>
      <c r="J109" s="9">
        <v>1</v>
      </c>
      <c r="K109" s="9" t="s">
        <v>12078</v>
      </c>
      <c r="L109" s="9" t="s">
        <v>12119</v>
      </c>
      <c r="M109" s="9"/>
      <c r="N109" s="10"/>
      <c r="O109" s="9"/>
      <c r="P109" s="9">
        <v>11843</v>
      </c>
      <c r="Q109" s="9"/>
      <c r="R109" s="9" t="s">
        <v>12795</v>
      </c>
      <c r="S109" s="9" t="s">
        <v>12795</v>
      </c>
      <c r="T109" s="9"/>
      <c r="U109" s="9"/>
      <c r="V109" s="9"/>
      <c r="W109" s="9"/>
      <c r="X109" s="9"/>
      <c r="Y109" s="9"/>
      <c r="Z109" s="9"/>
      <c r="AA109" s="9"/>
      <c r="AB109" s="9"/>
      <c r="AC109" s="9"/>
      <c r="AD109" s="9" t="s">
        <v>20</v>
      </c>
    </row>
    <row r="110" spans="1:30" ht="29">
      <c r="A110" s="3" t="s">
        <v>1570</v>
      </c>
      <c r="B110" s="3" t="s">
        <v>6321</v>
      </c>
      <c r="C110" s="3" t="s">
        <v>6322</v>
      </c>
      <c r="G110" s="9" t="s">
        <v>24</v>
      </c>
      <c r="H110" s="9"/>
      <c r="I110" s="9">
        <v>1</v>
      </c>
      <c r="J110" s="9">
        <v>3</v>
      </c>
      <c r="K110" s="9" t="s">
        <v>12078</v>
      </c>
      <c r="L110" s="9" t="s">
        <v>12079</v>
      </c>
      <c r="M110" s="9"/>
      <c r="N110" s="10"/>
      <c r="O110" s="9"/>
      <c r="P110" s="9">
        <v>11843</v>
      </c>
      <c r="Q110" s="9"/>
      <c r="R110" s="9" t="s">
        <v>12795</v>
      </c>
      <c r="S110" s="9" t="s">
        <v>12795</v>
      </c>
      <c r="T110" s="9"/>
      <c r="U110" s="9"/>
      <c r="V110" s="9"/>
      <c r="W110" s="9"/>
      <c r="X110" s="9"/>
      <c r="Y110" s="9"/>
      <c r="Z110" s="9"/>
      <c r="AA110" s="9"/>
      <c r="AB110" s="9"/>
      <c r="AC110" s="9"/>
      <c r="AD110" s="9" t="s">
        <v>13141</v>
      </c>
    </row>
    <row r="111" spans="1:30" ht="87">
      <c r="A111" s="3" t="s">
        <v>1587</v>
      </c>
      <c r="B111" s="3" t="s">
        <v>6357</v>
      </c>
      <c r="C111" s="3" t="s">
        <v>6356</v>
      </c>
      <c r="G111" s="9" t="s">
        <v>25</v>
      </c>
      <c r="H111" s="9"/>
      <c r="I111" s="9">
        <v>1</v>
      </c>
      <c r="J111" s="9">
        <v>1</v>
      </c>
      <c r="K111" s="9" t="s">
        <v>12078</v>
      </c>
      <c r="L111" s="9" t="s">
        <v>12119</v>
      </c>
      <c r="M111" s="9"/>
      <c r="N111" s="10"/>
      <c r="O111" s="9"/>
      <c r="P111" s="9">
        <v>11843</v>
      </c>
      <c r="Q111" s="9"/>
      <c r="R111" s="9" t="s">
        <v>12795</v>
      </c>
      <c r="S111" s="9" t="s">
        <v>12795</v>
      </c>
      <c r="T111" s="9"/>
      <c r="U111" s="9"/>
      <c r="V111" s="9"/>
      <c r="W111" s="9"/>
      <c r="X111" s="9"/>
      <c r="Y111" s="9"/>
      <c r="Z111" s="9"/>
      <c r="AA111" s="9"/>
      <c r="AB111" s="9"/>
      <c r="AC111" s="9"/>
      <c r="AD111" s="9" t="s">
        <v>20</v>
      </c>
    </row>
    <row r="112" spans="1:30" ht="29">
      <c r="A112" s="3" t="s">
        <v>1593</v>
      </c>
      <c r="B112" s="3" t="s">
        <v>6376</v>
      </c>
      <c r="C112" s="3" t="s">
        <v>6377</v>
      </c>
      <c r="G112" s="9" t="s">
        <v>25</v>
      </c>
      <c r="H112" s="9"/>
      <c r="I112" s="9">
        <v>1</v>
      </c>
      <c r="J112" s="9">
        <v>1</v>
      </c>
      <c r="K112" s="9" t="s">
        <v>12072</v>
      </c>
      <c r="L112" s="9" t="s">
        <v>12119</v>
      </c>
      <c r="M112" s="9"/>
      <c r="N112" s="10"/>
      <c r="O112" s="9"/>
      <c r="P112" s="9">
        <v>34</v>
      </c>
      <c r="Q112" s="9"/>
      <c r="R112" s="9" t="s">
        <v>12795</v>
      </c>
      <c r="S112" s="9" t="s">
        <v>12795</v>
      </c>
      <c r="T112" s="9"/>
      <c r="U112" s="9"/>
      <c r="V112" s="9"/>
      <c r="W112" s="9"/>
      <c r="X112" s="9"/>
      <c r="Y112" s="9"/>
      <c r="Z112" s="9"/>
      <c r="AA112" s="9"/>
      <c r="AB112" s="9"/>
      <c r="AC112" s="9"/>
      <c r="AD112" s="9" t="s">
        <v>20</v>
      </c>
    </row>
    <row r="113" spans="1:30" ht="43.5">
      <c r="A113" s="3" t="s">
        <v>1638</v>
      </c>
      <c r="B113" s="3" t="s">
        <v>6418</v>
      </c>
      <c r="C113" s="3" t="s">
        <v>6419</v>
      </c>
      <c r="G113" s="9" t="s">
        <v>25</v>
      </c>
      <c r="H113" s="9"/>
      <c r="I113" s="9">
        <v>1</v>
      </c>
      <c r="J113" s="9">
        <v>2</v>
      </c>
      <c r="K113" s="9" t="s">
        <v>12078</v>
      </c>
      <c r="L113" s="9" t="s">
        <v>12119</v>
      </c>
      <c r="M113" s="9"/>
      <c r="N113" s="10"/>
      <c r="O113" s="9"/>
      <c r="P113" s="9">
        <v>11843</v>
      </c>
      <c r="Q113" s="9"/>
      <c r="R113" s="9" t="s">
        <v>12795</v>
      </c>
      <c r="S113" s="9" t="s">
        <v>12795</v>
      </c>
      <c r="T113" s="9"/>
      <c r="U113" s="9"/>
      <c r="V113" s="9"/>
      <c r="W113" s="9"/>
      <c r="X113" s="9"/>
      <c r="Y113" s="9"/>
      <c r="Z113" s="9"/>
      <c r="AA113" s="9"/>
      <c r="AB113" s="9"/>
      <c r="AC113" s="9"/>
      <c r="AD113" s="9" t="s">
        <v>20</v>
      </c>
    </row>
    <row r="114" spans="1:30" ht="58">
      <c r="A114" s="3" t="s">
        <v>1649</v>
      </c>
      <c r="B114" s="3" t="s">
        <v>6440</v>
      </c>
      <c r="C114" s="3" t="s">
        <v>6437</v>
      </c>
      <c r="G114" s="9" t="s">
        <v>25</v>
      </c>
      <c r="H114" s="9"/>
      <c r="I114" s="9">
        <v>1</v>
      </c>
      <c r="J114" s="9">
        <v>5</v>
      </c>
      <c r="K114" s="9" t="s">
        <v>12094</v>
      </c>
      <c r="L114" s="9" t="s">
        <v>12073</v>
      </c>
      <c r="M114" s="9" t="s">
        <v>12142</v>
      </c>
      <c r="N114" s="10" t="s">
        <v>12143</v>
      </c>
      <c r="O114" s="9"/>
      <c r="P114" s="9">
        <v>4240</v>
      </c>
      <c r="Q114" s="9"/>
      <c r="R114" s="9" t="s">
        <v>12795</v>
      </c>
      <c r="S114" s="9" t="s">
        <v>12795</v>
      </c>
      <c r="T114" s="9"/>
      <c r="U114" s="9"/>
      <c r="V114" s="9"/>
      <c r="W114" s="9"/>
      <c r="X114" s="9"/>
      <c r="Y114" s="9"/>
      <c r="Z114" s="9"/>
      <c r="AA114" s="9"/>
      <c r="AB114" s="9"/>
      <c r="AC114" s="9"/>
      <c r="AD114" s="9" t="s">
        <v>20</v>
      </c>
    </row>
    <row r="115" spans="1:30" ht="43.5">
      <c r="A115" s="3" t="s">
        <v>1659</v>
      </c>
      <c r="B115" s="3" t="s">
        <v>6445</v>
      </c>
      <c r="C115" s="3" t="s">
        <v>6447</v>
      </c>
      <c r="G115" s="9" t="s">
        <v>25</v>
      </c>
      <c r="H115" s="9"/>
      <c r="I115" s="9">
        <v>1</v>
      </c>
      <c r="J115" s="9">
        <v>5</v>
      </c>
      <c r="K115" s="9" t="s">
        <v>12084</v>
      </c>
      <c r="L115" s="9" t="s">
        <v>12079</v>
      </c>
      <c r="M115" s="9"/>
      <c r="N115" s="10"/>
      <c r="O115" s="9"/>
      <c r="P115" s="9">
        <v>98</v>
      </c>
      <c r="Q115" s="9"/>
      <c r="R115" s="9" t="s">
        <v>12795</v>
      </c>
      <c r="S115" s="9" t="s">
        <v>12795</v>
      </c>
      <c r="T115" s="9"/>
      <c r="U115" s="9"/>
      <c r="V115" s="9"/>
      <c r="W115" s="9"/>
      <c r="X115" s="9"/>
      <c r="Y115" s="9"/>
      <c r="Z115" s="9"/>
      <c r="AA115" s="9"/>
      <c r="AB115" s="9"/>
      <c r="AC115" s="9"/>
      <c r="AD115" s="9" t="s">
        <v>20</v>
      </c>
    </row>
    <row r="116" spans="1:30" ht="58">
      <c r="A116" s="3" t="s">
        <v>1665</v>
      </c>
      <c r="B116" s="3" t="s">
        <v>6450</v>
      </c>
      <c r="C116" s="3" t="s">
        <v>6449</v>
      </c>
      <c r="G116" s="9" t="s">
        <v>25</v>
      </c>
      <c r="H116" s="9"/>
      <c r="I116" s="9">
        <v>1</v>
      </c>
      <c r="J116" s="9">
        <v>3</v>
      </c>
      <c r="K116" s="9" t="s">
        <v>12087</v>
      </c>
      <c r="L116" s="9" t="s">
        <v>12119</v>
      </c>
      <c r="M116" s="9"/>
      <c r="N116" s="10"/>
      <c r="O116" s="9"/>
      <c r="P116" s="9">
        <v>5676</v>
      </c>
      <c r="Q116" s="9"/>
      <c r="R116" s="9" t="s">
        <v>12795</v>
      </c>
      <c r="S116" s="9" t="s">
        <v>12795</v>
      </c>
      <c r="T116" s="9"/>
      <c r="U116" s="9"/>
      <c r="V116" s="9"/>
      <c r="W116" s="9"/>
      <c r="X116" s="9"/>
      <c r="Y116" s="9"/>
      <c r="Z116" s="9"/>
      <c r="AA116" s="9"/>
      <c r="AB116" s="9"/>
      <c r="AC116" s="9"/>
      <c r="AD116" s="9" t="s">
        <v>20</v>
      </c>
    </row>
    <row r="117" spans="1:30" ht="58">
      <c r="A117" s="3" t="s">
        <v>1670</v>
      </c>
      <c r="B117" s="3" t="s">
        <v>6453</v>
      </c>
      <c r="C117" s="3" t="s">
        <v>6454</v>
      </c>
      <c r="G117" s="9" t="s">
        <v>24</v>
      </c>
      <c r="H117" s="9"/>
      <c r="I117" s="9">
        <v>1</v>
      </c>
      <c r="J117" s="9">
        <v>4</v>
      </c>
      <c r="K117" s="9" t="s">
        <v>12078</v>
      </c>
      <c r="L117" s="9" t="s">
        <v>12073</v>
      </c>
      <c r="M117" s="9" t="s">
        <v>12149</v>
      </c>
      <c r="N117" s="10" t="s">
        <v>12160</v>
      </c>
      <c r="O117" s="9"/>
      <c r="P117" s="9">
        <v>11843</v>
      </c>
      <c r="Q117" s="9"/>
      <c r="R117" s="9" t="s">
        <v>12795</v>
      </c>
      <c r="S117" s="9" t="s">
        <v>12795</v>
      </c>
      <c r="T117" s="9"/>
      <c r="U117" s="9"/>
      <c r="V117" s="9"/>
      <c r="W117" s="9"/>
      <c r="X117" s="9"/>
      <c r="Y117" s="9"/>
      <c r="Z117" s="9"/>
      <c r="AA117" s="9"/>
      <c r="AB117" s="9"/>
      <c r="AC117" s="9"/>
      <c r="AD117" s="9" t="s">
        <v>20</v>
      </c>
    </row>
    <row r="118" spans="1:30" ht="43.5">
      <c r="A118" s="3" t="s">
        <v>1708</v>
      </c>
      <c r="B118" s="3" t="s">
        <v>5839</v>
      </c>
      <c r="C118" s="3" t="s">
        <v>6506</v>
      </c>
      <c r="G118" s="9" t="s">
        <v>25</v>
      </c>
      <c r="H118" s="9"/>
      <c r="I118" s="9">
        <v>1</v>
      </c>
      <c r="J118" s="9">
        <v>4</v>
      </c>
      <c r="K118" s="9" t="s">
        <v>12078</v>
      </c>
      <c r="L118" s="9" t="s">
        <v>12079</v>
      </c>
      <c r="M118" s="9"/>
      <c r="N118" s="10"/>
      <c r="O118" s="9"/>
      <c r="P118" s="9">
        <v>11843</v>
      </c>
      <c r="Q118" s="9"/>
      <c r="R118" s="9" t="s">
        <v>12795</v>
      </c>
      <c r="S118" s="9" t="s">
        <v>12795</v>
      </c>
      <c r="T118" s="9"/>
      <c r="U118" s="9"/>
      <c r="V118" s="9"/>
      <c r="W118" s="9"/>
      <c r="X118" s="9"/>
      <c r="Y118" s="9"/>
      <c r="Z118" s="9"/>
      <c r="AA118" s="9"/>
      <c r="AB118" s="9"/>
      <c r="AC118" s="9"/>
      <c r="AD118" s="9" t="s">
        <v>20</v>
      </c>
    </row>
    <row r="119" spans="1:30" ht="87">
      <c r="A119" s="3" t="s">
        <v>1711</v>
      </c>
      <c r="B119" s="3" t="s">
        <v>6510</v>
      </c>
      <c r="C119" s="3" t="s">
        <v>6514</v>
      </c>
      <c r="G119" s="9" t="s">
        <v>24</v>
      </c>
      <c r="H119" s="9"/>
      <c r="I119" s="9">
        <v>2</v>
      </c>
      <c r="J119" s="9">
        <v>7</v>
      </c>
      <c r="K119" s="9"/>
      <c r="L119" s="9" t="s">
        <v>12079</v>
      </c>
      <c r="M119" s="9"/>
      <c r="N119" s="10"/>
      <c r="O119" s="9"/>
      <c r="P119" s="9">
        <v>2042</v>
      </c>
      <c r="Q119" s="9"/>
      <c r="R119" s="9" t="s">
        <v>12795</v>
      </c>
      <c r="S119" s="9" t="s">
        <v>12795</v>
      </c>
      <c r="T119" s="9"/>
      <c r="U119" s="9"/>
      <c r="V119" s="9"/>
      <c r="W119" s="9"/>
      <c r="X119" s="9"/>
      <c r="Y119" s="9"/>
      <c r="Z119" s="9"/>
      <c r="AA119" s="9"/>
      <c r="AB119" s="9"/>
      <c r="AC119" s="9"/>
      <c r="AD119" s="9" t="s">
        <v>13141</v>
      </c>
    </row>
    <row r="120" spans="1:30" ht="29">
      <c r="A120" s="3" t="s">
        <v>1713</v>
      </c>
      <c r="B120" s="3" t="s">
        <v>6521</v>
      </c>
      <c r="C120" s="3" t="s">
        <v>6522</v>
      </c>
      <c r="G120" s="9" t="s">
        <v>24</v>
      </c>
      <c r="H120" s="9"/>
      <c r="I120" s="9">
        <v>1</v>
      </c>
      <c r="J120" s="9">
        <v>3</v>
      </c>
      <c r="K120" s="9" t="s">
        <v>12087</v>
      </c>
      <c r="L120" s="9" t="s">
        <v>12079</v>
      </c>
      <c r="M120" s="9"/>
      <c r="N120" s="10"/>
      <c r="O120" s="9"/>
      <c r="P120" s="9">
        <v>5676</v>
      </c>
      <c r="Q120" s="9"/>
      <c r="R120" s="9" t="s">
        <v>12795</v>
      </c>
      <c r="S120" s="9" t="s">
        <v>12795</v>
      </c>
      <c r="T120" s="9"/>
      <c r="U120" s="9"/>
      <c r="V120" s="9"/>
      <c r="W120" s="9"/>
      <c r="X120" s="9"/>
      <c r="Y120" s="9"/>
      <c r="Z120" s="9"/>
      <c r="AA120" s="9"/>
      <c r="AB120" s="9"/>
      <c r="AC120" s="9"/>
      <c r="AD120" s="9" t="s">
        <v>20</v>
      </c>
    </row>
    <row r="121" spans="1:30" ht="29">
      <c r="A121" s="3" t="s">
        <v>1739</v>
      </c>
      <c r="B121" s="3" t="s">
        <v>6581</v>
      </c>
      <c r="C121" s="3" t="s">
        <v>6582</v>
      </c>
      <c r="G121" s="9" t="s">
        <v>25</v>
      </c>
      <c r="H121" s="9"/>
      <c r="I121" s="9">
        <v>1</v>
      </c>
      <c r="J121" s="9">
        <v>1</v>
      </c>
      <c r="K121" s="9" t="s">
        <v>12078</v>
      </c>
      <c r="L121" s="9" t="s">
        <v>12119</v>
      </c>
      <c r="M121" s="9"/>
      <c r="N121" s="10"/>
      <c r="O121" s="9" t="s">
        <v>12074</v>
      </c>
      <c r="P121" s="9">
        <v>11843</v>
      </c>
      <c r="Q121" s="9"/>
      <c r="R121" s="9" t="s">
        <v>12795</v>
      </c>
      <c r="S121" s="9" t="s">
        <v>12795</v>
      </c>
      <c r="T121" s="9"/>
      <c r="U121" s="9"/>
      <c r="V121" s="9"/>
      <c r="W121" s="9"/>
      <c r="X121" s="9"/>
      <c r="Y121" s="9"/>
      <c r="Z121" s="9"/>
      <c r="AA121" s="9"/>
      <c r="AB121" s="9"/>
      <c r="AC121" s="9"/>
      <c r="AD121" s="9" t="s">
        <v>20</v>
      </c>
    </row>
    <row r="122" spans="1:30" ht="29">
      <c r="A122" s="3" t="s">
        <v>1747</v>
      </c>
      <c r="B122" s="3" t="s">
        <v>12662</v>
      </c>
      <c r="C122" s="3" t="s">
        <v>12663</v>
      </c>
      <c r="G122" s="9" t="s">
        <v>25</v>
      </c>
      <c r="H122" s="9"/>
      <c r="I122" s="9">
        <v>1</v>
      </c>
      <c r="J122" s="9">
        <v>4</v>
      </c>
      <c r="K122" s="9" t="s">
        <v>12094</v>
      </c>
      <c r="L122" s="9" t="s">
        <v>12073</v>
      </c>
      <c r="M122" s="9" t="s">
        <v>12142</v>
      </c>
      <c r="N122" s="10" t="s">
        <v>12143</v>
      </c>
      <c r="O122" s="9"/>
      <c r="P122" s="9">
        <v>4240</v>
      </c>
      <c r="Q122" s="9"/>
      <c r="R122" s="9" t="s">
        <v>12795</v>
      </c>
      <c r="S122" s="9" t="s">
        <v>12795</v>
      </c>
      <c r="T122" s="9"/>
      <c r="U122" s="9"/>
      <c r="V122" s="9"/>
      <c r="W122" s="9"/>
      <c r="X122" s="9"/>
      <c r="Y122" s="9"/>
      <c r="Z122" s="9"/>
      <c r="AA122" s="9"/>
      <c r="AB122" s="9"/>
      <c r="AC122" s="9"/>
      <c r="AD122" s="9" t="s">
        <v>20</v>
      </c>
    </row>
    <row r="123" spans="1:30" ht="101.5">
      <c r="A123" s="3" t="s">
        <v>1753</v>
      </c>
      <c r="B123" s="3" t="s">
        <v>6600</v>
      </c>
      <c r="C123" s="3" t="s">
        <v>6599</v>
      </c>
      <c r="G123" s="9" t="s">
        <v>25</v>
      </c>
      <c r="H123" s="9"/>
      <c r="I123" s="9">
        <v>3</v>
      </c>
      <c r="J123" s="9">
        <v>15</v>
      </c>
      <c r="K123" s="9"/>
      <c r="L123" s="9" t="s">
        <v>12079</v>
      </c>
      <c r="M123" s="9"/>
      <c r="N123" s="10"/>
      <c r="O123" s="9"/>
      <c r="P123" s="9">
        <v>57</v>
      </c>
      <c r="Q123" s="9"/>
      <c r="R123" s="9" t="s">
        <v>12795</v>
      </c>
      <c r="S123" s="9" t="s">
        <v>12795</v>
      </c>
      <c r="T123" s="9"/>
      <c r="U123" s="9"/>
      <c r="V123" s="9"/>
      <c r="W123" s="9"/>
      <c r="X123" s="9"/>
      <c r="Y123" s="9"/>
      <c r="Z123" s="9"/>
      <c r="AA123" s="9"/>
      <c r="AB123" s="9"/>
      <c r="AC123" s="9"/>
      <c r="AD123" s="9" t="s">
        <v>20</v>
      </c>
    </row>
    <row r="124" spans="1:30" ht="58">
      <c r="A124" s="3" t="s">
        <v>1759</v>
      </c>
      <c r="B124" s="3" t="s">
        <v>6601</v>
      </c>
      <c r="C124" s="3" t="s">
        <v>6602</v>
      </c>
      <c r="G124" s="9" t="s">
        <v>25</v>
      </c>
      <c r="H124" s="9"/>
      <c r="I124" s="9">
        <v>1</v>
      </c>
      <c r="J124" s="9">
        <v>3</v>
      </c>
      <c r="K124" s="9" t="s">
        <v>12096</v>
      </c>
      <c r="L124" s="9" t="s">
        <v>12079</v>
      </c>
      <c r="M124" s="9"/>
      <c r="N124" s="10"/>
      <c r="O124" s="9"/>
      <c r="P124" s="9">
        <v>1101</v>
      </c>
      <c r="Q124" s="9"/>
      <c r="R124" s="9" t="s">
        <v>12795</v>
      </c>
      <c r="S124" s="9" t="s">
        <v>12795</v>
      </c>
      <c r="T124" s="9"/>
      <c r="U124" s="9"/>
      <c r="V124" s="9"/>
      <c r="W124" s="9"/>
      <c r="X124" s="9"/>
      <c r="Y124" s="9"/>
      <c r="Z124" s="9"/>
      <c r="AA124" s="9"/>
      <c r="AB124" s="9"/>
      <c r="AC124" s="9"/>
      <c r="AD124" s="9" t="s">
        <v>20</v>
      </c>
    </row>
    <row r="125" spans="1:30" ht="43.5">
      <c r="A125" s="3" t="s">
        <v>1774</v>
      </c>
      <c r="B125" s="3" t="s">
        <v>6610</v>
      </c>
      <c r="C125" s="3" t="s">
        <v>6611</v>
      </c>
      <c r="G125" s="9" t="s">
        <v>25</v>
      </c>
      <c r="H125" s="9"/>
      <c r="I125" s="9">
        <v>1</v>
      </c>
      <c r="J125" s="9">
        <v>2</v>
      </c>
      <c r="K125" s="9" t="s">
        <v>12096</v>
      </c>
      <c r="L125" s="9" t="s">
        <v>12119</v>
      </c>
      <c r="M125" s="9"/>
      <c r="N125" s="10"/>
      <c r="O125" s="9" t="s">
        <v>12074</v>
      </c>
      <c r="P125" s="9">
        <v>1294</v>
      </c>
      <c r="Q125" s="9"/>
      <c r="R125" s="9" t="s">
        <v>12795</v>
      </c>
      <c r="S125" s="9" t="s">
        <v>12795</v>
      </c>
      <c r="T125" s="9"/>
      <c r="U125" s="9"/>
      <c r="V125" s="9"/>
      <c r="W125" s="9"/>
      <c r="X125" s="9"/>
      <c r="Y125" s="9"/>
      <c r="Z125" s="9"/>
      <c r="AA125" s="9"/>
      <c r="AB125" s="9"/>
      <c r="AC125" s="9"/>
      <c r="AD125" s="9" t="s">
        <v>20</v>
      </c>
    </row>
    <row r="126" spans="1:30" ht="29">
      <c r="A126" s="3" t="s">
        <v>1781</v>
      </c>
      <c r="B126" s="3" t="s">
        <v>6612</v>
      </c>
      <c r="C126" s="3" t="s">
        <v>6613</v>
      </c>
      <c r="G126" s="9" t="s">
        <v>25</v>
      </c>
      <c r="H126" s="9"/>
      <c r="I126" s="9">
        <v>1</v>
      </c>
      <c r="J126" s="9">
        <v>1</v>
      </c>
      <c r="K126" s="9" t="s">
        <v>12072</v>
      </c>
      <c r="L126" s="9" t="s">
        <v>12119</v>
      </c>
      <c r="M126" s="9"/>
      <c r="N126" s="10"/>
      <c r="O126" s="9" t="s">
        <v>12074</v>
      </c>
      <c r="P126" s="9">
        <v>16</v>
      </c>
      <c r="Q126" s="9"/>
      <c r="R126" s="9" t="s">
        <v>12795</v>
      </c>
      <c r="S126" s="9" t="s">
        <v>12795</v>
      </c>
      <c r="T126" s="9"/>
      <c r="U126" s="9"/>
      <c r="V126" s="9"/>
      <c r="W126" s="9"/>
      <c r="X126" s="9"/>
      <c r="Y126" s="9"/>
      <c r="Z126" s="9"/>
      <c r="AA126" s="9"/>
      <c r="AB126" s="9"/>
      <c r="AC126" s="9"/>
      <c r="AD126" s="9" t="s">
        <v>20</v>
      </c>
    </row>
    <row r="127" spans="1:30" ht="188.5">
      <c r="A127" s="3" t="s">
        <v>1782</v>
      </c>
      <c r="B127" s="3" t="s">
        <v>6617</v>
      </c>
      <c r="C127" s="3" t="s">
        <v>6616</v>
      </c>
      <c r="G127" s="9" t="s">
        <v>25</v>
      </c>
      <c r="H127" s="9"/>
      <c r="I127" s="9">
        <v>6</v>
      </c>
      <c r="J127" s="9">
        <v>38</v>
      </c>
      <c r="K127" s="9"/>
      <c r="L127" s="9" t="s">
        <v>12073</v>
      </c>
      <c r="M127" s="9" t="s">
        <v>12140</v>
      </c>
      <c r="N127" s="10" t="s">
        <v>12295</v>
      </c>
      <c r="O127" s="9"/>
      <c r="P127" s="9">
        <v>2</v>
      </c>
      <c r="Q127" s="9"/>
      <c r="R127" s="9" t="s">
        <v>12795</v>
      </c>
      <c r="S127" s="9" t="s">
        <v>12795</v>
      </c>
      <c r="T127" s="9"/>
      <c r="U127" s="9"/>
      <c r="V127" s="9"/>
      <c r="W127" s="9"/>
      <c r="X127" s="9"/>
      <c r="Y127" s="9"/>
      <c r="Z127" s="9"/>
      <c r="AA127" s="9"/>
      <c r="AB127" s="9"/>
      <c r="AC127" s="9"/>
      <c r="AD127" s="9" t="s">
        <v>20</v>
      </c>
    </row>
    <row r="128" spans="1:30" ht="29">
      <c r="A128" s="3" t="s">
        <v>1797</v>
      </c>
      <c r="B128" s="3" t="s">
        <v>6642</v>
      </c>
      <c r="C128" s="3" t="s">
        <v>6643</v>
      </c>
      <c r="G128" s="9" t="s">
        <v>25</v>
      </c>
      <c r="H128" s="9"/>
      <c r="I128" s="9">
        <v>1</v>
      </c>
      <c r="J128" s="9">
        <v>1</v>
      </c>
      <c r="K128" s="9" t="s">
        <v>12078</v>
      </c>
      <c r="L128" s="9" t="s">
        <v>12119</v>
      </c>
      <c r="M128" s="9"/>
      <c r="N128" s="10"/>
      <c r="O128" s="9"/>
      <c r="P128" s="9">
        <v>11843</v>
      </c>
      <c r="Q128" s="9"/>
      <c r="R128" s="9" t="s">
        <v>12795</v>
      </c>
      <c r="S128" s="9" t="s">
        <v>12795</v>
      </c>
      <c r="T128" s="9"/>
      <c r="U128" s="9"/>
      <c r="V128" s="9"/>
      <c r="W128" s="9"/>
      <c r="X128" s="9"/>
      <c r="Y128" s="9"/>
      <c r="Z128" s="9"/>
      <c r="AA128" s="9"/>
      <c r="AB128" s="9"/>
      <c r="AC128" s="9"/>
      <c r="AD128" s="9" t="s">
        <v>20</v>
      </c>
    </row>
    <row r="129" spans="1:30" ht="72.5">
      <c r="A129" s="3" t="s">
        <v>1820</v>
      </c>
      <c r="B129" s="3" t="s">
        <v>6674</v>
      </c>
      <c r="C129" s="3" t="s">
        <v>6673</v>
      </c>
      <c r="G129" s="9" t="s">
        <v>25</v>
      </c>
      <c r="H129" s="9"/>
      <c r="I129" s="9">
        <v>1</v>
      </c>
      <c r="J129" s="9">
        <v>2</v>
      </c>
      <c r="K129" s="9" t="s">
        <v>12078</v>
      </c>
      <c r="L129" s="9" t="s">
        <v>12119</v>
      </c>
      <c r="M129" s="9"/>
      <c r="N129" s="10"/>
      <c r="O129" s="9"/>
      <c r="P129" s="9">
        <v>11843</v>
      </c>
      <c r="Q129" s="9"/>
      <c r="R129" s="9" t="s">
        <v>12795</v>
      </c>
      <c r="S129" s="9" t="s">
        <v>12795</v>
      </c>
      <c r="T129" s="9"/>
      <c r="U129" s="9"/>
      <c r="V129" s="9"/>
      <c r="W129" s="9"/>
      <c r="X129" s="9"/>
      <c r="Y129" s="9"/>
      <c r="Z129" s="9"/>
      <c r="AA129" s="9"/>
      <c r="AB129" s="9"/>
      <c r="AC129" s="9"/>
      <c r="AD129" s="9" t="s">
        <v>13141</v>
      </c>
    </row>
    <row r="130" spans="1:30" ht="29">
      <c r="A130" s="3" t="s">
        <v>1831</v>
      </c>
      <c r="B130" s="3" t="s">
        <v>6697</v>
      </c>
      <c r="C130" s="11" t="s">
        <v>6698</v>
      </c>
      <c r="G130" s="9" t="s">
        <v>25</v>
      </c>
      <c r="H130" s="9"/>
      <c r="I130" s="9">
        <v>1</v>
      </c>
      <c r="J130" s="9">
        <v>1</v>
      </c>
      <c r="K130" s="9" t="s">
        <v>12078</v>
      </c>
      <c r="L130" s="9" t="s">
        <v>12119</v>
      </c>
      <c r="M130" s="9"/>
      <c r="N130" s="10"/>
      <c r="O130" s="9"/>
      <c r="P130" s="9">
        <v>11843</v>
      </c>
      <c r="Q130" s="9"/>
      <c r="R130" s="9" t="s">
        <v>12795</v>
      </c>
      <c r="S130" s="9" t="s">
        <v>12795</v>
      </c>
      <c r="T130" s="9"/>
      <c r="U130" s="9"/>
      <c r="V130" s="9"/>
      <c r="W130" s="9"/>
      <c r="X130" s="9"/>
      <c r="Y130" s="9"/>
      <c r="Z130" s="9"/>
      <c r="AA130" s="9"/>
      <c r="AB130" s="9"/>
      <c r="AC130" s="9"/>
      <c r="AD130" s="9" t="s">
        <v>20</v>
      </c>
    </row>
    <row r="131" spans="1:30" ht="130.5">
      <c r="A131" s="3" t="s">
        <v>1841</v>
      </c>
      <c r="B131" s="3" t="s">
        <v>6713</v>
      </c>
      <c r="C131" s="3" t="s">
        <v>6712</v>
      </c>
      <c r="G131" s="9" t="s">
        <v>25</v>
      </c>
      <c r="H131" s="9"/>
      <c r="I131" s="9">
        <v>1</v>
      </c>
      <c r="J131" s="9">
        <v>2</v>
      </c>
      <c r="K131" s="9" t="s">
        <v>12087</v>
      </c>
      <c r="L131" s="9" t="s">
        <v>12119</v>
      </c>
      <c r="M131" s="9"/>
      <c r="N131" s="10"/>
      <c r="O131" s="9"/>
      <c r="P131" s="9">
        <v>227</v>
      </c>
      <c r="Q131" s="9"/>
      <c r="R131" s="9" t="s">
        <v>12795</v>
      </c>
      <c r="S131" s="9" t="s">
        <v>12795</v>
      </c>
      <c r="T131" s="9"/>
      <c r="U131" s="9"/>
      <c r="V131" s="9"/>
      <c r="W131" s="9"/>
      <c r="X131" s="9"/>
      <c r="Y131" s="9"/>
      <c r="Z131" s="9"/>
      <c r="AA131" s="9"/>
      <c r="AB131" s="9"/>
      <c r="AC131" s="9"/>
      <c r="AD131" s="9" t="s">
        <v>13141</v>
      </c>
    </row>
    <row r="132" spans="1:30" ht="130.5">
      <c r="A132" s="3" t="s">
        <v>1841</v>
      </c>
      <c r="B132" s="3" t="s">
        <v>6711</v>
      </c>
      <c r="C132" s="3" t="s">
        <v>6719</v>
      </c>
      <c r="G132" s="9" t="s">
        <v>24</v>
      </c>
      <c r="H132" s="9"/>
      <c r="I132" s="9">
        <v>1</v>
      </c>
      <c r="J132" s="9">
        <v>8</v>
      </c>
      <c r="K132" s="9" t="s">
        <v>12092</v>
      </c>
      <c r="L132" s="9" t="s">
        <v>12073</v>
      </c>
      <c r="M132" s="9" t="s">
        <v>12142</v>
      </c>
      <c r="N132" s="10" t="s">
        <v>12160</v>
      </c>
      <c r="O132" s="9"/>
      <c r="P132" s="9">
        <v>28</v>
      </c>
      <c r="Q132" s="9"/>
      <c r="R132" s="9" t="s">
        <v>12795</v>
      </c>
      <c r="S132" s="9" t="s">
        <v>12795</v>
      </c>
      <c r="T132" s="9"/>
      <c r="U132" s="9"/>
      <c r="V132" s="9"/>
      <c r="W132" s="9"/>
      <c r="X132" s="9"/>
      <c r="Y132" s="9"/>
      <c r="Z132" s="9"/>
      <c r="AA132" s="9"/>
      <c r="AB132" s="9"/>
      <c r="AC132" s="9"/>
      <c r="AD132" s="9" t="s">
        <v>20</v>
      </c>
    </row>
    <row r="133" spans="1:30" ht="101.5">
      <c r="A133" s="3" t="s">
        <v>1844</v>
      </c>
      <c r="B133" s="3" t="s">
        <v>6732</v>
      </c>
      <c r="C133" s="3" t="s">
        <v>6734</v>
      </c>
      <c r="G133" s="9" t="s">
        <v>24</v>
      </c>
      <c r="H133" s="9"/>
      <c r="I133" s="9">
        <v>2</v>
      </c>
      <c r="J133" s="9">
        <v>6</v>
      </c>
      <c r="K133" s="9"/>
      <c r="L133" s="9" t="s">
        <v>12079</v>
      </c>
      <c r="M133" s="9"/>
      <c r="N133" s="10"/>
      <c r="O133" s="9"/>
      <c r="P133" s="9">
        <v>887</v>
      </c>
      <c r="Q133" s="9"/>
      <c r="R133" s="9" t="s">
        <v>12795</v>
      </c>
      <c r="S133" s="9" t="s">
        <v>12795</v>
      </c>
      <c r="T133" s="9"/>
      <c r="U133" s="9"/>
      <c r="V133" s="9"/>
      <c r="W133" s="9"/>
      <c r="X133" s="9"/>
      <c r="Y133" s="9"/>
      <c r="Z133" s="9"/>
      <c r="AA133" s="9"/>
      <c r="AB133" s="9"/>
      <c r="AC133" s="9"/>
      <c r="AD133" s="9" t="s">
        <v>13141</v>
      </c>
    </row>
    <row r="134" spans="1:30" ht="43.5">
      <c r="A134" s="3" t="s">
        <v>1848</v>
      </c>
      <c r="B134" s="3" t="s">
        <v>6740</v>
      </c>
      <c r="C134" s="3" t="s">
        <v>6741</v>
      </c>
      <c r="G134" s="9" t="s">
        <v>25</v>
      </c>
      <c r="H134" s="9"/>
      <c r="I134" s="9">
        <v>1</v>
      </c>
      <c r="J134" s="9">
        <v>7</v>
      </c>
      <c r="K134" s="9" t="s">
        <v>12092</v>
      </c>
      <c r="L134" s="9" t="s">
        <v>12079</v>
      </c>
      <c r="M134" s="9"/>
      <c r="N134" s="10"/>
      <c r="O134" s="9"/>
      <c r="P134" s="9">
        <v>57</v>
      </c>
      <c r="Q134" s="9"/>
      <c r="R134" s="9" t="s">
        <v>12795</v>
      </c>
      <c r="S134" s="9" t="s">
        <v>12795</v>
      </c>
      <c r="T134" s="9"/>
      <c r="U134" s="9"/>
      <c r="V134" s="9"/>
      <c r="W134" s="9"/>
      <c r="X134" s="9"/>
      <c r="Y134" s="9"/>
      <c r="Z134" s="9"/>
      <c r="AA134" s="9"/>
      <c r="AB134" s="9"/>
      <c r="AC134" s="9"/>
      <c r="AD134" s="9" t="s">
        <v>20</v>
      </c>
    </row>
    <row r="135" spans="1:30" ht="43.5">
      <c r="A135" s="3" t="s">
        <v>1851</v>
      </c>
      <c r="B135" s="3" t="s">
        <v>6744</v>
      </c>
      <c r="C135" s="3" t="s">
        <v>6745</v>
      </c>
      <c r="G135" s="9" t="s">
        <v>25</v>
      </c>
      <c r="H135" s="9"/>
      <c r="I135" s="9">
        <v>1</v>
      </c>
      <c r="J135" s="9">
        <v>9</v>
      </c>
      <c r="K135" s="9" t="s">
        <v>12092</v>
      </c>
      <c r="L135" s="9" t="s">
        <v>12079</v>
      </c>
      <c r="M135" s="9"/>
      <c r="N135" s="10"/>
      <c r="O135" s="9"/>
      <c r="P135" s="9">
        <v>50</v>
      </c>
      <c r="Q135" s="9"/>
      <c r="R135" s="9" t="s">
        <v>12795</v>
      </c>
      <c r="S135" s="9" t="s">
        <v>12795</v>
      </c>
      <c r="T135" s="9"/>
      <c r="U135" s="9"/>
      <c r="V135" s="9"/>
      <c r="W135" s="9"/>
      <c r="X135" s="9"/>
      <c r="Y135" s="9"/>
      <c r="Z135" s="9"/>
      <c r="AA135" s="9"/>
      <c r="AB135" s="9"/>
      <c r="AC135" s="9"/>
      <c r="AD135" s="9" t="s">
        <v>20</v>
      </c>
    </row>
    <row r="136" spans="1:30" ht="29">
      <c r="A136" s="3" t="s">
        <v>1857</v>
      </c>
      <c r="B136" s="3" t="s">
        <v>6759</v>
      </c>
      <c r="C136" s="3" t="s">
        <v>6760</v>
      </c>
      <c r="G136" s="9" t="s">
        <v>25</v>
      </c>
      <c r="H136" s="9"/>
      <c r="I136" s="9">
        <v>1</v>
      </c>
      <c r="J136" s="9">
        <v>3</v>
      </c>
      <c r="K136" s="9" t="s">
        <v>12087</v>
      </c>
      <c r="L136" s="9" t="s">
        <v>12079</v>
      </c>
      <c r="M136" s="9"/>
      <c r="N136" s="10"/>
      <c r="O136" s="9"/>
      <c r="P136" s="9">
        <v>5676</v>
      </c>
      <c r="Q136" s="9"/>
      <c r="R136" s="9" t="s">
        <v>12795</v>
      </c>
      <c r="S136" s="9" t="s">
        <v>12795</v>
      </c>
      <c r="T136" s="9"/>
      <c r="U136" s="9"/>
      <c r="V136" s="9"/>
      <c r="W136" s="9"/>
      <c r="X136" s="9"/>
      <c r="Y136" s="9"/>
      <c r="Z136" s="9"/>
      <c r="AA136" s="9"/>
      <c r="AB136" s="9"/>
      <c r="AC136" s="9"/>
      <c r="AD136" s="9" t="s">
        <v>13141</v>
      </c>
    </row>
    <row r="137" spans="1:30" ht="43.5">
      <c r="A137" s="3" t="s">
        <v>1888</v>
      </c>
      <c r="B137" s="3" t="s">
        <v>6808</v>
      </c>
      <c r="C137" s="3" t="s">
        <v>6809</v>
      </c>
      <c r="G137" s="9" t="s">
        <v>24</v>
      </c>
      <c r="H137" s="9"/>
      <c r="I137" s="9">
        <v>1</v>
      </c>
      <c r="J137" s="9">
        <v>3</v>
      </c>
      <c r="K137" s="9" t="s">
        <v>12087</v>
      </c>
      <c r="L137" s="9" t="s">
        <v>12079</v>
      </c>
      <c r="M137" s="9"/>
      <c r="N137" s="10"/>
      <c r="O137" s="9"/>
      <c r="P137" s="9">
        <v>5676</v>
      </c>
      <c r="Q137" s="9"/>
      <c r="R137" s="9" t="s">
        <v>12795</v>
      </c>
      <c r="S137" s="9" t="s">
        <v>12795</v>
      </c>
      <c r="T137" s="9"/>
      <c r="U137" s="9"/>
      <c r="V137" s="9"/>
      <c r="W137" s="9"/>
      <c r="X137" s="9"/>
      <c r="Y137" s="9"/>
      <c r="Z137" s="9"/>
      <c r="AA137" s="9"/>
      <c r="AB137" s="9"/>
      <c r="AC137" s="9"/>
      <c r="AD137" s="9" t="s">
        <v>20</v>
      </c>
    </row>
    <row r="138" spans="1:30" ht="87">
      <c r="A138" s="3" t="s">
        <v>1895</v>
      </c>
      <c r="B138" s="3" t="s">
        <v>6816</v>
      </c>
      <c r="C138" s="3" t="s">
        <v>6818</v>
      </c>
      <c r="G138" s="9" t="s">
        <v>24</v>
      </c>
      <c r="H138" s="9"/>
      <c r="I138" s="9">
        <v>1</v>
      </c>
      <c r="J138" s="9">
        <v>3</v>
      </c>
      <c r="K138" s="9" t="s">
        <v>12078</v>
      </c>
      <c r="L138" s="9" t="s">
        <v>12079</v>
      </c>
      <c r="M138" s="9"/>
      <c r="N138" s="10"/>
      <c r="O138" s="9"/>
      <c r="P138" s="9">
        <v>11843</v>
      </c>
      <c r="Q138" s="9"/>
      <c r="R138" s="9" t="s">
        <v>12795</v>
      </c>
      <c r="S138" s="9" t="s">
        <v>12795</v>
      </c>
      <c r="T138" s="9"/>
      <c r="U138" s="9"/>
      <c r="V138" s="9"/>
      <c r="W138" s="9"/>
      <c r="X138" s="9"/>
      <c r="Y138" s="9"/>
      <c r="Z138" s="9"/>
      <c r="AA138" s="9"/>
      <c r="AB138" s="9"/>
      <c r="AC138" s="9"/>
      <c r="AD138" s="9" t="s">
        <v>20</v>
      </c>
    </row>
    <row r="139" spans="1:30" ht="58">
      <c r="A139" s="3" t="s">
        <v>1908</v>
      </c>
      <c r="B139" s="3" t="s">
        <v>6840</v>
      </c>
      <c r="C139" s="3" t="s">
        <v>6841</v>
      </c>
      <c r="G139" s="9" t="s">
        <v>25</v>
      </c>
      <c r="H139" s="9"/>
      <c r="I139" s="9">
        <v>2</v>
      </c>
      <c r="J139" s="9">
        <v>3</v>
      </c>
      <c r="K139" s="9"/>
      <c r="L139" s="9" t="s">
        <v>12079</v>
      </c>
      <c r="M139" s="9"/>
      <c r="N139" s="10"/>
      <c r="O139" s="9"/>
      <c r="P139" s="9">
        <v>1966</v>
      </c>
      <c r="Q139" s="9"/>
      <c r="R139" s="9" t="s">
        <v>12795</v>
      </c>
      <c r="S139" s="9" t="s">
        <v>12795</v>
      </c>
      <c r="T139" s="9"/>
      <c r="U139" s="9"/>
      <c r="V139" s="9"/>
      <c r="W139" s="9"/>
      <c r="X139" s="9"/>
      <c r="Y139" s="9"/>
      <c r="Z139" s="9"/>
      <c r="AA139" s="9"/>
      <c r="AB139" s="9"/>
      <c r="AC139" s="9"/>
      <c r="AD139" s="9" t="s">
        <v>20</v>
      </c>
    </row>
    <row r="140" spans="1:30" ht="43.5">
      <c r="A140" s="3" t="s">
        <v>1908</v>
      </c>
      <c r="B140" s="3" t="s">
        <v>6842</v>
      </c>
      <c r="C140" s="3" t="s">
        <v>6843</v>
      </c>
      <c r="G140" s="9" t="s">
        <v>25</v>
      </c>
      <c r="H140" s="9"/>
      <c r="I140" s="9">
        <v>1</v>
      </c>
      <c r="J140" s="9">
        <v>1</v>
      </c>
      <c r="K140" s="9" t="s">
        <v>12078</v>
      </c>
      <c r="L140" s="9" t="s">
        <v>12119</v>
      </c>
      <c r="M140" s="9"/>
      <c r="N140" s="10"/>
      <c r="O140" s="9"/>
      <c r="P140" s="9">
        <v>11843</v>
      </c>
      <c r="Q140" s="9"/>
      <c r="R140" s="9" t="s">
        <v>12795</v>
      </c>
      <c r="S140" s="9" t="s">
        <v>12795</v>
      </c>
      <c r="T140" s="9"/>
      <c r="U140" s="9"/>
      <c r="V140" s="9"/>
      <c r="W140" s="9"/>
      <c r="X140" s="9"/>
      <c r="Y140" s="9"/>
      <c r="Z140" s="9"/>
      <c r="AA140" s="9"/>
      <c r="AB140" s="9"/>
      <c r="AC140" s="9"/>
      <c r="AD140" s="9" t="s">
        <v>20</v>
      </c>
    </row>
    <row r="141" spans="1:30" ht="43.5">
      <c r="A141" s="3" t="s">
        <v>1915</v>
      </c>
      <c r="B141" s="3" t="s">
        <v>6860</v>
      </c>
      <c r="C141" s="3" t="s">
        <v>6859</v>
      </c>
      <c r="G141" s="9" t="s">
        <v>25</v>
      </c>
      <c r="H141" s="9"/>
      <c r="I141" s="9">
        <v>1</v>
      </c>
      <c r="J141" s="9">
        <v>2</v>
      </c>
      <c r="K141" s="9" t="s">
        <v>12094</v>
      </c>
      <c r="L141" s="9" t="s">
        <v>12119</v>
      </c>
      <c r="M141" s="9"/>
      <c r="N141" s="10"/>
      <c r="O141" s="9"/>
      <c r="P141" s="9">
        <v>1741</v>
      </c>
      <c r="Q141" s="9"/>
      <c r="R141" s="9" t="s">
        <v>12795</v>
      </c>
      <c r="S141" s="9" t="s">
        <v>12795</v>
      </c>
      <c r="T141" s="9"/>
      <c r="U141" s="9"/>
      <c r="V141" s="9"/>
      <c r="W141" s="9"/>
      <c r="X141" s="9"/>
      <c r="Y141" s="9"/>
      <c r="Z141" s="9"/>
      <c r="AA141" s="9"/>
      <c r="AB141" s="9"/>
      <c r="AC141" s="9"/>
      <c r="AD141" s="9" t="s">
        <v>20</v>
      </c>
    </row>
    <row r="142" spans="1:30" ht="217.5">
      <c r="A142" s="3" t="s">
        <v>1927</v>
      </c>
      <c r="B142" s="3" t="s">
        <v>12311</v>
      </c>
      <c r="C142" s="3" t="s">
        <v>12312</v>
      </c>
      <c r="G142" s="9" t="s">
        <v>25</v>
      </c>
      <c r="H142" s="9"/>
      <c r="I142" s="9">
        <v>9</v>
      </c>
      <c r="J142" s="9">
        <v>42</v>
      </c>
      <c r="K142" s="9"/>
      <c r="L142" s="9" t="s">
        <v>12073</v>
      </c>
      <c r="M142" s="9" t="s">
        <v>12140</v>
      </c>
      <c r="N142" s="10" t="s">
        <v>12278</v>
      </c>
      <c r="O142" s="9"/>
      <c r="P142" s="9">
        <v>17</v>
      </c>
      <c r="Q142" s="9"/>
      <c r="R142" s="9" t="s">
        <v>12795</v>
      </c>
      <c r="S142" s="9" t="s">
        <v>12795</v>
      </c>
      <c r="T142" s="9"/>
      <c r="U142" s="9"/>
      <c r="V142" s="9"/>
      <c r="W142" s="9"/>
      <c r="X142" s="9"/>
      <c r="Y142" s="9"/>
      <c r="Z142" s="9"/>
      <c r="AA142" s="9"/>
      <c r="AB142" s="9"/>
      <c r="AC142" s="9"/>
      <c r="AD142" s="9" t="s">
        <v>20</v>
      </c>
    </row>
    <row r="143" spans="1:30" ht="58">
      <c r="A143" s="3" t="s">
        <v>1962</v>
      </c>
      <c r="B143" s="3" t="s">
        <v>6924</v>
      </c>
      <c r="C143" s="3" t="s">
        <v>6921</v>
      </c>
      <c r="G143" s="9" t="s">
        <v>25</v>
      </c>
      <c r="H143" s="9"/>
      <c r="I143" s="9">
        <v>1</v>
      </c>
      <c r="J143" s="9">
        <v>3</v>
      </c>
      <c r="K143" s="9" t="s">
        <v>12072</v>
      </c>
      <c r="L143" s="9" t="s">
        <v>12079</v>
      </c>
      <c r="M143" s="9"/>
      <c r="N143" s="10"/>
      <c r="O143" s="9"/>
      <c r="P143" s="9">
        <v>214</v>
      </c>
      <c r="Q143" s="9"/>
      <c r="R143" s="9" t="s">
        <v>12795</v>
      </c>
      <c r="S143" s="9" t="s">
        <v>12795</v>
      </c>
      <c r="T143" s="9"/>
      <c r="U143" s="9"/>
      <c r="V143" s="9"/>
      <c r="W143" s="9"/>
      <c r="X143" s="9"/>
      <c r="Y143" s="9"/>
      <c r="Z143" s="9"/>
      <c r="AA143" s="9"/>
      <c r="AB143" s="9"/>
      <c r="AC143" s="9"/>
      <c r="AD143" s="9" t="s">
        <v>20</v>
      </c>
    </row>
    <row r="144" spans="1:30" ht="43.5">
      <c r="A144" s="3" t="s">
        <v>1967</v>
      </c>
      <c r="B144" s="3" t="s">
        <v>6934</v>
      </c>
      <c r="C144" s="3" t="s">
        <v>6933</v>
      </c>
      <c r="G144" s="9" t="s">
        <v>25</v>
      </c>
      <c r="H144" s="9"/>
      <c r="I144" s="9">
        <v>1</v>
      </c>
      <c r="J144" s="9">
        <v>8</v>
      </c>
      <c r="K144" s="9" t="s">
        <v>12098</v>
      </c>
      <c r="L144" s="9" t="s">
        <v>12079</v>
      </c>
      <c r="M144" s="9"/>
      <c r="N144" s="10"/>
      <c r="O144" s="9"/>
      <c r="P144" s="9">
        <v>2042</v>
      </c>
      <c r="Q144" s="9"/>
      <c r="R144" s="9" t="s">
        <v>12795</v>
      </c>
      <c r="S144" s="9" t="s">
        <v>12795</v>
      </c>
      <c r="T144" s="9"/>
      <c r="U144" s="9"/>
      <c r="V144" s="9"/>
      <c r="W144" s="9"/>
      <c r="X144" s="9"/>
      <c r="Y144" s="9"/>
      <c r="Z144" s="9"/>
      <c r="AA144" s="9"/>
      <c r="AB144" s="9"/>
      <c r="AC144" s="9"/>
      <c r="AD144" s="9" t="s">
        <v>20</v>
      </c>
    </row>
    <row r="145" spans="1:30" ht="29">
      <c r="A145" s="3" t="s">
        <v>1968</v>
      </c>
      <c r="B145" s="3" t="s">
        <v>6936</v>
      </c>
      <c r="C145" s="3" t="s">
        <v>6935</v>
      </c>
      <c r="G145" s="9" t="s">
        <v>24</v>
      </c>
      <c r="H145" s="9"/>
      <c r="I145" s="9">
        <v>1</v>
      </c>
      <c r="J145" s="9">
        <v>2</v>
      </c>
      <c r="K145" s="9" t="s">
        <v>12094</v>
      </c>
      <c r="L145" s="9" t="s">
        <v>12119</v>
      </c>
      <c r="M145" s="9"/>
      <c r="N145" s="10"/>
      <c r="O145" s="9" t="s">
        <v>12074</v>
      </c>
      <c r="P145" s="9">
        <v>412</v>
      </c>
      <c r="Q145" s="9"/>
      <c r="R145" s="9" t="s">
        <v>12795</v>
      </c>
      <c r="S145" s="9" t="s">
        <v>12795</v>
      </c>
      <c r="T145" s="9"/>
      <c r="U145" s="9"/>
      <c r="V145" s="9"/>
      <c r="W145" s="9"/>
      <c r="X145" s="9"/>
      <c r="Y145" s="9"/>
      <c r="Z145" s="9"/>
      <c r="AA145" s="9"/>
      <c r="AB145" s="9"/>
      <c r="AC145" s="9"/>
      <c r="AD145" s="9" t="s">
        <v>20</v>
      </c>
    </row>
    <row r="146" spans="1:30" ht="159.5">
      <c r="A146" s="3" t="s">
        <v>1970</v>
      </c>
      <c r="B146" s="3" t="s">
        <v>6937</v>
      </c>
      <c r="C146" s="3" t="s">
        <v>6938</v>
      </c>
      <c r="G146" s="9" t="s">
        <v>25</v>
      </c>
      <c r="H146" s="9"/>
      <c r="I146" s="9">
        <v>6</v>
      </c>
      <c r="J146" s="9">
        <v>30</v>
      </c>
      <c r="K146" s="9"/>
      <c r="L146" s="9" t="s">
        <v>12073</v>
      </c>
      <c r="M146" s="9" t="s">
        <v>12140</v>
      </c>
      <c r="N146" s="10" t="s">
        <v>12136</v>
      </c>
      <c r="O146" s="9"/>
      <c r="P146" s="9">
        <v>3</v>
      </c>
      <c r="Q146" s="9"/>
      <c r="R146" s="9" t="s">
        <v>12795</v>
      </c>
      <c r="S146" s="9" t="s">
        <v>12795</v>
      </c>
      <c r="T146" s="9"/>
      <c r="U146" s="9"/>
      <c r="V146" s="9"/>
      <c r="W146" s="9"/>
      <c r="X146" s="9"/>
      <c r="Y146" s="9"/>
      <c r="Z146" s="9"/>
      <c r="AA146" s="9"/>
      <c r="AB146" s="9"/>
      <c r="AC146" s="9"/>
      <c r="AD146" s="9" t="s">
        <v>20</v>
      </c>
    </row>
    <row r="147" spans="1:30" ht="87">
      <c r="A147" s="3" t="s">
        <v>2012</v>
      </c>
      <c r="B147" s="3" t="s">
        <v>6981</v>
      </c>
      <c r="C147" s="3" t="s">
        <v>6982</v>
      </c>
      <c r="G147" s="9" t="s">
        <v>25</v>
      </c>
      <c r="H147" s="9"/>
      <c r="I147" s="9">
        <v>1</v>
      </c>
      <c r="J147" s="9">
        <v>3</v>
      </c>
      <c r="K147" s="9" t="s">
        <v>12078</v>
      </c>
      <c r="L147" s="9" t="s">
        <v>12073</v>
      </c>
      <c r="M147" s="9" t="s">
        <v>12149</v>
      </c>
      <c r="N147" s="10" t="s">
        <v>12143</v>
      </c>
      <c r="O147" s="9"/>
      <c r="P147" s="9">
        <v>11843</v>
      </c>
      <c r="Q147" s="9"/>
      <c r="R147" s="9" t="s">
        <v>12795</v>
      </c>
      <c r="S147" s="9" t="s">
        <v>12795</v>
      </c>
      <c r="T147" s="9"/>
      <c r="U147" s="9"/>
      <c r="V147" s="9"/>
      <c r="W147" s="9"/>
      <c r="X147" s="9"/>
      <c r="Y147" s="9"/>
      <c r="Z147" s="9"/>
      <c r="AA147" s="9"/>
      <c r="AB147" s="9"/>
      <c r="AC147" s="9"/>
      <c r="AD147" s="9" t="s">
        <v>20</v>
      </c>
    </row>
    <row r="148" spans="1:30" ht="72.5">
      <c r="A148" s="3" t="s">
        <v>2013</v>
      </c>
      <c r="B148" s="3" t="s">
        <v>6988</v>
      </c>
      <c r="C148" s="3" t="s">
        <v>6987</v>
      </c>
      <c r="G148" s="9" t="s">
        <v>25</v>
      </c>
      <c r="H148" s="9"/>
      <c r="I148" s="9">
        <v>1</v>
      </c>
      <c r="J148" s="9">
        <v>8</v>
      </c>
      <c r="K148" s="9" t="s">
        <v>12125</v>
      </c>
      <c r="L148" s="9" t="s">
        <v>12073</v>
      </c>
      <c r="M148" s="9" t="s">
        <v>12203</v>
      </c>
      <c r="N148" s="10" t="s">
        <v>12204</v>
      </c>
      <c r="O148" s="9"/>
      <c r="P148" s="9">
        <v>20</v>
      </c>
      <c r="Q148" s="9"/>
      <c r="R148" s="9" t="s">
        <v>12795</v>
      </c>
      <c r="S148" s="9" t="s">
        <v>12795</v>
      </c>
      <c r="T148" s="9"/>
      <c r="U148" s="9"/>
      <c r="V148" s="9"/>
      <c r="W148" s="9"/>
      <c r="X148" s="9"/>
      <c r="Y148" s="9"/>
      <c r="Z148" s="9"/>
      <c r="AA148" s="9"/>
      <c r="AB148" s="9"/>
      <c r="AC148" s="9"/>
      <c r="AD148" s="9" t="s">
        <v>20</v>
      </c>
    </row>
    <row r="149" spans="1:30" ht="116">
      <c r="A149" s="3" t="s">
        <v>2022</v>
      </c>
      <c r="B149" s="3" t="s">
        <v>6997</v>
      </c>
      <c r="C149" s="3" t="s">
        <v>6996</v>
      </c>
      <c r="E149" t="s">
        <v>20</v>
      </c>
      <c r="G149" s="9" t="s">
        <v>25</v>
      </c>
      <c r="H149" s="9"/>
      <c r="I149" s="9">
        <v>3</v>
      </c>
      <c r="J149" s="9">
        <v>15</v>
      </c>
      <c r="K149" s="9"/>
      <c r="L149" s="9" t="s">
        <v>12073</v>
      </c>
      <c r="M149" s="9" t="s">
        <v>12140</v>
      </c>
      <c r="N149" s="10" t="s">
        <v>12138</v>
      </c>
      <c r="O149" s="9"/>
      <c r="P149" s="9">
        <v>65</v>
      </c>
      <c r="Q149" s="9"/>
      <c r="R149" s="9" t="s">
        <v>12795</v>
      </c>
      <c r="S149" s="9" t="s">
        <v>12795</v>
      </c>
      <c r="T149" s="9"/>
      <c r="U149" s="9"/>
      <c r="V149" s="9"/>
      <c r="W149" s="9"/>
      <c r="X149" s="9"/>
      <c r="Y149" s="9"/>
      <c r="Z149" s="9"/>
      <c r="AA149" s="9"/>
      <c r="AB149" s="9"/>
      <c r="AC149" s="9"/>
      <c r="AD149" s="9" t="s">
        <v>20</v>
      </c>
    </row>
    <row r="150" spans="1:30" ht="145">
      <c r="A150" s="3" t="s">
        <v>2032</v>
      </c>
      <c r="B150" s="3" t="s">
        <v>13027</v>
      </c>
      <c r="C150" s="3" t="s">
        <v>13028</v>
      </c>
      <c r="G150" s="9" t="s">
        <v>25</v>
      </c>
      <c r="H150" s="9"/>
      <c r="I150" s="9">
        <v>4</v>
      </c>
      <c r="J150" s="9">
        <v>26</v>
      </c>
      <c r="K150" s="9"/>
      <c r="L150" s="9" t="s">
        <v>12073</v>
      </c>
      <c r="M150" s="9" t="s">
        <v>12140</v>
      </c>
      <c r="N150" s="10" t="s">
        <v>12194</v>
      </c>
      <c r="O150" s="9"/>
      <c r="P150" s="9">
        <v>11</v>
      </c>
      <c r="Q150" s="9"/>
      <c r="R150" s="9" t="s">
        <v>12795</v>
      </c>
      <c r="S150" s="9" t="s">
        <v>12795</v>
      </c>
      <c r="T150" s="9"/>
      <c r="U150" s="9"/>
      <c r="V150" s="9"/>
      <c r="W150" s="9"/>
      <c r="X150" s="9"/>
      <c r="Y150" s="9"/>
      <c r="Z150" s="9"/>
      <c r="AA150" s="9"/>
      <c r="AB150" s="9"/>
      <c r="AC150" s="9"/>
      <c r="AD150" s="9" t="s">
        <v>20</v>
      </c>
    </row>
    <row r="151" spans="1:30" ht="232">
      <c r="A151" s="3" t="s">
        <v>2044</v>
      </c>
      <c r="B151" s="3" t="s">
        <v>12888</v>
      </c>
      <c r="C151" s="3" t="s">
        <v>12889</v>
      </c>
      <c r="G151" s="9" t="s">
        <v>25</v>
      </c>
      <c r="H151" s="9"/>
      <c r="I151" s="9">
        <v>12</v>
      </c>
      <c r="J151" s="9">
        <v>60</v>
      </c>
      <c r="K151" s="9"/>
      <c r="L151" s="9" t="s">
        <v>12073</v>
      </c>
      <c r="M151" s="9" t="s">
        <v>12140</v>
      </c>
      <c r="N151" s="10" t="s">
        <v>12344</v>
      </c>
      <c r="O151" s="9"/>
      <c r="P151" s="9">
        <v>2</v>
      </c>
      <c r="Q151" s="9"/>
      <c r="R151" s="9" t="s">
        <v>12795</v>
      </c>
      <c r="S151" s="9" t="s">
        <v>12795</v>
      </c>
      <c r="T151" s="9"/>
      <c r="U151" s="9"/>
      <c r="V151" s="9"/>
      <c r="W151" s="9"/>
      <c r="X151" s="9"/>
      <c r="Y151" s="9"/>
      <c r="Z151" s="9"/>
      <c r="AA151" s="9"/>
      <c r="AB151" s="9"/>
      <c r="AC151" s="9"/>
      <c r="AD151" s="9" t="s">
        <v>20</v>
      </c>
    </row>
    <row r="152" spans="1:30" ht="43.5">
      <c r="A152" s="3" t="s">
        <v>2067</v>
      </c>
      <c r="B152" s="3" t="s">
        <v>7075</v>
      </c>
      <c r="C152" s="3" t="s">
        <v>7076</v>
      </c>
      <c r="G152" s="9" t="s">
        <v>25</v>
      </c>
      <c r="H152" s="9"/>
      <c r="I152" s="9">
        <v>1</v>
      </c>
      <c r="J152" s="9">
        <v>2</v>
      </c>
      <c r="K152" s="9" t="s">
        <v>12078</v>
      </c>
      <c r="L152" s="9" t="s">
        <v>12119</v>
      </c>
      <c r="M152" s="9"/>
      <c r="N152" s="10"/>
      <c r="O152" s="9" t="s">
        <v>12074</v>
      </c>
      <c r="P152" s="9">
        <v>11843</v>
      </c>
      <c r="Q152" s="9"/>
      <c r="R152" s="9" t="s">
        <v>12795</v>
      </c>
      <c r="S152" s="9" t="s">
        <v>12795</v>
      </c>
      <c r="T152" s="9"/>
      <c r="U152" s="9"/>
      <c r="V152" s="9"/>
      <c r="W152" s="9"/>
      <c r="X152" s="9"/>
      <c r="Y152" s="9"/>
      <c r="Z152" s="9"/>
      <c r="AA152" s="9"/>
      <c r="AB152" s="9"/>
      <c r="AC152" s="9"/>
      <c r="AD152" s="9" t="s">
        <v>20</v>
      </c>
    </row>
    <row r="153" spans="1:30" ht="29">
      <c r="A153" s="3" t="s">
        <v>2075</v>
      </c>
      <c r="B153" s="3" t="s">
        <v>7080</v>
      </c>
      <c r="C153" s="3" t="s">
        <v>7081</v>
      </c>
      <c r="G153" s="9" t="s">
        <v>25</v>
      </c>
      <c r="H153" s="9"/>
      <c r="I153" s="9">
        <v>1</v>
      </c>
      <c r="J153" s="9">
        <v>5</v>
      </c>
      <c r="K153" s="9" t="s">
        <v>12094</v>
      </c>
      <c r="L153" s="9" t="s">
        <v>12079</v>
      </c>
      <c r="M153" s="9"/>
      <c r="N153" s="10"/>
      <c r="O153" s="9"/>
      <c r="P153" s="9">
        <v>4240</v>
      </c>
      <c r="Q153" s="9"/>
      <c r="R153" s="9" t="s">
        <v>12795</v>
      </c>
      <c r="S153" s="9" t="s">
        <v>12795</v>
      </c>
      <c r="T153" s="9"/>
      <c r="U153" s="9"/>
      <c r="V153" s="9"/>
      <c r="W153" s="9"/>
      <c r="X153" s="9"/>
      <c r="Y153" s="9"/>
      <c r="Z153" s="9"/>
      <c r="AA153" s="9"/>
      <c r="AB153" s="9"/>
      <c r="AC153" s="9"/>
      <c r="AD153" s="9" t="s">
        <v>20</v>
      </c>
    </row>
    <row r="154" spans="1:30" ht="29">
      <c r="A154" s="3" t="s">
        <v>2106</v>
      </c>
      <c r="B154" s="3" t="s">
        <v>7091</v>
      </c>
      <c r="C154" s="3" t="s">
        <v>7092</v>
      </c>
      <c r="G154" s="9" t="s">
        <v>25</v>
      </c>
      <c r="H154" s="9"/>
      <c r="I154" s="9">
        <v>1</v>
      </c>
      <c r="J154" s="9">
        <v>1</v>
      </c>
      <c r="K154" s="9" t="s">
        <v>12078</v>
      </c>
      <c r="L154" s="9" t="s">
        <v>12119</v>
      </c>
      <c r="M154" s="9"/>
      <c r="N154" s="10"/>
      <c r="O154" s="9" t="s">
        <v>12074</v>
      </c>
      <c r="P154" s="9">
        <v>11843</v>
      </c>
      <c r="Q154" s="9"/>
      <c r="R154" s="9" t="s">
        <v>12795</v>
      </c>
      <c r="S154" s="9" t="s">
        <v>12795</v>
      </c>
      <c r="T154" s="9"/>
      <c r="U154" s="9"/>
      <c r="V154" s="9"/>
      <c r="W154" s="9"/>
      <c r="X154" s="9"/>
      <c r="Y154" s="9"/>
      <c r="Z154" s="9"/>
      <c r="AA154" s="9"/>
      <c r="AB154" s="9"/>
      <c r="AC154" s="9"/>
      <c r="AD154" s="9" t="s">
        <v>20</v>
      </c>
    </row>
    <row r="155" spans="1:30" ht="29">
      <c r="A155" s="3" t="s">
        <v>2108</v>
      </c>
      <c r="B155" s="3" t="s">
        <v>7095</v>
      </c>
      <c r="C155" s="3" t="s">
        <v>7096</v>
      </c>
      <c r="G155" s="9" t="s">
        <v>25</v>
      </c>
      <c r="H155" s="9"/>
      <c r="I155" s="9">
        <v>1</v>
      </c>
      <c r="J155" s="9">
        <v>1</v>
      </c>
      <c r="K155" s="9" t="s">
        <v>12078</v>
      </c>
      <c r="L155" s="9" t="s">
        <v>12119</v>
      </c>
      <c r="M155" s="9"/>
      <c r="N155" s="10"/>
      <c r="O155" s="9"/>
      <c r="P155" s="9">
        <v>11843</v>
      </c>
      <c r="Q155" s="9"/>
      <c r="R155" s="9" t="s">
        <v>12795</v>
      </c>
      <c r="S155" s="9" t="s">
        <v>12795</v>
      </c>
      <c r="T155" s="9"/>
      <c r="U155" s="9"/>
      <c r="V155" s="9"/>
      <c r="W155" s="9"/>
      <c r="X155" s="9"/>
      <c r="Y155" s="9"/>
      <c r="Z155" s="9"/>
      <c r="AA155" s="9"/>
      <c r="AB155" s="9"/>
      <c r="AC155" s="9"/>
      <c r="AD155" s="9" t="s">
        <v>20</v>
      </c>
    </row>
    <row r="156" spans="1:30" ht="72.5">
      <c r="A156" s="3" t="s">
        <v>2114</v>
      </c>
      <c r="B156" s="3" t="s">
        <v>7102</v>
      </c>
      <c r="C156" s="3" t="s">
        <v>7103</v>
      </c>
      <c r="G156" s="9" t="s">
        <v>25</v>
      </c>
      <c r="H156" s="9"/>
      <c r="I156" s="9">
        <v>1</v>
      </c>
      <c r="J156" s="9">
        <v>9</v>
      </c>
      <c r="K156" s="9" t="s">
        <v>12092</v>
      </c>
      <c r="L156" s="9" t="s">
        <v>12073</v>
      </c>
      <c r="M156" s="9" t="s">
        <v>12149</v>
      </c>
      <c r="N156" s="10" t="s">
        <v>12143</v>
      </c>
      <c r="O156" s="9"/>
      <c r="P156" s="9">
        <v>1</v>
      </c>
      <c r="Q156" s="9"/>
      <c r="R156" s="9" t="s">
        <v>12795</v>
      </c>
      <c r="S156" s="9" t="s">
        <v>12795</v>
      </c>
      <c r="T156" s="9"/>
      <c r="U156" s="9"/>
      <c r="V156" s="9"/>
      <c r="W156" s="9"/>
      <c r="X156" s="9"/>
      <c r="Y156" s="9"/>
      <c r="Z156" s="9"/>
      <c r="AA156" s="9"/>
      <c r="AB156" s="9"/>
      <c r="AC156" s="9"/>
      <c r="AD156" s="9" t="s">
        <v>20</v>
      </c>
    </row>
    <row r="157" spans="1:30" ht="58">
      <c r="A157" s="3" t="s">
        <v>2136</v>
      </c>
      <c r="B157" s="3" t="s">
        <v>12895</v>
      </c>
      <c r="C157" s="3" t="s">
        <v>7134</v>
      </c>
      <c r="G157" s="9" t="s">
        <v>25</v>
      </c>
      <c r="H157" s="9"/>
      <c r="I157" s="9">
        <v>1</v>
      </c>
      <c r="J157" s="9">
        <v>10</v>
      </c>
      <c r="K157" s="9" t="s">
        <v>12125</v>
      </c>
      <c r="L157" s="9" t="s">
        <v>12073</v>
      </c>
      <c r="M157" s="9" t="s">
        <v>12142</v>
      </c>
      <c r="N157" s="10" t="s">
        <v>12143</v>
      </c>
      <c r="O157" s="9"/>
      <c r="P157" s="9">
        <v>25</v>
      </c>
      <c r="Q157" s="9"/>
      <c r="R157" s="9" t="s">
        <v>12795</v>
      </c>
      <c r="S157" s="9" t="s">
        <v>12795</v>
      </c>
      <c r="T157" s="9"/>
      <c r="U157" s="9"/>
      <c r="V157" s="9"/>
      <c r="W157" s="9"/>
      <c r="X157" s="9"/>
      <c r="Y157" s="9"/>
      <c r="Z157" s="9"/>
      <c r="AA157" s="9"/>
      <c r="AB157" s="9"/>
      <c r="AC157" s="9"/>
      <c r="AD157" s="9" t="s">
        <v>20</v>
      </c>
    </row>
    <row r="158" spans="1:30" ht="43.5">
      <c r="A158" s="3" t="s">
        <v>2140</v>
      </c>
      <c r="B158" s="3" t="s">
        <v>7138</v>
      </c>
      <c r="C158" s="3" t="s">
        <v>7137</v>
      </c>
      <c r="G158" s="9" t="s">
        <v>25</v>
      </c>
      <c r="H158" s="9"/>
      <c r="I158" s="9">
        <v>1</v>
      </c>
      <c r="J158" s="9">
        <v>3</v>
      </c>
      <c r="K158" s="9" t="s">
        <v>12078</v>
      </c>
      <c r="L158" s="9" t="s">
        <v>12079</v>
      </c>
      <c r="M158" s="9"/>
      <c r="N158" s="10"/>
      <c r="O158" s="9"/>
      <c r="P158" s="9">
        <v>11843</v>
      </c>
      <c r="Q158" s="9"/>
      <c r="R158" s="9" t="s">
        <v>12795</v>
      </c>
      <c r="S158" s="9" t="s">
        <v>12795</v>
      </c>
      <c r="T158" s="9"/>
      <c r="U158" s="9"/>
      <c r="V158" s="9"/>
      <c r="W158" s="9"/>
      <c r="X158" s="9"/>
      <c r="Y158" s="9"/>
      <c r="Z158" s="9"/>
      <c r="AA158" s="9"/>
      <c r="AB158" s="9"/>
      <c r="AC158" s="9"/>
      <c r="AD158" s="9" t="s">
        <v>20</v>
      </c>
    </row>
    <row r="159" spans="1:30" ht="43.5">
      <c r="A159" s="3" t="s">
        <v>2159</v>
      </c>
      <c r="B159" s="3" t="s">
        <v>7175</v>
      </c>
      <c r="C159" s="3" t="s">
        <v>7176</v>
      </c>
      <c r="G159" s="9" t="s">
        <v>25</v>
      </c>
      <c r="H159" s="9"/>
      <c r="I159" s="9">
        <v>1</v>
      </c>
      <c r="J159" s="9">
        <v>2</v>
      </c>
      <c r="K159" s="9" t="s">
        <v>12087</v>
      </c>
      <c r="L159" s="9" t="s">
        <v>12119</v>
      </c>
      <c r="M159" s="9"/>
      <c r="N159" s="10"/>
      <c r="O159" s="9"/>
      <c r="P159" s="9">
        <v>1966</v>
      </c>
      <c r="Q159" s="9"/>
      <c r="R159" s="9" t="s">
        <v>12795</v>
      </c>
      <c r="S159" s="9" t="s">
        <v>12795</v>
      </c>
      <c r="T159" s="9"/>
      <c r="U159" s="9"/>
      <c r="V159" s="9"/>
      <c r="W159" s="9"/>
      <c r="X159" s="9"/>
      <c r="Y159" s="9"/>
      <c r="Z159" s="9"/>
      <c r="AA159" s="9"/>
      <c r="AB159" s="9"/>
      <c r="AC159" s="9"/>
      <c r="AD159" s="9" t="s">
        <v>20</v>
      </c>
    </row>
    <row r="160" spans="1:30" ht="43.5">
      <c r="A160" s="3" t="s">
        <v>2160</v>
      </c>
      <c r="B160" s="3" t="s">
        <v>7178</v>
      </c>
      <c r="C160" s="3" t="s">
        <v>7177</v>
      </c>
      <c r="G160" s="9" t="s">
        <v>25</v>
      </c>
      <c r="H160" s="9"/>
      <c r="I160" s="9">
        <v>1</v>
      </c>
      <c r="J160" s="9">
        <v>2</v>
      </c>
      <c r="K160" s="9" t="s">
        <v>12094</v>
      </c>
      <c r="L160" s="9" t="s">
        <v>12119</v>
      </c>
      <c r="M160" s="9"/>
      <c r="N160" s="10"/>
      <c r="O160" s="9"/>
      <c r="P160" s="9">
        <v>1496</v>
      </c>
      <c r="Q160" s="9"/>
      <c r="R160" s="9" t="s">
        <v>12795</v>
      </c>
      <c r="S160" s="9" t="s">
        <v>12795</v>
      </c>
      <c r="T160" s="9"/>
      <c r="U160" s="9"/>
      <c r="V160" s="9"/>
      <c r="W160" s="9"/>
      <c r="X160" s="9"/>
      <c r="Y160" s="9"/>
      <c r="Z160" s="9"/>
      <c r="AA160" s="9"/>
      <c r="AB160" s="9"/>
      <c r="AC160" s="9"/>
      <c r="AD160" s="9" t="s">
        <v>20</v>
      </c>
    </row>
    <row r="161" spans="1:30" ht="58">
      <c r="A161" s="3" t="s">
        <v>2162</v>
      </c>
      <c r="B161" s="3" t="s">
        <v>7183</v>
      </c>
      <c r="C161" s="3" t="s">
        <v>7184</v>
      </c>
      <c r="G161" s="9" t="s">
        <v>25</v>
      </c>
      <c r="H161" s="9"/>
      <c r="I161" s="9">
        <v>1</v>
      </c>
      <c r="J161" s="9">
        <v>6</v>
      </c>
      <c r="K161" s="9" t="s">
        <v>12094</v>
      </c>
      <c r="L161" s="9" t="s">
        <v>12073</v>
      </c>
      <c r="M161" s="9" t="s">
        <v>12142</v>
      </c>
      <c r="N161" s="10" t="s">
        <v>12143</v>
      </c>
      <c r="O161" s="9"/>
      <c r="P161" s="9">
        <v>4240</v>
      </c>
      <c r="Q161" s="9"/>
      <c r="R161" s="9" t="s">
        <v>12795</v>
      </c>
      <c r="S161" s="9" t="s">
        <v>12795</v>
      </c>
      <c r="T161" s="9"/>
      <c r="U161" s="9"/>
      <c r="V161" s="9"/>
      <c r="W161" s="9"/>
      <c r="X161" s="9"/>
      <c r="Y161" s="9"/>
      <c r="Z161" s="9"/>
      <c r="AA161" s="9"/>
      <c r="AB161" s="9"/>
      <c r="AC161" s="9"/>
      <c r="AD161" s="9" t="s">
        <v>20</v>
      </c>
    </row>
    <row r="162" spans="1:30" ht="29">
      <c r="A162" s="3" t="s">
        <v>2168</v>
      </c>
      <c r="B162" s="3" t="s">
        <v>7196</v>
      </c>
      <c r="C162" s="3" t="s">
        <v>7197</v>
      </c>
      <c r="G162" s="9" t="s">
        <v>24</v>
      </c>
      <c r="H162" s="9"/>
      <c r="I162" s="9">
        <v>1</v>
      </c>
      <c r="J162" s="9">
        <v>2</v>
      </c>
      <c r="K162" s="9" t="s">
        <v>12078</v>
      </c>
      <c r="L162" s="9" t="s">
        <v>12119</v>
      </c>
      <c r="M162" s="9"/>
      <c r="N162" s="10"/>
      <c r="O162" s="9" t="s">
        <v>12074</v>
      </c>
      <c r="P162" s="9">
        <v>11843</v>
      </c>
      <c r="Q162" s="9"/>
      <c r="R162" s="9" t="s">
        <v>12795</v>
      </c>
      <c r="S162" s="9" t="s">
        <v>12795</v>
      </c>
      <c r="T162" s="9"/>
      <c r="U162" s="9"/>
      <c r="V162" s="9"/>
      <c r="W162" s="9"/>
      <c r="X162" s="9"/>
      <c r="Y162" s="9"/>
      <c r="Z162" s="9"/>
      <c r="AA162" s="9"/>
      <c r="AB162" s="9"/>
      <c r="AC162" s="9"/>
      <c r="AD162" s="9" t="s">
        <v>20</v>
      </c>
    </row>
    <row r="163" spans="1:30" ht="72.5">
      <c r="A163" s="3" t="s">
        <v>2183</v>
      </c>
      <c r="B163" s="3" t="s">
        <v>7215</v>
      </c>
      <c r="C163" s="3" t="s">
        <v>7214</v>
      </c>
      <c r="G163" s="9" t="s">
        <v>25</v>
      </c>
      <c r="H163" s="9"/>
      <c r="I163" s="9">
        <v>2</v>
      </c>
      <c r="J163" s="9">
        <v>5</v>
      </c>
      <c r="K163" s="9"/>
      <c r="L163" s="9" t="s">
        <v>12079</v>
      </c>
      <c r="M163" s="9"/>
      <c r="N163" s="10"/>
      <c r="O163" s="9"/>
      <c r="P163" s="9">
        <v>1966</v>
      </c>
      <c r="Q163" s="9"/>
      <c r="R163" s="9" t="s">
        <v>12795</v>
      </c>
      <c r="S163" s="9" t="s">
        <v>12795</v>
      </c>
      <c r="T163" s="9"/>
      <c r="U163" s="9"/>
      <c r="V163" s="9"/>
      <c r="W163" s="9"/>
      <c r="X163" s="9"/>
      <c r="Y163" s="9"/>
      <c r="Z163" s="9"/>
      <c r="AA163" s="9"/>
      <c r="AB163" s="9"/>
      <c r="AC163" s="9"/>
      <c r="AD163" s="9" t="s">
        <v>13141</v>
      </c>
    </row>
    <row r="164" spans="1:30" ht="29">
      <c r="A164" s="3" t="s">
        <v>2186</v>
      </c>
      <c r="B164" s="3" t="s">
        <v>7220</v>
      </c>
      <c r="C164" s="3" t="s">
        <v>7221</v>
      </c>
      <c r="G164" s="9" t="s">
        <v>25</v>
      </c>
      <c r="H164" s="9"/>
      <c r="I164" s="9">
        <v>1</v>
      </c>
      <c r="J164" s="9">
        <v>2</v>
      </c>
      <c r="K164" s="9" t="s">
        <v>12078</v>
      </c>
      <c r="L164" s="9" t="s">
        <v>12119</v>
      </c>
      <c r="M164" s="9"/>
      <c r="N164" s="10"/>
      <c r="O164" s="9"/>
      <c r="P164" s="9">
        <v>11843</v>
      </c>
      <c r="Q164" s="9"/>
      <c r="R164" s="9" t="s">
        <v>12795</v>
      </c>
      <c r="S164" s="9" t="s">
        <v>12795</v>
      </c>
      <c r="T164" s="9"/>
      <c r="U164" s="9"/>
      <c r="V164" s="9"/>
      <c r="W164" s="9"/>
      <c r="X164" s="9"/>
      <c r="Y164" s="9"/>
      <c r="Z164" s="9"/>
      <c r="AA164" s="9"/>
      <c r="AB164" s="9"/>
      <c r="AC164" s="9"/>
      <c r="AD164" s="9" t="s">
        <v>20</v>
      </c>
    </row>
    <row r="165" spans="1:30" ht="72.5">
      <c r="A165" s="3" t="s">
        <v>2259</v>
      </c>
      <c r="B165" s="3" t="s">
        <v>12366</v>
      </c>
      <c r="C165" s="3" t="s">
        <v>12365</v>
      </c>
      <c r="G165" s="9" t="s">
        <v>25</v>
      </c>
      <c r="H165" s="9"/>
      <c r="I165" s="9">
        <v>2</v>
      </c>
      <c r="J165" s="9">
        <v>6</v>
      </c>
      <c r="K165" s="9"/>
      <c r="L165" s="9" t="s">
        <v>12079</v>
      </c>
      <c r="M165" s="9"/>
      <c r="N165" s="10"/>
      <c r="O165" s="9"/>
      <c r="P165" s="9">
        <v>75</v>
      </c>
      <c r="Q165" s="9"/>
      <c r="R165" s="9" t="s">
        <v>12795</v>
      </c>
      <c r="S165" s="9" t="s">
        <v>12795</v>
      </c>
      <c r="T165" s="9"/>
      <c r="U165" s="9"/>
      <c r="V165" s="9"/>
      <c r="W165" s="9"/>
      <c r="X165" s="9"/>
      <c r="Y165" s="9"/>
      <c r="Z165" s="9"/>
      <c r="AA165" s="9"/>
      <c r="AB165" s="9"/>
      <c r="AC165" s="9"/>
      <c r="AD165" s="9" t="s">
        <v>20</v>
      </c>
    </row>
    <row r="166" spans="1:30" ht="58">
      <c r="A166" s="3" t="s">
        <v>2265</v>
      </c>
      <c r="B166" s="3" t="s">
        <v>7303</v>
      </c>
      <c r="C166" s="3" t="s">
        <v>7300</v>
      </c>
      <c r="G166" s="9" t="s">
        <v>25</v>
      </c>
      <c r="H166" s="9"/>
      <c r="I166" s="9">
        <v>1</v>
      </c>
      <c r="J166" s="9">
        <v>2</v>
      </c>
      <c r="K166" s="9" t="s">
        <v>12078</v>
      </c>
      <c r="L166" s="9" t="s">
        <v>12119</v>
      </c>
      <c r="M166" s="9"/>
      <c r="N166" s="10"/>
      <c r="O166" s="9"/>
      <c r="P166" s="9">
        <v>11843</v>
      </c>
      <c r="Q166" s="9"/>
      <c r="R166" s="9" t="s">
        <v>12795</v>
      </c>
      <c r="S166" s="9" t="s">
        <v>12795</v>
      </c>
      <c r="T166" s="9"/>
      <c r="U166" s="9"/>
      <c r="V166" s="9"/>
      <c r="W166" s="9"/>
      <c r="X166" s="9"/>
      <c r="Y166" s="9"/>
      <c r="Z166" s="9"/>
      <c r="AA166" s="9"/>
      <c r="AB166" s="9"/>
      <c r="AC166" s="9"/>
      <c r="AD166" s="9" t="s">
        <v>20</v>
      </c>
    </row>
    <row r="167" spans="1:30" ht="58">
      <c r="A167" s="3" t="s">
        <v>2268</v>
      </c>
      <c r="B167" s="3" t="s">
        <v>12369</v>
      </c>
      <c r="C167" s="3" t="s">
        <v>7308</v>
      </c>
      <c r="G167" s="9" t="s">
        <v>25</v>
      </c>
      <c r="H167" s="9"/>
      <c r="I167" s="9">
        <v>1</v>
      </c>
      <c r="J167" s="9">
        <v>2</v>
      </c>
      <c r="K167" s="9" t="s">
        <v>12087</v>
      </c>
      <c r="L167" s="9" t="s">
        <v>12119</v>
      </c>
      <c r="M167" s="9"/>
      <c r="N167" s="10"/>
      <c r="O167" s="9"/>
      <c r="P167" s="9">
        <v>1966</v>
      </c>
      <c r="Q167" s="9"/>
      <c r="R167" s="9" t="s">
        <v>12795</v>
      </c>
      <c r="S167" s="9" t="s">
        <v>12795</v>
      </c>
      <c r="T167" s="9"/>
      <c r="U167" s="9"/>
      <c r="V167" s="9"/>
      <c r="W167" s="9"/>
      <c r="X167" s="9"/>
      <c r="Y167" s="9"/>
      <c r="Z167" s="9"/>
      <c r="AA167" s="9"/>
      <c r="AB167" s="9"/>
      <c r="AC167" s="9"/>
      <c r="AD167" s="9" t="s">
        <v>20</v>
      </c>
    </row>
    <row r="168" spans="1:30" ht="58">
      <c r="A168" s="3" t="s">
        <v>2268</v>
      </c>
      <c r="B168" s="3" t="s">
        <v>7309</v>
      </c>
      <c r="C168" s="3" t="s">
        <v>12370</v>
      </c>
      <c r="G168" s="9" t="s">
        <v>24</v>
      </c>
      <c r="H168" s="9"/>
      <c r="I168" s="9">
        <v>1</v>
      </c>
      <c r="J168" s="9">
        <v>3</v>
      </c>
      <c r="K168" s="9" t="s">
        <v>12087</v>
      </c>
      <c r="L168" s="9" t="s">
        <v>12079</v>
      </c>
      <c r="M168" s="9"/>
      <c r="N168" s="10"/>
      <c r="O168" s="9"/>
      <c r="P168" s="9">
        <v>356</v>
      </c>
      <c r="Q168" s="9"/>
      <c r="R168" s="9" t="s">
        <v>12795</v>
      </c>
      <c r="S168" s="9" t="s">
        <v>12795</v>
      </c>
      <c r="T168" s="9"/>
      <c r="U168" s="9"/>
      <c r="V168" s="9"/>
      <c r="W168" s="9"/>
      <c r="X168" s="9"/>
      <c r="Y168" s="9"/>
      <c r="Z168" s="9"/>
      <c r="AA168" s="9"/>
      <c r="AB168" s="9"/>
      <c r="AC168" s="9"/>
      <c r="AD168" s="9" t="s">
        <v>20</v>
      </c>
    </row>
    <row r="169" spans="1:30" ht="43.5">
      <c r="A169" s="3" t="s">
        <v>2270</v>
      </c>
      <c r="B169" s="3" t="s">
        <v>7310</v>
      </c>
      <c r="C169" s="3" t="s">
        <v>7311</v>
      </c>
      <c r="G169" s="9" t="s">
        <v>25</v>
      </c>
      <c r="H169" s="9"/>
      <c r="I169" s="9">
        <v>1</v>
      </c>
      <c r="J169" s="9">
        <v>6</v>
      </c>
      <c r="K169" s="9" t="s">
        <v>12078</v>
      </c>
      <c r="L169" s="9" t="s">
        <v>12079</v>
      </c>
      <c r="M169" s="9"/>
      <c r="N169" s="10"/>
      <c r="O169" s="9"/>
      <c r="P169" s="9">
        <v>11843</v>
      </c>
      <c r="Q169" s="9"/>
      <c r="R169" s="9" t="s">
        <v>12795</v>
      </c>
      <c r="S169" s="9" t="s">
        <v>12795</v>
      </c>
      <c r="T169" s="9"/>
      <c r="U169" s="9"/>
      <c r="V169" s="9"/>
      <c r="W169" s="9"/>
      <c r="X169" s="9"/>
      <c r="Y169" s="9"/>
      <c r="Z169" s="9"/>
      <c r="AA169" s="9"/>
      <c r="AB169" s="9"/>
      <c r="AC169" s="9"/>
      <c r="AD169" s="9" t="s">
        <v>20</v>
      </c>
    </row>
    <row r="170" spans="1:30" ht="101.5">
      <c r="A170" s="3" t="s">
        <v>2271</v>
      </c>
      <c r="B170" s="3" t="s">
        <v>7313</v>
      </c>
      <c r="C170" s="3" t="s">
        <v>7312</v>
      </c>
      <c r="G170" s="9" t="s">
        <v>25</v>
      </c>
      <c r="H170" s="9"/>
      <c r="I170" s="9">
        <v>3</v>
      </c>
      <c r="J170" s="9">
        <v>18</v>
      </c>
      <c r="K170" s="9"/>
      <c r="L170" s="9" t="s">
        <v>12073</v>
      </c>
      <c r="M170" s="9" t="s">
        <v>12135</v>
      </c>
      <c r="N170" s="10" t="s">
        <v>12136</v>
      </c>
      <c r="O170" s="9"/>
      <c r="P170" s="9">
        <v>83</v>
      </c>
      <c r="Q170" s="9"/>
      <c r="R170" s="9" t="s">
        <v>12795</v>
      </c>
      <c r="S170" s="9" t="s">
        <v>12795</v>
      </c>
      <c r="T170" s="9"/>
      <c r="U170" s="9"/>
      <c r="V170" s="9"/>
      <c r="W170" s="9"/>
      <c r="X170" s="9"/>
      <c r="Y170" s="9"/>
      <c r="Z170" s="9"/>
      <c r="AA170" s="9"/>
      <c r="AB170" s="9"/>
      <c r="AC170" s="9"/>
      <c r="AD170" s="9" t="s">
        <v>20</v>
      </c>
    </row>
    <row r="171" spans="1:30" ht="29">
      <c r="A171" s="3" t="s">
        <v>2283</v>
      </c>
      <c r="B171" s="3" t="s">
        <v>7323</v>
      </c>
      <c r="C171" s="3" t="s">
        <v>7324</v>
      </c>
      <c r="G171" s="9" t="s">
        <v>25</v>
      </c>
      <c r="H171" s="9"/>
      <c r="I171" s="9">
        <v>1</v>
      </c>
      <c r="J171" s="9">
        <v>5</v>
      </c>
      <c r="K171" s="9" t="s">
        <v>12094</v>
      </c>
      <c r="L171" s="9" t="s">
        <v>12079</v>
      </c>
      <c r="M171" s="9"/>
      <c r="N171" s="10"/>
      <c r="O171" s="9"/>
      <c r="P171" s="9">
        <v>930</v>
      </c>
      <c r="Q171" s="9"/>
      <c r="R171" s="9" t="s">
        <v>12795</v>
      </c>
      <c r="S171" s="9" t="s">
        <v>12795</v>
      </c>
      <c r="T171" s="9"/>
      <c r="U171" s="9"/>
      <c r="V171" s="9"/>
      <c r="W171" s="9"/>
      <c r="X171" s="9"/>
      <c r="Y171" s="9"/>
      <c r="Z171" s="9"/>
      <c r="AA171" s="9"/>
      <c r="AB171" s="9"/>
      <c r="AC171" s="9"/>
      <c r="AD171" s="9" t="s">
        <v>20</v>
      </c>
    </row>
    <row r="172" spans="1:30" ht="43.5">
      <c r="A172" s="3" t="s">
        <v>2292</v>
      </c>
      <c r="B172" s="3" t="s">
        <v>7343</v>
      </c>
      <c r="C172" s="3" t="s">
        <v>7344</v>
      </c>
      <c r="G172" s="9" t="s">
        <v>24</v>
      </c>
      <c r="H172" s="9"/>
      <c r="I172" s="9">
        <v>1</v>
      </c>
      <c r="J172" s="9">
        <v>3</v>
      </c>
      <c r="K172" s="9" t="s">
        <v>12078</v>
      </c>
      <c r="L172" s="9" t="s">
        <v>12079</v>
      </c>
      <c r="M172" s="9"/>
      <c r="N172" s="10"/>
      <c r="O172" s="9"/>
      <c r="P172" s="9">
        <v>11843</v>
      </c>
      <c r="Q172" s="9"/>
      <c r="R172" s="9" t="s">
        <v>12795</v>
      </c>
      <c r="S172" s="9" t="s">
        <v>12795</v>
      </c>
      <c r="T172" s="9"/>
      <c r="U172" s="9"/>
      <c r="V172" s="9"/>
      <c r="W172" s="9"/>
      <c r="X172" s="9"/>
      <c r="Y172" s="9"/>
      <c r="Z172" s="9"/>
      <c r="AA172" s="9"/>
      <c r="AB172" s="9"/>
      <c r="AC172" s="9"/>
      <c r="AD172" s="9" t="s">
        <v>20</v>
      </c>
    </row>
    <row r="173" spans="1:30" ht="29">
      <c r="A173" s="3" t="s">
        <v>2303</v>
      </c>
      <c r="B173" s="3" t="s">
        <v>7351</v>
      </c>
      <c r="C173" s="3" t="s">
        <v>7350</v>
      </c>
      <c r="G173" s="9" t="s">
        <v>25</v>
      </c>
      <c r="H173" s="9"/>
      <c r="I173" s="9">
        <v>1</v>
      </c>
      <c r="J173" s="9">
        <v>1</v>
      </c>
      <c r="K173" s="9" t="s">
        <v>12078</v>
      </c>
      <c r="L173" s="9" t="s">
        <v>12079</v>
      </c>
      <c r="M173" s="9"/>
      <c r="N173" s="10"/>
      <c r="O173" s="9"/>
      <c r="P173" s="9">
        <v>11843</v>
      </c>
      <c r="Q173" s="9"/>
      <c r="R173" s="9" t="s">
        <v>12795</v>
      </c>
      <c r="S173" s="9" t="s">
        <v>12795</v>
      </c>
      <c r="T173" s="9"/>
      <c r="U173" s="9"/>
      <c r="V173" s="9"/>
      <c r="W173" s="9"/>
      <c r="X173" s="9"/>
      <c r="Y173" s="9"/>
      <c r="Z173" s="9"/>
      <c r="AA173" s="9"/>
      <c r="AB173" s="9"/>
      <c r="AC173" s="9"/>
      <c r="AD173" s="9" t="s">
        <v>13141</v>
      </c>
    </row>
    <row r="174" spans="1:30" ht="29">
      <c r="A174" s="3" t="s">
        <v>2305</v>
      </c>
      <c r="B174" s="11" t="s">
        <v>12897</v>
      </c>
      <c r="C174" s="11" t="s">
        <v>7358</v>
      </c>
      <c r="G174" s="9" t="s">
        <v>25</v>
      </c>
      <c r="H174" s="9"/>
      <c r="I174" s="9">
        <v>1</v>
      </c>
      <c r="J174" s="9">
        <v>1</v>
      </c>
      <c r="K174" s="9" t="s">
        <v>12078</v>
      </c>
      <c r="L174" s="9" t="s">
        <v>12079</v>
      </c>
      <c r="M174" s="9"/>
      <c r="N174" s="10"/>
      <c r="O174" s="9"/>
      <c r="P174" s="9">
        <v>11843</v>
      </c>
      <c r="Q174" s="9"/>
      <c r="R174" s="9" t="s">
        <v>12795</v>
      </c>
      <c r="S174" s="9" t="s">
        <v>12795</v>
      </c>
      <c r="T174" s="9"/>
      <c r="U174" s="9"/>
      <c r="V174" s="9"/>
      <c r="W174" s="9"/>
      <c r="X174" s="9"/>
      <c r="Y174" s="9"/>
      <c r="Z174" s="9"/>
      <c r="AA174" s="9"/>
      <c r="AB174" s="9"/>
      <c r="AC174" s="9"/>
      <c r="AD174" s="9" t="s">
        <v>20</v>
      </c>
    </row>
    <row r="175" spans="1:30" ht="29">
      <c r="A175" s="3" t="s">
        <v>2332</v>
      </c>
      <c r="B175" s="3" t="s">
        <v>7384</v>
      </c>
      <c r="C175" s="3" t="s">
        <v>7386</v>
      </c>
      <c r="G175" s="9" t="s">
        <v>25</v>
      </c>
      <c r="H175" s="9"/>
      <c r="I175" s="9">
        <v>1</v>
      </c>
      <c r="J175" s="9">
        <v>2</v>
      </c>
      <c r="K175" s="9" t="s">
        <v>12087</v>
      </c>
      <c r="L175" s="9" t="s">
        <v>12119</v>
      </c>
      <c r="M175" s="9"/>
      <c r="N175" s="10"/>
      <c r="O175" s="9"/>
      <c r="P175" s="9">
        <v>227</v>
      </c>
      <c r="Q175" s="9"/>
      <c r="R175" s="9" t="s">
        <v>12795</v>
      </c>
      <c r="S175" s="9" t="s">
        <v>12795</v>
      </c>
      <c r="T175" s="9"/>
      <c r="U175" s="9"/>
      <c r="V175" s="9"/>
      <c r="W175" s="9"/>
      <c r="X175" s="9"/>
      <c r="Y175" s="9"/>
      <c r="Z175" s="9"/>
      <c r="AA175" s="9"/>
      <c r="AB175" s="9"/>
      <c r="AC175" s="9"/>
      <c r="AD175" s="9" t="s">
        <v>20</v>
      </c>
    </row>
    <row r="176" spans="1:30" ht="43.5">
      <c r="A176" s="3" t="s">
        <v>2333</v>
      </c>
      <c r="B176" s="3" t="s">
        <v>7385</v>
      </c>
      <c r="C176" s="3" t="s">
        <v>7387</v>
      </c>
      <c r="G176" s="9" t="s">
        <v>25</v>
      </c>
      <c r="H176" s="9"/>
      <c r="I176" s="9">
        <v>1</v>
      </c>
      <c r="J176" s="9">
        <v>2</v>
      </c>
      <c r="K176" s="9" t="s">
        <v>12087</v>
      </c>
      <c r="L176" s="9" t="s">
        <v>12119</v>
      </c>
      <c r="M176" s="9"/>
      <c r="N176" s="10"/>
      <c r="O176" s="9"/>
      <c r="P176" s="9">
        <v>227</v>
      </c>
      <c r="Q176" s="9"/>
      <c r="R176" s="9" t="s">
        <v>12795</v>
      </c>
      <c r="S176" s="9" t="s">
        <v>12795</v>
      </c>
      <c r="T176" s="9"/>
      <c r="U176" s="9"/>
      <c r="V176" s="9"/>
      <c r="W176" s="9"/>
      <c r="X176" s="9"/>
      <c r="Y176" s="9"/>
      <c r="Z176" s="9"/>
      <c r="AA176" s="9"/>
      <c r="AB176" s="9"/>
      <c r="AC176" s="9"/>
      <c r="AD176" s="9" t="s">
        <v>20</v>
      </c>
    </row>
    <row r="177" spans="1:30" ht="101.5">
      <c r="A177" s="3" t="s">
        <v>2343</v>
      </c>
      <c r="B177" s="3" t="s">
        <v>7390</v>
      </c>
      <c r="C177" s="3" t="s">
        <v>7393</v>
      </c>
      <c r="G177" s="9" t="s">
        <v>24</v>
      </c>
      <c r="H177" s="9"/>
      <c r="I177" s="9">
        <v>1</v>
      </c>
      <c r="J177" s="9">
        <v>10</v>
      </c>
      <c r="K177" s="9" t="s">
        <v>12092</v>
      </c>
      <c r="L177" s="9" t="s">
        <v>12073</v>
      </c>
      <c r="M177" s="9" t="s">
        <v>12142</v>
      </c>
      <c r="N177" s="10" t="s">
        <v>12375</v>
      </c>
      <c r="O177" s="9" t="s">
        <v>12074</v>
      </c>
      <c r="P177" s="9">
        <v>17</v>
      </c>
      <c r="Q177" s="9"/>
      <c r="R177" s="9" t="s">
        <v>12795</v>
      </c>
      <c r="S177" s="9" t="s">
        <v>12795</v>
      </c>
      <c r="T177" s="9"/>
      <c r="U177" s="9"/>
      <c r="V177" s="9"/>
      <c r="W177" s="9"/>
      <c r="X177" s="9"/>
      <c r="Y177" s="9"/>
      <c r="Z177" s="9"/>
      <c r="AA177" s="9"/>
      <c r="AB177" s="9"/>
      <c r="AC177" s="9"/>
      <c r="AD177" s="9" t="s">
        <v>20</v>
      </c>
    </row>
    <row r="178" spans="1:30" ht="29">
      <c r="A178" s="3" t="s">
        <v>2344</v>
      </c>
      <c r="B178" s="3" t="s">
        <v>7395</v>
      </c>
      <c r="C178" s="3" t="s">
        <v>7394</v>
      </c>
      <c r="G178" s="9" t="s">
        <v>24</v>
      </c>
      <c r="H178" s="9"/>
      <c r="I178" s="9">
        <v>1</v>
      </c>
      <c r="J178" s="9">
        <v>2</v>
      </c>
      <c r="K178" s="9" t="s">
        <v>12087</v>
      </c>
      <c r="L178" s="9" t="s">
        <v>12119</v>
      </c>
      <c r="M178" s="9"/>
      <c r="N178" s="10"/>
      <c r="O178" s="9"/>
      <c r="P178" s="9">
        <v>1966</v>
      </c>
      <c r="Q178" s="9"/>
      <c r="R178" s="9" t="s">
        <v>12795</v>
      </c>
      <c r="S178" s="9" t="s">
        <v>12795</v>
      </c>
      <c r="T178" s="9"/>
      <c r="U178" s="9"/>
      <c r="V178" s="9"/>
      <c r="W178" s="9"/>
      <c r="X178" s="9"/>
      <c r="Y178" s="9"/>
      <c r="Z178" s="9"/>
      <c r="AA178" s="9"/>
      <c r="AB178" s="9"/>
      <c r="AC178" s="9"/>
      <c r="AD178" s="9" t="s">
        <v>20</v>
      </c>
    </row>
    <row r="179" spans="1:30" ht="159.5">
      <c r="A179" s="3" t="s">
        <v>2357</v>
      </c>
      <c r="B179" s="3" t="s">
        <v>7413</v>
      </c>
      <c r="C179" s="3" t="s">
        <v>7410</v>
      </c>
      <c r="G179" s="9" t="s">
        <v>25</v>
      </c>
      <c r="H179" s="9"/>
      <c r="I179" s="9">
        <v>1</v>
      </c>
      <c r="J179" s="9">
        <v>2</v>
      </c>
      <c r="K179" s="9" t="s">
        <v>12078</v>
      </c>
      <c r="L179" s="9" t="s">
        <v>12119</v>
      </c>
      <c r="M179" s="9"/>
      <c r="N179" s="10"/>
      <c r="O179" s="9"/>
      <c r="P179" s="9">
        <v>11843</v>
      </c>
      <c r="Q179" s="9"/>
      <c r="R179" s="9" t="s">
        <v>12795</v>
      </c>
      <c r="S179" s="9" t="s">
        <v>12795</v>
      </c>
      <c r="T179" s="9"/>
      <c r="U179" s="9"/>
      <c r="V179" s="9"/>
      <c r="W179" s="9"/>
      <c r="X179" s="9"/>
      <c r="Y179" s="9"/>
      <c r="Z179" s="9"/>
      <c r="AA179" s="9"/>
      <c r="AB179" s="9"/>
      <c r="AC179" s="9"/>
      <c r="AD179" s="9" t="s">
        <v>20</v>
      </c>
    </row>
    <row r="180" spans="1:30" ht="87">
      <c r="A180" s="3" t="s">
        <v>2360</v>
      </c>
      <c r="B180" s="3" t="s">
        <v>12376</v>
      </c>
      <c r="C180" s="3" t="s">
        <v>12377</v>
      </c>
      <c r="G180" s="9" t="s">
        <v>25</v>
      </c>
      <c r="H180" s="9"/>
      <c r="I180" s="9">
        <v>3</v>
      </c>
      <c r="J180" s="9">
        <v>12</v>
      </c>
      <c r="K180" s="9"/>
      <c r="L180" s="9" t="s">
        <v>12073</v>
      </c>
      <c r="M180" s="9" t="s">
        <v>12140</v>
      </c>
      <c r="N180" s="10" t="s">
        <v>12193</v>
      </c>
      <c r="O180" s="9"/>
      <c r="P180" s="9">
        <v>2042</v>
      </c>
      <c r="Q180" s="9"/>
      <c r="R180" s="9" t="s">
        <v>12795</v>
      </c>
      <c r="S180" s="9" t="s">
        <v>12795</v>
      </c>
      <c r="T180" s="9"/>
      <c r="U180" s="9"/>
      <c r="V180" s="9"/>
      <c r="W180" s="9"/>
      <c r="X180" s="9"/>
      <c r="Y180" s="9"/>
      <c r="Z180" s="9"/>
      <c r="AA180" s="9"/>
      <c r="AB180" s="9"/>
      <c r="AC180" s="9"/>
      <c r="AD180" s="9" t="s">
        <v>20</v>
      </c>
    </row>
    <row r="181" spans="1:30" ht="29">
      <c r="A181" s="3" t="s">
        <v>2372</v>
      </c>
      <c r="B181" s="3" t="s">
        <v>7439</v>
      </c>
      <c r="C181" s="3" t="s">
        <v>7438</v>
      </c>
      <c r="G181" s="9" t="s">
        <v>25</v>
      </c>
      <c r="H181" s="9"/>
      <c r="I181" s="9">
        <v>1</v>
      </c>
      <c r="J181" s="9">
        <v>2</v>
      </c>
      <c r="K181" s="9" t="s">
        <v>12096</v>
      </c>
      <c r="L181" s="9" t="s">
        <v>12119</v>
      </c>
      <c r="M181" s="9"/>
      <c r="N181" s="10"/>
      <c r="O181" s="9"/>
      <c r="P181" s="9">
        <v>1294</v>
      </c>
      <c r="Q181" s="9"/>
      <c r="R181" s="9" t="s">
        <v>12795</v>
      </c>
      <c r="S181" s="9" t="s">
        <v>12795</v>
      </c>
      <c r="T181" s="9"/>
      <c r="U181" s="9"/>
      <c r="V181" s="9"/>
      <c r="W181" s="9"/>
      <c r="X181" s="9"/>
      <c r="Y181" s="9"/>
      <c r="Z181" s="9"/>
      <c r="AA181" s="9"/>
      <c r="AB181" s="9"/>
      <c r="AC181" s="9"/>
      <c r="AD181" s="9" t="s">
        <v>20</v>
      </c>
    </row>
    <row r="182" spans="1:30" ht="116">
      <c r="A182" s="3" t="s">
        <v>2399</v>
      </c>
      <c r="B182" s="3" t="s">
        <v>7472</v>
      </c>
      <c r="C182" s="3" t="s">
        <v>7471</v>
      </c>
      <c r="G182" s="9" t="s">
        <v>25</v>
      </c>
      <c r="H182" s="9"/>
      <c r="I182" s="9">
        <v>3</v>
      </c>
      <c r="J182" s="9">
        <v>18</v>
      </c>
      <c r="K182" s="9"/>
      <c r="L182" s="9" t="s">
        <v>12073</v>
      </c>
      <c r="M182" s="9" t="s">
        <v>12386</v>
      </c>
      <c r="N182" s="10" t="s">
        <v>12136</v>
      </c>
      <c r="O182" s="9"/>
      <c r="P182" s="9">
        <v>18</v>
      </c>
      <c r="Q182" s="9"/>
      <c r="R182" s="9" t="s">
        <v>12795</v>
      </c>
      <c r="S182" s="9" t="s">
        <v>12795</v>
      </c>
      <c r="T182" s="9"/>
      <c r="U182" s="9"/>
      <c r="V182" s="9"/>
      <c r="W182" s="9"/>
      <c r="X182" s="9"/>
      <c r="Y182" s="9"/>
      <c r="Z182" s="9"/>
      <c r="AA182" s="9"/>
      <c r="AB182" s="9"/>
      <c r="AC182" s="9"/>
      <c r="AD182" s="9" t="s">
        <v>13141</v>
      </c>
    </row>
    <row r="183" spans="1:30" ht="29">
      <c r="A183" s="3" t="s">
        <v>2416</v>
      </c>
      <c r="B183" s="3" t="s">
        <v>7495</v>
      </c>
      <c r="C183" s="3" t="s">
        <v>7496</v>
      </c>
      <c r="G183" s="9" t="s">
        <v>25</v>
      </c>
      <c r="H183" s="9"/>
      <c r="I183" s="9">
        <v>1</v>
      </c>
      <c r="J183" s="9">
        <v>3</v>
      </c>
      <c r="K183" s="9" t="s">
        <v>12087</v>
      </c>
      <c r="L183" s="9" t="s">
        <v>12079</v>
      </c>
      <c r="M183" s="9"/>
      <c r="N183" s="10"/>
      <c r="O183" s="9"/>
      <c r="P183" s="9">
        <v>810</v>
      </c>
      <c r="Q183" s="9"/>
      <c r="R183" s="9" t="s">
        <v>12795</v>
      </c>
      <c r="S183" s="9" t="s">
        <v>12795</v>
      </c>
      <c r="T183" s="9"/>
      <c r="U183" s="9"/>
      <c r="V183" s="9"/>
      <c r="W183" s="9"/>
      <c r="X183" s="9"/>
      <c r="Y183" s="9"/>
      <c r="Z183" s="9"/>
      <c r="AA183" s="9"/>
      <c r="AB183" s="9"/>
      <c r="AC183" s="9"/>
      <c r="AD183" s="9" t="s">
        <v>20</v>
      </c>
    </row>
    <row r="184" spans="1:30" ht="43.5">
      <c r="A184" s="3" t="s">
        <v>2418</v>
      </c>
      <c r="B184" s="3" t="s">
        <v>7501</v>
      </c>
      <c r="C184" s="3" t="s">
        <v>7502</v>
      </c>
      <c r="G184" s="9" t="s">
        <v>25</v>
      </c>
      <c r="H184" s="9"/>
      <c r="I184" s="9">
        <v>1</v>
      </c>
      <c r="J184" s="9">
        <v>5</v>
      </c>
      <c r="K184" s="9" t="s">
        <v>12094</v>
      </c>
      <c r="L184" s="9" t="s">
        <v>12079</v>
      </c>
      <c r="M184" s="9"/>
      <c r="N184" s="10"/>
      <c r="O184" s="9"/>
      <c r="P184" s="9">
        <v>4240</v>
      </c>
      <c r="Q184" s="9"/>
      <c r="R184" s="9" t="s">
        <v>12795</v>
      </c>
      <c r="S184" s="9" t="s">
        <v>12795</v>
      </c>
      <c r="T184" s="9"/>
      <c r="U184" s="9"/>
      <c r="V184" s="9"/>
      <c r="W184" s="9"/>
      <c r="X184" s="9"/>
      <c r="Y184" s="9"/>
      <c r="Z184" s="9"/>
      <c r="AA184" s="9"/>
      <c r="AB184" s="9"/>
      <c r="AC184" s="9"/>
      <c r="AD184" s="9" t="s">
        <v>20</v>
      </c>
    </row>
    <row r="185" spans="1:30" ht="29">
      <c r="A185" s="3" t="s">
        <v>2421</v>
      </c>
      <c r="B185" s="3" t="s">
        <v>7504</v>
      </c>
      <c r="C185" s="3" t="s">
        <v>7503</v>
      </c>
      <c r="G185" s="9" t="s">
        <v>25</v>
      </c>
      <c r="H185" s="9"/>
      <c r="I185" s="9">
        <v>1</v>
      </c>
      <c r="J185" s="9">
        <v>2</v>
      </c>
      <c r="K185" s="9" t="s">
        <v>12078</v>
      </c>
      <c r="L185" s="9" t="s">
        <v>12119</v>
      </c>
      <c r="M185" s="9"/>
      <c r="N185" s="10"/>
      <c r="O185" s="9"/>
      <c r="P185" s="9">
        <v>11843</v>
      </c>
      <c r="Q185" s="9"/>
      <c r="R185" s="9" t="s">
        <v>12795</v>
      </c>
      <c r="S185" s="9" t="s">
        <v>12795</v>
      </c>
      <c r="T185" s="9"/>
      <c r="U185" s="9"/>
      <c r="V185" s="9"/>
      <c r="W185" s="9"/>
      <c r="X185" s="9"/>
      <c r="Y185" s="9"/>
      <c r="Z185" s="9"/>
      <c r="AA185" s="9"/>
      <c r="AB185" s="9"/>
      <c r="AC185" s="9"/>
      <c r="AD185" s="9" t="s">
        <v>20</v>
      </c>
    </row>
    <row r="186" spans="1:30" ht="29">
      <c r="A186" s="3" t="s">
        <v>2423</v>
      </c>
      <c r="B186" s="3" t="s">
        <v>7507</v>
      </c>
      <c r="C186" s="3" t="s">
        <v>7508</v>
      </c>
      <c r="G186" s="9" t="s">
        <v>24</v>
      </c>
      <c r="H186" s="9"/>
      <c r="I186" s="9">
        <v>1</v>
      </c>
      <c r="J186" s="9">
        <v>3</v>
      </c>
      <c r="K186" s="9" t="s">
        <v>12087</v>
      </c>
      <c r="L186" s="9" t="s">
        <v>12079</v>
      </c>
      <c r="M186" s="9"/>
      <c r="N186" s="10"/>
      <c r="O186" s="9"/>
      <c r="P186" s="9">
        <v>5676</v>
      </c>
      <c r="Q186" s="9"/>
      <c r="R186" s="9" t="s">
        <v>12795</v>
      </c>
      <c r="S186" s="9" t="s">
        <v>12795</v>
      </c>
      <c r="T186" s="9"/>
      <c r="U186" s="9"/>
      <c r="V186" s="9"/>
      <c r="W186" s="9"/>
      <c r="X186" s="9"/>
      <c r="Y186" s="9"/>
      <c r="Z186" s="9"/>
      <c r="AA186" s="9"/>
      <c r="AB186" s="9"/>
      <c r="AC186" s="9"/>
      <c r="AD186" s="9" t="s">
        <v>13141</v>
      </c>
    </row>
    <row r="187" spans="1:30" ht="58">
      <c r="A187" s="3" t="s">
        <v>2426</v>
      </c>
      <c r="B187" s="3" t="s">
        <v>7511</v>
      </c>
      <c r="C187" s="3" t="s">
        <v>7510</v>
      </c>
      <c r="G187" s="9" t="s">
        <v>25</v>
      </c>
      <c r="H187" s="9"/>
      <c r="I187" s="9">
        <v>2</v>
      </c>
      <c r="J187" s="9">
        <v>10</v>
      </c>
      <c r="K187" s="9"/>
      <c r="L187" s="9" t="s">
        <v>12079</v>
      </c>
      <c r="M187" s="9"/>
      <c r="N187" s="10"/>
      <c r="O187" s="9"/>
      <c r="P187" s="9">
        <v>70</v>
      </c>
      <c r="Q187" s="9"/>
      <c r="R187" s="9" t="s">
        <v>12795</v>
      </c>
      <c r="S187" s="9" t="s">
        <v>12795</v>
      </c>
      <c r="T187" s="9"/>
      <c r="U187" s="9"/>
      <c r="V187" s="9"/>
      <c r="W187" s="9"/>
      <c r="X187" s="9"/>
      <c r="Y187" s="9"/>
      <c r="Z187" s="9"/>
      <c r="AA187" s="9"/>
      <c r="AB187" s="9"/>
      <c r="AC187" s="9"/>
      <c r="AD187" s="9" t="s">
        <v>20</v>
      </c>
    </row>
    <row r="188" spans="1:30" ht="58">
      <c r="A188" s="3" t="s">
        <v>2426</v>
      </c>
      <c r="B188" s="3" t="s">
        <v>7509</v>
      </c>
      <c r="C188" s="3" t="s">
        <v>7512</v>
      </c>
      <c r="G188" s="9" t="s">
        <v>24</v>
      </c>
      <c r="H188" s="9"/>
      <c r="I188" s="9">
        <v>1</v>
      </c>
      <c r="J188" s="9">
        <v>3</v>
      </c>
      <c r="K188" s="9" t="s">
        <v>12087</v>
      </c>
      <c r="L188" s="9" t="s">
        <v>12079</v>
      </c>
      <c r="M188" s="9"/>
      <c r="N188" s="10"/>
      <c r="O188" s="9"/>
      <c r="P188" s="9">
        <v>5676</v>
      </c>
      <c r="Q188" s="9"/>
      <c r="R188" s="9" t="s">
        <v>12795</v>
      </c>
      <c r="S188" s="9" t="s">
        <v>12795</v>
      </c>
      <c r="T188" s="9"/>
      <c r="U188" s="9"/>
      <c r="V188" s="9"/>
      <c r="W188" s="9"/>
      <c r="X188" s="9"/>
      <c r="Y188" s="9"/>
      <c r="Z188" s="9"/>
      <c r="AA188" s="9"/>
      <c r="AB188" s="9"/>
      <c r="AC188" s="9"/>
      <c r="AD188" s="9" t="s">
        <v>20</v>
      </c>
    </row>
    <row r="189" spans="1:30" ht="72.5">
      <c r="A189" s="3" t="s">
        <v>2435</v>
      </c>
      <c r="B189" s="3" t="s">
        <v>7524</v>
      </c>
      <c r="C189" s="3" t="s">
        <v>7525</v>
      </c>
      <c r="G189" s="9" t="s">
        <v>24</v>
      </c>
      <c r="H189" s="9"/>
      <c r="I189" s="9">
        <v>1</v>
      </c>
      <c r="J189" s="9">
        <v>3</v>
      </c>
      <c r="K189" s="9" t="s">
        <v>12087</v>
      </c>
      <c r="L189" s="9" t="s">
        <v>12079</v>
      </c>
      <c r="M189" s="9"/>
      <c r="N189" s="10"/>
      <c r="O189" s="9"/>
      <c r="P189" s="9">
        <v>5676</v>
      </c>
      <c r="Q189" s="9"/>
      <c r="R189" s="9" t="s">
        <v>12795</v>
      </c>
      <c r="S189" s="9" t="s">
        <v>12795</v>
      </c>
      <c r="T189" s="9"/>
      <c r="U189" s="9"/>
      <c r="V189" s="9"/>
      <c r="W189" s="9"/>
      <c r="X189" s="9"/>
      <c r="Y189" s="9"/>
      <c r="Z189" s="9"/>
      <c r="AA189" s="9"/>
      <c r="AB189" s="9"/>
      <c r="AC189" s="9"/>
      <c r="AD189" s="9" t="s">
        <v>20</v>
      </c>
    </row>
    <row r="190" spans="1:30" ht="43.5">
      <c r="A190" s="3" t="s">
        <v>2436</v>
      </c>
      <c r="B190" s="3" t="s">
        <v>7527</v>
      </c>
      <c r="C190" s="3" t="s">
        <v>7526</v>
      </c>
      <c r="G190" s="9" t="s">
        <v>25</v>
      </c>
      <c r="H190" s="9"/>
      <c r="I190" s="9">
        <v>1</v>
      </c>
      <c r="J190" s="9">
        <v>2</v>
      </c>
      <c r="K190" s="9" t="s">
        <v>12078</v>
      </c>
      <c r="L190" s="9" t="s">
        <v>12119</v>
      </c>
      <c r="M190" s="9"/>
      <c r="N190" s="10"/>
      <c r="O190" s="9"/>
      <c r="P190" s="9">
        <v>11843</v>
      </c>
      <c r="Q190" s="9"/>
      <c r="R190" s="9" t="s">
        <v>12795</v>
      </c>
      <c r="S190" s="9" t="s">
        <v>12795</v>
      </c>
      <c r="T190" s="9"/>
      <c r="U190" s="9"/>
      <c r="V190" s="9"/>
      <c r="W190" s="9"/>
      <c r="X190" s="9"/>
      <c r="Y190" s="9"/>
      <c r="Z190" s="9"/>
      <c r="AA190" s="9"/>
      <c r="AB190" s="9"/>
      <c r="AC190" s="9"/>
      <c r="AD190" s="9" t="s">
        <v>20</v>
      </c>
    </row>
    <row r="191" spans="1:30" ht="43.5">
      <c r="A191" s="3" t="s">
        <v>2441</v>
      </c>
      <c r="B191" s="3" t="s">
        <v>7534</v>
      </c>
      <c r="C191" s="3" t="s">
        <v>7535</v>
      </c>
      <c r="G191" s="9" t="s">
        <v>25</v>
      </c>
      <c r="H191" s="9"/>
      <c r="I191" s="9">
        <v>1</v>
      </c>
      <c r="J191" s="9">
        <v>2</v>
      </c>
      <c r="K191" s="9" t="s">
        <v>12078</v>
      </c>
      <c r="L191" s="9" t="s">
        <v>12119</v>
      </c>
      <c r="M191" s="9"/>
      <c r="N191" s="10"/>
      <c r="O191" s="9"/>
      <c r="P191" s="9">
        <v>11843</v>
      </c>
      <c r="Q191" s="9"/>
      <c r="R191" s="9" t="s">
        <v>12795</v>
      </c>
      <c r="S191" s="9" t="s">
        <v>12795</v>
      </c>
      <c r="T191" s="9"/>
      <c r="U191" s="9"/>
      <c r="V191" s="9"/>
      <c r="W191" s="9"/>
      <c r="X191" s="9"/>
      <c r="Y191" s="9"/>
      <c r="Z191" s="9"/>
      <c r="AA191" s="9"/>
      <c r="AB191" s="9"/>
      <c r="AC191" s="9"/>
      <c r="AD191" s="9" t="s">
        <v>20</v>
      </c>
    </row>
    <row r="192" spans="1:30" ht="72.5">
      <c r="A192" s="3" t="s">
        <v>2443</v>
      </c>
      <c r="B192" s="3" t="s">
        <v>7537</v>
      </c>
      <c r="C192" s="3" t="s">
        <v>7538</v>
      </c>
      <c r="G192" s="9" t="s">
        <v>24</v>
      </c>
      <c r="H192" s="9"/>
      <c r="I192" s="9">
        <v>1</v>
      </c>
      <c r="J192" s="9">
        <v>1</v>
      </c>
      <c r="K192" s="9" t="s">
        <v>12078</v>
      </c>
      <c r="L192" s="9" t="s">
        <v>12119</v>
      </c>
      <c r="M192" s="9"/>
      <c r="N192" s="10"/>
      <c r="O192" s="9"/>
      <c r="P192" s="9">
        <v>11843</v>
      </c>
      <c r="Q192" s="9"/>
      <c r="R192" s="9" t="s">
        <v>12795</v>
      </c>
      <c r="S192" s="9" t="s">
        <v>12795</v>
      </c>
      <c r="T192" s="9"/>
      <c r="U192" s="9"/>
      <c r="V192" s="9"/>
      <c r="W192" s="9"/>
      <c r="X192" s="9"/>
      <c r="Y192" s="9"/>
      <c r="Z192" s="9"/>
      <c r="AA192" s="9"/>
      <c r="AB192" s="9"/>
      <c r="AC192" s="9"/>
      <c r="AD192" s="9" t="s">
        <v>20</v>
      </c>
    </row>
    <row r="193" spans="1:30" ht="58">
      <c r="A193" s="3" t="s">
        <v>2457</v>
      </c>
      <c r="B193" s="3" t="s">
        <v>7557</v>
      </c>
      <c r="C193" s="3" t="s">
        <v>7558</v>
      </c>
      <c r="G193" s="9" t="s">
        <v>25</v>
      </c>
      <c r="H193" s="9"/>
      <c r="I193" s="9">
        <v>1</v>
      </c>
      <c r="J193" s="9">
        <v>2</v>
      </c>
      <c r="K193" s="9" t="s">
        <v>12078</v>
      </c>
      <c r="L193" s="9" t="s">
        <v>12119</v>
      </c>
      <c r="M193" s="9"/>
      <c r="N193" s="10"/>
      <c r="O193" s="9"/>
      <c r="P193" s="9">
        <v>11843</v>
      </c>
      <c r="Q193" s="9"/>
      <c r="R193" s="9" t="s">
        <v>12795</v>
      </c>
      <c r="S193" s="9" t="s">
        <v>12795</v>
      </c>
      <c r="T193" s="9"/>
      <c r="U193" s="9"/>
      <c r="V193" s="9"/>
      <c r="W193" s="9"/>
      <c r="X193" s="9"/>
      <c r="Y193" s="9"/>
      <c r="Z193" s="9"/>
      <c r="AA193" s="9"/>
      <c r="AB193" s="9"/>
      <c r="AC193" s="9"/>
      <c r="AD193" s="9" t="s">
        <v>20</v>
      </c>
    </row>
    <row r="194" spans="1:30" ht="43.5">
      <c r="A194" s="3" t="s">
        <v>2461</v>
      </c>
      <c r="B194" s="3" t="s">
        <v>7564</v>
      </c>
      <c r="C194" s="3" t="s">
        <v>7563</v>
      </c>
      <c r="G194" s="9" t="s">
        <v>24</v>
      </c>
      <c r="H194" s="9"/>
      <c r="I194" s="9">
        <v>1</v>
      </c>
      <c r="J194" s="9">
        <v>3</v>
      </c>
      <c r="K194" s="9" t="s">
        <v>12078</v>
      </c>
      <c r="L194" s="9" t="s">
        <v>12073</v>
      </c>
      <c r="M194" s="9" t="s">
        <v>12142</v>
      </c>
      <c r="N194" s="10" t="s">
        <v>12143</v>
      </c>
      <c r="O194" s="9" t="s">
        <v>12074</v>
      </c>
      <c r="P194" s="9">
        <v>11843</v>
      </c>
      <c r="Q194" s="9"/>
      <c r="R194" s="9" t="s">
        <v>12795</v>
      </c>
      <c r="S194" s="9" t="s">
        <v>12795</v>
      </c>
      <c r="T194" s="9"/>
      <c r="U194" s="9"/>
      <c r="V194" s="9"/>
      <c r="W194" s="9"/>
      <c r="X194" s="9"/>
      <c r="Y194" s="9"/>
      <c r="Z194" s="9"/>
      <c r="AA194" s="9"/>
      <c r="AB194" s="9"/>
      <c r="AC194" s="9"/>
      <c r="AD194" s="9" t="s">
        <v>20</v>
      </c>
    </row>
    <row r="195" spans="1:30" ht="43.5">
      <c r="A195" s="3" t="s">
        <v>2470</v>
      </c>
      <c r="B195" s="3" t="s">
        <v>7570</v>
      </c>
      <c r="C195" s="3" t="s">
        <v>7569</v>
      </c>
      <c r="G195" s="9" t="s">
        <v>25</v>
      </c>
      <c r="H195" s="9"/>
      <c r="I195" s="9">
        <v>1</v>
      </c>
      <c r="J195" s="9">
        <v>9</v>
      </c>
      <c r="K195" s="9" t="s">
        <v>12092</v>
      </c>
      <c r="L195" s="9" t="s">
        <v>12073</v>
      </c>
      <c r="M195" s="9" t="s">
        <v>12142</v>
      </c>
      <c r="N195" s="10" t="s">
        <v>12143</v>
      </c>
      <c r="O195" s="9"/>
      <c r="P195" s="9">
        <v>2</v>
      </c>
      <c r="Q195" s="9"/>
      <c r="R195" s="9" t="s">
        <v>12795</v>
      </c>
      <c r="S195" s="9" t="s">
        <v>12795</v>
      </c>
      <c r="T195" s="9"/>
      <c r="U195" s="9"/>
      <c r="V195" s="9"/>
      <c r="W195" s="9"/>
      <c r="X195" s="9"/>
      <c r="Y195" s="9"/>
      <c r="Z195" s="9"/>
      <c r="AA195" s="9"/>
      <c r="AB195" s="9"/>
      <c r="AC195" s="9"/>
      <c r="AD195" s="9" t="s">
        <v>20</v>
      </c>
    </row>
    <row r="196" spans="1:30" ht="43.5">
      <c r="A196" s="3" t="s">
        <v>2498</v>
      </c>
      <c r="B196" s="3" t="s">
        <v>7615</v>
      </c>
      <c r="C196" s="3" t="s">
        <v>7616</v>
      </c>
      <c r="G196" s="9" t="s">
        <v>25</v>
      </c>
      <c r="H196" s="9"/>
      <c r="I196" s="9">
        <v>1</v>
      </c>
      <c r="J196" s="9">
        <v>3</v>
      </c>
      <c r="K196" s="9" t="s">
        <v>12123</v>
      </c>
      <c r="L196" s="9" t="s">
        <v>12079</v>
      </c>
      <c r="M196" s="9"/>
      <c r="N196" s="10"/>
      <c r="O196" s="9"/>
      <c r="P196" s="9">
        <v>887</v>
      </c>
      <c r="Q196" s="9"/>
      <c r="R196" s="9" t="s">
        <v>12795</v>
      </c>
      <c r="S196" s="9" t="s">
        <v>12795</v>
      </c>
      <c r="T196" s="9"/>
      <c r="U196" s="9"/>
      <c r="V196" s="9"/>
      <c r="W196" s="9"/>
      <c r="X196" s="9"/>
      <c r="Y196" s="9"/>
      <c r="Z196" s="9"/>
      <c r="AA196" s="9"/>
      <c r="AB196" s="9"/>
      <c r="AC196" s="9"/>
      <c r="AD196" s="9" t="s">
        <v>20</v>
      </c>
    </row>
    <row r="197" spans="1:30" ht="43.5">
      <c r="A197" s="3" t="s">
        <v>2507</v>
      </c>
      <c r="B197" s="3" t="s">
        <v>7618</v>
      </c>
      <c r="C197" s="3" t="s">
        <v>7617</v>
      </c>
      <c r="G197" s="9" t="s">
        <v>25</v>
      </c>
      <c r="H197" s="9"/>
      <c r="I197" s="9">
        <v>1</v>
      </c>
      <c r="J197" s="9">
        <v>2</v>
      </c>
      <c r="K197" s="9" t="s">
        <v>12087</v>
      </c>
      <c r="L197" s="9" t="s">
        <v>12119</v>
      </c>
      <c r="M197" s="9"/>
      <c r="N197" s="10"/>
      <c r="O197" s="9"/>
      <c r="P197" s="9">
        <v>1966</v>
      </c>
      <c r="Q197" s="9"/>
      <c r="R197" s="9" t="s">
        <v>12795</v>
      </c>
      <c r="S197" s="9" t="s">
        <v>12795</v>
      </c>
      <c r="T197" s="9"/>
      <c r="U197" s="9"/>
      <c r="V197" s="9"/>
      <c r="W197" s="9"/>
      <c r="X197" s="9"/>
      <c r="Y197" s="9"/>
      <c r="Z197" s="9"/>
      <c r="AA197" s="9"/>
      <c r="AB197" s="9"/>
      <c r="AC197" s="9"/>
      <c r="AD197" s="9" t="s">
        <v>20</v>
      </c>
    </row>
    <row r="198" spans="1:30" ht="58">
      <c r="A198" s="3" t="s">
        <v>2540</v>
      </c>
      <c r="B198" s="3" t="s">
        <v>7665</v>
      </c>
      <c r="C198" s="3" t="s">
        <v>7664</v>
      </c>
      <c r="G198" s="9" t="s">
        <v>24</v>
      </c>
      <c r="H198" s="9"/>
      <c r="I198" s="9">
        <v>1</v>
      </c>
      <c r="J198" s="9">
        <v>3</v>
      </c>
      <c r="K198" s="9" t="s">
        <v>12078</v>
      </c>
      <c r="L198" s="9" t="s">
        <v>12079</v>
      </c>
      <c r="M198" s="9"/>
      <c r="N198" s="10"/>
      <c r="O198" s="9"/>
      <c r="P198" s="9">
        <v>11843</v>
      </c>
      <c r="Q198" s="9"/>
      <c r="R198" s="9" t="s">
        <v>12795</v>
      </c>
      <c r="S198" s="9" t="s">
        <v>12795</v>
      </c>
      <c r="T198" s="9"/>
      <c r="U198" s="9"/>
      <c r="V198" s="9"/>
      <c r="W198" s="9"/>
      <c r="X198" s="9"/>
      <c r="Y198" s="9"/>
      <c r="Z198" s="9"/>
      <c r="AA198" s="9"/>
      <c r="AB198" s="9"/>
      <c r="AC198" s="9"/>
      <c r="AD198" s="9" t="s">
        <v>20</v>
      </c>
    </row>
    <row r="199" spans="1:30" ht="29">
      <c r="A199" s="3" t="s">
        <v>2557</v>
      </c>
      <c r="B199" s="3" t="s">
        <v>7623</v>
      </c>
      <c r="C199" s="3" t="s">
        <v>7680</v>
      </c>
      <c r="G199" s="9" t="s">
        <v>25</v>
      </c>
      <c r="H199" s="9"/>
      <c r="I199" s="9">
        <v>1</v>
      </c>
      <c r="J199" s="9">
        <v>2</v>
      </c>
      <c r="K199" s="9" t="s">
        <v>12087</v>
      </c>
      <c r="L199" s="9" t="s">
        <v>12119</v>
      </c>
      <c r="M199" s="9"/>
      <c r="N199" s="10"/>
      <c r="O199" s="9"/>
      <c r="P199" s="9">
        <v>1966</v>
      </c>
      <c r="Q199" s="9"/>
      <c r="R199" s="9" t="s">
        <v>12795</v>
      </c>
      <c r="S199" s="9" t="s">
        <v>12795</v>
      </c>
      <c r="T199" s="9"/>
      <c r="U199" s="9"/>
      <c r="V199" s="9"/>
      <c r="W199" s="9"/>
      <c r="X199" s="9"/>
      <c r="Y199" s="9"/>
      <c r="Z199" s="9"/>
      <c r="AA199" s="9"/>
      <c r="AB199" s="9"/>
      <c r="AC199" s="9"/>
      <c r="AD199" s="9" t="s">
        <v>20</v>
      </c>
    </row>
    <row r="200" spans="1:30" ht="87">
      <c r="A200" s="3" t="s">
        <v>2562</v>
      </c>
      <c r="B200" s="3" t="s">
        <v>7693</v>
      </c>
      <c r="C200" s="3" t="s">
        <v>7694</v>
      </c>
      <c r="G200" s="9" t="s">
        <v>24</v>
      </c>
      <c r="H200" s="9"/>
      <c r="I200" s="9">
        <v>1</v>
      </c>
      <c r="J200" s="9">
        <v>3</v>
      </c>
      <c r="K200" s="9" t="s">
        <v>12084</v>
      </c>
      <c r="L200" s="9" t="s">
        <v>12079</v>
      </c>
      <c r="M200" s="9"/>
      <c r="N200" s="10"/>
      <c r="O200" s="9"/>
      <c r="P200" s="9">
        <v>50</v>
      </c>
      <c r="Q200" s="9"/>
      <c r="R200" s="9" t="s">
        <v>12795</v>
      </c>
      <c r="S200" s="9" t="s">
        <v>12795</v>
      </c>
      <c r="T200" s="9"/>
      <c r="U200" s="9"/>
      <c r="V200" s="9"/>
      <c r="W200" s="9"/>
      <c r="X200" s="9"/>
      <c r="Y200" s="9"/>
      <c r="Z200" s="9"/>
      <c r="AA200" s="9"/>
      <c r="AB200" s="9"/>
      <c r="AC200" s="9"/>
      <c r="AD200" s="9" t="s">
        <v>20</v>
      </c>
    </row>
    <row r="201" spans="1:30" ht="29">
      <c r="A201" s="3" t="s">
        <v>2565</v>
      </c>
      <c r="B201" s="3" t="s">
        <v>7699</v>
      </c>
      <c r="C201" s="3" t="s">
        <v>7700</v>
      </c>
      <c r="G201" s="9" t="s">
        <v>25</v>
      </c>
      <c r="H201" s="9"/>
      <c r="I201" s="9">
        <v>1</v>
      </c>
      <c r="J201" s="9">
        <v>3</v>
      </c>
      <c r="K201" s="9" t="s">
        <v>12078</v>
      </c>
      <c r="L201" s="9" t="s">
        <v>12079</v>
      </c>
      <c r="M201" s="9"/>
      <c r="N201" s="10"/>
      <c r="O201" s="9"/>
      <c r="P201" s="9">
        <v>11843</v>
      </c>
      <c r="Q201" s="9"/>
      <c r="R201" s="9" t="s">
        <v>12795</v>
      </c>
      <c r="S201" s="9" t="s">
        <v>12795</v>
      </c>
      <c r="T201" s="9"/>
      <c r="U201" s="9"/>
      <c r="V201" s="9"/>
      <c r="W201" s="9"/>
      <c r="X201" s="9"/>
      <c r="Y201" s="9"/>
      <c r="Z201" s="9"/>
      <c r="AA201" s="9"/>
      <c r="AB201" s="9"/>
      <c r="AC201" s="9"/>
      <c r="AD201" s="9" t="s">
        <v>20</v>
      </c>
    </row>
    <row r="202" spans="1:30" ht="29">
      <c r="A202" s="3" t="s">
        <v>2570</v>
      </c>
      <c r="B202" s="3" t="s">
        <v>7705</v>
      </c>
      <c r="C202" s="3" t="s">
        <v>7704</v>
      </c>
      <c r="G202" s="9" t="s">
        <v>24</v>
      </c>
      <c r="H202" s="9"/>
      <c r="I202" s="9">
        <v>1</v>
      </c>
      <c r="J202" s="9">
        <v>2</v>
      </c>
      <c r="K202" s="9" t="s">
        <v>12087</v>
      </c>
      <c r="L202" s="9" t="s">
        <v>12119</v>
      </c>
      <c r="M202" s="9"/>
      <c r="N202" s="10"/>
      <c r="O202" s="9"/>
      <c r="P202" s="9">
        <v>1966</v>
      </c>
      <c r="Q202" s="9"/>
      <c r="R202" s="9" t="s">
        <v>12795</v>
      </c>
      <c r="S202" s="9" t="s">
        <v>12795</v>
      </c>
      <c r="T202" s="9"/>
      <c r="U202" s="9"/>
      <c r="V202" s="9"/>
      <c r="W202" s="9"/>
      <c r="X202" s="9"/>
      <c r="Y202" s="9"/>
      <c r="Z202" s="9"/>
      <c r="AA202" s="9"/>
      <c r="AB202" s="9"/>
      <c r="AC202" s="9"/>
      <c r="AD202" s="9" t="s">
        <v>20</v>
      </c>
    </row>
    <row r="203" spans="1:30" ht="58">
      <c r="A203" s="3" t="s">
        <v>2584</v>
      </c>
      <c r="B203" s="3" t="s">
        <v>7712</v>
      </c>
      <c r="C203" s="3" t="s">
        <v>7713</v>
      </c>
      <c r="G203" s="9" t="s">
        <v>25</v>
      </c>
      <c r="H203" s="9"/>
      <c r="I203" s="9">
        <v>1</v>
      </c>
      <c r="J203" s="9">
        <v>3</v>
      </c>
      <c r="K203" s="9" t="s">
        <v>12078</v>
      </c>
      <c r="L203" s="9" t="s">
        <v>12119</v>
      </c>
      <c r="M203" s="9"/>
      <c r="N203" s="10"/>
      <c r="O203" s="9"/>
      <c r="P203" s="9">
        <v>11843</v>
      </c>
      <c r="Q203" s="9"/>
      <c r="R203" s="9" t="s">
        <v>12795</v>
      </c>
      <c r="S203" s="9" t="s">
        <v>12795</v>
      </c>
      <c r="T203" s="9"/>
      <c r="U203" s="9"/>
      <c r="V203" s="9"/>
      <c r="W203" s="9"/>
      <c r="X203" s="9"/>
      <c r="Y203" s="9"/>
      <c r="Z203" s="9"/>
      <c r="AA203" s="9"/>
      <c r="AB203" s="9"/>
      <c r="AC203" s="9"/>
      <c r="AD203" s="9" t="s">
        <v>20</v>
      </c>
    </row>
    <row r="204" spans="1:30" ht="58">
      <c r="A204" s="3" t="s">
        <v>2606</v>
      </c>
      <c r="B204" s="3" t="s">
        <v>7740</v>
      </c>
      <c r="C204" s="3" t="s">
        <v>7741</v>
      </c>
      <c r="G204" s="9" t="s">
        <v>25</v>
      </c>
      <c r="H204" s="9"/>
      <c r="I204" s="9">
        <v>1</v>
      </c>
      <c r="J204" s="9">
        <v>3</v>
      </c>
      <c r="K204" s="9" t="s">
        <v>12078</v>
      </c>
      <c r="L204" s="9" t="s">
        <v>12073</v>
      </c>
      <c r="M204" s="9" t="s">
        <v>12149</v>
      </c>
      <c r="N204" s="10" t="s">
        <v>12143</v>
      </c>
      <c r="O204" s="9"/>
      <c r="P204" s="9">
        <v>11843</v>
      </c>
      <c r="Q204" s="9"/>
      <c r="R204" s="9" t="s">
        <v>12795</v>
      </c>
      <c r="S204" s="9" t="s">
        <v>12795</v>
      </c>
      <c r="T204" s="9"/>
      <c r="U204" s="9"/>
      <c r="V204" s="9"/>
      <c r="W204" s="9"/>
      <c r="X204" s="9"/>
      <c r="Y204" s="9"/>
      <c r="Z204" s="9"/>
      <c r="AA204" s="9"/>
      <c r="AB204" s="9"/>
      <c r="AC204" s="9"/>
      <c r="AD204" s="9" t="s">
        <v>20</v>
      </c>
    </row>
    <row r="205" spans="1:30" ht="29">
      <c r="A205" s="3" t="s">
        <v>2621</v>
      </c>
      <c r="B205" s="3" t="s">
        <v>7765</v>
      </c>
      <c r="C205" s="3" t="s">
        <v>7764</v>
      </c>
      <c r="G205" s="9" t="s">
        <v>25</v>
      </c>
      <c r="H205" s="9"/>
      <c r="I205" s="9">
        <v>1</v>
      </c>
      <c r="J205" s="9">
        <v>2</v>
      </c>
      <c r="K205" s="9" t="s">
        <v>12078</v>
      </c>
      <c r="L205" s="9" t="s">
        <v>12119</v>
      </c>
      <c r="M205" s="9"/>
      <c r="N205" s="10"/>
      <c r="O205" s="9"/>
      <c r="P205" s="9">
        <v>11843</v>
      </c>
      <c r="Q205" s="9"/>
      <c r="R205" s="9" t="s">
        <v>12795</v>
      </c>
      <c r="S205" s="9" t="s">
        <v>12795</v>
      </c>
      <c r="T205" s="9"/>
      <c r="U205" s="9"/>
      <c r="V205" s="9"/>
      <c r="W205" s="9"/>
      <c r="X205" s="9"/>
      <c r="Y205" s="9"/>
      <c r="Z205" s="9"/>
      <c r="AA205" s="9"/>
      <c r="AB205" s="9"/>
      <c r="AC205" s="9"/>
      <c r="AD205" s="9" t="s">
        <v>20</v>
      </c>
    </row>
    <row r="206" spans="1:30" ht="58">
      <c r="A206" s="3" t="s">
        <v>2627</v>
      </c>
      <c r="B206" s="3" t="s">
        <v>7771</v>
      </c>
      <c r="C206" s="3" t="s">
        <v>7770</v>
      </c>
      <c r="G206" s="9" t="s">
        <v>25</v>
      </c>
      <c r="H206" s="9"/>
      <c r="I206" s="9">
        <v>1</v>
      </c>
      <c r="J206" s="9">
        <v>4</v>
      </c>
      <c r="K206" s="9" t="s">
        <v>12125</v>
      </c>
      <c r="L206" s="9" t="s">
        <v>12079</v>
      </c>
      <c r="M206" s="9"/>
      <c r="N206" s="10"/>
      <c r="O206" s="9"/>
      <c r="P206" s="9">
        <v>2042</v>
      </c>
      <c r="Q206" s="9"/>
      <c r="R206" s="9" t="s">
        <v>12795</v>
      </c>
      <c r="S206" s="9" t="s">
        <v>12795</v>
      </c>
      <c r="T206" s="9"/>
      <c r="U206" s="9"/>
      <c r="V206" s="9"/>
      <c r="W206" s="9"/>
      <c r="X206" s="9"/>
      <c r="Y206" s="9"/>
      <c r="Z206" s="9"/>
      <c r="AA206" s="9"/>
      <c r="AB206" s="9"/>
      <c r="AC206" s="9"/>
      <c r="AD206" s="9" t="s">
        <v>20</v>
      </c>
    </row>
    <row r="207" spans="1:30" ht="43.5">
      <c r="A207" s="3" t="s">
        <v>2629</v>
      </c>
      <c r="B207" s="3" t="s">
        <v>7773</v>
      </c>
      <c r="C207" s="3" t="s">
        <v>7772</v>
      </c>
      <c r="G207" s="9" t="s">
        <v>25</v>
      </c>
      <c r="H207" s="9"/>
      <c r="I207" s="9">
        <v>1</v>
      </c>
      <c r="J207" s="9">
        <v>3</v>
      </c>
      <c r="K207" s="9" t="s">
        <v>12078</v>
      </c>
      <c r="L207" s="9" t="s">
        <v>12079</v>
      </c>
      <c r="M207" s="9"/>
      <c r="N207" s="10"/>
      <c r="O207" s="9"/>
      <c r="P207" s="9">
        <v>11843</v>
      </c>
      <c r="Q207" s="9"/>
      <c r="R207" s="9" t="s">
        <v>12795</v>
      </c>
      <c r="S207" s="9" t="s">
        <v>12795</v>
      </c>
      <c r="T207" s="9"/>
      <c r="U207" s="9"/>
      <c r="V207" s="9"/>
      <c r="W207" s="9"/>
      <c r="X207" s="9"/>
      <c r="Y207" s="9"/>
      <c r="Z207" s="9"/>
      <c r="AA207" s="9"/>
      <c r="AB207" s="9"/>
      <c r="AC207" s="9"/>
      <c r="AD207" s="9" t="s">
        <v>20</v>
      </c>
    </row>
    <row r="208" spans="1:30" ht="29">
      <c r="A208" s="3" t="s">
        <v>2649</v>
      </c>
      <c r="B208" s="3" t="s">
        <v>7788</v>
      </c>
      <c r="C208" s="3" t="s">
        <v>7787</v>
      </c>
      <c r="G208" s="9" t="s">
        <v>25</v>
      </c>
      <c r="H208" s="9"/>
      <c r="I208" s="9">
        <v>1</v>
      </c>
      <c r="J208" s="9">
        <v>2</v>
      </c>
      <c r="K208" s="9" t="s">
        <v>12078</v>
      </c>
      <c r="L208" s="9" t="s">
        <v>12119</v>
      </c>
      <c r="M208" s="9"/>
      <c r="N208" s="10"/>
      <c r="O208" s="9"/>
      <c r="P208" s="9">
        <v>11843</v>
      </c>
      <c r="Q208" s="9"/>
      <c r="R208" s="9" t="s">
        <v>12795</v>
      </c>
      <c r="S208" s="9" t="s">
        <v>12795</v>
      </c>
      <c r="T208" s="9"/>
      <c r="U208" s="9"/>
      <c r="V208" s="9"/>
      <c r="W208" s="9"/>
      <c r="X208" s="9"/>
      <c r="Y208" s="9"/>
      <c r="Z208" s="9"/>
      <c r="AA208" s="9"/>
      <c r="AB208" s="9"/>
      <c r="AC208" s="9"/>
      <c r="AD208" s="9" t="s">
        <v>20</v>
      </c>
    </row>
    <row r="209" spans="1:30" ht="29">
      <c r="A209" s="3" t="s">
        <v>2655</v>
      </c>
      <c r="B209" s="3" t="s">
        <v>12909</v>
      </c>
      <c r="C209" s="3" t="s">
        <v>7798</v>
      </c>
      <c r="G209" s="9" t="s">
        <v>25</v>
      </c>
      <c r="H209" s="9"/>
      <c r="I209" s="9">
        <v>1</v>
      </c>
      <c r="J209" s="9">
        <v>5</v>
      </c>
      <c r="K209" s="9" t="s">
        <v>12094</v>
      </c>
      <c r="L209" s="9" t="s">
        <v>12079</v>
      </c>
      <c r="M209" s="9"/>
      <c r="N209" s="10"/>
      <c r="O209" s="9"/>
      <c r="P209" s="9">
        <v>4240</v>
      </c>
      <c r="Q209" s="9"/>
      <c r="R209" s="9" t="s">
        <v>12795</v>
      </c>
      <c r="S209" s="9" t="s">
        <v>12795</v>
      </c>
      <c r="T209" s="9"/>
      <c r="U209" s="9"/>
      <c r="V209" s="9"/>
      <c r="W209" s="9"/>
      <c r="X209" s="9"/>
      <c r="Y209" s="9"/>
      <c r="Z209" s="9"/>
      <c r="AA209" s="9"/>
      <c r="AB209" s="9"/>
      <c r="AC209" s="9"/>
      <c r="AD209" s="9" t="s">
        <v>20</v>
      </c>
    </row>
    <row r="210" spans="1:30" ht="58">
      <c r="A210" s="3" t="s">
        <v>2679</v>
      </c>
      <c r="B210" s="3" t="s">
        <v>7814</v>
      </c>
      <c r="C210" s="3" t="s">
        <v>7813</v>
      </c>
      <c r="G210" s="9" t="s">
        <v>24</v>
      </c>
      <c r="H210" s="9"/>
      <c r="I210" s="9">
        <v>1</v>
      </c>
      <c r="J210" s="9">
        <v>6</v>
      </c>
      <c r="K210" s="9" t="s">
        <v>12094</v>
      </c>
      <c r="L210" s="9" t="s">
        <v>12073</v>
      </c>
      <c r="M210" s="9" t="s">
        <v>12149</v>
      </c>
      <c r="N210" s="10" t="s">
        <v>12143</v>
      </c>
      <c r="O210" s="9"/>
      <c r="P210" s="9">
        <v>930</v>
      </c>
      <c r="Q210" s="9"/>
      <c r="R210" s="9" t="s">
        <v>12795</v>
      </c>
      <c r="S210" s="9" t="s">
        <v>12795</v>
      </c>
      <c r="T210" s="9"/>
      <c r="U210" s="9"/>
      <c r="V210" s="9"/>
      <c r="W210" s="9"/>
      <c r="X210" s="9"/>
      <c r="Y210" s="9"/>
      <c r="Z210" s="9"/>
      <c r="AA210" s="9"/>
      <c r="AB210" s="9"/>
      <c r="AC210" s="9"/>
      <c r="AD210" s="9" t="s">
        <v>20</v>
      </c>
    </row>
    <row r="211" spans="1:30" ht="43.5">
      <c r="A211" s="3" t="s">
        <v>2684</v>
      </c>
      <c r="B211" s="3" t="s">
        <v>7828</v>
      </c>
      <c r="C211" s="3" t="s">
        <v>7827</v>
      </c>
      <c r="G211" s="9" t="s">
        <v>25</v>
      </c>
      <c r="H211" s="9"/>
      <c r="I211" s="9">
        <v>1</v>
      </c>
      <c r="J211" s="9">
        <v>5</v>
      </c>
      <c r="K211" s="9" t="s">
        <v>12094</v>
      </c>
      <c r="L211" s="9" t="s">
        <v>12079</v>
      </c>
      <c r="M211" s="9"/>
      <c r="N211" s="10"/>
      <c r="O211" s="9"/>
      <c r="P211" s="9">
        <v>4240</v>
      </c>
      <c r="Q211" s="9"/>
      <c r="R211" s="9" t="s">
        <v>12795</v>
      </c>
      <c r="S211" s="9" t="s">
        <v>12795</v>
      </c>
      <c r="T211" s="9"/>
      <c r="U211" s="9"/>
      <c r="V211" s="9"/>
      <c r="W211" s="9"/>
      <c r="X211" s="9"/>
      <c r="Y211" s="9"/>
      <c r="Z211" s="9"/>
      <c r="AA211" s="9"/>
      <c r="AB211" s="9"/>
      <c r="AC211" s="9"/>
      <c r="AD211" s="9" t="s">
        <v>20</v>
      </c>
    </row>
    <row r="212" spans="1:30" ht="58">
      <c r="A212" s="3" t="s">
        <v>2685</v>
      </c>
      <c r="B212" s="3" t="s">
        <v>7830</v>
      </c>
      <c r="C212" s="3" t="s">
        <v>7829</v>
      </c>
      <c r="G212" s="9" t="s">
        <v>25</v>
      </c>
      <c r="H212" s="9"/>
      <c r="I212" s="9">
        <v>1</v>
      </c>
      <c r="J212" s="9">
        <v>7</v>
      </c>
      <c r="K212" s="9" t="s">
        <v>12092</v>
      </c>
      <c r="L212" s="9" t="s">
        <v>12073</v>
      </c>
      <c r="M212" s="9" t="s">
        <v>12142</v>
      </c>
      <c r="N212" s="10" t="s">
        <v>12160</v>
      </c>
      <c r="O212" s="9"/>
      <c r="P212" s="9">
        <v>2</v>
      </c>
      <c r="Q212" s="9"/>
      <c r="R212" s="9" t="s">
        <v>12795</v>
      </c>
      <c r="S212" s="9" t="s">
        <v>12795</v>
      </c>
      <c r="T212" s="9"/>
      <c r="U212" s="9"/>
      <c r="V212" s="9"/>
      <c r="W212" s="9"/>
      <c r="X212" s="9"/>
      <c r="Y212" s="9"/>
      <c r="Z212" s="9"/>
      <c r="AA212" s="9"/>
      <c r="AB212" s="9"/>
      <c r="AC212" s="9"/>
      <c r="AD212" s="9" t="s">
        <v>20</v>
      </c>
    </row>
    <row r="213" spans="1:30" ht="43.5">
      <c r="A213" s="3" t="s">
        <v>2686</v>
      </c>
      <c r="B213" s="3" t="s">
        <v>7832</v>
      </c>
      <c r="C213" s="3" t="s">
        <v>7831</v>
      </c>
      <c r="G213" s="9" t="s">
        <v>24</v>
      </c>
      <c r="H213" s="9"/>
      <c r="I213" s="9">
        <v>1</v>
      </c>
      <c r="J213" s="9">
        <v>2</v>
      </c>
      <c r="K213" s="9" t="s">
        <v>12078</v>
      </c>
      <c r="L213" s="9" t="s">
        <v>12119</v>
      </c>
      <c r="M213" s="9"/>
      <c r="N213" s="10"/>
      <c r="O213" s="9"/>
      <c r="P213" s="9">
        <v>11843</v>
      </c>
      <c r="Q213" s="9"/>
      <c r="R213" s="9" t="s">
        <v>12795</v>
      </c>
      <c r="S213" s="9" t="s">
        <v>12795</v>
      </c>
      <c r="T213" s="9"/>
      <c r="U213" s="9"/>
      <c r="V213" s="9"/>
      <c r="W213" s="9"/>
      <c r="X213" s="9"/>
      <c r="Y213" s="9"/>
      <c r="Z213" s="9"/>
      <c r="AA213" s="9"/>
      <c r="AB213" s="9"/>
      <c r="AC213" s="9"/>
      <c r="AD213" s="9" t="s">
        <v>20</v>
      </c>
    </row>
    <row r="214" spans="1:30" ht="232">
      <c r="A214" s="3" t="s">
        <v>2707</v>
      </c>
      <c r="B214" s="3" t="s">
        <v>7859</v>
      </c>
      <c r="C214" s="3" t="s">
        <v>7858</v>
      </c>
      <c r="G214" s="9" t="s">
        <v>25</v>
      </c>
      <c r="H214" s="9"/>
      <c r="I214" s="9">
        <v>13</v>
      </c>
      <c r="J214" s="9">
        <v>65</v>
      </c>
      <c r="K214" s="9"/>
      <c r="L214" s="9" t="s">
        <v>12079</v>
      </c>
      <c r="M214" s="9"/>
      <c r="N214" s="10"/>
      <c r="O214" s="9"/>
      <c r="P214" s="9">
        <v>31</v>
      </c>
      <c r="Q214" s="9"/>
      <c r="R214" s="9" t="s">
        <v>12795</v>
      </c>
      <c r="S214" s="9" t="s">
        <v>12795</v>
      </c>
      <c r="T214" s="9"/>
      <c r="U214" s="9"/>
      <c r="V214" s="9"/>
      <c r="W214" s="9"/>
      <c r="X214" s="9"/>
      <c r="Y214" s="9"/>
      <c r="Z214" s="9"/>
      <c r="AA214" s="9"/>
      <c r="AB214" s="9"/>
      <c r="AC214" s="9"/>
      <c r="AD214" s="9" t="s">
        <v>20</v>
      </c>
    </row>
    <row r="215" spans="1:30" ht="116">
      <c r="A215" s="3" t="s">
        <v>2711</v>
      </c>
      <c r="B215" s="3" t="s">
        <v>7861</v>
      </c>
      <c r="C215" s="3" t="s">
        <v>7860</v>
      </c>
      <c r="G215" s="9" t="s">
        <v>24</v>
      </c>
      <c r="H215" s="9"/>
      <c r="I215" s="9">
        <v>4</v>
      </c>
      <c r="J215" s="9">
        <v>15</v>
      </c>
      <c r="K215" s="9"/>
      <c r="L215" s="9" t="s">
        <v>12073</v>
      </c>
      <c r="M215" s="9" t="s">
        <v>12154</v>
      </c>
      <c r="N215" s="10" t="s">
        <v>12405</v>
      </c>
      <c r="O215" s="9"/>
      <c r="P215" s="9">
        <v>28</v>
      </c>
      <c r="Q215" s="9"/>
      <c r="R215" s="9" t="s">
        <v>12795</v>
      </c>
      <c r="S215" s="9" t="s">
        <v>12795</v>
      </c>
      <c r="T215" s="9"/>
      <c r="U215" s="9"/>
      <c r="V215" s="9"/>
      <c r="W215" s="9"/>
      <c r="X215" s="9"/>
      <c r="Y215" s="9"/>
      <c r="Z215" s="9"/>
      <c r="AA215" s="9"/>
      <c r="AB215" s="9"/>
      <c r="AC215" s="9"/>
      <c r="AD215" s="9" t="s">
        <v>20</v>
      </c>
    </row>
    <row r="216" spans="1:30" ht="29">
      <c r="A216" s="3" t="s">
        <v>2750</v>
      </c>
      <c r="B216" s="3" t="s">
        <v>7926</v>
      </c>
      <c r="C216" s="3" t="s">
        <v>7925</v>
      </c>
      <c r="G216" s="9" t="s">
        <v>24</v>
      </c>
      <c r="H216" s="9"/>
      <c r="I216" s="9">
        <v>1</v>
      </c>
      <c r="J216" s="9">
        <v>3</v>
      </c>
      <c r="K216" s="9" t="s">
        <v>12078</v>
      </c>
      <c r="L216" s="9" t="s">
        <v>12079</v>
      </c>
      <c r="M216" s="9"/>
      <c r="N216" s="10"/>
      <c r="O216" s="9"/>
      <c r="P216" s="9">
        <v>11843</v>
      </c>
      <c r="Q216" s="9"/>
      <c r="R216" s="9" t="s">
        <v>12795</v>
      </c>
      <c r="S216" s="9" t="s">
        <v>12795</v>
      </c>
      <c r="T216" s="9"/>
      <c r="U216" s="9"/>
      <c r="V216" s="9"/>
      <c r="W216" s="9"/>
      <c r="X216" s="9"/>
      <c r="Y216" s="9"/>
      <c r="Z216" s="9"/>
      <c r="AA216" s="9"/>
      <c r="AB216" s="9"/>
      <c r="AC216" s="9"/>
      <c r="AD216" s="9" t="s">
        <v>20</v>
      </c>
    </row>
    <row r="217" spans="1:30" ht="130.5">
      <c r="A217" s="3" t="s">
        <v>2788</v>
      </c>
      <c r="B217" s="3" t="s">
        <v>12415</v>
      </c>
      <c r="C217" s="3" t="s">
        <v>12416</v>
      </c>
      <c r="G217" s="9" t="s">
        <v>25</v>
      </c>
      <c r="H217" s="9"/>
      <c r="I217" s="9">
        <v>5</v>
      </c>
      <c r="J217" s="9">
        <v>29</v>
      </c>
      <c r="K217" s="9"/>
      <c r="L217" s="9" t="s">
        <v>12073</v>
      </c>
      <c r="M217" s="9" t="s">
        <v>12140</v>
      </c>
      <c r="N217" s="10" t="s">
        <v>12417</v>
      </c>
      <c r="O217" s="9"/>
      <c r="P217" s="9">
        <v>9</v>
      </c>
      <c r="Q217" s="9"/>
      <c r="R217" s="9" t="s">
        <v>12795</v>
      </c>
      <c r="S217" s="9" t="s">
        <v>12795</v>
      </c>
      <c r="T217" s="9"/>
      <c r="U217" s="9"/>
      <c r="V217" s="9"/>
      <c r="W217" s="9"/>
      <c r="X217" s="9"/>
      <c r="Y217" s="9"/>
      <c r="Z217" s="9"/>
      <c r="AA217" s="9"/>
      <c r="AB217" s="9"/>
      <c r="AC217" s="9"/>
      <c r="AD217" s="9" t="s">
        <v>20</v>
      </c>
    </row>
    <row r="218" spans="1:30" ht="87">
      <c r="A218" s="3" t="s">
        <v>2791</v>
      </c>
      <c r="B218" s="3" t="s">
        <v>7978</v>
      </c>
      <c r="C218" s="3" t="s">
        <v>7977</v>
      </c>
      <c r="G218" s="9" t="s">
        <v>25</v>
      </c>
      <c r="H218" s="9"/>
      <c r="I218" s="9">
        <v>3</v>
      </c>
      <c r="J218" s="9">
        <v>13</v>
      </c>
      <c r="K218" s="9"/>
      <c r="L218" s="9" t="s">
        <v>12079</v>
      </c>
      <c r="M218" s="9"/>
      <c r="N218" s="10"/>
      <c r="O218" s="9"/>
      <c r="P218" s="9">
        <v>75</v>
      </c>
      <c r="Q218" s="9"/>
      <c r="R218" s="9" t="s">
        <v>12795</v>
      </c>
      <c r="S218" s="9" t="s">
        <v>12795</v>
      </c>
      <c r="T218" s="9"/>
      <c r="U218" s="9"/>
      <c r="V218" s="9"/>
      <c r="W218" s="9"/>
      <c r="X218" s="9"/>
      <c r="Y218" s="9"/>
      <c r="Z218" s="9"/>
      <c r="AA218" s="9"/>
      <c r="AB218" s="9"/>
      <c r="AC218" s="9"/>
      <c r="AD218" s="9" t="s">
        <v>20</v>
      </c>
    </row>
    <row r="219" spans="1:30" ht="58">
      <c r="A219" s="3" t="s">
        <v>2796</v>
      </c>
      <c r="B219" s="3" t="s">
        <v>7991</v>
      </c>
      <c r="C219" s="3" t="s">
        <v>7988</v>
      </c>
      <c r="G219" s="9" t="s">
        <v>25</v>
      </c>
      <c r="H219" s="9"/>
      <c r="I219" s="9">
        <v>2</v>
      </c>
      <c r="J219" s="9">
        <v>8</v>
      </c>
      <c r="K219" s="9"/>
      <c r="L219" s="9" t="s">
        <v>12079</v>
      </c>
      <c r="M219" s="9"/>
      <c r="N219" s="10"/>
      <c r="O219" s="9"/>
      <c r="P219" s="9">
        <v>58</v>
      </c>
      <c r="Q219" s="9"/>
      <c r="R219" s="9" t="s">
        <v>12795</v>
      </c>
      <c r="S219" s="9" t="s">
        <v>12795</v>
      </c>
      <c r="T219" s="9"/>
      <c r="U219" s="9"/>
      <c r="V219" s="9"/>
      <c r="W219" s="9"/>
      <c r="X219" s="9"/>
      <c r="Y219" s="9"/>
      <c r="Z219" s="9"/>
      <c r="AA219" s="9"/>
      <c r="AB219" s="9"/>
      <c r="AC219" s="9"/>
      <c r="AD219" s="9" t="s">
        <v>20</v>
      </c>
    </row>
    <row r="220" spans="1:30" ht="43.5">
      <c r="A220" s="3" t="s">
        <v>2801</v>
      </c>
      <c r="B220" s="3" t="s">
        <v>8009</v>
      </c>
      <c r="C220" s="3" t="s">
        <v>8008</v>
      </c>
      <c r="G220" s="9" t="s">
        <v>25</v>
      </c>
      <c r="H220" s="9"/>
      <c r="I220" s="9">
        <v>1</v>
      </c>
      <c r="J220" s="9">
        <v>6</v>
      </c>
      <c r="K220" s="9" t="s">
        <v>12094</v>
      </c>
      <c r="L220" s="9" t="s">
        <v>12079</v>
      </c>
      <c r="M220" s="9"/>
      <c r="N220" s="10"/>
      <c r="O220" s="9"/>
      <c r="P220" s="9">
        <v>4240</v>
      </c>
      <c r="Q220" s="9"/>
      <c r="R220" s="9" t="s">
        <v>12795</v>
      </c>
      <c r="S220" s="9" t="s">
        <v>12795</v>
      </c>
      <c r="T220" s="9"/>
      <c r="U220" s="9"/>
      <c r="V220" s="9"/>
      <c r="W220" s="9"/>
      <c r="X220" s="9"/>
      <c r="Y220" s="9"/>
      <c r="Z220" s="9"/>
      <c r="AA220" s="9"/>
      <c r="AB220" s="9"/>
      <c r="AC220" s="9"/>
      <c r="AD220" s="9" t="s">
        <v>20</v>
      </c>
    </row>
    <row r="221" spans="1:30" ht="29">
      <c r="A221" s="3" t="s">
        <v>2812</v>
      </c>
      <c r="B221" s="3" t="s">
        <v>8040</v>
      </c>
      <c r="C221" s="3" t="s">
        <v>8039</v>
      </c>
      <c r="G221" s="9" t="s">
        <v>25</v>
      </c>
      <c r="H221" s="9"/>
      <c r="I221" s="9">
        <v>1</v>
      </c>
      <c r="J221" s="9">
        <v>3</v>
      </c>
      <c r="K221" s="9" t="s">
        <v>12078</v>
      </c>
      <c r="L221" s="9" t="s">
        <v>12079</v>
      </c>
      <c r="M221" s="9"/>
      <c r="N221" s="10"/>
      <c r="O221" s="9"/>
      <c r="P221" s="9">
        <v>11843</v>
      </c>
      <c r="Q221" s="9"/>
      <c r="R221" s="9" t="s">
        <v>12795</v>
      </c>
      <c r="S221" s="9" t="s">
        <v>12795</v>
      </c>
      <c r="T221" s="9"/>
      <c r="U221" s="9"/>
      <c r="V221" s="9"/>
      <c r="W221" s="9"/>
      <c r="X221" s="9"/>
      <c r="Y221" s="9"/>
      <c r="Z221" s="9"/>
      <c r="AA221" s="9"/>
      <c r="AB221" s="9"/>
      <c r="AC221" s="9"/>
      <c r="AD221" s="9" t="s">
        <v>20</v>
      </c>
    </row>
    <row r="222" spans="1:30" ht="29">
      <c r="A222" s="3" t="s">
        <v>2824</v>
      </c>
      <c r="B222" s="3" t="s">
        <v>8058</v>
      </c>
      <c r="C222" s="3" t="s">
        <v>8057</v>
      </c>
      <c r="G222" s="9" t="s">
        <v>25</v>
      </c>
      <c r="H222" s="9"/>
      <c r="I222" s="9">
        <v>1</v>
      </c>
      <c r="J222" s="9">
        <v>2</v>
      </c>
      <c r="K222" s="9" t="s">
        <v>12123</v>
      </c>
      <c r="L222" s="9" t="s">
        <v>12119</v>
      </c>
      <c r="M222" s="9"/>
      <c r="N222" s="10"/>
      <c r="O222" s="9"/>
      <c r="P222" s="9">
        <v>887</v>
      </c>
      <c r="Q222" s="9"/>
      <c r="R222" s="9" t="s">
        <v>12795</v>
      </c>
      <c r="S222" s="9" t="s">
        <v>12795</v>
      </c>
      <c r="T222" s="9"/>
      <c r="U222" s="9"/>
      <c r="V222" s="9"/>
      <c r="W222" s="9"/>
      <c r="X222" s="9"/>
      <c r="Y222" s="9"/>
      <c r="Z222" s="9"/>
      <c r="AA222" s="9"/>
      <c r="AB222" s="9"/>
      <c r="AC222" s="9"/>
      <c r="AD222" s="9" t="s">
        <v>20</v>
      </c>
    </row>
    <row r="223" spans="1:30" ht="58">
      <c r="A223" s="3" t="s">
        <v>2825</v>
      </c>
      <c r="B223" s="3" t="s">
        <v>8062</v>
      </c>
      <c r="C223" s="3" t="s">
        <v>8061</v>
      </c>
      <c r="G223" s="9" t="s">
        <v>24</v>
      </c>
      <c r="H223" s="9"/>
      <c r="I223" s="9">
        <v>1</v>
      </c>
      <c r="J223" s="9">
        <v>4</v>
      </c>
      <c r="K223" s="9" t="s">
        <v>12078</v>
      </c>
      <c r="L223" s="9" t="s">
        <v>12073</v>
      </c>
      <c r="M223" s="9" t="s">
        <v>12149</v>
      </c>
      <c r="N223" s="10" t="s">
        <v>12143</v>
      </c>
      <c r="O223" s="9"/>
      <c r="P223" s="9">
        <v>11843</v>
      </c>
      <c r="Q223" s="9"/>
      <c r="R223" s="9" t="s">
        <v>12795</v>
      </c>
      <c r="S223" s="9" t="s">
        <v>12795</v>
      </c>
      <c r="T223" s="9"/>
      <c r="U223" s="9"/>
      <c r="V223" s="9"/>
      <c r="W223" s="9"/>
      <c r="X223" s="9"/>
      <c r="Y223" s="9"/>
      <c r="Z223" s="9"/>
      <c r="AA223" s="9"/>
      <c r="AB223" s="9"/>
      <c r="AC223" s="9"/>
      <c r="AD223" s="9" t="s">
        <v>20</v>
      </c>
    </row>
    <row r="224" spans="1:30" ht="145">
      <c r="A224" s="3" t="s">
        <v>2833</v>
      </c>
      <c r="B224" s="3" t="s">
        <v>8081</v>
      </c>
      <c r="C224" s="3" t="s">
        <v>8078</v>
      </c>
      <c r="G224" s="9" t="s">
        <v>25</v>
      </c>
      <c r="H224" s="9"/>
      <c r="I224" s="9">
        <v>2</v>
      </c>
      <c r="J224" s="9">
        <v>9</v>
      </c>
      <c r="K224" s="9"/>
      <c r="L224" s="9" t="s">
        <v>12073</v>
      </c>
      <c r="M224" s="9" t="s">
        <v>12140</v>
      </c>
      <c r="N224" s="10" t="s">
        <v>12193</v>
      </c>
      <c r="O224" s="9"/>
      <c r="P224" s="9">
        <v>8</v>
      </c>
      <c r="Q224" s="9"/>
      <c r="R224" s="9" t="s">
        <v>12795</v>
      </c>
      <c r="S224" s="9" t="s">
        <v>12795</v>
      </c>
      <c r="T224" s="9"/>
      <c r="U224" s="9"/>
      <c r="V224" s="9"/>
      <c r="W224" s="9"/>
      <c r="X224" s="9"/>
      <c r="Y224" s="9"/>
      <c r="Z224" s="9"/>
      <c r="AA224" s="9"/>
      <c r="AB224" s="9"/>
      <c r="AC224" s="9"/>
      <c r="AD224" s="9" t="s">
        <v>20</v>
      </c>
    </row>
    <row r="225" spans="1:30" ht="29">
      <c r="A225" s="3" t="s">
        <v>2837</v>
      </c>
      <c r="B225" s="3" t="s">
        <v>8096</v>
      </c>
      <c r="C225" s="3" t="s">
        <v>8095</v>
      </c>
      <c r="G225" s="9" t="s">
        <v>25</v>
      </c>
      <c r="H225" s="9"/>
      <c r="I225" s="9">
        <v>1</v>
      </c>
      <c r="J225" s="9">
        <v>2</v>
      </c>
      <c r="K225" s="9" t="s">
        <v>12123</v>
      </c>
      <c r="L225" s="9" t="s">
        <v>12119</v>
      </c>
      <c r="M225" s="9"/>
      <c r="N225" s="10"/>
      <c r="O225" s="9"/>
      <c r="P225" s="9">
        <v>526</v>
      </c>
      <c r="Q225" s="9"/>
      <c r="R225" s="9" t="s">
        <v>12795</v>
      </c>
      <c r="S225" s="9" t="s">
        <v>12795</v>
      </c>
      <c r="T225" s="9"/>
      <c r="U225" s="9"/>
      <c r="V225" s="9"/>
      <c r="W225" s="9"/>
      <c r="X225" s="9"/>
      <c r="Y225" s="9"/>
      <c r="Z225" s="9"/>
      <c r="AA225" s="9"/>
      <c r="AB225" s="9"/>
      <c r="AC225" s="9"/>
      <c r="AD225" s="9" t="s">
        <v>20</v>
      </c>
    </row>
    <row r="226" spans="1:30" ht="58">
      <c r="A226" s="3" t="s">
        <v>2858</v>
      </c>
      <c r="B226" s="3" t="s">
        <v>8118</v>
      </c>
      <c r="C226" s="3" t="s">
        <v>8119</v>
      </c>
      <c r="G226" s="9" t="s">
        <v>25</v>
      </c>
      <c r="H226" s="9"/>
      <c r="I226" s="9">
        <v>1</v>
      </c>
      <c r="J226" s="9">
        <v>5</v>
      </c>
      <c r="K226" s="9" t="s">
        <v>12125</v>
      </c>
      <c r="L226" s="9" t="s">
        <v>12079</v>
      </c>
      <c r="M226" s="9"/>
      <c r="N226" s="10"/>
      <c r="O226" s="9"/>
      <c r="P226" s="9">
        <v>1565</v>
      </c>
      <c r="Q226" s="9"/>
      <c r="R226" s="9" t="s">
        <v>12795</v>
      </c>
      <c r="S226" s="9" t="s">
        <v>12795</v>
      </c>
      <c r="T226" s="9"/>
      <c r="U226" s="9"/>
      <c r="V226" s="9"/>
      <c r="W226" s="9"/>
      <c r="X226" s="9"/>
      <c r="Y226" s="9"/>
      <c r="Z226" s="9"/>
      <c r="AA226" s="9"/>
      <c r="AB226" s="9"/>
      <c r="AC226" s="9"/>
      <c r="AD226" s="9" t="s">
        <v>20</v>
      </c>
    </row>
    <row r="227" spans="1:30" ht="29">
      <c r="A227" s="3" t="s">
        <v>2859</v>
      </c>
      <c r="B227" s="3" t="s">
        <v>8120</v>
      </c>
      <c r="C227" s="3" t="s">
        <v>8121</v>
      </c>
      <c r="G227" s="9" t="s">
        <v>25</v>
      </c>
      <c r="H227" s="9"/>
      <c r="I227" s="9">
        <v>1</v>
      </c>
      <c r="J227" s="9">
        <v>2</v>
      </c>
      <c r="K227" s="9" t="s">
        <v>12078</v>
      </c>
      <c r="L227" s="9" t="s">
        <v>12119</v>
      </c>
      <c r="M227" s="9"/>
      <c r="N227" s="10"/>
      <c r="O227" s="9"/>
      <c r="P227" s="9">
        <v>11843</v>
      </c>
      <c r="Q227" s="9"/>
      <c r="R227" s="9" t="s">
        <v>12795</v>
      </c>
      <c r="S227" s="9" t="s">
        <v>12795</v>
      </c>
      <c r="T227" s="9"/>
      <c r="U227" s="9"/>
      <c r="V227" s="9"/>
      <c r="W227" s="9"/>
      <c r="X227" s="9"/>
      <c r="Y227" s="9"/>
      <c r="Z227" s="9"/>
      <c r="AA227" s="9"/>
      <c r="AB227" s="9"/>
      <c r="AC227" s="9"/>
      <c r="AD227" s="9" t="s">
        <v>20</v>
      </c>
    </row>
    <row r="228" spans="1:30" ht="87">
      <c r="A228" s="3" t="s">
        <v>2885</v>
      </c>
      <c r="B228" s="3" t="s">
        <v>8151</v>
      </c>
      <c r="C228" s="3" t="s">
        <v>13048</v>
      </c>
      <c r="G228" s="9" t="s">
        <v>25</v>
      </c>
      <c r="H228" s="9"/>
      <c r="I228" s="9">
        <v>1</v>
      </c>
      <c r="J228" s="9">
        <v>11</v>
      </c>
      <c r="K228" s="9" t="s">
        <v>12125</v>
      </c>
      <c r="L228" s="9" t="s">
        <v>12073</v>
      </c>
      <c r="M228" s="9" t="s">
        <v>12142</v>
      </c>
      <c r="N228" s="10" t="s">
        <v>12170</v>
      </c>
      <c r="O228" s="9"/>
      <c r="P228" s="9">
        <v>229</v>
      </c>
      <c r="Q228" s="9"/>
      <c r="R228" s="9" t="s">
        <v>12795</v>
      </c>
      <c r="S228" s="9" t="s">
        <v>12795</v>
      </c>
      <c r="T228" s="9"/>
      <c r="U228" s="9"/>
      <c r="V228" s="9"/>
      <c r="W228" s="9"/>
      <c r="X228" s="9"/>
      <c r="Y228" s="9"/>
      <c r="Z228" s="9"/>
      <c r="AA228" s="9"/>
      <c r="AB228" s="9"/>
      <c r="AC228" s="9"/>
      <c r="AD228" s="9" t="s">
        <v>20</v>
      </c>
    </row>
    <row r="229" spans="1:30" ht="43.5">
      <c r="A229" s="3" t="s">
        <v>2886</v>
      </c>
      <c r="B229" s="3" t="s">
        <v>8153</v>
      </c>
      <c r="C229" s="3" t="s">
        <v>8152</v>
      </c>
      <c r="G229" s="9" t="s">
        <v>25</v>
      </c>
      <c r="H229" s="9"/>
      <c r="I229" s="9">
        <v>1</v>
      </c>
      <c r="J229" s="9">
        <v>3</v>
      </c>
      <c r="K229" s="9" t="s">
        <v>12078</v>
      </c>
      <c r="L229" s="9" t="s">
        <v>12079</v>
      </c>
      <c r="M229" s="9"/>
      <c r="N229" s="10"/>
      <c r="O229" s="9"/>
      <c r="P229" s="9">
        <v>11843</v>
      </c>
      <c r="Q229" s="9"/>
      <c r="R229" s="9" t="s">
        <v>12795</v>
      </c>
      <c r="S229" s="9" t="s">
        <v>12795</v>
      </c>
      <c r="T229" s="9"/>
      <c r="U229" s="9"/>
      <c r="V229" s="9"/>
      <c r="W229" s="9"/>
      <c r="X229" s="9"/>
      <c r="Y229" s="9"/>
      <c r="Z229" s="9"/>
      <c r="AA229" s="9"/>
      <c r="AB229" s="9"/>
      <c r="AC229" s="9"/>
      <c r="AD229" s="9" t="s">
        <v>20</v>
      </c>
    </row>
    <row r="230" spans="1:30" ht="43.5">
      <c r="A230" s="3" t="s">
        <v>2890</v>
      </c>
      <c r="B230" s="11" t="s">
        <v>8161</v>
      </c>
      <c r="C230" s="3" t="s">
        <v>8160</v>
      </c>
      <c r="G230" s="9" t="s">
        <v>24</v>
      </c>
      <c r="H230" s="9"/>
      <c r="I230" s="9">
        <v>1</v>
      </c>
      <c r="J230" s="9">
        <v>3</v>
      </c>
      <c r="K230" s="9" t="s">
        <v>12078</v>
      </c>
      <c r="L230" s="9" t="s">
        <v>12079</v>
      </c>
      <c r="M230" s="9"/>
      <c r="N230" s="10"/>
      <c r="O230" s="9"/>
      <c r="P230" s="9">
        <v>11843</v>
      </c>
      <c r="Q230" s="9"/>
      <c r="R230" s="9" t="s">
        <v>12795</v>
      </c>
      <c r="S230" s="9" t="s">
        <v>12795</v>
      </c>
      <c r="T230" s="9"/>
      <c r="U230" s="9"/>
      <c r="V230" s="9"/>
      <c r="W230" s="9"/>
      <c r="X230" s="9"/>
      <c r="Y230" s="9"/>
      <c r="Z230" s="9"/>
      <c r="AA230" s="9"/>
      <c r="AB230" s="9"/>
      <c r="AC230" s="9"/>
      <c r="AD230" s="9" t="s">
        <v>20</v>
      </c>
    </row>
    <row r="231" spans="1:30" ht="58">
      <c r="A231" s="3" t="s">
        <v>2908</v>
      </c>
      <c r="B231" s="3" t="s">
        <v>8182</v>
      </c>
      <c r="C231" s="3" t="s">
        <v>8181</v>
      </c>
      <c r="F231" t="s">
        <v>19</v>
      </c>
      <c r="G231" s="9" t="s">
        <v>24</v>
      </c>
      <c r="H231" s="9"/>
      <c r="I231" s="9">
        <v>1</v>
      </c>
      <c r="J231" s="9">
        <v>2</v>
      </c>
      <c r="K231" s="9" t="s">
        <v>12078</v>
      </c>
      <c r="L231" s="9" t="s">
        <v>12119</v>
      </c>
      <c r="M231" s="9"/>
      <c r="N231" s="10"/>
      <c r="O231" s="9"/>
      <c r="P231" s="9">
        <v>11843</v>
      </c>
      <c r="Q231" s="9"/>
      <c r="R231" s="9" t="s">
        <v>12795</v>
      </c>
      <c r="S231" s="9" t="s">
        <v>12795</v>
      </c>
      <c r="T231" s="9"/>
      <c r="U231" s="9"/>
      <c r="V231" s="9"/>
      <c r="W231" s="9"/>
      <c r="X231" s="9"/>
      <c r="Y231" s="9"/>
      <c r="Z231" s="9"/>
      <c r="AA231" s="9"/>
      <c r="AB231" s="9"/>
      <c r="AC231" s="9"/>
      <c r="AD231" s="9" t="s">
        <v>20</v>
      </c>
    </row>
    <row r="232" spans="1:30" ht="29">
      <c r="A232" s="3" t="s">
        <v>2911</v>
      </c>
      <c r="B232" s="3" t="s">
        <v>8189</v>
      </c>
      <c r="C232" s="3" t="s">
        <v>8190</v>
      </c>
      <c r="G232" s="9" t="s">
        <v>24</v>
      </c>
      <c r="H232" s="9"/>
      <c r="I232" s="9">
        <v>1</v>
      </c>
      <c r="J232" s="9">
        <v>1</v>
      </c>
      <c r="K232" s="9" t="s">
        <v>12078</v>
      </c>
      <c r="L232" s="9" t="s">
        <v>12119</v>
      </c>
      <c r="M232" s="9"/>
      <c r="N232" s="10"/>
      <c r="O232" s="9"/>
      <c r="P232" s="9">
        <v>11843</v>
      </c>
      <c r="Q232" s="9"/>
      <c r="R232" s="9" t="s">
        <v>12795</v>
      </c>
      <c r="S232" s="9" t="s">
        <v>12795</v>
      </c>
      <c r="T232" s="9"/>
      <c r="U232" s="9"/>
      <c r="V232" s="9"/>
      <c r="W232" s="9"/>
      <c r="X232" s="9"/>
      <c r="Y232" s="9"/>
      <c r="Z232" s="9"/>
      <c r="AA232" s="9"/>
      <c r="AB232" s="9"/>
      <c r="AC232" s="9"/>
      <c r="AD232" s="9" t="s">
        <v>20</v>
      </c>
    </row>
    <row r="233" spans="1:30" ht="43.5">
      <c r="A233" s="3" t="s">
        <v>2932</v>
      </c>
      <c r="B233" s="3" t="s">
        <v>8212</v>
      </c>
      <c r="C233" s="3" t="s">
        <v>8213</v>
      </c>
      <c r="G233" s="9" t="s">
        <v>25</v>
      </c>
      <c r="H233" s="9"/>
      <c r="I233" s="9">
        <v>1</v>
      </c>
      <c r="J233" s="9">
        <v>3</v>
      </c>
      <c r="K233" s="9" t="s">
        <v>12094</v>
      </c>
      <c r="L233" s="9" t="s">
        <v>12079</v>
      </c>
      <c r="M233" s="9"/>
      <c r="N233" s="10"/>
      <c r="O233" s="9"/>
      <c r="P233" s="9">
        <v>1741</v>
      </c>
      <c r="Q233" s="9"/>
      <c r="R233" s="9" t="s">
        <v>12795</v>
      </c>
      <c r="S233" s="9" t="s">
        <v>12795</v>
      </c>
      <c r="T233" s="9"/>
      <c r="U233" s="9"/>
      <c r="V233" s="9"/>
      <c r="W233" s="9"/>
      <c r="X233" s="9"/>
      <c r="Y233" s="9"/>
      <c r="Z233" s="9"/>
      <c r="AA233" s="9"/>
      <c r="AB233" s="9"/>
      <c r="AC233" s="9"/>
      <c r="AD233" s="9" t="s">
        <v>20</v>
      </c>
    </row>
    <row r="234" spans="1:30" ht="29">
      <c r="A234" s="3" t="s">
        <v>2945</v>
      </c>
      <c r="B234" s="3" t="s">
        <v>8221</v>
      </c>
      <c r="C234" s="3" t="s">
        <v>8220</v>
      </c>
      <c r="G234" s="9" t="s">
        <v>25</v>
      </c>
      <c r="H234" s="9"/>
      <c r="I234" s="9">
        <v>1</v>
      </c>
      <c r="J234" s="9">
        <v>2</v>
      </c>
      <c r="K234" s="9" t="s">
        <v>12078</v>
      </c>
      <c r="L234" s="9" t="s">
        <v>12119</v>
      </c>
      <c r="M234" s="9"/>
      <c r="N234" s="10"/>
      <c r="O234" s="9"/>
      <c r="P234" s="9">
        <v>11843</v>
      </c>
      <c r="Q234" s="9"/>
      <c r="R234" s="9" t="s">
        <v>12795</v>
      </c>
      <c r="S234" s="9" t="s">
        <v>12795</v>
      </c>
      <c r="T234" s="9"/>
      <c r="U234" s="9"/>
      <c r="V234" s="9"/>
      <c r="W234" s="9"/>
      <c r="X234" s="9"/>
      <c r="Y234" s="9"/>
      <c r="Z234" s="9"/>
      <c r="AA234" s="9"/>
      <c r="AB234" s="9"/>
      <c r="AC234" s="9"/>
      <c r="AD234" s="9" t="s">
        <v>20</v>
      </c>
    </row>
    <row r="235" spans="1:30" ht="58">
      <c r="A235" s="3" t="s">
        <v>2947</v>
      </c>
      <c r="B235" s="3" t="s">
        <v>8223</v>
      </c>
      <c r="C235" s="3" t="s">
        <v>8224</v>
      </c>
      <c r="G235" s="9" t="s">
        <v>24</v>
      </c>
      <c r="H235" s="9"/>
      <c r="I235" s="9">
        <v>1</v>
      </c>
      <c r="J235" s="9">
        <v>3</v>
      </c>
      <c r="K235" s="9" t="s">
        <v>12078</v>
      </c>
      <c r="L235" s="9" t="s">
        <v>12073</v>
      </c>
      <c r="M235" s="9" t="s">
        <v>12142</v>
      </c>
      <c r="N235" s="10" t="s">
        <v>12143</v>
      </c>
      <c r="O235" s="9" t="s">
        <v>12074</v>
      </c>
      <c r="P235" s="9">
        <v>11843</v>
      </c>
      <c r="Q235" s="9"/>
      <c r="R235" s="9" t="s">
        <v>12795</v>
      </c>
      <c r="S235" s="9" t="s">
        <v>12795</v>
      </c>
      <c r="T235" s="9"/>
      <c r="U235" s="9"/>
      <c r="V235" s="9"/>
      <c r="W235" s="9"/>
      <c r="X235" s="9"/>
      <c r="Y235" s="9"/>
      <c r="Z235" s="9"/>
      <c r="AA235" s="9"/>
      <c r="AB235" s="9"/>
      <c r="AC235" s="9"/>
      <c r="AD235" s="9" t="s">
        <v>20</v>
      </c>
    </row>
    <row r="236" spans="1:30" ht="43.5">
      <c r="A236" s="3" t="s">
        <v>2947</v>
      </c>
      <c r="B236" s="3" t="s">
        <v>12426</v>
      </c>
      <c r="C236" s="3" t="s">
        <v>12427</v>
      </c>
      <c r="G236" s="9" t="s">
        <v>25</v>
      </c>
      <c r="H236" s="9"/>
      <c r="I236" s="9">
        <v>1</v>
      </c>
      <c r="J236" s="9">
        <v>1</v>
      </c>
      <c r="K236" s="9" t="s">
        <v>12078</v>
      </c>
      <c r="L236" s="9" t="s">
        <v>12119</v>
      </c>
      <c r="M236" s="9"/>
      <c r="N236" s="10"/>
      <c r="O236" s="9"/>
      <c r="P236" s="9">
        <v>11843</v>
      </c>
      <c r="Q236" s="9"/>
      <c r="R236" s="9" t="s">
        <v>12795</v>
      </c>
      <c r="S236" s="9" t="s">
        <v>12795</v>
      </c>
      <c r="T236" s="9"/>
      <c r="U236" s="9"/>
      <c r="V236" s="9"/>
      <c r="W236" s="9"/>
      <c r="X236" s="9"/>
      <c r="Y236" s="9"/>
      <c r="Z236" s="9"/>
      <c r="AA236" s="9"/>
      <c r="AB236" s="9"/>
      <c r="AC236" s="9"/>
      <c r="AD236" s="9" t="s">
        <v>13141</v>
      </c>
    </row>
    <row r="237" spans="1:30" ht="145">
      <c r="A237" s="3" t="s">
        <v>2952</v>
      </c>
      <c r="B237" s="3" t="s">
        <v>12428</v>
      </c>
      <c r="C237" s="3" t="s">
        <v>8232</v>
      </c>
      <c r="G237" s="9" t="s">
        <v>24</v>
      </c>
      <c r="H237" s="9"/>
      <c r="I237" s="9">
        <v>3</v>
      </c>
      <c r="J237" s="9">
        <v>14</v>
      </c>
      <c r="K237" s="9"/>
      <c r="L237" s="9" t="s">
        <v>12079</v>
      </c>
      <c r="M237" s="9"/>
      <c r="N237" s="10"/>
      <c r="O237" s="9"/>
      <c r="P237" s="9">
        <v>47</v>
      </c>
      <c r="Q237" s="9"/>
      <c r="R237" s="9" t="s">
        <v>12795</v>
      </c>
      <c r="S237" s="9" t="s">
        <v>12795</v>
      </c>
      <c r="T237" s="9"/>
      <c r="U237" s="9"/>
      <c r="V237" s="9"/>
      <c r="W237" s="9"/>
      <c r="X237" s="9"/>
      <c r="Y237" s="9"/>
      <c r="Z237" s="9"/>
      <c r="AA237" s="9"/>
      <c r="AB237" s="9"/>
      <c r="AC237" s="9"/>
      <c r="AD237" s="9" t="s">
        <v>20</v>
      </c>
    </row>
    <row r="238" spans="1:30" ht="145">
      <c r="A238" s="3" t="s">
        <v>2952</v>
      </c>
      <c r="B238" s="3" t="s">
        <v>12430</v>
      </c>
      <c r="C238" s="3" t="s">
        <v>12429</v>
      </c>
      <c r="G238" s="9" t="s">
        <v>25</v>
      </c>
      <c r="H238" s="9"/>
      <c r="I238" s="9">
        <v>3</v>
      </c>
      <c r="J238" s="9">
        <v>14</v>
      </c>
      <c r="K238" s="9"/>
      <c r="L238" s="9" t="s">
        <v>12073</v>
      </c>
      <c r="M238" s="9" t="s">
        <v>12140</v>
      </c>
      <c r="N238" s="10" t="s">
        <v>12136</v>
      </c>
      <c r="O238" s="9"/>
      <c r="P238" s="9">
        <v>47</v>
      </c>
      <c r="Q238" s="9"/>
      <c r="R238" s="9" t="s">
        <v>12795</v>
      </c>
      <c r="S238" s="9" t="s">
        <v>12795</v>
      </c>
      <c r="T238" s="9"/>
      <c r="U238" s="9"/>
      <c r="V238" s="9"/>
      <c r="W238" s="9"/>
      <c r="X238" s="9"/>
      <c r="Y238" s="9"/>
      <c r="Z238" s="9"/>
      <c r="AA238" s="9"/>
      <c r="AB238" s="9"/>
      <c r="AC238" s="9"/>
      <c r="AD238" s="9" t="s">
        <v>20</v>
      </c>
    </row>
    <row r="239" spans="1:30" ht="43.5">
      <c r="A239" s="3" t="s">
        <v>2956</v>
      </c>
      <c r="B239" s="3" t="s">
        <v>8238</v>
      </c>
      <c r="C239" s="3" t="s">
        <v>8237</v>
      </c>
      <c r="G239" s="9" t="s">
        <v>25</v>
      </c>
      <c r="H239" s="9"/>
      <c r="I239" s="9">
        <v>1</v>
      </c>
      <c r="J239" s="9">
        <v>3</v>
      </c>
      <c r="K239" s="9" t="s">
        <v>12087</v>
      </c>
      <c r="L239" s="9" t="s">
        <v>12079</v>
      </c>
      <c r="M239" s="9"/>
      <c r="N239" s="10"/>
      <c r="O239" s="9"/>
      <c r="P239" s="9">
        <v>431</v>
      </c>
      <c r="Q239" s="9"/>
      <c r="R239" s="9" t="s">
        <v>12795</v>
      </c>
      <c r="S239" s="9" t="s">
        <v>12795</v>
      </c>
      <c r="T239" s="9"/>
      <c r="U239" s="9"/>
      <c r="V239" s="9"/>
      <c r="W239" s="9"/>
      <c r="X239" s="9"/>
      <c r="Y239" s="9"/>
      <c r="Z239" s="9"/>
      <c r="AA239" s="9"/>
      <c r="AB239" s="9"/>
      <c r="AC239" s="9"/>
      <c r="AD239" s="9" t="s">
        <v>20</v>
      </c>
    </row>
    <row r="240" spans="1:30" ht="43.5">
      <c r="A240" s="3" t="s">
        <v>2957</v>
      </c>
      <c r="B240" s="3" t="s">
        <v>8240</v>
      </c>
      <c r="C240" s="3" t="s">
        <v>8239</v>
      </c>
      <c r="G240" s="9" t="s">
        <v>25</v>
      </c>
      <c r="H240" s="9"/>
      <c r="I240" s="9">
        <v>1</v>
      </c>
      <c r="J240" s="9">
        <v>2</v>
      </c>
      <c r="K240" s="9" t="s">
        <v>12078</v>
      </c>
      <c r="L240" s="9" t="s">
        <v>12119</v>
      </c>
      <c r="M240" s="9"/>
      <c r="N240" s="10"/>
      <c r="O240" s="9" t="s">
        <v>12074</v>
      </c>
      <c r="P240" s="9">
        <v>11843</v>
      </c>
      <c r="Q240" s="9"/>
      <c r="R240" s="9" t="s">
        <v>12795</v>
      </c>
      <c r="S240" s="9" t="s">
        <v>12795</v>
      </c>
      <c r="T240" s="9"/>
      <c r="U240" s="9"/>
      <c r="V240" s="9"/>
      <c r="W240" s="9"/>
      <c r="X240" s="9"/>
      <c r="Y240" s="9"/>
      <c r="Z240" s="9"/>
      <c r="AA240" s="9"/>
      <c r="AB240" s="9"/>
      <c r="AC240" s="9"/>
      <c r="AD240" s="9" t="s">
        <v>20</v>
      </c>
    </row>
    <row r="241" spans="1:30" ht="43.5">
      <c r="A241" s="3" t="s">
        <v>2965</v>
      </c>
      <c r="B241" s="3" t="s">
        <v>8251</v>
      </c>
      <c r="C241" s="3" t="s">
        <v>8252</v>
      </c>
      <c r="G241" s="9" t="s">
        <v>25</v>
      </c>
      <c r="H241" s="9"/>
      <c r="I241" s="9">
        <v>1</v>
      </c>
      <c r="J241" s="9">
        <v>6</v>
      </c>
      <c r="K241" s="9" t="s">
        <v>12125</v>
      </c>
      <c r="L241" s="9" t="s">
        <v>12079</v>
      </c>
      <c r="M241" s="9"/>
      <c r="N241" s="10"/>
      <c r="O241" s="9"/>
      <c r="P241" s="9">
        <v>265</v>
      </c>
      <c r="Q241" s="9"/>
      <c r="R241" s="9" t="s">
        <v>12795</v>
      </c>
      <c r="S241" s="9" t="s">
        <v>12795</v>
      </c>
      <c r="T241" s="9"/>
      <c r="U241" s="9"/>
      <c r="V241" s="9"/>
      <c r="W241" s="9"/>
      <c r="X241" s="9"/>
      <c r="Y241" s="9"/>
      <c r="Z241" s="9"/>
      <c r="AA241" s="9"/>
      <c r="AB241" s="9"/>
      <c r="AC241" s="9"/>
      <c r="AD241" s="9" t="s">
        <v>20</v>
      </c>
    </row>
    <row r="242" spans="1:30" ht="43.5">
      <c r="A242" s="3" t="s">
        <v>2970</v>
      </c>
      <c r="B242" s="3" t="s">
        <v>8258</v>
      </c>
      <c r="C242" s="3" t="s">
        <v>8257</v>
      </c>
      <c r="G242" s="9" t="s">
        <v>25</v>
      </c>
      <c r="H242" s="9"/>
      <c r="I242" s="9">
        <v>1</v>
      </c>
      <c r="J242" s="9">
        <v>2</v>
      </c>
      <c r="K242" s="9" t="s">
        <v>12123</v>
      </c>
      <c r="L242" s="9" t="s">
        <v>12119</v>
      </c>
      <c r="M242" s="9"/>
      <c r="N242" s="10"/>
      <c r="O242" s="9"/>
      <c r="P242" s="9">
        <v>526</v>
      </c>
      <c r="Q242" s="9"/>
      <c r="R242" s="9" t="s">
        <v>12795</v>
      </c>
      <c r="S242" s="9" t="s">
        <v>12795</v>
      </c>
      <c r="T242" s="9"/>
      <c r="U242" s="9"/>
      <c r="V242" s="9"/>
      <c r="W242" s="9"/>
      <c r="X242" s="9"/>
      <c r="Y242" s="9"/>
      <c r="Z242" s="9"/>
      <c r="AA242" s="9"/>
      <c r="AB242" s="9"/>
      <c r="AC242" s="9"/>
      <c r="AD242" s="9" t="s">
        <v>20</v>
      </c>
    </row>
    <row r="243" spans="1:30" ht="58">
      <c r="A243" s="3" t="s">
        <v>2971</v>
      </c>
      <c r="B243" s="3" t="s">
        <v>8260</v>
      </c>
      <c r="C243" s="3" t="s">
        <v>8259</v>
      </c>
      <c r="G243" s="9" t="s">
        <v>25</v>
      </c>
      <c r="H243" s="9"/>
      <c r="I243" s="9">
        <v>3</v>
      </c>
      <c r="J243" s="9">
        <v>9</v>
      </c>
      <c r="K243" s="9"/>
      <c r="L243" s="9" t="s">
        <v>12079</v>
      </c>
      <c r="M243" s="9"/>
      <c r="N243" s="10"/>
      <c r="O243" s="9"/>
      <c r="P243" s="9">
        <v>75</v>
      </c>
      <c r="Q243" s="9"/>
      <c r="R243" s="9" t="s">
        <v>12795</v>
      </c>
      <c r="S243" s="9" t="s">
        <v>12795</v>
      </c>
      <c r="T243" s="9"/>
      <c r="U243" s="9"/>
      <c r="V243" s="9"/>
      <c r="W243" s="9"/>
      <c r="X243" s="9"/>
      <c r="Y243" s="9"/>
      <c r="Z243" s="9"/>
      <c r="AA243" s="9"/>
      <c r="AB243" s="9"/>
      <c r="AC243" s="9"/>
      <c r="AD243" s="9" t="s">
        <v>13141</v>
      </c>
    </row>
    <row r="244" spans="1:30" ht="29">
      <c r="A244" s="3" t="s">
        <v>2978</v>
      </c>
      <c r="B244" s="3" t="s">
        <v>8272</v>
      </c>
      <c r="C244" s="3" t="s">
        <v>8271</v>
      </c>
      <c r="F244" t="s">
        <v>19</v>
      </c>
      <c r="G244" s="9" t="s">
        <v>25</v>
      </c>
      <c r="H244" s="9"/>
      <c r="I244" s="9">
        <v>1</v>
      </c>
      <c r="J244" s="9">
        <v>3</v>
      </c>
      <c r="K244" s="9" t="s">
        <v>12123</v>
      </c>
      <c r="L244" s="9" t="s">
        <v>12079</v>
      </c>
      <c r="M244" s="9"/>
      <c r="N244" s="10"/>
      <c r="O244" s="9"/>
      <c r="P244" s="9">
        <v>887</v>
      </c>
      <c r="Q244" s="9"/>
      <c r="R244" s="9" t="s">
        <v>12795</v>
      </c>
      <c r="S244" s="9" t="s">
        <v>12795</v>
      </c>
      <c r="T244" s="9"/>
      <c r="U244" s="9"/>
      <c r="V244" s="9"/>
      <c r="W244" s="9"/>
      <c r="X244" s="9"/>
      <c r="Y244" s="9"/>
      <c r="Z244" s="9"/>
      <c r="AA244" s="9"/>
      <c r="AB244" s="9"/>
      <c r="AC244" s="9"/>
      <c r="AD244" s="9" t="s">
        <v>20</v>
      </c>
    </row>
    <row r="245" spans="1:30" ht="58">
      <c r="A245" s="3" t="s">
        <v>2985</v>
      </c>
      <c r="B245" s="3" t="s">
        <v>8285</v>
      </c>
      <c r="C245" s="3" t="s">
        <v>8284</v>
      </c>
      <c r="F245" t="s">
        <v>19</v>
      </c>
      <c r="G245" s="9" t="s">
        <v>25</v>
      </c>
      <c r="H245" s="9"/>
      <c r="I245" s="9">
        <v>1</v>
      </c>
      <c r="J245" s="9">
        <v>4</v>
      </c>
      <c r="K245" s="9" t="s">
        <v>12078</v>
      </c>
      <c r="L245" s="9" t="s">
        <v>12073</v>
      </c>
      <c r="M245" s="9" t="s">
        <v>12149</v>
      </c>
      <c r="N245" s="10" t="s">
        <v>12143</v>
      </c>
      <c r="O245" s="9"/>
      <c r="P245" s="9">
        <v>11843</v>
      </c>
      <c r="Q245" s="9"/>
      <c r="R245" s="9" t="s">
        <v>12795</v>
      </c>
      <c r="S245" s="9" t="s">
        <v>12795</v>
      </c>
      <c r="T245" s="9"/>
      <c r="U245" s="9"/>
      <c r="V245" s="9"/>
      <c r="W245" s="9"/>
      <c r="X245" s="9"/>
      <c r="Y245" s="9"/>
      <c r="Z245" s="9"/>
      <c r="AA245" s="9"/>
      <c r="AB245" s="9"/>
      <c r="AC245" s="9"/>
      <c r="AD245" s="9" t="s">
        <v>20</v>
      </c>
    </row>
    <row r="246" spans="1:30" ht="116">
      <c r="A246" s="3" t="s">
        <v>2994</v>
      </c>
      <c r="B246" s="3" t="s">
        <v>8296</v>
      </c>
      <c r="C246" s="3" t="s">
        <v>8297</v>
      </c>
      <c r="G246" s="9" t="s">
        <v>24</v>
      </c>
      <c r="H246" s="9"/>
      <c r="I246" s="9">
        <v>1</v>
      </c>
      <c r="J246" s="9">
        <v>11</v>
      </c>
      <c r="K246" s="9" t="s">
        <v>12098</v>
      </c>
      <c r="L246" s="9" t="s">
        <v>12073</v>
      </c>
      <c r="M246" s="9" t="s">
        <v>12142</v>
      </c>
      <c r="N246" s="10" t="s">
        <v>12434</v>
      </c>
      <c r="O246" s="9" t="s">
        <v>12074</v>
      </c>
      <c r="P246" s="9">
        <v>101</v>
      </c>
      <c r="Q246" s="9"/>
      <c r="R246" s="9" t="s">
        <v>12795</v>
      </c>
      <c r="S246" s="9" t="s">
        <v>12795</v>
      </c>
      <c r="T246" s="9"/>
      <c r="U246" s="9"/>
      <c r="V246" s="9"/>
      <c r="W246" s="9"/>
      <c r="X246" s="9"/>
      <c r="Y246" s="9"/>
      <c r="Z246" s="9"/>
      <c r="AA246" s="9"/>
      <c r="AB246" s="9"/>
      <c r="AC246" s="9"/>
      <c r="AD246" s="9" t="s">
        <v>20</v>
      </c>
    </row>
    <row r="247" spans="1:30" ht="58">
      <c r="A247" s="3" t="s">
        <v>2997</v>
      </c>
      <c r="B247" s="3" t="s">
        <v>8310</v>
      </c>
      <c r="C247" s="3" t="s">
        <v>8313</v>
      </c>
      <c r="G247" s="9" t="s">
        <v>24</v>
      </c>
      <c r="H247" s="9"/>
      <c r="I247" s="9">
        <v>1</v>
      </c>
      <c r="J247" s="9">
        <v>2</v>
      </c>
      <c r="K247" s="9" t="s">
        <v>12078</v>
      </c>
      <c r="L247" s="9" t="s">
        <v>12119</v>
      </c>
      <c r="M247" s="9"/>
      <c r="N247" s="10"/>
      <c r="O247" s="9"/>
      <c r="P247" s="9">
        <v>11843</v>
      </c>
      <c r="Q247" s="9"/>
      <c r="R247" s="9" t="s">
        <v>12795</v>
      </c>
      <c r="S247" s="9" t="s">
        <v>12795</v>
      </c>
      <c r="T247" s="9"/>
      <c r="U247" s="9"/>
      <c r="V247" s="9"/>
      <c r="W247" s="9"/>
      <c r="X247" s="9"/>
      <c r="Y247" s="9"/>
      <c r="Z247" s="9"/>
      <c r="AA247" s="9"/>
      <c r="AB247" s="9"/>
      <c r="AC247" s="9"/>
      <c r="AD247" s="9" t="s">
        <v>20</v>
      </c>
    </row>
    <row r="248" spans="1:30" ht="43.5">
      <c r="A248" s="3" t="s">
        <v>2998</v>
      </c>
      <c r="B248" s="3" t="s">
        <v>8314</v>
      </c>
      <c r="C248" s="3" t="s">
        <v>8315</v>
      </c>
      <c r="G248" s="9" t="s">
        <v>25</v>
      </c>
      <c r="H248" s="9"/>
      <c r="I248" s="9">
        <v>1</v>
      </c>
      <c r="J248" s="9">
        <v>2</v>
      </c>
      <c r="K248" s="9" t="s">
        <v>12096</v>
      </c>
      <c r="L248" s="9" t="s">
        <v>12119</v>
      </c>
      <c r="M248" s="9"/>
      <c r="N248" s="10"/>
      <c r="O248" s="9" t="s">
        <v>12074</v>
      </c>
      <c r="P248" s="9">
        <v>1294</v>
      </c>
      <c r="Q248" s="9"/>
      <c r="R248" s="9" t="s">
        <v>12795</v>
      </c>
      <c r="S248" s="9" t="s">
        <v>12795</v>
      </c>
      <c r="T248" s="9"/>
      <c r="U248" s="9"/>
      <c r="V248" s="9"/>
      <c r="W248" s="9"/>
      <c r="X248" s="9"/>
      <c r="Y248" s="9"/>
      <c r="Z248" s="9"/>
      <c r="AA248" s="9"/>
      <c r="AB248" s="9"/>
      <c r="AC248" s="9"/>
      <c r="AD248" s="9" t="s">
        <v>20</v>
      </c>
    </row>
    <row r="249" spans="1:30" ht="101.5">
      <c r="A249" s="3" t="s">
        <v>3010</v>
      </c>
      <c r="B249" s="3" t="s">
        <v>8340</v>
      </c>
      <c r="C249" s="3" t="s">
        <v>8339</v>
      </c>
      <c r="G249" s="9" t="s">
        <v>25</v>
      </c>
      <c r="H249" s="9"/>
      <c r="I249" s="9">
        <v>4</v>
      </c>
      <c r="J249" s="9">
        <v>13</v>
      </c>
      <c r="K249" s="9"/>
      <c r="L249" s="9" t="s">
        <v>12079</v>
      </c>
      <c r="M249" s="9"/>
      <c r="N249" s="10"/>
      <c r="O249" s="9"/>
      <c r="P249" s="9">
        <v>173</v>
      </c>
      <c r="Q249" s="9"/>
      <c r="R249" s="9" t="s">
        <v>12795</v>
      </c>
      <c r="S249" s="9" t="s">
        <v>12795</v>
      </c>
      <c r="T249" s="9"/>
      <c r="U249" s="9"/>
      <c r="V249" s="9"/>
      <c r="W249" s="9"/>
      <c r="X249" s="9"/>
      <c r="Y249" s="9"/>
      <c r="Z249" s="9"/>
      <c r="AA249" s="9"/>
      <c r="AB249" s="9"/>
      <c r="AC249" s="9"/>
      <c r="AD249" s="9" t="s">
        <v>13141</v>
      </c>
    </row>
    <row r="250" spans="1:30" ht="72.5">
      <c r="A250" s="3" t="s">
        <v>3011</v>
      </c>
      <c r="B250" s="3" t="s">
        <v>8343</v>
      </c>
      <c r="C250" s="3" t="s">
        <v>8342</v>
      </c>
      <c r="F250" t="s">
        <v>19</v>
      </c>
      <c r="G250" s="9" t="s">
        <v>25</v>
      </c>
      <c r="H250" s="9"/>
      <c r="I250" s="9">
        <v>1</v>
      </c>
      <c r="J250" s="9">
        <v>2</v>
      </c>
      <c r="K250" s="9" t="s">
        <v>12087</v>
      </c>
      <c r="L250" s="9" t="s">
        <v>12119</v>
      </c>
      <c r="M250" s="9"/>
      <c r="N250" s="10"/>
      <c r="O250" s="9"/>
      <c r="P250" s="9">
        <v>207</v>
      </c>
      <c r="Q250" s="9"/>
      <c r="R250" s="9" t="s">
        <v>12795</v>
      </c>
      <c r="S250" s="9" t="s">
        <v>12795</v>
      </c>
      <c r="T250" s="9"/>
      <c r="U250" s="9"/>
      <c r="V250" s="9"/>
      <c r="W250" s="9"/>
      <c r="X250" s="9"/>
      <c r="Y250" s="9"/>
      <c r="Z250" s="9"/>
      <c r="AA250" s="9"/>
      <c r="AB250" s="9"/>
      <c r="AC250" s="9"/>
      <c r="AD250" s="9" t="s">
        <v>20</v>
      </c>
    </row>
    <row r="251" spans="1:30" ht="58">
      <c r="A251" s="3" t="s">
        <v>3017</v>
      </c>
      <c r="B251" s="3" t="s">
        <v>8354</v>
      </c>
      <c r="C251" s="3" t="s">
        <v>8351</v>
      </c>
      <c r="G251" s="9" t="s">
        <v>25</v>
      </c>
      <c r="H251" s="9"/>
      <c r="I251" s="9">
        <v>1</v>
      </c>
      <c r="J251" s="9">
        <v>3</v>
      </c>
      <c r="K251" s="9" t="s">
        <v>12078</v>
      </c>
      <c r="L251" s="9" t="s">
        <v>12079</v>
      </c>
      <c r="M251" s="9"/>
      <c r="N251" s="10"/>
      <c r="O251" s="9"/>
      <c r="P251" s="9">
        <v>11843</v>
      </c>
      <c r="Q251" s="9"/>
      <c r="R251" s="9" t="s">
        <v>12795</v>
      </c>
      <c r="S251" s="9" t="s">
        <v>12795</v>
      </c>
      <c r="T251" s="9"/>
      <c r="U251" s="9"/>
      <c r="V251" s="9"/>
      <c r="W251" s="9"/>
      <c r="X251" s="9"/>
      <c r="Y251" s="9"/>
      <c r="Z251" s="9"/>
      <c r="AA251" s="9"/>
      <c r="AB251" s="9"/>
      <c r="AC251" s="9"/>
      <c r="AD251" s="9" t="s">
        <v>13141</v>
      </c>
    </row>
    <row r="252" spans="1:30" ht="72.5">
      <c r="A252" s="3" t="s">
        <v>3017</v>
      </c>
      <c r="B252" s="3" t="s">
        <v>8356</v>
      </c>
      <c r="C252" s="3" t="s">
        <v>8355</v>
      </c>
      <c r="G252" s="9" t="s">
        <v>25</v>
      </c>
      <c r="H252" s="9"/>
      <c r="I252" s="9">
        <v>1</v>
      </c>
      <c r="J252" s="9">
        <v>3</v>
      </c>
      <c r="K252" s="9" t="s">
        <v>12078</v>
      </c>
      <c r="L252" s="9" t="s">
        <v>12079</v>
      </c>
      <c r="M252" s="9"/>
      <c r="N252" s="10"/>
      <c r="O252" s="9"/>
      <c r="P252" s="9">
        <v>11843</v>
      </c>
      <c r="Q252" s="9"/>
      <c r="R252" s="9" t="s">
        <v>12795</v>
      </c>
      <c r="S252" s="9" t="s">
        <v>12795</v>
      </c>
      <c r="T252" s="9"/>
      <c r="U252" s="9"/>
      <c r="V252" s="9"/>
      <c r="W252" s="9"/>
      <c r="X252" s="9"/>
      <c r="Y252" s="9"/>
      <c r="Z252" s="9"/>
      <c r="AA252" s="9"/>
      <c r="AB252" s="9"/>
      <c r="AC252" s="9"/>
      <c r="AD252" s="9" t="s">
        <v>20</v>
      </c>
    </row>
    <row r="253" spans="1:30" ht="72.5">
      <c r="A253" s="3" t="s">
        <v>3017</v>
      </c>
      <c r="B253" s="3" t="s">
        <v>8357</v>
      </c>
      <c r="C253" s="3" t="s">
        <v>8355</v>
      </c>
      <c r="G253" s="9" t="s">
        <v>25</v>
      </c>
      <c r="H253" s="9"/>
      <c r="I253" s="9">
        <v>1</v>
      </c>
      <c r="J253" s="9">
        <v>1</v>
      </c>
      <c r="K253" s="9" t="s">
        <v>12078</v>
      </c>
      <c r="L253" s="9" t="s">
        <v>12119</v>
      </c>
      <c r="M253" s="9"/>
      <c r="N253" s="10"/>
      <c r="O253" s="9"/>
      <c r="P253" s="9">
        <v>11843</v>
      </c>
      <c r="Q253" s="9"/>
      <c r="R253" s="9" t="s">
        <v>12795</v>
      </c>
      <c r="S253" s="9" t="s">
        <v>12795</v>
      </c>
      <c r="T253" s="9"/>
      <c r="U253" s="9"/>
      <c r="V253" s="9"/>
      <c r="W253" s="9"/>
      <c r="X253" s="9"/>
      <c r="Y253" s="9"/>
      <c r="Z253" s="9"/>
      <c r="AA253" s="9"/>
      <c r="AB253" s="9"/>
      <c r="AC253" s="9"/>
      <c r="AD253" s="9" t="s">
        <v>20</v>
      </c>
    </row>
    <row r="254" spans="1:30" ht="29">
      <c r="A254" s="3" t="s">
        <v>3022</v>
      </c>
      <c r="B254" s="3" t="s">
        <v>8364</v>
      </c>
      <c r="C254" s="3" t="s">
        <v>8363</v>
      </c>
      <c r="G254" s="9" t="s">
        <v>25</v>
      </c>
      <c r="H254" s="9"/>
      <c r="I254" s="9">
        <v>1</v>
      </c>
      <c r="J254" s="9">
        <v>1</v>
      </c>
      <c r="K254" s="9" t="s">
        <v>12078</v>
      </c>
      <c r="L254" s="9" t="s">
        <v>12119</v>
      </c>
      <c r="M254" s="9"/>
      <c r="N254" s="10"/>
      <c r="O254" s="9"/>
      <c r="P254" s="9">
        <v>11843</v>
      </c>
      <c r="Q254" s="9"/>
      <c r="R254" s="9" t="s">
        <v>12795</v>
      </c>
      <c r="S254" s="9" t="s">
        <v>12795</v>
      </c>
      <c r="T254" s="9"/>
      <c r="U254" s="9"/>
      <c r="V254" s="9"/>
      <c r="W254" s="9"/>
      <c r="X254" s="9"/>
      <c r="Y254" s="9"/>
      <c r="Z254" s="9"/>
      <c r="AA254" s="9"/>
      <c r="AB254" s="9"/>
      <c r="AC254" s="9"/>
      <c r="AD254" s="9" t="s">
        <v>20</v>
      </c>
    </row>
    <row r="255" spans="1:30" ht="43.5">
      <c r="A255" s="3" t="s">
        <v>3028</v>
      </c>
      <c r="B255" s="3" t="s">
        <v>8380</v>
      </c>
      <c r="C255" s="3" t="s">
        <v>8377</v>
      </c>
      <c r="G255" s="9" t="s">
        <v>25</v>
      </c>
      <c r="H255" s="9"/>
      <c r="I255" s="9">
        <v>1</v>
      </c>
      <c r="J255" s="9">
        <v>2</v>
      </c>
      <c r="K255" s="9" t="s">
        <v>12087</v>
      </c>
      <c r="L255" s="9" t="s">
        <v>12119</v>
      </c>
      <c r="M255" s="9"/>
      <c r="N255" s="10"/>
      <c r="O255" s="9"/>
      <c r="P255" s="9">
        <v>1966</v>
      </c>
      <c r="Q255" s="9"/>
      <c r="R255" s="9" t="s">
        <v>12795</v>
      </c>
      <c r="S255" s="9" t="s">
        <v>12795</v>
      </c>
      <c r="T255" s="9"/>
      <c r="U255" s="9"/>
      <c r="V255" s="9"/>
      <c r="W255" s="9"/>
      <c r="X255" s="9"/>
      <c r="Y255" s="9"/>
      <c r="Z255" s="9"/>
      <c r="AA255" s="9"/>
      <c r="AB255" s="9"/>
      <c r="AC255" s="9"/>
      <c r="AD255" s="9" t="s">
        <v>20</v>
      </c>
    </row>
    <row r="256" spans="1:30" ht="43.5">
      <c r="A256" s="3" t="s">
        <v>3029</v>
      </c>
      <c r="B256" s="3" t="s">
        <v>8381</v>
      </c>
      <c r="C256" s="3" t="s">
        <v>12438</v>
      </c>
      <c r="G256" s="9" t="s">
        <v>25</v>
      </c>
      <c r="H256" s="9"/>
      <c r="I256" s="9">
        <v>1</v>
      </c>
      <c r="J256" s="9">
        <v>5</v>
      </c>
      <c r="K256" s="9" t="s">
        <v>12094</v>
      </c>
      <c r="L256" s="9" t="s">
        <v>12079</v>
      </c>
      <c r="M256" s="9"/>
      <c r="N256" s="10"/>
      <c r="O256" s="9"/>
      <c r="P256" s="9">
        <v>4240</v>
      </c>
      <c r="Q256" s="9"/>
      <c r="R256" s="9" t="s">
        <v>12795</v>
      </c>
      <c r="S256" s="9" t="s">
        <v>12795</v>
      </c>
      <c r="T256" s="9"/>
      <c r="U256" s="9"/>
      <c r="V256" s="9"/>
      <c r="W256" s="9"/>
      <c r="X256" s="9"/>
      <c r="Y256" s="9"/>
      <c r="Z256" s="9"/>
      <c r="AA256" s="9"/>
      <c r="AB256" s="9"/>
      <c r="AC256" s="9"/>
      <c r="AD256" s="9" t="s">
        <v>20</v>
      </c>
    </row>
    <row r="257" spans="1:30" ht="29">
      <c r="A257" s="3" t="s">
        <v>3033</v>
      </c>
      <c r="B257" s="3" t="s">
        <v>8382</v>
      </c>
      <c r="C257" s="11" t="s">
        <v>8383</v>
      </c>
      <c r="G257" s="9" t="s">
        <v>25</v>
      </c>
      <c r="H257" s="9"/>
      <c r="I257" s="9">
        <v>1</v>
      </c>
      <c r="J257" s="9">
        <v>2</v>
      </c>
      <c r="K257" s="9" t="s">
        <v>12078</v>
      </c>
      <c r="L257" s="9" t="s">
        <v>12119</v>
      </c>
      <c r="M257" s="9"/>
      <c r="N257" s="10"/>
      <c r="O257" s="9"/>
      <c r="P257" s="9">
        <v>11843</v>
      </c>
      <c r="Q257" s="9"/>
      <c r="R257" s="9" t="s">
        <v>12795</v>
      </c>
      <c r="S257" s="9" t="s">
        <v>12795</v>
      </c>
      <c r="T257" s="9"/>
      <c r="U257" s="9"/>
      <c r="V257" s="9"/>
      <c r="W257" s="9"/>
      <c r="X257" s="9"/>
      <c r="Y257" s="9"/>
      <c r="Z257" s="9"/>
      <c r="AA257" s="9"/>
      <c r="AB257" s="9"/>
      <c r="AC257" s="9"/>
      <c r="AD257" s="9" t="s">
        <v>20</v>
      </c>
    </row>
    <row r="258" spans="1:30" ht="29">
      <c r="A258" s="3" t="s">
        <v>3036</v>
      </c>
      <c r="B258" s="3" t="s">
        <v>8388</v>
      </c>
      <c r="C258" s="3" t="s">
        <v>8389</v>
      </c>
      <c r="F258" t="s">
        <v>19</v>
      </c>
      <c r="G258" s="9" t="s">
        <v>24</v>
      </c>
      <c r="H258" s="9"/>
      <c r="I258" s="9">
        <v>1</v>
      </c>
      <c r="J258" s="9">
        <v>2</v>
      </c>
      <c r="K258" s="9" t="s">
        <v>12078</v>
      </c>
      <c r="L258" s="9" t="s">
        <v>12119</v>
      </c>
      <c r="M258" s="9"/>
      <c r="N258" s="10"/>
      <c r="O258" s="9"/>
      <c r="P258" s="9">
        <v>11843</v>
      </c>
      <c r="Q258" s="9"/>
      <c r="R258" s="9" t="s">
        <v>12795</v>
      </c>
      <c r="S258" s="9" t="s">
        <v>12795</v>
      </c>
      <c r="T258" s="9"/>
      <c r="U258" s="9"/>
      <c r="V258" s="9"/>
      <c r="W258" s="9"/>
      <c r="X258" s="9"/>
      <c r="Y258" s="9"/>
      <c r="Z258" s="9"/>
      <c r="AA258" s="9"/>
      <c r="AB258" s="9"/>
      <c r="AC258" s="9"/>
      <c r="AD258" s="9" t="s">
        <v>20</v>
      </c>
    </row>
    <row r="259" spans="1:30" ht="29">
      <c r="A259" s="3" t="s">
        <v>3045</v>
      </c>
      <c r="B259" s="3" t="s">
        <v>8404</v>
      </c>
      <c r="C259" s="3" t="s">
        <v>8403</v>
      </c>
      <c r="G259" s="9" t="s">
        <v>25</v>
      </c>
      <c r="H259" s="9"/>
      <c r="I259" s="9">
        <v>1</v>
      </c>
      <c r="J259" s="9">
        <v>3</v>
      </c>
      <c r="K259" s="9" t="s">
        <v>12123</v>
      </c>
      <c r="L259" s="9" t="s">
        <v>12079</v>
      </c>
      <c r="M259" s="9"/>
      <c r="N259" s="10"/>
      <c r="O259" s="9"/>
      <c r="P259" s="9">
        <v>92</v>
      </c>
      <c r="Q259" s="9"/>
      <c r="R259" s="9" t="s">
        <v>12795</v>
      </c>
      <c r="S259" s="9" t="s">
        <v>12795</v>
      </c>
      <c r="T259" s="9"/>
      <c r="U259" s="9"/>
      <c r="V259" s="9"/>
      <c r="W259" s="9"/>
      <c r="X259" s="9"/>
      <c r="Y259" s="9"/>
      <c r="Z259" s="9"/>
      <c r="AA259" s="9"/>
      <c r="AB259" s="9"/>
      <c r="AC259" s="9"/>
      <c r="AD259" s="9" t="s">
        <v>20</v>
      </c>
    </row>
    <row r="260" spans="1:30" ht="43.5">
      <c r="A260" s="3" t="s">
        <v>3046</v>
      </c>
      <c r="B260" s="3" t="s">
        <v>5309</v>
      </c>
      <c r="C260" s="3" t="s">
        <v>5310</v>
      </c>
      <c r="G260" s="9" t="s">
        <v>25</v>
      </c>
      <c r="H260" s="9"/>
      <c r="I260" s="9">
        <v>1</v>
      </c>
      <c r="J260" s="9">
        <v>2</v>
      </c>
      <c r="K260" s="9" t="s">
        <v>12087</v>
      </c>
      <c r="L260" s="9" t="s">
        <v>12119</v>
      </c>
      <c r="M260" s="9"/>
      <c r="N260" s="10"/>
      <c r="O260" s="9"/>
      <c r="P260" s="9">
        <v>1966</v>
      </c>
      <c r="Q260" s="9"/>
      <c r="R260" s="9" t="s">
        <v>12795</v>
      </c>
      <c r="S260" s="9" t="s">
        <v>12795</v>
      </c>
      <c r="T260" s="9"/>
      <c r="U260" s="9"/>
      <c r="V260" s="9"/>
      <c r="W260" s="9"/>
      <c r="X260" s="9"/>
      <c r="Y260" s="9"/>
      <c r="Z260" s="9"/>
      <c r="AA260" s="9"/>
      <c r="AB260" s="9"/>
      <c r="AC260" s="9"/>
      <c r="AD260" s="9" t="s">
        <v>20</v>
      </c>
    </row>
    <row r="261" spans="1:30" ht="43.5">
      <c r="A261" s="3" t="s">
        <v>3046</v>
      </c>
      <c r="B261" s="11" t="s">
        <v>8409</v>
      </c>
      <c r="C261" s="3" t="s">
        <v>8408</v>
      </c>
      <c r="G261" s="9" t="s">
        <v>25</v>
      </c>
      <c r="H261" s="9"/>
      <c r="I261" s="9">
        <v>1</v>
      </c>
      <c r="J261" s="9">
        <v>2</v>
      </c>
      <c r="K261" s="9" t="s">
        <v>12078</v>
      </c>
      <c r="L261" s="9" t="s">
        <v>12119</v>
      </c>
      <c r="M261" s="9"/>
      <c r="N261" s="10"/>
      <c r="O261" s="9"/>
      <c r="P261" s="9">
        <v>11843</v>
      </c>
      <c r="Q261" s="9"/>
      <c r="R261" s="9" t="s">
        <v>12795</v>
      </c>
      <c r="S261" s="9" t="s">
        <v>12795</v>
      </c>
      <c r="T261" s="9"/>
      <c r="U261" s="9"/>
      <c r="V261" s="9"/>
      <c r="W261" s="9"/>
      <c r="X261" s="9"/>
      <c r="Y261" s="9"/>
      <c r="Z261" s="9"/>
      <c r="AA261" s="9"/>
      <c r="AB261" s="9"/>
      <c r="AC261" s="9"/>
      <c r="AD261" s="9" t="s">
        <v>20</v>
      </c>
    </row>
    <row r="262" spans="1:30" ht="101.5">
      <c r="A262" s="3" t="s">
        <v>3069</v>
      </c>
      <c r="B262" s="3" t="s">
        <v>8427</v>
      </c>
      <c r="C262" s="3" t="s">
        <v>8428</v>
      </c>
      <c r="G262" s="9" t="s">
        <v>25</v>
      </c>
      <c r="H262" s="9"/>
      <c r="I262" s="9">
        <v>1</v>
      </c>
      <c r="J262" s="9">
        <v>3</v>
      </c>
      <c r="K262" s="9" t="s">
        <v>12072</v>
      </c>
      <c r="L262" s="9" t="s">
        <v>12079</v>
      </c>
      <c r="M262" s="9"/>
      <c r="N262" s="10"/>
      <c r="O262" s="9"/>
      <c r="P262" s="9">
        <v>214</v>
      </c>
      <c r="Q262" s="9"/>
      <c r="R262" s="9" t="s">
        <v>12795</v>
      </c>
      <c r="S262" s="9" t="s">
        <v>12795</v>
      </c>
      <c r="T262" s="9"/>
      <c r="U262" s="9"/>
      <c r="V262" s="9"/>
      <c r="W262" s="9"/>
      <c r="X262" s="9"/>
      <c r="Y262" s="9"/>
      <c r="Z262" s="9"/>
      <c r="AA262" s="9"/>
      <c r="AB262" s="9"/>
      <c r="AC262" s="9"/>
      <c r="AD262" s="9" t="s">
        <v>20</v>
      </c>
    </row>
    <row r="263" spans="1:30" ht="43.5">
      <c r="A263" s="3" t="s">
        <v>3073</v>
      </c>
      <c r="B263" s="3" t="s">
        <v>8438</v>
      </c>
      <c r="C263" s="3" t="s">
        <v>8437</v>
      </c>
      <c r="G263" s="9" t="s">
        <v>25</v>
      </c>
      <c r="H263" s="9"/>
      <c r="I263" s="9">
        <v>1</v>
      </c>
      <c r="J263" s="9">
        <v>6</v>
      </c>
      <c r="K263" s="9" t="s">
        <v>12094</v>
      </c>
      <c r="L263" s="9" t="s">
        <v>12079</v>
      </c>
      <c r="M263" s="9"/>
      <c r="N263" s="10"/>
      <c r="O263" s="9"/>
      <c r="P263" s="9">
        <v>4240</v>
      </c>
      <c r="Q263" s="9"/>
      <c r="R263" s="9" t="s">
        <v>12795</v>
      </c>
      <c r="S263" s="9" t="s">
        <v>12795</v>
      </c>
      <c r="T263" s="9"/>
      <c r="U263" s="9"/>
      <c r="V263" s="9"/>
      <c r="W263" s="9"/>
      <c r="X263" s="9"/>
      <c r="Y263" s="9"/>
      <c r="Z263" s="9"/>
      <c r="AA263" s="9"/>
      <c r="AB263" s="9"/>
      <c r="AC263" s="9"/>
      <c r="AD263" s="9" t="s">
        <v>20</v>
      </c>
    </row>
    <row r="264" spans="1:30" ht="58">
      <c r="A264" s="3" t="s">
        <v>3080</v>
      </c>
      <c r="B264" s="3" t="s">
        <v>8449</v>
      </c>
      <c r="C264" s="3" t="s">
        <v>8448</v>
      </c>
      <c r="G264" s="9" t="s">
        <v>24</v>
      </c>
      <c r="H264" s="9"/>
      <c r="I264" s="9">
        <v>2</v>
      </c>
      <c r="J264" s="9">
        <v>10</v>
      </c>
      <c r="K264" s="9"/>
      <c r="L264" s="9" t="s">
        <v>12079</v>
      </c>
      <c r="M264" s="9"/>
      <c r="N264" s="10"/>
      <c r="O264" s="9"/>
      <c r="P264" s="9">
        <v>508</v>
      </c>
      <c r="Q264" s="9"/>
      <c r="R264" s="9" t="s">
        <v>12795</v>
      </c>
      <c r="S264" s="9" t="s">
        <v>12795</v>
      </c>
      <c r="T264" s="9"/>
      <c r="U264" s="9"/>
      <c r="V264" s="9"/>
      <c r="W264" s="9"/>
      <c r="X264" s="9"/>
      <c r="Y264" s="9"/>
      <c r="Z264" s="9"/>
      <c r="AA264" s="9"/>
      <c r="AB264" s="9"/>
      <c r="AC264" s="9"/>
      <c r="AD264" s="9" t="s">
        <v>13141</v>
      </c>
    </row>
    <row r="265" spans="1:30" ht="43.5">
      <c r="A265" s="3" t="s">
        <v>3097</v>
      </c>
      <c r="B265" s="3" t="s">
        <v>8462</v>
      </c>
      <c r="C265" s="3" t="s">
        <v>8463</v>
      </c>
      <c r="G265" s="9" t="s">
        <v>25</v>
      </c>
      <c r="H265" s="9"/>
      <c r="I265" s="9">
        <v>1</v>
      </c>
      <c r="J265" s="9">
        <v>3</v>
      </c>
      <c r="K265" s="9" t="s">
        <v>12078</v>
      </c>
      <c r="L265" s="9" t="s">
        <v>12073</v>
      </c>
      <c r="M265" s="9" t="s">
        <v>12149</v>
      </c>
      <c r="N265" s="10" t="s">
        <v>12143</v>
      </c>
      <c r="O265" s="9"/>
      <c r="P265" s="9">
        <v>11843</v>
      </c>
      <c r="Q265" s="9"/>
      <c r="R265" s="9" t="s">
        <v>12795</v>
      </c>
      <c r="S265" s="9" t="s">
        <v>12795</v>
      </c>
      <c r="T265" s="9"/>
      <c r="U265" s="9"/>
      <c r="V265" s="9"/>
      <c r="W265" s="9"/>
      <c r="X265" s="9"/>
      <c r="Y265" s="9"/>
      <c r="Z265" s="9"/>
      <c r="AA265" s="9"/>
      <c r="AB265" s="9"/>
      <c r="AC265" s="9"/>
      <c r="AD265" s="9" t="s">
        <v>20</v>
      </c>
    </row>
    <row r="266" spans="1:30" ht="29">
      <c r="A266" s="3" t="s">
        <v>3097</v>
      </c>
      <c r="B266" s="3" t="s">
        <v>8464</v>
      </c>
      <c r="C266" s="3" t="s">
        <v>8465</v>
      </c>
      <c r="G266" s="9" t="s">
        <v>25</v>
      </c>
      <c r="H266" s="9"/>
      <c r="I266" s="9">
        <v>1</v>
      </c>
      <c r="J266" s="9">
        <v>5</v>
      </c>
      <c r="K266" s="9" t="s">
        <v>12094</v>
      </c>
      <c r="L266" s="9" t="s">
        <v>12073</v>
      </c>
      <c r="M266" s="9" t="s">
        <v>12149</v>
      </c>
      <c r="N266" s="10" t="s">
        <v>12160</v>
      </c>
      <c r="O266" s="9"/>
      <c r="P266" s="9">
        <v>4240</v>
      </c>
      <c r="Q266" s="9"/>
      <c r="R266" s="9" t="s">
        <v>12795</v>
      </c>
      <c r="S266" s="9" t="s">
        <v>12795</v>
      </c>
      <c r="T266" s="9"/>
      <c r="U266" s="9"/>
      <c r="V266" s="9"/>
      <c r="W266" s="9"/>
      <c r="X266" s="9"/>
      <c r="Y266" s="9"/>
      <c r="Z266" s="9"/>
      <c r="AA266" s="9"/>
      <c r="AB266" s="9"/>
      <c r="AC266" s="9"/>
      <c r="AD266" s="9" t="s">
        <v>20</v>
      </c>
    </row>
    <row r="267" spans="1:30" ht="29">
      <c r="A267" s="3" t="s">
        <v>3100</v>
      </c>
      <c r="B267" s="3" t="s">
        <v>8476</v>
      </c>
      <c r="C267" s="3" t="s">
        <v>8477</v>
      </c>
      <c r="G267" s="9" t="s">
        <v>24</v>
      </c>
      <c r="H267" s="9"/>
      <c r="I267" s="9">
        <v>1</v>
      </c>
      <c r="J267" s="9">
        <v>3</v>
      </c>
      <c r="K267" s="9" t="s">
        <v>12123</v>
      </c>
      <c r="L267" s="9" t="s">
        <v>12073</v>
      </c>
      <c r="M267" s="9" t="s">
        <v>12142</v>
      </c>
      <c r="N267" s="10" t="s">
        <v>12143</v>
      </c>
      <c r="O267" s="9" t="s">
        <v>12074</v>
      </c>
      <c r="P267" s="9">
        <v>887</v>
      </c>
      <c r="Q267" s="9"/>
      <c r="R267" s="9" t="s">
        <v>12795</v>
      </c>
      <c r="S267" s="9" t="s">
        <v>12795</v>
      </c>
      <c r="T267" s="9"/>
      <c r="U267" s="9"/>
      <c r="V267" s="9"/>
      <c r="W267" s="9"/>
      <c r="X267" s="9"/>
      <c r="Y267" s="9"/>
      <c r="Z267" s="9"/>
      <c r="AA267" s="9"/>
      <c r="AB267" s="9"/>
      <c r="AC267" s="9"/>
      <c r="AD267" s="9" t="s">
        <v>20</v>
      </c>
    </row>
    <row r="268" spans="1:30" ht="87">
      <c r="A268" s="3" t="s">
        <v>3112</v>
      </c>
      <c r="B268" s="3" t="s">
        <v>8517</v>
      </c>
      <c r="C268" s="3" t="s">
        <v>8516</v>
      </c>
      <c r="G268" s="9" t="s">
        <v>25</v>
      </c>
      <c r="H268" s="9"/>
      <c r="I268" s="9">
        <v>3</v>
      </c>
      <c r="J268" s="9">
        <v>16</v>
      </c>
      <c r="K268" s="9"/>
      <c r="L268" s="9" t="s">
        <v>12073</v>
      </c>
      <c r="M268" s="9" t="s">
        <v>12140</v>
      </c>
      <c r="N268" s="10" t="s">
        <v>12137</v>
      </c>
      <c r="O268" s="9"/>
      <c r="P268" s="9">
        <v>591</v>
      </c>
      <c r="Q268" s="9"/>
      <c r="R268" s="9" t="s">
        <v>12795</v>
      </c>
      <c r="S268" s="9" t="s">
        <v>12795</v>
      </c>
      <c r="T268" s="9"/>
      <c r="U268" s="9"/>
      <c r="V268" s="9"/>
      <c r="W268" s="9"/>
      <c r="X268" s="9"/>
      <c r="Y268" s="9"/>
      <c r="Z268" s="9"/>
      <c r="AA268" s="9"/>
      <c r="AB268" s="9"/>
      <c r="AC268" s="9"/>
      <c r="AD268" s="9" t="s">
        <v>20</v>
      </c>
    </row>
    <row r="269" spans="1:30" ht="101.5">
      <c r="A269" s="3" t="s">
        <v>3116</v>
      </c>
      <c r="B269" s="3" t="s">
        <v>12444</v>
      </c>
      <c r="C269" s="3" t="s">
        <v>8524</v>
      </c>
      <c r="G269" s="9" t="s">
        <v>25</v>
      </c>
      <c r="H269" s="9"/>
      <c r="I269" s="9">
        <v>5</v>
      </c>
      <c r="J269" s="9">
        <v>16</v>
      </c>
      <c r="K269" s="9"/>
      <c r="L269" s="9" t="s">
        <v>12073</v>
      </c>
      <c r="M269" s="9" t="s">
        <v>12140</v>
      </c>
      <c r="N269" s="10" t="s">
        <v>12417</v>
      </c>
      <c r="O269" s="9"/>
      <c r="P269" s="9">
        <v>133</v>
      </c>
      <c r="Q269" s="9"/>
      <c r="R269" s="9" t="s">
        <v>12795</v>
      </c>
      <c r="S269" s="9" t="s">
        <v>12795</v>
      </c>
      <c r="T269" s="9"/>
      <c r="U269" s="9"/>
      <c r="V269" s="9"/>
      <c r="W269" s="9"/>
      <c r="X269" s="9"/>
      <c r="Y269" s="9"/>
      <c r="Z269" s="9"/>
      <c r="AA269" s="9"/>
      <c r="AB269" s="9"/>
      <c r="AC269" s="9"/>
      <c r="AD269" s="9" t="s">
        <v>20</v>
      </c>
    </row>
    <row r="270" spans="1:30" ht="29">
      <c r="A270" s="3" t="s">
        <v>3117</v>
      </c>
      <c r="B270" s="3" t="s">
        <v>8527</v>
      </c>
      <c r="C270" s="3" t="s">
        <v>8526</v>
      </c>
      <c r="G270" s="9" t="s">
        <v>24</v>
      </c>
      <c r="H270" s="9"/>
      <c r="I270" s="9">
        <v>1</v>
      </c>
      <c r="J270" s="9">
        <v>2</v>
      </c>
      <c r="K270" s="9" t="s">
        <v>12087</v>
      </c>
      <c r="L270" s="9" t="s">
        <v>12119</v>
      </c>
      <c r="M270" s="9"/>
      <c r="N270" s="10"/>
      <c r="O270" s="9"/>
      <c r="P270" s="9">
        <v>1966</v>
      </c>
      <c r="Q270" s="9"/>
      <c r="R270" s="9" t="s">
        <v>12795</v>
      </c>
      <c r="S270" s="9" t="s">
        <v>12795</v>
      </c>
      <c r="T270" s="9"/>
      <c r="U270" s="9"/>
      <c r="V270" s="9"/>
      <c r="W270" s="9"/>
      <c r="X270" s="9"/>
      <c r="Y270" s="9"/>
      <c r="Z270" s="9"/>
      <c r="AA270" s="9"/>
      <c r="AB270" s="9"/>
      <c r="AC270" s="9"/>
      <c r="AD270" s="9" t="s">
        <v>20</v>
      </c>
    </row>
    <row r="271" spans="1:30" ht="58">
      <c r="A271" s="3" t="s">
        <v>3146</v>
      </c>
      <c r="B271" s="3" t="s">
        <v>8576</v>
      </c>
      <c r="C271" s="3" t="s">
        <v>8575</v>
      </c>
      <c r="G271" s="9" t="s">
        <v>25</v>
      </c>
      <c r="H271" s="9"/>
      <c r="I271" s="9">
        <v>2</v>
      </c>
      <c r="J271" s="9">
        <v>5</v>
      </c>
      <c r="K271" s="9"/>
      <c r="L271" s="9" t="s">
        <v>12073</v>
      </c>
      <c r="M271" s="9" t="s">
        <v>12142</v>
      </c>
      <c r="N271" s="10" t="s">
        <v>12160</v>
      </c>
      <c r="O271" s="9"/>
      <c r="P271" s="9">
        <v>301</v>
      </c>
      <c r="Q271" s="9"/>
      <c r="R271" s="9" t="s">
        <v>12795</v>
      </c>
      <c r="S271" s="9" t="s">
        <v>12795</v>
      </c>
      <c r="T271" s="9"/>
      <c r="U271" s="9"/>
      <c r="V271" s="9"/>
      <c r="W271" s="9"/>
      <c r="X271" s="9"/>
      <c r="Y271" s="9"/>
      <c r="Z271" s="9"/>
      <c r="AA271" s="9"/>
      <c r="AB271" s="9"/>
      <c r="AC271" s="9"/>
      <c r="AD271" s="9" t="s">
        <v>20</v>
      </c>
    </row>
    <row r="272" spans="1:30" ht="319">
      <c r="A272" s="3" t="s">
        <v>3172</v>
      </c>
      <c r="B272" s="3" t="s">
        <v>12449</v>
      </c>
      <c r="C272" s="3" t="s">
        <v>12448</v>
      </c>
      <c r="G272" s="9" t="s">
        <v>25</v>
      </c>
      <c r="H272" s="9"/>
      <c r="I272" s="9">
        <v>15</v>
      </c>
      <c r="J272" s="9">
        <v>70</v>
      </c>
      <c r="K272" s="9"/>
      <c r="L272" s="9" t="s">
        <v>12073</v>
      </c>
      <c r="M272" s="9" t="s">
        <v>12140</v>
      </c>
      <c r="N272" s="10" t="s">
        <v>12450</v>
      </c>
      <c r="O272" s="9"/>
      <c r="P272" s="9">
        <v>11</v>
      </c>
      <c r="Q272" s="9"/>
      <c r="R272" s="9" t="s">
        <v>12795</v>
      </c>
      <c r="S272" s="9" t="s">
        <v>12795</v>
      </c>
      <c r="T272" s="9"/>
      <c r="U272" s="9"/>
      <c r="V272" s="9"/>
      <c r="W272" s="9"/>
      <c r="X272" s="9"/>
      <c r="Y272" s="9"/>
      <c r="Z272" s="9"/>
      <c r="AA272" s="9"/>
      <c r="AB272" s="9"/>
      <c r="AC272" s="9"/>
      <c r="AD272" s="9" t="s">
        <v>20</v>
      </c>
    </row>
    <row r="273" spans="1:30" ht="58">
      <c r="A273" s="3" t="s">
        <v>3183</v>
      </c>
      <c r="B273" s="3" t="s">
        <v>8639</v>
      </c>
      <c r="C273" s="3" t="s">
        <v>8636</v>
      </c>
      <c r="G273" s="9" t="s">
        <v>25</v>
      </c>
      <c r="H273" s="9"/>
      <c r="I273" s="9">
        <v>1</v>
      </c>
      <c r="J273" s="9">
        <v>1</v>
      </c>
      <c r="K273" s="9" t="s">
        <v>12078</v>
      </c>
      <c r="L273" s="9" t="s">
        <v>12119</v>
      </c>
      <c r="M273" s="9"/>
      <c r="N273" s="10"/>
      <c r="O273" s="9"/>
      <c r="P273" s="9">
        <v>11843</v>
      </c>
      <c r="Q273" s="9"/>
      <c r="R273" s="9" t="s">
        <v>12795</v>
      </c>
      <c r="S273" s="9" t="s">
        <v>12795</v>
      </c>
      <c r="T273" s="9"/>
      <c r="U273" s="9"/>
      <c r="V273" s="9"/>
      <c r="W273" s="9"/>
      <c r="X273" s="9"/>
      <c r="Y273" s="9"/>
      <c r="Z273" s="9"/>
      <c r="AA273" s="9"/>
      <c r="AB273" s="9"/>
      <c r="AC273" s="9"/>
      <c r="AD273" s="9" t="s">
        <v>13141</v>
      </c>
    </row>
    <row r="274" spans="1:30" ht="43.5">
      <c r="A274" s="3" t="s">
        <v>3195</v>
      </c>
      <c r="B274" s="3" t="s">
        <v>8657</v>
      </c>
      <c r="C274" s="3" t="s">
        <v>8656</v>
      </c>
      <c r="G274" s="9" t="s">
        <v>25</v>
      </c>
      <c r="H274" s="9"/>
      <c r="I274" s="9">
        <v>1</v>
      </c>
      <c r="J274" s="9">
        <v>5</v>
      </c>
      <c r="K274" s="9" t="s">
        <v>12094</v>
      </c>
      <c r="L274" s="9" t="s">
        <v>12079</v>
      </c>
      <c r="M274" s="9"/>
      <c r="N274" s="10"/>
      <c r="O274" s="9"/>
      <c r="P274" s="9">
        <v>4240</v>
      </c>
      <c r="Q274" s="9"/>
      <c r="R274" s="9" t="s">
        <v>12795</v>
      </c>
      <c r="S274" s="9" t="s">
        <v>12795</v>
      </c>
      <c r="T274" s="9"/>
      <c r="U274" s="9"/>
      <c r="V274" s="9"/>
      <c r="W274" s="9"/>
      <c r="X274" s="9"/>
      <c r="Y274" s="9"/>
      <c r="Z274" s="9"/>
      <c r="AA274" s="9"/>
      <c r="AB274" s="9"/>
      <c r="AC274" s="9"/>
      <c r="AD274" s="9" t="s">
        <v>20</v>
      </c>
    </row>
    <row r="275" spans="1:30" ht="29">
      <c r="A275" s="3" t="s">
        <v>3215</v>
      </c>
      <c r="B275" s="3" t="s">
        <v>8693</v>
      </c>
      <c r="C275" s="3" t="s">
        <v>8694</v>
      </c>
      <c r="G275" s="9" t="s">
        <v>25</v>
      </c>
      <c r="H275" s="9"/>
      <c r="I275" s="9">
        <v>1</v>
      </c>
      <c r="J275" s="9">
        <v>3</v>
      </c>
      <c r="K275" s="9" t="s">
        <v>12087</v>
      </c>
      <c r="L275" s="9" t="s">
        <v>12079</v>
      </c>
      <c r="M275" s="9"/>
      <c r="N275" s="10"/>
      <c r="O275" s="9"/>
      <c r="P275" s="9">
        <v>810</v>
      </c>
      <c r="Q275" s="9"/>
      <c r="R275" s="9" t="s">
        <v>12795</v>
      </c>
      <c r="S275" s="9" t="s">
        <v>12795</v>
      </c>
      <c r="T275" s="9"/>
      <c r="U275" s="9"/>
      <c r="V275" s="9"/>
      <c r="W275" s="9"/>
      <c r="X275" s="9"/>
      <c r="Y275" s="9"/>
      <c r="Z275" s="9"/>
      <c r="AA275" s="9"/>
      <c r="AB275" s="9"/>
      <c r="AC275" s="9"/>
      <c r="AD275" s="9" t="s">
        <v>20</v>
      </c>
    </row>
    <row r="276" spans="1:30" ht="87">
      <c r="A276" s="3" t="s">
        <v>3219</v>
      </c>
      <c r="B276" s="3" t="s">
        <v>8703</v>
      </c>
      <c r="C276" s="3" t="s">
        <v>8704</v>
      </c>
      <c r="G276" s="9" t="s">
        <v>24</v>
      </c>
      <c r="H276" s="9"/>
      <c r="I276" s="9">
        <v>2</v>
      </c>
      <c r="J276" s="9">
        <v>7</v>
      </c>
      <c r="K276" s="9"/>
      <c r="L276" s="9" t="s">
        <v>12073</v>
      </c>
      <c r="M276" s="9" t="s">
        <v>12142</v>
      </c>
      <c r="N276" s="10" t="s">
        <v>12156</v>
      </c>
      <c r="O276" s="9" t="s">
        <v>12074</v>
      </c>
      <c r="P276" s="9">
        <v>1496</v>
      </c>
      <c r="Q276" s="9"/>
      <c r="R276" s="9" t="s">
        <v>12795</v>
      </c>
      <c r="S276" s="9" t="s">
        <v>12795</v>
      </c>
      <c r="T276" s="9"/>
      <c r="U276" s="9"/>
      <c r="V276" s="9"/>
      <c r="W276" s="9"/>
      <c r="X276" s="9"/>
      <c r="Y276" s="9"/>
      <c r="Z276" s="9"/>
      <c r="AA276" s="9"/>
      <c r="AB276" s="9"/>
      <c r="AC276" s="9"/>
      <c r="AD276" s="9" t="s">
        <v>20</v>
      </c>
    </row>
    <row r="277" spans="1:30" ht="58">
      <c r="A277" s="3" t="s">
        <v>3229</v>
      </c>
      <c r="B277" s="3" t="s">
        <v>8721</v>
      </c>
      <c r="C277" s="3" t="s">
        <v>8720</v>
      </c>
      <c r="G277" s="9" t="s">
        <v>25</v>
      </c>
      <c r="H277" s="9"/>
      <c r="I277" s="9">
        <v>2</v>
      </c>
      <c r="J277" s="9">
        <v>9</v>
      </c>
      <c r="K277" s="9"/>
      <c r="L277" s="9" t="s">
        <v>12079</v>
      </c>
      <c r="M277" s="9"/>
      <c r="N277" s="10"/>
      <c r="O277" s="9"/>
      <c r="P277" s="9">
        <v>61</v>
      </c>
      <c r="Q277" s="9"/>
      <c r="R277" s="9" t="s">
        <v>12795</v>
      </c>
      <c r="S277" s="9" t="s">
        <v>12795</v>
      </c>
      <c r="T277" s="9"/>
      <c r="U277" s="9"/>
      <c r="V277" s="9"/>
      <c r="W277" s="9"/>
      <c r="X277" s="9"/>
      <c r="Y277" s="9"/>
      <c r="Z277" s="9"/>
      <c r="AA277" s="9"/>
      <c r="AB277" s="9"/>
      <c r="AC277" s="9"/>
      <c r="AD277" s="9" t="s">
        <v>20</v>
      </c>
    </row>
    <row r="278" spans="1:30" ht="43.5">
      <c r="A278" s="3" t="s">
        <v>3231</v>
      </c>
      <c r="B278" s="3" t="s">
        <v>8728</v>
      </c>
      <c r="C278" s="3" t="s">
        <v>8727</v>
      </c>
      <c r="G278" s="9" t="s">
        <v>25</v>
      </c>
      <c r="H278" s="9"/>
      <c r="I278" s="9">
        <v>2</v>
      </c>
      <c r="J278" s="9">
        <v>5</v>
      </c>
      <c r="K278" s="9"/>
      <c r="L278" s="9" t="s">
        <v>12079</v>
      </c>
      <c r="M278" s="9"/>
      <c r="N278" s="10"/>
      <c r="O278" s="9"/>
      <c r="P278" s="9">
        <v>472</v>
      </c>
      <c r="Q278" s="9"/>
      <c r="R278" s="9" t="s">
        <v>12795</v>
      </c>
      <c r="S278" s="9" t="s">
        <v>12795</v>
      </c>
      <c r="T278" s="9"/>
      <c r="U278" s="9"/>
      <c r="V278" s="9"/>
      <c r="W278" s="9"/>
      <c r="X278" s="9"/>
      <c r="Y278" s="9"/>
      <c r="Z278" s="9"/>
      <c r="AA278" s="9"/>
      <c r="AB278" s="9"/>
      <c r="AC278" s="9"/>
      <c r="AD278" s="9" t="s">
        <v>20</v>
      </c>
    </row>
    <row r="279" spans="1:30" ht="58">
      <c r="A279" s="3" t="s">
        <v>3243</v>
      </c>
      <c r="B279" s="3" t="s">
        <v>8745</v>
      </c>
      <c r="C279" s="3" t="s">
        <v>8744</v>
      </c>
      <c r="G279" s="9" t="s">
        <v>24</v>
      </c>
      <c r="H279" s="9"/>
      <c r="I279" s="9">
        <v>1</v>
      </c>
      <c r="J279" s="9">
        <v>5</v>
      </c>
      <c r="K279" s="9" t="s">
        <v>12092</v>
      </c>
      <c r="L279" s="9" t="s">
        <v>12079</v>
      </c>
      <c r="M279" s="9"/>
      <c r="N279" s="10"/>
      <c r="O279" s="9"/>
      <c r="P279" s="9">
        <v>308</v>
      </c>
      <c r="Q279" s="9"/>
      <c r="R279" s="9" t="s">
        <v>12795</v>
      </c>
      <c r="S279" s="9" t="s">
        <v>12795</v>
      </c>
      <c r="T279" s="9"/>
      <c r="U279" s="9"/>
      <c r="V279" s="9"/>
      <c r="W279" s="9"/>
      <c r="X279" s="9"/>
      <c r="Y279" s="9"/>
      <c r="Z279" s="9"/>
      <c r="AA279" s="9"/>
      <c r="AB279" s="9"/>
      <c r="AC279" s="9"/>
      <c r="AD279" s="9" t="s">
        <v>20</v>
      </c>
    </row>
    <row r="280" spans="1:30" ht="43.5">
      <c r="A280" s="3" t="s">
        <v>3244</v>
      </c>
      <c r="B280" s="3" t="s">
        <v>8749</v>
      </c>
      <c r="C280" s="3" t="s">
        <v>8748</v>
      </c>
      <c r="G280" s="9" t="s">
        <v>25</v>
      </c>
      <c r="H280" s="9"/>
      <c r="I280" s="9">
        <v>1</v>
      </c>
      <c r="J280" s="9">
        <v>2</v>
      </c>
      <c r="K280" s="9" t="s">
        <v>12096</v>
      </c>
      <c r="L280" s="9" t="s">
        <v>12119</v>
      </c>
      <c r="M280" s="9"/>
      <c r="N280" s="10"/>
      <c r="O280" s="9"/>
      <c r="P280" s="9">
        <v>1294</v>
      </c>
      <c r="Q280" s="9"/>
      <c r="R280" s="9" t="s">
        <v>12795</v>
      </c>
      <c r="S280" s="9" t="s">
        <v>12795</v>
      </c>
      <c r="T280" s="9" t="s">
        <v>12117</v>
      </c>
      <c r="U280" s="9"/>
      <c r="V280" s="9"/>
      <c r="W280" s="9"/>
      <c r="X280" s="9"/>
      <c r="Y280" s="9"/>
      <c r="Z280" s="9"/>
      <c r="AA280" s="9"/>
      <c r="AB280" s="9"/>
      <c r="AC280" s="9"/>
      <c r="AD280" s="9" t="s">
        <v>20</v>
      </c>
    </row>
    <row r="281" spans="1:30" ht="29">
      <c r="A281" s="3" t="s">
        <v>3246</v>
      </c>
      <c r="B281" s="3" t="s">
        <v>8753</v>
      </c>
      <c r="C281" s="3" t="s">
        <v>8752</v>
      </c>
      <c r="G281" s="9" t="s">
        <v>25</v>
      </c>
      <c r="H281" s="9"/>
      <c r="I281" s="9">
        <v>1</v>
      </c>
      <c r="J281" s="9">
        <v>5</v>
      </c>
      <c r="K281" s="9" t="s">
        <v>12125</v>
      </c>
      <c r="L281" s="9" t="s">
        <v>12079</v>
      </c>
      <c r="M281" s="9"/>
      <c r="N281" s="10"/>
      <c r="O281" s="9"/>
      <c r="P281" s="9">
        <v>1565</v>
      </c>
      <c r="Q281" s="9"/>
      <c r="R281" s="9" t="s">
        <v>12795</v>
      </c>
      <c r="S281" s="9" t="s">
        <v>12795</v>
      </c>
      <c r="T281" s="9"/>
      <c r="U281" s="9"/>
      <c r="V281" s="9"/>
      <c r="W281" s="9"/>
      <c r="X281" s="9"/>
      <c r="Y281" s="9"/>
      <c r="Z281" s="9"/>
      <c r="AA281" s="9"/>
      <c r="AB281" s="9"/>
      <c r="AC281" s="9"/>
      <c r="AD281" s="9" t="s">
        <v>20</v>
      </c>
    </row>
    <row r="282" spans="1:30" ht="87">
      <c r="A282" s="3" t="s">
        <v>3247</v>
      </c>
      <c r="B282" s="3" t="s">
        <v>8757</v>
      </c>
      <c r="C282" s="3" t="s">
        <v>8756</v>
      </c>
      <c r="G282" s="9" t="s">
        <v>25</v>
      </c>
      <c r="H282" s="9"/>
      <c r="I282" s="9">
        <v>1</v>
      </c>
      <c r="J282" s="9">
        <v>1</v>
      </c>
      <c r="K282" s="9" t="s">
        <v>12078</v>
      </c>
      <c r="L282" s="9" t="s">
        <v>12119</v>
      </c>
      <c r="M282" s="9"/>
      <c r="N282" s="10"/>
      <c r="O282" s="9"/>
      <c r="P282" s="9">
        <v>11843</v>
      </c>
      <c r="Q282" s="9"/>
      <c r="R282" s="9" t="s">
        <v>12795</v>
      </c>
      <c r="S282" s="9" t="s">
        <v>12795</v>
      </c>
      <c r="T282" s="9" t="s">
        <v>12117</v>
      </c>
      <c r="U282" s="9"/>
      <c r="V282" s="9"/>
      <c r="W282" s="9"/>
      <c r="X282" s="9"/>
      <c r="Y282" s="9"/>
      <c r="Z282" s="9"/>
      <c r="AA282" s="9"/>
      <c r="AB282" s="9"/>
      <c r="AC282" s="9"/>
      <c r="AD282" s="9" t="s">
        <v>20</v>
      </c>
    </row>
    <row r="283" spans="1:30" ht="116">
      <c r="A283" s="3" t="s">
        <v>3249</v>
      </c>
      <c r="B283" s="3" t="s">
        <v>8765</v>
      </c>
      <c r="C283" s="3" t="s">
        <v>8764</v>
      </c>
      <c r="G283" s="9" t="s">
        <v>24</v>
      </c>
      <c r="H283" s="9"/>
      <c r="I283" s="9">
        <v>2</v>
      </c>
      <c r="J283" s="9">
        <v>12</v>
      </c>
      <c r="K283" s="9"/>
      <c r="L283" s="9" t="s">
        <v>12079</v>
      </c>
      <c r="M283" s="9"/>
      <c r="N283" s="10"/>
      <c r="O283" s="9" t="s">
        <v>12080</v>
      </c>
      <c r="P283" s="9">
        <v>42</v>
      </c>
      <c r="Q283" s="9"/>
      <c r="R283" s="9" t="s">
        <v>12795</v>
      </c>
      <c r="S283" s="9" t="s">
        <v>12795</v>
      </c>
      <c r="T283" s="9"/>
      <c r="U283" s="9"/>
      <c r="V283" s="9"/>
      <c r="W283" s="9"/>
      <c r="X283" s="9"/>
      <c r="Y283" s="9"/>
      <c r="Z283" s="9"/>
      <c r="AA283" s="9"/>
      <c r="AB283" s="9"/>
      <c r="AC283" s="9"/>
      <c r="AD283" s="9" t="s">
        <v>20</v>
      </c>
    </row>
    <row r="284" spans="1:30" ht="43.5">
      <c r="A284" s="3" t="s">
        <v>3255</v>
      </c>
      <c r="B284" s="3" t="s">
        <v>8777</v>
      </c>
      <c r="C284" s="3" t="s">
        <v>8776</v>
      </c>
      <c r="F284" t="s">
        <v>19</v>
      </c>
      <c r="G284" s="9" t="s">
        <v>25</v>
      </c>
      <c r="H284" s="9"/>
      <c r="I284" s="9">
        <v>2</v>
      </c>
      <c r="J284" s="9">
        <v>4</v>
      </c>
      <c r="K284" s="9"/>
      <c r="L284" s="9" t="s">
        <v>12079</v>
      </c>
      <c r="M284" s="9"/>
      <c r="N284" s="10"/>
      <c r="O284" s="9"/>
      <c r="P284" s="9">
        <v>635</v>
      </c>
      <c r="Q284" s="9"/>
      <c r="R284" s="9" t="s">
        <v>12795</v>
      </c>
      <c r="S284" s="9" t="s">
        <v>12795</v>
      </c>
      <c r="T284" s="9"/>
      <c r="U284" s="9"/>
      <c r="V284" s="9"/>
      <c r="W284" s="9"/>
      <c r="X284" s="9"/>
      <c r="Y284" s="9"/>
      <c r="Z284" s="9"/>
      <c r="AA284" s="9"/>
      <c r="AB284" s="9"/>
      <c r="AC284" s="9"/>
      <c r="AD284" s="9" t="s">
        <v>20</v>
      </c>
    </row>
    <row r="285" spans="1:30" ht="43.5">
      <c r="A285" s="3" t="s">
        <v>3258</v>
      </c>
      <c r="B285" s="3" t="s">
        <v>8783</v>
      </c>
      <c r="C285" s="3" t="s">
        <v>8784</v>
      </c>
      <c r="G285" s="9" t="s">
        <v>25</v>
      </c>
      <c r="H285" s="9"/>
      <c r="I285" s="9">
        <v>1</v>
      </c>
      <c r="J285" s="9">
        <v>4</v>
      </c>
      <c r="K285" s="9" t="s">
        <v>12094</v>
      </c>
      <c r="L285" s="9" t="s">
        <v>12079</v>
      </c>
      <c r="M285" s="9"/>
      <c r="N285" s="10"/>
      <c r="O285" s="9"/>
      <c r="P285" s="9">
        <v>4240</v>
      </c>
      <c r="Q285" s="9"/>
      <c r="R285" s="9" t="s">
        <v>12795</v>
      </c>
      <c r="S285" s="9" t="s">
        <v>12795</v>
      </c>
      <c r="T285" s="9"/>
      <c r="U285" s="9"/>
      <c r="V285" s="9"/>
      <c r="W285" s="9"/>
      <c r="X285" s="9"/>
      <c r="Y285" s="9"/>
      <c r="Z285" s="9"/>
      <c r="AA285" s="9"/>
      <c r="AB285" s="9"/>
      <c r="AC285" s="9"/>
      <c r="AD285" s="9" t="s">
        <v>20</v>
      </c>
    </row>
    <row r="286" spans="1:30" ht="101.5">
      <c r="A286" s="3" t="s">
        <v>3260</v>
      </c>
      <c r="B286" s="3" t="s">
        <v>8790</v>
      </c>
      <c r="C286" s="3" t="s">
        <v>8788</v>
      </c>
      <c r="G286" s="9" t="s">
        <v>25</v>
      </c>
      <c r="H286" s="9"/>
      <c r="I286" s="9">
        <v>2</v>
      </c>
      <c r="J286" s="9">
        <v>4</v>
      </c>
      <c r="K286" s="9"/>
      <c r="L286" s="9" t="s">
        <v>12079</v>
      </c>
      <c r="M286" s="9"/>
      <c r="N286" s="10"/>
      <c r="O286" s="9"/>
      <c r="P286" s="9">
        <v>635</v>
      </c>
      <c r="Q286" s="9"/>
      <c r="R286" s="9" t="s">
        <v>12795</v>
      </c>
      <c r="S286" s="9" t="s">
        <v>12795</v>
      </c>
      <c r="T286" s="9"/>
      <c r="U286" s="9"/>
      <c r="V286" s="9"/>
      <c r="W286" s="9"/>
      <c r="X286" s="9"/>
      <c r="Y286" s="9"/>
      <c r="Z286" s="9"/>
      <c r="AA286" s="9"/>
      <c r="AB286" s="9"/>
      <c r="AC286" s="9"/>
      <c r="AD286" s="9" t="s">
        <v>20</v>
      </c>
    </row>
    <row r="287" spans="1:30" ht="409.5">
      <c r="A287" s="3" t="s">
        <v>3269</v>
      </c>
      <c r="B287" s="3" t="s">
        <v>12913</v>
      </c>
      <c r="C287" s="3" t="s">
        <v>12454</v>
      </c>
      <c r="G287" s="9" t="s">
        <v>24</v>
      </c>
      <c r="H287" s="9"/>
      <c r="I287" s="9">
        <v>37</v>
      </c>
      <c r="J287" s="9">
        <v>151</v>
      </c>
      <c r="K287" s="9"/>
      <c r="L287" s="9" t="s">
        <v>12073</v>
      </c>
      <c r="M287" s="9" t="s">
        <v>12142</v>
      </c>
      <c r="N287" s="10" t="s">
        <v>12455</v>
      </c>
      <c r="O287" s="9" t="s">
        <v>12074</v>
      </c>
      <c r="P287" s="9">
        <v>1</v>
      </c>
      <c r="Q287" s="9"/>
      <c r="R287" s="9" t="s">
        <v>12795</v>
      </c>
      <c r="S287" s="9" t="s">
        <v>12795</v>
      </c>
      <c r="T287" s="9"/>
      <c r="U287" s="9"/>
      <c r="V287" s="9"/>
      <c r="W287" s="9"/>
      <c r="X287" s="9"/>
      <c r="Y287" s="9"/>
      <c r="Z287" s="9"/>
      <c r="AA287" s="9"/>
      <c r="AB287" s="9"/>
      <c r="AC287" s="9" t="s">
        <v>19</v>
      </c>
      <c r="AD287" s="9" t="s">
        <v>20</v>
      </c>
    </row>
    <row r="288" spans="1:30" ht="29">
      <c r="A288" s="3" t="s">
        <v>3272</v>
      </c>
      <c r="B288" s="3" t="s">
        <v>8815</v>
      </c>
      <c r="C288" s="3" t="s">
        <v>8816</v>
      </c>
      <c r="G288" s="9" t="s">
        <v>25</v>
      </c>
      <c r="H288" s="9"/>
      <c r="I288" s="9">
        <v>1</v>
      </c>
      <c r="J288" s="9">
        <v>1</v>
      </c>
      <c r="K288" s="9" t="s">
        <v>12078</v>
      </c>
      <c r="L288" s="9" t="s">
        <v>12119</v>
      </c>
      <c r="M288" s="9"/>
      <c r="N288" s="10"/>
      <c r="O288" s="9"/>
      <c r="P288" s="9">
        <v>11843</v>
      </c>
      <c r="Q288" s="9"/>
      <c r="R288" s="9" t="s">
        <v>12795</v>
      </c>
      <c r="S288" s="9" t="s">
        <v>12795</v>
      </c>
      <c r="T288" s="9"/>
      <c r="U288" s="9"/>
      <c r="V288" s="9"/>
      <c r="W288" s="9"/>
      <c r="X288" s="9"/>
      <c r="Y288" s="9"/>
      <c r="Z288" s="9"/>
      <c r="AA288" s="9"/>
      <c r="AB288" s="9"/>
      <c r="AC288" s="9"/>
      <c r="AD288" s="9" t="s">
        <v>20</v>
      </c>
    </row>
    <row r="289" spans="1:30" ht="29">
      <c r="A289" s="3" t="s">
        <v>3285</v>
      </c>
      <c r="B289" s="3" t="s">
        <v>8834</v>
      </c>
      <c r="C289" s="3" t="s">
        <v>8835</v>
      </c>
      <c r="G289" s="9" t="s">
        <v>25</v>
      </c>
      <c r="H289" s="9"/>
      <c r="I289" s="9">
        <v>1</v>
      </c>
      <c r="J289" s="9">
        <v>2</v>
      </c>
      <c r="K289" s="9" t="s">
        <v>12078</v>
      </c>
      <c r="L289" s="9" t="s">
        <v>12119</v>
      </c>
      <c r="M289" s="9"/>
      <c r="N289" s="10"/>
      <c r="O289" s="9"/>
      <c r="P289" s="9">
        <v>11843</v>
      </c>
      <c r="Q289" s="9"/>
      <c r="R289" s="9" t="s">
        <v>12795</v>
      </c>
      <c r="S289" s="9" t="s">
        <v>12795</v>
      </c>
      <c r="T289" s="9"/>
      <c r="U289" s="9"/>
      <c r="V289" s="9"/>
      <c r="W289" s="9"/>
      <c r="X289" s="9"/>
      <c r="Y289" s="9"/>
      <c r="Z289" s="9"/>
      <c r="AA289" s="9"/>
      <c r="AB289" s="9"/>
      <c r="AC289" s="9"/>
      <c r="AD289" s="9" t="s">
        <v>20</v>
      </c>
    </row>
    <row r="290" spans="1:30" ht="58">
      <c r="A290" s="3" t="s">
        <v>3285</v>
      </c>
      <c r="B290" s="3" t="s">
        <v>8839</v>
      </c>
      <c r="C290" s="3" t="s">
        <v>8836</v>
      </c>
      <c r="G290" s="9" t="s">
        <v>25</v>
      </c>
      <c r="H290" s="9"/>
      <c r="I290" s="9">
        <v>1</v>
      </c>
      <c r="J290" s="9">
        <v>3</v>
      </c>
      <c r="K290" s="9" t="s">
        <v>12078</v>
      </c>
      <c r="L290" s="9" t="s">
        <v>12079</v>
      </c>
      <c r="M290" s="9"/>
      <c r="N290" s="10"/>
      <c r="O290" s="9"/>
      <c r="P290" s="9">
        <v>11843</v>
      </c>
      <c r="Q290" s="9"/>
      <c r="R290" s="9" t="s">
        <v>12795</v>
      </c>
      <c r="S290" s="9" t="s">
        <v>12795</v>
      </c>
      <c r="T290" s="9"/>
      <c r="U290" s="9"/>
      <c r="V290" s="9"/>
      <c r="W290" s="9"/>
      <c r="X290" s="9"/>
      <c r="Y290" s="9"/>
      <c r="Z290" s="9"/>
      <c r="AA290" s="9"/>
      <c r="AB290" s="9"/>
      <c r="AC290" s="9"/>
      <c r="AD290" s="9" t="s">
        <v>20</v>
      </c>
    </row>
    <row r="291" spans="1:30" ht="101.5">
      <c r="A291" s="3" t="s">
        <v>3287</v>
      </c>
      <c r="B291" s="3" t="s">
        <v>8843</v>
      </c>
      <c r="C291" s="3" t="s">
        <v>8842</v>
      </c>
      <c r="G291" s="9" t="s">
        <v>25</v>
      </c>
      <c r="H291" s="9"/>
      <c r="I291" s="9">
        <v>1</v>
      </c>
      <c r="J291" s="9">
        <v>2</v>
      </c>
      <c r="K291" s="9" t="s">
        <v>12087</v>
      </c>
      <c r="L291" s="9" t="s">
        <v>12119</v>
      </c>
      <c r="M291" s="9"/>
      <c r="N291" s="10"/>
      <c r="O291" s="9"/>
      <c r="P291" s="9">
        <v>1966</v>
      </c>
      <c r="Q291" s="9"/>
      <c r="R291" s="9" t="s">
        <v>12795</v>
      </c>
      <c r="S291" s="9" t="s">
        <v>12795</v>
      </c>
      <c r="T291" s="9"/>
      <c r="U291" s="9"/>
      <c r="V291" s="9"/>
      <c r="W291" s="9"/>
      <c r="X291" s="9"/>
      <c r="Y291" s="9"/>
      <c r="Z291" s="9"/>
      <c r="AA291" s="9"/>
      <c r="AB291" s="9"/>
      <c r="AC291" s="9"/>
      <c r="AD291" s="9" t="s">
        <v>20</v>
      </c>
    </row>
    <row r="292" spans="1:30" ht="101.5">
      <c r="A292" s="3" t="s">
        <v>3287</v>
      </c>
      <c r="B292" s="3" t="s">
        <v>8847</v>
      </c>
      <c r="C292" s="3" t="s">
        <v>8842</v>
      </c>
      <c r="F292" t="s">
        <v>19</v>
      </c>
      <c r="G292" s="9" t="s">
        <v>25</v>
      </c>
      <c r="H292" s="9"/>
      <c r="I292" s="9">
        <v>1</v>
      </c>
      <c r="J292" s="9">
        <v>2</v>
      </c>
      <c r="K292" s="9" t="s">
        <v>12078</v>
      </c>
      <c r="L292" s="9" t="s">
        <v>12119</v>
      </c>
      <c r="M292" s="9"/>
      <c r="N292" s="10"/>
      <c r="O292" s="9"/>
      <c r="P292" s="9">
        <v>11843</v>
      </c>
      <c r="Q292" s="9"/>
      <c r="R292" s="9" t="s">
        <v>12795</v>
      </c>
      <c r="S292" s="9" t="s">
        <v>12795</v>
      </c>
      <c r="T292" s="9"/>
      <c r="U292" s="9"/>
      <c r="V292" s="9"/>
      <c r="W292" s="9"/>
      <c r="X292" s="9"/>
      <c r="Y292" s="9"/>
      <c r="Z292" s="9"/>
      <c r="AA292" s="9"/>
      <c r="AB292" s="9"/>
      <c r="AC292" s="9"/>
      <c r="AD292" s="9" t="s">
        <v>20</v>
      </c>
    </row>
    <row r="293" spans="1:30" ht="72.5">
      <c r="A293" s="3" t="s">
        <v>3290</v>
      </c>
      <c r="B293" s="3" t="s">
        <v>8856</v>
      </c>
      <c r="C293" s="3" t="s">
        <v>8857</v>
      </c>
      <c r="G293" s="9" t="s">
        <v>25</v>
      </c>
      <c r="H293" s="9"/>
      <c r="I293" s="9">
        <v>2</v>
      </c>
      <c r="J293" s="9">
        <v>11</v>
      </c>
      <c r="K293" s="9"/>
      <c r="L293" s="9" t="s">
        <v>12079</v>
      </c>
      <c r="M293" s="9"/>
      <c r="N293" s="10"/>
      <c r="O293" s="9"/>
      <c r="P293" s="9">
        <v>16</v>
      </c>
      <c r="Q293" s="9"/>
      <c r="R293" s="9" t="s">
        <v>12795</v>
      </c>
      <c r="S293" s="9" t="s">
        <v>12795</v>
      </c>
      <c r="T293" s="9"/>
      <c r="U293" s="9"/>
      <c r="V293" s="9"/>
      <c r="W293" s="9"/>
      <c r="X293" s="9"/>
      <c r="Y293" s="9"/>
      <c r="Z293" s="9"/>
      <c r="AA293" s="9"/>
      <c r="AB293" s="9"/>
      <c r="AC293" s="9"/>
      <c r="AD293" s="9" t="s">
        <v>20</v>
      </c>
    </row>
    <row r="294" spans="1:30" ht="72.5">
      <c r="A294" s="3" t="s">
        <v>3292</v>
      </c>
      <c r="B294" s="3" t="s">
        <v>8861</v>
      </c>
      <c r="C294" s="3" t="s">
        <v>8860</v>
      </c>
      <c r="G294" s="9" t="s">
        <v>25</v>
      </c>
      <c r="H294" s="9"/>
      <c r="I294" s="9">
        <v>2</v>
      </c>
      <c r="J294" s="9">
        <v>8</v>
      </c>
      <c r="K294" s="9"/>
      <c r="L294" s="9" t="s">
        <v>12079</v>
      </c>
      <c r="M294" s="9"/>
      <c r="N294" s="10"/>
      <c r="O294" s="9"/>
      <c r="P294" s="9">
        <v>27</v>
      </c>
      <c r="Q294" s="9"/>
      <c r="R294" s="9" t="s">
        <v>12795</v>
      </c>
      <c r="S294" s="9" t="s">
        <v>12795</v>
      </c>
      <c r="T294" s="9"/>
      <c r="U294" s="9"/>
      <c r="V294" s="9"/>
      <c r="W294" s="9"/>
      <c r="X294" s="9"/>
      <c r="Y294" s="9"/>
      <c r="Z294" s="9"/>
      <c r="AA294" s="9"/>
      <c r="AB294" s="9"/>
      <c r="AC294" s="9"/>
      <c r="AD294" s="9" t="s">
        <v>20</v>
      </c>
    </row>
    <row r="295" spans="1:30" ht="29">
      <c r="A295" s="3" t="s">
        <v>3304</v>
      </c>
      <c r="B295" s="3" t="s">
        <v>8882</v>
      </c>
      <c r="C295" s="3" t="s">
        <v>8883</v>
      </c>
      <c r="G295" s="9" t="s">
        <v>25</v>
      </c>
      <c r="H295" s="9"/>
      <c r="I295" s="9">
        <v>2</v>
      </c>
      <c r="J295" s="9">
        <v>8</v>
      </c>
      <c r="K295" s="9"/>
      <c r="L295" s="9" t="s">
        <v>12079</v>
      </c>
      <c r="M295" s="9"/>
      <c r="N295" s="10"/>
      <c r="O295" s="9"/>
      <c r="P295" s="9">
        <v>14</v>
      </c>
      <c r="Q295" s="9"/>
      <c r="R295" s="9" t="s">
        <v>12795</v>
      </c>
      <c r="S295" s="9" t="s">
        <v>12795</v>
      </c>
      <c r="T295" s="9"/>
      <c r="U295" s="9"/>
      <c r="V295" s="9"/>
      <c r="W295" s="9"/>
      <c r="X295" s="9"/>
      <c r="Y295" s="9"/>
      <c r="Z295" s="9"/>
      <c r="AA295" s="9"/>
      <c r="AB295" s="9"/>
      <c r="AC295" s="9"/>
      <c r="AD295" s="9" t="s">
        <v>20</v>
      </c>
    </row>
    <row r="296" spans="1:30" ht="29">
      <c r="A296" s="3" t="s">
        <v>3305</v>
      </c>
      <c r="B296" s="3" t="s">
        <v>8884</v>
      </c>
      <c r="C296" s="3" t="s">
        <v>8886</v>
      </c>
      <c r="G296" s="9" t="s">
        <v>25</v>
      </c>
      <c r="H296" s="9"/>
      <c r="I296" s="9">
        <v>1</v>
      </c>
      <c r="J296" s="9">
        <v>2</v>
      </c>
      <c r="K296" s="9" t="s">
        <v>12087</v>
      </c>
      <c r="L296" s="9" t="s">
        <v>12119</v>
      </c>
      <c r="M296" s="9"/>
      <c r="N296" s="10"/>
      <c r="O296" s="9"/>
      <c r="P296" s="9">
        <v>1966</v>
      </c>
      <c r="Q296" s="9"/>
      <c r="R296" s="9" t="s">
        <v>12795</v>
      </c>
      <c r="S296" s="9" t="s">
        <v>12795</v>
      </c>
      <c r="T296" s="9"/>
      <c r="U296" s="9"/>
      <c r="V296" s="9"/>
      <c r="W296" s="9"/>
      <c r="X296" s="9"/>
      <c r="Y296" s="9"/>
      <c r="Z296" s="9"/>
      <c r="AA296" s="9"/>
      <c r="AB296" s="9"/>
      <c r="AC296" s="9"/>
      <c r="AD296" s="9" t="s">
        <v>20</v>
      </c>
    </row>
    <row r="297" spans="1:30" ht="29">
      <c r="A297" s="3" t="s">
        <v>3305</v>
      </c>
      <c r="B297" s="3" t="s">
        <v>8885</v>
      </c>
      <c r="C297" s="3" t="s">
        <v>8887</v>
      </c>
      <c r="G297" s="9" t="s">
        <v>25</v>
      </c>
      <c r="H297" s="9"/>
      <c r="I297" s="9">
        <v>1</v>
      </c>
      <c r="J297" s="9">
        <v>2</v>
      </c>
      <c r="K297" s="9" t="s">
        <v>12087</v>
      </c>
      <c r="L297" s="9" t="s">
        <v>12119</v>
      </c>
      <c r="M297" s="9"/>
      <c r="N297" s="10"/>
      <c r="O297" s="9"/>
      <c r="P297" s="9">
        <v>1966</v>
      </c>
      <c r="Q297" s="9"/>
      <c r="R297" s="9" t="s">
        <v>12795</v>
      </c>
      <c r="S297" s="9" t="s">
        <v>12795</v>
      </c>
      <c r="T297" s="9"/>
      <c r="U297" s="9"/>
      <c r="V297" s="9"/>
      <c r="W297" s="9"/>
      <c r="X297" s="9"/>
      <c r="Y297" s="9"/>
      <c r="Z297" s="9"/>
      <c r="AA297" s="9"/>
      <c r="AB297" s="9"/>
      <c r="AC297" s="9"/>
      <c r="AD297" s="9" t="s">
        <v>13141</v>
      </c>
    </row>
    <row r="298" spans="1:30" ht="290">
      <c r="A298" s="3" t="s">
        <v>3308</v>
      </c>
      <c r="B298" s="3" t="s">
        <v>12460</v>
      </c>
      <c r="C298" s="3" t="s">
        <v>12463</v>
      </c>
      <c r="G298" s="9" t="s">
        <v>24</v>
      </c>
      <c r="H298" s="9"/>
      <c r="I298" s="9">
        <v>6</v>
      </c>
      <c r="J298" s="9">
        <v>30</v>
      </c>
      <c r="K298" s="9"/>
      <c r="L298" s="9" t="s">
        <v>12079</v>
      </c>
      <c r="M298" s="9"/>
      <c r="N298" s="10"/>
      <c r="O298" s="9"/>
      <c r="P298" s="9">
        <v>31</v>
      </c>
      <c r="Q298" s="9"/>
      <c r="R298" s="9" t="s">
        <v>12795</v>
      </c>
      <c r="S298" s="9" t="s">
        <v>12795</v>
      </c>
      <c r="T298" s="9"/>
      <c r="U298" s="9"/>
      <c r="V298" s="9"/>
      <c r="W298" s="9"/>
      <c r="X298" s="9"/>
      <c r="Y298" s="9"/>
      <c r="Z298" s="9"/>
      <c r="AA298" s="9"/>
      <c r="AB298" s="9"/>
      <c r="AC298" s="9"/>
      <c r="AD298" s="9" t="s">
        <v>20</v>
      </c>
    </row>
    <row r="299" spans="1:30" ht="43.5">
      <c r="A299" s="3" t="s">
        <v>3309</v>
      </c>
      <c r="B299" s="3" t="s">
        <v>8893</v>
      </c>
      <c r="C299" s="3" t="s">
        <v>8892</v>
      </c>
      <c r="G299" s="9" t="s">
        <v>25</v>
      </c>
      <c r="H299" s="9"/>
      <c r="I299" s="9">
        <v>2</v>
      </c>
      <c r="J299" s="9">
        <v>8</v>
      </c>
      <c r="K299" s="9"/>
      <c r="L299" s="9" t="s">
        <v>12079</v>
      </c>
      <c r="M299" s="9"/>
      <c r="N299" s="10"/>
      <c r="O299" s="9"/>
      <c r="P299" s="9">
        <v>33</v>
      </c>
      <c r="Q299" s="9"/>
      <c r="R299" s="9" t="s">
        <v>12795</v>
      </c>
      <c r="S299" s="9" t="s">
        <v>12795</v>
      </c>
      <c r="T299" s="9"/>
      <c r="U299" s="9"/>
      <c r="V299" s="9"/>
      <c r="W299" s="9"/>
      <c r="X299" s="9"/>
      <c r="Y299" s="9"/>
      <c r="Z299" s="9"/>
      <c r="AA299" s="9"/>
      <c r="AB299" s="9"/>
      <c r="AC299" s="9"/>
      <c r="AD299" s="9" t="s">
        <v>20</v>
      </c>
    </row>
    <row r="300" spans="1:30" ht="159.5">
      <c r="A300" s="3" t="s">
        <v>3321</v>
      </c>
      <c r="B300" s="3" t="s">
        <v>8912</v>
      </c>
      <c r="C300" s="3" t="s">
        <v>8913</v>
      </c>
      <c r="G300" s="9" t="s">
        <v>25</v>
      </c>
      <c r="H300" s="9"/>
      <c r="I300" s="9">
        <v>7</v>
      </c>
      <c r="J300" s="9">
        <v>26</v>
      </c>
      <c r="K300" s="9"/>
      <c r="L300" s="9" t="s">
        <v>12073</v>
      </c>
      <c r="M300" s="9" t="s">
        <v>12154</v>
      </c>
      <c r="N300" s="10" t="s">
        <v>12466</v>
      </c>
      <c r="O300" s="9"/>
      <c r="P300" s="9"/>
      <c r="Q300" s="9"/>
      <c r="R300" s="9" t="s">
        <v>12795</v>
      </c>
      <c r="S300" s="9" t="s">
        <v>12795</v>
      </c>
      <c r="T300" s="9"/>
      <c r="U300" s="9"/>
      <c r="V300" s="9"/>
      <c r="W300" s="9"/>
      <c r="X300" s="9"/>
      <c r="Y300" s="9"/>
      <c r="Z300" s="9"/>
      <c r="AA300" s="9"/>
      <c r="AB300" s="9"/>
      <c r="AC300" s="9"/>
      <c r="AD300" s="9" t="s">
        <v>20</v>
      </c>
    </row>
    <row r="301" spans="1:30" ht="58">
      <c r="A301" s="3" t="s">
        <v>3330</v>
      </c>
      <c r="B301" s="3" t="s">
        <v>8928</v>
      </c>
      <c r="C301" s="3" t="s">
        <v>8929</v>
      </c>
      <c r="G301" s="9" t="s">
        <v>25</v>
      </c>
      <c r="H301" s="9"/>
      <c r="I301" s="9">
        <v>1</v>
      </c>
      <c r="J301" s="9">
        <v>6</v>
      </c>
      <c r="K301" s="9" t="s">
        <v>12094</v>
      </c>
      <c r="L301" s="9" t="s">
        <v>12073</v>
      </c>
      <c r="M301" s="9" t="s">
        <v>12142</v>
      </c>
      <c r="N301" s="10" t="s">
        <v>12160</v>
      </c>
      <c r="O301" s="9"/>
      <c r="P301" s="9">
        <v>156</v>
      </c>
      <c r="Q301" s="9"/>
      <c r="R301" s="9" t="s">
        <v>12795</v>
      </c>
      <c r="S301" s="9" t="s">
        <v>12795</v>
      </c>
      <c r="T301" s="9"/>
      <c r="U301" s="9"/>
      <c r="V301" s="9"/>
      <c r="W301" s="9"/>
      <c r="X301" s="9"/>
      <c r="Y301" s="9"/>
      <c r="Z301" s="9"/>
      <c r="AA301" s="9"/>
      <c r="AB301" s="9"/>
      <c r="AC301" s="9"/>
      <c r="AD301" s="9" t="s">
        <v>20</v>
      </c>
    </row>
    <row r="302" spans="1:30" ht="29">
      <c r="A302" s="3" t="s">
        <v>3340</v>
      </c>
      <c r="B302" s="3" t="s">
        <v>8939</v>
      </c>
      <c r="C302" s="3" t="s">
        <v>8940</v>
      </c>
      <c r="G302" s="9" t="s">
        <v>25</v>
      </c>
      <c r="H302" s="9"/>
      <c r="I302" s="9">
        <v>1</v>
      </c>
      <c r="J302" s="9">
        <v>3</v>
      </c>
      <c r="K302" s="9" t="s">
        <v>12087</v>
      </c>
      <c r="L302" s="9" t="s">
        <v>12079</v>
      </c>
      <c r="M302" s="9"/>
      <c r="N302" s="10"/>
      <c r="O302" s="9"/>
      <c r="P302" s="9">
        <v>356</v>
      </c>
      <c r="Q302" s="9"/>
      <c r="R302" s="9" t="s">
        <v>12795</v>
      </c>
      <c r="S302" s="9" t="s">
        <v>12795</v>
      </c>
      <c r="T302" s="9"/>
      <c r="U302" s="9"/>
      <c r="V302" s="9"/>
      <c r="W302" s="9"/>
      <c r="X302" s="9"/>
      <c r="Y302" s="9"/>
      <c r="Z302" s="9"/>
      <c r="AA302" s="9"/>
      <c r="AB302" s="9"/>
      <c r="AC302" s="9"/>
      <c r="AD302" s="9" t="s">
        <v>20</v>
      </c>
    </row>
    <row r="303" spans="1:30" ht="43.5">
      <c r="A303" s="3" t="s">
        <v>3353</v>
      </c>
      <c r="B303" s="3" t="s">
        <v>8969</v>
      </c>
      <c r="C303" s="3" t="s">
        <v>8968</v>
      </c>
      <c r="G303" s="9" t="s">
        <v>25</v>
      </c>
      <c r="H303" s="9"/>
      <c r="I303" s="9">
        <v>1</v>
      </c>
      <c r="J303" s="9">
        <v>4</v>
      </c>
      <c r="K303" s="9" t="s">
        <v>12084</v>
      </c>
      <c r="L303" s="9" t="s">
        <v>12079</v>
      </c>
      <c r="M303" s="9"/>
      <c r="N303" s="10"/>
      <c r="O303" s="9"/>
      <c r="P303" s="9">
        <v>13</v>
      </c>
      <c r="Q303" s="9"/>
      <c r="R303" s="9" t="s">
        <v>12795</v>
      </c>
      <c r="S303" s="9" t="s">
        <v>12795</v>
      </c>
      <c r="T303" s="9"/>
      <c r="U303" s="9"/>
      <c r="V303" s="9"/>
      <c r="W303" s="9"/>
      <c r="X303" s="9"/>
      <c r="Y303" s="9"/>
      <c r="Z303" s="9"/>
      <c r="AA303" s="9"/>
      <c r="AB303" s="9"/>
      <c r="AC303" s="9"/>
      <c r="AD303" s="9" t="s">
        <v>20</v>
      </c>
    </row>
    <row r="304" spans="1:30" ht="72.5">
      <c r="A304" s="3" t="s">
        <v>3356</v>
      </c>
      <c r="B304" s="3" t="s">
        <v>8984</v>
      </c>
      <c r="C304" s="3" t="s">
        <v>8981</v>
      </c>
      <c r="G304" s="9" t="s">
        <v>24</v>
      </c>
      <c r="H304" s="9"/>
      <c r="I304" s="9">
        <v>1</v>
      </c>
      <c r="J304" s="9">
        <v>3</v>
      </c>
      <c r="K304" s="9" t="s">
        <v>12094</v>
      </c>
      <c r="L304" s="9" t="s">
        <v>12079</v>
      </c>
      <c r="M304" s="9"/>
      <c r="N304" s="10"/>
      <c r="O304" s="9"/>
      <c r="P304" s="9">
        <v>1496</v>
      </c>
      <c r="Q304" s="9"/>
      <c r="R304" s="9" t="s">
        <v>12795</v>
      </c>
      <c r="S304" s="9" t="s">
        <v>12795</v>
      </c>
      <c r="T304" s="9"/>
      <c r="U304" s="9"/>
      <c r="V304" s="9"/>
      <c r="W304" s="9"/>
      <c r="X304" s="9"/>
      <c r="Y304" s="9"/>
      <c r="Z304" s="9"/>
      <c r="AA304" s="9"/>
      <c r="AB304" s="9"/>
      <c r="AC304" s="9"/>
      <c r="AD304" s="9" t="s">
        <v>20</v>
      </c>
    </row>
    <row r="305" spans="1:30" ht="29">
      <c r="A305" s="3" t="s">
        <v>3359</v>
      </c>
      <c r="B305" s="3" t="s">
        <v>8988</v>
      </c>
      <c r="C305" s="3" t="s">
        <v>8989</v>
      </c>
      <c r="G305" s="9" t="s">
        <v>25</v>
      </c>
      <c r="H305" s="9"/>
      <c r="I305" s="9">
        <v>1</v>
      </c>
      <c r="J305" s="9">
        <v>3</v>
      </c>
      <c r="K305" s="9" t="s">
        <v>12078</v>
      </c>
      <c r="L305" s="9" t="s">
        <v>12079</v>
      </c>
      <c r="M305" s="9"/>
      <c r="N305" s="10"/>
      <c r="O305" s="9"/>
      <c r="P305" s="9">
        <v>11843</v>
      </c>
      <c r="Q305" s="9"/>
      <c r="R305" s="9" t="s">
        <v>12795</v>
      </c>
      <c r="S305" s="9" t="s">
        <v>12795</v>
      </c>
      <c r="T305" s="9"/>
      <c r="U305" s="9"/>
      <c r="V305" s="9"/>
      <c r="W305" s="9"/>
      <c r="X305" s="9"/>
      <c r="Y305" s="9"/>
      <c r="Z305" s="9"/>
      <c r="AA305" s="9"/>
      <c r="AB305" s="9"/>
      <c r="AC305" s="9"/>
      <c r="AD305" s="9" t="s">
        <v>13141</v>
      </c>
    </row>
    <row r="306" spans="1:30" ht="29">
      <c r="A306" s="3" t="s">
        <v>3363</v>
      </c>
      <c r="B306" s="3" t="s">
        <v>9001</v>
      </c>
      <c r="C306" s="3" t="s">
        <v>9000</v>
      </c>
      <c r="G306" s="9" t="s">
        <v>24</v>
      </c>
      <c r="H306" s="9"/>
      <c r="I306" s="9">
        <v>1</v>
      </c>
      <c r="J306" s="9">
        <v>3</v>
      </c>
      <c r="K306" s="9" t="s">
        <v>12087</v>
      </c>
      <c r="L306" s="9" t="s">
        <v>12079</v>
      </c>
      <c r="M306" s="9"/>
      <c r="N306" s="10"/>
      <c r="O306" s="9"/>
      <c r="P306" s="9">
        <v>5676</v>
      </c>
      <c r="Q306" s="9"/>
      <c r="R306" s="9" t="s">
        <v>12795</v>
      </c>
      <c r="S306" s="9" t="s">
        <v>12795</v>
      </c>
      <c r="T306" s="9"/>
      <c r="U306" s="9"/>
      <c r="V306" s="9"/>
      <c r="W306" s="9"/>
      <c r="X306" s="9"/>
      <c r="Y306" s="9"/>
      <c r="Z306" s="9"/>
      <c r="AA306" s="9"/>
      <c r="AB306" s="9"/>
      <c r="AC306" s="9"/>
      <c r="AD306" s="9" t="s">
        <v>20</v>
      </c>
    </row>
    <row r="307" spans="1:30" ht="203">
      <c r="A307" s="3" t="s">
        <v>3371</v>
      </c>
      <c r="B307" s="3" t="s">
        <v>12470</v>
      </c>
      <c r="C307" s="3" t="s">
        <v>12471</v>
      </c>
      <c r="G307" s="9" t="s">
        <v>25</v>
      </c>
      <c r="H307" s="9"/>
      <c r="I307" s="9">
        <v>9</v>
      </c>
      <c r="J307" s="9">
        <v>43</v>
      </c>
      <c r="K307" s="9"/>
      <c r="L307" s="9" t="s">
        <v>12073</v>
      </c>
      <c r="M307" s="9" t="s">
        <v>12140</v>
      </c>
      <c r="N307" s="10" t="s">
        <v>12472</v>
      </c>
      <c r="O307" s="9"/>
      <c r="P307" s="9">
        <v>45</v>
      </c>
      <c r="Q307" s="9"/>
      <c r="R307" s="9" t="s">
        <v>12795</v>
      </c>
      <c r="S307" s="9" t="s">
        <v>12795</v>
      </c>
      <c r="T307" s="9"/>
      <c r="U307" s="9"/>
      <c r="V307" s="9"/>
      <c r="W307" s="9"/>
      <c r="X307" s="9"/>
      <c r="Y307" s="9"/>
      <c r="Z307" s="9"/>
      <c r="AA307" s="9"/>
      <c r="AB307" s="9"/>
      <c r="AC307" s="9"/>
      <c r="AD307" s="9" t="s">
        <v>20</v>
      </c>
    </row>
    <row r="308" spans="1:30" ht="87">
      <c r="A308" s="3" t="s">
        <v>3376</v>
      </c>
      <c r="B308" s="3" t="s">
        <v>9016</v>
      </c>
      <c r="C308" s="3" t="s">
        <v>9015</v>
      </c>
      <c r="G308" s="9" t="s">
        <v>25</v>
      </c>
      <c r="H308" s="9"/>
      <c r="I308" s="9">
        <v>1</v>
      </c>
      <c r="J308" s="9">
        <v>3</v>
      </c>
      <c r="K308" s="9" t="s">
        <v>12087</v>
      </c>
      <c r="L308" s="9" t="s">
        <v>12079</v>
      </c>
      <c r="M308" s="9"/>
      <c r="N308" s="10"/>
      <c r="O308" s="9"/>
      <c r="P308" s="9">
        <v>356</v>
      </c>
      <c r="Q308" s="9"/>
      <c r="R308" s="9" t="s">
        <v>12795</v>
      </c>
      <c r="S308" s="9" t="s">
        <v>12795</v>
      </c>
      <c r="T308" s="9"/>
      <c r="U308" s="9"/>
      <c r="V308" s="9"/>
      <c r="W308" s="9"/>
      <c r="X308" s="9"/>
      <c r="Y308" s="9"/>
      <c r="Z308" s="9"/>
      <c r="AA308" s="9"/>
      <c r="AB308" s="9"/>
      <c r="AC308" s="9"/>
      <c r="AD308" s="9" t="s">
        <v>20</v>
      </c>
    </row>
    <row r="309" spans="1:30" ht="43.5">
      <c r="A309" s="3" t="s">
        <v>3386</v>
      </c>
      <c r="B309" s="3" t="s">
        <v>9042</v>
      </c>
      <c r="C309" s="3" t="s">
        <v>9043</v>
      </c>
      <c r="G309" s="9" t="s">
        <v>24</v>
      </c>
      <c r="H309" s="9"/>
      <c r="I309" s="9">
        <v>1</v>
      </c>
      <c r="J309" s="9">
        <v>3</v>
      </c>
      <c r="K309" s="9" t="s">
        <v>12087</v>
      </c>
      <c r="L309" s="9" t="s">
        <v>12079</v>
      </c>
      <c r="M309" s="9"/>
      <c r="N309" s="10"/>
      <c r="O309" s="9"/>
      <c r="P309" s="9">
        <v>5676</v>
      </c>
      <c r="Q309" s="9"/>
      <c r="R309" s="9" t="s">
        <v>12795</v>
      </c>
      <c r="S309" s="9" t="s">
        <v>12795</v>
      </c>
      <c r="T309" s="9"/>
      <c r="U309" s="9"/>
      <c r="V309" s="9"/>
      <c r="W309" s="9"/>
      <c r="X309" s="9"/>
      <c r="Y309" s="9"/>
      <c r="Z309" s="9"/>
      <c r="AA309" s="9"/>
      <c r="AB309" s="9"/>
      <c r="AC309" s="9"/>
      <c r="AD309" s="9" t="s">
        <v>20</v>
      </c>
    </row>
    <row r="310" spans="1:30" ht="72.5">
      <c r="A310" s="3" t="s">
        <v>3392</v>
      </c>
      <c r="B310" s="3" t="s">
        <v>9054</v>
      </c>
      <c r="C310" s="3" t="s">
        <v>9055</v>
      </c>
      <c r="G310" s="9" t="s">
        <v>25</v>
      </c>
      <c r="H310" s="9"/>
      <c r="I310" s="9">
        <v>1</v>
      </c>
      <c r="J310" s="9">
        <v>3</v>
      </c>
      <c r="K310" s="9" t="s">
        <v>12078</v>
      </c>
      <c r="L310" s="9" t="s">
        <v>12079</v>
      </c>
      <c r="M310" s="9"/>
      <c r="N310" s="10"/>
      <c r="O310" s="9"/>
      <c r="P310" s="9">
        <v>11843</v>
      </c>
      <c r="Q310" s="9"/>
      <c r="R310" s="9" t="s">
        <v>12795</v>
      </c>
      <c r="S310" s="9" t="s">
        <v>12795</v>
      </c>
      <c r="T310" s="9"/>
      <c r="U310" s="9"/>
      <c r="V310" s="9"/>
      <c r="W310" s="9"/>
      <c r="X310" s="9"/>
      <c r="Y310" s="9"/>
      <c r="Z310" s="9"/>
      <c r="AA310" s="9"/>
      <c r="AB310" s="9"/>
      <c r="AC310" s="9"/>
      <c r="AD310" s="9" t="s">
        <v>20</v>
      </c>
    </row>
    <row r="311" spans="1:30" ht="43.5">
      <c r="A311" s="3" t="s">
        <v>3393</v>
      </c>
      <c r="B311" s="3" t="s">
        <v>9057</v>
      </c>
      <c r="C311" s="3" t="s">
        <v>9056</v>
      </c>
      <c r="G311" s="9" t="s">
        <v>25</v>
      </c>
      <c r="H311" s="9"/>
      <c r="I311" s="9">
        <v>1</v>
      </c>
      <c r="J311" s="9">
        <v>2</v>
      </c>
      <c r="K311" s="9" t="s">
        <v>12078</v>
      </c>
      <c r="L311" s="9" t="s">
        <v>12119</v>
      </c>
      <c r="M311" s="9"/>
      <c r="N311" s="10"/>
      <c r="O311" s="9"/>
      <c r="P311" s="9">
        <v>11843</v>
      </c>
      <c r="Q311" s="9"/>
      <c r="R311" s="9" t="s">
        <v>12795</v>
      </c>
      <c r="S311" s="9" t="s">
        <v>12795</v>
      </c>
      <c r="T311" s="9"/>
      <c r="U311" s="9"/>
      <c r="V311" s="9"/>
      <c r="W311" s="9"/>
      <c r="X311" s="9"/>
      <c r="Y311" s="9"/>
      <c r="Z311" s="9"/>
      <c r="AA311" s="9"/>
      <c r="AB311" s="9"/>
      <c r="AC311" s="9"/>
      <c r="AD311" s="9" t="s">
        <v>20</v>
      </c>
    </row>
    <row r="312" spans="1:30" ht="58">
      <c r="A312" s="3" t="s">
        <v>3405</v>
      </c>
      <c r="B312" s="3" t="s">
        <v>9081</v>
      </c>
      <c r="C312" s="3" t="s">
        <v>9080</v>
      </c>
      <c r="G312" s="9" t="s">
        <v>24</v>
      </c>
      <c r="H312" s="9"/>
      <c r="I312" s="9">
        <v>1</v>
      </c>
      <c r="J312" s="9">
        <v>3</v>
      </c>
      <c r="K312" s="9" t="s">
        <v>12078</v>
      </c>
      <c r="L312" s="9" t="s">
        <v>12079</v>
      </c>
      <c r="M312" s="9"/>
      <c r="N312" s="10"/>
      <c r="O312" s="9"/>
      <c r="P312" s="9">
        <v>11843</v>
      </c>
      <c r="Q312" s="9"/>
      <c r="R312" s="9" t="s">
        <v>12795</v>
      </c>
      <c r="S312" s="9" t="s">
        <v>12795</v>
      </c>
      <c r="T312" s="9"/>
      <c r="U312" s="9"/>
      <c r="V312" s="9"/>
      <c r="W312" s="9"/>
      <c r="X312" s="9"/>
      <c r="Y312" s="9"/>
      <c r="Z312" s="9"/>
      <c r="AA312" s="9"/>
      <c r="AB312" s="9"/>
      <c r="AC312" s="9"/>
      <c r="AD312" s="9" t="s">
        <v>20</v>
      </c>
    </row>
    <row r="313" spans="1:30" ht="58">
      <c r="A313" s="3" t="s">
        <v>3414</v>
      </c>
      <c r="B313" s="3" t="s">
        <v>9089</v>
      </c>
      <c r="C313" s="3" t="s">
        <v>9086</v>
      </c>
      <c r="G313" s="9" t="s">
        <v>25</v>
      </c>
      <c r="H313" s="9"/>
      <c r="I313" s="9">
        <v>2</v>
      </c>
      <c r="J313" s="9">
        <v>10</v>
      </c>
      <c r="K313" s="9"/>
      <c r="L313" s="9" t="s">
        <v>12079</v>
      </c>
      <c r="M313" s="9"/>
      <c r="N313" s="10"/>
      <c r="O313" s="9"/>
      <c r="P313" s="9">
        <v>167</v>
      </c>
      <c r="Q313" s="9"/>
      <c r="R313" s="9" t="s">
        <v>12795</v>
      </c>
      <c r="S313" s="9" t="s">
        <v>12795</v>
      </c>
      <c r="T313" s="9"/>
      <c r="U313" s="9"/>
      <c r="V313" s="9"/>
      <c r="W313" s="9"/>
      <c r="X313" s="9"/>
      <c r="Y313" s="9"/>
      <c r="Z313" s="9"/>
      <c r="AA313" s="9"/>
      <c r="AB313" s="9"/>
      <c r="AC313" s="9"/>
      <c r="AD313" s="9" t="s">
        <v>20</v>
      </c>
    </row>
    <row r="314" spans="1:30" ht="43.5">
      <c r="A314" s="3" t="s">
        <v>3414</v>
      </c>
      <c r="B314" s="3" t="s">
        <v>9091</v>
      </c>
      <c r="C314" s="3" t="s">
        <v>9090</v>
      </c>
      <c r="G314" s="9" t="s">
        <v>25</v>
      </c>
      <c r="H314" s="9"/>
      <c r="I314" s="9">
        <v>1</v>
      </c>
      <c r="J314" s="9">
        <v>3</v>
      </c>
      <c r="K314" s="9" t="s">
        <v>12087</v>
      </c>
      <c r="L314" s="9" t="s">
        <v>12079</v>
      </c>
      <c r="M314" s="9"/>
      <c r="N314" s="10"/>
      <c r="O314" s="9"/>
      <c r="P314" s="9">
        <v>5676</v>
      </c>
      <c r="Q314" s="9"/>
      <c r="R314" s="9" t="s">
        <v>12795</v>
      </c>
      <c r="S314" s="9" t="s">
        <v>12795</v>
      </c>
      <c r="T314" s="9"/>
      <c r="U314" s="9"/>
      <c r="V314" s="9"/>
      <c r="W314" s="9"/>
      <c r="X314" s="9"/>
      <c r="Y314" s="9"/>
      <c r="Z314" s="9"/>
      <c r="AA314" s="9"/>
      <c r="AB314" s="9"/>
      <c r="AC314" s="9"/>
      <c r="AD314" s="9" t="s">
        <v>20</v>
      </c>
    </row>
    <row r="315" spans="1:30" ht="87">
      <c r="A315" s="3" t="s">
        <v>3425</v>
      </c>
      <c r="B315" s="3" t="s">
        <v>9106</v>
      </c>
      <c r="C315" s="3" t="s">
        <v>9107</v>
      </c>
      <c r="G315" s="9" t="s">
        <v>25</v>
      </c>
      <c r="H315" s="9"/>
      <c r="I315" s="9">
        <v>6</v>
      </c>
      <c r="J315" s="9">
        <v>17</v>
      </c>
      <c r="K315" s="9"/>
      <c r="L315" s="9" t="s">
        <v>12079</v>
      </c>
      <c r="M315" s="9"/>
      <c r="N315" s="10"/>
      <c r="O315" s="9"/>
      <c r="P315" s="9">
        <v>277</v>
      </c>
      <c r="Q315" s="9"/>
      <c r="R315" s="9" t="s">
        <v>12795</v>
      </c>
      <c r="S315" s="9" t="s">
        <v>12795</v>
      </c>
      <c r="T315" s="9"/>
      <c r="U315" s="9"/>
      <c r="V315" s="9"/>
      <c r="W315" s="9"/>
      <c r="X315" s="9"/>
      <c r="Y315" s="9"/>
      <c r="Z315" s="9"/>
      <c r="AA315" s="9"/>
      <c r="AB315" s="9"/>
      <c r="AC315" s="9"/>
      <c r="AD315" s="9" t="s">
        <v>20</v>
      </c>
    </row>
    <row r="316" spans="1:30" ht="43.5">
      <c r="A316" s="3" t="s">
        <v>3443</v>
      </c>
      <c r="B316" s="3" t="s">
        <v>9138</v>
      </c>
      <c r="C316" s="3" t="s">
        <v>9139</v>
      </c>
      <c r="G316" s="9" t="s">
        <v>25</v>
      </c>
      <c r="H316" s="9"/>
      <c r="I316" s="9">
        <v>1</v>
      </c>
      <c r="J316" s="9">
        <v>1</v>
      </c>
      <c r="K316" s="9" t="s">
        <v>12078</v>
      </c>
      <c r="L316" s="9" t="s">
        <v>12119</v>
      </c>
      <c r="M316" s="9"/>
      <c r="N316" s="10"/>
      <c r="O316" s="9"/>
      <c r="P316" s="9">
        <v>11843</v>
      </c>
      <c r="Q316" s="9"/>
      <c r="R316" s="9" t="s">
        <v>12795</v>
      </c>
      <c r="S316" s="9" t="s">
        <v>12795</v>
      </c>
      <c r="T316" s="9"/>
      <c r="U316" s="9"/>
      <c r="V316" s="9"/>
      <c r="W316" s="9"/>
      <c r="X316" s="9"/>
      <c r="Y316" s="9"/>
      <c r="Z316" s="9"/>
      <c r="AA316" s="9"/>
      <c r="AB316" s="9"/>
      <c r="AC316" s="9"/>
      <c r="AD316" s="9" t="s">
        <v>20</v>
      </c>
    </row>
    <row r="317" spans="1:30" ht="72.5">
      <c r="A317" s="3" t="s">
        <v>3450</v>
      </c>
      <c r="B317" s="3" t="s">
        <v>9164</v>
      </c>
      <c r="C317" s="3" t="s">
        <v>9163</v>
      </c>
      <c r="G317" s="9" t="s">
        <v>25</v>
      </c>
      <c r="H317" s="9"/>
      <c r="I317" s="9">
        <v>1</v>
      </c>
      <c r="J317" s="9">
        <v>2</v>
      </c>
      <c r="K317" s="9" t="s">
        <v>12078</v>
      </c>
      <c r="L317" s="9" t="s">
        <v>12119</v>
      </c>
      <c r="M317" s="9"/>
      <c r="N317" s="10"/>
      <c r="O317" s="9"/>
      <c r="P317" s="9">
        <v>11843</v>
      </c>
      <c r="Q317" s="9"/>
      <c r="R317" s="9" t="s">
        <v>12795</v>
      </c>
      <c r="S317" s="9" t="s">
        <v>12795</v>
      </c>
      <c r="T317" s="9"/>
      <c r="U317" s="9"/>
      <c r="V317" s="9"/>
      <c r="W317" s="9"/>
      <c r="X317" s="9"/>
      <c r="Y317" s="9"/>
      <c r="Z317" s="9"/>
      <c r="AA317" s="9"/>
      <c r="AB317" s="9"/>
      <c r="AC317" s="9"/>
      <c r="AD317" s="9" t="s">
        <v>20</v>
      </c>
    </row>
    <row r="318" spans="1:30" ht="29">
      <c r="A318" s="3" t="s">
        <v>3459</v>
      </c>
      <c r="B318" s="3" t="s">
        <v>9176</v>
      </c>
      <c r="C318" s="3" t="s">
        <v>9175</v>
      </c>
      <c r="G318" s="9" t="s">
        <v>25</v>
      </c>
      <c r="H318" s="9"/>
      <c r="I318" s="9">
        <v>1</v>
      </c>
      <c r="J318" s="9">
        <v>1</v>
      </c>
      <c r="K318" s="9" t="s">
        <v>12078</v>
      </c>
      <c r="L318" s="9" t="s">
        <v>12119</v>
      </c>
      <c r="M318" s="9"/>
      <c r="N318" s="10"/>
      <c r="O318" s="9"/>
      <c r="P318" s="9">
        <v>11843</v>
      </c>
      <c r="Q318" s="9"/>
      <c r="R318" s="9" t="s">
        <v>12795</v>
      </c>
      <c r="S318" s="9" t="s">
        <v>12795</v>
      </c>
      <c r="T318" s="9"/>
      <c r="U318" s="9"/>
      <c r="V318" s="9"/>
      <c r="W318" s="9"/>
      <c r="X318" s="9"/>
      <c r="Y318" s="9"/>
      <c r="Z318" s="9"/>
      <c r="AA318" s="9"/>
      <c r="AB318" s="9"/>
      <c r="AC318" s="9"/>
      <c r="AD318" s="9" t="s">
        <v>20</v>
      </c>
    </row>
    <row r="319" spans="1:30" ht="43.5">
      <c r="A319" s="3" t="s">
        <v>3460</v>
      </c>
      <c r="B319" s="3" t="s">
        <v>9181</v>
      </c>
      <c r="C319" s="3" t="s">
        <v>9182</v>
      </c>
      <c r="G319" s="9" t="s">
        <v>25</v>
      </c>
      <c r="H319" s="9"/>
      <c r="I319" s="9">
        <v>1</v>
      </c>
      <c r="J319" s="9">
        <v>3</v>
      </c>
      <c r="K319" s="9" t="s">
        <v>12084</v>
      </c>
      <c r="L319" s="9" t="s">
        <v>12079</v>
      </c>
      <c r="M319" s="9"/>
      <c r="N319" s="10"/>
      <c r="O319" s="9"/>
      <c r="P319" s="9">
        <v>4</v>
      </c>
      <c r="Q319" s="9"/>
      <c r="R319" s="9" t="s">
        <v>12795</v>
      </c>
      <c r="S319" s="9" t="s">
        <v>12795</v>
      </c>
      <c r="T319" s="9"/>
      <c r="U319" s="9"/>
      <c r="V319" s="9"/>
      <c r="W319" s="9"/>
      <c r="X319" s="9"/>
      <c r="Y319" s="9"/>
      <c r="Z319" s="9"/>
      <c r="AA319" s="9"/>
      <c r="AB319" s="9"/>
      <c r="AC319" s="9"/>
      <c r="AD319" s="9" t="s">
        <v>20</v>
      </c>
    </row>
    <row r="320" spans="1:30" ht="43.5">
      <c r="A320" s="3" t="s">
        <v>3471</v>
      </c>
      <c r="B320" s="3" t="s">
        <v>12919</v>
      </c>
      <c r="C320" s="3" t="s">
        <v>9189</v>
      </c>
      <c r="G320" s="9" t="s">
        <v>25</v>
      </c>
      <c r="H320" s="9"/>
      <c r="I320" s="9">
        <v>1</v>
      </c>
      <c r="J320" s="9">
        <v>2</v>
      </c>
      <c r="K320" s="9" t="s">
        <v>12078</v>
      </c>
      <c r="L320" s="9" t="s">
        <v>12119</v>
      </c>
      <c r="M320" s="9"/>
      <c r="N320" s="10"/>
      <c r="O320" s="9"/>
      <c r="P320" s="9">
        <v>11843</v>
      </c>
      <c r="Q320" s="9"/>
      <c r="R320" s="9" t="s">
        <v>12795</v>
      </c>
      <c r="S320" s="9" t="s">
        <v>12795</v>
      </c>
      <c r="T320" s="9"/>
      <c r="U320" s="9"/>
      <c r="V320" s="9"/>
      <c r="W320" s="9"/>
      <c r="X320" s="9"/>
      <c r="Y320" s="9"/>
      <c r="Z320" s="9"/>
      <c r="AA320" s="9"/>
      <c r="AB320" s="9"/>
      <c r="AC320" s="9"/>
      <c r="AD320" s="9" t="s">
        <v>20</v>
      </c>
    </row>
    <row r="321" spans="1:30" ht="72.5">
      <c r="A321" s="3" t="s">
        <v>3472</v>
      </c>
      <c r="B321" s="3" t="s">
        <v>9194</v>
      </c>
      <c r="C321" s="3" t="s">
        <v>9192</v>
      </c>
      <c r="G321" s="9" t="s">
        <v>25</v>
      </c>
      <c r="H321" s="9"/>
      <c r="I321" s="9">
        <v>1</v>
      </c>
      <c r="J321" s="9">
        <v>7</v>
      </c>
      <c r="K321" s="9" t="s">
        <v>12098</v>
      </c>
      <c r="L321" s="9" t="s">
        <v>12079</v>
      </c>
      <c r="M321" s="9"/>
      <c r="N321" s="10"/>
      <c r="O321" s="9"/>
      <c r="P321" s="9">
        <v>111</v>
      </c>
      <c r="Q321" s="9"/>
      <c r="R321" s="9" t="s">
        <v>12795</v>
      </c>
      <c r="S321" s="9" t="s">
        <v>12795</v>
      </c>
      <c r="T321" s="9"/>
      <c r="U321" s="9"/>
      <c r="V321" s="9"/>
      <c r="W321" s="9"/>
      <c r="X321" s="9"/>
      <c r="Y321" s="9"/>
      <c r="Z321" s="9"/>
      <c r="AA321" s="9"/>
      <c r="AB321" s="9"/>
      <c r="AC321" s="9"/>
      <c r="AD321" s="9" t="s">
        <v>20</v>
      </c>
    </row>
    <row r="322" spans="1:30" ht="87">
      <c r="A322" s="3" t="s">
        <v>3484</v>
      </c>
      <c r="B322" s="3" t="s">
        <v>13062</v>
      </c>
      <c r="C322" s="3" t="s">
        <v>13065</v>
      </c>
      <c r="G322" s="9" t="s">
        <v>25</v>
      </c>
      <c r="H322" s="9"/>
      <c r="I322" s="9">
        <v>1</v>
      </c>
      <c r="J322" s="9">
        <v>6</v>
      </c>
      <c r="K322" s="9" t="s">
        <v>12125</v>
      </c>
      <c r="L322" s="9" t="s">
        <v>12079</v>
      </c>
      <c r="M322" s="9"/>
      <c r="N322" s="10"/>
      <c r="O322" s="9"/>
      <c r="P322" s="9">
        <v>336</v>
      </c>
      <c r="Q322" s="9"/>
      <c r="R322" s="9" t="s">
        <v>12795</v>
      </c>
      <c r="S322" s="9" t="s">
        <v>12795</v>
      </c>
      <c r="T322" s="9"/>
      <c r="U322" s="9"/>
      <c r="V322" s="9"/>
      <c r="W322" s="9"/>
      <c r="X322" s="9"/>
      <c r="Y322" s="9"/>
      <c r="Z322" s="9"/>
      <c r="AA322" s="9"/>
      <c r="AB322" s="9"/>
      <c r="AC322" s="9"/>
      <c r="AD322" s="9" t="s">
        <v>20</v>
      </c>
    </row>
    <row r="323" spans="1:30" ht="43.5">
      <c r="A323" s="3" t="s">
        <v>3494</v>
      </c>
      <c r="B323" s="3" t="s">
        <v>9228</v>
      </c>
      <c r="C323" s="3" t="s">
        <v>9229</v>
      </c>
      <c r="G323" s="9" t="s">
        <v>25</v>
      </c>
      <c r="H323" s="9"/>
      <c r="I323" s="9">
        <v>1</v>
      </c>
      <c r="J323" s="9">
        <v>7</v>
      </c>
      <c r="K323" s="9" t="s">
        <v>12125</v>
      </c>
      <c r="L323" s="9" t="s">
        <v>12079</v>
      </c>
      <c r="M323" s="9"/>
      <c r="N323" s="10"/>
      <c r="O323" s="9"/>
      <c r="P323" s="9">
        <v>320</v>
      </c>
      <c r="Q323" s="9"/>
      <c r="R323" s="9" t="s">
        <v>12795</v>
      </c>
      <c r="S323" s="9" t="s">
        <v>12795</v>
      </c>
      <c r="T323" s="9"/>
      <c r="U323" s="9"/>
      <c r="V323" s="9"/>
      <c r="W323" s="9"/>
      <c r="X323" s="9"/>
      <c r="Y323" s="9"/>
      <c r="Z323" s="9"/>
      <c r="AA323" s="9"/>
      <c r="AB323" s="9"/>
      <c r="AC323" s="9"/>
      <c r="AD323" s="9" t="s">
        <v>20</v>
      </c>
    </row>
    <row r="324" spans="1:30" ht="29">
      <c r="A324" s="3" t="s">
        <v>3503</v>
      </c>
      <c r="B324" s="3" t="s">
        <v>9241</v>
      </c>
      <c r="C324" s="3" t="s">
        <v>9240</v>
      </c>
      <c r="G324" s="9" t="s">
        <v>24</v>
      </c>
      <c r="H324" s="9"/>
      <c r="I324" s="9">
        <v>1</v>
      </c>
      <c r="J324" s="9">
        <v>2</v>
      </c>
      <c r="K324" s="9" t="s">
        <v>12087</v>
      </c>
      <c r="L324" s="9" t="s">
        <v>12119</v>
      </c>
      <c r="M324" s="9"/>
      <c r="N324" s="10"/>
      <c r="O324" s="9"/>
      <c r="P324" s="9">
        <v>1966</v>
      </c>
      <c r="Q324" s="9"/>
      <c r="R324" s="9" t="s">
        <v>12795</v>
      </c>
      <c r="S324" s="9" t="s">
        <v>12795</v>
      </c>
      <c r="T324" s="9"/>
      <c r="U324" s="9"/>
      <c r="V324" s="9"/>
      <c r="W324" s="9"/>
      <c r="X324" s="9"/>
      <c r="Y324" s="9"/>
      <c r="Z324" s="9"/>
      <c r="AA324" s="9"/>
      <c r="AB324" s="9"/>
      <c r="AC324" s="9"/>
      <c r="AD324" s="9" t="s">
        <v>20</v>
      </c>
    </row>
    <row r="325" spans="1:30" ht="29">
      <c r="A325" s="3" t="s">
        <v>3515</v>
      </c>
      <c r="B325" s="3" t="s">
        <v>9268</v>
      </c>
      <c r="C325" s="3" t="s">
        <v>9267</v>
      </c>
      <c r="G325" s="9" t="s">
        <v>25</v>
      </c>
      <c r="H325" s="9"/>
      <c r="I325" s="9">
        <v>1</v>
      </c>
      <c r="J325" s="9">
        <v>4</v>
      </c>
      <c r="K325" s="9" t="s">
        <v>12094</v>
      </c>
      <c r="L325" s="9" t="s">
        <v>12079</v>
      </c>
      <c r="M325" s="9"/>
      <c r="N325" s="10"/>
      <c r="O325" s="9"/>
      <c r="P325" s="9">
        <v>1496</v>
      </c>
      <c r="Q325" s="9"/>
      <c r="R325" s="9" t="s">
        <v>12795</v>
      </c>
      <c r="S325" s="9" t="s">
        <v>12795</v>
      </c>
      <c r="T325" s="9"/>
      <c r="U325" s="9"/>
      <c r="V325" s="9"/>
      <c r="W325" s="9"/>
      <c r="X325" s="9"/>
      <c r="Y325" s="9"/>
      <c r="Z325" s="9"/>
      <c r="AA325" s="9"/>
      <c r="AB325" s="9"/>
      <c r="AC325" s="9"/>
      <c r="AD325" s="9" t="s">
        <v>20</v>
      </c>
    </row>
    <row r="326" spans="1:30" ht="43.5">
      <c r="A326" s="3" t="s">
        <v>3517</v>
      </c>
      <c r="B326" s="3" t="s">
        <v>9273</v>
      </c>
      <c r="C326" s="3" t="s">
        <v>9274</v>
      </c>
      <c r="G326" s="9" t="s">
        <v>25</v>
      </c>
      <c r="H326" s="9"/>
      <c r="I326" s="9">
        <v>1</v>
      </c>
      <c r="J326" s="9">
        <v>3</v>
      </c>
      <c r="K326" s="9" t="s">
        <v>12078</v>
      </c>
      <c r="L326" s="9" t="s">
        <v>12079</v>
      </c>
      <c r="M326" s="9"/>
      <c r="N326" s="10"/>
      <c r="O326" s="9"/>
      <c r="P326" s="9">
        <v>11843</v>
      </c>
      <c r="Q326" s="9"/>
      <c r="R326" s="9" t="s">
        <v>12795</v>
      </c>
      <c r="S326" s="9" t="s">
        <v>12795</v>
      </c>
      <c r="T326" s="9"/>
      <c r="U326" s="9"/>
      <c r="V326" s="9"/>
      <c r="W326" s="9"/>
      <c r="X326" s="9"/>
      <c r="Y326" s="9"/>
      <c r="Z326" s="9"/>
      <c r="AA326" s="9"/>
      <c r="AB326" s="9"/>
      <c r="AC326" s="9"/>
      <c r="AD326" s="9" t="s">
        <v>20</v>
      </c>
    </row>
    <row r="327" spans="1:30" ht="58">
      <c r="A327" s="3" t="s">
        <v>3520</v>
      </c>
      <c r="B327" s="3" t="s">
        <v>9282</v>
      </c>
      <c r="C327" s="3" t="s">
        <v>9281</v>
      </c>
      <c r="G327" s="9" t="s">
        <v>25</v>
      </c>
      <c r="H327" s="9"/>
      <c r="I327" s="9">
        <v>1</v>
      </c>
      <c r="J327" s="9">
        <v>3</v>
      </c>
      <c r="K327" s="9" t="s">
        <v>12078</v>
      </c>
      <c r="L327" s="9" t="s">
        <v>12079</v>
      </c>
      <c r="M327" s="9"/>
      <c r="N327" s="10"/>
      <c r="O327" s="9"/>
      <c r="P327" s="9">
        <v>11843</v>
      </c>
      <c r="Q327" s="9"/>
      <c r="R327" s="9" t="s">
        <v>12795</v>
      </c>
      <c r="S327" s="9" t="s">
        <v>12795</v>
      </c>
      <c r="T327" s="9"/>
      <c r="U327" s="9"/>
      <c r="V327" s="9"/>
      <c r="W327" s="9"/>
      <c r="X327" s="9"/>
      <c r="Y327" s="9"/>
      <c r="Z327" s="9"/>
      <c r="AA327" s="9"/>
      <c r="AB327" s="9"/>
      <c r="AC327" s="9"/>
      <c r="AD327" s="9" t="s">
        <v>20</v>
      </c>
    </row>
    <row r="328" spans="1:30" ht="58">
      <c r="A328" s="3" t="s">
        <v>3520</v>
      </c>
      <c r="B328" s="3" t="s">
        <v>9283</v>
      </c>
      <c r="C328" s="3" t="s">
        <v>9281</v>
      </c>
      <c r="G328" s="9" t="s">
        <v>25</v>
      </c>
      <c r="H328" s="9"/>
      <c r="I328" s="9">
        <v>1</v>
      </c>
      <c r="J328" s="9">
        <v>5</v>
      </c>
      <c r="K328" s="9" t="s">
        <v>12094</v>
      </c>
      <c r="L328" s="9" t="s">
        <v>12079</v>
      </c>
      <c r="M328" s="9"/>
      <c r="N328" s="10"/>
      <c r="O328" s="9"/>
      <c r="P328" s="9">
        <v>4240</v>
      </c>
      <c r="Q328" s="9"/>
      <c r="R328" s="9" t="s">
        <v>12795</v>
      </c>
      <c r="S328" s="9" t="s">
        <v>12795</v>
      </c>
      <c r="T328" s="9"/>
      <c r="U328" s="9"/>
      <c r="V328" s="9"/>
      <c r="W328" s="9"/>
      <c r="X328" s="9"/>
      <c r="Y328" s="9"/>
      <c r="Z328" s="9"/>
      <c r="AA328" s="9"/>
      <c r="AB328" s="9"/>
      <c r="AC328" s="9"/>
      <c r="AD328" s="9" t="s">
        <v>20</v>
      </c>
    </row>
    <row r="329" spans="1:30" ht="43.5">
      <c r="A329" s="3" t="s">
        <v>3526</v>
      </c>
      <c r="B329" s="3" t="s">
        <v>12923</v>
      </c>
      <c r="C329" s="3" t="s">
        <v>9302</v>
      </c>
      <c r="G329" s="9" t="s">
        <v>25</v>
      </c>
      <c r="H329" s="9"/>
      <c r="I329" s="9">
        <v>1</v>
      </c>
      <c r="J329" s="9">
        <v>3</v>
      </c>
      <c r="K329" s="9" t="s">
        <v>12087</v>
      </c>
      <c r="L329" s="9" t="s">
        <v>12079</v>
      </c>
      <c r="M329" s="9"/>
      <c r="N329" s="10"/>
      <c r="O329" s="9"/>
      <c r="P329" s="9">
        <v>810</v>
      </c>
      <c r="Q329" s="9"/>
      <c r="R329" s="9" t="s">
        <v>12795</v>
      </c>
      <c r="S329" s="9" t="s">
        <v>12795</v>
      </c>
      <c r="T329" s="9"/>
      <c r="U329" s="9"/>
      <c r="V329" s="9"/>
      <c r="W329" s="9"/>
      <c r="X329" s="9"/>
      <c r="Y329" s="9"/>
      <c r="Z329" s="9"/>
      <c r="AA329" s="9"/>
      <c r="AB329" s="9"/>
      <c r="AC329" s="9"/>
      <c r="AD329" s="9" t="s">
        <v>20</v>
      </c>
    </row>
    <row r="330" spans="1:30" ht="43.5">
      <c r="A330" s="3" t="s">
        <v>3530</v>
      </c>
      <c r="B330" s="3" t="s">
        <v>9305</v>
      </c>
      <c r="C330" s="3" t="s">
        <v>9306</v>
      </c>
      <c r="G330" s="9" t="s">
        <v>25</v>
      </c>
      <c r="H330" s="9"/>
      <c r="I330" s="9">
        <v>1</v>
      </c>
      <c r="J330" s="9">
        <v>6</v>
      </c>
      <c r="K330" s="9" t="s">
        <v>12125</v>
      </c>
      <c r="L330" s="9" t="s">
        <v>12079</v>
      </c>
      <c r="M330" s="9"/>
      <c r="N330" s="10"/>
      <c r="O330" s="9"/>
      <c r="P330" s="9">
        <v>92</v>
      </c>
      <c r="Q330" s="9"/>
      <c r="R330" s="9" t="s">
        <v>12795</v>
      </c>
      <c r="S330" s="9" t="s">
        <v>12795</v>
      </c>
      <c r="T330" s="9"/>
      <c r="U330" s="9"/>
      <c r="V330" s="9"/>
      <c r="W330" s="9"/>
      <c r="X330" s="9"/>
      <c r="Y330" s="9"/>
      <c r="Z330" s="9"/>
      <c r="AA330" s="9"/>
      <c r="AB330" s="9"/>
      <c r="AC330" s="9"/>
      <c r="AD330" s="9" t="s">
        <v>20</v>
      </c>
    </row>
    <row r="331" spans="1:30" ht="43.5">
      <c r="A331" s="3" t="s">
        <v>3535</v>
      </c>
      <c r="B331" s="3" t="s">
        <v>9317</v>
      </c>
      <c r="C331" s="3" t="s">
        <v>9316</v>
      </c>
      <c r="F331" t="s">
        <v>19</v>
      </c>
      <c r="G331" s="9" t="s">
        <v>25</v>
      </c>
      <c r="H331" s="9"/>
      <c r="I331" s="9">
        <v>1</v>
      </c>
      <c r="J331" s="9">
        <v>2</v>
      </c>
      <c r="K331" s="9" t="s">
        <v>12092</v>
      </c>
      <c r="L331" s="9" t="s">
        <v>12119</v>
      </c>
      <c r="M331" s="9"/>
      <c r="N331" s="10"/>
      <c r="O331" s="9"/>
      <c r="P331" s="9">
        <v>361</v>
      </c>
      <c r="Q331" s="9"/>
      <c r="R331" s="9" t="s">
        <v>12795</v>
      </c>
      <c r="S331" s="9" t="s">
        <v>12795</v>
      </c>
      <c r="T331" s="9" t="s">
        <v>12117</v>
      </c>
      <c r="U331" s="9"/>
      <c r="V331" s="9"/>
      <c r="W331" s="9"/>
      <c r="X331" s="9"/>
      <c r="Y331" s="9"/>
      <c r="Z331" s="9"/>
      <c r="AA331" s="9"/>
      <c r="AB331" s="9"/>
      <c r="AC331" s="9"/>
      <c r="AD331" s="9" t="s">
        <v>20</v>
      </c>
    </row>
    <row r="332" spans="1:30" ht="43.5">
      <c r="A332" s="3" t="s">
        <v>3538</v>
      </c>
      <c r="B332" s="3" t="s">
        <v>9336</v>
      </c>
      <c r="C332" s="3" t="s">
        <v>9335</v>
      </c>
      <c r="G332" s="9" t="s">
        <v>25</v>
      </c>
      <c r="H332" s="9"/>
      <c r="I332" s="9">
        <v>1</v>
      </c>
      <c r="J332" s="9">
        <v>8</v>
      </c>
      <c r="K332" s="9" t="s">
        <v>12125</v>
      </c>
      <c r="L332" s="9" t="s">
        <v>12079</v>
      </c>
      <c r="M332" s="9"/>
      <c r="N332" s="10"/>
      <c r="O332" s="9"/>
      <c r="P332" s="9">
        <v>14</v>
      </c>
      <c r="Q332" s="9"/>
      <c r="R332" s="9" t="s">
        <v>12795</v>
      </c>
      <c r="S332" s="9" t="s">
        <v>12795</v>
      </c>
      <c r="T332" s="9"/>
      <c r="U332" s="9"/>
      <c r="V332" s="9"/>
      <c r="W332" s="9"/>
      <c r="X332" s="9"/>
      <c r="Y332" s="9"/>
      <c r="Z332" s="9"/>
      <c r="AA332" s="9"/>
      <c r="AB332" s="9"/>
      <c r="AC332" s="9"/>
      <c r="AD332" s="9" t="s">
        <v>20</v>
      </c>
    </row>
    <row r="333" spans="1:30" ht="58">
      <c r="A333" s="3" t="s">
        <v>3542</v>
      </c>
      <c r="B333" s="3" t="s">
        <v>9337</v>
      </c>
      <c r="C333" s="3" t="s">
        <v>9338</v>
      </c>
      <c r="G333" s="9" t="s">
        <v>25</v>
      </c>
      <c r="H333" s="9"/>
      <c r="I333" s="9">
        <v>1</v>
      </c>
      <c r="J333" s="9">
        <v>3</v>
      </c>
      <c r="K333" s="9" t="s">
        <v>12087</v>
      </c>
      <c r="L333" s="9" t="s">
        <v>12079</v>
      </c>
      <c r="M333" s="9"/>
      <c r="N333" s="10"/>
      <c r="O333" s="9"/>
      <c r="P333" s="9">
        <v>5676</v>
      </c>
      <c r="Q333" s="9"/>
      <c r="R333" s="9" t="s">
        <v>12795</v>
      </c>
      <c r="S333" s="9" t="s">
        <v>12795</v>
      </c>
      <c r="T333" s="9"/>
      <c r="U333" s="9"/>
      <c r="V333" s="9"/>
      <c r="W333" s="9"/>
      <c r="X333" s="9"/>
      <c r="Y333" s="9"/>
      <c r="Z333" s="9"/>
      <c r="AA333" s="9"/>
      <c r="AB333" s="9"/>
      <c r="AC333" s="9"/>
      <c r="AD333" s="9" t="s">
        <v>20</v>
      </c>
    </row>
    <row r="334" spans="1:30" ht="29">
      <c r="A334" s="3" t="s">
        <v>3549</v>
      </c>
      <c r="B334" s="3" t="s">
        <v>9354</v>
      </c>
      <c r="C334" s="3" t="s">
        <v>9355</v>
      </c>
      <c r="G334" s="9" t="s">
        <v>25</v>
      </c>
      <c r="H334" s="9"/>
      <c r="I334" s="9">
        <v>1</v>
      </c>
      <c r="J334" s="9">
        <v>3</v>
      </c>
      <c r="K334" s="9" t="s">
        <v>12087</v>
      </c>
      <c r="L334" s="9" t="s">
        <v>12079</v>
      </c>
      <c r="M334" s="9"/>
      <c r="N334" s="10"/>
      <c r="O334" s="9"/>
      <c r="P334" s="9">
        <v>356</v>
      </c>
      <c r="Q334" s="9"/>
      <c r="R334" s="9" t="s">
        <v>12795</v>
      </c>
      <c r="S334" s="9" t="s">
        <v>12795</v>
      </c>
      <c r="T334" s="9"/>
      <c r="U334" s="9"/>
      <c r="V334" s="9"/>
      <c r="W334" s="9"/>
      <c r="X334" s="9"/>
      <c r="Y334" s="9"/>
      <c r="Z334" s="9"/>
      <c r="AA334" s="9"/>
      <c r="AB334" s="9"/>
      <c r="AC334" s="9"/>
      <c r="AD334" s="9" t="s">
        <v>20</v>
      </c>
    </row>
    <row r="335" spans="1:30" ht="29">
      <c r="A335" s="3" t="s">
        <v>3563</v>
      </c>
      <c r="B335" s="3" t="s">
        <v>9386</v>
      </c>
      <c r="C335" s="3" t="s">
        <v>9387</v>
      </c>
      <c r="G335" s="9" t="s">
        <v>25</v>
      </c>
      <c r="H335" s="9"/>
      <c r="I335" s="9">
        <v>1</v>
      </c>
      <c r="J335" s="9">
        <v>3</v>
      </c>
      <c r="K335" s="9" t="s">
        <v>12094</v>
      </c>
      <c r="L335" s="9" t="s">
        <v>12079</v>
      </c>
      <c r="M335" s="9"/>
      <c r="N335" s="10"/>
      <c r="O335" s="9"/>
      <c r="P335" s="9">
        <v>1496</v>
      </c>
      <c r="Q335" s="9"/>
      <c r="R335" s="9" t="s">
        <v>12795</v>
      </c>
      <c r="S335" s="9" t="s">
        <v>12795</v>
      </c>
      <c r="T335" s="9"/>
      <c r="U335" s="9"/>
      <c r="V335" s="9"/>
      <c r="W335" s="9"/>
      <c r="X335" s="9"/>
      <c r="Y335" s="9"/>
      <c r="Z335" s="9"/>
      <c r="AA335" s="9"/>
      <c r="AB335" s="9"/>
      <c r="AC335" s="9"/>
      <c r="AD335" s="9" t="s">
        <v>20</v>
      </c>
    </row>
    <row r="336" spans="1:30" ht="43.5">
      <c r="A336" s="3" t="s">
        <v>3564</v>
      </c>
      <c r="B336" s="3" t="s">
        <v>9390</v>
      </c>
      <c r="C336" s="3" t="s">
        <v>9389</v>
      </c>
      <c r="E336" t="s">
        <v>20</v>
      </c>
      <c r="G336" s="9" t="s">
        <v>25</v>
      </c>
      <c r="H336" s="9"/>
      <c r="I336" s="9">
        <v>1</v>
      </c>
      <c r="J336" s="9">
        <v>5</v>
      </c>
      <c r="K336" s="9" t="s">
        <v>12094</v>
      </c>
      <c r="L336" s="9" t="s">
        <v>12079</v>
      </c>
      <c r="M336" s="9"/>
      <c r="N336" s="10"/>
      <c r="O336" s="9"/>
      <c r="P336" s="9">
        <v>4240</v>
      </c>
      <c r="Q336" s="9"/>
      <c r="R336" s="9" t="s">
        <v>12795</v>
      </c>
      <c r="S336" s="9" t="s">
        <v>12795</v>
      </c>
      <c r="T336" s="9"/>
      <c r="U336" s="9"/>
      <c r="V336" s="9"/>
      <c r="W336" s="9"/>
      <c r="X336" s="9"/>
      <c r="Y336" s="9"/>
      <c r="Z336" s="9"/>
      <c r="AA336" s="9"/>
      <c r="AB336" s="9"/>
      <c r="AC336" s="9"/>
      <c r="AD336" s="9" t="s">
        <v>20</v>
      </c>
    </row>
    <row r="337" spans="1:30" ht="58">
      <c r="A337" s="3" t="s">
        <v>3579</v>
      </c>
      <c r="B337" s="3" t="s">
        <v>9415</v>
      </c>
      <c r="C337" s="3" t="s">
        <v>9416</v>
      </c>
      <c r="G337" s="9" t="s">
        <v>25</v>
      </c>
      <c r="H337" s="9"/>
      <c r="I337" s="9">
        <v>1</v>
      </c>
      <c r="J337" s="9">
        <v>8</v>
      </c>
      <c r="K337" s="9" t="s">
        <v>12084</v>
      </c>
      <c r="L337" s="9" t="s">
        <v>12079</v>
      </c>
      <c r="M337" s="9"/>
      <c r="N337" s="10"/>
      <c r="O337" s="9"/>
      <c r="P337" s="9">
        <v>8</v>
      </c>
      <c r="Q337" s="9"/>
      <c r="R337" s="9" t="s">
        <v>12795</v>
      </c>
      <c r="S337" s="9" t="s">
        <v>12795</v>
      </c>
      <c r="T337" s="9"/>
      <c r="U337" s="9"/>
      <c r="V337" s="9"/>
      <c r="W337" s="9"/>
      <c r="X337" s="9"/>
      <c r="Y337" s="9"/>
      <c r="Z337" s="9"/>
      <c r="AA337" s="9"/>
      <c r="AB337" s="9"/>
      <c r="AC337" s="9"/>
      <c r="AD337" s="9" t="s">
        <v>20</v>
      </c>
    </row>
    <row r="338" spans="1:30" ht="29">
      <c r="A338" s="3" t="s">
        <v>3612</v>
      </c>
      <c r="B338" s="3" t="s">
        <v>9476</v>
      </c>
      <c r="C338" s="3" t="s">
        <v>9475</v>
      </c>
      <c r="G338" s="9" t="s">
        <v>25</v>
      </c>
      <c r="H338" s="9"/>
      <c r="I338" s="9">
        <v>1</v>
      </c>
      <c r="J338" s="9">
        <v>1</v>
      </c>
      <c r="K338" s="9" t="s">
        <v>12078</v>
      </c>
      <c r="L338" s="9" t="s">
        <v>12119</v>
      </c>
      <c r="M338" s="9"/>
      <c r="N338" s="10"/>
      <c r="O338" s="9"/>
      <c r="P338" s="9">
        <v>11843</v>
      </c>
      <c r="Q338" s="9"/>
      <c r="R338" s="9" t="s">
        <v>12795</v>
      </c>
      <c r="S338" s="9" t="s">
        <v>12795</v>
      </c>
      <c r="T338" s="9"/>
      <c r="U338" s="9"/>
      <c r="V338" s="9"/>
      <c r="W338" s="9"/>
      <c r="X338" s="9"/>
      <c r="Y338" s="9"/>
      <c r="Z338" s="9"/>
      <c r="AA338" s="9"/>
      <c r="AB338" s="9"/>
      <c r="AC338" s="9"/>
      <c r="AD338" s="9" t="s">
        <v>20</v>
      </c>
    </row>
    <row r="339" spans="1:30" ht="72.5">
      <c r="A339" s="3" t="s">
        <v>3624</v>
      </c>
      <c r="B339" s="3" t="s">
        <v>9499</v>
      </c>
      <c r="C339" s="3" t="s">
        <v>9498</v>
      </c>
      <c r="G339" s="9" t="s">
        <v>25</v>
      </c>
      <c r="H339" s="9"/>
      <c r="I339" s="9">
        <v>1</v>
      </c>
      <c r="J339" s="9">
        <v>3</v>
      </c>
      <c r="K339" s="9" t="s">
        <v>12092</v>
      </c>
      <c r="L339" s="9" t="s">
        <v>12079</v>
      </c>
      <c r="M339" s="9"/>
      <c r="N339" s="10"/>
      <c r="O339" s="9"/>
      <c r="P339" s="9">
        <v>60</v>
      </c>
      <c r="Q339" s="9"/>
      <c r="R339" s="9" t="s">
        <v>12795</v>
      </c>
      <c r="S339" s="9" t="s">
        <v>12795</v>
      </c>
      <c r="T339" s="9"/>
      <c r="U339" s="9"/>
      <c r="V339" s="9"/>
      <c r="W339" s="9"/>
      <c r="X339" s="9"/>
      <c r="Y339" s="9"/>
      <c r="Z339" s="9"/>
      <c r="AA339" s="9"/>
      <c r="AB339" s="9"/>
      <c r="AC339" s="9"/>
      <c r="AD339" s="9" t="s">
        <v>20</v>
      </c>
    </row>
    <row r="340" spans="1:30" ht="43.5">
      <c r="A340" s="3" t="s">
        <v>3640</v>
      </c>
      <c r="B340" s="3" t="s">
        <v>9541</v>
      </c>
      <c r="C340" s="3" t="s">
        <v>9540</v>
      </c>
      <c r="G340" s="9" t="s">
        <v>25</v>
      </c>
      <c r="H340" s="9"/>
      <c r="I340" s="9">
        <v>1</v>
      </c>
      <c r="J340" s="9">
        <v>2</v>
      </c>
      <c r="K340" s="9" t="s">
        <v>12094</v>
      </c>
      <c r="L340" s="9" t="s">
        <v>12119</v>
      </c>
      <c r="M340" s="9"/>
      <c r="N340" s="10"/>
      <c r="O340" s="9"/>
      <c r="P340" s="9">
        <v>1741</v>
      </c>
      <c r="Q340" s="9"/>
      <c r="R340" s="9" t="s">
        <v>12795</v>
      </c>
      <c r="S340" s="9" t="s">
        <v>12795</v>
      </c>
      <c r="T340" s="9"/>
      <c r="U340" s="9"/>
      <c r="V340" s="9"/>
      <c r="W340" s="9"/>
      <c r="X340" s="9"/>
      <c r="Y340" s="9"/>
      <c r="Z340" s="9"/>
      <c r="AA340" s="9"/>
      <c r="AB340" s="9"/>
      <c r="AC340" s="9"/>
      <c r="AD340" s="9" t="s">
        <v>20</v>
      </c>
    </row>
    <row r="341" spans="1:30" ht="72.5">
      <c r="A341" s="3" t="s">
        <v>3641</v>
      </c>
      <c r="B341" s="3" t="s">
        <v>9542</v>
      </c>
      <c r="C341" s="3" t="s">
        <v>9543</v>
      </c>
      <c r="G341" s="9" t="s">
        <v>25</v>
      </c>
      <c r="H341" s="9"/>
      <c r="I341" s="9">
        <v>3</v>
      </c>
      <c r="J341" s="9">
        <v>12</v>
      </c>
      <c r="K341" s="9"/>
      <c r="L341" s="9" t="s">
        <v>12079</v>
      </c>
      <c r="M341" s="9"/>
      <c r="N341" s="10"/>
      <c r="O341" s="9"/>
      <c r="P341" s="9">
        <v>49</v>
      </c>
      <c r="Q341" s="9"/>
      <c r="R341" s="9" t="s">
        <v>12795</v>
      </c>
      <c r="S341" s="9" t="s">
        <v>12795</v>
      </c>
      <c r="T341" s="9"/>
      <c r="U341" s="9"/>
      <c r="V341" s="9"/>
      <c r="W341" s="9"/>
      <c r="X341" s="9"/>
      <c r="Y341" s="9"/>
      <c r="Z341" s="9"/>
      <c r="AA341" s="9"/>
      <c r="AB341" s="9"/>
      <c r="AC341" s="9"/>
      <c r="AD341" s="9" t="s">
        <v>20</v>
      </c>
    </row>
    <row r="342" spans="1:30" ht="29">
      <c r="A342" s="3" t="s">
        <v>3642</v>
      </c>
      <c r="B342" s="3" t="s">
        <v>9544</v>
      </c>
      <c r="C342" s="3" t="s">
        <v>9546</v>
      </c>
      <c r="F342" t="s">
        <v>19</v>
      </c>
      <c r="G342" s="9" t="s">
        <v>25</v>
      </c>
      <c r="H342" s="9"/>
      <c r="I342" s="9">
        <v>1</v>
      </c>
      <c r="J342" s="9">
        <v>3</v>
      </c>
      <c r="K342" s="9" t="s">
        <v>12087</v>
      </c>
      <c r="L342" s="9" t="s">
        <v>12079</v>
      </c>
      <c r="M342" s="9"/>
      <c r="N342" s="10"/>
      <c r="O342" s="9"/>
      <c r="P342" s="9">
        <v>5676</v>
      </c>
      <c r="Q342" s="9"/>
      <c r="R342" s="9" t="s">
        <v>12795</v>
      </c>
      <c r="S342" s="9" t="s">
        <v>12795</v>
      </c>
      <c r="T342" s="9"/>
      <c r="U342" s="9"/>
      <c r="V342" s="9"/>
      <c r="W342" s="9"/>
      <c r="X342" s="9"/>
      <c r="Y342" s="9"/>
      <c r="Z342" s="9"/>
      <c r="AA342" s="9"/>
      <c r="AB342" s="9"/>
      <c r="AC342" s="9"/>
      <c r="AD342" s="9" t="s">
        <v>20</v>
      </c>
    </row>
    <row r="343" spans="1:30" ht="29">
      <c r="A343" s="3" t="s">
        <v>3690</v>
      </c>
      <c r="B343" s="3" t="s">
        <v>9599</v>
      </c>
      <c r="C343" s="3" t="s">
        <v>9598</v>
      </c>
      <c r="F343" t="s">
        <v>19</v>
      </c>
      <c r="G343" s="9" t="s">
        <v>25</v>
      </c>
      <c r="H343" s="9"/>
      <c r="I343" s="9">
        <v>1</v>
      </c>
      <c r="J343" s="9">
        <v>2</v>
      </c>
      <c r="K343" s="9" t="s">
        <v>12078</v>
      </c>
      <c r="L343" s="9" t="s">
        <v>12119</v>
      </c>
      <c r="M343" s="9"/>
      <c r="N343" s="10"/>
      <c r="O343" s="9"/>
      <c r="P343" s="9">
        <v>11843</v>
      </c>
      <c r="Q343" s="9"/>
      <c r="R343" s="9" t="s">
        <v>12795</v>
      </c>
      <c r="S343" s="9" t="s">
        <v>12795</v>
      </c>
      <c r="T343" s="9"/>
      <c r="U343" s="9"/>
      <c r="V343" s="9"/>
      <c r="W343" s="9"/>
      <c r="X343" s="9"/>
      <c r="Y343" s="9"/>
      <c r="Z343" s="9"/>
      <c r="AA343" s="9"/>
      <c r="AB343" s="9"/>
      <c r="AC343" s="9"/>
      <c r="AD343" s="9" t="s">
        <v>20</v>
      </c>
    </row>
    <row r="344" spans="1:30" ht="145">
      <c r="A344" s="3" t="s">
        <v>3692</v>
      </c>
      <c r="B344" s="3" t="s">
        <v>9603</v>
      </c>
      <c r="C344" s="3" t="s">
        <v>9602</v>
      </c>
      <c r="G344" s="9" t="s">
        <v>25</v>
      </c>
      <c r="H344" s="9"/>
      <c r="I344" s="9">
        <v>7</v>
      </c>
      <c r="J344" s="9">
        <v>36</v>
      </c>
      <c r="K344" s="9"/>
      <c r="L344" s="9" t="s">
        <v>12079</v>
      </c>
      <c r="M344" s="9"/>
      <c r="N344" s="10"/>
      <c r="O344" s="9"/>
      <c r="P344" s="9">
        <v>3</v>
      </c>
      <c r="Q344" s="9"/>
      <c r="R344" s="9" t="s">
        <v>12795</v>
      </c>
      <c r="S344" s="9" t="s">
        <v>12795</v>
      </c>
      <c r="T344" s="9"/>
      <c r="U344" s="9"/>
      <c r="V344" s="9"/>
      <c r="W344" s="9"/>
      <c r="X344" s="9"/>
      <c r="Y344" s="9"/>
      <c r="Z344" s="9"/>
      <c r="AA344" s="9"/>
      <c r="AB344" s="9"/>
      <c r="AC344" s="9"/>
      <c r="AD344" s="9" t="s">
        <v>20</v>
      </c>
    </row>
    <row r="345" spans="1:30" ht="29">
      <c r="A345" s="3" t="s">
        <v>3716</v>
      </c>
      <c r="B345" s="3" t="s">
        <v>9639</v>
      </c>
      <c r="C345" s="3" t="s">
        <v>9638</v>
      </c>
      <c r="G345" s="9" t="s">
        <v>25</v>
      </c>
      <c r="H345" s="9"/>
      <c r="I345" s="9">
        <v>1</v>
      </c>
      <c r="J345" s="9">
        <v>1</v>
      </c>
      <c r="K345" s="9" t="s">
        <v>12094</v>
      </c>
      <c r="L345" s="9" t="s">
        <v>12119</v>
      </c>
      <c r="M345" s="9"/>
      <c r="N345" s="10"/>
      <c r="O345" s="9"/>
      <c r="P345" s="9">
        <v>780</v>
      </c>
      <c r="Q345" s="9"/>
      <c r="R345" s="9" t="s">
        <v>12795</v>
      </c>
      <c r="S345" s="9" t="s">
        <v>12795</v>
      </c>
      <c r="T345" s="9"/>
      <c r="U345" s="9"/>
      <c r="V345" s="9"/>
      <c r="W345" s="9"/>
      <c r="X345" s="9"/>
      <c r="Y345" s="9"/>
      <c r="Z345" s="9"/>
      <c r="AA345" s="9"/>
      <c r="AB345" s="9"/>
      <c r="AC345" s="9"/>
      <c r="AD345" s="9" t="s">
        <v>20</v>
      </c>
    </row>
    <row r="346" spans="1:30" ht="58">
      <c r="A346" s="3" t="s">
        <v>3717</v>
      </c>
      <c r="B346" s="3" t="s">
        <v>9642</v>
      </c>
      <c r="C346" s="3" t="s">
        <v>9643</v>
      </c>
      <c r="G346" s="9" t="s">
        <v>24</v>
      </c>
      <c r="H346" s="9"/>
      <c r="I346" s="9">
        <v>1</v>
      </c>
      <c r="J346" s="9">
        <v>7</v>
      </c>
      <c r="K346" s="9" t="s">
        <v>12125</v>
      </c>
      <c r="L346" s="9" t="s">
        <v>12073</v>
      </c>
      <c r="M346" s="9" t="s">
        <v>12142</v>
      </c>
      <c r="N346" s="10" t="s">
        <v>12156</v>
      </c>
      <c r="O346" s="9" t="s">
        <v>12074</v>
      </c>
      <c r="P346" s="9">
        <v>336</v>
      </c>
      <c r="Q346" s="9"/>
      <c r="R346" s="9" t="s">
        <v>12795</v>
      </c>
      <c r="S346" s="9" t="s">
        <v>12795</v>
      </c>
      <c r="T346" s="9"/>
      <c r="U346" s="9"/>
      <c r="V346" s="9"/>
      <c r="W346" s="9"/>
      <c r="X346" s="9"/>
      <c r="Y346" s="9"/>
      <c r="Z346" s="9"/>
      <c r="AA346" s="9"/>
      <c r="AB346" s="9"/>
      <c r="AC346" s="9"/>
      <c r="AD346" s="9" t="s">
        <v>20</v>
      </c>
    </row>
    <row r="347" spans="1:30" ht="43.5">
      <c r="A347" s="3" t="s">
        <v>3750</v>
      </c>
      <c r="B347" s="3" t="s">
        <v>9698</v>
      </c>
      <c r="C347" s="3" t="s">
        <v>9699</v>
      </c>
      <c r="G347" s="9" t="s">
        <v>25</v>
      </c>
      <c r="H347" s="9"/>
      <c r="I347" s="9">
        <v>1</v>
      </c>
      <c r="J347" s="9">
        <v>2</v>
      </c>
      <c r="K347" s="9" t="s">
        <v>12078</v>
      </c>
      <c r="L347" s="9" t="s">
        <v>12119</v>
      </c>
      <c r="M347" s="9"/>
      <c r="N347" s="10"/>
      <c r="O347" s="9"/>
      <c r="P347" s="9">
        <v>11843</v>
      </c>
      <c r="Q347" s="9"/>
      <c r="R347" s="9" t="s">
        <v>12795</v>
      </c>
      <c r="S347" s="9" t="s">
        <v>12795</v>
      </c>
      <c r="T347" s="9"/>
      <c r="U347" s="9"/>
      <c r="V347" s="9"/>
      <c r="W347" s="9"/>
      <c r="X347" s="9"/>
      <c r="Y347" s="9"/>
      <c r="Z347" s="9"/>
      <c r="AA347" s="9"/>
      <c r="AB347" s="9"/>
      <c r="AC347" s="9"/>
      <c r="AD347" s="9" t="s">
        <v>20</v>
      </c>
    </row>
    <row r="348" spans="1:30" ht="174">
      <c r="A348" s="3" t="s">
        <v>3754</v>
      </c>
      <c r="B348" s="3" t="s">
        <v>12503</v>
      </c>
      <c r="C348" s="3" t="s">
        <v>12504</v>
      </c>
      <c r="G348" s="9" t="s">
        <v>25</v>
      </c>
      <c r="H348" s="9"/>
      <c r="I348" s="9">
        <v>9</v>
      </c>
      <c r="J348" s="9">
        <v>36</v>
      </c>
      <c r="K348" s="9"/>
      <c r="L348" s="9" t="s">
        <v>12073</v>
      </c>
      <c r="M348" s="9" t="s">
        <v>12140</v>
      </c>
      <c r="N348" s="10" t="s">
        <v>12417</v>
      </c>
      <c r="O348" s="9"/>
      <c r="P348" s="9">
        <v>75</v>
      </c>
      <c r="Q348" s="9"/>
      <c r="R348" s="9" t="s">
        <v>12795</v>
      </c>
      <c r="S348" s="9" t="s">
        <v>12795</v>
      </c>
      <c r="T348" s="9"/>
      <c r="U348" s="9"/>
      <c r="V348" s="9"/>
      <c r="W348" s="9"/>
      <c r="X348" s="9"/>
      <c r="Y348" s="9"/>
      <c r="Z348" s="9"/>
      <c r="AA348" s="9"/>
      <c r="AB348" s="9"/>
      <c r="AC348" s="9"/>
      <c r="AD348" s="9" t="s">
        <v>20</v>
      </c>
    </row>
    <row r="349" spans="1:30" ht="43.5">
      <c r="A349" s="3" t="s">
        <v>3775</v>
      </c>
      <c r="B349" s="3" t="s">
        <v>9748</v>
      </c>
      <c r="C349" s="3" t="s">
        <v>9747</v>
      </c>
      <c r="G349" s="9" t="s">
        <v>24</v>
      </c>
      <c r="H349" s="9"/>
      <c r="I349" s="9">
        <v>1</v>
      </c>
      <c r="J349" s="9">
        <v>2</v>
      </c>
      <c r="K349" s="9" t="s">
        <v>12096</v>
      </c>
      <c r="L349" s="9" t="s">
        <v>12119</v>
      </c>
      <c r="M349" s="9"/>
      <c r="N349" s="10"/>
      <c r="O349" s="9" t="s">
        <v>12074</v>
      </c>
      <c r="P349" s="9">
        <v>1294</v>
      </c>
      <c r="Q349" s="9"/>
      <c r="R349" s="9" t="s">
        <v>12795</v>
      </c>
      <c r="S349" s="9" t="s">
        <v>12795</v>
      </c>
      <c r="T349" s="9"/>
      <c r="U349" s="9"/>
      <c r="V349" s="9"/>
      <c r="W349" s="9"/>
      <c r="X349" s="9"/>
      <c r="Y349" s="9"/>
      <c r="Z349" s="9"/>
      <c r="AA349" s="9"/>
      <c r="AB349" s="9"/>
      <c r="AC349" s="9"/>
      <c r="AD349" s="9" t="s">
        <v>20</v>
      </c>
    </row>
    <row r="350" spans="1:30" ht="58">
      <c r="A350" s="3" t="s">
        <v>3782</v>
      </c>
      <c r="B350" s="3" t="s">
        <v>9765</v>
      </c>
      <c r="C350" s="3" t="s">
        <v>9764</v>
      </c>
      <c r="G350" s="9" t="s">
        <v>25</v>
      </c>
      <c r="H350" s="9"/>
      <c r="I350" s="9">
        <v>1</v>
      </c>
      <c r="J350" s="9">
        <v>5</v>
      </c>
      <c r="K350" s="9" t="s">
        <v>12094</v>
      </c>
      <c r="L350" s="9" t="s">
        <v>12073</v>
      </c>
      <c r="M350" s="9" t="s">
        <v>12142</v>
      </c>
      <c r="N350" s="10" t="s">
        <v>12143</v>
      </c>
      <c r="O350" s="9"/>
      <c r="P350" s="9">
        <v>4240</v>
      </c>
      <c r="Q350" s="9"/>
      <c r="R350" s="9" t="s">
        <v>12795</v>
      </c>
      <c r="S350" s="9" t="s">
        <v>12795</v>
      </c>
      <c r="T350" s="9"/>
      <c r="U350" s="9"/>
      <c r="V350" s="9"/>
      <c r="W350" s="9"/>
      <c r="X350" s="9"/>
      <c r="Y350" s="9"/>
      <c r="Z350" s="9"/>
      <c r="AA350" s="9"/>
      <c r="AB350" s="9"/>
      <c r="AC350" s="9"/>
      <c r="AD350" s="9" t="s">
        <v>20</v>
      </c>
    </row>
    <row r="351" spans="1:30" ht="43.5">
      <c r="A351" s="3" t="s">
        <v>3842</v>
      </c>
      <c r="B351" s="3" t="s">
        <v>12931</v>
      </c>
      <c r="C351" s="3" t="s">
        <v>9900</v>
      </c>
      <c r="F351" t="s">
        <v>19</v>
      </c>
      <c r="G351" s="9" t="s">
        <v>24</v>
      </c>
      <c r="H351" s="9"/>
      <c r="I351" s="9">
        <v>1</v>
      </c>
      <c r="J351" s="9">
        <v>2</v>
      </c>
      <c r="K351" s="9" t="s">
        <v>12078</v>
      </c>
      <c r="L351" s="9" t="s">
        <v>12119</v>
      </c>
      <c r="M351" s="9"/>
      <c r="N351" s="10"/>
      <c r="O351" s="9"/>
      <c r="P351" s="9">
        <v>11843</v>
      </c>
      <c r="Q351" s="9"/>
      <c r="R351" s="9" t="s">
        <v>12795</v>
      </c>
      <c r="S351" s="9" t="s">
        <v>12795</v>
      </c>
      <c r="T351" s="9"/>
      <c r="U351" s="9"/>
      <c r="V351" s="9"/>
      <c r="W351" s="9"/>
      <c r="X351" s="9"/>
      <c r="Y351" s="9"/>
      <c r="Z351" s="9"/>
      <c r="AA351" s="9"/>
      <c r="AB351" s="9"/>
      <c r="AC351" s="9"/>
      <c r="AD351" s="9" t="s">
        <v>20</v>
      </c>
    </row>
    <row r="352" spans="1:30" ht="58">
      <c r="A352" s="3" t="s">
        <v>3846</v>
      </c>
      <c r="B352" s="3" t="s">
        <v>9908</v>
      </c>
      <c r="C352" s="3" t="s">
        <v>9907</v>
      </c>
      <c r="G352" s="9" t="s">
        <v>25</v>
      </c>
      <c r="H352" s="9"/>
      <c r="I352" s="9">
        <v>1</v>
      </c>
      <c r="J352" s="9">
        <v>2</v>
      </c>
      <c r="K352" s="9" t="s">
        <v>12125</v>
      </c>
      <c r="L352" s="9" t="s">
        <v>12079</v>
      </c>
      <c r="M352" s="9"/>
      <c r="N352" s="10"/>
      <c r="O352" s="9"/>
      <c r="P352" s="9">
        <v>4</v>
      </c>
      <c r="Q352" s="9"/>
      <c r="R352" s="9" t="s">
        <v>12795</v>
      </c>
      <c r="S352" s="9" t="s">
        <v>12795</v>
      </c>
      <c r="T352" s="9"/>
      <c r="U352" s="9"/>
      <c r="V352" s="9"/>
      <c r="W352" s="9"/>
      <c r="X352" s="9"/>
      <c r="Y352" s="9"/>
      <c r="Z352" s="9"/>
      <c r="AA352" s="9"/>
      <c r="AB352" s="9"/>
      <c r="AC352" s="9"/>
      <c r="AD352" s="9" t="s">
        <v>20</v>
      </c>
    </row>
    <row r="353" spans="1:30" ht="58">
      <c r="A353" s="3" t="s">
        <v>3859</v>
      </c>
      <c r="B353" s="3" t="s">
        <v>9946</v>
      </c>
      <c r="C353" s="3" t="s">
        <v>9945</v>
      </c>
      <c r="G353" s="9" t="s">
        <v>25</v>
      </c>
      <c r="H353" s="9"/>
      <c r="I353" s="9">
        <v>1</v>
      </c>
      <c r="J353" s="9">
        <v>3</v>
      </c>
      <c r="K353" s="9" t="s">
        <v>12087</v>
      </c>
      <c r="L353" s="9" t="s">
        <v>12079</v>
      </c>
      <c r="M353" s="9"/>
      <c r="N353" s="10"/>
      <c r="O353" s="9"/>
      <c r="P353" s="9">
        <v>356</v>
      </c>
      <c r="Q353" s="9"/>
      <c r="R353" s="9" t="s">
        <v>12795</v>
      </c>
      <c r="S353" s="9" t="s">
        <v>12795</v>
      </c>
      <c r="T353" s="9"/>
      <c r="U353" s="9"/>
      <c r="V353" s="9"/>
      <c r="W353" s="9"/>
      <c r="X353" s="9"/>
      <c r="Y353" s="9"/>
      <c r="Z353" s="9"/>
      <c r="AA353" s="9"/>
      <c r="AB353" s="9"/>
      <c r="AC353" s="9"/>
      <c r="AD353" s="9" t="s">
        <v>20</v>
      </c>
    </row>
    <row r="354" spans="1:30" ht="43.5">
      <c r="A354" s="3" t="s">
        <v>3870</v>
      </c>
      <c r="B354" s="3" t="s">
        <v>9970</v>
      </c>
      <c r="C354" s="3" t="s">
        <v>9969</v>
      </c>
      <c r="G354" s="9" t="s">
        <v>25</v>
      </c>
      <c r="H354" s="9"/>
      <c r="I354" s="9">
        <v>1</v>
      </c>
      <c r="J354" s="9">
        <v>3</v>
      </c>
      <c r="K354" s="9" t="s">
        <v>12087</v>
      </c>
      <c r="L354" s="9" t="s">
        <v>12079</v>
      </c>
      <c r="M354" s="9"/>
      <c r="N354" s="10"/>
      <c r="O354" s="9"/>
      <c r="P354" s="9">
        <v>5676</v>
      </c>
      <c r="Q354" s="9"/>
      <c r="R354" s="9" t="s">
        <v>12795</v>
      </c>
      <c r="S354" s="9" t="s">
        <v>12795</v>
      </c>
      <c r="T354" s="9"/>
      <c r="U354" s="9"/>
      <c r="V354" s="9"/>
      <c r="W354" s="9"/>
      <c r="X354" s="9"/>
      <c r="Y354" s="9"/>
      <c r="Z354" s="9"/>
      <c r="AA354" s="9"/>
      <c r="AB354" s="9"/>
      <c r="AC354" s="9"/>
      <c r="AD354" s="9" t="s">
        <v>20</v>
      </c>
    </row>
    <row r="355" spans="1:30" ht="58">
      <c r="A355" s="3" t="s">
        <v>3874</v>
      </c>
      <c r="B355" s="3" t="s">
        <v>9975</v>
      </c>
      <c r="C355" s="3" t="s">
        <v>9976</v>
      </c>
      <c r="G355" s="9" t="s">
        <v>25</v>
      </c>
      <c r="H355" s="9"/>
      <c r="I355" s="9">
        <v>1</v>
      </c>
      <c r="J355" s="9">
        <v>4</v>
      </c>
      <c r="K355" s="9" t="s">
        <v>12094</v>
      </c>
      <c r="L355" s="9" t="s">
        <v>12079</v>
      </c>
      <c r="M355" s="9"/>
      <c r="N355" s="10"/>
      <c r="O355" s="9"/>
      <c r="P355" s="9">
        <v>4240</v>
      </c>
      <c r="Q355" s="9"/>
      <c r="R355" s="9" t="s">
        <v>12795</v>
      </c>
      <c r="S355" s="9" t="s">
        <v>12795</v>
      </c>
      <c r="T355" s="9"/>
      <c r="U355" s="9"/>
      <c r="V355" s="9"/>
      <c r="W355" s="9"/>
      <c r="X355" s="9"/>
      <c r="Y355" s="9"/>
      <c r="Z355" s="9"/>
      <c r="AA355" s="9"/>
      <c r="AB355" s="9"/>
      <c r="AC355" s="9"/>
      <c r="AD355" s="9" t="s">
        <v>20</v>
      </c>
    </row>
    <row r="356" spans="1:30" ht="87">
      <c r="A356" s="3" t="s">
        <v>3885</v>
      </c>
      <c r="B356" s="3" t="s">
        <v>10006</v>
      </c>
      <c r="C356" s="3" t="s">
        <v>10005</v>
      </c>
      <c r="G356" s="9" t="s">
        <v>25</v>
      </c>
      <c r="H356" s="9"/>
      <c r="I356" s="9">
        <v>2</v>
      </c>
      <c r="J356" s="9">
        <v>10</v>
      </c>
      <c r="K356" s="9"/>
      <c r="L356" s="9" t="s">
        <v>12079</v>
      </c>
      <c r="M356" s="9"/>
      <c r="N356" s="10"/>
      <c r="O356" s="9"/>
      <c r="P356" s="9">
        <v>12</v>
      </c>
      <c r="Q356" s="9"/>
      <c r="R356" s="9" t="s">
        <v>12795</v>
      </c>
      <c r="S356" s="9" t="s">
        <v>12795</v>
      </c>
      <c r="T356" s="9"/>
      <c r="U356" s="9"/>
      <c r="V356" s="9"/>
      <c r="W356" s="9"/>
      <c r="X356" s="9"/>
      <c r="Y356" s="9"/>
      <c r="Z356" s="9"/>
      <c r="AA356" s="9"/>
      <c r="AB356" s="9"/>
      <c r="AC356" s="9"/>
      <c r="AD356" s="9" t="s">
        <v>20</v>
      </c>
    </row>
    <row r="357" spans="1:30" ht="29">
      <c r="A357" s="3" t="s">
        <v>3888</v>
      </c>
      <c r="B357" s="3" t="s">
        <v>10017</v>
      </c>
      <c r="C357" s="3" t="s">
        <v>10016</v>
      </c>
      <c r="G357" s="9" t="s">
        <v>24</v>
      </c>
      <c r="H357" s="9"/>
      <c r="I357" s="9">
        <v>1</v>
      </c>
      <c r="J357" s="9">
        <v>3</v>
      </c>
      <c r="K357" s="9" t="s">
        <v>12094</v>
      </c>
      <c r="L357" s="9" t="s">
        <v>12079</v>
      </c>
      <c r="M357" s="9"/>
      <c r="N357" s="10"/>
      <c r="O357" s="9"/>
      <c r="P357" s="9">
        <v>1741</v>
      </c>
      <c r="Q357" s="9"/>
      <c r="R357" s="9" t="s">
        <v>12795</v>
      </c>
      <c r="S357" s="9" t="s">
        <v>12795</v>
      </c>
      <c r="T357" s="9"/>
      <c r="U357" s="9"/>
      <c r="V357" s="9"/>
      <c r="W357" s="9"/>
      <c r="X357" s="9"/>
      <c r="Y357" s="9"/>
      <c r="Z357" s="9"/>
      <c r="AA357" s="9"/>
      <c r="AB357" s="9"/>
      <c r="AC357" s="9"/>
      <c r="AD357" s="9" t="s">
        <v>20</v>
      </c>
    </row>
    <row r="358" spans="1:30" ht="72.5">
      <c r="A358" s="3" t="s">
        <v>3888</v>
      </c>
      <c r="B358" s="3" t="s">
        <v>10018</v>
      </c>
      <c r="C358" s="3" t="s">
        <v>10019</v>
      </c>
      <c r="F358" t="s">
        <v>19</v>
      </c>
      <c r="G358" s="9" t="s">
        <v>24</v>
      </c>
      <c r="H358" s="9"/>
      <c r="I358" s="9">
        <v>2</v>
      </c>
      <c r="J358" s="9">
        <v>9</v>
      </c>
      <c r="K358" s="9"/>
      <c r="L358" s="9" t="s">
        <v>12073</v>
      </c>
      <c r="M358" s="9" t="s">
        <v>12135</v>
      </c>
      <c r="N358" s="10" t="s">
        <v>12136</v>
      </c>
      <c r="O358" s="9"/>
      <c r="P358" s="9">
        <v>111</v>
      </c>
      <c r="Q358" s="9"/>
      <c r="R358" s="9" t="s">
        <v>12795</v>
      </c>
      <c r="S358" s="9" t="s">
        <v>12795</v>
      </c>
      <c r="T358" s="9"/>
      <c r="U358" s="9"/>
      <c r="V358" s="9"/>
      <c r="W358" s="9"/>
      <c r="X358" s="9"/>
      <c r="Y358" s="9"/>
      <c r="Z358" s="9"/>
      <c r="AA358" s="9"/>
      <c r="AB358" s="9"/>
      <c r="AC358" s="9"/>
      <c r="AD358" s="9" t="s">
        <v>13141</v>
      </c>
    </row>
    <row r="359" spans="1:30" ht="130.5">
      <c r="A359" s="3" t="s">
        <v>3894</v>
      </c>
      <c r="B359" s="3" t="s">
        <v>10029</v>
      </c>
      <c r="C359" s="3" t="s">
        <v>10024</v>
      </c>
      <c r="G359" s="9" t="s">
        <v>25</v>
      </c>
      <c r="H359" s="9"/>
      <c r="I359" s="9">
        <v>1</v>
      </c>
      <c r="J359" s="9">
        <v>8</v>
      </c>
      <c r="K359" s="9" t="s">
        <v>12072</v>
      </c>
      <c r="L359" s="9" t="s">
        <v>12073</v>
      </c>
      <c r="M359" s="9" t="s">
        <v>12149</v>
      </c>
      <c r="N359" s="10" t="s">
        <v>12143</v>
      </c>
      <c r="O359" s="9"/>
      <c r="P359" s="9">
        <v>1</v>
      </c>
      <c r="Q359" s="9"/>
      <c r="R359" s="9" t="s">
        <v>12795</v>
      </c>
      <c r="S359" s="9" t="s">
        <v>12795</v>
      </c>
      <c r="T359" s="9"/>
      <c r="U359" s="9"/>
      <c r="V359" s="9"/>
      <c r="W359" s="9"/>
      <c r="X359" s="9"/>
      <c r="Y359" s="9"/>
      <c r="Z359" s="9"/>
      <c r="AA359" s="9"/>
      <c r="AB359" s="9"/>
      <c r="AC359" s="9"/>
      <c r="AD359" s="9" t="s">
        <v>20</v>
      </c>
    </row>
    <row r="360" spans="1:30" ht="43.5">
      <c r="A360" s="3" t="s">
        <v>3897</v>
      </c>
      <c r="B360" s="3" t="s">
        <v>10033</v>
      </c>
      <c r="C360" s="3" t="s">
        <v>10034</v>
      </c>
      <c r="G360" s="9" t="s">
        <v>24</v>
      </c>
      <c r="H360" s="9"/>
      <c r="I360" s="9">
        <v>2</v>
      </c>
      <c r="J360" s="9">
        <v>5</v>
      </c>
      <c r="K360" s="9"/>
      <c r="L360" s="9" t="s">
        <v>12073</v>
      </c>
      <c r="M360" s="9" t="s">
        <v>12142</v>
      </c>
      <c r="N360" s="10" t="s">
        <v>12170</v>
      </c>
      <c r="O360" s="9" t="s">
        <v>12074</v>
      </c>
      <c r="P360" s="9">
        <v>472</v>
      </c>
      <c r="Q360" s="9"/>
      <c r="R360" s="9" t="s">
        <v>12795</v>
      </c>
      <c r="S360" s="9" t="s">
        <v>12795</v>
      </c>
      <c r="T360" s="9"/>
      <c r="U360" s="9"/>
      <c r="V360" s="9"/>
      <c r="W360" s="9"/>
      <c r="X360" s="9"/>
      <c r="Y360" s="9"/>
      <c r="Z360" s="9"/>
      <c r="AA360" s="9"/>
      <c r="AB360" s="9"/>
      <c r="AC360" s="9"/>
      <c r="AD360" s="9" t="s">
        <v>20</v>
      </c>
    </row>
    <row r="361" spans="1:30" ht="58">
      <c r="A361" s="3" t="s">
        <v>3903</v>
      </c>
      <c r="B361" s="3" t="s">
        <v>10053</v>
      </c>
      <c r="C361" s="3" t="s">
        <v>10051</v>
      </c>
      <c r="G361" s="9" t="s">
        <v>25</v>
      </c>
      <c r="H361" s="9"/>
      <c r="I361" s="9">
        <v>1</v>
      </c>
      <c r="J361" s="9">
        <v>5</v>
      </c>
      <c r="K361" s="9" t="s">
        <v>12084</v>
      </c>
      <c r="L361" s="9" t="s">
        <v>12079</v>
      </c>
      <c r="M361" s="9"/>
      <c r="N361" s="10"/>
      <c r="O361" s="9"/>
      <c r="P361" s="9">
        <v>17</v>
      </c>
      <c r="Q361" s="9"/>
      <c r="R361" s="9" t="s">
        <v>12795</v>
      </c>
      <c r="S361" s="9" t="s">
        <v>12795</v>
      </c>
      <c r="T361" s="9"/>
      <c r="U361" s="9"/>
      <c r="V361" s="9"/>
      <c r="W361" s="9"/>
      <c r="X361" s="9"/>
      <c r="Y361" s="9"/>
      <c r="Z361" s="9"/>
      <c r="AA361" s="9"/>
      <c r="AB361" s="9"/>
      <c r="AC361" s="9"/>
      <c r="AD361" s="9" t="s">
        <v>20</v>
      </c>
    </row>
    <row r="362" spans="1:30" ht="116">
      <c r="A362" s="3" t="s">
        <v>3936</v>
      </c>
      <c r="B362" s="3" t="s">
        <v>10126</v>
      </c>
      <c r="C362" s="3" t="s">
        <v>10121</v>
      </c>
      <c r="G362" s="9" t="s">
        <v>25</v>
      </c>
      <c r="H362" s="9"/>
      <c r="I362" s="9">
        <v>1</v>
      </c>
      <c r="J362" s="9">
        <v>4</v>
      </c>
      <c r="K362" s="9" t="s">
        <v>12096</v>
      </c>
      <c r="L362" s="9" t="s">
        <v>12079</v>
      </c>
      <c r="M362" s="9"/>
      <c r="N362" s="10"/>
      <c r="O362" s="9"/>
      <c r="P362" s="9">
        <v>207</v>
      </c>
      <c r="Q362" s="9"/>
      <c r="R362" s="9" t="s">
        <v>12795</v>
      </c>
      <c r="S362" s="9" t="s">
        <v>12795</v>
      </c>
      <c r="T362" s="9"/>
      <c r="U362" s="9"/>
      <c r="V362" s="9"/>
      <c r="W362" s="9"/>
      <c r="X362" s="9"/>
      <c r="Y362" s="9"/>
      <c r="Z362" s="9"/>
      <c r="AA362" s="9"/>
      <c r="AB362" s="9"/>
      <c r="AC362" s="9"/>
      <c r="AD362" s="9" t="s">
        <v>20</v>
      </c>
    </row>
    <row r="363" spans="1:30" ht="87">
      <c r="A363" s="3" t="s">
        <v>3945</v>
      </c>
      <c r="B363" s="3" t="s">
        <v>12519</v>
      </c>
      <c r="C363" s="3" t="s">
        <v>10135</v>
      </c>
      <c r="G363" s="9" t="s">
        <v>25</v>
      </c>
      <c r="H363" s="9"/>
      <c r="I363" s="9">
        <v>1</v>
      </c>
      <c r="J363" s="9">
        <v>3</v>
      </c>
      <c r="K363" s="9" t="s">
        <v>12096</v>
      </c>
      <c r="L363" s="9" t="s">
        <v>12079</v>
      </c>
      <c r="M363" s="9"/>
      <c r="N363" s="10"/>
      <c r="O363" s="9"/>
      <c r="P363" s="9">
        <v>264</v>
      </c>
      <c r="Q363" s="9"/>
      <c r="R363" s="9" t="s">
        <v>12795</v>
      </c>
      <c r="S363" s="9" t="s">
        <v>12795</v>
      </c>
      <c r="T363" s="9"/>
      <c r="U363" s="9"/>
      <c r="V363" s="9"/>
      <c r="W363" s="9"/>
      <c r="X363" s="9"/>
      <c r="Y363" s="9"/>
      <c r="Z363" s="9"/>
      <c r="AA363" s="9"/>
      <c r="AB363" s="9"/>
      <c r="AC363" s="9"/>
      <c r="AD363" s="9" t="s">
        <v>20</v>
      </c>
    </row>
    <row r="364" spans="1:30" ht="87">
      <c r="A364" s="3" t="s">
        <v>4007</v>
      </c>
      <c r="B364" s="3" t="s">
        <v>10242</v>
      </c>
      <c r="C364" s="3" t="s">
        <v>10241</v>
      </c>
      <c r="G364" s="9" t="s">
        <v>25</v>
      </c>
      <c r="H364" s="9"/>
      <c r="I364" s="9">
        <v>1</v>
      </c>
      <c r="J364" s="9">
        <v>3</v>
      </c>
      <c r="K364" s="9" t="s">
        <v>12087</v>
      </c>
      <c r="L364" s="9" t="s">
        <v>12079</v>
      </c>
      <c r="M364" s="9"/>
      <c r="N364" s="10"/>
      <c r="O364" s="9"/>
      <c r="P364" s="9">
        <v>431</v>
      </c>
      <c r="Q364" s="9"/>
      <c r="R364" s="9" t="s">
        <v>12795</v>
      </c>
      <c r="S364" s="9" t="s">
        <v>12795</v>
      </c>
      <c r="T364" s="9"/>
      <c r="U364" s="9"/>
      <c r="V364" s="9"/>
      <c r="W364" s="9"/>
      <c r="X364" s="9"/>
      <c r="Y364" s="9"/>
      <c r="Z364" s="9"/>
      <c r="AA364" s="9"/>
      <c r="AB364" s="9"/>
      <c r="AC364" s="9"/>
      <c r="AD364" s="9" t="s">
        <v>20</v>
      </c>
    </row>
    <row r="365" spans="1:30" ht="87">
      <c r="A365" s="3" t="s">
        <v>4023</v>
      </c>
      <c r="B365" s="3" t="s">
        <v>10290</v>
      </c>
      <c r="C365" s="3" t="s">
        <v>10291</v>
      </c>
      <c r="G365" s="9" t="s">
        <v>25</v>
      </c>
      <c r="H365" s="9"/>
      <c r="I365" s="9">
        <v>1</v>
      </c>
      <c r="J365" s="9">
        <v>2</v>
      </c>
      <c r="K365" s="9" t="s">
        <v>12087</v>
      </c>
      <c r="L365" s="9" t="s">
        <v>12119</v>
      </c>
      <c r="M365" s="9"/>
      <c r="N365" s="10"/>
      <c r="O365" s="9"/>
      <c r="P365" s="9">
        <v>1966</v>
      </c>
      <c r="Q365" s="9"/>
      <c r="R365" s="9" t="s">
        <v>12795</v>
      </c>
      <c r="S365" s="9" t="s">
        <v>12795</v>
      </c>
      <c r="T365" s="9"/>
      <c r="U365" s="9"/>
      <c r="V365" s="9"/>
      <c r="W365" s="9"/>
      <c r="X365" s="9"/>
      <c r="Y365" s="9"/>
      <c r="Z365" s="9"/>
      <c r="AA365" s="9"/>
      <c r="AB365" s="9"/>
      <c r="AC365" s="9"/>
      <c r="AD365" s="9" t="s">
        <v>20</v>
      </c>
    </row>
    <row r="366" spans="1:30" ht="87">
      <c r="A366" s="3" t="s">
        <v>4023</v>
      </c>
      <c r="B366" s="3" t="s">
        <v>10292</v>
      </c>
      <c r="C366" s="3" t="s">
        <v>10291</v>
      </c>
      <c r="G366" s="9" t="s">
        <v>25</v>
      </c>
      <c r="H366" s="9"/>
      <c r="I366" s="9">
        <v>1</v>
      </c>
      <c r="J366" s="9">
        <v>5</v>
      </c>
      <c r="K366" s="9" t="s">
        <v>12125</v>
      </c>
      <c r="L366" s="9" t="s">
        <v>12079</v>
      </c>
      <c r="M366" s="9"/>
      <c r="N366" s="10"/>
      <c r="O366" s="9"/>
      <c r="P366" s="9">
        <v>1565</v>
      </c>
      <c r="Q366" s="9"/>
      <c r="R366" s="9" t="s">
        <v>12795</v>
      </c>
      <c r="S366" s="9" t="s">
        <v>12795</v>
      </c>
      <c r="T366" s="9"/>
      <c r="U366" s="9"/>
      <c r="V366" s="9"/>
      <c r="W366" s="9"/>
      <c r="X366" s="9"/>
      <c r="Y366" s="9"/>
      <c r="Z366" s="9"/>
      <c r="AA366" s="9"/>
      <c r="AB366" s="9"/>
      <c r="AC366" s="9"/>
      <c r="AD366" s="9" t="s">
        <v>20</v>
      </c>
    </row>
    <row r="367" spans="1:30" ht="43.5">
      <c r="A367" s="3" t="s">
        <v>4026</v>
      </c>
      <c r="B367" s="3" t="s">
        <v>10310</v>
      </c>
      <c r="C367" s="3" t="s">
        <v>10309</v>
      </c>
      <c r="G367" s="9" t="s">
        <v>25</v>
      </c>
      <c r="H367" s="9"/>
      <c r="I367" s="9">
        <v>1</v>
      </c>
      <c r="J367" s="9">
        <v>4</v>
      </c>
      <c r="K367" s="9" t="s">
        <v>12078</v>
      </c>
      <c r="L367" s="9" t="s">
        <v>12073</v>
      </c>
      <c r="M367" s="9" t="s">
        <v>12142</v>
      </c>
      <c r="N367" s="10" t="s">
        <v>12160</v>
      </c>
      <c r="O367" s="9" t="s">
        <v>12074</v>
      </c>
      <c r="P367" s="9">
        <v>11843</v>
      </c>
      <c r="Q367" s="9"/>
      <c r="R367" s="9" t="s">
        <v>12795</v>
      </c>
      <c r="S367" s="9" t="s">
        <v>12795</v>
      </c>
      <c r="T367" s="9"/>
      <c r="U367" s="9"/>
      <c r="V367" s="9"/>
      <c r="W367" s="9"/>
      <c r="X367" s="9"/>
      <c r="Y367" s="9"/>
      <c r="Z367" s="9"/>
      <c r="AA367" s="9"/>
      <c r="AB367" s="9"/>
      <c r="AC367" s="9"/>
      <c r="AD367" s="9" t="s">
        <v>20</v>
      </c>
    </row>
    <row r="368" spans="1:30" ht="72.5">
      <c r="A368" s="3" t="s">
        <v>4037</v>
      </c>
      <c r="B368" s="3" t="s">
        <v>10329</v>
      </c>
      <c r="C368" s="3" t="s">
        <v>10330</v>
      </c>
      <c r="G368" s="9" t="s">
        <v>24</v>
      </c>
      <c r="H368" s="9"/>
      <c r="I368" s="9">
        <v>1</v>
      </c>
      <c r="J368" s="9">
        <v>3</v>
      </c>
      <c r="K368" s="9" t="s">
        <v>12078</v>
      </c>
      <c r="L368" s="9" t="s">
        <v>12079</v>
      </c>
      <c r="M368" s="9"/>
      <c r="N368" s="10"/>
      <c r="O368" s="9"/>
      <c r="P368" s="9">
        <v>11843</v>
      </c>
      <c r="Q368" s="9"/>
      <c r="R368" s="9" t="s">
        <v>12795</v>
      </c>
      <c r="S368" s="9" t="s">
        <v>12795</v>
      </c>
      <c r="T368" s="9"/>
      <c r="U368" s="9"/>
      <c r="V368" s="9"/>
      <c r="W368" s="9"/>
      <c r="X368" s="9"/>
      <c r="Y368" s="9"/>
      <c r="Z368" s="9"/>
      <c r="AA368" s="9"/>
      <c r="AB368" s="9"/>
      <c r="AC368" s="9"/>
      <c r="AD368" s="9" t="s">
        <v>20</v>
      </c>
    </row>
    <row r="369" spans="1:30" ht="246.5">
      <c r="A369" s="3" t="s">
        <v>4043</v>
      </c>
      <c r="B369" s="3" t="s">
        <v>10337</v>
      </c>
      <c r="C369" s="3" t="s">
        <v>10334</v>
      </c>
      <c r="G369" s="9" t="s">
        <v>25</v>
      </c>
      <c r="H369" s="9"/>
      <c r="I369" s="9">
        <v>9</v>
      </c>
      <c r="J369" s="9">
        <v>52</v>
      </c>
      <c r="K369" s="9"/>
      <c r="L369" s="9" t="s">
        <v>12079</v>
      </c>
      <c r="M369" s="9"/>
      <c r="N369" s="10"/>
      <c r="O369" s="9"/>
      <c r="P369" s="9">
        <v>0</v>
      </c>
      <c r="Q369" s="9"/>
      <c r="R369" s="9" t="s">
        <v>12795</v>
      </c>
      <c r="S369" s="9" t="s">
        <v>12795</v>
      </c>
      <c r="T369" s="9"/>
      <c r="U369" s="9"/>
      <c r="V369" s="9"/>
      <c r="W369" s="9"/>
      <c r="X369" s="9"/>
      <c r="Y369" s="9"/>
      <c r="Z369" s="9"/>
      <c r="AA369" s="9"/>
      <c r="AB369" s="9"/>
      <c r="AC369" s="9"/>
      <c r="AD369" s="9" t="s">
        <v>13141</v>
      </c>
    </row>
    <row r="370" spans="1:30" ht="101.5">
      <c r="A370" s="3" t="s">
        <v>4074</v>
      </c>
      <c r="B370" s="3" t="s">
        <v>10416</v>
      </c>
      <c r="C370" s="3" t="s">
        <v>10415</v>
      </c>
      <c r="G370" s="9" t="s">
        <v>25</v>
      </c>
      <c r="H370" s="9"/>
      <c r="I370" s="9">
        <v>3</v>
      </c>
      <c r="J370" s="9">
        <v>19</v>
      </c>
      <c r="K370" s="9"/>
      <c r="L370" s="9" t="s">
        <v>12079</v>
      </c>
      <c r="M370" s="9"/>
      <c r="N370" s="10"/>
      <c r="O370" s="9"/>
      <c r="P370" s="9">
        <v>5</v>
      </c>
      <c r="Q370" s="9"/>
      <c r="R370" s="9" t="s">
        <v>12795</v>
      </c>
      <c r="S370" s="9" t="s">
        <v>12795</v>
      </c>
      <c r="T370" s="9"/>
      <c r="U370" s="9"/>
      <c r="V370" s="9"/>
      <c r="W370" s="9"/>
      <c r="X370" s="9"/>
      <c r="Y370" s="9"/>
      <c r="Z370" s="9"/>
      <c r="AA370" s="9"/>
      <c r="AB370" s="9"/>
      <c r="AC370" s="9"/>
      <c r="AD370" s="9" t="s">
        <v>20</v>
      </c>
    </row>
    <row r="371" spans="1:30" ht="43.5">
      <c r="A371" s="3" t="s">
        <v>4080</v>
      </c>
      <c r="B371" s="3" t="s">
        <v>10423</v>
      </c>
      <c r="C371" s="3" t="s">
        <v>10422</v>
      </c>
      <c r="G371" s="9" t="s">
        <v>25</v>
      </c>
      <c r="H371" s="9"/>
      <c r="I371" s="9">
        <v>1</v>
      </c>
      <c r="J371" s="9">
        <v>1</v>
      </c>
      <c r="K371" s="9" t="s">
        <v>12072</v>
      </c>
      <c r="L371" s="9" t="s">
        <v>12119</v>
      </c>
      <c r="M371" s="9"/>
      <c r="N371" s="10"/>
      <c r="O371" s="9"/>
      <c r="P371" s="9">
        <v>13</v>
      </c>
      <c r="Q371" s="9"/>
      <c r="R371" s="9" t="s">
        <v>12795</v>
      </c>
      <c r="S371" s="9" t="s">
        <v>12795</v>
      </c>
      <c r="T371" s="9"/>
      <c r="U371" s="9"/>
      <c r="V371" s="9"/>
      <c r="W371" s="9"/>
      <c r="X371" s="9"/>
      <c r="Y371" s="9"/>
      <c r="Z371" s="9"/>
      <c r="AA371" s="9"/>
      <c r="AB371" s="9"/>
      <c r="AC371" s="9"/>
      <c r="AD371" s="9" t="s">
        <v>13141</v>
      </c>
    </row>
    <row r="372" spans="1:30" ht="87">
      <c r="A372" s="3" t="s">
        <v>4082</v>
      </c>
      <c r="B372" s="3" t="s">
        <v>10429</v>
      </c>
      <c r="C372" s="3" t="s">
        <v>10428</v>
      </c>
      <c r="F372" t="s">
        <v>19</v>
      </c>
      <c r="G372" s="9" t="s">
        <v>25</v>
      </c>
      <c r="H372" s="9"/>
      <c r="I372" s="9">
        <v>2</v>
      </c>
      <c r="J372" s="9">
        <v>10</v>
      </c>
      <c r="K372" s="9"/>
      <c r="L372" s="9" t="s">
        <v>12073</v>
      </c>
      <c r="M372" s="9" t="s">
        <v>12135</v>
      </c>
      <c r="N372" s="10" t="s">
        <v>12136</v>
      </c>
      <c r="O372" s="9"/>
      <c r="P372" s="9">
        <v>12</v>
      </c>
      <c r="Q372" s="9"/>
      <c r="R372" s="9" t="s">
        <v>12795</v>
      </c>
      <c r="S372" s="9" t="s">
        <v>12795</v>
      </c>
      <c r="T372" s="9"/>
      <c r="U372" s="9"/>
      <c r="V372" s="9"/>
      <c r="W372" s="9"/>
      <c r="X372" s="9"/>
      <c r="Y372" s="9"/>
      <c r="Z372" s="9"/>
      <c r="AA372" s="9"/>
      <c r="AB372" s="9"/>
      <c r="AC372" s="9"/>
      <c r="AD372" s="9" t="s">
        <v>20</v>
      </c>
    </row>
    <row r="373" spans="1:30" ht="29">
      <c r="A373" s="3" t="s">
        <v>4097</v>
      </c>
      <c r="B373" s="3" t="s">
        <v>10487</v>
      </c>
      <c r="C373" s="3" t="s">
        <v>10488</v>
      </c>
      <c r="F373" t="s">
        <v>19</v>
      </c>
      <c r="G373" s="9" t="s">
        <v>25</v>
      </c>
      <c r="H373" s="9"/>
      <c r="I373" s="9">
        <v>1</v>
      </c>
      <c r="J373" s="9">
        <v>2</v>
      </c>
      <c r="K373" s="9" t="s">
        <v>12092</v>
      </c>
      <c r="L373" s="9" t="s">
        <v>12119</v>
      </c>
      <c r="M373" s="9"/>
      <c r="N373" s="10"/>
      <c r="O373" s="9"/>
      <c r="P373" s="9">
        <v>133</v>
      </c>
      <c r="Q373" s="9"/>
      <c r="R373" s="9" t="s">
        <v>12795</v>
      </c>
      <c r="S373" s="9" t="s">
        <v>12795</v>
      </c>
      <c r="T373" s="9"/>
      <c r="U373" s="9"/>
      <c r="V373" s="9"/>
      <c r="W373" s="9"/>
      <c r="X373" s="9"/>
      <c r="Y373" s="9"/>
      <c r="Z373" s="9"/>
      <c r="AA373" s="9"/>
      <c r="AB373" s="9"/>
      <c r="AC373" s="9"/>
      <c r="AD373" s="9" t="s">
        <v>20</v>
      </c>
    </row>
    <row r="374" spans="1:30" ht="29">
      <c r="A374" s="3" t="s">
        <v>4112</v>
      </c>
      <c r="B374" s="3" t="s">
        <v>10528</v>
      </c>
      <c r="C374" s="3" t="s">
        <v>12533</v>
      </c>
      <c r="G374" s="9" t="s">
        <v>25</v>
      </c>
      <c r="H374" s="9"/>
      <c r="I374" s="9">
        <v>1</v>
      </c>
      <c r="J374" s="9">
        <v>2</v>
      </c>
      <c r="K374" s="9" t="s">
        <v>12078</v>
      </c>
      <c r="L374" s="9" t="s">
        <v>12119</v>
      </c>
      <c r="M374" s="9"/>
      <c r="N374" s="10"/>
      <c r="O374" s="9"/>
      <c r="P374" s="9">
        <v>11843</v>
      </c>
      <c r="Q374" s="9"/>
      <c r="R374" s="9" t="s">
        <v>12795</v>
      </c>
      <c r="S374" s="9" t="s">
        <v>12795</v>
      </c>
      <c r="T374" s="9"/>
      <c r="U374" s="9"/>
      <c r="V374" s="9"/>
      <c r="W374" s="9"/>
      <c r="X374" s="9"/>
      <c r="Y374" s="9"/>
      <c r="Z374" s="9"/>
      <c r="AA374" s="9"/>
      <c r="AB374" s="9"/>
      <c r="AC374" s="9"/>
      <c r="AD374" s="9" t="s">
        <v>20</v>
      </c>
    </row>
    <row r="375" spans="1:30" ht="130.5">
      <c r="A375" s="3" t="s">
        <v>4133</v>
      </c>
      <c r="B375" s="3" t="s">
        <v>10565</v>
      </c>
      <c r="C375" s="3" t="s">
        <v>10567</v>
      </c>
      <c r="G375" s="9" t="s">
        <v>24</v>
      </c>
      <c r="H375" s="9"/>
      <c r="I375" s="9">
        <v>1</v>
      </c>
      <c r="J375" s="9">
        <v>3</v>
      </c>
      <c r="K375" s="9" t="s">
        <v>12078</v>
      </c>
      <c r="L375" s="9" t="s">
        <v>12079</v>
      </c>
      <c r="M375" s="9"/>
      <c r="N375" s="10"/>
      <c r="O375" s="9"/>
      <c r="P375" s="9">
        <v>11843</v>
      </c>
      <c r="Q375" s="9"/>
      <c r="R375" s="9" t="s">
        <v>12795</v>
      </c>
      <c r="S375" s="9" t="s">
        <v>12795</v>
      </c>
      <c r="T375" s="9"/>
      <c r="U375" s="9"/>
      <c r="V375" s="9"/>
      <c r="W375" s="9"/>
      <c r="X375" s="9"/>
      <c r="Y375" s="9"/>
      <c r="Z375" s="9"/>
      <c r="AA375" s="9"/>
      <c r="AB375" s="9"/>
      <c r="AC375" s="9"/>
      <c r="AD375" s="9" t="s">
        <v>20</v>
      </c>
    </row>
    <row r="376" spans="1:30" ht="130.5">
      <c r="A376" s="3" t="s">
        <v>4134</v>
      </c>
      <c r="B376" s="3" t="s">
        <v>10565</v>
      </c>
      <c r="C376" s="3" t="s">
        <v>10569</v>
      </c>
      <c r="G376" s="9" t="s">
        <v>24</v>
      </c>
      <c r="H376" s="9"/>
      <c r="I376" s="9">
        <v>6</v>
      </c>
      <c r="J376" s="9">
        <v>20</v>
      </c>
      <c r="K376" s="9"/>
      <c r="L376" s="9" t="s">
        <v>12079</v>
      </c>
      <c r="M376" s="9"/>
      <c r="N376" s="10"/>
      <c r="O376" s="9"/>
      <c r="P376" s="9">
        <v>171</v>
      </c>
      <c r="Q376" s="9"/>
      <c r="R376" s="9" t="s">
        <v>12795</v>
      </c>
      <c r="S376" s="9" t="s">
        <v>12795</v>
      </c>
      <c r="T376" s="9"/>
      <c r="U376" s="9"/>
      <c r="V376" s="9"/>
      <c r="W376" s="9"/>
      <c r="X376" s="9"/>
      <c r="Y376" s="9"/>
      <c r="Z376" s="9"/>
      <c r="AA376" s="9"/>
      <c r="AB376" s="9"/>
      <c r="AC376" s="9"/>
      <c r="AD376" s="9" t="s">
        <v>20</v>
      </c>
    </row>
    <row r="377" spans="1:30" ht="29">
      <c r="A377" s="3" t="s">
        <v>4165</v>
      </c>
      <c r="B377" s="11" t="s">
        <v>10648</v>
      </c>
      <c r="C377" s="3" t="s">
        <v>10645</v>
      </c>
      <c r="F377" t="s">
        <v>19</v>
      </c>
      <c r="G377" s="9" t="s">
        <v>25</v>
      </c>
      <c r="H377" s="9"/>
      <c r="I377" s="9">
        <v>1</v>
      </c>
      <c r="J377" s="9">
        <v>2</v>
      </c>
      <c r="K377" s="9" t="s">
        <v>12078</v>
      </c>
      <c r="L377" s="9" t="s">
        <v>12119</v>
      </c>
      <c r="M377" s="9"/>
      <c r="N377" s="10"/>
      <c r="O377" s="9"/>
      <c r="P377" s="9">
        <v>11843</v>
      </c>
      <c r="Q377" s="9"/>
      <c r="R377" s="9" t="s">
        <v>12795</v>
      </c>
      <c r="S377" s="9" t="s">
        <v>12795</v>
      </c>
      <c r="T377" s="9"/>
      <c r="U377" s="9"/>
      <c r="V377" s="9"/>
      <c r="W377" s="9"/>
      <c r="X377" s="9"/>
      <c r="Y377" s="9"/>
      <c r="Z377" s="9"/>
      <c r="AA377" s="9"/>
      <c r="AB377" s="9"/>
      <c r="AC377" s="9"/>
      <c r="AD377" s="9" t="s">
        <v>20</v>
      </c>
    </row>
    <row r="378" spans="1:30" ht="58">
      <c r="A378" s="3" t="s">
        <v>4167</v>
      </c>
      <c r="B378" s="3" t="s">
        <v>10654</v>
      </c>
      <c r="C378" s="3" t="s">
        <v>10653</v>
      </c>
      <c r="G378" s="9" t="s">
        <v>25</v>
      </c>
      <c r="H378" s="9"/>
      <c r="I378" s="9">
        <v>2</v>
      </c>
      <c r="J378" s="9">
        <v>7</v>
      </c>
      <c r="K378" s="9"/>
      <c r="L378" s="9" t="s">
        <v>12079</v>
      </c>
      <c r="M378" s="9"/>
      <c r="N378" s="10"/>
      <c r="O378" s="9"/>
      <c r="P378" s="9">
        <v>152</v>
      </c>
      <c r="Q378" s="9"/>
      <c r="R378" s="9" t="s">
        <v>12795</v>
      </c>
      <c r="S378" s="9" t="s">
        <v>12795</v>
      </c>
      <c r="T378" s="9"/>
      <c r="U378" s="9"/>
      <c r="V378" s="9"/>
      <c r="W378" s="9"/>
      <c r="X378" s="9"/>
      <c r="Y378" s="9"/>
      <c r="Z378" s="9"/>
      <c r="AA378" s="9"/>
      <c r="AB378" s="9"/>
      <c r="AC378" s="9"/>
      <c r="AD378" s="9" t="s">
        <v>20</v>
      </c>
    </row>
    <row r="379" spans="1:30" ht="116">
      <c r="A379" s="3" t="s">
        <v>4171</v>
      </c>
      <c r="B379" s="3" t="s">
        <v>10668</v>
      </c>
      <c r="C379" s="3" t="s">
        <v>10667</v>
      </c>
      <c r="G379" s="9" t="s">
        <v>25</v>
      </c>
      <c r="H379" s="9"/>
      <c r="I379" s="9">
        <v>4</v>
      </c>
      <c r="J379" s="9">
        <v>21</v>
      </c>
      <c r="K379" s="9"/>
      <c r="L379" s="9" t="s">
        <v>12079</v>
      </c>
      <c r="M379" s="9"/>
      <c r="N379" s="10"/>
      <c r="O379" s="9"/>
      <c r="P379" s="9">
        <v>1</v>
      </c>
      <c r="Q379" s="9"/>
      <c r="R379" s="9" t="s">
        <v>12795</v>
      </c>
      <c r="S379" s="9" t="s">
        <v>12795</v>
      </c>
      <c r="T379" s="9"/>
      <c r="U379" s="9"/>
      <c r="V379" s="9"/>
      <c r="W379" s="9"/>
      <c r="X379" s="9"/>
      <c r="Y379" s="9"/>
      <c r="Z379" s="9"/>
      <c r="AA379" s="9"/>
      <c r="AB379" s="9"/>
      <c r="AC379" s="9"/>
      <c r="AD379" s="9" t="s">
        <v>20</v>
      </c>
    </row>
    <row r="380" spans="1:30" ht="43.5">
      <c r="A380" s="3" t="s">
        <v>4175</v>
      </c>
      <c r="B380" s="3" t="s">
        <v>10697</v>
      </c>
      <c r="C380" s="3" t="s">
        <v>10694</v>
      </c>
      <c r="G380" s="9" t="s">
        <v>25</v>
      </c>
      <c r="H380" s="9"/>
      <c r="I380" s="9">
        <v>1</v>
      </c>
      <c r="J380" s="9">
        <v>2</v>
      </c>
      <c r="K380" s="9" t="s">
        <v>12087</v>
      </c>
      <c r="L380" s="9" t="s">
        <v>12119</v>
      </c>
      <c r="M380" s="9"/>
      <c r="N380" s="10"/>
      <c r="O380" s="9"/>
      <c r="P380" s="9">
        <v>166</v>
      </c>
      <c r="Q380" s="9"/>
      <c r="R380" s="9" t="s">
        <v>12795</v>
      </c>
      <c r="S380" s="9" t="s">
        <v>12795</v>
      </c>
      <c r="T380" s="9"/>
      <c r="U380" s="9"/>
      <c r="V380" s="9"/>
      <c r="W380" s="9"/>
      <c r="X380" s="9"/>
      <c r="Y380" s="9"/>
      <c r="Z380" s="9"/>
      <c r="AA380" s="9"/>
      <c r="AB380" s="9"/>
      <c r="AC380" s="9"/>
      <c r="AD380" s="9" t="s">
        <v>20</v>
      </c>
    </row>
    <row r="381" spans="1:30" ht="43.5">
      <c r="A381" s="3" t="s">
        <v>4188</v>
      </c>
      <c r="B381" s="3" t="s">
        <v>10739</v>
      </c>
      <c r="C381" s="3" t="s">
        <v>10740</v>
      </c>
      <c r="G381" s="9" t="s">
        <v>24</v>
      </c>
      <c r="H381" s="9"/>
      <c r="I381" s="9">
        <v>1</v>
      </c>
      <c r="J381" s="9">
        <v>5</v>
      </c>
      <c r="K381" s="9" t="s">
        <v>12125</v>
      </c>
      <c r="L381" s="9" t="s">
        <v>12073</v>
      </c>
      <c r="M381" s="9" t="s">
        <v>12142</v>
      </c>
      <c r="N381" s="10" t="s">
        <v>12170</v>
      </c>
      <c r="O381" s="9" t="s">
        <v>12074</v>
      </c>
      <c r="P381" s="9">
        <v>2042</v>
      </c>
      <c r="Q381" s="9"/>
      <c r="R381" s="9" t="s">
        <v>12795</v>
      </c>
      <c r="S381" s="9" t="s">
        <v>12795</v>
      </c>
      <c r="T381" s="9"/>
      <c r="U381" s="9"/>
      <c r="V381" s="9"/>
      <c r="W381" s="9"/>
      <c r="X381" s="9"/>
      <c r="Y381" s="9"/>
      <c r="Z381" s="9"/>
      <c r="AA381" s="9"/>
      <c r="AB381" s="9"/>
      <c r="AC381" s="9"/>
      <c r="AD381" s="9" t="s">
        <v>20</v>
      </c>
    </row>
    <row r="382" spans="1:30" ht="43.5">
      <c r="A382" s="3" t="s">
        <v>4206</v>
      </c>
      <c r="B382" s="3" t="s">
        <v>10775</v>
      </c>
      <c r="C382" s="3" t="s">
        <v>10774</v>
      </c>
      <c r="G382" s="9" t="s">
        <v>25</v>
      </c>
      <c r="H382" s="9"/>
      <c r="I382" s="9">
        <v>1</v>
      </c>
      <c r="J382" s="9">
        <v>2</v>
      </c>
      <c r="K382" s="9" t="s">
        <v>12087</v>
      </c>
      <c r="L382" s="9" t="s">
        <v>12119</v>
      </c>
      <c r="M382" s="9"/>
      <c r="N382" s="10"/>
      <c r="O382" s="9"/>
      <c r="P382" s="9">
        <v>1966</v>
      </c>
      <c r="Q382" s="9"/>
      <c r="R382" s="9" t="s">
        <v>12795</v>
      </c>
      <c r="S382" s="9" t="s">
        <v>12795</v>
      </c>
      <c r="T382" s="9"/>
      <c r="U382" s="9"/>
      <c r="V382" s="9"/>
      <c r="W382" s="9"/>
      <c r="X382" s="9"/>
      <c r="Y382" s="9"/>
      <c r="Z382" s="9"/>
      <c r="AA382" s="9"/>
      <c r="AB382" s="9"/>
      <c r="AC382" s="9"/>
      <c r="AD382" s="9" t="s">
        <v>20</v>
      </c>
    </row>
    <row r="383" spans="1:30" ht="58">
      <c r="A383" s="3" t="s">
        <v>4242</v>
      </c>
      <c r="B383" s="3" t="s">
        <v>10836</v>
      </c>
      <c r="C383" s="3" t="s">
        <v>10835</v>
      </c>
      <c r="G383" s="9" t="s">
        <v>25</v>
      </c>
      <c r="H383" s="9"/>
      <c r="I383" s="9">
        <v>1</v>
      </c>
      <c r="J383" s="9">
        <v>3</v>
      </c>
      <c r="K383" s="9" t="s">
        <v>12087</v>
      </c>
      <c r="L383" s="9" t="s">
        <v>12079</v>
      </c>
      <c r="M383" s="9"/>
      <c r="N383" s="10"/>
      <c r="O383" s="9"/>
      <c r="P383" s="9">
        <v>5676</v>
      </c>
      <c r="Q383" s="9"/>
      <c r="R383" s="9" t="s">
        <v>12795</v>
      </c>
      <c r="S383" s="9" t="s">
        <v>12795</v>
      </c>
      <c r="T383" s="9"/>
      <c r="U383" s="9"/>
      <c r="V383" s="9"/>
      <c r="W383" s="9"/>
      <c r="X383" s="9"/>
      <c r="Y383" s="9"/>
      <c r="Z383" s="9"/>
      <c r="AA383" s="9"/>
      <c r="AB383" s="9"/>
      <c r="AC383" s="9"/>
      <c r="AD383" s="9" t="s">
        <v>13141</v>
      </c>
    </row>
    <row r="384" spans="1:30" ht="72.5">
      <c r="A384" s="3" t="s">
        <v>4309</v>
      </c>
      <c r="B384" s="3" t="s">
        <v>10962</v>
      </c>
      <c r="C384" s="3" t="s">
        <v>10961</v>
      </c>
      <c r="G384" s="9" t="s">
        <v>25</v>
      </c>
      <c r="H384" s="9"/>
      <c r="I384" s="9">
        <v>1</v>
      </c>
      <c r="J384" s="9">
        <v>5</v>
      </c>
      <c r="K384" s="9" t="s">
        <v>12094</v>
      </c>
      <c r="L384" s="9" t="s">
        <v>12073</v>
      </c>
      <c r="M384" s="9" t="s">
        <v>12142</v>
      </c>
      <c r="N384" s="10" t="s">
        <v>12143</v>
      </c>
      <c r="O384" s="9"/>
      <c r="P384" s="9">
        <v>4240</v>
      </c>
      <c r="Q384" s="9"/>
      <c r="R384" s="9" t="s">
        <v>12795</v>
      </c>
      <c r="S384" s="9" t="s">
        <v>12795</v>
      </c>
      <c r="T384" s="9"/>
      <c r="U384" s="9"/>
      <c r="V384" s="9"/>
      <c r="W384" s="9"/>
      <c r="X384" s="9"/>
      <c r="Y384" s="9"/>
      <c r="Z384" s="9"/>
      <c r="AA384" s="9"/>
      <c r="AB384" s="9"/>
      <c r="AC384" s="9"/>
      <c r="AD384" s="9" t="s">
        <v>20</v>
      </c>
    </row>
    <row r="385" spans="1:30" ht="58">
      <c r="A385" s="3" t="s">
        <v>4317</v>
      </c>
      <c r="B385" s="3" t="s">
        <v>10983</v>
      </c>
      <c r="C385" s="3" t="s">
        <v>10982</v>
      </c>
      <c r="E385" t="s">
        <v>20</v>
      </c>
      <c r="G385" s="9" t="s">
        <v>25</v>
      </c>
      <c r="H385" s="9"/>
      <c r="I385" s="9">
        <v>1</v>
      </c>
      <c r="J385" s="9">
        <v>3</v>
      </c>
      <c r="K385" s="9" t="s">
        <v>12087</v>
      </c>
      <c r="L385" s="9" t="s">
        <v>12079</v>
      </c>
      <c r="M385" s="9"/>
      <c r="N385" s="10"/>
      <c r="O385" s="9"/>
      <c r="P385" s="9">
        <v>309</v>
      </c>
      <c r="Q385" s="9"/>
      <c r="R385" s="9" t="s">
        <v>12795</v>
      </c>
      <c r="S385" s="9" t="s">
        <v>12795</v>
      </c>
      <c r="T385" s="9"/>
      <c r="U385" s="9"/>
      <c r="V385" s="9"/>
      <c r="W385" s="9"/>
      <c r="X385" s="9"/>
      <c r="Y385" s="9"/>
      <c r="Z385" s="9"/>
      <c r="AA385" s="9"/>
      <c r="AB385" s="9"/>
      <c r="AC385" s="9"/>
      <c r="AD385" s="9" t="s">
        <v>13141</v>
      </c>
    </row>
    <row r="386" spans="1:30" ht="43.5">
      <c r="A386" s="3" t="s">
        <v>4321</v>
      </c>
      <c r="B386" s="3" t="s">
        <v>11002</v>
      </c>
      <c r="C386" s="3" t="s">
        <v>11001</v>
      </c>
      <c r="G386" s="9" t="s">
        <v>25</v>
      </c>
      <c r="H386" s="9"/>
      <c r="I386" s="9">
        <v>1</v>
      </c>
      <c r="J386" s="9">
        <v>3</v>
      </c>
      <c r="K386" s="9" t="s">
        <v>12094</v>
      </c>
      <c r="L386" s="9" t="s">
        <v>12079</v>
      </c>
      <c r="M386" s="9"/>
      <c r="N386" s="10"/>
      <c r="O386" s="9"/>
      <c r="P386" s="9">
        <v>1741</v>
      </c>
      <c r="Q386" s="9"/>
      <c r="R386" s="9" t="s">
        <v>12795</v>
      </c>
      <c r="S386" s="9" t="s">
        <v>12795</v>
      </c>
      <c r="T386" s="9"/>
      <c r="U386" s="9"/>
      <c r="V386" s="9"/>
      <c r="W386" s="9"/>
      <c r="X386" s="9"/>
      <c r="Y386" s="9"/>
      <c r="Z386" s="9"/>
      <c r="AA386" s="9"/>
      <c r="AB386" s="9"/>
      <c r="AC386" s="9"/>
      <c r="AD386" s="9" t="s">
        <v>20</v>
      </c>
    </row>
    <row r="387" spans="1:30" ht="29">
      <c r="A387" s="3" t="s">
        <v>4323</v>
      </c>
      <c r="B387" s="3" t="s">
        <v>11006</v>
      </c>
      <c r="C387" s="3" t="s">
        <v>11005</v>
      </c>
      <c r="G387" s="9" t="s">
        <v>24</v>
      </c>
      <c r="H387" s="9"/>
      <c r="I387" s="9">
        <v>1</v>
      </c>
      <c r="J387" s="9">
        <v>3</v>
      </c>
      <c r="K387" s="9" t="s">
        <v>12078</v>
      </c>
      <c r="L387" s="9" t="s">
        <v>12079</v>
      </c>
      <c r="M387" s="9"/>
      <c r="N387" s="10"/>
      <c r="O387" s="9"/>
      <c r="P387" s="9">
        <v>11843</v>
      </c>
      <c r="Q387" s="9"/>
      <c r="R387" s="9" t="s">
        <v>12795</v>
      </c>
      <c r="S387" s="9" t="s">
        <v>12795</v>
      </c>
      <c r="T387" s="9"/>
      <c r="U387" s="9"/>
      <c r="V387" s="9"/>
      <c r="W387" s="9"/>
      <c r="X387" s="9"/>
      <c r="Y387" s="9"/>
      <c r="Z387" s="9"/>
      <c r="AA387" s="9"/>
      <c r="AB387" s="9"/>
      <c r="AC387" s="9"/>
      <c r="AD387" s="9" t="s">
        <v>20</v>
      </c>
    </row>
    <row r="388" spans="1:30" ht="145">
      <c r="A388" s="3" t="s">
        <v>4325</v>
      </c>
      <c r="B388" s="3" t="s">
        <v>12572</v>
      </c>
      <c r="C388" s="3" t="s">
        <v>12573</v>
      </c>
      <c r="G388" s="9" t="s">
        <v>25</v>
      </c>
      <c r="H388" s="9"/>
      <c r="I388" s="9">
        <v>8</v>
      </c>
      <c r="J388" s="9">
        <v>31</v>
      </c>
      <c r="K388" s="9"/>
      <c r="L388" s="9" t="s">
        <v>12073</v>
      </c>
      <c r="M388" s="9" t="s">
        <v>12140</v>
      </c>
      <c r="N388" s="10" t="s">
        <v>12278</v>
      </c>
      <c r="O388" s="9"/>
      <c r="P388" s="9">
        <v>6</v>
      </c>
      <c r="Q388" s="9"/>
      <c r="R388" s="9" t="s">
        <v>12795</v>
      </c>
      <c r="S388" s="9" t="s">
        <v>12795</v>
      </c>
      <c r="T388" s="9"/>
      <c r="U388" s="9"/>
      <c r="V388" s="9"/>
      <c r="W388" s="9"/>
      <c r="X388" s="9"/>
      <c r="Y388" s="9"/>
      <c r="Z388" s="9"/>
      <c r="AA388" s="9"/>
      <c r="AB388" s="9"/>
      <c r="AC388" s="9"/>
      <c r="AD388" s="9" t="s">
        <v>20</v>
      </c>
    </row>
    <row r="389" spans="1:30" ht="43.5">
      <c r="A389" s="3" t="s">
        <v>4333</v>
      </c>
      <c r="B389" s="3" t="s">
        <v>11028</v>
      </c>
      <c r="C389" s="3" t="s">
        <v>11029</v>
      </c>
      <c r="G389" s="9" t="s">
        <v>25</v>
      </c>
      <c r="H389" s="9"/>
      <c r="I389" s="9">
        <v>1</v>
      </c>
      <c r="J389" s="9">
        <v>6</v>
      </c>
      <c r="K389" s="9" t="s">
        <v>12092</v>
      </c>
      <c r="L389" s="9" t="s">
        <v>12073</v>
      </c>
      <c r="M389" s="9" t="s">
        <v>12149</v>
      </c>
      <c r="N389" s="10" t="s">
        <v>12143</v>
      </c>
      <c r="O389" s="9"/>
      <c r="P389" s="9">
        <v>128</v>
      </c>
      <c r="Q389" s="9"/>
      <c r="R389" s="9" t="s">
        <v>12795</v>
      </c>
      <c r="S389" s="9" t="s">
        <v>12795</v>
      </c>
      <c r="T389" s="9"/>
      <c r="U389" s="9"/>
      <c r="V389" s="9"/>
      <c r="W389" s="9"/>
      <c r="X389" s="9"/>
      <c r="Y389" s="9"/>
      <c r="Z389" s="9"/>
      <c r="AA389" s="9"/>
      <c r="AB389" s="9"/>
      <c r="AC389" s="9"/>
      <c r="AD389" s="9" t="s">
        <v>20</v>
      </c>
    </row>
    <row r="390" spans="1:30" ht="72.5">
      <c r="A390" s="3" t="s">
        <v>4335</v>
      </c>
      <c r="B390" s="3" t="s">
        <v>12946</v>
      </c>
      <c r="C390" s="3" t="s">
        <v>11033</v>
      </c>
      <c r="G390" s="9" t="s">
        <v>24</v>
      </c>
      <c r="H390" s="9"/>
      <c r="I390" s="9">
        <v>1</v>
      </c>
      <c r="J390" s="9">
        <v>6</v>
      </c>
      <c r="K390" s="9" t="s">
        <v>12072</v>
      </c>
      <c r="L390" s="9" t="s">
        <v>12073</v>
      </c>
      <c r="M390" s="9" t="s">
        <v>12142</v>
      </c>
      <c r="N390" s="10" t="s">
        <v>12143</v>
      </c>
      <c r="O390" s="9"/>
      <c r="P390" s="9">
        <v>92</v>
      </c>
      <c r="Q390" s="9"/>
      <c r="R390" s="9" t="s">
        <v>12795</v>
      </c>
      <c r="S390" s="9" t="s">
        <v>12795</v>
      </c>
      <c r="T390" s="9"/>
      <c r="U390" s="9"/>
      <c r="V390" s="9"/>
      <c r="W390" s="9"/>
      <c r="X390" s="9"/>
      <c r="Y390" s="9"/>
      <c r="Z390" s="9"/>
      <c r="AA390" s="9"/>
      <c r="AB390" s="9"/>
      <c r="AC390" s="9"/>
      <c r="AD390" s="9" t="s">
        <v>13141</v>
      </c>
    </row>
    <row r="391" spans="1:30" ht="43.5">
      <c r="A391" s="3" t="s">
        <v>4347</v>
      </c>
      <c r="B391" s="3" t="s">
        <v>11069</v>
      </c>
      <c r="C391" s="3" t="s">
        <v>11070</v>
      </c>
      <c r="G391" s="9" t="s">
        <v>25</v>
      </c>
      <c r="H391" s="9"/>
      <c r="I391" s="9">
        <v>1</v>
      </c>
      <c r="J391" s="9">
        <v>3</v>
      </c>
      <c r="K391" s="9" t="s">
        <v>12096</v>
      </c>
      <c r="L391" s="9" t="s">
        <v>12079</v>
      </c>
      <c r="M391" s="9"/>
      <c r="N391" s="10"/>
      <c r="O391" s="9"/>
      <c r="P391" s="9">
        <v>560</v>
      </c>
      <c r="Q391" s="9"/>
      <c r="R391" s="9" t="s">
        <v>12795</v>
      </c>
      <c r="S391" s="9" t="s">
        <v>12795</v>
      </c>
      <c r="T391" s="9"/>
      <c r="U391" s="9"/>
      <c r="V391" s="9"/>
      <c r="W391" s="9"/>
      <c r="X391" s="9"/>
      <c r="Y391" s="9"/>
      <c r="Z391" s="9"/>
      <c r="AA391" s="9"/>
      <c r="AB391" s="9"/>
      <c r="AC391" s="9"/>
      <c r="AD391" s="9" t="s">
        <v>20</v>
      </c>
    </row>
    <row r="392" spans="1:30" ht="87">
      <c r="A392" s="3" t="s">
        <v>4370</v>
      </c>
      <c r="B392" s="3" t="s">
        <v>11133</v>
      </c>
      <c r="C392" s="3" t="s">
        <v>11134</v>
      </c>
      <c r="G392" s="9" t="s">
        <v>24</v>
      </c>
      <c r="H392" s="9"/>
      <c r="I392" s="9">
        <v>1</v>
      </c>
      <c r="J392" s="9">
        <v>2</v>
      </c>
      <c r="K392" s="9" t="s">
        <v>12096</v>
      </c>
      <c r="L392" s="9" t="s">
        <v>12119</v>
      </c>
      <c r="M392" s="9"/>
      <c r="N392" s="10"/>
      <c r="O392" s="9" t="s">
        <v>12074</v>
      </c>
      <c r="P392" s="9">
        <v>1294</v>
      </c>
      <c r="Q392" s="9"/>
      <c r="R392" s="9" t="s">
        <v>12795</v>
      </c>
      <c r="S392" s="9" t="s">
        <v>12795</v>
      </c>
      <c r="T392" s="9"/>
      <c r="U392" s="9"/>
      <c r="V392" s="9"/>
      <c r="W392" s="9"/>
      <c r="X392" s="9"/>
      <c r="Y392" s="9"/>
      <c r="Z392" s="9"/>
      <c r="AA392" s="9"/>
      <c r="AB392" s="9"/>
      <c r="AC392" s="9"/>
      <c r="AD392" s="9" t="s">
        <v>20</v>
      </c>
    </row>
    <row r="393" spans="1:30" ht="87">
      <c r="A393" s="3" t="s">
        <v>4370</v>
      </c>
      <c r="B393" s="3" t="s">
        <v>11137</v>
      </c>
      <c r="C393" s="3" t="s">
        <v>11132</v>
      </c>
      <c r="G393" s="9" t="s">
        <v>25</v>
      </c>
      <c r="H393" s="9"/>
      <c r="I393" s="9">
        <v>4</v>
      </c>
      <c r="J393" s="9">
        <v>17</v>
      </c>
      <c r="K393" s="9"/>
      <c r="L393" s="9" t="s">
        <v>12073</v>
      </c>
      <c r="M393" s="9" t="s">
        <v>12140</v>
      </c>
      <c r="N393" s="10" t="s">
        <v>12136</v>
      </c>
      <c r="O393" s="9"/>
      <c r="P393" s="9">
        <v>63</v>
      </c>
      <c r="Q393" s="9"/>
      <c r="R393" s="9" t="s">
        <v>12795</v>
      </c>
      <c r="S393" s="9" t="s">
        <v>12795</v>
      </c>
      <c r="T393" s="9"/>
      <c r="U393" s="9"/>
      <c r="V393" s="9"/>
      <c r="W393" s="9"/>
      <c r="X393" s="9"/>
      <c r="Y393" s="9"/>
      <c r="Z393" s="9"/>
      <c r="AA393" s="9"/>
      <c r="AB393" s="9"/>
      <c r="AC393" s="9"/>
      <c r="AD393" s="9" t="s">
        <v>20</v>
      </c>
    </row>
    <row r="394" spans="1:30" ht="58">
      <c r="A394" s="3" t="s">
        <v>4376</v>
      </c>
      <c r="B394" s="3" t="s">
        <v>11155</v>
      </c>
      <c r="C394" s="3" t="s">
        <v>11154</v>
      </c>
      <c r="G394" s="9" t="s">
        <v>25</v>
      </c>
      <c r="H394" s="9"/>
      <c r="I394" s="9">
        <v>1</v>
      </c>
      <c r="J394" s="9">
        <v>2</v>
      </c>
      <c r="K394" s="9" t="s">
        <v>12087</v>
      </c>
      <c r="L394" s="9" t="s">
        <v>12119</v>
      </c>
      <c r="M394" s="9"/>
      <c r="N394" s="10"/>
      <c r="O394" s="9"/>
      <c r="P394" s="9">
        <v>1966</v>
      </c>
      <c r="Q394" s="9"/>
      <c r="R394" s="9" t="s">
        <v>12795</v>
      </c>
      <c r="S394" s="9" t="s">
        <v>12795</v>
      </c>
      <c r="T394" s="9"/>
      <c r="U394" s="9"/>
      <c r="V394" s="9"/>
      <c r="W394" s="9"/>
      <c r="X394" s="9"/>
      <c r="Y394" s="9"/>
      <c r="Z394" s="9"/>
      <c r="AA394" s="9"/>
      <c r="AB394" s="9"/>
      <c r="AC394" s="9"/>
      <c r="AD394" s="9" t="s">
        <v>20</v>
      </c>
    </row>
    <row r="395" spans="1:30" ht="43.5">
      <c r="A395" s="3" t="s">
        <v>4381</v>
      </c>
      <c r="B395" s="3" t="s">
        <v>11169</v>
      </c>
      <c r="C395" s="3" t="s">
        <v>11170</v>
      </c>
      <c r="F395" t="s">
        <v>19</v>
      </c>
      <c r="G395" s="9" t="s">
        <v>24</v>
      </c>
      <c r="H395" s="9"/>
      <c r="I395" s="9">
        <v>1</v>
      </c>
      <c r="J395" s="9">
        <v>5</v>
      </c>
      <c r="K395" s="9" t="s">
        <v>12094</v>
      </c>
      <c r="L395" s="9" t="s">
        <v>12073</v>
      </c>
      <c r="M395" s="9" t="s">
        <v>12149</v>
      </c>
      <c r="N395" s="10" t="s">
        <v>12143</v>
      </c>
      <c r="O395" s="9"/>
      <c r="P395" s="9">
        <v>4240</v>
      </c>
      <c r="Q395" s="9"/>
      <c r="R395" s="9" t="s">
        <v>12795</v>
      </c>
      <c r="S395" s="9" t="s">
        <v>12795</v>
      </c>
      <c r="T395" s="9"/>
      <c r="U395" s="9"/>
      <c r="V395" s="9"/>
      <c r="W395" s="9"/>
      <c r="X395" s="9"/>
      <c r="Y395" s="9"/>
      <c r="Z395" s="9"/>
      <c r="AA395" s="9"/>
      <c r="AB395" s="9"/>
      <c r="AC395" s="9"/>
      <c r="AD395" s="9" t="s">
        <v>20</v>
      </c>
    </row>
    <row r="396" spans="1:30" ht="29">
      <c r="A396" s="3" t="s">
        <v>4423</v>
      </c>
      <c r="B396" s="3" t="s">
        <v>11251</v>
      </c>
      <c r="C396" s="3" t="s">
        <v>11252</v>
      </c>
      <c r="G396" s="9" t="s">
        <v>25</v>
      </c>
      <c r="H396" s="9"/>
      <c r="I396" s="9">
        <v>1</v>
      </c>
      <c r="J396" s="9">
        <v>3</v>
      </c>
      <c r="K396" s="9" t="s">
        <v>12078</v>
      </c>
      <c r="L396" s="9" t="s">
        <v>12079</v>
      </c>
      <c r="M396" s="9"/>
      <c r="N396" s="10"/>
      <c r="O396" s="9"/>
      <c r="P396" s="9">
        <v>11843</v>
      </c>
      <c r="Q396" s="9"/>
      <c r="R396" s="9" t="s">
        <v>12795</v>
      </c>
      <c r="S396" s="9" t="s">
        <v>12795</v>
      </c>
      <c r="T396" s="9"/>
      <c r="U396" s="9"/>
      <c r="V396" s="9"/>
      <c r="W396" s="9"/>
      <c r="X396" s="9"/>
      <c r="Y396" s="9"/>
      <c r="Z396" s="9"/>
      <c r="AA396" s="9"/>
      <c r="AB396" s="9"/>
      <c r="AC396" s="9"/>
      <c r="AD396" s="9" t="s">
        <v>20</v>
      </c>
    </row>
    <row r="397" spans="1:30" ht="29">
      <c r="A397" s="3" t="s">
        <v>4447</v>
      </c>
      <c r="B397" s="3" t="s">
        <v>11305</v>
      </c>
      <c r="C397" s="3" t="s">
        <v>11304</v>
      </c>
      <c r="G397" s="9" t="s">
        <v>24</v>
      </c>
      <c r="H397" s="9"/>
      <c r="I397" s="9">
        <v>1</v>
      </c>
      <c r="J397" s="9">
        <v>1</v>
      </c>
      <c r="K397" s="9" t="s">
        <v>12078</v>
      </c>
      <c r="L397" s="9" t="s">
        <v>12119</v>
      </c>
      <c r="M397" s="9"/>
      <c r="N397" s="10"/>
      <c r="O397" s="9"/>
      <c r="P397" s="9">
        <v>11843</v>
      </c>
      <c r="Q397" s="9"/>
      <c r="R397" s="9" t="s">
        <v>12795</v>
      </c>
      <c r="S397" s="9" t="s">
        <v>12795</v>
      </c>
      <c r="T397" s="9"/>
      <c r="U397" s="9"/>
      <c r="V397" s="9"/>
      <c r="W397" s="9"/>
      <c r="X397" s="9"/>
      <c r="Y397" s="9"/>
      <c r="Z397" s="9"/>
      <c r="AA397" s="9"/>
      <c r="AB397" s="9"/>
      <c r="AC397" s="9"/>
      <c r="AD397" s="9" t="s">
        <v>20</v>
      </c>
    </row>
    <row r="398" spans="1:30" ht="43.5">
      <c r="A398" s="3" t="s">
        <v>4481</v>
      </c>
      <c r="B398" s="3" t="s">
        <v>11349</v>
      </c>
      <c r="C398" s="3" t="s">
        <v>11346</v>
      </c>
      <c r="G398" s="9" t="s">
        <v>25</v>
      </c>
      <c r="H398" s="9"/>
      <c r="I398" s="9">
        <v>2</v>
      </c>
      <c r="J398" s="9">
        <v>8</v>
      </c>
      <c r="K398" s="9"/>
      <c r="L398" s="9" t="s">
        <v>12079</v>
      </c>
      <c r="M398" s="9"/>
      <c r="N398" s="10"/>
      <c r="O398" s="9"/>
      <c r="P398" s="9">
        <v>16</v>
      </c>
      <c r="Q398" s="9"/>
      <c r="R398" s="9" t="s">
        <v>12795</v>
      </c>
      <c r="S398" s="9" t="s">
        <v>12795</v>
      </c>
      <c r="T398" s="9"/>
      <c r="U398" s="9"/>
      <c r="V398" s="9"/>
      <c r="W398" s="9"/>
      <c r="X398" s="9"/>
      <c r="Y398" s="9"/>
      <c r="Z398" s="9"/>
      <c r="AA398" s="9"/>
      <c r="AB398" s="9"/>
      <c r="AC398" s="9"/>
      <c r="AD398" s="9" t="s">
        <v>13141</v>
      </c>
    </row>
    <row r="399" spans="1:30" ht="29">
      <c r="A399" s="3" t="s">
        <v>4485</v>
      </c>
      <c r="B399" s="3" t="s">
        <v>11367</v>
      </c>
      <c r="C399" s="3" t="s">
        <v>11368</v>
      </c>
      <c r="F399" t="s">
        <v>19</v>
      </c>
      <c r="G399" s="9" t="s">
        <v>25</v>
      </c>
      <c r="H399" s="9"/>
      <c r="I399" s="9">
        <v>1</v>
      </c>
      <c r="J399" s="9">
        <v>3</v>
      </c>
      <c r="K399" s="9" t="s">
        <v>12078</v>
      </c>
      <c r="L399" s="9" t="s">
        <v>12079</v>
      </c>
      <c r="M399" s="9"/>
      <c r="N399" s="10"/>
      <c r="O399" s="9"/>
      <c r="P399" s="9">
        <v>11843</v>
      </c>
      <c r="Q399" s="9"/>
      <c r="R399" s="9" t="s">
        <v>12795</v>
      </c>
      <c r="S399" s="9" t="s">
        <v>12795</v>
      </c>
      <c r="T399" s="9"/>
      <c r="U399" s="9"/>
      <c r="V399" s="9"/>
      <c r="W399" s="9"/>
      <c r="X399" s="9"/>
      <c r="Y399" s="9"/>
      <c r="Z399" s="9"/>
      <c r="AA399" s="9"/>
      <c r="AB399" s="9"/>
      <c r="AC399" s="9"/>
      <c r="AD399" s="9" t="s">
        <v>20</v>
      </c>
    </row>
    <row r="400" spans="1:30" ht="29">
      <c r="A400" s="3" t="s">
        <v>4509</v>
      </c>
      <c r="B400" s="3" t="s">
        <v>11440</v>
      </c>
      <c r="C400" s="3" t="s">
        <v>11441</v>
      </c>
      <c r="G400" s="9" t="s">
        <v>25</v>
      </c>
      <c r="H400" s="9"/>
      <c r="I400" s="9">
        <v>1</v>
      </c>
      <c r="J400" s="9">
        <v>2</v>
      </c>
      <c r="K400" s="9" t="s">
        <v>12078</v>
      </c>
      <c r="L400" s="9" t="s">
        <v>12119</v>
      </c>
      <c r="M400" s="9"/>
      <c r="N400" s="10"/>
      <c r="O400" s="9"/>
      <c r="P400" s="9">
        <v>11843</v>
      </c>
      <c r="Q400" s="9"/>
      <c r="R400" s="9" t="s">
        <v>12795</v>
      </c>
      <c r="S400" s="9" t="s">
        <v>12795</v>
      </c>
      <c r="T400" s="9"/>
      <c r="U400" s="9"/>
      <c r="V400" s="9"/>
      <c r="W400" s="9"/>
      <c r="X400" s="9"/>
      <c r="Y400" s="9"/>
      <c r="Z400" s="9"/>
      <c r="AA400" s="9"/>
      <c r="AB400" s="9"/>
      <c r="AC400" s="9"/>
      <c r="AD400" s="9" t="s">
        <v>20</v>
      </c>
    </row>
    <row r="401" spans="1:30" ht="43.5">
      <c r="A401" s="3" t="s">
        <v>4525</v>
      </c>
      <c r="B401" s="3" t="s">
        <v>11501</v>
      </c>
      <c r="C401" s="3" t="s">
        <v>11500</v>
      </c>
      <c r="G401" s="9" t="s">
        <v>25</v>
      </c>
      <c r="H401" s="9"/>
      <c r="I401" s="9">
        <v>1</v>
      </c>
      <c r="J401" s="9">
        <v>5</v>
      </c>
      <c r="K401" s="9" t="s">
        <v>12125</v>
      </c>
      <c r="L401" s="9" t="s">
        <v>12073</v>
      </c>
      <c r="M401" s="9" t="s">
        <v>12142</v>
      </c>
      <c r="N401" s="10" t="s">
        <v>12143</v>
      </c>
      <c r="O401" s="9"/>
      <c r="P401" s="9">
        <v>1565</v>
      </c>
      <c r="Q401" s="9"/>
      <c r="R401" s="9" t="s">
        <v>12795</v>
      </c>
      <c r="S401" s="9" t="s">
        <v>12795</v>
      </c>
      <c r="T401" s="9"/>
      <c r="U401" s="9"/>
      <c r="V401" s="9"/>
      <c r="W401" s="9"/>
      <c r="X401" s="9"/>
      <c r="Y401" s="9"/>
      <c r="Z401" s="9"/>
      <c r="AA401" s="9"/>
      <c r="AB401" s="9"/>
      <c r="AC401" s="9"/>
      <c r="AD401" s="9" t="s">
        <v>20</v>
      </c>
    </row>
    <row r="402" spans="1:30" ht="58">
      <c r="A402" s="3" t="s">
        <v>4566</v>
      </c>
      <c r="B402" s="3" t="s">
        <v>11593</v>
      </c>
      <c r="C402" s="3" t="s">
        <v>13081</v>
      </c>
      <c r="G402" s="9" t="s">
        <v>25</v>
      </c>
      <c r="H402" s="9"/>
      <c r="I402" s="9">
        <v>1</v>
      </c>
      <c r="J402" s="9">
        <v>3</v>
      </c>
      <c r="K402" s="9" t="s">
        <v>12092</v>
      </c>
      <c r="L402" s="9" t="s">
        <v>12079</v>
      </c>
      <c r="M402" s="9"/>
      <c r="N402" s="10"/>
      <c r="O402" s="9"/>
      <c r="P402" s="9">
        <v>79</v>
      </c>
      <c r="Q402" s="9"/>
      <c r="R402" s="9" t="s">
        <v>12795</v>
      </c>
      <c r="S402" s="9" t="s">
        <v>12795</v>
      </c>
      <c r="T402" s="9"/>
      <c r="U402" s="9"/>
      <c r="V402" s="9"/>
      <c r="W402" s="9"/>
      <c r="X402" s="9"/>
      <c r="Y402" s="9"/>
      <c r="Z402" s="9"/>
      <c r="AA402" s="9"/>
      <c r="AB402" s="9"/>
      <c r="AC402" s="9"/>
      <c r="AD402" s="9" t="s">
        <v>13141</v>
      </c>
    </row>
    <row r="403" spans="1:30" ht="43.5">
      <c r="A403" s="3" t="s">
        <v>4600</v>
      </c>
      <c r="B403" s="3" t="s">
        <v>11676</v>
      </c>
      <c r="C403" s="3" t="s">
        <v>11675</v>
      </c>
      <c r="G403" s="9" t="s">
        <v>24</v>
      </c>
      <c r="H403" s="9"/>
      <c r="I403" s="9">
        <v>1</v>
      </c>
      <c r="J403" s="9">
        <v>3</v>
      </c>
      <c r="K403" s="9" t="s">
        <v>12087</v>
      </c>
      <c r="L403" s="9" t="s">
        <v>12073</v>
      </c>
      <c r="M403" s="9" t="s">
        <v>12149</v>
      </c>
      <c r="N403" s="10" t="s">
        <v>12143</v>
      </c>
      <c r="O403" s="9"/>
      <c r="P403" s="9">
        <v>5676</v>
      </c>
      <c r="Q403" s="9"/>
      <c r="R403" s="9" t="s">
        <v>12795</v>
      </c>
      <c r="S403" s="9" t="s">
        <v>12795</v>
      </c>
      <c r="T403" s="9"/>
      <c r="U403" s="9"/>
      <c r="V403" s="9"/>
      <c r="W403" s="9"/>
      <c r="X403" s="9"/>
      <c r="Y403" s="9"/>
      <c r="Z403" s="9"/>
      <c r="AA403" s="9"/>
      <c r="AB403" s="9"/>
      <c r="AC403" s="9"/>
      <c r="AD403" s="9" t="s">
        <v>20</v>
      </c>
    </row>
    <row r="404" spans="1:30" ht="58">
      <c r="A404" s="3" t="s">
        <v>4624</v>
      </c>
      <c r="B404" s="3" t="s">
        <v>11717</v>
      </c>
      <c r="C404" s="3" t="s">
        <v>11716</v>
      </c>
      <c r="G404" s="9" t="s">
        <v>25</v>
      </c>
      <c r="H404" s="9"/>
      <c r="I404" s="9">
        <v>1</v>
      </c>
      <c r="J404" s="9">
        <v>2</v>
      </c>
      <c r="K404" s="9" t="s">
        <v>12078</v>
      </c>
      <c r="L404" s="9" t="s">
        <v>12119</v>
      </c>
      <c r="M404" s="9"/>
      <c r="N404" s="10"/>
      <c r="O404" s="9"/>
      <c r="P404" s="9">
        <v>11843</v>
      </c>
      <c r="Q404" s="9"/>
      <c r="R404" s="9" t="s">
        <v>12795</v>
      </c>
      <c r="S404" s="9" t="s">
        <v>12795</v>
      </c>
      <c r="T404" s="9"/>
      <c r="U404" s="9"/>
      <c r="V404" s="9"/>
      <c r="W404" s="9"/>
      <c r="X404" s="9"/>
      <c r="Y404" s="9"/>
      <c r="Z404" s="9"/>
      <c r="AA404" s="9"/>
      <c r="AB404" s="9"/>
      <c r="AC404" s="9"/>
      <c r="AD404" s="9" t="s">
        <v>20</v>
      </c>
    </row>
    <row r="405" spans="1:30" ht="29">
      <c r="A405" s="3" t="s">
        <v>4641</v>
      </c>
      <c r="B405" s="3" t="s">
        <v>11765</v>
      </c>
      <c r="C405" s="3" t="s">
        <v>11766</v>
      </c>
      <c r="F405" t="s">
        <v>19</v>
      </c>
      <c r="G405" s="9" t="s">
        <v>25</v>
      </c>
      <c r="H405" s="9"/>
      <c r="I405" s="9">
        <v>1</v>
      </c>
      <c r="J405" s="9">
        <v>3</v>
      </c>
      <c r="K405" s="9" t="s">
        <v>12078</v>
      </c>
      <c r="L405" s="9" t="s">
        <v>12079</v>
      </c>
      <c r="M405" s="9"/>
      <c r="N405" s="10"/>
      <c r="O405" s="9"/>
      <c r="P405" s="9">
        <v>11843</v>
      </c>
      <c r="Q405" s="9"/>
      <c r="R405" s="9" t="s">
        <v>12795</v>
      </c>
      <c r="S405" s="9" t="s">
        <v>12795</v>
      </c>
      <c r="T405" s="9"/>
      <c r="U405" s="9"/>
      <c r="V405" s="9"/>
      <c r="W405" s="9"/>
      <c r="X405" s="9"/>
      <c r="Y405" s="9"/>
      <c r="Z405" s="9"/>
      <c r="AA405" s="9"/>
      <c r="AB405" s="9"/>
      <c r="AC405" s="9"/>
      <c r="AD405" s="9" t="s">
        <v>20</v>
      </c>
    </row>
    <row r="406" spans="1:30" ht="58">
      <c r="A406" s="3" t="s">
        <v>4644</v>
      </c>
      <c r="B406" s="3" t="s">
        <v>11777</v>
      </c>
      <c r="C406" s="3" t="s">
        <v>11776</v>
      </c>
      <c r="G406" s="9" t="s">
        <v>25</v>
      </c>
      <c r="H406" s="9"/>
      <c r="I406" s="9">
        <v>3</v>
      </c>
      <c r="J406" s="9">
        <v>8</v>
      </c>
      <c r="K406" s="9"/>
      <c r="L406" s="9" t="s">
        <v>12079</v>
      </c>
      <c r="M406" s="9"/>
      <c r="N406" s="10"/>
      <c r="O406" s="9"/>
      <c r="P406" s="9">
        <v>12</v>
      </c>
      <c r="Q406" s="9"/>
      <c r="R406" s="9" t="s">
        <v>12795</v>
      </c>
      <c r="S406" s="9" t="s">
        <v>12795</v>
      </c>
      <c r="T406" s="9"/>
      <c r="U406" s="9"/>
      <c r="V406" s="9"/>
      <c r="W406" s="9"/>
      <c r="X406" s="9"/>
      <c r="Y406" s="9"/>
      <c r="Z406" s="9"/>
      <c r="AA406" s="9"/>
      <c r="AB406" s="9"/>
      <c r="AC406" s="9"/>
      <c r="AD406" s="9" t="s">
        <v>20</v>
      </c>
    </row>
    <row r="407" spans="1:30" ht="29">
      <c r="A407" s="3" t="s">
        <v>4653</v>
      </c>
      <c r="B407" s="3" t="s">
        <v>11815</v>
      </c>
      <c r="C407" s="3" t="s">
        <v>11814</v>
      </c>
      <c r="G407" s="9" t="s">
        <v>24</v>
      </c>
      <c r="H407" s="9"/>
      <c r="I407" s="9">
        <v>1</v>
      </c>
      <c r="J407" s="9">
        <v>2</v>
      </c>
      <c r="K407" s="9" t="s">
        <v>12087</v>
      </c>
      <c r="L407" s="9" t="s">
        <v>12119</v>
      </c>
      <c r="M407" s="9"/>
      <c r="N407" s="10"/>
      <c r="O407" s="9"/>
      <c r="P407" s="9">
        <v>166</v>
      </c>
      <c r="Q407" s="9"/>
      <c r="R407" s="9" t="s">
        <v>12795</v>
      </c>
      <c r="S407" s="9" t="s">
        <v>12795</v>
      </c>
      <c r="T407" s="9" t="s">
        <v>4</v>
      </c>
      <c r="U407" s="9"/>
      <c r="V407" s="9"/>
      <c r="W407" s="9"/>
      <c r="X407" s="9"/>
      <c r="Y407" s="9"/>
      <c r="Z407" s="9"/>
      <c r="AA407" s="9"/>
      <c r="AB407" s="9"/>
      <c r="AC407" s="9"/>
      <c r="AD407" s="9" t="s">
        <v>20</v>
      </c>
    </row>
    <row r="408" spans="1:30" ht="29">
      <c r="A408" s="3" t="s">
        <v>4655</v>
      </c>
      <c r="B408" s="3" t="s">
        <v>11829</v>
      </c>
      <c r="C408" s="3" t="s">
        <v>11830</v>
      </c>
      <c r="F408" t="s">
        <v>19</v>
      </c>
      <c r="G408" s="9" t="s">
        <v>24</v>
      </c>
      <c r="H408" s="9"/>
      <c r="I408" s="9">
        <v>1</v>
      </c>
      <c r="J408" s="9">
        <v>3</v>
      </c>
      <c r="K408" s="9" t="s">
        <v>12094</v>
      </c>
      <c r="L408" s="9" t="s">
        <v>12079</v>
      </c>
      <c r="M408" s="9"/>
      <c r="N408" s="10"/>
      <c r="O408" s="9"/>
      <c r="P408" s="9">
        <v>1496</v>
      </c>
      <c r="Q408" s="9"/>
      <c r="R408" s="9" t="s">
        <v>12795</v>
      </c>
      <c r="S408" s="9" t="s">
        <v>12795</v>
      </c>
      <c r="T408" s="9"/>
      <c r="U408" s="9"/>
      <c r="V408" s="9"/>
      <c r="W408" s="9"/>
      <c r="X408" s="9"/>
      <c r="Y408" s="9"/>
      <c r="Z408" s="9"/>
      <c r="AA408" s="9"/>
      <c r="AB408" s="9"/>
      <c r="AC408" s="9"/>
      <c r="AD408" s="9" t="s">
        <v>20</v>
      </c>
    </row>
    <row r="409" spans="1:30" ht="72.5">
      <c r="A409" s="3" t="s">
        <v>4711</v>
      </c>
      <c r="B409" s="3" t="s">
        <v>11971</v>
      </c>
      <c r="C409" s="3" t="s">
        <v>11969</v>
      </c>
      <c r="G409" s="9" t="s">
        <v>25</v>
      </c>
      <c r="H409" s="9"/>
      <c r="I409" s="9">
        <v>1</v>
      </c>
      <c r="J409" s="9">
        <v>3</v>
      </c>
      <c r="K409" s="9" t="s">
        <v>12087</v>
      </c>
      <c r="L409" s="9" t="s">
        <v>12079</v>
      </c>
      <c r="M409" s="9"/>
      <c r="N409" s="10"/>
      <c r="O409" s="9"/>
      <c r="P409" s="9">
        <v>5676</v>
      </c>
      <c r="Q409" s="9"/>
      <c r="R409" s="9" t="s">
        <v>12795</v>
      </c>
      <c r="S409" s="9" t="s">
        <v>12795</v>
      </c>
      <c r="T409" s="9"/>
      <c r="U409" s="9"/>
      <c r="V409" s="9"/>
      <c r="W409" s="9"/>
      <c r="X409" s="9"/>
      <c r="Y409" s="9"/>
      <c r="Z409" s="9"/>
      <c r="AA409" s="9"/>
      <c r="AB409" s="9"/>
      <c r="AC409" s="9"/>
      <c r="AD409" s="9" t="s">
        <v>20</v>
      </c>
    </row>
    <row r="410" spans="1:30" ht="43.5">
      <c r="A410" s="3" t="s">
        <v>4727</v>
      </c>
      <c r="B410" s="3" t="s">
        <v>11999</v>
      </c>
      <c r="C410" s="3" t="s">
        <v>12000</v>
      </c>
      <c r="G410" s="9" t="s">
        <v>25</v>
      </c>
      <c r="H410" s="9"/>
      <c r="I410" s="9">
        <v>1</v>
      </c>
      <c r="J410" s="9">
        <v>2</v>
      </c>
      <c r="K410" s="9" t="s">
        <v>12123</v>
      </c>
      <c r="L410" s="9" t="s">
        <v>12119</v>
      </c>
      <c r="M410" s="9"/>
      <c r="N410" s="10"/>
      <c r="O410" s="9"/>
      <c r="P410" s="9">
        <v>887</v>
      </c>
      <c r="Q410" s="9"/>
      <c r="R410" s="9" t="s">
        <v>12795</v>
      </c>
      <c r="S410" s="9" t="s">
        <v>12795</v>
      </c>
      <c r="T410" s="9"/>
      <c r="U410" s="9"/>
      <c r="V410" s="9"/>
      <c r="W410" s="9"/>
      <c r="X410" s="9"/>
      <c r="Y410" s="9"/>
      <c r="Z410" s="9"/>
      <c r="AA410" s="9"/>
      <c r="AB410" s="9"/>
      <c r="AC410" s="9"/>
      <c r="AD410" s="9" t="s">
        <v>20</v>
      </c>
    </row>
    <row r="411" spans="1:30" ht="58">
      <c r="A411" s="3" t="s">
        <v>4728</v>
      </c>
      <c r="B411" s="3" t="s">
        <v>12004</v>
      </c>
      <c r="C411" s="3" t="s">
        <v>12003</v>
      </c>
      <c r="G411" s="9" t="s">
        <v>24</v>
      </c>
      <c r="H411" s="9"/>
      <c r="I411" s="9">
        <v>1</v>
      </c>
      <c r="J411" s="9">
        <v>7</v>
      </c>
      <c r="K411" s="9" t="s">
        <v>12092</v>
      </c>
      <c r="L411" s="9" t="s">
        <v>12079</v>
      </c>
      <c r="M411" s="9"/>
      <c r="N411" s="10"/>
      <c r="O411" s="9"/>
      <c r="P411" s="9">
        <v>3</v>
      </c>
      <c r="Q411" s="9"/>
      <c r="R411" s="9" t="s">
        <v>12795</v>
      </c>
      <c r="S411" s="9" t="s">
        <v>12795</v>
      </c>
      <c r="T411" s="9"/>
      <c r="U411" s="9"/>
      <c r="V411" s="9"/>
      <c r="W411" s="9"/>
      <c r="X411" s="9"/>
      <c r="Y411" s="9"/>
      <c r="Z411" s="9"/>
      <c r="AA411" s="9"/>
      <c r="AB411" s="9"/>
      <c r="AC411" s="9"/>
      <c r="AD411" s="9" t="s">
        <v>20</v>
      </c>
    </row>
    <row r="412" spans="1:30" ht="58">
      <c r="A412" s="3" t="s">
        <v>4734</v>
      </c>
      <c r="B412" s="3" t="s">
        <v>12010</v>
      </c>
      <c r="C412" s="3" t="s">
        <v>12009</v>
      </c>
      <c r="G412" s="9" t="s">
        <v>24</v>
      </c>
      <c r="H412" s="9"/>
      <c r="I412" s="9">
        <v>1</v>
      </c>
      <c r="J412" s="9">
        <v>8</v>
      </c>
      <c r="K412" s="9" t="s">
        <v>12125</v>
      </c>
      <c r="L412" s="9" t="s">
        <v>12073</v>
      </c>
      <c r="M412" s="9" t="s">
        <v>12142</v>
      </c>
      <c r="N412" s="10" t="s">
        <v>12143</v>
      </c>
      <c r="O412" s="9"/>
      <c r="P412" s="9">
        <v>11</v>
      </c>
      <c r="Q412" s="9"/>
      <c r="R412" s="9" t="s">
        <v>12795</v>
      </c>
      <c r="S412" s="9" t="s">
        <v>12795</v>
      </c>
      <c r="T412" s="9"/>
      <c r="U412" s="9"/>
      <c r="V412" s="9"/>
      <c r="W412" s="9"/>
      <c r="X412" s="9"/>
      <c r="Y412" s="9"/>
      <c r="Z412" s="9"/>
      <c r="AA412" s="9"/>
      <c r="AB412" s="9"/>
      <c r="AC412" s="9"/>
      <c r="AD412" s="9" t="s">
        <v>20</v>
      </c>
    </row>
    <row r="413" spans="1:30" ht="29">
      <c r="A413" s="3" t="s">
        <v>4742</v>
      </c>
      <c r="B413" s="3" t="s">
        <v>12014</v>
      </c>
      <c r="C413" s="3" t="s">
        <v>12013</v>
      </c>
      <c r="G413" s="9" t="s">
        <v>24</v>
      </c>
      <c r="H413" s="9"/>
      <c r="I413" s="9">
        <v>1</v>
      </c>
      <c r="J413" s="9">
        <v>2</v>
      </c>
      <c r="K413" s="9" t="s">
        <v>12087</v>
      </c>
      <c r="L413" s="9" t="s">
        <v>12119</v>
      </c>
      <c r="M413" s="9"/>
      <c r="N413" s="10"/>
      <c r="O413" s="9"/>
      <c r="P413" s="9">
        <v>166</v>
      </c>
      <c r="Q413" s="9"/>
      <c r="R413" s="9" t="s">
        <v>12795</v>
      </c>
      <c r="S413" s="9" t="s">
        <v>12795</v>
      </c>
      <c r="T413" s="9"/>
      <c r="U413" s="9"/>
      <c r="V413" s="9"/>
      <c r="W413" s="9"/>
      <c r="X413" s="9"/>
      <c r="Y413" s="9"/>
      <c r="Z413" s="9"/>
      <c r="AA413" s="9"/>
      <c r="AB413" s="9"/>
      <c r="AC413" s="9"/>
      <c r="AD413" s="9" t="s">
        <v>20</v>
      </c>
    </row>
    <row r="414" spans="1:30" ht="58">
      <c r="A414" s="3" t="s">
        <v>4760</v>
      </c>
      <c r="B414" s="3" t="s">
        <v>12034</v>
      </c>
      <c r="C414" s="3" t="s">
        <v>12033</v>
      </c>
      <c r="G414" s="9" t="s">
        <v>25</v>
      </c>
      <c r="H414" s="9"/>
      <c r="I414" s="9">
        <v>1</v>
      </c>
      <c r="J414" s="9">
        <v>3</v>
      </c>
      <c r="K414" s="9" t="s">
        <v>12087</v>
      </c>
      <c r="L414" s="9" t="s">
        <v>12079</v>
      </c>
      <c r="M414" s="9"/>
      <c r="N414" s="10"/>
      <c r="O414" s="9"/>
      <c r="P414" s="9">
        <v>5676</v>
      </c>
      <c r="Q414" s="9"/>
      <c r="R414" s="9" t="s">
        <v>12795</v>
      </c>
      <c r="S414" s="9" t="s">
        <v>12795</v>
      </c>
      <c r="T414" s="9"/>
      <c r="U414" s="9"/>
      <c r="V414" s="9"/>
      <c r="W414" s="9"/>
      <c r="X414" s="9"/>
      <c r="Y414" s="9"/>
      <c r="Z414" s="9"/>
      <c r="AA414" s="9"/>
      <c r="AB414" s="9"/>
      <c r="AC414" s="9"/>
      <c r="AD414" s="9" t="s">
        <v>20</v>
      </c>
    </row>
    <row r="415" spans="1:30" ht="29">
      <c r="A415" s="3" t="s">
        <v>4767</v>
      </c>
      <c r="B415" s="3" t="s">
        <v>12048</v>
      </c>
      <c r="C415" s="3" t="s">
        <v>12047</v>
      </c>
      <c r="F415" t="s">
        <v>19</v>
      </c>
      <c r="G415" s="9" t="s">
        <v>25</v>
      </c>
      <c r="H415" s="9"/>
      <c r="I415" s="9">
        <v>1</v>
      </c>
      <c r="J415" s="9">
        <v>3</v>
      </c>
      <c r="K415" s="9" t="s">
        <v>12078</v>
      </c>
      <c r="L415" s="9" t="s">
        <v>12079</v>
      </c>
      <c r="M415" s="9"/>
      <c r="N415" s="10"/>
      <c r="O415" s="9"/>
      <c r="P415" s="9">
        <v>11843</v>
      </c>
      <c r="Q415" s="9"/>
      <c r="R415" s="9" t="s">
        <v>12795</v>
      </c>
      <c r="S415" s="9" t="s">
        <v>12795</v>
      </c>
      <c r="T415" s="9"/>
      <c r="U415" s="9"/>
      <c r="V415" s="9"/>
      <c r="W415" s="9"/>
      <c r="X415" s="9"/>
      <c r="Y415" s="9"/>
      <c r="Z415" s="9"/>
      <c r="AA415" s="9"/>
      <c r="AB415" s="9"/>
      <c r="AC415" s="9"/>
      <c r="AD415" s="9" t="s">
        <v>20</v>
      </c>
    </row>
    <row r="416" spans="1:30" ht="29">
      <c r="A416" s="3" t="s">
        <v>4768</v>
      </c>
      <c r="B416" s="3" t="s">
        <v>12054</v>
      </c>
      <c r="C416" s="3" t="s">
        <v>12053</v>
      </c>
      <c r="G416" s="9" t="s">
        <v>24</v>
      </c>
      <c r="H416" s="9"/>
      <c r="I416" s="9">
        <v>1</v>
      </c>
      <c r="J416" s="9">
        <v>2</v>
      </c>
      <c r="K416" s="9" t="s">
        <v>12087</v>
      </c>
      <c r="L416" s="9" t="s">
        <v>12119</v>
      </c>
      <c r="M416" s="9"/>
      <c r="N416" s="10"/>
      <c r="O416" s="9"/>
      <c r="P416" s="9">
        <v>1966</v>
      </c>
      <c r="Q416" s="9"/>
      <c r="R416" s="9" t="s">
        <v>12795</v>
      </c>
      <c r="S416" s="9" t="s">
        <v>12795</v>
      </c>
      <c r="T416" s="9"/>
      <c r="U416" s="9"/>
      <c r="V416" s="9"/>
      <c r="W416" s="9"/>
      <c r="X416" s="9"/>
      <c r="Y416" s="9"/>
      <c r="Z416" s="9"/>
      <c r="AA416" s="9"/>
      <c r="AB416" s="9"/>
      <c r="AC416" s="9"/>
      <c r="AD416" s="9" t="s">
        <v>13141</v>
      </c>
    </row>
    <row r="419" spans="2:6">
      <c r="E419" t="s">
        <v>12764</v>
      </c>
      <c r="F419">
        <f>COUNTIF(G:G,"Addition")</f>
        <v>100</v>
      </c>
    </row>
    <row r="420" spans="2:6">
      <c r="B420" t="s">
        <v>12767</v>
      </c>
      <c r="C420" t="s">
        <v>12768</v>
      </c>
      <c r="E420" t="s">
        <v>12765</v>
      </c>
      <c r="F420">
        <f>COUNTIF(G:G,"Omission")</f>
        <v>315</v>
      </c>
    </row>
    <row r="421" spans="2:6">
      <c r="B421" t="s">
        <v>12078</v>
      </c>
      <c r="C421" t="s">
        <v>12072</v>
      </c>
      <c r="E421" t="s">
        <v>12766</v>
      </c>
      <c r="F421">
        <f>F419/(F419+F420)</f>
        <v>0.24096385542168675</v>
      </c>
    </row>
    <row r="422" spans="2:6">
      <c r="B422" t="s">
        <v>12087</v>
      </c>
      <c r="C422" t="s">
        <v>12084</v>
      </c>
    </row>
    <row r="423" spans="2:6">
      <c r="B423" t="s">
        <v>12094</v>
      </c>
      <c r="C423" t="s">
        <v>12092</v>
      </c>
    </row>
    <row r="424" spans="2:6">
      <c r="B424" t="s">
        <v>12096</v>
      </c>
      <c r="C424" t="s">
        <v>12098</v>
      </c>
      <c r="E424" t="s">
        <v>12769</v>
      </c>
      <c r="F424">
        <f>COUNTIFS(G:G,"Addition", K:K,"Article")+COUNTIFS(G:G,"Addition", K:K,"Conjunction")+COUNTIFS(G:G,"Addition", K:K,"Pronoun")+COUNTIFS(G:G,"Addition", K:K,"Preposition")+COUNTIFS(G:G,"Addition", K:K,"Particle")+COUNTIFS(G:G,"Addition", K:K,"Vocative")</f>
        <v>74</v>
      </c>
    </row>
    <row r="425" spans="2:6">
      <c r="B425" t="s">
        <v>12123</v>
      </c>
      <c r="C425" t="s">
        <v>12125</v>
      </c>
      <c r="E425" t="s">
        <v>12770</v>
      </c>
      <c r="F425">
        <f>COUNTIFS(G:G,"Omission", K:K,"Article")+COUNTIFS(G:G,"Omission", K:K,"Conjunction")+COUNTIFS(G:G,"Omission", K:K,"Pronoun")+COUNTIFS(G:G,"Omission", K:K,"Preposition")+COUNTIFS(G:G,"Omission", K:K,"Particle")+COUNTIFS(G:G,"Omission", K:K,"Vocative")</f>
        <v>201</v>
      </c>
    </row>
    <row r="426" spans="2:6">
      <c r="B426" t="s">
        <v>12099</v>
      </c>
      <c r="E426" t="s">
        <v>12771</v>
      </c>
      <c r="F426">
        <f>F424/(F424+F425)</f>
        <v>0.2690909090909091</v>
      </c>
    </row>
    <row r="429" spans="2:6">
      <c r="E429" t="s">
        <v>12776</v>
      </c>
      <c r="F429">
        <f>COUNTIFS(G:G,"Addition", K:K,"Adjective")+COUNTIFS(G:G,"Addition", K:K,"Adverb")+COUNTIFS(G:G,"Addition", K:K,"Noun")+COUNTIFS(G:G,"Addition", K:K,"Participle")+COUNTIFS(G:G,"Addition", K:K,"Verb")</f>
        <v>12</v>
      </c>
    </row>
    <row r="430" spans="2:6">
      <c r="E430" t="s">
        <v>12777</v>
      </c>
      <c r="F430">
        <f>COUNTIFS(G:G,"Omission", K:K,"Adjective")+COUNTIFS(G:G,"Omission", K:K,"Adverb")+COUNTIFS(G:G,"Omission", K:K,"Noun")+COUNTIFS(G:G,"Omission", K:K,"Participle")+COUNTIFS(G:G,"Omission", K:K,"Verb")</f>
        <v>46</v>
      </c>
    </row>
    <row r="431" spans="2:6">
      <c r="E431" t="s">
        <v>12778</v>
      </c>
      <c r="F431">
        <f>F429/(F429+F430)</f>
        <v>0.20689655172413793</v>
      </c>
    </row>
    <row r="432" spans="2:6">
      <c r="E432" t="s">
        <v>12783</v>
      </c>
      <c r="F432">
        <f>F431-F426</f>
        <v>-6.2194357366771175E-2</v>
      </c>
    </row>
    <row r="435" spans="3:6">
      <c r="D435" s="22" t="s">
        <v>12779</v>
      </c>
      <c r="E435" s="22"/>
      <c r="F435" s="22"/>
    </row>
    <row r="436" spans="3:6">
      <c r="D436" t="s">
        <v>12073</v>
      </c>
      <c r="E436" t="s">
        <v>12780</v>
      </c>
      <c r="F436" t="s">
        <v>12781</v>
      </c>
    </row>
    <row r="437" spans="3:6">
      <c r="C437" t="s">
        <v>12773</v>
      </c>
      <c r="D437">
        <f>COUNTIFS(G:G,"Addition", L:L, "Present")</f>
        <v>25</v>
      </c>
      <c r="E437">
        <f>COUNTIFS(G:G,"Addition", L:L, "Absent")</f>
        <v>43</v>
      </c>
      <c r="F437">
        <f>D437/(D437+E437)</f>
        <v>0.36764705882352944</v>
      </c>
    </row>
    <row r="438" spans="3:6">
      <c r="C438" t="s">
        <v>12774</v>
      </c>
      <c r="D438">
        <f>COUNTIFS(G:G,"Omission", L:L, "Present")</f>
        <v>69</v>
      </c>
      <c r="E438">
        <f>COUNTIFS(G:G,"Omission", L:L, "Absent")</f>
        <v>143</v>
      </c>
      <c r="F438">
        <f>D438/(D438+E438)</f>
        <v>0.32547169811320753</v>
      </c>
    </row>
    <row r="439" spans="3:6">
      <c r="C439" t="s">
        <v>12782</v>
      </c>
      <c r="D439">
        <f>SUM(D437+D438)</f>
        <v>94</v>
      </c>
      <c r="E439">
        <f>SUM(E437+E438)</f>
        <v>186</v>
      </c>
      <c r="F439">
        <f>D439/(D439+E439)</f>
        <v>0.33571428571428569</v>
      </c>
    </row>
    <row r="442" spans="3:6">
      <c r="D442" t="s">
        <v>12773</v>
      </c>
      <c r="E442" t="s">
        <v>12774</v>
      </c>
      <c r="F442" t="s">
        <v>12784</v>
      </c>
    </row>
    <row r="443" spans="3:6">
      <c r="C443" t="s">
        <v>12785</v>
      </c>
      <c r="D443">
        <f>COUNTIFS(G:G,"Addition", L:L, "Absent")</f>
        <v>43</v>
      </c>
      <c r="E443">
        <f>COUNTIFS(G:G,"Omission", L:L, "Absent")</f>
        <v>143</v>
      </c>
      <c r="F443">
        <f>D443/(D443+E443)</f>
        <v>0.23118279569892472</v>
      </c>
    </row>
    <row r="444" spans="3:6">
      <c r="C444" t="s">
        <v>12786</v>
      </c>
      <c r="D444">
        <f>COUNTIFS(G:G,"Addition", L:L, "Present")</f>
        <v>25</v>
      </c>
      <c r="E444">
        <f>COUNTIFS(G:G,"Omission", L:L, "Present")</f>
        <v>69</v>
      </c>
      <c r="F444">
        <f>D444/(D444+E444)</f>
        <v>0.26595744680851063</v>
      </c>
    </row>
    <row r="445" spans="3:6">
      <c r="E445" t="s">
        <v>12852</v>
      </c>
      <c r="F445">
        <f>F444-F443</f>
        <v>3.4774651109585913E-2</v>
      </c>
    </row>
    <row r="448" spans="3:6">
      <c r="D448" t="s">
        <v>12773</v>
      </c>
      <c r="E448" t="s">
        <v>12774</v>
      </c>
      <c r="F448" t="s">
        <v>12784</v>
      </c>
    </row>
    <row r="449" spans="3:6">
      <c r="C449" t="s">
        <v>12787</v>
      </c>
      <c r="D449">
        <f>COUNTIFS(G:G,"Addition", O:O, "")</f>
        <v>80</v>
      </c>
      <c r="E449">
        <f>COUNTIFS(G:G,"Omission", O:O, "")</f>
        <v>306</v>
      </c>
      <c r="F449">
        <f>D449/(D449+E449)</f>
        <v>0.20725388601036268</v>
      </c>
    </row>
    <row r="450" spans="3:6">
      <c r="C450" t="s">
        <v>12788</v>
      </c>
      <c r="D450">
        <f>COUNTIFS(G:G,"Addition", O:O, "Dittography")</f>
        <v>19</v>
      </c>
      <c r="E450">
        <f>COUNTIFS(G:G,"Omission", O:O, "Dittography")</f>
        <v>9</v>
      </c>
      <c r="F450">
        <f>D450/(D450+E450)</f>
        <v>0.6785714285714286</v>
      </c>
    </row>
    <row r="451" spans="3:6">
      <c r="E451" t="s">
        <v>12852</v>
      </c>
      <c r="F451">
        <f>F450-F449</f>
        <v>0.47131754256106595</v>
      </c>
    </row>
    <row r="454" spans="3:6">
      <c r="C454" t="s">
        <v>12772</v>
      </c>
      <c r="D454" t="s">
        <v>12773</v>
      </c>
      <c r="E454" t="s">
        <v>12774</v>
      </c>
      <c r="F454" t="s">
        <v>12784</v>
      </c>
    </row>
    <row r="455" spans="3:6">
      <c r="C455" s="12">
        <v>1</v>
      </c>
      <c r="D455">
        <f>COUNTIFS(G:G,"Addition", I:I, 1)</f>
        <v>86</v>
      </c>
      <c r="E455">
        <f>COUNTIFS(G:G,"Omission", I:I, 1)</f>
        <v>247</v>
      </c>
      <c r="F455">
        <f>D455/(D455+E455)</f>
        <v>0.25825825825825827</v>
      </c>
    </row>
    <row r="456" spans="3:6">
      <c r="C456" s="12" t="s">
        <v>12789</v>
      </c>
      <c r="D456">
        <f>COUNTIFS(G:G,"Addition", I:I, "&gt;=2", I:I, "&lt;=3")</f>
        <v>10</v>
      </c>
      <c r="E456">
        <f>COUNTIFS(G:G,"Omission", I:I, "&gt;=2", I:I, "&lt;=3")</f>
        <v>43</v>
      </c>
      <c r="F456">
        <f>D456/(D456+E456)</f>
        <v>0.18867924528301888</v>
      </c>
    </row>
    <row r="457" spans="3:6">
      <c r="C457" s="12" t="s">
        <v>12790</v>
      </c>
      <c r="D457">
        <f>COUNTIFS(G:G,"Addition", I:I, "&gt;=4")</f>
        <v>4</v>
      </c>
      <c r="E457">
        <f>COUNTIFS(G:G,"Omission", I:I, "&gt;=4")</f>
        <v>25</v>
      </c>
      <c r="F457">
        <f>D457/(D457+E457)</f>
        <v>0.13793103448275862</v>
      </c>
    </row>
    <row r="460" spans="3:6">
      <c r="C460" t="s">
        <v>12772</v>
      </c>
      <c r="D460" t="s">
        <v>12773</v>
      </c>
      <c r="E460" t="s">
        <v>12774</v>
      </c>
      <c r="F460" t="s">
        <v>12775</v>
      </c>
    </row>
    <row r="461" spans="3:6">
      <c r="C461">
        <v>1</v>
      </c>
      <c r="D461" s="12">
        <f>COUNTIFS(G:G,"Addition", I:I, C461)</f>
        <v>86</v>
      </c>
      <c r="E461">
        <f>COUNTIFS(G:G,"Omission", I:I, C461)</f>
        <v>247</v>
      </c>
      <c r="F461">
        <f>D461/(D461+E461)</f>
        <v>0.25825825825825827</v>
      </c>
    </row>
    <row r="462" spans="3:6">
      <c r="C462">
        <v>2</v>
      </c>
      <c r="D462" s="12">
        <f>COUNTIFS(G:G,"Addition", I:I, C462)</f>
        <v>9</v>
      </c>
      <c r="E462">
        <f>COUNTIFS(G:G,"Omission", I:I, C462)</f>
        <v>26</v>
      </c>
      <c r="F462">
        <f>D462/(D462+E462)</f>
        <v>0.25714285714285712</v>
      </c>
    </row>
    <row r="463" spans="3:6">
      <c r="C463">
        <v>3</v>
      </c>
      <c r="D463" s="12">
        <f>COUNTIFS(G:G,"Addition", I:I, C463)</f>
        <v>1</v>
      </c>
      <c r="E463">
        <f>COUNTIFS(G:G,"Omission", I:I, C463)</f>
        <v>17</v>
      </c>
      <c r="F463">
        <f>D463/(D463+E463)</f>
        <v>5.5555555555555552E-2</v>
      </c>
    </row>
    <row r="464" spans="3:6">
      <c r="C464">
        <v>4</v>
      </c>
      <c r="D464" s="12">
        <f>COUNTIFS(G:G,"Addition", I:I, C464)</f>
        <v>1</v>
      </c>
      <c r="E464">
        <f>COUNTIFS(G:G,"Omission", I:I, C464)</f>
        <v>8</v>
      </c>
      <c r="F464">
        <f>D464/(D464+E464)</f>
        <v>0.1111111111111111</v>
      </c>
    </row>
    <row r="465" spans="3:6">
      <c r="C465" t="s">
        <v>12791</v>
      </c>
      <c r="D465" s="12">
        <f>COUNTIFS(G:G,"Addition", I:I, C465)</f>
        <v>3</v>
      </c>
      <c r="E465">
        <f>COUNTIFS(G:G,"Omission", I:I, C465)</f>
        <v>17</v>
      </c>
      <c r="F465">
        <f>D465/(D465+E465)</f>
        <v>0.15</v>
      </c>
    </row>
    <row r="466" spans="3:6">
      <c r="D466" s="12"/>
    </row>
    <row r="468" spans="3:6">
      <c r="E468" t="s">
        <v>12792</v>
      </c>
      <c r="F468">
        <v>83220</v>
      </c>
    </row>
  </sheetData>
  <mergeCells count="1">
    <mergeCell ref="D435:F435"/>
  </mergeCells>
  <conditionalFormatting sqref="G2:G416">
    <cfRule type="expression" dxfId="134" priority="4">
      <formula>$J2&lt;&gt;""</formula>
    </cfRule>
    <cfRule type="expression" dxfId="133" priority="5">
      <formula>$J2=""</formula>
    </cfRule>
  </conditionalFormatting>
  <conditionalFormatting sqref="H2:L416 O2:P416">
    <cfRule type="expression" dxfId="132" priority="13">
      <formula>AND($J2&lt;&gt;"Addition",$J2&lt;&gt;"Omission",$J2&lt;&gt;"Substitution - Word")</formula>
    </cfRule>
  </conditionalFormatting>
  <conditionalFormatting sqref="H2:P416">
    <cfRule type="expression" dxfId="131" priority="23">
      <formula>AND(OR($J2="Addition",$J2="Omission"), H2&lt;&gt;"")</formula>
    </cfRule>
  </conditionalFormatting>
  <conditionalFormatting sqref="K2:K416">
    <cfRule type="expression" dxfId="130" priority="10">
      <formula>AND($L2&lt;&gt;"",$L2&gt;1)</formula>
    </cfRule>
  </conditionalFormatting>
  <conditionalFormatting sqref="M2:N416">
    <cfRule type="expression" dxfId="129" priority="6">
      <formula>$O2="Absent"</formula>
    </cfRule>
    <cfRule type="expression" dxfId="128" priority="7">
      <formula>$O2="NA"</formula>
    </cfRule>
    <cfRule type="expression" dxfId="127" priority="8">
      <formula>AND(OR($J2="Addition",$J2="Omission"), M2="")</formula>
    </cfRule>
    <cfRule type="expression" dxfId="126" priority="9">
      <formula>AND($J2&lt;&gt;"Addition",$J2&lt;&gt;"Omission")</formula>
    </cfRule>
  </conditionalFormatting>
  <conditionalFormatting sqref="O2:O416">
    <cfRule type="expression" dxfId="125" priority="11">
      <formula>OR($J2="Addition",$J2="Omission",$J2 = "Substitution - Word")</formula>
    </cfRule>
  </conditionalFormatting>
  <conditionalFormatting sqref="O2:P416 H2:L416">
    <cfRule type="expression" dxfId="124" priority="12">
      <formula>AND(OR($J2="Addition",$J2="Omission"), H2="")</formula>
    </cfRule>
  </conditionalFormatting>
  <conditionalFormatting sqref="Q2:S416">
    <cfRule type="expression" dxfId="123" priority="20">
      <formula>AND(AND(LEFT($J2,3)="Sub", RIGHT($J2,4)&lt;&gt;"Form"),$T2&lt;&gt;"")</formula>
    </cfRule>
    <cfRule type="expression" dxfId="122" priority="21">
      <formula>AND(AND(LEFT($J2,3)="Sub", RIGHT($J2,4)&lt;&gt;"Form"),$T2="")</formula>
    </cfRule>
    <cfRule type="expression" dxfId="121" priority="22">
      <formula>"&lt;&gt;AND(LEFT($J2,3)=""Sub"", RIGHT($J2,4)&lt;&gt;""Form"")"</formula>
    </cfRule>
  </conditionalFormatting>
  <conditionalFormatting sqref="R2:S416">
    <cfRule type="expression" dxfId="120" priority="1">
      <formula>AND(AND(LEFT($J2,3)="Sub", RIGHT($J2,4)&lt;&gt;"Form"),$T2&lt;&gt;"")</formula>
    </cfRule>
    <cfRule type="expression" dxfId="119" priority="2">
      <formula>AND(AND(LEFT($J2,3)="Sub", RIGHT($J2,4)&lt;&gt;"Form"),$T2="")</formula>
    </cfRule>
    <cfRule type="expression" dxfId="118" priority="3">
      <formula>"&lt;&gt;AND(LEFT($J2,3)=""Sub"", RIGHT($J2,4)&lt;&gt;""Form"")"</formula>
    </cfRule>
  </conditionalFormatting>
  <conditionalFormatting sqref="T2:T416">
    <cfRule type="expression" dxfId="117" priority="15">
      <formula>AND($W2&lt;&gt;"",OR($AD2="Yes",$AE2&lt;&gt;""))</formula>
    </cfRule>
    <cfRule type="expression" dxfId="116" priority="16">
      <formula>OR($AD2="Yes",$AE2&lt;&gt;"")</formula>
    </cfRule>
    <cfRule type="expression" dxfId="115" priority="26">
      <formula>AND($AD2&lt;&gt;"Yes",$AE2="")</formula>
    </cfRule>
  </conditionalFormatting>
  <conditionalFormatting sqref="T2:AD416">
    <cfRule type="expression" dxfId="114" priority="24">
      <formula>AND($J2&lt;&gt;"",$J2&lt;&gt;"Unclear due to correction")</formula>
    </cfRule>
    <cfRule type="expression" dxfId="113" priority="25">
      <formula>OR($J2="",$J2="Unclear due to correction")</formula>
    </cfRule>
  </conditionalFormatting>
  <conditionalFormatting sqref="U2:U416">
    <cfRule type="expression" dxfId="112" priority="14">
      <formula>AND($J2&lt;&gt;"",$J2&lt;&gt;"Unclear due to correction",$X2="")</formula>
    </cfRule>
  </conditionalFormatting>
  <conditionalFormatting sqref="V2:V416">
    <cfRule type="expression" dxfId="111" priority="17">
      <formula>AND($X2="Yes",$Y2="")</formula>
    </cfRule>
    <cfRule type="expression" dxfId="110" priority="18">
      <formula>$X2=""</formula>
    </cfRule>
  </conditionalFormatting>
  <conditionalFormatting sqref="AA2:AA416">
    <cfRule type="expression" dxfId="109" priority="19">
      <formula>AND(OR($AB2&lt;&gt;"",$AC2&lt;&gt;""),$AD2="")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7">
        <x14:dataValidation type="list" allowBlank="1" showInputMessage="1" showErrorMessage="1" xr:uid="{71F6F784-4E1D-41CB-84E7-16CD6DA9AB68}">
          <x14:formula1>
            <xm:f>'Data Regularization'!$D$2:$D$1048576</xm:f>
          </x14:formula1>
          <xm:sqref>G1:G416</xm:sqref>
        </x14:dataValidation>
        <x14:dataValidation type="list" allowBlank="1" showInputMessage="1" showErrorMessage="1" xr:uid="{A3B202A8-45E8-4639-9BF3-3FAB7E5ABDA3}">
          <x14:formula1>
            <xm:f>'Data Regularization'!$B$2:$B$1048576</xm:f>
          </x14:formula1>
          <xm:sqref>E2:E416</xm:sqref>
        </x14:dataValidation>
        <x14:dataValidation type="list" allowBlank="1" showInputMessage="1" showErrorMessage="1" xr:uid="{4275923C-3688-4A63-B0BF-D25540415CB3}">
          <x14:formula1>
            <xm:f>'Data Regularization'!$C$2:$C$29</xm:f>
          </x14:formula1>
          <xm:sqref>F2:F416</xm:sqref>
        </x14:dataValidation>
        <x14:dataValidation type="list" allowBlank="1" showInputMessage="1" showErrorMessage="1" xr:uid="{7CC77F7E-B177-4664-A866-7B3BFA563779}">
          <x14:formula1>
            <xm:f>'Data Regularization'!$A$2:$A$1048576</xm:f>
          </x14:formula1>
          <xm:sqref>D2:D416</xm:sqref>
        </x14:dataValidation>
        <x14:dataValidation type="list" allowBlank="1" showInputMessage="1" showErrorMessage="1" xr:uid="{BC673E52-235C-46F3-84E4-FF030EAFCFC5}">
          <x14:formula1>
            <xm:f>'Data Regularization'!$E$2:$E$1048576</xm:f>
          </x14:formula1>
          <xm:sqref>K2:K416</xm:sqref>
        </x14:dataValidation>
        <x14:dataValidation type="list" allowBlank="1" showInputMessage="1" showErrorMessage="1" xr:uid="{6D86DE02-1BAC-4E7A-B66D-4B1A37581FD0}">
          <x14:formula1>
            <xm:f>'Data Regularization'!$F$2:$F$1048576</xm:f>
          </x14:formula1>
          <xm:sqref>L2:L416</xm:sqref>
        </x14:dataValidation>
        <x14:dataValidation type="list" allowBlank="1" showInputMessage="1" showErrorMessage="1" xr:uid="{3B5E7BB3-3F42-4011-B349-3C92B56EDBAF}">
          <x14:formula1>
            <xm:f>'Data Regularization'!$G$2:$G$1048576</xm:f>
          </x14:formula1>
          <xm:sqref>O2:O416</xm:sqref>
        </x14:dataValidation>
        <x14:dataValidation type="list" allowBlank="1" showInputMessage="1" showErrorMessage="1" xr:uid="{5FF6FE33-C1EE-4FCD-AFDD-089D0A518684}">
          <x14:formula1>
            <xm:f>'Data Regularization'!$K$2:$K$1048576</xm:f>
          </x14:formula1>
          <xm:sqref>V2:V416</xm:sqref>
        </x14:dataValidation>
        <x14:dataValidation type="list" allowBlank="1" showInputMessage="1" showErrorMessage="1" xr:uid="{2BB77804-4B9A-4123-8D94-8BA8509F345D}">
          <x14:formula1>
            <xm:f>'Data Regularization'!$L$2:$L$1048576</xm:f>
          </x14:formula1>
          <xm:sqref>W2:W416</xm:sqref>
        </x14:dataValidation>
        <x14:dataValidation type="list" allowBlank="1" showInputMessage="1" showErrorMessage="1" xr:uid="{8000CEB4-1635-4224-B9AE-61D645E3F3EC}">
          <x14:formula1>
            <xm:f>'Data Regularization'!$N$2:$N$1048576</xm:f>
          </x14:formula1>
          <xm:sqref>X2:X416</xm:sqref>
        </x14:dataValidation>
        <x14:dataValidation type="list" allowBlank="1" showInputMessage="1" showErrorMessage="1" xr:uid="{07FFADAA-835E-4DDA-AC20-2C0CDCA70CEF}">
          <x14:formula1>
            <xm:f>'Data Regularization'!$O$2:$O$1048576</xm:f>
          </x14:formula1>
          <xm:sqref>Y2:Y416</xm:sqref>
        </x14:dataValidation>
        <x14:dataValidation type="list" allowBlank="1" showInputMessage="1" showErrorMessage="1" xr:uid="{520A3E33-55FE-47EB-AE90-D96FC7C6379D}">
          <x14:formula1>
            <xm:f>'Data Regularization'!$P$2:$P$1048576</xm:f>
          </x14:formula1>
          <xm:sqref>AA2:AA416</xm:sqref>
        </x14:dataValidation>
        <x14:dataValidation type="list" allowBlank="1" showInputMessage="1" showErrorMessage="1" xr:uid="{EF6679DC-EFE6-49CD-AF4A-35421A1ED4B9}">
          <x14:formula1>
            <xm:f>'Data Regularization'!$Q$2:$Q$1048576</xm:f>
          </x14:formula1>
          <xm:sqref>AB2:AB416</xm:sqref>
        </x14:dataValidation>
        <x14:dataValidation type="list" allowBlank="1" showInputMessage="1" showErrorMessage="1" xr:uid="{40879275-BC22-4B7A-9108-CB493C651961}">
          <x14:formula1>
            <xm:f>'Data Regularization'!$H$2:$H$1048576</xm:f>
          </x14:formula1>
          <xm:sqref>T2:T416</xm:sqref>
        </x14:dataValidation>
        <x14:dataValidation type="list" allowBlank="1" showInputMessage="1" xr:uid="{E2A56C39-920D-4BBB-BF8A-A45C607823FE}">
          <x14:formula1>
            <xm:f>'Data Regularization'!$J$2:$J$1048576</xm:f>
          </x14:formula1>
          <xm:sqref>U2:U416</xm:sqref>
        </x14:dataValidation>
        <x14:dataValidation type="list" allowBlank="1" showInputMessage="1" showErrorMessage="1" xr:uid="{1C9D5630-B952-4379-AB0B-57CFCE63178B}">
          <x14:formula1>
            <xm:f>'Data Regularization'!$R$2:$R$1048576</xm:f>
          </x14:formula1>
          <xm:sqref>AC2:AC416</xm:sqref>
        </x14:dataValidation>
        <x14:dataValidation type="list" allowBlank="1" showInputMessage="1" showErrorMessage="1" xr:uid="{15211BA8-FB3A-4816-8821-A6918AE594AA}">
          <x14:formula1>
            <xm:f>'Data Regularization'!$S$2:$S$5</xm:f>
          </x14:formula1>
          <xm:sqref>AD2:AD416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20AC-1890-4043-8DAD-7521AE5F8194}">
  <dimension ref="A1:AD293"/>
  <sheetViews>
    <sheetView topLeftCell="A274" workbookViewId="0">
      <selection activeCell="A276" sqref="A276"/>
    </sheetView>
  </sheetViews>
  <sheetFormatPr defaultRowHeight="14.5"/>
  <sheetData>
    <row r="1" spans="1:30"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12112</v>
      </c>
      <c r="U1" s="1" t="s">
        <v>12113</v>
      </c>
      <c r="V1" s="1" t="s">
        <v>12114</v>
      </c>
      <c r="W1" s="1" t="s">
        <v>12068</v>
      </c>
      <c r="X1" s="1" t="s">
        <v>12069</v>
      </c>
      <c r="Y1" s="1" t="s">
        <v>12070</v>
      </c>
      <c r="Z1" s="1" t="s">
        <v>12111</v>
      </c>
      <c r="AA1" s="1" t="s">
        <v>12115</v>
      </c>
      <c r="AB1" s="1" t="s">
        <v>12071</v>
      </c>
      <c r="AC1" s="1" t="s">
        <v>12116</v>
      </c>
      <c r="AD1" s="1" t="s">
        <v>13140</v>
      </c>
    </row>
    <row r="2" spans="1:30" ht="43.5">
      <c r="A2" s="3" t="s">
        <v>108</v>
      </c>
      <c r="B2" s="3" t="s">
        <v>4804</v>
      </c>
      <c r="C2" s="3" t="s">
        <v>4805</v>
      </c>
      <c r="F2" t="s">
        <v>19</v>
      </c>
      <c r="G2" s="9" t="s">
        <v>25</v>
      </c>
      <c r="H2" s="9"/>
      <c r="I2" s="9">
        <v>1</v>
      </c>
      <c r="J2" s="9">
        <v>2</v>
      </c>
      <c r="K2" s="9" t="s">
        <v>12078</v>
      </c>
      <c r="L2" s="9" t="s">
        <v>12119</v>
      </c>
      <c r="M2" s="9"/>
      <c r="N2" s="10"/>
      <c r="O2" s="9"/>
      <c r="P2" s="9">
        <v>11843</v>
      </c>
      <c r="Q2" s="9"/>
      <c r="R2" s="9" t="s">
        <v>12795</v>
      </c>
      <c r="S2" s="9" t="s">
        <v>12795</v>
      </c>
      <c r="T2" s="9"/>
      <c r="U2" s="9"/>
      <c r="V2" s="9"/>
      <c r="W2" s="9"/>
      <c r="X2" s="9"/>
      <c r="Y2" s="9"/>
      <c r="Z2" s="9"/>
      <c r="AA2" s="9"/>
      <c r="AB2" s="9"/>
      <c r="AC2" s="9"/>
      <c r="AD2" s="9" t="s">
        <v>20</v>
      </c>
    </row>
    <row r="3" spans="1:30" ht="43.5">
      <c r="A3" s="3" t="s">
        <v>148</v>
      </c>
      <c r="B3" s="3" t="s">
        <v>4831</v>
      </c>
      <c r="C3" s="3" t="s">
        <v>4832</v>
      </c>
      <c r="G3" s="9" t="s">
        <v>25</v>
      </c>
      <c r="H3" s="9"/>
      <c r="I3" s="9">
        <v>1</v>
      </c>
      <c r="J3" s="9">
        <v>3</v>
      </c>
      <c r="K3" s="9" t="s">
        <v>12078</v>
      </c>
      <c r="L3" s="9" t="s">
        <v>12079</v>
      </c>
      <c r="M3" s="9"/>
      <c r="N3" s="10"/>
      <c r="O3" s="9"/>
      <c r="P3" s="9">
        <v>11843</v>
      </c>
      <c r="Q3" s="9"/>
      <c r="R3" s="9" t="s">
        <v>12795</v>
      </c>
      <c r="S3" s="9" t="s">
        <v>12795</v>
      </c>
      <c r="T3" s="9"/>
      <c r="U3" s="9"/>
      <c r="V3" s="9"/>
      <c r="W3" s="9"/>
      <c r="X3" s="9"/>
      <c r="Y3" s="9"/>
      <c r="Z3" s="9"/>
      <c r="AA3" s="9"/>
      <c r="AB3" s="9"/>
      <c r="AC3" s="9"/>
      <c r="AD3" s="9" t="s">
        <v>20</v>
      </c>
    </row>
    <row r="4" spans="1:30" ht="58">
      <c r="A4" s="3" t="s">
        <v>188</v>
      </c>
      <c r="B4" s="3" t="s">
        <v>4857</v>
      </c>
      <c r="C4" s="3" t="s">
        <v>4858</v>
      </c>
      <c r="F4" t="s">
        <v>19</v>
      </c>
      <c r="G4" s="9" t="s">
        <v>25</v>
      </c>
      <c r="H4" s="9"/>
      <c r="I4" s="9">
        <v>1</v>
      </c>
      <c r="J4" s="9">
        <v>4</v>
      </c>
      <c r="K4" s="9" t="s">
        <v>12078</v>
      </c>
      <c r="L4" s="9" t="s">
        <v>12079</v>
      </c>
      <c r="M4" s="9"/>
      <c r="N4" s="10"/>
      <c r="O4" s="9"/>
      <c r="P4" s="9">
        <v>11843</v>
      </c>
      <c r="Q4" s="9"/>
      <c r="R4" s="9" t="s">
        <v>12795</v>
      </c>
      <c r="S4" s="9" t="s">
        <v>12795</v>
      </c>
      <c r="T4" s="9"/>
      <c r="U4" s="9"/>
      <c r="V4" s="9"/>
      <c r="W4" s="9"/>
      <c r="X4" s="9"/>
      <c r="Y4" s="9"/>
      <c r="Z4" s="9"/>
      <c r="AA4" s="9"/>
      <c r="AB4" s="9"/>
      <c r="AC4" s="9"/>
      <c r="AD4" s="9" t="s">
        <v>20</v>
      </c>
    </row>
    <row r="5" spans="1:30" ht="29">
      <c r="A5" s="3" t="s">
        <v>201</v>
      </c>
      <c r="B5" s="3" t="s">
        <v>4871</v>
      </c>
      <c r="C5" s="3" t="s">
        <v>4872</v>
      </c>
      <c r="E5" t="s">
        <v>20</v>
      </c>
      <c r="G5" s="9" t="s">
        <v>24</v>
      </c>
      <c r="H5" s="9"/>
      <c r="I5" s="9">
        <v>1</v>
      </c>
      <c r="J5" s="9">
        <v>2</v>
      </c>
      <c r="K5" s="9" t="s">
        <v>12087</v>
      </c>
      <c r="L5" s="9" t="s">
        <v>12119</v>
      </c>
      <c r="M5" s="9"/>
      <c r="N5" s="10"/>
      <c r="O5" s="9"/>
      <c r="P5" s="9">
        <v>1966</v>
      </c>
      <c r="Q5" s="9"/>
      <c r="R5" s="9" t="s">
        <v>12795</v>
      </c>
      <c r="S5" s="9" t="s">
        <v>12795</v>
      </c>
      <c r="T5" s="9"/>
      <c r="U5" s="9"/>
      <c r="V5" s="9"/>
      <c r="W5" s="9"/>
      <c r="X5" s="9"/>
      <c r="Y5" s="9"/>
      <c r="Z5" s="9"/>
      <c r="AA5" s="9"/>
      <c r="AB5" s="9"/>
      <c r="AC5" s="9"/>
      <c r="AD5" s="9" t="s">
        <v>20</v>
      </c>
    </row>
    <row r="6" spans="1:30" ht="43.5">
      <c r="A6" s="3" t="s">
        <v>246</v>
      </c>
      <c r="B6" s="3" t="s">
        <v>4898</v>
      </c>
      <c r="C6" s="3" t="s">
        <v>4899</v>
      </c>
      <c r="G6" s="9" t="s">
        <v>25</v>
      </c>
      <c r="H6" s="9"/>
      <c r="I6" s="9">
        <v>1</v>
      </c>
      <c r="J6" s="9">
        <v>1</v>
      </c>
      <c r="K6" s="9" t="s">
        <v>12078</v>
      </c>
      <c r="L6" s="9" t="s">
        <v>12119</v>
      </c>
      <c r="M6" s="9"/>
      <c r="N6" s="10"/>
      <c r="O6" s="9"/>
      <c r="P6" s="9">
        <v>11843</v>
      </c>
      <c r="Q6" s="9"/>
      <c r="R6" s="9" t="s">
        <v>12795</v>
      </c>
      <c r="S6" s="9" t="s">
        <v>12795</v>
      </c>
      <c r="T6" s="9"/>
      <c r="U6" s="9"/>
      <c r="V6" s="9"/>
      <c r="W6" s="9"/>
      <c r="X6" s="9"/>
      <c r="Y6" s="9"/>
      <c r="Z6" s="9"/>
      <c r="AA6" s="9"/>
      <c r="AB6" s="9"/>
      <c r="AC6" s="9"/>
      <c r="AD6" s="9" t="s">
        <v>20</v>
      </c>
    </row>
    <row r="7" spans="1:30" ht="43.5">
      <c r="A7" s="3" t="s">
        <v>247</v>
      </c>
      <c r="B7" s="3" t="s">
        <v>4900</v>
      </c>
      <c r="C7" s="3" t="s">
        <v>4901</v>
      </c>
      <c r="G7" s="9" t="s">
        <v>25</v>
      </c>
      <c r="H7" s="9"/>
      <c r="I7" s="9">
        <v>1</v>
      </c>
      <c r="J7" s="9">
        <v>2</v>
      </c>
      <c r="K7" s="9" t="s">
        <v>12078</v>
      </c>
      <c r="L7" s="9" t="s">
        <v>12119</v>
      </c>
      <c r="M7" s="9"/>
      <c r="N7" s="10"/>
      <c r="O7" s="9"/>
      <c r="P7" s="9">
        <v>11843</v>
      </c>
      <c r="Q7" s="9"/>
      <c r="R7" s="9" t="s">
        <v>12795</v>
      </c>
      <c r="S7" s="9" t="s">
        <v>12795</v>
      </c>
      <c r="T7" s="9" t="s">
        <v>12117</v>
      </c>
      <c r="U7" s="9"/>
      <c r="V7" s="9"/>
      <c r="W7" s="9"/>
      <c r="X7" s="9"/>
      <c r="Y7" s="9"/>
      <c r="Z7" s="9"/>
      <c r="AA7" s="9"/>
      <c r="AB7" s="9"/>
      <c r="AC7" s="9"/>
      <c r="AD7" s="9" t="s">
        <v>20</v>
      </c>
    </row>
    <row r="8" spans="1:30" ht="43.5">
      <c r="A8" s="3" t="s">
        <v>268</v>
      </c>
      <c r="B8" s="3" t="s">
        <v>4917</v>
      </c>
      <c r="C8" s="3" t="s">
        <v>4918</v>
      </c>
      <c r="G8" s="9" t="s">
        <v>25</v>
      </c>
      <c r="H8" s="9"/>
      <c r="I8" s="9">
        <v>1</v>
      </c>
      <c r="J8" s="9">
        <v>2</v>
      </c>
      <c r="K8" s="9" t="s">
        <v>12078</v>
      </c>
      <c r="L8" s="9" t="s">
        <v>12119</v>
      </c>
      <c r="M8" s="9"/>
      <c r="N8" s="10"/>
      <c r="O8" s="9"/>
      <c r="P8" s="9">
        <v>11843</v>
      </c>
      <c r="Q8" s="9"/>
      <c r="R8" s="9" t="s">
        <v>12795</v>
      </c>
      <c r="S8" s="9" t="s">
        <v>12795</v>
      </c>
      <c r="T8" s="9"/>
      <c r="U8" s="9"/>
      <c r="V8" s="9"/>
      <c r="W8" s="9"/>
      <c r="X8" s="9"/>
      <c r="Y8" s="9"/>
      <c r="Z8" s="9"/>
      <c r="AA8" s="9"/>
      <c r="AB8" s="9"/>
      <c r="AC8" s="9"/>
      <c r="AD8" s="9" t="s">
        <v>20</v>
      </c>
    </row>
    <row r="9" spans="1:30" ht="43.5">
      <c r="A9" s="3" t="s">
        <v>332</v>
      </c>
      <c r="B9" s="3" t="s">
        <v>4970</v>
      </c>
      <c r="C9" s="3" t="s">
        <v>4971</v>
      </c>
      <c r="F9" t="s">
        <v>19</v>
      </c>
      <c r="G9" s="9" t="s">
        <v>25</v>
      </c>
      <c r="H9" s="9"/>
      <c r="I9" s="9">
        <v>1</v>
      </c>
      <c r="J9" s="9">
        <v>4</v>
      </c>
      <c r="K9" s="9" t="s">
        <v>12078</v>
      </c>
      <c r="L9" s="9" t="s">
        <v>12073</v>
      </c>
      <c r="M9" s="9" t="s">
        <v>12149</v>
      </c>
      <c r="N9" s="10" t="s">
        <v>12143</v>
      </c>
      <c r="O9" s="9"/>
      <c r="P9" s="9">
        <v>11843</v>
      </c>
      <c r="Q9" s="9"/>
      <c r="R9" s="9" t="s">
        <v>12795</v>
      </c>
      <c r="S9" s="9" t="s">
        <v>12795</v>
      </c>
      <c r="T9" s="9"/>
      <c r="U9" s="9"/>
      <c r="V9" s="9"/>
      <c r="W9" s="9"/>
      <c r="X9" s="9"/>
      <c r="Y9" s="9"/>
      <c r="Z9" s="9"/>
      <c r="AA9" s="9"/>
      <c r="AB9" s="9"/>
      <c r="AC9" s="9"/>
      <c r="AD9" s="9" t="s">
        <v>20</v>
      </c>
    </row>
    <row r="10" spans="1:30" ht="29">
      <c r="A10" s="3" t="s">
        <v>335</v>
      </c>
      <c r="B10" s="3" t="s">
        <v>4974</v>
      </c>
      <c r="C10" s="3" t="s">
        <v>4975</v>
      </c>
      <c r="G10" s="9" t="s">
        <v>25</v>
      </c>
      <c r="H10" s="9"/>
      <c r="I10" s="9">
        <v>1</v>
      </c>
      <c r="J10" s="9">
        <v>2</v>
      </c>
      <c r="K10" s="9" t="s">
        <v>12087</v>
      </c>
      <c r="L10" s="9" t="s">
        <v>12119</v>
      </c>
      <c r="M10" s="9"/>
      <c r="N10" s="10"/>
      <c r="O10" s="9"/>
      <c r="P10" s="9">
        <v>1966</v>
      </c>
      <c r="Q10" s="9"/>
      <c r="R10" s="9" t="s">
        <v>12795</v>
      </c>
      <c r="S10" s="9" t="s">
        <v>12795</v>
      </c>
      <c r="T10" s="9"/>
      <c r="U10" s="9"/>
      <c r="V10" s="9"/>
      <c r="W10" s="9"/>
      <c r="X10" s="9"/>
      <c r="Y10" s="9"/>
      <c r="Z10" s="9"/>
      <c r="AA10" s="9"/>
      <c r="AB10" s="9"/>
      <c r="AC10" s="9"/>
      <c r="AD10" s="9" t="s">
        <v>20</v>
      </c>
    </row>
    <row r="11" spans="1:30" ht="58">
      <c r="A11" s="3" t="s">
        <v>350</v>
      </c>
      <c r="B11" s="3" t="s">
        <v>4993</v>
      </c>
      <c r="C11" s="3" t="s">
        <v>4990</v>
      </c>
      <c r="G11" s="9" t="s">
        <v>25</v>
      </c>
      <c r="H11" s="9"/>
      <c r="I11" s="9">
        <v>1</v>
      </c>
      <c r="J11" s="9">
        <v>3</v>
      </c>
      <c r="K11" s="9" t="s">
        <v>12087</v>
      </c>
      <c r="L11" s="9" t="s">
        <v>12073</v>
      </c>
      <c r="M11" s="9" t="s">
        <v>12142</v>
      </c>
      <c r="N11" s="10" t="s">
        <v>12143</v>
      </c>
      <c r="O11" s="9"/>
      <c r="P11" s="9">
        <v>5676</v>
      </c>
      <c r="Q11" s="9"/>
      <c r="R11" s="9" t="s">
        <v>12795</v>
      </c>
      <c r="S11" s="9" t="s">
        <v>12795</v>
      </c>
      <c r="T11" s="9"/>
      <c r="U11" s="9"/>
      <c r="V11" s="9"/>
      <c r="W11" s="9"/>
      <c r="X11" s="9"/>
      <c r="Y11" s="9"/>
      <c r="Z11" s="9"/>
      <c r="AA11" s="9"/>
      <c r="AB11" s="9"/>
      <c r="AC11" s="9"/>
      <c r="AD11" s="9" t="s">
        <v>20</v>
      </c>
    </row>
    <row r="12" spans="1:30" ht="43.5">
      <c r="A12" s="3" t="s">
        <v>365</v>
      </c>
      <c r="B12" s="3" t="s">
        <v>5003</v>
      </c>
      <c r="C12" s="3" t="s">
        <v>5004</v>
      </c>
      <c r="G12" s="9" t="s">
        <v>25</v>
      </c>
      <c r="H12" s="9"/>
      <c r="I12" s="9">
        <v>1</v>
      </c>
      <c r="J12" s="9">
        <v>2</v>
      </c>
      <c r="K12" s="9" t="s">
        <v>12078</v>
      </c>
      <c r="L12" s="9" t="s">
        <v>12119</v>
      </c>
      <c r="M12" s="9"/>
      <c r="N12" s="10"/>
      <c r="O12" s="9"/>
      <c r="P12" s="9">
        <v>11843</v>
      </c>
      <c r="Q12" s="9"/>
      <c r="R12" s="9" t="s">
        <v>12795</v>
      </c>
      <c r="S12" s="9" t="s">
        <v>12795</v>
      </c>
      <c r="T12" s="9"/>
      <c r="U12" s="9"/>
      <c r="V12" s="9"/>
      <c r="W12" s="9"/>
      <c r="X12" s="9"/>
      <c r="Y12" s="9"/>
      <c r="Z12" s="9"/>
      <c r="AA12" s="9"/>
      <c r="AB12" s="9"/>
      <c r="AC12" s="9"/>
      <c r="AD12" s="9" t="s">
        <v>20</v>
      </c>
    </row>
    <row r="13" spans="1:30" ht="43.5">
      <c r="A13" s="3" t="s">
        <v>377</v>
      </c>
      <c r="B13" s="3" t="s">
        <v>5007</v>
      </c>
      <c r="C13" s="3" t="s">
        <v>5008</v>
      </c>
      <c r="G13" s="9" t="s">
        <v>24</v>
      </c>
      <c r="H13" s="9"/>
      <c r="I13" s="9">
        <v>1</v>
      </c>
      <c r="J13" s="9">
        <v>2</v>
      </c>
      <c r="K13" s="9" t="s">
        <v>12087</v>
      </c>
      <c r="L13" s="9" t="s">
        <v>12119</v>
      </c>
      <c r="M13" s="9"/>
      <c r="N13" s="10"/>
      <c r="O13" s="9"/>
      <c r="P13" s="9">
        <v>1966</v>
      </c>
      <c r="Q13" s="9"/>
      <c r="R13" s="9" t="s">
        <v>12795</v>
      </c>
      <c r="S13" s="9" t="s">
        <v>12795</v>
      </c>
      <c r="T13" s="9"/>
      <c r="U13" s="9"/>
      <c r="V13" s="9"/>
      <c r="W13" s="9"/>
      <c r="X13" s="9"/>
      <c r="Y13" s="9"/>
      <c r="Z13" s="9"/>
      <c r="AA13" s="9"/>
      <c r="AB13" s="9"/>
      <c r="AC13" s="9"/>
      <c r="AD13" s="9" t="s">
        <v>20</v>
      </c>
    </row>
    <row r="14" spans="1:30" ht="43.5">
      <c r="A14" s="3" t="s">
        <v>398</v>
      </c>
      <c r="B14" s="3" t="s">
        <v>5028</v>
      </c>
      <c r="C14" s="3" t="s">
        <v>5029</v>
      </c>
      <c r="F14" t="s">
        <v>19</v>
      </c>
      <c r="G14" s="9" t="s">
        <v>25</v>
      </c>
      <c r="H14" s="9"/>
      <c r="I14" s="9">
        <v>1</v>
      </c>
      <c r="J14" s="9">
        <v>4</v>
      </c>
      <c r="K14" s="9" t="s">
        <v>12078</v>
      </c>
      <c r="L14" s="9" t="s">
        <v>12079</v>
      </c>
      <c r="M14" s="9"/>
      <c r="N14" s="10"/>
      <c r="O14" s="9"/>
      <c r="P14" s="9">
        <v>11843</v>
      </c>
      <c r="Q14" s="9"/>
      <c r="R14" s="9" t="s">
        <v>12795</v>
      </c>
      <c r="S14" s="9" t="s">
        <v>12795</v>
      </c>
      <c r="T14" s="9"/>
      <c r="U14" s="9"/>
      <c r="V14" s="9"/>
      <c r="W14" s="9"/>
      <c r="X14" s="9"/>
      <c r="Y14" s="9"/>
      <c r="Z14" s="9"/>
      <c r="AA14" s="9"/>
      <c r="AB14" s="9"/>
      <c r="AC14" s="9"/>
      <c r="AD14" s="9" t="s">
        <v>20</v>
      </c>
    </row>
    <row r="15" spans="1:30" ht="43.5">
      <c r="A15" s="3" t="s">
        <v>400</v>
      </c>
      <c r="B15" s="3" t="s">
        <v>5032</v>
      </c>
      <c r="C15" s="3" t="s">
        <v>5033</v>
      </c>
      <c r="G15" s="9" t="s">
        <v>24</v>
      </c>
      <c r="H15" s="9"/>
      <c r="I15" s="9">
        <v>1</v>
      </c>
      <c r="J15" s="9">
        <v>2</v>
      </c>
      <c r="K15" s="9" t="s">
        <v>12078</v>
      </c>
      <c r="L15" s="9" t="s">
        <v>12119</v>
      </c>
      <c r="M15" s="9"/>
      <c r="N15" s="10"/>
      <c r="O15" s="9"/>
      <c r="P15" s="9">
        <v>11843</v>
      </c>
      <c r="Q15" s="9"/>
      <c r="R15" s="9" t="s">
        <v>12795</v>
      </c>
      <c r="S15" s="9" t="s">
        <v>12795</v>
      </c>
      <c r="T15" s="9"/>
      <c r="U15" s="9"/>
      <c r="V15" s="9"/>
      <c r="W15" s="9"/>
      <c r="X15" s="9"/>
      <c r="Y15" s="9"/>
      <c r="Z15" s="9"/>
      <c r="AA15" s="9"/>
      <c r="AB15" s="9"/>
      <c r="AC15" s="9"/>
      <c r="AD15" s="9" t="s">
        <v>20</v>
      </c>
    </row>
    <row r="16" spans="1:30" ht="58">
      <c r="A16" s="3" t="s">
        <v>414</v>
      </c>
      <c r="B16" s="3" t="s">
        <v>5054</v>
      </c>
      <c r="C16" s="3" t="s">
        <v>12159</v>
      </c>
      <c r="G16" s="9" t="s">
        <v>25</v>
      </c>
      <c r="H16" s="9"/>
      <c r="I16" s="9">
        <v>1</v>
      </c>
      <c r="J16" s="9">
        <v>4</v>
      </c>
      <c r="K16" s="9" t="s">
        <v>12078</v>
      </c>
      <c r="L16" s="9" t="s">
        <v>12073</v>
      </c>
      <c r="M16" s="9" t="s">
        <v>12149</v>
      </c>
      <c r="N16" s="10" t="s">
        <v>12160</v>
      </c>
      <c r="O16" s="9"/>
      <c r="P16" s="9">
        <v>11843</v>
      </c>
      <c r="Q16" s="9"/>
      <c r="R16" s="9" t="s">
        <v>12795</v>
      </c>
      <c r="S16" s="9" t="s">
        <v>12795</v>
      </c>
      <c r="T16" s="9"/>
      <c r="U16" s="9"/>
      <c r="V16" s="9"/>
      <c r="W16" s="9"/>
      <c r="X16" s="9"/>
      <c r="Y16" s="9"/>
      <c r="Z16" s="9"/>
      <c r="AA16" s="9"/>
      <c r="AB16" s="9"/>
      <c r="AC16" s="9"/>
      <c r="AD16" s="9" t="s">
        <v>20</v>
      </c>
    </row>
    <row r="17" spans="1:30" ht="72.5">
      <c r="A17" s="3" t="s">
        <v>435</v>
      </c>
      <c r="B17" s="3" t="s">
        <v>5075</v>
      </c>
      <c r="C17" s="3" t="s">
        <v>5074</v>
      </c>
      <c r="G17" s="9" t="s">
        <v>25</v>
      </c>
      <c r="H17" s="9"/>
      <c r="I17" s="9">
        <v>1</v>
      </c>
      <c r="J17" s="9">
        <v>3</v>
      </c>
      <c r="K17" s="9" t="s">
        <v>12094</v>
      </c>
      <c r="L17" s="9" t="s">
        <v>12079</v>
      </c>
      <c r="M17" s="9"/>
      <c r="N17" s="10"/>
      <c r="O17" s="9"/>
      <c r="P17" s="9">
        <v>301</v>
      </c>
      <c r="Q17" s="9"/>
      <c r="R17" s="9" t="s">
        <v>12795</v>
      </c>
      <c r="S17" s="9" t="s">
        <v>12795</v>
      </c>
      <c r="T17" s="9"/>
      <c r="U17" s="9"/>
      <c r="V17" s="9"/>
      <c r="W17" s="9"/>
      <c r="X17" s="9"/>
      <c r="Y17" s="9"/>
      <c r="Z17" s="9"/>
      <c r="AA17" s="9"/>
      <c r="AB17" s="9"/>
      <c r="AC17" s="9"/>
      <c r="AD17" s="9" t="s">
        <v>20</v>
      </c>
    </row>
    <row r="18" spans="1:30" ht="58">
      <c r="A18" s="3" t="s">
        <v>441</v>
      </c>
      <c r="B18" s="3" t="s">
        <v>12164</v>
      </c>
      <c r="C18" s="3" t="s">
        <v>12165</v>
      </c>
      <c r="G18" s="9" t="s">
        <v>25</v>
      </c>
      <c r="H18" s="9"/>
      <c r="I18" s="9">
        <v>1</v>
      </c>
      <c r="J18" s="9">
        <v>3</v>
      </c>
      <c r="K18" s="9" t="s">
        <v>12078</v>
      </c>
      <c r="L18" s="9" t="s">
        <v>12079</v>
      </c>
      <c r="M18" s="9"/>
      <c r="N18" s="10"/>
      <c r="O18" s="9"/>
      <c r="P18" s="9">
        <v>11843</v>
      </c>
      <c r="Q18" s="9"/>
      <c r="R18" s="9" t="s">
        <v>12795</v>
      </c>
      <c r="S18" s="9" t="s">
        <v>12795</v>
      </c>
      <c r="T18" s="9"/>
      <c r="U18" s="9"/>
      <c r="V18" s="9"/>
      <c r="W18" s="9"/>
      <c r="X18" s="9"/>
      <c r="Y18" s="9"/>
      <c r="Z18" s="9"/>
      <c r="AA18" s="9"/>
      <c r="AB18" s="9"/>
      <c r="AC18" s="9"/>
      <c r="AD18" s="9" t="s">
        <v>20</v>
      </c>
    </row>
    <row r="19" spans="1:30" ht="43.5">
      <c r="A19" s="3" t="s">
        <v>448</v>
      </c>
      <c r="B19" s="3" t="s">
        <v>5084</v>
      </c>
      <c r="C19" s="3" t="s">
        <v>5085</v>
      </c>
      <c r="G19" s="9" t="s">
        <v>24</v>
      </c>
      <c r="H19" s="9"/>
      <c r="I19" s="9">
        <v>1</v>
      </c>
      <c r="J19" s="9">
        <v>3</v>
      </c>
      <c r="K19" s="9" t="s">
        <v>12123</v>
      </c>
      <c r="L19" s="9" t="s">
        <v>12079</v>
      </c>
      <c r="M19" s="9"/>
      <c r="N19" s="10"/>
      <c r="O19" s="9"/>
      <c r="P19" s="9">
        <v>92</v>
      </c>
      <c r="Q19" s="9"/>
      <c r="R19" s="9" t="s">
        <v>12795</v>
      </c>
      <c r="S19" s="9" t="s">
        <v>12795</v>
      </c>
      <c r="T19" s="9"/>
      <c r="U19" s="9"/>
      <c r="V19" s="9"/>
      <c r="W19" s="9"/>
      <c r="X19" s="9"/>
      <c r="Y19" s="9"/>
      <c r="Z19" s="9"/>
      <c r="AA19" s="9"/>
      <c r="AB19" s="9"/>
      <c r="AC19" s="9"/>
      <c r="AD19" s="9" t="s">
        <v>20</v>
      </c>
    </row>
    <row r="20" spans="1:30" ht="43.5">
      <c r="A20" s="3" t="s">
        <v>451</v>
      </c>
      <c r="B20" s="3" t="s">
        <v>5088</v>
      </c>
      <c r="C20" s="3" t="s">
        <v>5089</v>
      </c>
      <c r="G20" s="9" t="s">
        <v>24</v>
      </c>
      <c r="H20" s="9"/>
      <c r="I20" s="9">
        <v>1</v>
      </c>
      <c r="J20" s="9">
        <v>1</v>
      </c>
      <c r="K20" s="9" t="s">
        <v>12078</v>
      </c>
      <c r="L20" s="9" t="s">
        <v>12119</v>
      </c>
      <c r="M20" s="9"/>
      <c r="N20" s="10"/>
      <c r="O20" s="9"/>
      <c r="P20" s="9">
        <v>11843</v>
      </c>
      <c r="Q20" s="9"/>
      <c r="R20" s="9" t="s">
        <v>12795</v>
      </c>
      <c r="S20" s="9" t="s">
        <v>12795</v>
      </c>
      <c r="T20" s="9"/>
      <c r="U20" s="9"/>
      <c r="V20" s="9"/>
      <c r="W20" s="9"/>
      <c r="X20" s="9"/>
      <c r="Y20" s="9"/>
      <c r="Z20" s="9"/>
      <c r="AA20" s="9"/>
      <c r="AB20" s="9"/>
      <c r="AC20" s="9"/>
      <c r="AD20" s="9" t="s">
        <v>20</v>
      </c>
    </row>
    <row r="21" spans="1:30" ht="29">
      <c r="A21" s="3" t="s">
        <v>485</v>
      </c>
      <c r="B21" s="3" t="s">
        <v>5110</v>
      </c>
      <c r="C21" s="3" t="s">
        <v>5111</v>
      </c>
      <c r="G21" s="9" t="s">
        <v>25</v>
      </c>
      <c r="H21" s="9"/>
      <c r="I21" s="9">
        <v>1</v>
      </c>
      <c r="J21" s="9">
        <v>3</v>
      </c>
      <c r="K21" s="9" t="s">
        <v>12078</v>
      </c>
      <c r="L21" s="9" t="s">
        <v>12079</v>
      </c>
      <c r="M21" s="9"/>
      <c r="N21" s="10"/>
      <c r="O21" s="9"/>
      <c r="P21" s="9">
        <v>11843</v>
      </c>
      <c r="Q21" s="9"/>
      <c r="R21" s="9" t="s">
        <v>12795</v>
      </c>
      <c r="S21" s="9" t="s">
        <v>12795</v>
      </c>
      <c r="T21" s="9"/>
      <c r="U21" s="9"/>
      <c r="V21" s="9"/>
      <c r="W21" s="9"/>
      <c r="X21" s="9"/>
      <c r="Y21" s="9"/>
      <c r="Z21" s="9"/>
      <c r="AA21" s="9"/>
      <c r="AB21" s="9"/>
      <c r="AC21" s="9"/>
      <c r="AD21" s="9" t="s">
        <v>20</v>
      </c>
    </row>
    <row r="22" spans="1:30" ht="29">
      <c r="A22" s="3" t="s">
        <v>486</v>
      </c>
      <c r="B22" s="3" t="s">
        <v>5114</v>
      </c>
      <c r="C22" s="3" t="s">
        <v>12167</v>
      </c>
      <c r="G22" s="9" t="s">
        <v>24</v>
      </c>
      <c r="H22" s="9"/>
      <c r="I22" s="9">
        <v>1</v>
      </c>
      <c r="J22" s="9">
        <v>3</v>
      </c>
      <c r="K22" s="9" t="s">
        <v>12078</v>
      </c>
      <c r="L22" s="9" t="s">
        <v>12079</v>
      </c>
      <c r="M22" s="9"/>
      <c r="N22" s="10"/>
      <c r="O22" s="9"/>
      <c r="P22" s="9">
        <v>11843</v>
      </c>
      <c r="Q22" s="9"/>
      <c r="R22" s="9" t="s">
        <v>12795</v>
      </c>
      <c r="S22" s="9" t="s">
        <v>12795</v>
      </c>
      <c r="T22" s="9"/>
      <c r="U22" s="9"/>
      <c r="V22" s="9"/>
      <c r="W22" s="9"/>
      <c r="X22" s="9"/>
      <c r="Y22" s="9"/>
      <c r="Z22" s="9"/>
      <c r="AA22" s="9"/>
      <c r="AB22" s="9"/>
      <c r="AC22" s="9"/>
      <c r="AD22" s="9" t="s">
        <v>20</v>
      </c>
    </row>
    <row r="23" spans="1:30" ht="29">
      <c r="A23" s="3" t="s">
        <v>510</v>
      </c>
      <c r="B23" s="3" t="s">
        <v>5147</v>
      </c>
      <c r="C23" s="3" t="s">
        <v>5148</v>
      </c>
      <c r="F23" t="s">
        <v>19</v>
      </c>
      <c r="G23" s="9" t="s">
        <v>24</v>
      </c>
      <c r="H23" s="9"/>
      <c r="I23" s="9">
        <v>1</v>
      </c>
      <c r="J23" s="9">
        <v>3</v>
      </c>
      <c r="K23" s="9" t="s">
        <v>12078</v>
      </c>
      <c r="L23" s="9" t="s">
        <v>12079</v>
      </c>
      <c r="M23" s="9"/>
      <c r="N23" s="10"/>
      <c r="O23" s="9"/>
      <c r="P23" s="9">
        <v>11843</v>
      </c>
      <c r="Q23" s="9"/>
      <c r="R23" s="9" t="s">
        <v>12795</v>
      </c>
      <c r="S23" s="9" t="s">
        <v>12795</v>
      </c>
      <c r="T23" s="9"/>
      <c r="U23" s="9"/>
      <c r="V23" s="9"/>
      <c r="W23" s="9"/>
      <c r="X23" s="9"/>
      <c r="Y23" s="9"/>
      <c r="Z23" s="9"/>
      <c r="AA23" s="9"/>
      <c r="AB23" s="9"/>
      <c r="AC23" s="9"/>
      <c r="AD23" s="9" t="s">
        <v>20</v>
      </c>
    </row>
    <row r="24" spans="1:30" ht="29">
      <c r="A24" s="3" t="s">
        <v>547</v>
      </c>
      <c r="B24" s="3" t="s">
        <v>5177</v>
      </c>
      <c r="C24" s="3" t="s">
        <v>5178</v>
      </c>
      <c r="G24" s="9" t="s">
        <v>25</v>
      </c>
      <c r="H24" s="9"/>
      <c r="I24" s="9">
        <v>1</v>
      </c>
      <c r="J24" s="9">
        <v>2</v>
      </c>
      <c r="K24" s="9" t="s">
        <v>12123</v>
      </c>
      <c r="L24" s="9" t="s">
        <v>12119</v>
      </c>
      <c r="M24" s="9"/>
      <c r="N24" s="10"/>
      <c r="O24" s="9"/>
      <c r="P24" s="9">
        <v>887</v>
      </c>
      <c r="Q24" s="9"/>
      <c r="R24" s="9" t="s">
        <v>12795</v>
      </c>
      <c r="S24" s="9" t="s">
        <v>12795</v>
      </c>
      <c r="T24" s="9"/>
      <c r="U24" s="9"/>
      <c r="V24" s="9"/>
      <c r="W24" s="9"/>
      <c r="X24" s="9"/>
      <c r="Y24" s="9"/>
      <c r="Z24" s="9"/>
      <c r="AA24" s="9"/>
      <c r="AB24" s="9"/>
      <c r="AC24" s="9"/>
      <c r="AD24" s="9" t="s">
        <v>20</v>
      </c>
    </row>
    <row r="25" spans="1:30" ht="58">
      <c r="A25" s="3" t="s">
        <v>635</v>
      </c>
      <c r="B25" s="3" t="s">
        <v>5229</v>
      </c>
      <c r="C25" s="3" t="s">
        <v>5230</v>
      </c>
      <c r="G25" s="9" t="s">
        <v>25</v>
      </c>
      <c r="H25" s="9"/>
      <c r="I25" s="9">
        <v>1</v>
      </c>
      <c r="J25" s="9">
        <v>3</v>
      </c>
      <c r="K25" s="9" t="s">
        <v>12087</v>
      </c>
      <c r="L25" s="9" t="s">
        <v>12079</v>
      </c>
      <c r="M25" s="9"/>
      <c r="N25" s="10"/>
      <c r="O25" s="9"/>
      <c r="P25" s="9">
        <v>5676</v>
      </c>
      <c r="Q25" s="9"/>
      <c r="R25" s="9" t="s">
        <v>12795</v>
      </c>
      <c r="S25" s="9" t="s">
        <v>12795</v>
      </c>
      <c r="T25" s="9"/>
      <c r="U25" s="9"/>
      <c r="V25" s="9"/>
      <c r="W25" s="9"/>
      <c r="X25" s="9"/>
      <c r="Y25" s="9"/>
      <c r="Z25" s="9"/>
      <c r="AA25" s="9"/>
      <c r="AB25" s="9"/>
      <c r="AC25" s="9"/>
      <c r="AD25" s="9" t="s">
        <v>20</v>
      </c>
    </row>
    <row r="26" spans="1:30" ht="29">
      <c r="A26" s="3" t="s">
        <v>651</v>
      </c>
      <c r="B26" s="3" t="s">
        <v>5241</v>
      </c>
      <c r="C26" s="3" t="s">
        <v>5242</v>
      </c>
      <c r="G26" s="9" t="s">
        <v>25</v>
      </c>
      <c r="H26" s="9"/>
      <c r="I26" s="9">
        <v>1</v>
      </c>
      <c r="J26" s="9">
        <v>2</v>
      </c>
      <c r="K26" s="9" t="s">
        <v>12078</v>
      </c>
      <c r="L26" s="9" t="s">
        <v>12119</v>
      </c>
      <c r="M26" s="9"/>
      <c r="N26" s="10"/>
      <c r="O26" s="9"/>
      <c r="P26" s="9">
        <v>11843</v>
      </c>
      <c r="Q26" s="9"/>
      <c r="R26" s="9" t="s">
        <v>12795</v>
      </c>
      <c r="S26" s="9" t="s">
        <v>12795</v>
      </c>
      <c r="T26" s="9"/>
      <c r="U26" s="9"/>
      <c r="V26" s="9"/>
      <c r="W26" s="9"/>
      <c r="X26" s="9"/>
      <c r="Y26" s="9"/>
      <c r="Z26" s="9"/>
      <c r="AA26" s="9"/>
      <c r="AB26" s="9"/>
      <c r="AC26" s="9"/>
      <c r="AD26" s="9" t="s">
        <v>20</v>
      </c>
    </row>
    <row r="27" spans="1:30" ht="72.5">
      <c r="A27" s="3" t="s">
        <v>673</v>
      </c>
      <c r="B27" s="3" t="s">
        <v>5262</v>
      </c>
      <c r="C27" s="3" t="s">
        <v>5263</v>
      </c>
      <c r="G27" s="9" t="s">
        <v>25</v>
      </c>
      <c r="H27" s="9"/>
      <c r="I27" s="9">
        <v>1</v>
      </c>
      <c r="J27" s="9">
        <v>3</v>
      </c>
      <c r="K27" s="9" t="s">
        <v>12078</v>
      </c>
      <c r="L27" s="9" t="s">
        <v>12079</v>
      </c>
      <c r="M27" s="9"/>
      <c r="N27" s="10"/>
      <c r="O27" s="9"/>
      <c r="P27" s="9">
        <v>11843</v>
      </c>
      <c r="Q27" s="9"/>
      <c r="R27" s="9" t="s">
        <v>12795</v>
      </c>
      <c r="S27" s="9" t="s">
        <v>12795</v>
      </c>
      <c r="T27" s="9" t="s">
        <v>12117</v>
      </c>
      <c r="U27" s="9"/>
      <c r="V27" s="9"/>
      <c r="W27" s="9"/>
      <c r="X27" s="9"/>
      <c r="Y27" s="9"/>
      <c r="Z27" s="9"/>
      <c r="AA27" s="9"/>
      <c r="AB27" s="9"/>
      <c r="AC27" s="9"/>
      <c r="AD27" s="9" t="s">
        <v>20</v>
      </c>
    </row>
    <row r="28" spans="1:30" ht="58">
      <c r="A28" s="3" t="s">
        <v>693</v>
      </c>
      <c r="B28" s="3" t="s">
        <v>5271</v>
      </c>
      <c r="C28" s="3" t="s">
        <v>5270</v>
      </c>
      <c r="G28" s="9" t="s">
        <v>25</v>
      </c>
      <c r="H28" s="9"/>
      <c r="I28" s="9">
        <v>1</v>
      </c>
      <c r="J28" s="9">
        <v>3</v>
      </c>
      <c r="K28" s="9" t="s">
        <v>12078</v>
      </c>
      <c r="L28" s="9" t="s">
        <v>12079</v>
      </c>
      <c r="M28" s="9"/>
      <c r="N28" s="10"/>
      <c r="O28" s="9"/>
      <c r="P28" s="9">
        <v>11843</v>
      </c>
      <c r="Q28" s="9"/>
      <c r="R28" s="9" t="s">
        <v>12795</v>
      </c>
      <c r="S28" s="9" t="s">
        <v>12795</v>
      </c>
      <c r="T28" s="9"/>
      <c r="U28" s="9"/>
      <c r="V28" s="9"/>
      <c r="W28" s="9"/>
      <c r="X28" s="9"/>
      <c r="Y28" s="9"/>
      <c r="Z28" s="9"/>
      <c r="AA28" s="9"/>
      <c r="AB28" s="9"/>
      <c r="AC28" s="9"/>
      <c r="AD28" s="9" t="s">
        <v>20</v>
      </c>
    </row>
    <row r="29" spans="1:30" ht="58">
      <c r="A29" s="3" t="s">
        <v>746</v>
      </c>
      <c r="B29" s="3" t="s">
        <v>5316</v>
      </c>
      <c r="C29" s="3" t="s">
        <v>5315</v>
      </c>
      <c r="G29" s="9" t="s">
        <v>25</v>
      </c>
      <c r="H29" s="9"/>
      <c r="I29" s="9">
        <v>1</v>
      </c>
      <c r="J29" s="9">
        <v>5</v>
      </c>
      <c r="K29" s="9" t="s">
        <v>12094</v>
      </c>
      <c r="L29" s="9" t="s">
        <v>12079</v>
      </c>
      <c r="M29" s="9"/>
      <c r="N29" s="10"/>
      <c r="O29" s="9"/>
      <c r="P29" s="9">
        <v>930</v>
      </c>
      <c r="Q29" s="9"/>
      <c r="R29" s="9" t="s">
        <v>12795</v>
      </c>
      <c r="S29" s="9" t="s">
        <v>12795</v>
      </c>
      <c r="T29" s="9"/>
      <c r="U29" s="9"/>
      <c r="V29" s="9"/>
      <c r="W29" s="9"/>
      <c r="X29" s="9"/>
      <c r="Y29" s="9"/>
      <c r="Z29" s="9"/>
      <c r="AA29" s="9"/>
      <c r="AB29" s="9"/>
      <c r="AC29" s="9"/>
      <c r="AD29" s="9" t="s">
        <v>20</v>
      </c>
    </row>
    <row r="30" spans="1:30" ht="29">
      <c r="A30" s="3" t="s">
        <v>774</v>
      </c>
      <c r="B30" s="3" t="s">
        <v>5355</v>
      </c>
      <c r="C30" s="3" t="s">
        <v>5356</v>
      </c>
      <c r="F30" t="s">
        <v>19</v>
      </c>
      <c r="G30" s="9" t="s">
        <v>25</v>
      </c>
      <c r="H30" s="9"/>
      <c r="I30" s="9">
        <v>1</v>
      </c>
      <c r="J30" s="9">
        <v>2</v>
      </c>
      <c r="K30" s="9" t="s">
        <v>12123</v>
      </c>
      <c r="L30" s="9" t="s">
        <v>12119</v>
      </c>
      <c r="M30" s="9"/>
      <c r="N30" s="10"/>
      <c r="O30" s="9"/>
      <c r="P30" s="9">
        <v>526</v>
      </c>
      <c r="Q30" s="9"/>
      <c r="R30" s="9" t="s">
        <v>12795</v>
      </c>
      <c r="S30" s="9" t="s">
        <v>12795</v>
      </c>
      <c r="T30" s="9"/>
      <c r="U30" s="9"/>
      <c r="V30" s="9"/>
      <c r="W30" s="9"/>
      <c r="X30" s="9"/>
      <c r="Y30" s="9"/>
      <c r="Z30" s="9"/>
      <c r="AA30" s="9"/>
      <c r="AB30" s="9"/>
      <c r="AC30" s="9"/>
      <c r="AD30" s="9" t="s">
        <v>20</v>
      </c>
    </row>
    <row r="31" spans="1:30" ht="58">
      <c r="A31" s="3" t="s">
        <v>798</v>
      </c>
      <c r="B31" s="3" t="s">
        <v>12986</v>
      </c>
      <c r="C31" s="3" t="s">
        <v>12983</v>
      </c>
      <c r="G31" s="9" t="s">
        <v>25</v>
      </c>
      <c r="H31" s="9"/>
      <c r="I31" s="9">
        <v>1</v>
      </c>
      <c r="J31" s="9">
        <v>5</v>
      </c>
      <c r="K31" s="9" t="s">
        <v>12094</v>
      </c>
      <c r="L31" s="9" t="s">
        <v>12073</v>
      </c>
      <c r="M31" s="9" t="s">
        <v>12142</v>
      </c>
      <c r="N31" s="10" t="s">
        <v>12160</v>
      </c>
      <c r="O31" s="9"/>
      <c r="P31" s="9">
        <v>4240</v>
      </c>
      <c r="Q31" s="9"/>
      <c r="R31" s="9" t="s">
        <v>12795</v>
      </c>
      <c r="S31" s="9" t="s">
        <v>12795</v>
      </c>
      <c r="T31" s="9"/>
      <c r="U31" s="9"/>
      <c r="V31" s="9"/>
      <c r="W31" s="9"/>
      <c r="X31" s="9"/>
      <c r="Y31" s="9"/>
      <c r="Z31" s="9"/>
      <c r="AA31" s="9"/>
      <c r="AB31" s="9"/>
      <c r="AC31" s="9"/>
      <c r="AD31" s="9" t="s">
        <v>20</v>
      </c>
    </row>
    <row r="32" spans="1:30" ht="29">
      <c r="A32" s="3" t="s">
        <v>817</v>
      </c>
      <c r="B32" s="3" t="s">
        <v>5381</v>
      </c>
      <c r="C32" s="3" t="s">
        <v>5382</v>
      </c>
      <c r="G32" s="9" t="s">
        <v>25</v>
      </c>
      <c r="H32" s="9"/>
      <c r="I32" s="9">
        <v>1</v>
      </c>
      <c r="J32" s="9">
        <v>2</v>
      </c>
      <c r="K32" s="9" t="s">
        <v>12087</v>
      </c>
      <c r="L32" s="9" t="s">
        <v>12119</v>
      </c>
      <c r="M32" s="9"/>
      <c r="N32" s="10"/>
      <c r="O32" s="9"/>
      <c r="P32" s="9">
        <v>1966</v>
      </c>
      <c r="Q32" s="9"/>
      <c r="R32" s="9" t="s">
        <v>12795</v>
      </c>
      <c r="S32" s="9" t="s">
        <v>12795</v>
      </c>
      <c r="T32" s="9"/>
      <c r="U32" s="9"/>
      <c r="V32" s="9"/>
      <c r="W32" s="9"/>
      <c r="X32" s="9"/>
      <c r="Y32" s="9"/>
      <c r="Z32" s="9"/>
      <c r="AA32" s="9"/>
      <c r="AB32" s="9"/>
      <c r="AC32" s="9"/>
      <c r="AD32" s="9" t="s">
        <v>13141</v>
      </c>
    </row>
    <row r="33" spans="1:30" ht="58">
      <c r="A33" s="3" t="s">
        <v>834</v>
      </c>
      <c r="B33" s="3" t="s">
        <v>5402</v>
      </c>
      <c r="C33" s="3" t="s">
        <v>5401</v>
      </c>
      <c r="G33" s="9" t="s">
        <v>24</v>
      </c>
      <c r="H33" s="9"/>
      <c r="I33" s="9">
        <v>1</v>
      </c>
      <c r="J33" s="9">
        <v>2</v>
      </c>
      <c r="K33" s="9" t="s">
        <v>12123</v>
      </c>
      <c r="L33" s="9" t="s">
        <v>12119</v>
      </c>
      <c r="M33" s="9"/>
      <c r="N33" s="10"/>
      <c r="O33" s="9"/>
      <c r="P33" s="9">
        <v>526</v>
      </c>
      <c r="Q33" s="9"/>
      <c r="R33" s="9" t="s">
        <v>12795</v>
      </c>
      <c r="S33" s="9" t="s">
        <v>12795</v>
      </c>
      <c r="T33" s="9"/>
      <c r="U33" s="9"/>
      <c r="V33" s="9"/>
      <c r="W33" s="9"/>
      <c r="X33" s="9"/>
      <c r="Y33" s="9"/>
      <c r="Z33" s="9"/>
      <c r="AA33" s="9"/>
      <c r="AB33" s="9"/>
      <c r="AC33" s="9"/>
      <c r="AD33" s="9" t="s">
        <v>20</v>
      </c>
    </row>
    <row r="34" spans="1:30" ht="43.5">
      <c r="A34" s="3" t="s">
        <v>838</v>
      </c>
      <c r="B34" s="3" t="s">
        <v>5419</v>
      </c>
      <c r="C34" s="3" t="s">
        <v>5420</v>
      </c>
      <c r="G34" s="9" t="s">
        <v>24</v>
      </c>
      <c r="H34" s="9"/>
      <c r="I34" s="9">
        <v>1</v>
      </c>
      <c r="J34" s="9">
        <v>1</v>
      </c>
      <c r="K34" s="9" t="s">
        <v>12078</v>
      </c>
      <c r="L34" s="9" t="s">
        <v>12119</v>
      </c>
      <c r="M34" s="9"/>
      <c r="N34" s="10"/>
      <c r="O34" s="9"/>
      <c r="P34" s="9">
        <v>11843</v>
      </c>
      <c r="Q34" s="9"/>
      <c r="R34" s="9" t="s">
        <v>12795</v>
      </c>
      <c r="S34" s="9" t="s">
        <v>12795</v>
      </c>
      <c r="T34" s="9"/>
      <c r="U34" s="9"/>
      <c r="V34" s="9"/>
      <c r="W34" s="9"/>
      <c r="X34" s="9"/>
      <c r="Y34" s="9"/>
      <c r="Z34" s="9"/>
      <c r="AA34" s="9"/>
      <c r="AB34" s="9"/>
      <c r="AC34" s="9"/>
      <c r="AD34" s="9" t="s">
        <v>13141</v>
      </c>
    </row>
    <row r="35" spans="1:30" ht="29">
      <c r="A35" s="3" t="s">
        <v>895</v>
      </c>
      <c r="B35" s="3" t="s">
        <v>5488</v>
      </c>
      <c r="C35" s="3" t="s">
        <v>5489</v>
      </c>
      <c r="G35" s="9" t="s">
        <v>24</v>
      </c>
      <c r="H35" s="9"/>
      <c r="I35" s="9">
        <v>1</v>
      </c>
      <c r="J35" s="9">
        <v>3</v>
      </c>
      <c r="K35" s="9" t="s">
        <v>12078</v>
      </c>
      <c r="L35" s="9" t="s">
        <v>12079</v>
      </c>
      <c r="M35" s="9"/>
      <c r="N35" s="10"/>
      <c r="O35" s="9"/>
      <c r="P35" s="9">
        <v>11843</v>
      </c>
      <c r="Q35" s="9"/>
      <c r="R35" s="9" t="s">
        <v>12795</v>
      </c>
      <c r="S35" s="9" t="s">
        <v>12795</v>
      </c>
      <c r="T35" s="9" t="s">
        <v>12117</v>
      </c>
      <c r="U35" s="9"/>
      <c r="V35" s="9"/>
      <c r="W35" s="9"/>
      <c r="X35" s="9"/>
      <c r="Y35" s="9"/>
      <c r="Z35" s="9"/>
      <c r="AA35" s="9"/>
      <c r="AB35" s="9"/>
      <c r="AC35" s="9"/>
      <c r="AD35" s="9" t="s">
        <v>13141</v>
      </c>
    </row>
    <row r="36" spans="1:30" ht="145">
      <c r="A36" s="3" t="s">
        <v>919</v>
      </c>
      <c r="B36" s="3" t="s">
        <v>5508</v>
      </c>
      <c r="C36" s="3" t="s">
        <v>5509</v>
      </c>
      <c r="G36" s="9" t="s">
        <v>25</v>
      </c>
      <c r="H36" s="9"/>
      <c r="I36" s="9">
        <v>1</v>
      </c>
      <c r="J36" s="9">
        <v>4</v>
      </c>
      <c r="K36" s="9" t="s">
        <v>12094</v>
      </c>
      <c r="L36" s="9" t="s">
        <v>12079</v>
      </c>
      <c r="M36" s="9"/>
      <c r="N36" s="10"/>
      <c r="O36" s="9"/>
      <c r="P36" s="9">
        <v>50</v>
      </c>
      <c r="Q36" s="9"/>
      <c r="R36" s="9" t="s">
        <v>12795</v>
      </c>
      <c r="S36" s="9" t="s">
        <v>12795</v>
      </c>
      <c r="T36" s="9"/>
      <c r="U36" s="9"/>
      <c r="V36" s="9"/>
      <c r="W36" s="9"/>
      <c r="X36" s="9"/>
      <c r="Y36" s="9"/>
      <c r="Z36" s="9"/>
      <c r="AA36" s="9"/>
      <c r="AB36" s="9"/>
      <c r="AC36" s="9"/>
      <c r="AD36" s="9" t="s">
        <v>20</v>
      </c>
    </row>
    <row r="37" spans="1:30" ht="72.5">
      <c r="A37" s="3" t="s">
        <v>929</v>
      </c>
      <c r="B37" s="3" t="s">
        <v>5528</v>
      </c>
      <c r="C37" s="3" t="s">
        <v>5527</v>
      </c>
      <c r="G37" s="9" t="s">
        <v>25</v>
      </c>
      <c r="H37" s="9"/>
      <c r="I37" s="9">
        <v>1</v>
      </c>
      <c r="J37" s="9">
        <v>2</v>
      </c>
      <c r="K37" s="9" t="s">
        <v>12078</v>
      </c>
      <c r="L37" s="9" t="s">
        <v>12119</v>
      </c>
      <c r="M37" s="9"/>
      <c r="N37" s="10"/>
      <c r="O37" s="9"/>
      <c r="P37" s="9">
        <v>11843</v>
      </c>
      <c r="Q37" s="9"/>
      <c r="R37" s="9" t="s">
        <v>12795</v>
      </c>
      <c r="S37" s="9" t="s">
        <v>12795</v>
      </c>
      <c r="T37" s="9"/>
      <c r="U37" s="9"/>
      <c r="V37" s="9"/>
      <c r="W37" s="9"/>
      <c r="X37" s="9"/>
      <c r="Y37" s="9"/>
      <c r="Z37" s="9"/>
      <c r="AA37" s="9"/>
      <c r="AB37" s="9"/>
      <c r="AC37" s="9"/>
      <c r="AD37" s="9" t="s">
        <v>20</v>
      </c>
    </row>
    <row r="38" spans="1:30" ht="58">
      <c r="A38" s="3" t="s">
        <v>940</v>
      </c>
      <c r="B38" s="3" t="s">
        <v>13097</v>
      </c>
      <c r="C38" s="3" t="s">
        <v>5541</v>
      </c>
      <c r="G38" s="9" t="s">
        <v>25</v>
      </c>
      <c r="H38" s="9"/>
      <c r="I38" s="9">
        <v>1</v>
      </c>
      <c r="J38" s="9">
        <v>2</v>
      </c>
      <c r="K38" s="9" t="s">
        <v>12096</v>
      </c>
      <c r="L38" s="9" t="s">
        <v>12119</v>
      </c>
      <c r="M38" s="9"/>
      <c r="N38" s="10"/>
      <c r="O38" s="9"/>
      <c r="P38" s="9">
        <v>560</v>
      </c>
      <c r="Q38" s="9"/>
      <c r="R38" s="9" t="s">
        <v>12795</v>
      </c>
      <c r="S38" s="9" t="s">
        <v>12795</v>
      </c>
      <c r="T38" s="9"/>
      <c r="U38" s="9"/>
      <c r="V38" s="9"/>
      <c r="W38" s="9"/>
      <c r="X38" s="9"/>
      <c r="Y38" s="9"/>
      <c r="Z38" s="9"/>
      <c r="AA38" s="9"/>
      <c r="AB38" s="9"/>
      <c r="AC38" s="9"/>
      <c r="AD38" s="9" t="s">
        <v>20</v>
      </c>
    </row>
    <row r="39" spans="1:30" ht="72.5">
      <c r="A39" s="3" t="s">
        <v>949</v>
      </c>
      <c r="B39" s="3" t="s">
        <v>5561</v>
      </c>
      <c r="C39" s="3" t="s">
        <v>5563</v>
      </c>
      <c r="G39" s="9" t="s">
        <v>24</v>
      </c>
      <c r="H39" s="9"/>
      <c r="I39" s="9">
        <v>1</v>
      </c>
      <c r="J39" s="9">
        <v>3</v>
      </c>
      <c r="K39" s="9" t="s">
        <v>12078</v>
      </c>
      <c r="L39" s="9" t="s">
        <v>12079</v>
      </c>
      <c r="M39" s="9"/>
      <c r="N39" s="10"/>
      <c r="O39" s="9"/>
      <c r="P39" s="9">
        <v>11843</v>
      </c>
      <c r="Q39" s="9"/>
      <c r="R39" s="9" t="s">
        <v>12795</v>
      </c>
      <c r="S39" s="9" t="s">
        <v>12795</v>
      </c>
      <c r="T39" s="9"/>
      <c r="U39" s="9"/>
      <c r="V39" s="9"/>
      <c r="W39" s="9"/>
      <c r="X39" s="9"/>
      <c r="Y39" s="9"/>
      <c r="Z39" s="9"/>
      <c r="AA39" s="9"/>
      <c r="AB39" s="9"/>
      <c r="AC39" s="9"/>
      <c r="AD39" s="9" t="s">
        <v>20</v>
      </c>
    </row>
    <row r="40" spans="1:30" ht="29">
      <c r="A40" s="3" t="s">
        <v>1032</v>
      </c>
      <c r="B40" s="3" t="s">
        <v>5624</v>
      </c>
      <c r="C40" s="3" t="s">
        <v>5625</v>
      </c>
      <c r="G40" s="9" t="s">
        <v>25</v>
      </c>
      <c r="H40" s="9"/>
      <c r="I40" s="9">
        <v>1</v>
      </c>
      <c r="J40" s="9">
        <v>1</v>
      </c>
      <c r="K40" s="9" t="s">
        <v>12078</v>
      </c>
      <c r="L40" s="9" t="s">
        <v>12119</v>
      </c>
      <c r="M40" s="9"/>
      <c r="N40" s="10"/>
      <c r="O40" s="9"/>
      <c r="P40" s="9">
        <v>11843</v>
      </c>
      <c r="Q40" s="9"/>
      <c r="R40" s="9" t="s">
        <v>12795</v>
      </c>
      <c r="S40" s="9" t="s">
        <v>12795</v>
      </c>
      <c r="T40" s="9"/>
      <c r="U40" s="9"/>
      <c r="V40" s="9"/>
      <c r="W40" s="9"/>
      <c r="X40" s="9"/>
      <c r="Y40" s="9"/>
      <c r="Z40" s="9"/>
      <c r="AA40" s="9"/>
      <c r="AB40" s="9"/>
      <c r="AC40" s="9"/>
      <c r="AD40" s="9" t="s">
        <v>20</v>
      </c>
    </row>
    <row r="41" spans="1:30" ht="43.5">
      <c r="A41" s="3" t="s">
        <v>1037</v>
      </c>
      <c r="B41" s="3" t="s">
        <v>5635</v>
      </c>
      <c r="C41" s="3" t="s">
        <v>5636</v>
      </c>
      <c r="G41" s="9" t="s">
        <v>25</v>
      </c>
      <c r="H41" s="9"/>
      <c r="I41" s="9">
        <v>1</v>
      </c>
      <c r="J41" s="9">
        <v>4</v>
      </c>
      <c r="K41" s="9" t="s">
        <v>12078</v>
      </c>
      <c r="L41" s="9" t="s">
        <v>12073</v>
      </c>
      <c r="M41" s="9" t="s">
        <v>12149</v>
      </c>
      <c r="N41" s="10" t="s">
        <v>12143</v>
      </c>
      <c r="O41" s="9"/>
      <c r="P41" s="9">
        <v>11843</v>
      </c>
      <c r="Q41" s="9"/>
      <c r="R41" s="9" t="s">
        <v>12795</v>
      </c>
      <c r="S41" s="9" t="s">
        <v>12795</v>
      </c>
      <c r="T41" s="9"/>
      <c r="U41" s="9"/>
      <c r="V41" s="9"/>
      <c r="W41" s="9"/>
      <c r="X41" s="9"/>
      <c r="Y41" s="9"/>
      <c r="Z41" s="9"/>
      <c r="AA41" s="9"/>
      <c r="AB41" s="9"/>
      <c r="AC41" s="9"/>
      <c r="AD41" s="9" t="s">
        <v>20</v>
      </c>
    </row>
    <row r="42" spans="1:30" ht="43.5">
      <c r="A42" s="3" t="s">
        <v>1081</v>
      </c>
      <c r="B42" s="3" t="s">
        <v>5661</v>
      </c>
      <c r="C42" s="3" t="s">
        <v>5662</v>
      </c>
      <c r="G42" s="9" t="s">
        <v>24</v>
      </c>
      <c r="H42" s="9"/>
      <c r="I42" s="9">
        <v>1</v>
      </c>
      <c r="J42" s="9">
        <v>1</v>
      </c>
      <c r="K42" s="9" t="s">
        <v>12078</v>
      </c>
      <c r="L42" s="9" t="s">
        <v>12119</v>
      </c>
      <c r="M42" s="9"/>
      <c r="N42" s="10"/>
      <c r="O42" s="9"/>
      <c r="P42" s="9">
        <v>11843</v>
      </c>
      <c r="Q42" s="9"/>
      <c r="R42" s="9" t="s">
        <v>12795</v>
      </c>
      <c r="S42" s="9" t="s">
        <v>12795</v>
      </c>
      <c r="T42" s="9"/>
      <c r="U42" s="9"/>
      <c r="V42" s="9"/>
      <c r="W42" s="9"/>
      <c r="X42" s="9"/>
      <c r="Y42" s="9"/>
      <c r="Z42" s="9"/>
      <c r="AA42" s="9"/>
      <c r="AB42" s="9"/>
      <c r="AC42" s="9"/>
      <c r="AD42" s="9" t="s">
        <v>20</v>
      </c>
    </row>
    <row r="43" spans="1:30" ht="43.5">
      <c r="A43" s="3" t="s">
        <v>1084</v>
      </c>
      <c r="B43" s="3" t="s">
        <v>5665</v>
      </c>
      <c r="C43" s="3" t="s">
        <v>5666</v>
      </c>
      <c r="G43" s="9" t="s">
        <v>24</v>
      </c>
      <c r="H43" s="9"/>
      <c r="I43" s="9">
        <v>1</v>
      </c>
      <c r="J43" s="9">
        <v>2</v>
      </c>
      <c r="K43" s="9" t="s">
        <v>12094</v>
      </c>
      <c r="L43" s="9" t="s">
        <v>12119</v>
      </c>
      <c r="M43" s="9"/>
      <c r="N43" s="10"/>
      <c r="O43" s="9" t="s">
        <v>12074</v>
      </c>
      <c r="P43" s="9">
        <v>412</v>
      </c>
      <c r="Q43" s="9"/>
      <c r="R43" s="9" t="s">
        <v>12795</v>
      </c>
      <c r="S43" s="9" t="s">
        <v>12795</v>
      </c>
      <c r="T43" s="9"/>
      <c r="U43" s="9"/>
      <c r="V43" s="9"/>
      <c r="W43" s="9"/>
      <c r="X43" s="9"/>
      <c r="Y43" s="9"/>
      <c r="Z43" s="9"/>
      <c r="AA43" s="9"/>
      <c r="AB43" s="9"/>
      <c r="AC43" s="9"/>
      <c r="AD43" s="9" t="s">
        <v>20</v>
      </c>
    </row>
    <row r="44" spans="1:30" ht="43.5">
      <c r="A44" s="3" t="s">
        <v>1085</v>
      </c>
      <c r="B44" s="3" t="s">
        <v>5668</v>
      </c>
      <c r="C44" s="3" t="s">
        <v>5667</v>
      </c>
      <c r="G44" s="9" t="s">
        <v>24</v>
      </c>
      <c r="H44" s="9"/>
      <c r="I44" s="9">
        <v>1</v>
      </c>
      <c r="J44" s="9">
        <v>3</v>
      </c>
      <c r="K44" s="9" t="s">
        <v>12078</v>
      </c>
      <c r="L44" s="9" t="s">
        <v>12079</v>
      </c>
      <c r="M44" s="9"/>
      <c r="N44" s="10"/>
      <c r="O44" s="9"/>
      <c r="P44" s="9">
        <v>11843</v>
      </c>
      <c r="Q44" s="9"/>
      <c r="R44" s="9" t="s">
        <v>12795</v>
      </c>
      <c r="S44" s="9" t="s">
        <v>12795</v>
      </c>
      <c r="T44" s="9"/>
      <c r="U44" s="9"/>
      <c r="V44" s="9"/>
      <c r="W44" s="9"/>
      <c r="X44" s="9"/>
      <c r="Y44" s="9"/>
      <c r="Z44" s="9"/>
      <c r="AA44" s="9"/>
      <c r="AB44" s="9"/>
      <c r="AC44" s="9"/>
      <c r="AD44" s="9" t="s">
        <v>20</v>
      </c>
    </row>
    <row r="45" spans="1:30" ht="29">
      <c r="A45" s="3" t="s">
        <v>1096</v>
      </c>
      <c r="B45" s="3" t="s">
        <v>5677</v>
      </c>
      <c r="C45" s="3" t="s">
        <v>5680</v>
      </c>
      <c r="G45" s="9" t="s">
        <v>24</v>
      </c>
      <c r="H45" s="9"/>
      <c r="I45" s="9">
        <v>1</v>
      </c>
      <c r="J45" s="9">
        <v>2</v>
      </c>
      <c r="K45" s="9" t="s">
        <v>12078</v>
      </c>
      <c r="L45" s="9" t="s">
        <v>12119</v>
      </c>
      <c r="M45" s="9"/>
      <c r="N45" s="10"/>
      <c r="O45" s="9"/>
      <c r="P45" s="9">
        <v>11843</v>
      </c>
      <c r="Q45" s="9"/>
      <c r="R45" s="9" t="s">
        <v>12795</v>
      </c>
      <c r="S45" s="9" t="s">
        <v>12795</v>
      </c>
      <c r="T45" s="9"/>
      <c r="U45" s="9"/>
      <c r="V45" s="9"/>
      <c r="W45" s="9"/>
      <c r="X45" s="9"/>
      <c r="Y45" s="9"/>
      <c r="Z45" s="9"/>
      <c r="AA45" s="9"/>
      <c r="AB45" s="9"/>
      <c r="AC45" s="9"/>
      <c r="AD45" s="9" t="s">
        <v>20</v>
      </c>
    </row>
    <row r="46" spans="1:30" ht="58">
      <c r="A46" s="3" t="s">
        <v>1106</v>
      </c>
      <c r="B46" s="3" t="s">
        <v>5687</v>
      </c>
      <c r="C46" s="3" t="s">
        <v>5688</v>
      </c>
      <c r="G46" s="9" t="s">
        <v>25</v>
      </c>
      <c r="H46" s="9"/>
      <c r="I46" s="9">
        <v>1</v>
      </c>
      <c r="J46" s="9">
        <v>3</v>
      </c>
      <c r="K46" s="9" t="s">
        <v>12087</v>
      </c>
      <c r="L46" s="9" t="s">
        <v>12079</v>
      </c>
      <c r="M46" s="9"/>
      <c r="N46" s="10"/>
      <c r="O46" s="9"/>
      <c r="P46" s="9">
        <v>5676</v>
      </c>
      <c r="Q46" s="9"/>
      <c r="R46" s="9" t="s">
        <v>12795</v>
      </c>
      <c r="S46" s="9" t="s">
        <v>12795</v>
      </c>
      <c r="T46" s="9"/>
      <c r="U46" s="9"/>
      <c r="V46" s="9"/>
      <c r="W46" s="9"/>
      <c r="X46" s="9"/>
      <c r="Y46" s="9"/>
      <c r="Z46" s="9"/>
      <c r="AA46" s="9"/>
      <c r="AB46" s="9"/>
      <c r="AC46" s="9"/>
      <c r="AD46" s="9" t="s">
        <v>20</v>
      </c>
    </row>
    <row r="47" spans="1:30" ht="43.5">
      <c r="A47" s="3" t="s">
        <v>1115</v>
      </c>
      <c r="B47" s="3" t="s">
        <v>5693</v>
      </c>
      <c r="C47" s="3" t="s">
        <v>5696</v>
      </c>
      <c r="G47" s="9" t="s">
        <v>24</v>
      </c>
      <c r="H47" s="9"/>
      <c r="I47" s="9">
        <v>1</v>
      </c>
      <c r="J47" s="9">
        <v>4</v>
      </c>
      <c r="K47" s="9" t="s">
        <v>12078</v>
      </c>
      <c r="L47" s="9" t="s">
        <v>12073</v>
      </c>
      <c r="M47" s="9" t="s">
        <v>12149</v>
      </c>
      <c r="N47" s="10" t="s">
        <v>12143</v>
      </c>
      <c r="O47" s="9"/>
      <c r="P47" s="9">
        <v>11843</v>
      </c>
      <c r="Q47" s="9"/>
      <c r="R47" s="9" t="s">
        <v>12795</v>
      </c>
      <c r="S47" s="9" t="s">
        <v>12795</v>
      </c>
      <c r="T47" s="9"/>
      <c r="U47" s="9"/>
      <c r="V47" s="9"/>
      <c r="W47" s="9"/>
      <c r="X47" s="9"/>
      <c r="Y47" s="9"/>
      <c r="Z47" s="9"/>
      <c r="AA47" s="9"/>
      <c r="AB47" s="9"/>
      <c r="AC47" s="9"/>
      <c r="AD47" s="9" t="s">
        <v>13141</v>
      </c>
    </row>
    <row r="48" spans="1:30" ht="58">
      <c r="A48" s="3" t="s">
        <v>1156</v>
      </c>
      <c r="B48" s="3" t="s">
        <v>5747</v>
      </c>
      <c r="C48" s="3" t="s">
        <v>5745</v>
      </c>
      <c r="G48" s="9" t="s">
        <v>25</v>
      </c>
      <c r="H48" s="9"/>
      <c r="I48" s="9">
        <v>1</v>
      </c>
      <c r="J48" s="9">
        <v>2</v>
      </c>
      <c r="K48" s="9" t="s">
        <v>12078</v>
      </c>
      <c r="L48" s="9" t="s">
        <v>12119</v>
      </c>
      <c r="M48" s="9"/>
      <c r="N48" s="10"/>
      <c r="O48" s="9"/>
      <c r="P48" s="9">
        <v>11843</v>
      </c>
      <c r="Q48" s="9"/>
      <c r="R48" s="9" t="s">
        <v>12795</v>
      </c>
      <c r="S48" s="9" t="s">
        <v>12795</v>
      </c>
      <c r="T48" s="9"/>
      <c r="U48" s="9"/>
      <c r="V48" s="9"/>
      <c r="W48" s="9"/>
      <c r="X48" s="9"/>
      <c r="Y48" s="9"/>
      <c r="Z48" s="9"/>
      <c r="AA48" s="9"/>
      <c r="AB48" s="9"/>
      <c r="AC48" s="9"/>
      <c r="AD48" s="9" t="s">
        <v>20</v>
      </c>
    </row>
    <row r="49" spans="1:30" ht="43.5">
      <c r="A49" s="3" t="s">
        <v>1158</v>
      </c>
      <c r="B49" s="3" t="s">
        <v>5754</v>
      </c>
      <c r="C49" s="3" t="s">
        <v>5755</v>
      </c>
      <c r="G49" s="9" t="s">
        <v>25</v>
      </c>
      <c r="H49" s="9"/>
      <c r="I49" s="9">
        <v>1</v>
      </c>
      <c r="J49" s="9">
        <v>2</v>
      </c>
      <c r="K49" s="9" t="s">
        <v>12123</v>
      </c>
      <c r="L49" s="9" t="s">
        <v>12119</v>
      </c>
      <c r="M49" s="9"/>
      <c r="N49" s="10"/>
      <c r="O49" s="9"/>
      <c r="P49" s="9">
        <v>134</v>
      </c>
      <c r="Q49" s="9"/>
      <c r="R49" s="9" t="s">
        <v>12795</v>
      </c>
      <c r="S49" s="9" t="s">
        <v>12795</v>
      </c>
      <c r="T49" s="9"/>
      <c r="U49" s="9"/>
      <c r="V49" s="9"/>
      <c r="W49" s="9"/>
      <c r="X49" s="9"/>
      <c r="Y49" s="9"/>
      <c r="Z49" s="9"/>
      <c r="AA49" s="9"/>
      <c r="AB49" s="9"/>
      <c r="AC49" s="9"/>
      <c r="AD49" s="9" t="s">
        <v>20</v>
      </c>
    </row>
    <row r="50" spans="1:30" ht="43.5">
      <c r="A50" s="3" t="s">
        <v>1181</v>
      </c>
      <c r="B50" s="3" t="s">
        <v>5778</v>
      </c>
      <c r="C50" s="3" t="s">
        <v>5779</v>
      </c>
      <c r="G50" s="9" t="s">
        <v>25</v>
      </c>
      <c r="H50" s="9"/>
      <c r="I50" s="9">
        <v>1</v>
      </c>
      <c r="J50" s="9">
        <v>3</v>
      </c>
      <c r="K50" s="9" t="s">
        <v>12087</v>
      </c>
      <c r="L50" s="9" t="s">
        <v>12073</v>
      </c>
      <c r="M50" s="9" t="s">
        <v>12142</v>
      </c>
      <c r="N50" s="10" t="s">
        <v>12143</v>
      </c>
      <c r="O50" s="9"/>
      <c r="P50" s="9">
        <v>5676</v>
      </c>
      <c r="Q50" s="9"/>
      <c r="R50" s="9" t="s">
        <v>12795</v>
      </c>
      <c r="S50" s="9" t="s">
        <v>12795</v>
      </c>
      <c r="T50" s="9"/>
      <c r="U50" s="9"/>
      <c r="V50" s="9"/>
      <c r="W50" s="9"/>
      <c r="X50" s="9"/>
      <c r="Y50" s="9"/>
      <c r="Z50" s="9"/>
      <c r="AA50" s="9"/>
      <c r="AB50" s="9"/>
      <c r="AC50" s="9"/>
      <c r="AD50" s="9" t="s">
        <v>20</v>
      </c>
    </row>
    <row r="51" spans="1:30" ht="72.5">
      <c r="A51" s="3" t="s">
        <v>1191</v>
      </c>
      <c r="B51" s="3" t="s">
        <v>5799</v>
      </c>
      <c r="C51" s="3" t="s">
        <v>5796</v>
      </c>
      <c r="G51" s="9" t="s">
        <v>25</v>
      </c>
      <c r="H51" s="9"/>
      <c r="I51" s="9">
        <v>1</v>
      </c>
      <c r="J51" s="9">
        <v>5</v>
      </c>
      <c r="K51" s="9" t="s">
        <v>12094</v>
      </c>
      <c r="L51" s="9" t="s">
        <v>12073</v>
      </c>
      <c r="M51" s="9" t="s">
        <v>12149</v>
      </c>
      <c r="N51" s="10" t="s">
        <v>12143</v>
      </c>
      <c r="O51" s="9"/>
      <c r="P51" s="9">
        <v>4240</v>
      </c>
      <c r="Q51" s="9"/>
      <c r="R51" s="9" t="s">
        <v>12795</v>
      </c>
      <c r="S51" s="9" t="s">
        <v>12795</v>
      </c>
      <c r="T51" s="9"/>
      <c r="U51" s="9"/>
      <c r="V51" s="9"/>
      <c r="W51" s="9"/>
      <c r="X51" s="9"/>
      <c r="Y51" s="9"/>
      <c r="Z51" s="9"/>
      <c r="AA51" s="9"/>
      <c r="AB51" s="9"/>
      <c r="AC51" s="9"/>
      <c r="AD51" s="9" t="s">
        <v>20</v>
      </c>
    </row>
    <row r="52" spans="1:30" ht="43.5">
      <c r="A52" s="3" t="s">
        <v>1193</v>
      </c>
      <c r="B52" s="3" t="s">
        <v>5802</v>
      </c>
      <c r="C52" s="3" t="s">
        <v>5803</v>
      </c>
      <c r="G52" s="9" t="s">
        <v>25</v>
      </c>
      <c r="H52" s="9"/>
      <c r="I52" s="9">
        <v>1</v>
      </c>
      <c r="J52" s="9">
        <v>5</v>
      </c>
      <c r="K52" s="9" t="s">
        <v>12094</v>
      </c>
      <c r="L52" s="9" t="s">
        <v>12079</v>
      </c>
      <c r="M52" s="9"/>
      <c r="N52" s="10"/>
      <c r="O52" s="9"/>
      <c r="P52" s="9">
        <v>930</v>
      </c>
      <c r="Q52" s="9"/>
      <c r="R52" s="9" t="s">
        <v>12795</v>
      </c>
      <c r="S52" s="9" t="s">
        <v>12795</v>
      </c>
      <c r="T52" s="9"/>
      <c r="U52" s="9"/>
      <c r="V52" s="9"/>
      <c r="W52" s="9"/>
      <c r="X52" s="9"/>
      <c r="Y52" s="9"/>
      <c r="Z52" s="9"/>
      <c r="AA52" s="9"/>
      <c r="AB52" s="9"/>
      <c r="AC52" s="9"/>
      <c r="AD52" s="9" t="s">
        <v>20</v>
      </c>
    </row>
    <row r="53" spans="1:30" ht="43.5">
      <c r="A53" s="3" t="s">
        <v>1222</v>
      </c>
      <c r="B53" s="3" t="s">
        <v>5831</v>
      </c>
      <c r="C53" s="3" t="s">
        <v>5832</v>
      </c>
      <c r="G53" s="9" t="s">
        <v>24</v>
      </c>
      <c r="H53" s="9"/>
      <c r="I53" s="9">
        <v>1</v>
      </c>
      <c r="J53" s="9">
        <v>2</v>
      </c>
      <c r="K53" s="9" t="s">
        <v>12087</v>
      </c>
      <c r="L53" s="9" t="s">
        <v>12119</v>
      </c>
      <c r="M53" s="9"/>
      <c r="N53" s="10"/>
      <c r="O53" s="9"/>
      <c r="P53" s="9">
        <v>1966</v>
      </c>
      <c r="Q53" s="9"/>
      <c r="R53" s="9" t="s">
        <v>12795</v>
      </c>
      <c r="S53" s="9" t="s">
        <v>12795</v>
      </c>
      <c r="T53" s="9"/>
      <c r="U53" s="9"/>
      <c r="V53" s="9"/>
      <c r="W53" s="9"/>
      <c r="X53" s="9"/>
      <c r="Y53" s="9"/>
      <c r="Z53" s="9"/>
      <c r="AA53" s="9"/>
      <c r="AB53" s="9"/>
      <c r="AC53" s="9"/>
      <c r="AD53" s="9" t="s">
        <v>20</v>
      </c>
    </row>
    <row r="54" spans="1:30" ht="319">
      <c r="A54" s="3" t="s">
        <v>1246</v>
      </c>
      <c r="B54" s="3" t="s">
        <v>13002</v>
      </c>
      <c r="C54" s="3" t="s">
        <v>12997</v>
      </c>
      <c r="G54" s="9" t="s">
        <v>25</v>
      </c>
      <c r="H54" s="9"/>
      <c r="I54" s="9">
        <v>1</v>
      </c>
      <c r="J54" s="9">
        <v>2</v>
      </c>
      <c r="K54" s="9" t="s">
        <v>12078</v>
      </c>
      <c r="L54" s="9" t="s">
        <v>12119</v>
      </c>
      <c r="M54" s="9"/>
      <c r="N54" s="10"/>
      <c r="O54" s="9"/>
      <c r="P54" s="9">
        <v>11843</v>
      </c>
      <c r="Q54" s="9"/>
      <c r="R54" s="9" t="s">
        <v>12795</v>
      </c>
      <c r="S54" s="9" t="s">
        <v>12795</v>
      </c>
      <c r="T54" s="9"/>
      <c r="U54" s="9"/>
      <c r="V54" s="9"/>
      <c r="W54" s="9"/>
      <c r="X54" s="9"/>
      <c r="Y54" s="9"/>
      <c r="Z54" s="9"/>
      <c r="AA54" s="9"/>
      <c r="AB54" s="9"/>
      <c r="AC54" s="9"/>
      <c r="AD54" s="9" t="s">
        <v>20</v>
      </c>
    </row>
    <row r="55" spans="1:30" ht="101.5">
      <c r="A55" s="3" t="s">
        <v>1262</v>
      </c>
      <c r="B55" s="3" t="s">
        <v>5875</v>
      </c>
      <c r="C55" s="3" t="s">
        <v>12220</v>
      </c>
      <c r="G55" s="9" t="s">
        <v>24</v>
      </c>
      <c r="H55" s="9"/>
      <c r="I55" s="9">
        <v>1</v>
      </c>
      <c r="J55" s="9">
        <v>3</v>
      </c>
      <c r="K55" s="9" t="s">
        <v>12094</v>
      </c>
      <c r="L55" s="9" t="s">
        <v>12079</v>
      </c>
      <c r="M55" s="9"/>
      <c r="N55" s="10"/>
      <c r="O55" s="9"/>
      <c r="P55" s="9">
        <v>1741</v>
      </c>
      <c r="Q55" s="9"/>
      <c r="R55" s="9" t="s">
        <v>12795</v>
      </c>
      <c r="S55" s="9" t="s">
        <v>12795</v>
      </c>
      <c r="T55" s="9"/>
      <c r="U55" s="9"/>
      <c r="V55" s="9"/>
      <c r="W55" s="9"/>
      <c r="X55" s="9"/>
      <c r="Y55" s="9"/>
      <c r="Z55" s="9"/>
      <c r="AA55" s="9"/>
      <c r="AB55" s="9"/>
      <c r="AC55" s="9"/>
      <c r="AD55" s="9" t="s">
        <v>13141</v>
      </c>
    </row>
    <row r="56" spans="1:30" ht="72.5">
      <c r="A56" s="3" t="s">
        <v>1267</v>
      </c>
      <c r="B56" s="3" t="s">
        <v>5882</v>
      </c>
      <c r="C56" s="3" t="s">
        <v>5885</v>
      </c>
      <c r="G56" s="9" t="s">
        <v>24</v>
      </c>
      <c r="H56" s="9"/>
      <c r="I56" s="9">
        <v>1</v>
      </c>
      <c r="J56" s="9">
        <v>3</v>
      </c>
      <c r="K56" s="9" t="s">
        <v>12087</v>
      </c>
      <c r="L56" s="9" t="s">
        <v>12079</v>
      </c>
      <c r="M56" s="9"/>
      <c r="N56" s="10"/>
      <c r="O56" s="9"/>
      <c r="P56" s="9">
        <v>5676</v>
      </c>
      <c r="Q56" s="9"/>
      <c r="R56" s="9" t="s">
        <v>12795</v>
      </c>
      <c r="S56" s="9" t="s">
        <v>12795</v>
      </c>
      <c r="T56" s="9"/>
      <c r="U56" s="9"/>
      <c r="V56" s="9"/>
      <c r="W56" s="9"/>
      <c r="X56" s="9"/>
      <c r="Y56" s="9"/>
      <c r="Z56" s="9"/>
      <c r="AA56" s="9"/>
      <c r="AB56" s="9"/>
      <c r="AC56" s="9"/>
      <c r="AD56" s="9" t="s">
        <v>20</v>
      </c>
    </row>
    <row r="57" spans="1:30" ht="43.5">
      <c r="A57" s="3" t="s">
        <v>1273</v>
      </c>
      <c r="B57" s="3" t="s">
        <v>5890</v>
      </c>
      <c r="C57" s="3" t="s">
        <v>5891</v>
      </c>
      <c r="F57" t="s">
        <v>19</v>
      </c>
      <c r="G57" s="9" t="s">
        <v>25</v>
      </c>
      <c r="H57" s="9"/>
      <c r="I57" s="9">
        <v>1</v>
      </c>
      <c r="J57" s="9">
        <v>3</v>
      </c>
      <c r="K57" s="9" t="s">
        <v>12078</v>
      </c>
      <c r="L57" s="9" t="s">
        <v>12079</v>
      </c>
      <c r="M57" s="9"/>
      <c r="N57" s="10"/>
      <c r="O57" s="9"/>
      <c r="P57" s="9">
        <v>11843</v>
      </c>
      <c r="Q57" s="9"/>
      <c r="R57" s="9" t="s">
        <v>12795</v>
      </c>
      <c r="S57" s="9" t="s">
        <v>12795</v>
      </c>
      <c r="T57" s="9"/>
      <c r="U57" s="9"/>
      <c r="V57" s="9"/>
      <c r="W57" s="9"/>
      <c r="X57" s="9"/>
      <c r="Y57" s="9"/>
      <c r="Z57" s="9"/>
      <c r="AA57" s="9"/>
      <c r="AB57" s="9"/>
      <c r="AC57" s="9"/>
      <c r="AD57" s="9" t="s">
        <v>20</v>
      </c>
    </row>
    <row r="58" spans="1:30" ht="72.5">
      <c r="A58" s="3" t="s">
        <v>1277</v>
      </c>
      <c r="B58" s="3" t="s">
        <v>5896</v>
      </c>
      <c r="C58" s="3" t="s">
        <v>5895</v>
      </c>
      <c r="G58" s="9" t="s">
        <v>25</v>
      </c>
      <c r="H58" s="9"/>
      <c r="I58" s="9">
        <v>1</v>
      </c>
      <c r="J58" s="9">
        <v>3</v>
      </c>
      <c r="K58" s="9" t="s">
        <v>12087</v>
      </c>
      <c r="L58" s="9" t="s">
        <v>12079</v>
      </c>
      <c r="M58" s="9"/>
      <c r="N58" s="10"/>
      <c r="O58" s="9"/>
      <c r="P58" s="9">
        <v>5676</v>
      </c>
      <c r="Q58" s="9"/>
      <c r="R58" s="9" t="s">
        <v>12795</v>
      </c>
      <c r="S58" s="9" t="s">
        <v>12795</v>
      </c>
      <c r="T58" s="9"/>
      <c r="U58" s="9"/>
      <c r="V58" s="9"/>
      <c r="W58" s="9"/>
      <c r="X58" s="9"/>
      <c r="Y58" s="9"/>
      <c r="Z58" s="9"/>
      <c r="AA58" s="9"/>
      <c r="AB58" s="9"/>
      <c r="AC58" s="9"/>
      <c r="AD58" s="9" t="s">
        <v>20</v>
      </c>
    </row>
    <row r="59" spans="1:30" ht="43.5">
      <c r="A59" s="3" t="s">
        <v>1278</v>
      </c>
      <c r="B59" s="3" t="s">
        <v>5901</v>
      </c>
      <c r="C59" s="3" t="s">
        <v>5900</v>
      </c>
      <c r="G59" s="9" t="s">
        <v>25</v>
      </c>
      <c r="H59" s="9"/>
      <c r="I59" s="9">
        <v>1</v>
      </c>
      <c r="J59" s="9">
        <v>2</v>
      </c>
      <c r="K59" s="9" t="s">
        <v>12078</v>
      </c>
      <c r="L59" s="9" t="s">
        <v>12119</v>
      </c>
      <c r="M59" s="9"/>
      <c r="N59" s="10"/>
      <c r="O59" s="9"/>
      <c r="P59" s="9">
        <v>11843</v>
      </c>
      <c r="Q59" s="9"/>
      <c r="R59" s="9" t="s">
        <v>12795</v>
      </c>
      <c r="S59" s="9" t="s">
        <v>12795</v>
      </c>
      <c r="T59" s="9"/>
      <c r="U59" s="9"/>
      <c r="V59" s="9"/>
      <c r="W59" s="9"/>
      <c r="X59" s="9"/>
      <c r="Y59" s="9"/>
      <c r="Z59" s="9"/>
      <c r="AA59" s="9"/>
      <c r="AB59" s="9"/>
      <c r="AC59" s="9"/>
      <c r="AD59" s="9" t="s">
        <v>20</v>
      </c>
    </row>
    <row r="60" spans="1:30" ht="43.5">
      <c r="A60" s="3" t="s">
        <v>1299</v>
      </c>
      <c r="B60" s="3" t="s">
        <v>5918</v>
      </c>
      <c r="C60" s="3" t="s">
        <v>5919</v>
      </c>
      <c r="G60" s="9" t="s">
        <v>25</v>
      </c>
      <c r="H60" s="9"/>
      <c r="I60" s="9">
        <v>1</v>
      </c>
      <c r="J60" s="9">
        <v>3</v>
      </c>
      <c r="K60" s="9" t="s">
        <v>12078</v>
      </c>
      <c r="L60" s="9" t="s">
        <v>12073</v>
      </c>
      <c r="M60" s="9" t="s">
        <v>12149</v>
      </c>
      <c r="N60" s="10" t="s">
        <v>12143</v>
      </c>
      <c r="O60" s="9"/>
      <c r="P60" s="9">
        <v>11843</v>
      </c>
      <c r="Q60" s="9"/>
      <c r="R60" s="9" t="s">
        <v>12795</v>
      </c>
      <c r="S60" s="9" t="s">
        <v>12795</v>
      </c>
      <c r="T60" s="9"/>
      <c r="U60" s="9"/>
      <c r="V60" s="9"/>
      <c r="W60" s="9"/>
      <c r="X60" s="9"/>
      <c r="Y60" s="9"/>
      <c r="Z60" s="9"/>
      <c r="AA60" s="9"/>
      <c r="AB60" s="9"/>
      <c r="AC60" s="9"/>
      <c r="AD60" s="9" t="s">
        <v>20</v>
      </c>
    </row>
    <row r="61" spans="1:30" ht="29">
      <c r="A61" s="3" t="s">
        <v>1326</v>
      </c>
      <c r="B61" s="3" t="s">
        <v>5952</v>
      </c>
      <c r="C61" s="3" t="s">
        <v>5951</v>
      </c>
      <c r="F61" t="s">
        <v>19</v>
      </c>
      <c r="G61" s="9" t="s">
        <v>24</v>
      </c>
      <c r="H61" s="9"/>
      <c r="I61" s="9">
        <v>1</v>
      </c>
      <c r="J61" s="9">
        <v>3</v>
      </c>
      <c r="K61" s="9" t="s">
        <v>12078</v>
      </c>
      <c r="L61" s="9" t="s">
        <v>12079</v>
      </c>
      <c r="M61" s="9"/>
      <c r="N61" s="10"/>
      <c r="O61" s="9"/>
      <c r="P61" s="9">
        <v>11843</v>
      </c>
      <c r="Q61" s="9"/>
      <c r="R61" s="9" t="s">
        <v>12795</v>
      </c>
      <c r="S61" s="9" t="s">
        <v>12795</v>
      </c>
      <c r="T61" s="9"/>
      <c r="U61" s="9"/>
      <c r="V61" s="9"/>
      <c r="W61" s="9"/>
      <c r="X61" s="9"/>
      <c r="Y61" s="9"/>
      <c r="Z61" s="9"/>
      <c r="AA61" s="9"/>
      <c r="AB61" s="9"/>
      <c r="AC61" s="9"/>
      <c r="AD61" s="9" t="s">
        <v>13141</v>
      </c>
    </row>
    <row r="62" spans="1:30" ht="58">
      <c r="A62" s="3" t="s">
        <v>1337</v>
      </c>
      <c r="B62" s="3" t="s">
        <v>5975</v>
      </c>
      <c r="C62" s="3" t="s">
        <v>5974</v>
      </c>
      <c r="F62" t="s">
        <v>19</v>
      </c>
      <c r="G62" s="9" t="s">
        <v>25</v>
      </c>
      <c r="H62" s="9"/>
      <c r="I62" s="9">
        <v>1</v>
      </c>
      <c r="J62" s="9">
        <v>3</v>
      </c>
      <c r="K62" s="9" t="s">
        <v>12087</v>
      </c>
      <c r="L62" s="9" t="s">
        <v>12079</v>
      </c>
      <c r="M62" s="9"/>
      <c r="N62" s="10"/>
      <c r="O62" s="9"/>
      <c r="P62" s="9">
        <v>5676</v>
      </c>
      <c r="Q62" s="9"/>
      <c r="R62" s="9" t="s">
        <v>12795</v>
      </c>
      <c r="S62" s="9" t="s">
        <v>12795</v>
      </c>
      <c r="T62" s="9"/>
      <c r="U62" s="9"/>
      <c r="V62" s="9"/>
      <c r="W62" s="9"/>
      <c r="X62" s="9"/>
      <c r="Y62" s="9"/>
      <c r="Z62" s="9"/>
      <c r="AA62" s="9"/>
      <c r="AB62" s="9"/>
      <c r="AC62" s="9"/>
      <c r="AD62" s="9" t="s">
        <v>20</v>
      </c>
    </row>
    <row r="63" spans="1:30" ht="58">
      <c r="A63" s="3" t="s">
        <v>1337</v>
      </c>
      <c r="B63" s="3" t="s">
        <v>5976</v>
      </c>
      <c r="C63" s="3" t="s">
        <v>5974</v>
      </c>
      <c r="G63" s="9" t="s">
        <v>25</v>
      </c>
      <c r="H63" s="9"/>
      <c r="I63" s="9">
        <v>1</v>
      </c>
      <c r="J63" s="9">
        <v>1</v>
      </c>
      <c r="K63" s="9" t="s">
        <v>12078</v>
      </c>
      <c r="L63" s="9" t="s">
        <v>12119</v>
      </c>
      <c r="M63" s="9"/>
      <c r="N63" s="10"/>
      <c r="O63" s="9"/>
      <c r="P63" s="9">
        <v>11843</v>
      </c>
      <c r="Q63" s="9"/>
      <c r="R63" s="9" t="s">
        <v>12795</v>
      </c>
      <c r="S63" s="9" t="s">
        <v>12795</v>
      </c>
      <c r="T63" s="9"/>
      <c r="U63" s="9"/>
      <c r="V63" s="9"/>
      <c r="W63" s="9"/>
      <c r="X63" s="9"/>
      <c r="Y63" s="9"/>
      <c r="Z63" s="9"/>
      <c r="AA63" s="9"/>
      <c r="AB63" s="9"/>
      <c r="AC63" s="9"/>
      <c r="AD63" s="9" t="s">
        <v>20</v>
      </c>
    </row>
    <row r="64" spans="1:30" ht="29">
      <c r="A64" s="3" t="s">
        <v>1357</v>
      </c>
      <c r="B64" s="3" t="s">
        <v>5995</v>
      </c>
      <c r="C64" s="3" t="s">
        <v>5996</v>
      </c>
      <c r="F64" t="s">
        <v>19</v>
      </c>
      <c r="G64" s="9" t="s">
        <v>24</v>
      </c>
      <c r="H64" s="9"/>
      <c r="I64" s="9">
        <v>1</v>
      </c>
      <c r="J64" s="9">
        <v>1</v>
      </c>
      <c r="K64" s="9" t="s">
        <v>12078</v>
      </c>
      <c r="L64" s="9" t="s">
        <v>12119</v>
      </c>
      <c r="M64" s="9"/>
      <c r="N64" s="10"/>
      <c r="O64" s="9"/>
      <c r="P64" s="9">
        <v>11843</v>
      </c>
      <c r="Q64" s="9"/>
      <c r="R64" s="9" t="s">
        <v>12795</v>
      </c>
      <c r="S64" s="9" t="s">
        <v>12795</v>
      </c>
      <c r="T64" s="9"/>
      <c r="U64" s="9"/>
      <c r="V64" s="9"/>
      <c r="W64" s="9"/>
      <c r="X64" s="9"/>
      <c r="Y64" s="9"/>
      <c r="Z64" s="9"/>
      <c r="AA64" s="9"/>
      <c r="AB64" s="9"/>
      <c r="AC64" s="9"/>
      <c r="AD64" s="9" t="s">
        <v>20</v>
      </c>
    </row>
    <row r="65" spans="1:30" ht="101.5">
      <c r="A65" s="3" t="s">
        <v>1365</v>
      </c>
      <c r="B65" s="3" t="s">
        <v>6014</v>
      </c>
      <c r="C65" s="3" t="s">
        <v>6011</v>
      </c>
      <c r="F65" t="s">
        <v>19</v>
      </c>
      <c r="G65" s="9" t="s">
        <v>25</v>
      </c>
      <c r="H65" s="9"/>
      <c r="I65" s="9">
        <v>1</v>
      </c>
      <c r="J65" s="9">
        <v>3</v>
      </c>
      <c r="K65" s="9" t="s">
        <v>12078</v>
      </c>
      <c r="L65" s="9" t="s">
        <v>12079</v>
      </c>
      <c r="M65" s="9"/>
      <c r="N65" s="10"/>
      <c r="O65" s="9"/>
      <c r="P65" s="9">
        <v>11843</v>
      </c>
      <c r="Q65" s="9"/>
      <c r="R65" s="9" t="s">
        <v>12795</v>
      </c>
      <c r="S65" s="9" t="s">
        <v>12795</v>
      </c>
      <c r="T65" s="9"/>
      <c r="U65" s="9"/>
      <c r="V65" s="9"/>
      <c r="W65" s="9"/>
      <c r="X65" s="9"/>
      <c r="Y65" s="9"/>
      <c r="Z65" s="9"/>
      <c r="AA65" s="9"/>
      <c r="AB65" s="9"/>
      <c r="AC65" s="9"/>
      <c r="AD65" s="9" t="s">
        <v>20</v>
      </c>
    </row>
    <row r="66" spans="1:30" ht="116">
      <c r="A66" s="3" t="s">
        <v>1384</v>
      </c>
      <c r="B66" s="3" t="s">
        <v>6038</v>
      </c>
      <c r="C66" s="3" t="s">
        <v>6036</v>
      </c>
      <c r="F66" t="s">
        <v>19</v>
      </c>
      <c r="G66" s="9" t="s">
        <v>25</v>
      </c>
      <c r="H66" s="9"/>
      <c r="I66" s="9">
        <v>1</v>
      </c>
      <c r="J66" s="9">
        <v>5</v>
      </c>
      <c r="K66" s="9" t="s">
        <v>12094</v>
      </c>
      <c r="L66" s="9" t="s">
        <v>12079</v>
      </c>
      <c r="M66" s="9"/>
      <c r="N66" s="10"/>
      <c r="O66" s="9"/>
      <c r="P66" s="9">
        <v>4240</v>
      </c>
      <c r="Q66" s="9"/>
      <c r="R66" s="9" t="s">
        <v>12795</v>
      </c>
      <c r="S66" s="9" t="s">
        <v>12795</v>
      </c>
      <c r="T66" s="9"/>
      <c r="U66" s="9"/>
      <c r="V66" s="9"/>
      <c r="W66" s="9"/>
      <c r="X66" s="9"/>
      <c r="Y66" s="9"/>
      <c r="Z66" s="9"/>
      <c r="AA66" s="9"/>
      <c r="AB66" s="9"/>
      <c r="AC66" s="9"/>
      <c r="AD66" s="9" t="s">
        <v>20</v>
      </c>
    </row>
    <row r="67" spans="1:30" ht="29">
      <c r="A67" s="3" t="s">
        <v>1402</v>
      </c>
      <c r="B67" s="3" t="s">
        <v>6053</v>
      </c>
      <c r="C67" s="3" t="s">
        <v>6052</v>
      </c>
      <c r="G67" s="9" t="s">
        <v>24</v>
      </c>
      <c r="H67" s="9"/>
      <c r="I67" s="9">
        <v>1</v>
      </c>
      <c r="J67" s="9">
        <v>3</v>
      </c>
      <c r="K67" s="9" t="s">
        <v>12078</v>
      </c>
      <c r="L67" s="9" t="s">
        <v>12079</v>
      </c>
      <c r="M67" s="9"/>
      <c r="N67" s="10"/>
      <c r="O67" s="9"/>
      <c r="P67" s="9">
        <v>11843</v>
      </c>
      <c r="Q67" s="9"/>
      <c r="R67" s="9" t="s">
        <v>12795</v>
      </c>
      <c r="S67" s="9" t="s">
        <v>12795</v>
      </c>
      <c r="T67" s="9"/>
      <c r="U67" s="9"/>
      <c r="V67" s="9"/>
      <c r="W67" s="9"/>
      <c r="X67" s="9"/>
      <c r="Y67" s="9"/>
      <c r="Z67" s="9"/>
      <c r="AA67" s="9"/>
      <c r="AB67" s="9"/>
      <c r="AC67" s="9"/>
      <c r="AD67" s="9" t="s">
        <v>20</v>
      </c>
    </row>
    <row r="68" spans="1:30" ht="58">
      <c r="A68" s="3" t="s">
        <v>1419</v>
      </c>
      <c r="B68" s="3" t="s">
        <v>6078</v>
      </c>
      <c r="C68" s="3" t="s">
        <v>6079</v>
      </c>
      <c r="G68" s="9" t="s">
        <v>25</v>
      </c>
      <c r="H68" s="9"/>
      <c r="I68" s="9">
        <v>1</v>
      </c>
      <c r="J68" s="9">
        <v>6</v>
      </c>
      <c r="K68" s="9" t="s">
        <v>12094</v>
      </c>
      <c r="L68" s="9" t="s">
        <v>12079</v>
      </c>
      <c r="M68" s="9"/>
      <c r="N68" s="10"/>
      <c r="O68" s="9"/>
      <c r="P68" s="9">
        <v>4240</v>
      </c>
      <c r="Q68" s="9"/>
      <c r="R68" s="9" t="s">
        <v>12795</v>
      </c>
      <c r="S68" s="9" t="s">
        <v>12795</v>
      </c>
      <c r="T68" s="9"/>
      <c r="U68" s="9"/>
      <c r="V68" s="9"/>
      <c r="W68" s="9"/>
      <c r="X68" s="9"/>
      <c r="Y68" s="9"/>
      <c r="Z68" s="9"/>
      <c r="AA68" s="9"/>
      <c r="AB68" s="9"/>
      <c r="AC68" s="9"/>
      <c r="AD68" s="9" t="s">
        <v>20</v>
      </c>
    </row>
    <row r="69" spans="1:30" ht="43.5">
      <c r="A69" s="3" t="s">
        <v>1421</v>
      </c>
      <c r="B69" s="3" t="s">
        <v>6082</v>
      </c>
      <c r="C69" s="3" t="s">
        <v>6083</v>
      </c>
      <c r="G69" s="9" t="s">
        <v>25</v>
      </c>
      <c r="H69" s="9"/>
      <c r="I69" s="9">
        <v>1</v>
      </c>
      <c r="J69" s="9">
        <v>3</v>
      </c>
      <c r="K69" s="9" t="s">
        <v>12078</v>
      </c>
      <c r="L69" s="9" t="s">
        <v>12073</v>
      </c>
      <c r="M69" s="9" t="s">
        <v>12149</v>
      </c>
      <c r="N69" s="10" t="s">
        <v>12143</v>
      </c>
      <c r="O69" s="9"/>
      <c r="P69" s="9">
        <v>11843</v>
      </c>
      <c r="Q69" s="9"/>
      <c r="R69" s="9" t="s">
        <v>12795</v>
      </c>
      <c r="S69" s="9" t="s">
        <v>12795</v>
      </c>
      <c r="T69" s="9"/>
      <c r="U69" s="9"/>
      <c r="V69" s="9"/>
      <c r="W69" s="9"/>
      <c r="X69" s="9"/>
      <c r="Y69" s="9"/>
      <c r="Z69" s="9"/>
      <c r="AA69" s="9"/>
      <c r="AB69" s="9"/>
      <c r="AC69" s="9"/>
      <c r="AD69" s="9" t="s">
        <v>20</v>
      </c>
    </row>
    <row r="70" spans="1:30" ht="43.5">
      <c r="A70" s="3" t="s">
        <v>1421</v>
      </c>
      <c r="B70" s="3" t="s">
        <v>6084</v>
      </c>
      <c r="C70" s="3" t="s">
        <v>6085</v>
      </c>
      <c r="G70" s="9" t="s">
        <v>25</v>
      </c>
      <c r="H70" s="9"/>
      <c r="I70" s="9">
        <v>1</v>
      </c>
      <c r="J70" s="9">
        <v>3</v>
      </c>
      <c r="K70" s="9" t="s">
        <v>12078</v>
      </c>
      <c r="L70" s="9" t="s">
        <v>12073</v>
      </c>
      <c r="M70" s="9" t="s">
        <v>12149</v>
      </c>
      <c r="N70" s="10" t="s">
        <v>12143</v>
      </c>
      <c r="O70" s="9"/>
      <c r="P70" s="9">
        <v>11843</v>
      </c>
      <c r="Q70" s="9"/>
      <c r="R70" s="9" t="s">
        <v>12795</v>
      </c>
      <c r="S70" s="9" t="s">
        <v>12795</v>
      </c>
      <c r="T70" s="9"/>
      <c r="U70" s="9"/>
      <c r="V70" s="9"/>
      <c r="W70" s="9"/>
      <c r="X70" s="9"/>
      <c r="Y70" s="9"/>
      <c r="Z70" s="9"/>
      <c r="AA70" s="9"/>
      <c r="AB70" s="9"/>
      <c r="AC70" s="9"/>
      <c r="AD70" s="9" t="s">
        <v>20</v>
      </c>
    </row>
    <row r="71" spans="1:30" ht="72.5">
      <c r="A71" s="3" t="s">
        <v>1432</v>
      </c>
      <c r="B71" s="3" t="s">
        <v>6088</v>
      </c>
      <c r="C71" s="3" t="s">
        <v>6089</v>
      </c>
      <c r="G71" s="9" t="s">
        <v>24</v>
      </c>
      <c r="H71" s="9"/>
      <c r="I71" s="9">
        <v>1</v>
      </c>
      <c r="J71" s="9">
        <v>3</v>
      </c>
      <c r="K71" s="9" t="s">
        <v>12078</v>
      </c>
      <c r="L71" s="9" t="s">
        <v>12073</v>
      </c>
      <c r="M71" s="9" t="s">
        <v>12142</v>
      </c>
      <c r="N71" s="10" t="s">
        <v>12143</v>
      </c>
      <c r="O71" s="9" t="s">
        <v>12074</v>
      </c>
      <c r="P71" s="9">
        <v>11843</v>
      </c>
      <c r="Q71" s="9"/>
      <c r="R71" s="9" t="s">
        <v>12795</v>
      </c>
      <c r="S71" s="9" t="s">
        <v>12795</v>
      </c>
      <c r="T71" s="9"/>
      <c r="U71" s="9"/>
      <c r="V71" s="9"/>
      <c r="W71" s="9"/>
      <c r="X71" s="9"/>
      <c r="Y71" s="9"/>
      <c r="Z71" s="9"/>
      <c r="AA71" s="9"/>
      <c r="AB71" s="9"/>
      <c r="AC71" s="9"/>
      <c r="AD71" s="9" t="s">
        <v>20</v>
      </c>
    </row>
    <row r="72" spans="1:30" ht="43.5">
      <c r="A72" s="3" t="s">
        <v>1458</v>
      </c>
      <c r="B72" s="3" t="s">
        <v>6152</v>
      </c>
      <c r="C72" s="3" t="s">
        <v>6153</v>
      </c>
      <c r="G72" s="9" t="s">
        <v>24</v>
      </c>
      <c r="H72" s="9"/>
      <c r="I72" s="9">
        <v>1</v>
      </c>
      <c r="J72" s="9">
        <v>2</v>
      </c>
      <c r="K72" s="9" t="s">
        <v>12123</v>
      </c>
      <c r="L72" s="9" t="s">
        <v>12119</v>
      </c>
      <c r="M72" s="9"/>
      <c r="N72" s="10"/>
      <c r="O72" s="9" t="s">
        <v>12074</v>
      </c>
      <c r="P72" s="9">
        <v>887</v>
      </c>
      <c r="Q72" s="9"/>
      <c r="R72" s="9" t="s">
        <v>12795</v>
      </c>
      <c r="S72" s="9" t="s">
        <v>12795</v>
      </c>
      <c r="T72" s="9" t="s">
        <v>12117</v>
      </c>
      <c r="U72" s="9"/>
      <c r="V72" s="9"/>
      <c r="W72" s="9"/>
      <c r="X72" s="9"/>
      <c r="Y72" s="9"/>
      <c r="Z72" s="9"/>
      <c r="AA72" s="9"/>
      <c r="AB72" s="9"/>
      <c r="AC72" s="9"/>
      <c r="AD72" s="9" t="s">
        <v>20</v>
      </c>
    </row>
    <row r="73" spans="1:30" ht="87">
      <c r="A73" s="3" t="s">
        <v>1488</v>
      </c>
      <c r="B73" s="3" t="s">
        <v>6190</v>
      </c>
      <c r="C73" s="3" t="s">
        <v>6195</v>
      </c>
      <c r="G73" s="9" t="s">
        <v>24</v>
      </c>
      <c r="H73" s="9"/>
      <c r="I73" s="9">
        <v>1</v>
      </c>
      <c r="J73" s="9">
        <v>2</v>
      </c>
      <c r="K73" s="9" t="s">
        <v>12078</v>
      </c>
      <c r="L73" s="9" t="s">
        <v>12119</v>
      </c>
      <c r="M73" s="9"/>
      <c r="N73" s="10"/>
      <c r="O73" s="9"/>
      <c r="P73" s="9">
        <v>11843</v>
      </c>
      <c r="Q73" s="9"/>
      <c r="R73" s="9" t="s">
        <v>12795</v>
      </c>
      <c r="S73" s="9" t="s">
        <v>12795</v>
      </c>
      <c r="T73" s="9"/>
      <c r="U73" s="9"/>
      <c r="V73" s="9"/>
      <c r="W73" s="9"/>
      <c r="X73" s="9"/>
      <c r="Y73" s="9"/>
      <c r="Z73" s="9"/>
      <c r="AA73" s="9"/>
      <c r="AB73" s="9"/>
      <c r="AC73" s="9"/>
      <c r="AD73" s="9" t="s">
        <v>13141</v>
      </c>
    </row>
    <row r="74" spans="1:30" ht="43.5">
      <c r="A74" s="3" t="s">
        <v>1517</v>
      </c>
      <c r="B74" s="3" t="s">
        <v>6226</v>
      </c>
      <c r="C74" s="3" t="s">
        <v>6227</v>
      </c>
      <c r="G74" s="9" t="s">
        <v>25</v>
      </c>
      <c r="H74" s="9"/>
      <c r="I74" s="9">
        <v>1</v>
      </c>
      <c r="J74" s="9">
        <v>3</v>
      </c>
      <c r="K74" s="9" t="s">
        <v>12078</v>
      </c>
      <c r="L74" s="9" t="s">
        <v>12073</v>
      </c>
      <c r="M74" s="9" t="s">
        <v>12149</v>
      </c>
      <c r="N74" s="10" t="s">
        <v>12136</v>
      </c>
      <c r="O74" s="9"/>
      <c r="P74" s="9">
        <v>11843</v>
      </c>
      <c r="Q74" s="9"/>
      <c r="R74" s="9" t="s">
        <v>12795</v>
      </c>
      <c r="S74" s="9" t="s">
        <v>12795</v>
      </c>
      <c r="T74" s="9"/>
      <c r="U74" s="9"/>
      <c r="V74" s="9"/>
      <c r="W74" s="9"/>
      <c r="X74" s="9"/>
      <c r="Y74" s="9"/>
      <c r="Z74" s="9"/>
      <c r="AA74" s="9"/>
      <c r="AB74" s="9"/>
      <c r="AC74" s="9"/>
      <c r="AD74" s="9" t="s">
        <v>20</v>
      </c>
    </row>
    <row r="75" spans="1:30" ht="43.5">
      <c r="A75" s="3" t="s">
        <v>1531</v>
      </c>
      <c r="B75" s="3" t="s">
        <v>6262</v>
      </c>
      <c r="C75" s="3" t="s">
        <v>6263</v>
      </c>
      <c r="G75" s="9" t="s">
        <v>25</v>
      </c>
      <c r="H75" s="9"/>
      <c r="I75" s="9">
        <v>1</v>
      </c>
      <c r="J75" s="9">
        <v>2</v>
      </c>
      <c r="K75" s="9" t="s">
        <v>12094</v>
      </c>
      <c r="L75" s="9" t="s">
        <v>12119</v>
      </c>
      <c r="M75" s="9"/>
      <c r="N75" s="10"/>
      <c r="O75" s="9"/>
      <c r="P75" s="9">
        <v>1741</v>
      </c>
      <c r="Q75" s="9"/>
      <c r="R75" s="9" t="s">
        <v>12795</v>
      </c>
      <c r="S75" s="9" t="s">
        <v>12795</v>
      </c>
      <c r="T75" s="9"/>
      <c r="U75" s="9"/>
      <c r="V75" s="9"/>
      <c r="W75" s="9"/>
      <c r="X75" s="9"/>
      <c r="Y75" s="9"/>
      <c r="Z75" s="9"/>
      <c r="AA75" s="9"/>
      <c r="AB75" s="9"/>
      <c r="AC75" s="9"/>
      <c r="AD75" s="9" t="s">
        <v>20</v>
      </c>
    </row>
    <row r="76" spans="1:30" ht="29">
      <c r="A76" s="3" t="s">
        <v>1536</v>
      </c>
      <c r="B76" s="3" t="s">
        <v>6273</v>
      </c>
      <c r="C76" s="3" t="s">
        <v>6275</v>
      </c>
      <c r="G76" s="9" t="s">
        <v>25</v>
      </c>
      <c r="H76" s="9"/>
      <c r="I76" s="9">
        <v>1</v>
      </c>
      <c r="J76" s="9">
        <v>5</v>
      </c>
      <c r="K76" s="9" t="s">
        <v>12094</v>
      </c>
      <c r="L76" s="9" t="s">
        <v>12073</v>
      </c>
      <c r="M76" s="9" t="s">
        <v>12142</v>
      </c>
      <c r="N76" s="10" t="s">
        <v>12160</v>
      </c>
      <c r="O76" s="9"/>
      <c r="P76" s="9">
        <v>4240</v>
      </c>
      <c r="Q76" s="9"/>
      <c r="R76" s="9" t="s">
        <v>12795</v>
      </c>
      <c r="S76" s="9" t="s">
        <v>12795</v>
      </c>
      <c r="T76" s="9" t="s">
        <v>4</v>
      </c>
      <c r="U76" s="9"/>
      <c r="V76" s="9"/>
      <c r="W76" s="9"/>
      <c r="X76" s="9"/>
      <c r="Y76" s="9"/>
      <c r="Z76" s="9"/>
      <c r="AA76" s="9"/>
      <c r="AB76" s="9"/>
      <c r="AC76" s="9"/>
      <c r="AD76" s="9" t="s">
        <v>20</v>
      </c>
    </row>
    <row r="77" spans="1:30" ht="29">
      <c r="A77" s="3" t="s">
        <v>1542</v>
      </c>
      <c r="B77" s="3" t="s">
        <v>6292</v>
      </c>
      <c r="C77" s="3" t="s">
        <v>6293</v>
      </c>
      <c r="F77" t="s">
        <v>19</v>
      </c>
      <c r="G77" s="9" t="s">
        <v>24</v>
      </c>
      <c r="H77" s="9"/>
      <c r="I77" s="9">
        <v>1</v>
      </c>
      <c r="J77" s="9">
        <v>5</v>
      </c>
      <c r="K77" s="9" t="s">
        <v>12094</v>
      </c>
      <c r="L77" s="9" t="s">
        <v>12073</v>
      </c>
      <c r="M77" s="9" t="s">
        <v>12149</v>
      </c>
      <c r="N77" s="10" t="s">
        <v>12143</v>
      </c>
      <c r="O77" s="9"/>
      <c r="P77" s="9">
        <v>930</v>
      </c>
      <c r="Q77" s="9"/>
      <c r="R77" s="9" t="s">
        <v>12795</v>
      </c>
      <c r="S77" s="9" t="s">
        <v>12795</v>
      </c>
      <c r="T77" s="9"/>
      <c r="U77" s="9"/>
      <c r="V77" s="9"/>
      <c r="W77" s="9"/>
      <c r="X77" s="9"/>
      <c r="Y77" s="9"/>
      <c r="Z77" s="9"/>
      <c r="AA77" s="9"/>
      <c r="AB77" s="9"/>
      <c r="AC77" s="9"/>
      <c r="AD77" s="9" t="s">
        <v>20</v>
      </c>
    </row>
    <row r="78" spans="1:30" ht="29">
      <c r="A78" s="3" t="s">
        <v>1558</v>
      </c>
      <c r="B78" s="3" t="s">
        <v>6306</v>
      </c>
      <c r="C78" s="3" t="s">
        <v>6307</v>
      </c>
      <c r="G78" s="9" t="s">
        <v>25</v>
      </c>
      <c r="H78" s="9"/>
      <c r="I78" s="9">
        <v>1</v>
      </c>
      <c r="J78" s="9">
        <v>2</v>
      </c>
      <c r="K78" s="9" t="s">
        <v>12078</v>
      </c>
      <c r="L78" s="9" t="s">
        <v>12119</v>
      </c>
      <c r="M78" s="9"/>
      <c r="N78" s="10"/>
      <c r="O78" s="9" t="s">
        <v>12074</v>
      </c>
      <c r="P78" s="9">
        <v>11843</v>
      </c>
      <c r="Q78" s="9"/>
      <c r="R78" s="9" t="s">
        <v>12795</v>
      </c>
      <c r="S78" s="9" t="s">
        <v>12795</v>
      </c>
      <c r="T78" s="9"/>
      <c r="U78" s="9"/>
      <c r="V78" s="9"/>
      <c r="W78" s="9"/>
      <c r="X78" s="9"/>
      <c r="Y78" s="9"/>
      <c r="Z78" s="9"/>
      <c r="AA78" s="9"/>
      <c r="AB78" s="9"/>
      <c r="AC78" s="9"/>
      <c r="AD78" s="9" t="s">
        <v>20</v>
      </c>
    </row>
    <row r="79" spans="1:30" ht="87">
      <c r="A79" s="3" t="s">
        <v>1569</v>
      </c>
      <c r="B79" s="3" t="s">
        <v>6318</v>
      </c>
      <c r="C79" s="3" t="s">
        <v>6317</v>
      </c>
      <c r="G79" s="9" t="s">
        <v>25</v>
      </c>
      <c r="H79" s="9"/>
      <c r="I79" s="9">
        <v>1</v>
      </c>
      <c r="J79" s="9">
        <v>1</v>
      </c>
      <c r="K79" s="9" t="s">
        <v>12078</v>
      </c>
      <c r="L79" s="9" t="s">
        <v>12119</v>
      </c>
      <c r="M79" s="9"/>
      <c r="N79" s="10"/>
      <c r="O79" s="9"/>
      <c r="P79" s="9">
        <v>11843</v>
      </c>
      <c r="Q79" s="9"/>
      <c r="R79" s="9" t="s">
        <v>12795</v>
      </c>
      <c r="S79" s="9" t="s">
        <v>12795</v>
      </c>
      <c r="T79" s="9"/>
      <c r="U79" s="9"/>
      <c r="V79" s="9"/>
      <c r="W79" s="9"/>
      <c r="X79" s="9"/>
      <c r="Y79" s="9"/>
      <c r="Z79" s="9"/>
      <c r="AA79" s="9"/>
      <c r="AB79" s="9"/>
      <c r="AC79" s="9"/>
      <c r="AD79" s="9" t="s">
        <v>20</v>
      </c>
    </row>
    <row r="80" spans="1:30" ht="29">
      <c r="A80" s="3" t="s">
        <v>1570</v>
      </c>
      <c r="B80" s="3" t="s">
        <v>6321</v>
      </c>
      <c r="C80" s="3" t="s">
        <v>6322</v>
      </c>
      <c r="G80" s="9" t="s">
        <v>24</v>
      </c>
      <c r="H80" s="9"/>
      <c r="I80" s="9">
        <v>1</v>
      </c>
      <c r="J80" s="9">
        <v>3</v>
      </c>
      <c r="K80" s="9" t="s">
        <v>12078</v>
      </c>
      <c r="L80" s="9" t="s">
        <v>12079</v>
      </c>
      <c r="M80" s="9"/>
      <c r="N80" s="10"/>
      <c r="O80" s="9"/>
      <c r="P80" s="9">
        <v>11843</v>
      </c>
      <c r="Q80" s="9"/>
      <c r="R80" s="9" t="s">
        <v>12795</v>
      </c>
      <c r="S80" s="9" t="s">
        <v>12795</v>
      </c>
      <c r="T80" s="9"/>
      <c r="U80" s="9"/>
      <c r="V80" s="9"/>
      <c r="W80" s="9"/>
      <c r="X80" s="9"/>
      <c r="Y80" s="9"/>
      <c r="Z80" s="9"/>
      <c r="AA80" s="9"/>
      <c r="AB80" s="9"/>
      <c r="AC80" s="9"/>
      <c r="AD80" s="9" t="s">
        <v>13141</v>
      </c>
    </row>
    <row r="81" spans="1:30" ht="87">
      <c r="A81" s="3" t="s">
        <v>1587</v>
      </c>
      <c r="B81" s="3" t="s">
        <v>6357</v>
      </c>
      <c r="C81" s="3" t="s">
        <v>6356</v>
      </c>
      <c r="G81" s="9" t="s">
        <v>25</v>
      </c>
      <c r="H81" s="9"/>
      <c r="I81" s="9">
        <v>1</v>
      </c>
      <c r="J81" s="9">
        <v>1</v>
      </c>
      <c r="K81" s="9" t="s">
        <v>12078</v>
      </c>
      <c r="L81" s="9" t="s">
        <v>12119</v>
      </c>
      <c r="M81" s="9"/>
      <c r="N81" s="10"/>
      <c r="O81" s="9"/>
      <c r="P81" s="9">
        <v>11843</v>
      </c>
      <c r="Q81" s="9"/>
      <c r="R81" s="9" t="s">
        <v>12795</v>
      </c>
      <c r="S81" s="9" t="s">
        <v>12795</v>
      </c>
      <c r="T81" s="9"/>
      <c r="U81" s="9"/>
      <c r="V81" s="9"/>
      <c r="W81" s="9"/>
      <c r="X81" s="9"/>
      <c r="Y81" s="9"/>
      <c r="Z81" s="9"/>
      <c r="AA81" s="9"/>
      <c r="AB81" s="9"/>
      <c r="AC81" s="9"/>
      <c r="AD81" s="9" t="s">
        <v>20</v>
      </c>
    </row>
    <row r="82" spans="1:30" ht="43.5">
      <c r="A82" s="3" t="s">
        <v>1638</v>
      </c>
      <c r="B82" s="3" t="s">
        <v>6418</v>
      </c>
      <c r="C82" s="3" t="s">
        <v>6419</v>
      </c>
      <c r="G82" s="9" t="s">
        <v>25</v>
      </c>
      <c r="H82" s="9"/>
      <c r="I82" s="9">
        <v>1</v>
      </c>
      <c r="J82" s="9">
        <v>2</v>
      </c>
      <c r="K82" s="9" t="s">
        <v>12078</v>
      </c>
      <c r="L82" s="9" t="s">
        <v>12119</v>
      </c>
      <c r="M82" s="9"/>
      <c r="N82" s="10"/>
      <c r="O82" s="9"/>
      <c r="P82" s="9">
        <v>11843</v>
      </c>
      <c r="Q82" s="9"/>
      <c r="R82" s="9" t="s">
        <v>12795</v>
      </c>
      <c r="S82" s="9" t="s">
        <v>12795</v>
      </c>
      <c r="T82" s="9"/>
      <c r="U82" s="9"/>
      <c r="V82" s="9"/>
      <c r="W82" s="9"/>
      <c r="X82" s="9"/>
      <c r="Y82" s="9"/>
      <c r="Z82" s="9"/>
      <c r="AA82" s="9"/>
      <c r="AB82" s="9"/>
      <c r="AC82" s="9"/>
      <c r="AD82" s="9" t="s">
        <v>20</v>
      </c>
    </row>
    <row r="83" spans="1:30" ht="58">
      <c r="A83" s="3" t="s">
        <v>1649</v>
      </c>
      <c r="B83" s="3" t="s">
        <v>6440</v>
      </c>
      <c r="C83" s="3" t="s">
        <v>6437</v>
      </c>
      <c r="G83" s="9" t="s">
        <v>25</v>
      </c>
      <c r="H83" s="9"/>
      <c r="I83" s="9">
        <v>1</v>
      </c>
      <c r="J83" s="9">
        <v>5</v>
      </c>
      <c r="K83" s="9" t="s">
        <v>12094</v>
      </c>
      <c r="L83" s="9" t="s">
        <v>12073</v>
      </c>
      <c r="M83" s="9" t="s">
        <v>12142</v>
      </c>
      <c r="N83" s="10" t="s">
        <v>12143</v>
      </c>
      <c r="O83" s="9"/>
      <c r="P83" s="9">
        <v>4240</v>
      </c>
      <c r="Q83" s="9"/>
      <c r="R83" s="9" t="s">
        <v>12795</v>
      </c>
      <c r="S83" s="9" t="s">
        <v>12795</v>
      </c>
      <c r="T83" s="9"/>
      <c r="U83" s="9"/>
      <c r="V83" s="9"/>
      <c r="W83" s="9"/>
      <c r="X83" s="9"/>
      <c r="Y83" s="9"/>
      <c r="Z83" s="9"/>
      <c r="AA83" s="9"/>
      <c r="AB83" s="9"/>
      <c r="AC83" s="9"/>
      <c r="AD83" s="9" t="s">
        <v>20</v>
      </c>
    </row>
    <row r="84" spans="1:30" ht="58">
      <c r="A84" s="3" t="s">
        <v>1665</v>
      </c>
      <c r="B84" s="3" t="s">
        <v>6450</v>
      </c>
      <c r="C84" s="3" t="s">
        <v>6449</v>
      </c>
      <c r="G84" s="9" t="s">
        <v>25</v>
      </c>
      <c r="H84" s="9"/>
      <c r="I84" s="9">
        <v>1</v>
      </c>
      <c r="J84" s="9">
        <v>3</v>
      </c>
      <c r="K84" s="9" t="s">
        <v>12087</v>
      </c>
      <c r="L84" s="9" t="s">
        <v>12119</v>
      </c>
      <c r="M84" s="9"/>
      <c r="N84" s="10"/>
      <c r="O84" s="9"/>
      <c r="P84" s="9">
        <v>5676</v>
      </c>
      <c r="Q84" s="9"/>
      <c r="R84" s="9" t="s">
        <v>12795</v>
      </c>
      <c r="S84" s="9" t="s">
        <v>12795</v>
      </c>
      <c r="T84" s="9"/>
      <c r="U84" s="9"/>
      <c r="V84" s="9"/>
      <c r="W84" s="9"/>
      <c r="X84" s="9"/>
      <c r="Y84" s="9"/>
      <c r="Z84" s="9"/>
      <c r="AA84" s="9"/>
      <c r="AB84" s="9"/>
      <c r="AC84" s="9"/>
      <c r="AD84" s="9" t="s">
        <v>20</v>
      </c>
    </row>
    <row r="85" spans="1:30" ht="58">
      <c r="A85" s="3" t="s">
        <v>1670</v>
      </c>
      <c r="B85" s="3" t="s">
        <v>6453</v>
      </c>
      <c r="C85" s="3" t="s">
        <v>6454</v>
      </c>
      <c r="G85" s="9" t="s">
        <v>24</v>
      </c>
      <c r="H85" s="9"/>
      <c r="I85" s="9">
        <v>1</v>
      </c>
      <c r="J85" s="9">
        <v>4</v>
      </c>
      <c r="K85" s="9" t="s">
        <v>12078</v>
      </c>
      <c r="L85" s="9" t="s">
        <v>12073</v>
      </c>
      <c r="M85" s="9" t="s">
        <v>12149</v>
      </c>
      <c r="N85" s="10" t="s">
        <v>12160</v>
      </c>
      <c r="O85" s="9"/>
      <c r="P85" s="9">
        <v>11843</v>
      </c>
      <c r="Q85" s="9"/>
      <c r="R85" s="9" t="s">
        <v>12795</v>
      </c>
      <c r="S85" s="9" t="s">
        <v>12795</v>
      </c>
      <c r="T85" s="9"/>
      <c r="U85" s="9"/>
      <c r="V85" s="9"/>
      <c r="W85" s="9"/>
      <c r="X85" s="9"/>
      <c r="Y85" s="9"/>
      <c r="Z85" s="9"/>
      <c r="AA85" s="9"/>
      <c r="AB85" s="9"/>
      <c r="AC85" s="9"/>
      <c r="AD85" s="9" t="s">
        <v>20</v>
      </c>
    </row>
    <row r="86" spans="1:30" ht="43.5">
      <c r="A86" s="3" t="s">
        <v>1708</v>
      </c>
      <c r="B86" s="3" t="s">
        <v>5839</v>
      </c>
      <c r="C86" s="3" t="s">
        <v>6506</v>
      </c>
      <c r="G86" s="9" t="s">
        <v>25</v>
      </c>
      <c r="H86" s="9"/>
      <c r="I86" s="9">
        <v>1</v>
      </c>
      <c r="J86" s="9">
        <v>4</v>
      </c>
      <c r="K86" s="9" t="s">
        <v>12078</v>
      </c>
      <c r="L86" s="9" t="s">
        <v>12079</v>
      </c>
      <c r="M86" s="9"/>
      <c r="N86" s="10"/>
      <c r="O86" s="9"/>
      <c r="P86" s="9">
        <v>11843</v>
      </c>
      <c r="Q86" s="9"/>
      <c r="R86" s="9" t="s">
        <v>12795</v>
      </c>
      <c r="S86" s="9" t="s">
        <v>12795</v>
      </c>
      <c r="T86" s="9"/>
      <c r="U86" s="9"/>
      <c r="V86" s="9"/>
      <c r="W86" s="9"/>
      <c r="X86" s="9"/>
      <c r="Y86" s="9"/>
      <c r="Z86" s="9"/>
      <c r="AA86" s="9"/>
      <c r="AB86" s="9"/>
      <c r="AC86" s="9"/>
      <c r="AD86" s="9" t="s">
        <v>20</v>
      </c>
    </row>
    <row r="87" spans="1:30" ht="29">
      <c r="A87" s="3" t="s">
        <v>1713</v>
      </c>
      <c r="B87" s="3" t="s">
        <v>6521</v>
      </c>
      <c r="C87" s="3" t="s">
        <v>6522</v>
      </c>
      <c r="G87" s="9" t="s">
        <v>24</v>
      </c>
      <c r="H87" s="9"/>
      <c r="I87" s="9">
        <v>1</v>
      </c>
      <c r="J87" s="9">
        <v>3</v>
      </c>
      <c r="K87" s="9" t="s">
        <v>12087</v>
      </c>
      <c r="L87" s="9" t="s">
        <v>12079</v>
      </c>
      <c r="M87" s="9"/>
      <c r="N87" s="10"/>
      <c r="O87" s="9"/>
      <c r="P87" s="9">
        <v>5676</v>
      </c>
      <c r="Q87" s="9"/>
      <c r="R87" s="9" t="s">
        <v>12795</v>
      </c>
      <c r="S87" s="9" t="s">
        <v>12795</v>
      </c>
      <c r="T87" s="9"/>
      <c r="U87" s="9"/>
      <c r="V87" s="9"/>
      <c r="W87" s="9"/>
      <c r="X87" s="9"/>
      <c r="Y87" s="9"/>
      <c r="Z87" s="9"/>
      <c r="AA87" s="9"/>
      <c r="AB87" s="9"/>
      <c r="AC87" s="9"/>
      <c r="AD87" s="9" t="s">
        <v>20</v>
      </c>
    </row>
    <row r="88" spans="1:30" ht="29">
      <c r="A88" s="3" t="s">
        <v>1739</v>
      </c>
      <c r="B88" s="3" t="s">
        <v>6581</v>
      </c>
      <c r="C88" s="3" t="s">
        <v>6582</v>
      </c>
      <c r="G88" s="9" t="s">
        <v>25</v>
      </c>
      <c r="H88" s="9"/>
      <c r="I88" s="9">
        <v>1</v>
      </c>
      <c r="J88" s="9">
        <v>1</v>
      </c>
      <c r="K88" s="9" t="s">
        <v>12078</v>
      </c>
      <c r="L88" s="9" t="s">
        <v>12119</v>
      </c>
      <c r="M88" s="9"/>
      <c r="N88" s="10"/>
      <c r="O88" s="9" t="s">
        <v>12074</v>
      </c>
      <c r="P88" s="9">
        <v>11843</v>
      </c>
      <c r="Q88" s="9"/>
      <c r="R88" s="9" t="s">
        <v>12795</v>
      </c>
      <c r="S88" s="9" t="s">
        <v>12795</v>
      </c>
      <c r="T88" s="9"/>
      <c r="U88" s="9"/>
      <c r="V88" s="9"/>
      <c r="W88" s="9"/>
      <c r="X88" s="9"/>
      <c r="Y88" s="9"/>
      <c r="Z88" s="9"/>
      <c r="AA88" s="9"/>
      <c r="AB88" s="9"/>
      <c r="AC88" s="9"/>
      <c r="AD88" s="9" t="s">
        <v>20</v>
      </c>
    </row>
    <row r="89" spans="1:30" ht="29">
      <c r="A89" s="3" t="s">
        <v>1747</v>
      </c>
      <c r="B89" s="3" t="s">
        <v>12662</v>
      </c>
      <c r="C89" s="3" t="s">
        <v>12663</v>
      </c>
      <c r="G89" s="9" t="s">
        <v>25</v>
      </c>
      <c r="H89" s="9"/>
      <c r="I89" s="9">
        <v>1</v>
      </c>
      <c r="J89" s="9">
        <v>4</v>
      </c>
      <c r="K89" s="9" t="s">
        <v>12094</v>
      </c>
      <c r="L89" s="9" t="s">
        <v>12073</v>
      </c>
      <c r="M89" s="9" t="s">
        <v>12142</v>
      </c>
      <c r="N89" s="10" t="s">
        <v>12143</v>
      </c>
      <c r="O89" s="9"/>
      <c r="P89" s="9">
        <v>4240</v>
      </c>
      <c r="Q89" s="9"/>
      <c r="R89" s="9" t="s">
        <v>12795</v>
      </c>
      <c r="S89" s="9" t="s">
        <v>12795</v>
      </c>
      <c r="T89" s="9"/>
      <c r="U89" s="9"/>
      <c r="V89" s="9"/>
      <c r="W89" s="9"/>
      <c r="X89" s="9"/>
      <c r="Y89" s="9"/>
      <c r="Z89" s="9"/>
      <c r="AA89" s="9"/>
      <c r="AB89" s="9"/>
      <c r="AC89" s="9"/>
      <c r="AD89" s="9" t="s">
        <v>20</v>
      </c>
    </row>
    <row r="90" spans="1:30" ht="58">
      <c r="A90" s="3" t="s">
        <v>1759</v>
      </c>
      <c r="B90" s="3" t="s">
        <v>6601</v>
      </c>
      <c r="C90" s="3" t="s">
        <v>6602</v>
      </c>
      <c r="G90" s="9" t="s">
        <v>25</v>
      </c>
      <c r="H90" s="9"/>
      <c r="I90" s="9">
        <v>1</v>
      </c>
      <c r="J90" s="9">
        <v>3</v>
      </c>
      <c r="K90" s="9" t="s">
        <v>12096</v>
      </c>
      <c r="L90" s="9" t="s">
        <v>12079</v>
      </c>
      <c r="M90" s="9"/>
      <c r="N90" s="10"/>
      <c r="O90" s="9"/>
      <c r="P90" s="9">
        <v>1101</v>
      </c>
      <c r="Q90" s="9"/>
      <c r="R90" s="9" t="s">
        <v>12795</v>
      </c>
      <c r="S90" s="9" t="s">
        <v>12795</v>
      </c>
      <c r="T90" s="9"/>
      <c r="U90" s="9"/>
      <c r="V90" s="9"/>
      <c r="W90" s="9"/>
      <c r="X90" s="9"/>
      <c r="Y90" s="9"/>
      <c r="Z90" s="9"/>
      <c r="AA90" s="9"/>
      <c r="AB90" s="9"/>
      <c r="AC90" s="9"/>
      <c r="AD90" s="9" t="s">
        <v>20</v>
      </c>
    </row>
    <row r="91" spans="1:30" ht="43.5">
      <c r="A91" s="3" t="s">
        <v>1774</v>
      </c>
      <c r="B91" s="3" t="s">
        <v>6610</v>
      </c>
      <c r="C91" s="3" t="s">
        <v>6611</v>
      </c>
      <c r="G91" s="9" t="s">
        <v>25</v>
      </c>
      <c r="H91" s="9"/>
      <c r="I91" s="9">
        <v>1</v>
      </c>
      <c r="J91" s="9">
        <v>2</v>
      </c>
      <c r="K91" s="9" t="s">
        <v>12096</v>
      </c>
      <c r="L91" s="9" t="s">
        <v>12119</v>
      </c>
      <c r="M91" s="9"/>
      <c r="N91" s="10"/>
      <c r="O91" s="9" t="s">
        <v>12074</v>
      </c>
      <c r="P91" s="9">
        <v>1294</v>
      </c>
      <c r="Q91" s="9"/>
      <c r="R91" s="9" t="s">
        <v>12795</v>
      </c>
      <c r="S91" s="9" t="s">
        <v>12795</v>
      </c>
      <c r="T91" s="9"/>
      <c r="U91" s="9"/>
      <c r="V91" s="9"/>
      <c r="W91" s="9"/>
      <c r="X91" s="9"/>
      <c r="Y91" s="9"/>
      <c r="Z91" s="9"/>
      <c r="AA91" s="9"/>
      <c r="AB91" s="9"/>
      <c r="AC91" s="9"/>
      <c r="AD91" s="9" t="s">
        <v>20</v>
      </c>
    </row>
    <row r="92" spans="1:30" ht="29">
      <c r="A92" s="3" t="s">
        <v>1797</v>
      </c>
      <c r="B92" s="3" t="s">
        <v>6642</v>
      </c>
      <c r="C92" s="3" t="s">
        <v>6643</v>
      </c>
      <c r="G92" s="9" t="s">
        <v>25</v>
      </c>
      <c r="H92" s="9"/>
      <c r="I92" s="9">
        <v>1</v>
      </c>
      <c r="J92" s="9">
        <v>1</v>
      </c>
      <c r="K92" s="9" t="s">
        <v>12078</v>
      </c>
      <c r="L92" s="9" t="s">
        <v>12119</v>
      </c>
      <c r="M92" s="9"/>
      <c r="N92" s="10"/>
      <c r="O92" s="9"/>
      <c r="P92" s="9">
        <v>11843</v>
      </c>
      <c r="Q92" s="9"/>
      <c r="R92" s="9" t="s">
        <v>12795</v>
      </c>
      <c r="S92" s="9" t="s">
        <v>12795</v>
      </c>
      <c r="T92" s="9"/>
      <c r="U92" s="9"/>
      <c r="V92" s="9"/>
      <c r="W92" s="9"/>
      <c r="X92" s="9"/>
      <c r="Y92" s="9"/>
      <c r="Z92" s="9"/>
      <c r="AA92" s="9"/>
      <c r="AB92" s="9"/>
      <c r="AC92" s="9"/>
      <c r="AD92" s="9" t="s">
        <v>20</v>
      </c>
    </row>
    <row r="93" spans="1:30" ht="72.5">
      <c r="A93" s="3" t="s">
        <v>1820</v>
      </c>
      <c r="B93" s="3" t="s">
        <v>6674</v>
      </c>
      <c r="C93" s="3" t="s">
        <v>6673</v>
      </c>
      <c r="G93" s="9" t="s">
        <v>25</v>
      </c>
      <c r="H93" s="9"/>
      <c r="I93" s="9">
        <v>1</v>
      </c>
      <c r="J93" s="9">
        <v>2</v>
      </c>
      <c r="K93" s="9" t="s">
        <v>12078</v>
      </c>
      <c r="L93" s="9" t="s">
        <v>12119</v>
      </c>
      <c r="M93" s="9"/>
      <c r="N93" s="10"/>
      <c r="O93" s="9"/>
      <c r="P93" s="9">
        <v>11843</v>
      </c>
      <c r="Q93" s="9"/>
      <c r="R93" s="9" t="s">
        <v>12795</v>
      </c>
      <c r="S93" s="9" t="s">
        <v>12795</v>
      </c>
      <c r="T93" s="9"/>
      <c r="U93" s="9"/>
      <c r="V93" s="9"/>
      <c r="W93" s="9"/>
      <c r="X93" s="9"/>
      <c r="Y93" s="9"/>
      <c r="Z93" s="9"/>
      <c r="AA93" s="9"/>
      <c r="AB93" s="9"/>
      <c r="AC93" s="9"/>
      <c r="AD93" s="9" t="s">
        <v>13141</v>
      </c>
    </row>
    <row r="94" spans="1:30" ht="29">
      <c r="A94" s="3" t="s">
        <v>1831</v>
      </c>
      <c r="B94" s="3" t="s">
        <v>6697</v>
      </c>
      <c r="C94" s="11" t="s">
        <v>6698</v>
      </c>
      <c r="G94" s="9" t="s">
        <v>25</v>
      </c>
      <c r="H94" s="9"/>
      <c r="I94" s="9">
        <v>1</v>
      </c>
      <c r="J94" s="9">
        <v>1</v>
      </c>
      <c r="K94" s="9" t="s">
        <v>12078</v>
      </c>
      <c r="L94" s="9" t="s">
        <v>12119</v>
      </c>
      <c r="M94" s="9"/>
      <c r="N94" s="10"/>
      <c r="O94" s="9"/>
      <c r="P94" s="9">
        <v>11843</v>
      </c>
      <c r="Q94" s="9"/>
      <c r="R94" s="9" t="s">
        <v>12795</v>
      </c>
      <c r="S94" s="9" t="s">
        <v>12795</v>
      </c>
      <c r="T94" s="9"/>
      <c r="U94" s="9"/>
      <c r="V94" s="9"/>
      <c r="W94" s="9"/>
      <c r="X94" s="9"/>
      <c r="Y94" s="9"/>
      <c r="Z94" s="9"/>
      <c r="AA94" s="9"/>
      <c r="AB94" s="9"/>
      <c r="AC94" s="9"/>
      <c r="AD94" s="9" t="s">
        <v>20</v>
      </c>
    </row>
    <row r="95" spans="1:30" ht="130.5">
      <c r="A95" s="3" t="s">
        <v>1841</v>
      </c>
      <c r="B95" s="3" t="s">
        <v>6713</v>
      </c>
      <c r="C95" s="3" t="s">
        <v>6712</v>
      </c>
      <c r="G95" s="9" t="s">
        <v>25</v>
      </c>
      <c r="H95" s="9"/>
      <c r="I95" s="9">
        <v>1</v>
      </c>
      <c r="J95" s="9">
        <v>2</v>
      </c>
      <c r="K95" s="9" t="s">
        <v>12087</v>
      </c>
      <c r="L95" s="9" t="s">
        <v>12119</v>
      </c>
      <c r="M95" s="9"/>
      <c r="N95" s="10"/>
      <c r="O95" s="9"/>
      <c r="P95" s="9">
        <v>227</v>
      </c>
      <c r="Q95" s="9"/>
      <c r="R95" s="9" t="s">
        <v>12795</v>
      </c>
      <c r="S95" s="9" t="s">
        <v>12795</v>
      </c>
      <c r="T95" s="9"/>
      <c r="U95" s="9"/>
      <c r="V95" s="9"/>
      <c r="W95" s="9"/>
      <c r="X95" s="9"/>
      <c r="Y95" s="9"/>
      <c r="Z95" s="9"/>
      <c r="AA95" s="9"/>
      <c r="AB95" s="9"/>
      <c r="AC95" s="9"/>
      <c r="AD95" s="9" t="s">
        <v>13141</v>
      </c>
    </row>
    <row r="96" spans="1:30" ht="29">
      <c r="A96" s="3" t="s">
        <v>1857</v>
      </c>
      <c r="B96" s="3" t="s">
        <v>6759</v>
      </c>
      <c r="C96" s="3" t="s">
        <v>6760</v>
      </c>
      <c r="G96" s="9" t="s">
        <v>25</v>
      </c>
      <c r="H96" s="9"/>
      <c r="I96" s="9">
        <v>1</v>
      </c>
      <c r="J96" s="9">
        <v>3</v>
      </c>
      <c r="K96" s="9" t="s">
        <v>12087</v>
      </c>
      <c r="L96" s="9" t="s">
        <v>12079</v>
      </c>
      <c r="M96" s="9"/>
      <c r="N96" s="10"/>
      <c r="O96" s="9"/>
      <c r="P96" s="9">
        <v>5676</v>
      </c>
      <c r="Q96" s="9"/>
      <c r="R96" s="9" t="s">
        <v>12795</v>
      </c>
      <c r="S96" s="9" t="s">
        <v>12795</v>
      </c>
      <c r="T96" s="9"/>
      <c r="U96" s="9"/>
      <c r="V96" s="9"/>
      <c r="W96" s="9"/>
      <c r="X96" s="9"/>
      <c r="Y96" s="9"/>
      <c r="Z96" s="9"/>
      <c r="AA96" s="9"/>
      <c r="AB96" s="9"/>
      <c r="AC96" s="9"/>
      <c r="AD96" s="9" t="s">
        <v>13141</v>
      </c>
    </row>
    <row r="97" spans="1:30" ht="43.5">
      <c r="A97" s="3" t="s">
        <v>1888</v>
      </c>
      <c r="B97" s="3" t="s">
        <v>6808</v>
      </c>
      <c r="C97" s="3" t="s">
        <v>6809</v>
      </c>
      <c r="G97" s="9" t="s">
        <v>24</v>
      </c>
      <c r="H97" s="9"/>
      <c r="I97" s="9">
        <v>1</v>
      </c>
      <c r="J97" s="9">
        <v>3</v>
      </c>
      <c r="K97" s="9" t="s">
        <v>12087</v>
      </c>
      <c r="L97" s="9" t="s">
        <v>12079</v>
      </c>
      <c r="M97" s="9"/>
      <c r="N97" s="10"/>
      <c r="O97" s="9"/>
      <c r="P97" s="9">
        <v>5676</v>
      </c>
      <c r="Q97" s="9"/>
      <c r="R97" s="9" t="s">
        <v>12795</v>
      </c>
      <c r="S97" s="9" t="s">
        <v>12795</v>
      </c>
      <c r="T97" s="9"/>
      <c r="U97" s="9"/>
      <c r="V97" s="9"/>
      <c r="W97" s="9"/>
      <c r="X97" s="9"/>
      <c r="Y97" s="9"/>
      <c r="Z97" s="9"/>
      <c r="AA97" s="9"/>
      <c r="AB97" s="9"/>
      <c r="AC97" s="9"/>
      <c r="AD97" s="9" t="s">
        <v>20</v>
      </c>
    </row>
    <row r="98" spans="1:30" ht="87">
      <c r="A98" s="3" t="s">
        <v>1895</v>
      </c>
      <c r="B98" s="3" t="s">
        <v>6816</v>
      </c>
      <c r="C98" s="3" t="s">
        <v>6818</v>
      </c>
      <c r="G98" s="9" t="s">
        <v>24</v>
      </c>
      <c r="H98" s="9"/>
      <c r="I98" s="9">
        <v>1</v>
      </c>
      <c r="J98" s="9">
        <v>3</v>
      </c>
      <c r="K98" s="9" t="s">
        <v>12078</v>
      </c>
      <c r="L98" s="9" t="s">
        <v>12079</v>
      </c>
      <c r="M98" s="9"/>
      <c r="N98" s="10"/>
      <c r="O98" s="9"/>
      <c r="P98" s="9">
        <v>11843</v>
      </c>
      <c r="Q98" s="9"/>
      <c r="R98" s="9" t="s">
        <v>12795</v>
      </c>
      <c r="S98" s="9" t="s">
        <v>12795</v>
      </c>
      <c r="T98" s="9"/>
      <c r="U98" s="9"/>
      <c r="V98" s="9"/>
      <c r="W98" s="9"/>
      <c r="X98" s="9"/>
      <c r="Y98" s="9"/>
      <c r="Z98" s="9"/>
      <c r="AA98" s="9"/>
      <c r="AB98" s="9"/>
      <c r="AC98" s="9"/>
      <c r="AD98" s="9" t="s">
        <v>20</v>
      </c>
    </row>
    <row r="99" spans="1:30" ht="43.5">
      <c r="A99" s="3" t="s">
        <v>1908</v>
      </c>
      <c r="B99" s="3" t="s">
        <v>6842</v>
      </c>
      <c r="C99" s="3" t="s">
        <v>6843</v>
      </c>
      <c r="G99" s="9" t="s">
        <v>25</v>
      </c>
      <c r="H99" s="9"/>
      <c r="I99" s="9">
        <v>1</v>
      </c>
      <c r="J99" s="9">
        <v>1</v>
      </c>
      <c r="K99" s="9" t="s">
        <v>12078</v>
      </c>
      <c r="L99" s="9" t="s">
        <v>12119</v>
      </c>
      <c r="M99" s="9"/>
      <c r="N99" s="10"/>
      <c r="O99" s="9"/>
      <c r="P99" s="9">
        <v>11843</v>
      </c>
      <c r="Q99" s="9"/>
      <c r="R99" s="9" t="s">
        <v>12795</v>
      </c>
      <c r="S99" s="9" t="s">
        <v>12795</v>
      </c>
      <c r="T99" s="9"/>
      <c r="U99" s="9"/>
      <c r="V99" s="9"/>
      <c r="W99" s="9"/>
      <c r="X99" s="9"/>
      <c r="Y99" s="9"/>
      <c r="Z99" s="9"/>
      <c r="AA99" s="9"/>
      <c r="AB99" s="9"/>
      <c r="AC99" s="9"/>
      <c r="AD99" s="9" t="s">
        <v>20</v>
      </c>
    </row>
    <row r="100" spans="1:30" ht="43.5">
      <c r="A100" s="3" t="s">
        <v>1915</v>
      </c>
      <c r="B100" s="3" t="s">
        <v>6860</v>
      </c>
      <c r="C100" s="3" t="s">
        <v>6859</v>
      </c>
      <c r="G100" s="9" t="s">
        <v>25</v>
      </c>
      <c r="H100" s="9"/>
      <c r="I100" s="9">
        <v>1</v>
      </c>
      <c r="J100" s="9">
        <v>2</v>
      </c>
      <c r="K100" s="9" t="s">
        <v>12094</v>
      </c>
      <c r="L100" s="9" t="s">
        <v>12119</v>
      </c>
      <c r="M100" s="9"/>
      <c r="N100" s="10"/>
      <c r="O100" s="9"/>
      <c r="P100" s="9">
        <v>1741</v>
      </c>
      <c r="Q100" s="9"/>
      <c r="R100" s="9" t="s">
        <v>12795</v>
      </c>
      <c r="S100" s="9" t="s">
        <v>12795</v>
      </c>
      <c r="T100" s="9"/>
      <c r="U100" s="9"/>
      <c r="V100" s="9"/>
      <c r="W100" s="9"/>
      <c r="X100" s="9"/>
      <c r="Y100" s="9"/>
      <c r="Z100" s="9"/>
      <c r="AA100" s="9"/>
      <c r="AB100" s="9"/>
      <c r="AC100" s="9"/>
      <c r="AD100" s="9" t="s">
        <v>20</v>
      </c>
    </row>
    <row r="101" spans="1:30" ht="29">
      <c r="A101" s="3" t="s">
        <v>1968</v>
      </c>
      <c r="B101" s="3" t="s">
        <v>6936</v>
      </c>
      <c r="C101" s="3" t="s">
        <v>6935</v>
      </c>
      <c r="G101" s="9" t="s">
        <v>24</v>
      </c>
      <c r="H101" s="9"/>
      <c r="I101" s="9">
        <v>1</v>
      </c>
      <c r="J101" s="9">
        <v>2</v>
      </c>
      <c r="K101" s="9" t="s">
        <v>12094</v>
      </c>
      <c r="L101" s="9" t="s">
        <v>12119</v>
      </c>
      <c r="M101" s="9"/>
      <c r="N101" s="10"/>
      <c r="O101" s="9" t="s">
        <v>12074</v>
      </c>
      <c r="P101" s="9">
        <v>412</v>
      </c>
      <c r="Q101" s="9"/>
      <c r="R101" s="9" t="s">
        <v>12795</v>
      </c>
      <c r="S101" s="9" t="s">
        <v>12795</v>
      </c>
      <c r="T101" s="9"/>
      <c r="U101" s="9"/>
      <c r="V101" s="9"/>
      <c r="W101" s="9"/>
      <c r="X101" s="9"/>
      <c r="Y101" s="9"/>
      <c r="Z101" s="9"/>
      <c r="AA101" s="9"/>
      <c r="AB101" s="9"/>
      <c r="AC101" s="9"/>
      <c r="AD101" s="9" t="s">
        <v>20</v>
      </c>
    </row>
    <row r="102" spans="1:30" ht="87">
      <c r="A102" s="3" t="s">
        <v>2012</v>
      </c>
      <c r="B102" s="3" t="s">
        <v>6981</v>
      </c>
      <c r="C102" s="3" t="s">
        <v>6982</v>
      </c>
      <c r="G102" s="9" t="s">
        <v>25</v>
      </c>
      <c r="H102" s="9"/>
      <c r="I102" s="9">
        <v>1</v>
      </c>
      <c r="J102" s="9">
        <v>3</v>
      </c>
      <c r="K102" s="9" t="s">
        <v>12078</v>
      </c>
      <c r="L102" s="9" t="s">
        <v>12073</v>
      </c>
      <c r="M102" s="9" t="s">
        <v>12149</v>
      </c>
      <c r="N102" s="10" t="s">
        <v>12143</v>
      </c>
      <c r="O102" s="9"/>
      <c r="P102" s="9">
        <v>11843</v>
      </c>
      <c r="Q102" s="9"/>
      <c r="R102" s="9" t="s">
        <v>12795</v>
      </c>
      <c r="S102" s="9" t="s">
        <v>12795</v>
      </c>
      <c r="T102" s="9"/>
      <c r="U102" s="9"/>
      <c r="V102" s="9"/>
      <c r="W102" s="9"/>
      <c r="X102" s="9"/>
      <c r="Y102" s="9"/>
      <c r="Z102" s="9"/>
      <c r="AA102" s="9"/>
      <c r="AB102" s="9"/>
      <c r="AC102" s="9"/>
      <c r="AD102" s="9" t="s">
        <v>20</v>
      </c>
    </row>
    <row r="103" spans="1:30" ht="43.5">
      <c r="A103" s="3" t="s">
        <v>2067</v>
      </c>
      <c r="B103" s="3" t="s">
        <v>7075</v>
      </c>
      <c r="C103" s="3" t="s">
        <v>7076</v>
      </c>
      <c r="G103" s="9" t="s">
        <v>25</v>
      </c>
      <c r="H103" s="9"/>
      <c r="I103" s="9">
        <v>1</v>
      </c>
      <c r="J103" s="9">
        <v>2</v>
      </c>
      <c r="K103" s="9" t="s">
        <v>12078</v>
      </c>
      <c r="L103" s="9" t="s">
        <v>12119</v>
      </c>
      <c r="M103" s="9"/>
      <c r="N103" s="10"/>
      <c r="O103" s="9" t="s">
        <v>12074</v>
      </c>
      <c r="P103" s="9">
        <v>11843</v>
      </c>
      <c r="Q103" s="9"/>
      <c r="R103" s="9" t="s">
        <v>12795</v>
      </c>
      <c r="S103" s="9" t="s">
        <v>12795</v>
      </c>
      <c r="T103" s="9"/>
      <c r="U103" s="9"/>
      <c r="V103" s="9"/>
      <c r="W103" s="9"/>
      <c r="X103" s="9"/>
      <c r="Y103" s="9"/>
      <c r="Z103" s="9"/>
      <c r="AA103" s="9"/>
      <c r="AB103" s="9"/>
      <c r="AC103" s="9"/>
      <c r="AD103" s="9" t="s">
        <v>20</v>
      </c>
    </row>
    <row r="104" spans="1:30" ht="29">
      <c r="A104" s="3" t="s">
        <v>2075</v>
      </c>
      <c r="B104" s="3" t="s">
        <v>7080</v>
      </c>
      <c r="C104" s="3" t="s">
        <v>7081</v>
      </c>
      <c r="G104" s="9" t="s">
        <v>25</v>
      </c>
      <c r="H104" s="9"/>
      <c r="I104" s="9">
        <v>1</v>
      </c>
      <c r="J104" s="9">
        <v>5</v>
      </c>
      <c r="K104" s="9" t="s">
        <v>12094</v>
      </c>
      <c r="L104" s="9" t="s">
        <v>12079</v>
      </c>
      <c r="M104" s="9"/>
      <c r="N104" s="10"/>
      <c r="O104" s="9"/>
      <c r="P104" s="9">
        <v>4240</v>
      </c>
      <c r="Q104" s="9"/>
      <c r="R104" s="9" t="s">
        <v>12795</v>
      </c>
      <c r="S104" s="9" t="s">
        <v>12795</v>
      </c>
      <c r="T104" s="9"/>
      <c r="U104" s="9"/>
      <c r="V104" s="9"/>
      <c r="W104" s="9"/>
      <c r="X104" s="9"/>
      <c r="Y104" s="9"/>
      <c r="Z104" s="9"/>
      <c r="AA104" s="9"/>
      <c r="AB104" s="9"/>
      <c r="AC104" s="9"/>
      <c r="AD104" s="9" t="s">
        <v>20</v>
      </c>
    </row>
    <row r="105" spans="1:30" ht="29">
      <c r="A105" s="3" t="s">
        <v>2106</v>
      </c>
      <c r="B105" s="3" t="s">
        <v>7091</v>
      </c>
      <c r="C105" s="3" t="s">
        <v>7092</v>
      </c>
      <c r="G105" s="9" t="s">
        <v>25</v>
      </c>
      <c r="H105" s="9"/>
      <c r="I105" s="9">
        <v>1</v>
      </c>
      <c r="J105" s="9">
        <v>1</v>
      </c>
      <c r="K105" s="9" t="s">
        <v>12078</v>
      </c>
      <c r="L105" s="9" t="s">
        <v>12119</v>
      </c>
      <c r="M105" s="9"/>
      <c r="N105" s="10"/>
      <c r="O105" s="9" t="s">
        <v>12074</v>
      </c>
      <c r="P105" s="9">
        <v>11843</v>
      </c>
      <c r="Q105" s="9"/>
      <c r="R105" s="9" t="s">
        <v>12795</v>
      </c>
      <c r="S105" s="9" t="s">
        <v>12795</v>
      </c>
      <c r="T105" s="9"/>
      <c r="U105" s="9"/>
      <c r="V105" s="9"/>
      <c r="W105" s="9"/>
      <c r="X105" s="9"/>
      <c r="Y105" s="9"/>
      <c r="Z105" s="9"/>
      <c r="AA105" s="9"/>
      <c r="AB105" s="9"/>
      <c r="AC105" s="9"/>
      <c r="AD105" s="9" t="s">
        <v>20</v>
      </c>
    </row>
    <row r="106" spans="1:30" ht="29">
      <c r="A106" s="3" t="s">
        <v>2108</v>
      </c>
      <c r="B106" s="3" t="s">
        <v>7095</v>
      </c>
      <c r="C106" s="3" t="s">
        <v>7096</v>
      </c>
      <c r="G106" s="9" t="s">
        <v>25</v>
      </c>
      <c r="H106" s="9"/>
      <c r="I106" s="9">
        <v>1</v>
      </c>
      <c r="J106" s="9">
        <v>1</v>
      </c>
      <c r="K106" s="9" t="s">
        <v>12078</v>
      </c>
      <c r="L106" s="9" t="s">
        <v>12119</v>
      </c>
      <c r="M106" s="9"/>
      <c r="N106" s="10"/>
      <c r="O106" s="9"/>
      <c r="P106" s="9">
        <v>11843</v>
      </c>
      <c r="Q106" s="9"/>
      <c r="R106" s="9" t="s">
        <v>12795</v>
      </c>
      <c r="S106" s="9" t="s">
        <v>12795</v>
      </c>
      <c r="T106" s="9"/>
      <c r="U106" s="9"/>
      <c r="V106" s="9"/>
      <c r="W106" s="9"/>
      <c r="X106" s="9"/>
      <c r="Y106" s="9"/>
      <c r="Z106" s="9"/>
      <c r="AA106" s="9"/>
      <c r="AB106" s="9"/>
      <c r="AC106" s="9"/>
      <c r="AD106" s="9" t="s">
        <v>20</v>
      </c>
    </row>
    <row r="107" spans="1:30" ht="43.5">
      <c r="A107" s="3" t="s">
        <v>2140</v>
      </c>
      <c r="B107" s="3" t="s">
        <v>7138</v>
      </c>
      <c r="C107" s="3" t="s">
        <v>7137</v>
      </c>
      <c r="G107" s="9" t="s">
        <v>25</v>
      </c>
      <c r="H107" s="9"/>
      <c r="I107" s="9">
        <v>1</v>
      </c>
      <c r="J107" s="9">
        <v>3</v>
      </c>
      <c r="K107" s="9" t="s">
        <v>12078</v>
      </c>
      <c r="L107" s="9" t="s">
        <v>12079</v>
      </c>
      <c r="M107" s="9"/>
      <c r="N107" s="10"/>
      <c r="O107" s="9"/>
      <c r="P107" s="9">
        <v>11843</v>
      </c>
      <c r="Q107" s="9"/>
      <c r="R107" s="9" t="s">
        <v>12795</v>
      </c>
      <c r="S107" s="9" t="s">
        <v>12795</v>
      </c>
      <c r="T107" s="9"/>
      <c r="U107" s="9"/>
      <c r="V107" s="9"/>
      <c r="W107" s="9"/>
      <c r="X107" s="9"/>
      <c r="Y107" s="9"/>
      <c r="Z107" s="9"/>
      <c r="AA107" s="9"/>
      <c r="AB107" s="9"/>
      <c r="AC107" s="9"/>
      <c r="AD107" s="9" t="s">
        <v>20</v>
      </c>
    </row>
    <row r="108" spans="1:30" ht="43.5">
      <c r="A108" s="3" t="s">
        <v>2159</v>
      </c>
      <c r="B108" s="3" t="s">
        <v>7175</v>
      </c>
      <c r="C108" s="3" t="s">
        <v>7176</v>
      </c>
      <c r="G108" s="9" t="s">
        <v>25</v>
      </c>
      <c r="H108" s="9"/>
      <c r="I108" s="9">
        <v>1</v>
      </c>
      <c r="J108" s="9">
        <v>2</v>
      </c>
      <c r="K108" s="9" t="s">
        <v>12087</v>
      </c>
      <c r="L108" s="9" t="s">
        <v>12119</v>
      </c>
      <c r="M108" s="9"/>
      <c r="N108" s="10"/>
      <c r="O108" s="9"/>
      <c r="P108" s="9">
        <v>1966</v>
      </c>
      <c r="Q108" s="9"/>
      <c r="R108" s="9" t="s">
        <v>12795</v>
      </c>
      <c r="S108" s="9" t="s">
        <v>12795</v>
      </c>
      <c r="T108" s="9"/>
      <c r="U108" s="9"/>
      <c r="V108" s="9"/>
      <c r="W108" s="9"/>
      <c r="X108" s="9"/>
      <c r="Y108" s="9"/>
      <c r="Z108" s="9"/>
      <c r="AA108" s="9"/>
      <c r="AB108" s="9"/>
      <c r="AC108" s="9"/>
      <c r="AD108" s="9" t="s">
        <v>20</v>
      </c>
    </row>
    <row r="109" spans="1:30" ht="43.5">
      <c r="A109" s="3" t="s">
        <v>2160</v>
      </c>
      <c r="B109" s="3" t="s">
        <v>7178</v>
      </c>
      <c r="C109" s="3" t="s">
        <v>7177</v>
      </c>
      <c r="G109" s="9" t="s">
        <v>25</v>
      </c>
      <c r="H109" s="9"/>
      <c r="I109" s="9">
        <v>1</v>
      </c>
      <c r="J109" s="9">
        <v>2</v>
      </c>
      <c r="K109" s="9" t="s">
        <v>12094</v>
      </c>
      <c r="L109" s="9" t="s">
        <v>12119</v>
      </c>
      <c r="M109" s="9"/>
      <c r="N109" s="10"/>
      <c r="O109" s="9"/>
      <c r="P109" s="9">
        <v>1496</v>
      </c>
      <c r="Q109" s="9"/>
      <c r="R109" s="9" t="s">
        <v>12795</v>
      </c>
      <c r="S109" s="9" t="s">
        <v>12795</v>
      </c>
      <c r="T109" s="9"/>
      <c r="U109" s="9"/>
      <c r="V109" s="9"/>
      <c r="W109" s="9"/>
      <c r="X109" s="9"/>
      <c r="Y109" s="9"/>
      <c r="Z109" s="9"/>
      <c r="AA109" s="9"/>
      <c r="AB109" s="9"/>
      <c r="AC109" s="9"/>
      <c r="AD109" s="9" t="s">
        <v>20</v>
      </c>
    </row>
    <row r="110" spans="1:30" ht="58">
      <c r="A110" s="3" t="s">
        <v>2162</v>
      </c>
      <c r="B110" s="3" t="s">
        <v>7183</v>
      </c>
      <c r="C110" s="3" t="s">
        <v>7184</v>
      </c>
      <c r="G110" s="9" t="s">
        <v>25</v>
      </c>
      <c r="H110" s="9"/>
      <c r="I110" s="9">
        <v>1</v>
      </c>
      <c r="J110" s="9">
        <v>6</v>
      </c>
      <c r="K110" s="9" t="s">
        <v>12094</v>
      </c>
      <c r="L110" s="9" t="s">
        <v>12073</v>
      </c>
      <c r="M110" s="9" t="s">
        <v>12142</v>
      </c>
      <c r="N110" s="10" t="s">
        <v>12143</v>
      </c>
      <c r="O110" s="9"/>
      <c r="P110" s="9">
        <v>4240</v>
      </c>
      <c r="Q110" s="9"/>
      <c r="R110" s="9" t="s">
        <v>12795</v>
      </c>
      <c r="S110" s="9" t="s">
        <v>12795</v>
      </c>
      <c r="T110" s="9"/>
      <c r="U110" s="9"/>
      <c r="V110" s="9"/>
      <c r="W110" s="9"/>
      <c r="X110" s="9"/>
      <c r="Y110" s="9"/>
      <c r="Z110" s="9"/>
      <c r="AA110" s="9"/>
      <c r="AB110" s="9"/>
      <c r="AC110" s="9"/>
      <c r="AD110" s="9" t="s">
        <v>20</v>
      </c>
    </row>
    <row r="111" spans="1:30" ht="29">
      <c r="A111" s="3" t="s">
        <v>2168</v>
      </c>
      <c r="B111" s="3" t="s">
        <v>7196</v>
      </c>
      <c r="C111" s="3" t="s">
        <v>7197</v>
      </c>
      <c r="G111" s="9" t="s">
        <v>24</v>
      </c>
      <c r="H111" s="9"/>
      <c r="I111" s="9">
        <v>1</v>
      </c>
      <c r="J111" s="9">
        <v>2</v>
      </c>
      <c r="K111" s="9" t="s">
        <v>12078</v>
      </c>
      <c r="L111" s="9" t="s">
        <v>12119</v>
      </c>
      <c r="M111" s="9"/>
      <c r="N111" s="10"/>
      <c r="O111" s="9" t="s">
        <v>12074</v>
      </c>
      <c r="P111" s="9">
        <v>11843</v>
      </c>
      <c r="Q111" s="9"/>
      <c r="R111" s="9" t="s">
        <v>12795</v>
      </c>
      <c r="S111" s="9" t="s">
        <v>12795</v>
      </c>
      <c r="T111" s="9"/>
      <c r="U111" s="9"/>
      <c r="V111" s="9"/>
      <c r="W111" s="9"/>
      <c r="X111" s="9"/>
      <c r="Y111" s="9"/>
      <c r="Z111" s="9"/>
      <c r="AA111" s="9"/>
      <c r="AB111" s="9"/>
      <c r="AC111" s="9"/>
      <c r="AD111" s="9" t="s">
        <v>20</v>
      </c>
    </row>
    <row r="112" spans="1:30" ht="29">
      <c r="A112" s="3" t="s">
        <v>2186</v>
      </c>
      <c r="B112" s="3" t="s">
        <v>7220</v>
      </c>
      <c r="C112" s="3" t="s">
        <v>7221</v>
      </c>
      <c r="G112" s="9" t="s">
        <v>25</v>
      </c>
      <c r="H112" s="9"/>
      <c r="I112" s="9">
        <v>1</v>
      </c>
      <c r="J112" s="9">
        <v>2</v>
      </c>
      <c r="K112" s="9" t="s">
        <v>12078</v>
      </c>
      <c r="L112" s="9" t="s">
        <v>12119</v>
      </c>
      <c r="M112" s="9"/>
      <c r="N112" s="10"/>
      <c r="O112" s="9"/>
      <c r="P112" s="9">
        <v>11843</v>
      </c>
      <c r="Q112" s="9"/>
      <c r="R112" s="9" t="s">
        <v>12795</v>
      </c>
      <c r="S112" s="9" t="s">
        <v>12795</v>
      </c>
      <c r="T112" s="9"/>
      <c r="U112" s="9"/>
      <c r="V112" s="9"/>
      <c r="W112" s="9"/>
      <c r="X112" s="9"/>
      <c r="Y112" s="9"/>
      <c r="Z112" s="9"/>
      <c r="AA112" s="9"/>
      <c r="AB112" s="9"/>
      <c r="AC112" s="9"/>
      <c r="AD112" s="9" t="s">
        <v>20</v>
      </c>
    </row>
    <row r="113" spans="1:30" ht="58">
      <c r="A113" s="3" t="s">
        <v>2265</v>
      </c>
      <c r="B113" s="3" t="s">
        <v>7303</v>
      </c>
      <c r="C113" s="3" t="s">
        <v>7300</v>
      </c>
      <c r="G113" s="9" t="s">
        <v>25</v>
      </c>
      <c r="H113" s="9"/>
      <c r="I113" s="9">
        <v>1</v>
      </c>
      <c r="J113" s="9">
        <v>2</v>
      </c>
      <c r="K113" s="9" t="s">
        <v>12078</v>
      </c>
      <c r="L113" s="9" t="s">
        <v>12119</v>
      </c>
      <c r="M113" s="9"/>
      <c r="N113" s="10"/>
      <c r="O113" s="9"/>
      <c r="P113" s="9">
        <v>11843</v>
      </c>
      <c r="Q113" s="9"/>
      <c r="R113" s="9" t="s">
        <v>12795</v>
      </c>
      <c r="S113" s="9" t="s">
        <v>12795</v>
      </c>
      <c r="T113" s="9"/>
      <c r="U113" s="9"/>
      <c r="V113" s="9"/>
      <c r="W113" s="9"/>
      <c r="X113" s="9"/>
      <c r="Y113" s="9"/>
      <c r="Z113" s="9"/>
      <c r="AA113" s="9"/>
      <c r="AB113" s="9"/>
      <c r="AC113" s="9"/>
      <c r="AD113" s="9" t="s">
        <v>20</v>
      </c>
    </row>
    <row r="114" spans="1:30" ht="58">
      <c r="A114" s="3" t="s">
        <v>2268</v>
      </c>
      <c r="B114" s="3" t="s">
        <v>12369</v>
      </c>
      <c r="C114" s="3" t="s">
        <v>7308</v>
      </c>
      <c r="G114" s="9" t="s">
        <v>25</v>
      </c>
      <c r="H114" s="9"/>
      <c r="I114" s="9">
        <v>1</v>
      </c>
      <c r="J114" s="9">
        <v>2</v>
      </c>
      <c r="K114" s="9" t="s">
        <v>12087</v>
      </c>
      <c r="L114" s="9" t="s">
        <v>12119</v>
      </c>
      <c r="M114" s="9"/>
      <c r="N114" s="10"/>
      <c r="O114" s="9"/>
      <c r="P114" s="9">
        <v>1966</v>
      </c>
      <c r="Q114" s="9"/>
      <c r="R114" s="9" t="s">
        <v>12795</v>
      </c>
      <c r="S114" s="9" t="s">
        <v>12795</v>
      </c>
      <c r="T114" s="9"/>
      <c r="U114" s="9"/>
      <c r="V114" s="9"/>
      <c r="W114" s="9"/>
      <c r="X114" s="9"/>
      <c r="Y114" s="9"/>
      <c r="Z114" s="9"/>
      <c r="AA114" s="9"/>
      <c r="AB114" s="9"/>
      <c r="AC114" s="9"/>
      <c r="AD114" s="9" t="s">
        <v>20</v>
      </c>
    </row>
    <row r="115" spans="1:30" ht="58">
      <c r="A115" s="3" t="s">
        <v>2268</v>
      </c>
      <c r="B115" s="3" t="s">
        <v>7309</v>
      </c>
      <c r="C115" s="3" t="s">
        <v>12370</v>
      </c>
      <c r="G115" s="9" t="s">
        <v>24</v>
      </c>
      <c r="H115" s="9"/>
      <c r="I115" s="9">
        <v>1</v>
      </c>
      <c r="J115" s="9">
        <v>3</v>
      </c>
      <c r="K115" s="9" t="s">
        <v>12087</v>
      </c>
      <c r="L115" s="9" t="s">
        <v>12079</v>
      </c>
      <c r="M115" s="9"/>
      <c r="N115" s="10"/>
      <c r="O115" s="9"/>
      <c r="P115" s="9">
        <v>356</v>
      </c>
      <c r="Q115" s="9"/>
      <c r="R115" s="9" t="s">
        <v>12795</v>
      </c>
      <c r="S115" s="9" t="s">
        <v>12795</v>
      </c>
      <c r="T115" s="9"/>
      <c r="U115" s="9"/>
      <c r="V115" s="9"/>
      <c r="W115" s="9"/>
      <c r="X115" s="9"/>
      <c r="Y115" s="9"/>
      <c r="Z115" s="9"/>
      <c r="AA115" s="9"/>
      <c r="AB115" s="9"/>
      <c r="AC115" s="9"/>
      <c r="AD115" s="9" t="s">
        <v>20</v>
      </c>
    </row>
    <row r="116" spans="1:30" ht="43.5">
      <c r="A116" s="3" t="s">
        <v>2270</v>
      </c>
      <c r="B116" s="3" t="s">
        <v>7310</v>
      </c>
      <c r="C116" s="3" t="s">
        <v>7311</v>
      </c>
      <c r="G116" s="9" t="s">
        <v>25</v>
      </c>
      <c r="H116" s="9"/>
      <c r="I116" s="9">
        <v>1</v>
      </c>
      <c r="J116" s="9">
        <v>6</v>
      </c>
      <c r="K116" s="9" t="s">
        <v>12078</v>
      </c>
      <c r="L116" s="9" t="s">
        <v>12079</v>
      </c>
      <c r="M116" s="9"/>
      <c r="N116" s="10"/>
      <c r="O116" s="9"/>
      <c r="P116" s="9">
        <v>11843</v>
      </c>
      <c r="Q116" s="9"/>
      <c r="R116" s="9" t="s">
        <v>12795</v>
      </c>
      <c r="S116" s="9" t="s">
        <v>12795</v>
      </c>
      <c r="T116" s="9"/>
      <c r="U116" s="9"/>
      <c r="V116" s="9"/>
      <c r="W116" s="9"/>
      <c r="X116" s="9"/>
      <c r="Y116" s="9"/>
      <c r="Z116" s="9"/>
      <c r="AA116" s="9"/>
      <c r="AB116" s="9"/>
      <c r="AC116" s="9"/>
      <c r="AD116" s="9" t="s">
        <v>20</v>
      </c>
    </row>
    <row r="117" spans="1:30" ht="29">
      <c r="A117" s="3" t="s">
        <v>2283</v>
      </c>
      <c r="B117" s="3" t="s">
        <v>7323</v>
      </c>
      <c r="C117" s="3" t="s">
        <v>7324</v>
      </c>
      <c r="G117" s="9" t="s">
        <v>25</v>
      </c>
      <c r="H117" s="9"/>
      <c r="I117" s="9">
        <v>1</v>
      </c>
      <c r="J117" s="9">
        <v>5</v>
      </c>
      <c r="K117" s="9" t="s">
        <v>12094</v>
      </c>
      <c r="L117" s="9" t="s">
        <v>12079</v>
      </c>
      <c r="M117" s="9"/>
      <c r="N117" s="10"/>
      <c r="O117" s="9"/>
      <c r="P117" s="9">
        <v>930</v>
      </c>
      <c r="Q117" s="9"/>
      <c r="R117" s="9" t="s">
        <v>12795</v>
      </c>
      <c r="S117" s="9" t="s">
        <v>12795</v>
      </c>
      <c r="T117" s="9"/>
      <c r="U117" s="9"/>
      <c r="V117" s="9"/>
      <c r="W117" s="9"/>
      <c r="X117" s="9"/>
      <c r="Y117" s="9"/>
      <c r="Z117" s="9"/>
      <c r="AA117" s="9"/>
      <c r="AB117" s="9"/>
      <c r="AC117" s="9"/>
      <c r="AD117" s="9" t="s">
        <v>20</v>
      </c>
    </row>
    <row r="118" spans="1:30" ht="43.5">
      <c r="A118" s="3" t="s">
        <v>2292</v>
      </c>
      <c r="B118" s="3" t="s">
        <v>7343</v>
      </c>
      <c r="C118" s="3" t="s">
        <v>7344</v>
      </c>
      <c r="G118" s="9" t="s">
        <v>24</v>
      </c>
      <c r="H118" s="9"/>
      <c r="I118" s="9">
        <v>1</v>
      </c>
      <c r="J118" s="9">
        <v>3</v>
      </c>
      <c r="K118" s="9" t="s">
        <v>12078</v>
      </c>
      <c r="L118" s="9" t="s">
        <v>12079</v>
      </c>
      <c r="M118" s="9"/>
      <c r="N118" s="10"/>
      <c r="O118" s="9"/>
      <c r="P118" s="9">
        <v>11843</v>
      </c>
      <c r="Q118" s="9"/>
      <c r="R118" s="9" t="s">
        <v>12795</v>
      </c>
      <c r="S118" s="9" t="s">
        <v>12795</v>
      </c>
      <c r="T118" s="9"/>
      <c r="U118" s="9"/>
      <c r="V118" s="9"/>
      <c r="W118" s="9"/>
      <c r="X118" s="9"/>
      <c r="Y118" s="9"/>
      <c r="Z118" s="9"/>
      <c r="AA118" s="9"/>
      <c r="AB118" s="9"/>
      <c r="AC118" s="9"/>
      <c r="AD118" s="9" t="s">
        <v>20</v>
      </c>
    </row>
    <row r="119" spans="1:30" ht="29">
      <c r="A119" s="3" t="s">
        <v>2303</v>
      </c>
      <c r="B119" s="3" t="s">
        <v>7351</v>
      </c>
      <c r="C119" s="3" t="s">
        <v>7350</v>
      </c>
      <c r="G119" s="9" t="s">
        <v>25</v>
      </c>
      <c r="H119" s="9"/>
      <c r="I119" s="9">
        <v>1</v>
      </c>
      <c r="J119" s="9">
        <v>1</v>
      </c>
      <c r="K119" s="9" t="s">
        <v>12078</v>
      </c>
      <c r="L119" s="9" t="s">
        <v>12079</v>
      </c>
      <c r="M119" s="9"/>
      <c r="N119" s="10"/>
      <c r="O119" s="9"/>
      <c r="P119" s="9">
        <v>11843</v>
      </c>
      <c r="Q119" s="9"/>
      <c r="R119" s="9" t="s">
        <v>12795</v>
      </c>
      <c r="S119" s="9" t="s">
        <v>12795</v>
      </c>
      <c r="T119" s="9"/>
      <c r="U119" s="9"/>
      <c r="V119" s="9"/>
      <c r="W119" s="9"/>
      <c r="X119" s="9"/>
      <c r="Y119" s="9"/>
      <c r="Z119" s="9"/>
      <c r="AA119" s="9"/>
      <c r="AB119" s="9"/>
      <c r="AC119" s="9"/>
      <c r="AD119" s="9" t="s">
        <v>13141</v>
      </c>
    </row>
    <row r="120" spans="1:30" ht="29">
      <c r="A120" s="3" t="s">
        <v>2305</v>
      </c>
      <c r="B120" s="11" t="s">
        <v>12897</v>
      </c>
      <c r="C120" s="11" t="s">
        <v>7358</v>
      </c>
      <c r="G120" s="9" t="s">
        <v>25</v>
      </c>
      <c r="H120" s="9"/>
      <c r="I120" s="9">
        <v>1</v>
      </c>
      <c r="J120" s="9">
        <v>1</v>
      </c>
      <c r="K120" s="9" t="s">
        <v>12078</v>
      </c>
      <c r="L120" s="9" t="s">
        <v>12079</v>
      </c>
      <c r="M120" s="9"/>
      <c r="N120" s="10"/>
      <c r="O120" s="9"/>
      <c r="P120" s="9">
        <v>11843</v>
      </c>
      <c r="Q120" s="9"/>
      <c r="R120" s="9" t="s">
        <v>12795</v>
      </c>
      <c r="S120" s="9" t="s">
        <v>12795</v>
      </c>
      <c r="T120" s="9"/>
      <c r="U120" s="9"/>
      <c r="V120" s="9"/>
      <c r="W120" s="9"/>
      <c r="X120" s="9"/>
      <c r="Y120" s="9"/>
      <c r="Z120" s="9"/>
      <c r="AA120" s="9"/>
      <c r="AB120" s="9"/>
      <c r="AC120" s="9"/>
      <c r="AD120" s="9" t="s">
        <v>20</v>
      </c>
    </row>
    <row r="121" spans="1:30" ht="29">
      <c r="A121" s="3" t="s">
        <v>2332</v>
      </c>
      <c r="B121" s="3" t="s">
        <v>7384</v>
      </c>
      <c r="C121" s="3" t="s">
        <v>7386</v>
      </c>
      <c r="G121" s="9" t="s">
        <v>25</v>
      </c>
      <c r="H121" s="9"/>
      <c r="I121" s="9">
        <v>1</v>
      </c>
      <c r="J121" s="9">
        <v>2</v>
      </c>
      <c r="K121" s="9" t="s">
        <v>12087</v>
      </c>
      <c r="L121" s="9" t="s">
        <v>12119</v>
      </c>
      <c r="M121" s="9"/>
      <c r="N121" s="10"/>
      <c r="O121" s="9"/>
      <c r="P121" s="9">
        <v>227</v>
      </c>
      <c r="Q121" s="9"/>
      <c r="R121" s="9" t="s">
        <v>12795</v>
      </c>
      <c r="S121" s="9" t="s">
        <v>12795</v>
      </c>
      <c r="T121" s="9"/>
      <c r="U121" s="9"/>
      <c r="V121" s="9"/>
      <c r="W121" s="9"/>
      <c r="X121" s="9"/>
      <c r="Y121" s="9"/>
      <c r="Z121" s="9"/>
      <c r="AA121" s="9"/>
      <c r="AB121" s="9"/>
      <c r="AC121" s="9"/>
      <c r="AD121" s="9" t="s">
        <v>20</v>
      </c>
    </row>
    <row r="122" spans="1:30" ht="43.5">
      <c r="A122" s="3" t="s">
        <v>2333</v>
      </c>
      <c r="B122" s="3" t="s">
        <v>7385</v>
      </c>
      <c r="C122" s="3" t="s">
        <v>7387</v>
      </c>
      <c r="G122" s="9" t="s">
        <v>25</v>
      </c>
      <c r="H122" s="9"/>
      <c r="I122" s="9">
        <v>1</v>
      </c>
      <c r="J122" s="9">
        <v>2</v>
      </c>
      <c r="K122" s="9" t="s">
        <v>12087</v>
      </c>
      <c r="L122" s="9" t="s">
        <v>12119</v>
      </c>
      <c r="M122" s="9"/>
      <c r="N122" s="10"/>
      <c r="O122" s="9"/>
      <c r="P122" s="9">
        <v>227</v>
      </c>
      <c r="Q122" s="9"/>
      <c r="R122" s="9" t="s">
        <v>12795</v>
      </c>
      <c r="S122" s="9" t="s">
        <v>12795</v>
      </c>
      <c r="T122" s="9"/>
      <c r="U122" s="9"/>
      <c r="V122" s="9"/>
      <c r="W122" s="9"/>
      <c r="X122" s="9"/>
      <c r="Y122" s="9"/>
      <c r="Z122" s="9"/>
      <c r="AA122" s="9"/>
      <c r="AB122" s="9"/>
      <c r="AC122" s="9"/>
      <c r="AD122" s="9" t="s">
        <v>20</v>
      </c>
    </row>
    <row r="123" spans="1:30" ht="29">
      <c r="A123" s="3" t="s">
        <v>2344</v>
      </c>
      <c r="B123" s="3" t="s">
        <v>7395</v>
      </c>
      <c r="C123" s="3" t="s">
        <v>7394</v>
      </c>
      <c r="G123" s="9" t="s">
        <v>24</v>
      </c>
      <c r="H123" s="9"/>
      <c r="I123" s="9">
        <v>1</v>
      </c>
      <c r="J123" s="9">
        <v>2</v>
      </c>
      <c r="K123" s="9" t="s">
        <v>12087</v>
      </c>
      <c r="L123" s="9" t="s">
        <v>12119</v>
      </c>
      <c r="M123" s="9"/>
      <c r="N123" s="10"/>
      <c r="O123" s="9"/>
      <c r="P123" s="9">
        <v>1966</v>
      </c>
      <c r="Q123" s="9"/>
      <c r="R123" s="9" t="s">
        <v>12795</v>
      </c>
      <c r="S123" s="9" t="s">
        <v>12795</v>
      </c>
      <c r="T123" s="9"/>
      <c r="U123" s="9"/>
      <c r="V123" s="9"/>
      <c r="W123" s="9"/>
      <c r="X123" s="9"/>
      <c r="Y123" s="9"/>
      <c r="Z123" s="9"/>
      <c r="AA123" s="9"/>
      <c r="AB123" s="9"/>
      <c r="AC123" s="9"/>
      <c r="AD123" s="9" t="s">
        <v>20</v>
      </c>
    </row>
    <row r="124" spans="1:30" ht="159.5">
      <c r="A124" s="3" t="s">
        <v>2357</v>
      </c>
      <c r="B124" s="3" t="s">
        <v>7413</v>
      </c>
      <c r="C124" s="3" t="s">
        <v>7410</v>
      </c>
      <c r="G124" s="9" t="s">
        <v>25</v>
      </c>
      <c r="H124" s="9"/>
      <c r="I124" s="9">
        <v>1</v>
      </c>
      <c r="J124" s="9">
        <v>2</v>
      </c>
      <c r="K124" s="9" t="s">
        <v>12078</v>
      </c>
      <c r="L124" s="9" t="s">
        <v>12119</v>
      </c>
      <c r="M124" s="9"/>
      <c r="N124" s="10"/>
      <c r="O124" s="9"/>
      <c r="P124" s="9">
        <v>11843</v>
      </c>
      <c r="Q124" s="9"/>
      <c r="R124" s="9" t="s">
        <v>12795</v>
      </c>
      <c r="S124" s="9" t="s">
        <v>12795</v>
      </c>
      <c r="T124" s="9"/>
      <c r="U124" s="9"/>
      <c r="V124" s="9"/>
      <c r="W124" s="9"/>
      <c r="X124" s="9"/>
      <c r="Y124" s="9"/>
      <c r="Z124" s="9"/>
      <c r="AA124" s="9"/>
      <c r="AB124" s="9"/>
      <c r="AC124" s="9"/>
      <c r="AD124" s="9" t="s">
        <v>20</v>
      </c>
    </row>
    <row r="125" spans="1:30" ht="29">
      <c r="A125" s="3" t="s">
        <v>2372</v>
      </c>
      <c r="B125" s="3" t="s">
        <v>7439</v>
      </c>
      <c r="C125" s="3" t="s">
        <v>7438</v>
      </c>
      <c r="G125" s="9" t="s">
        <v>25</v>
      </c>
      <c r="H125" s="9"/>
      <c r="I125" s="9">
        <v>1</v>
      </c>
      <c r="J125" s="9">
        <v>2</v>
      </c>
      <c r="K125" s="9" t="s">
        <v>12096</v>
      </c>
      <c r="L125" s="9" t="s">
        <v>12119</v>
      </c>
      <c r="M125" s="9"/>
      <c r="N125" s="10"/>
      <c r="O125" s="9"/>
      <c r="P125" s="9">
        <v>1294</v>
      </c>
      <c r="Q125" s="9"/>
      <c r="R125" s="9" t="s">
        <v>12795</v>
      </c>
      <c r="S125" s="9" t="s">
        <v>12795</v>
      </c>
      <c r="T125" s="9"/>
      <c r="U125" s="9"/>
      <c r="V125" s="9"/>
      <c r="W125" s="9"/>
      <c r="X125" s="9"/>
      <c r="Y125" s="9"/>
      <c r="Z125" s="9"/>
      <c r="AA125" s="9"/>
      <c r="AB125" s="9"/>
      <c r="AC125" s="9"/>
      <c r="AD125" s="9" t="s">
        <v>20</v>
      </c>
    </row>
    <row r="126" spans="1:30" ht="29">
      <c r="A126" s="3" t="s">
        <v>2416</v>
      </c>
      <c r="B126" s="3" t="s">
        <v>7495</v>
      </c>
      <c r="C126" s="3" t="s">
        <v>7496</v>
      </c>
      <c r="G126" s="9" t="s">
        <v>25</v>
      </c>
      <c r="H126" s="9"/>
      <c r="I126" s="9">
        <v>1</v>
      </c>
      <c r="J126" s="9">
        <v>3</v>
      </c>
      <c r="K126" s="9" t="s">
        <v>12087</v>
      </c>
      <c r="L126" s="9" t="s">
        <v>12079</v>
      </c>
      <c r="M126" s="9"/>
      <c r="N126" s="10"/>
      <c r="O126" s="9"/>
      <c r="P126" s="9">
        <v>810</v>
      </c>
      <c r="Q126" s="9"/>
      <c r="R126" s="9" t="s">
        <v>12795</v>
      </c>
      <c r="S126" s="9" t="s">
        <v>12795</v>
      </c>
      <c r="T126" s="9"/>
      <c r="U126" s="9"/>
      <c r="V126" s="9"/>
      <c r="W126" s="9"/>
      <c r="X126" s="9"/>
      <c r="Y126" s="9"/>
      <c r="Z126" s="9"/>
      <c r="AA126" s="9"/>
      <c r="AB126" s="9"/>
      <c r="AC126" s="9"/>
      <c r="AD126" s="9" t="s">
        <v>20</v>
      </c>
    </row>
    <row r="127" spans="1:30" ht="43.5">
      <c r="A127" s="3" t="s">
        <v>2418</v>
      </c>
      <c r="B127" s="3" t="s">
        <v>7501</v>
      </c>
      <c r="C127" s="3" t="s">
        <v>7502</v>
      </c>
      <c r="G127" s="9" t="s">
        <v>25</v>
      </c>
      <c r="H127" s="9"/>
      <c r="I127" s="9">
        <v>1</v>
      </c>
      <c r="J127" s="9">
        <v>5</v>
      </c>
      <c r="K127" s="9" t="s">
        <v>12094</v>
      </c>
      <c r="L127" s="9" t="s">
        <v>12079</v>
      </c>
      <c r="M127" s="9"/>
      <c r="N127" s="10"/>
      <c r="O127" s="9"/>
      <c r="P127" s="9">
        <v>4240</v>
      </c>
      <c r="Q127" s="9"/>
      <c r="R127" s="9" t="s">
        <v>12795</v>
      </c>
      <c r="S127" s="9" t="s">
        <v>12795</v>
      </c>
      <c r="T127" s="9"/>
      <c r="U127" s="9"/>
      <c r="V127" s="9"/>
      <c r="W127" s="9"/>
      <c r="X127" s="9"/>
      <c r="Y127" s="9"/>
      <c r="Z127" s="9"/>
      <c r="AA127" s="9"/>
      <c r="AB127" s="9"/>
      <c r="AC127" s="9"/>
      <c r="AD127" s="9" t="s">
        <v>20</v>
      </c>
    </row>
    <row r="128" spans="1:30" ht="29">
      <c r="A128" s="3" t="s">
        <v>2421</v>
      </c>
      <c r="B128" s="3" t="s">
        <v>7504</v>
      </c>
      <c r="C128" s="3" t="s">
        <v>7503</v>
      </c>
      <c r="G128" s="9" t="s">
        <v>25</v>
      </c>
      <c r="H128" s="9"/>
      <c r="I128" s="9">
        <v>1</v>
      </c>
      <c r="J128" s="9">
        <v>2</v>
      </c>
      <c r="K128" s="9" t="s">
        <v>12078</v>
      </c>
      <c r="L128" s="9" t="s">
        <v>12119</v>
      </c>
      <c r="M128" s="9"/>
      <c r="N128" s="10"/>
      <c r="O128" s="9"/>
      <c r="P128" s="9">
        <v>11843</v>
      </c>
      <c r="Q128" s="9"/>
      <c r="R128" s="9" t="s">
        <v>12795</v>
      </c>
      <c r="S128" s="9" t="s">
        <v>12795</v>
      </c>
      <c r="T128" s="9"/>
      <c r="U128" s="9"/>
      <c r="V128" s="9"/>
      <c r="W128" s="9"/>
      <c r="X128" s="9"/>
      <c r="Y128" s="9"/>
      <c r="Z128" s="9"/>
      <c r="AA128" s="9"/>
      <c r="AB128" s="9"/>
      <c r="AC128" s="9"/>
      <c r="AD128" s="9" t="s">
        <v>20</v>
      </c>
    </row>
    <row r="129" spans="1:30" ht="29">
      <c r="A129" s="3" t="s">
        <v>2423</v>
      </c>
      <c r="B129" s="3" t="s">
        <v>7507</v>
      </c>
      <c r="C129" s="3" t="s">
        <v>7508</v>
      </c>
      <c r="G129" s="9" t="s">
        <v>24</v>
      </c>
      <c r="H129" s="9"/>
      <c r="I129" s="9">
        <v>1</v>
      </c>
      <c r="J129" s="9">
        <v>3</v>
      </c>
      <c r="K129" s="9" t="s">
        <v>12087</v>
      </c>
      <c r="L129" s="9" t="s">
        <v>12079</v>
      </c>
      <c r="M129" s="9"/>
      <c r="N129" s="10"/>
      <c r="O129" s="9"/>
      <c r="P129" s="9">
        <v>5676</v>
      </c>
      <c r="Q129" s="9"/>
      <c r="R129" s="9" t="s">
        <v>12795</v>
      </c>
      <c r="S129" s="9" t="s">
        <v>12795</v>
      </c>
      <c r="T129" s="9"/>
      <c r="U129" s="9"/>
      <c r="V129" s="9"/>
      <c r="W129" s="9"/>
      <c r="X129" s="9"/>
      <c r="Y129" s="9"/>
      <c r="Z129" s="9"/>
      <c r="AA129" s="9"/>
      <c r="AB129" s="9"/>
      <c r="AC129" s="9"/>
      <c r="AD129" s="9" t="s">
        <v>13141</v>
      </c>
    </row>
    <row r="130" spans="1:30" ht="58">
      <c r="A130" s="3" t="s">
        <v>2426</v>
      </c>
      <c r="B130" s="3" t="s">
        <v>7509</v>
      </c>
      <c r="C130" s="3" t="s">
        <v>7512</v>
      </c>
      <c r="G130" s="9" t="s">
        <v>24</v>
      </c>
      <c r="H130" s="9"/>
      <c r="I130" s="9">
        <v>1</v>
      </c>
      <c r="J130" s="9">
        <v>3</v>
      </c>
      <c r="K130" s="9" t="s">
        <v>12087</v>
      </c>
      <c r="L130" s="9" t="s">
        <v>12079</v>
      </c>
      <c r="M130" s="9"/>
      <c r="N130" s="10"/>
      <c r="O130" s="9"/>
      <c r="P130" s="9">
        <v>5676</v>
      </c>
      <c r="Q130" s="9"/>
      <c r="R130" s="9" t="s">
        <v>12795</v>
      </c>
      <c r="S130" s="9" t="s">
        <v>12795</v>
      </c>
      <c r="T130" s="9"/>
      <c r="U130" s="9"/>
      <c r="V130" s="9"/>
      <c r="W130" s="9"/>
      <c r="X130" s="9"/>
      <c r="Y130" s="9"/>
      <c r="Z130" s="9"/>
      <c r="AA130" s="9"/>
      <c r="AB130" s="9"/>
      <c r="AC130" s="9"/>
      <c r="AD130" s="9" t="s">
        <v>20</v>
      </c>
    </row>
    <row r="131" spans="1:30" ht="72.5">
      <c r="A131" s="3" t="s">
        <v>2435</v>
      </c>
      <c r="B131" s="3" t="s">
        <v>7524</v>
      </c>
      <c r="C131" s="3" t="s">
        <v>7525</v>
      </c>
      <c r="G131" s="9" t="s">
        <v>24</v>
      </c>
      <c r="H131" s="9"/>
      <c r="I131" s="9">
        <v>1</v>
      </c>
      <c r="J131" s="9">
        <v>3</v>
      </c>
      <c r="K131" s="9" t="s">
        <v>12087</v>
      </c>
      <c r="L131" s="9" t="s">
        <v>12079</v>
      </c>
      <c r="M131" s="9"/>
      <c r="N131" s="10"/>
      <c r="O131" s="9"/>
      <c r="P131" s="9">
        <v>5676</v>
      </c>
      <c r="Q131" s="9"/>
      <c r="R131" s="9" t="s">
        <v>12795</v>
      </c>
      <c r="S131" s="9" t="s">
        <v>12795</v>
      </c>
      <c r="T131" s="9"/>
      <c r="U131" s="9"/>
      <c r="V131" s="9"/>
      <c r="W131" s="9"/>
      <c r="X131" s="9"/>
      <c r="Y131" s="9"/>
      <c r="Z131" s="9"/>
      <c r="AA131" s="9"/>
      <c r="AB131" s="9"/>
      <c r="AC131" s="9"/>
      <c r="AD131" s="9" t="s">
        <v>20</v>
      </c>
    </row>
    <row r="132" spans="1:30" ht="43.5">
      <c r="A132" s="3" t="s">
        <v>2436</v>
      </c>
      <c r="B132" s="3" t="s">
        <v>7527</v>
      </c>
      <c r="C132" s="3" t="s">
        <v>7526</v>
      </c>
      <c r="G132" s="9" t="s">
        <v>25</v>
      </c>
      <c r="H132" s="9"/>
      <c r="I132" s="9">
        <v>1</v>
      </c>
      <c r="J132" s="9">
        <v>2</v>
      </c>
      <c r="K132" s="9" t="s">
        <v>12078</v>
      </c>
      <c r="L132" s="9" t="s">
        <v>12119</v>
      </c>
      <c r="M132" s="9"/>
      <c r="N132" s="10"/>
      <c r="O132" s="9"/>
      <c r="P132" s="9">
        <v>11843</v>
      </c>
      <c r="Q132" s="9"/>
      <c r="R132" s="9" t="s">
        <v>12795</v>
      </c>
      <c r="S132" s="9" t="s">
        <v>12795</v>
      </c>
      <c r="T132" s="9"/>
      <c r="U132" s="9"/>
      <c r="V132" s="9"/>
      <c r="W132" s="9"/>
      <c r="X132" s="9"/>
      <c r="Y132" s="9"/>
      <c r="Z132" s="9"/>
      <c r="AA132" s="9"/>
      <c r="AB132" s="9"/>
      <c r="AC132" s="9"/>
      <c r="AD132" s="9" t="s">
        <v>20</v>
      </c>
    </row>
    <row r="133" spans="1:30" ht="43.5">
      <c r="A133" s="3" t="s">
        <v>2441</v>
      </c>
      <c r="B133" s="3" t="s">
        <v>7534</v>
      </c>
      <c r="C133" s="3" t="s">
        <v>7535</v>
      </c>
      <c r="G133" s="9" t="s">
        <v>25</v>
      </c>
      <c r="H133" s="9"/>
      <c r="I133" s="9">
        <v>1</v>
      </c>
      <c r="J133" s="9">
        <v>2</v>
      </c>
      <c r="K133" s="9" t="s">
        <v>12078</v>
      </c>
      <c r="L133" s="9" t="s">
        <v>12119</v>
      </c>
      <c r="M133" s="9"/>
      <c r="N133" s="10"/>
      <c r="O133" s="9"/>
      <c r="P133" s="9">
        <v>11843</v>
      </c>
      <c r="Q133" s="9"/>
      <c r="R133" s="9" t="s">
        <v>12795</v>
      </c>
      <c r="S133" s="9" t="s">
        <v>12795</v>
      </c>
      <c r="T133" s="9"/>
      <c r="U133" s="9"/>
      <c r="V133" s="9"/>
      <c r="W133" s="9"/>
      <c r="X133" s="9"/>
      <c r="Y133" s="9"/>
      <c r="Z133" s="9"/>
      <c r="AA133" s="9"/>
      <c r="AB133" s="9"/>
      <c r="AC133" s="9"/>
      <c r="AD133" s="9" t="s">
        <v>20</v>
      </c>
    </row>
    <row r="134" spans="1:30" ht="72.5">
      <c r="A134" s="3" t="s">
        <v>2443</v>
      </c>
      <c r="B134" s="3" t="s">
        <v>7537</v>
      </c>
      <c r="C134" s="3" t="s">
        <v>7538</v>
      </c>
      <c r="G134" s="9" t="s">
        <v>24</v>
      </c>
      <c r="H134" s="9"/>
      <c r="I134" s="9">
        <v>1</v>
      </c>
      <c r="J134" s="9">
        <v>1</v>
      </c>
      <c r="K134" s="9" t="s">
        <v>12078</v>
      </c>
      <c r="L134" s="9" t="s">
        <v>12119</v>
      </c>
      <c r="M134" s="9"/>
      <c r="N134" s="10"/>
      <c r="O134" s="9"/>
      <c r="P134" s="9">
        <v>11843</v>
      </c>
      <c r="Q134" s="9"/>
      <c r="R134" s="9" t="s">
        <v>12795</v>
      </c>
      <c r="S134" s="9" t="s">
        <v>12795</v>
      </c>
      <c r="T134" s="9"/>
      <c r="U134" s="9"/>
      <c r="V134" s="9"/>
      <c r="W134" s="9"/>
      <c r="X134" s="9"/>
      <c r="Y134" s="9"/>
      <c r="Z134" s="9"/>
      <c r="AA134" s="9"/>
      <c r="AB134" s="9"/>
      <c r="AC134" s="9"/>
      <c r="AD134" s="9" t="s">
        <v>20</v>
      </c>
    </row>
    <row r="135" spans="1:30" ht="58">
      <c r="A135" s="3" t="s">
        <v>2457</v>
      </c>
      <c r="B135" s="3" t="s">
        <v>7557</v>
      </c>
      <c r="C135" s="3" t="s">
        <v>7558</v>
      </c>
      <c r="G135" s="9" t="s">
        <v>25</v>
      </c>
      <c r="H135" s="9"/>
      <c r="I135" s="9">
        <v>1</v>
      </c>
      <c r="J135" s="9">
        <v>2</v>
      </c>
      <c r="K135" s="9" t="s">
        <v>12078</v>
      </c>
      <c r="L135" s="9" t="s">
        <v>12119</v>
      </c>
      <c r="M135" s="9"/>
      <c r="N135" s="10"/>
      <c r="O135" s="9"/>
      <c r="P135" s="9">
        <v>11843</v>
      </c>
      <c r="Q135" s="9"/>
      <c r="R135" s="9" t="s">
        <v>12795</v>
      </c>
      <c r="S135" s="9" t="s">
        <v>12795</v>
      </c>
      <c r="T135" s="9"/>
      <c r="U135" s="9"/>
      <c r="V135" s="9"/>
      <c r="W135" s="9"/>
      <c r="X135" s="9"/>
      <c r="Y135" s="9"/>
      <c r="Z135" s="9"/>
      <c r="AA135" s="9"/>
      <c r="AB135" s="9"/>
      <c r="AC135" s="9"/>
      <c r="AD135" s="9" t="s">
        <v>20</v>
      </c>
    </row>
    <row r="136" spans="1:30" ht="43.5">
      <c r="A136" s="3" t="s">
        <v>2461</v>
      </c>
      <c r="B136" s="3" t="s">
        <v>7564</v>
      </c>
      <c r="C136" s="3" t="s">
        <v>7563</v>
      </c>
      <c r="G136" s="9" t="s">
        <v>24</v>
      </c>
      <c r="H136" s="9"/>
      <c r="I136" s="9">
        <v>1</v>
      </c>
      <c r="J136" s="9">
        <v>3</v>
      </c>
      <c r="K136" s="9" t="s">
        <v>12078</v>
      </c>
      <c r="L136" s="9" t="s">
        <v>12073</v>
      </c>
      <c r="M136" s="9" t="s">
        <v>12142</v>
      </c>
      <c r="N136" s="10" t="s">
        <v>12143</v>
      </c>
      <c r="O136" s="9" t="s">
        <v>12074</v>
      </c>
      <c r="P136" s="9">
        <v>11843</v>
      </c>
      <c r="Q136" s="9"/>
      <c r="R136" s="9" t="s">
        <v>12795</v>
      </c>
      <c r="S136" s="9" t="s">
        <v>12795</v>
      </c>
      <c r="T136" s="9"/>
      <c r="U136" s="9"/>
      <c r="V136" s="9"/>
      <c r="W136" s="9"/>
      <c r="X136" s="9"/>
      <c r="Y136" s="9"/>
      <c r="Z136" s="9"/>
      <c r="AA136" s="9"/>
      <c r="AB136" s="9"/>
      <c r="AC136" s="9"/>
      <c r="AD136" s="9" t="s">
        <v>20</v>
      </c>
    </row>
    <row r="137" spans="1:30" ht="43.5">
      <c r="A137" s="3" t="s">
        <v>2498</v>
      </c>
      <c r="B137" s="3" t="s">
        <v>7615</v>
      </c>
      <c r="C137" s="3" t="s">
        <v>7616</v>
      </c>
      <c r="G137" s="9" t="s">
        <v>25</v>
      </c>
      <c r="H137" s="9"/>
      <c r="I137" s="9">
        <v>1</v>
      </c>
      <c r="J137" s="9">
        <v>3</v>
      </c>
      <c r="K137" s="9" t="s">
        <v>12123</v>
      </c>
      <c r="L137" s="9" t="s">
        <v>12079</v>
      </c>
      <c r="M137" s="9"/>
      <c r="N137" s="10"/>
      <c r="O137" s="9"/>
      <c r="P137" s="9">
        <v>887</v>
      </c>
      <c r="Q137" s="9"/>
      <c r="R137" s="9" t="s">
        <v>12795</v>
      </c>
      <c r="S137" s="9" t="s">
        <v>12795</v>
      </c>
      <c r="T137" s="9"/>
      <c r="U137" s="9"/>
      <c r="V137" s="9"/>
      <c r="W137" s="9"/>
      <c r="X137" s="9"/>
      <c r="Y137" s="9"/>
      <c r="Z137" s="9"/>
      <c r="AA137" s="9"/>
      <c r="AB137" s="9"/>
      <c r="AC137" s="9"/>
      <c r="AD137" s="9" t="s">
        <v>20</v>
      </c>
    </row>
    <row r="138" spans="1:30" ht="43.5">
      <c r="A138" s="3" t="s">
        <v>2507</v>
      </c>
      <c r="B138" s="3" t="s">
        <v>7618</v>
      </c>
      <c r="C138" s="3" t="s">
        <v>7617</v>
      </c>
      <c r="G138" s="9" t="s">
        <v>25</v>
      </c>
      <c r="H138" s="9"/>
      <c r="I138" s="9">
        <v>1</v>
      </c>
      <c r="J138" s="9">
        <v>2</v>
      </c>
      <c r="K138" s="9" t="s">
        <v>12087</v>
      </c>
      <c r="L138" s="9" t="s">
        <v>12119</v>
      </c>
      <c r="M138" s="9"/>
      <c r="N138" s="10"/>
      <c r="O138" s="9"/>
      <c r="P138" s="9">
        <v>1966</v>
      </c>
      <c r="Q138" s="9"/>
      <c r="R138" s="9" t="s">
        <v>12795</v>
      </c>
      <c r="S138" s="9" t="s">
        <v>12795</v>
      </c>
      <c r="T138" s="9"/>
      <c r="U138" s="9"/>
      <c r="V138" s="9"/>
      <c r="W138" s="9"/>
      <c r="X138" s="9"/>
      <c r="Y138" s="9"/>
      <c r="Z138" s="9"/>
      <c r="AA138" s="9"/>
      <c r="AB138" s="9"/>
      <c r="AC138" s="9"/>
      <c r="AD138" s="9" t="s">
        <v>20</v>
      </c>
    </row>
    <row r="139" spans="1:30" ht="58">
      <c r="A139" s="3" t="s">
        <v>2540</v>
      </c>
      <c r="B139" s="3" t="s">
        <v>7665</v>
      </c>
      <c r="C139" s="3" t="s">
        <v>7664</v>
      </c>
      <c r="G139" s="9" t="s">
        <v>24</v>
      </c>
      <c r="H139" s="9"/>
      <c r="I139" s="9">
        <v>1</v>
      </c>
      <c r="J139" s="9">
        <v>3</v>
      </c>
      <c r="K139" s="9" t="s">
        <v>12078</v>
      </c>
      <c r="L139" s="9" t="s">
        <v>12079</v>
      </c>
      <c r="M139" s="9"/>
      <c r="N139" s="10"/>
      <c r="O139" s="9"/>
      <c r="P139" s="9">
        <v>11843</v>
      </c>
      <c r="Q139" s="9"/>
      <c r="R139" s="9" t="s">
        <v>12795</v>
      </c>
      <c r="S139" s="9" t="s">
        <v>12795</v>
      </c>
      <c r="T139" s="9"/>
      <c r="U139" s="9"/>
      <c r="V139" s="9"/>
      <c r="W139" s="9"/>
      <c r="X139" s="9"/>
      <c r="Y139" s="9"/>
      <c r="Z139" s="9"/>
      <c r="AA139" s="9"/>
      <c r="AB139" s="9"/>
      <c r="AC139" s="9"/>
      <c r="AD139" s="9" t="s">
        <v>20</v>
      </c>
    </row>
    <row r="140" spans="1:30" ht="29">
      <c r="A140" s="3" t="s">
        <v>2557</v>
      </c>
      <c r="B140" s="3" t="s">
        <v>7623</v>
      </c>
      <c r="C140" s="3" t="s">
        <v>7680</v>
      </c>
      <c r="G140" s="9" t="s">
        <v>25</v>
      </c>
      <c r="H140" s="9"/>
      <c r="I140" s="9">
        <v>1</v>
      </c>
      <c r="J140" s="9">
        <v>2</v>
      </c>
      <c r="K140" s="9" t="s">
        <v>12087</v>
      </c>
      <c r="L140" s="9" t="s">
        <v>12119</v>
      </c>
      <c r="M140" s="9"/>
      <c r="N140" s="10"/>
      <c r="O140" s="9"/>
      <c r="P140" s="9">
        <v>1966</v>
      </c>
      <c r="Q140" s="9"/>
      <c r="R140" s="9" t="s">
        <v>12795</v>
      </c>
      <c r="S140" s="9" t="s">
        <v>12795</v>
      </c>
      <c r="T140" s="9"/>
      <c r="U140" s="9"/>
      <c r="V140" s="9"/>
      <c r="W140" s="9"/>
      <c r="X140" s="9"/>
      <c r="Y140" s="9"/>
      <c r="Z140" s="9"/>
      <c r="AA140" s="9"/>
      <c r="AB140" s="9"/>
      <c r="AC140" s="9"/>
      <c r="AD140" s="9" t="s">
        <v>20</v>
      </c>
    </row>
    <row r="141" spans="1:30" ht="29">
      <c r="A141" s="3" t="s">
        <v>2565</v>
      </c>
      <c r="B141" s="3" t="s">
        <v>7699</v>
      </c>
      <c r="C141" s="3" t="s">
        <v>7700</v>
      </c>
      <c r="G141" s="9" t="s">
        <v>25</v>
      </c>
      <c r="H141" s="9"/>
      <c r="I141" s="9">
        <v>1</v>
      </c>
      <c r="J141" s="9">
        <v>3</v>
      </c>
      <c r="K141" s="9" t="s">
        <v>12078</v>
      </c>
      <c r="L141" s="9" t="s">
        <v>12079</v>
      </c>
      <c r="M141" s="9"/>
      <c r="N141" s="10"/>
      <c r="O141" s="9"/>
      <c r="P141" s="9">
        <v>11843</v>
      </c>
      <c r="Q141" s="9"/>
      <c r="R141" s="9" t="s">
        <v>12795</v>
      </c>
      <c r="S141" s="9" t="s">
        <v>12795</v>
      </c>
      <c r="T141" s="9"/>
      <c r="U141" s="9"/>
      <c r="V141" s="9"/>
      <c r="W141" s="9"/>
      <c r="X141" s="9"/>
      <c r="Y141" s="9"/>
      <c r="Z141" s="9"/>
      <c r="AA141" s="9"/>
      <c r="AB141" s="9"/>
      <c r="AC141" s="9"/>
      <c r="AD141" s="9" t="s">
        <v>20</v>
      </c>
    </row>
    <row r="142" spans="1:30" ht="29">
      <c r="A142" s="3" t="s">
        <v>2570</v>
      </c>
      <c r="B142" s="3" t="s">
        <v>7705</v>
      </c>
      <c r="C142" s="3" t="s">
        <v>7704</v>
      </c>
      <c r="G142" s="9" t="s">
        <v>24</v>
      </c>
      <c r="H142" s="9"/>
      <c r="I142" s="9">
        <v>1</v>
      </c>
      <c r="J142" s="9">
        <v>2</v>
      </c>
      <c r="K142" s="9" t="s">
        <v>12087</v>
      </c>
      <c r="L142" s="9" t="s">
        <v>12119</v>
      </c>
      <c r="M142" s="9"/>
      <c r="N142" s="10"/>
      <c r="O142" s="9"/>
      <c r="P142" s="9">
        <v>1966</v>
      </c>
      <c r="Q142" s="9"/>
      <c r="R142" s="9" t="s">
        <v>12795</v>
      </c>
      <c r="S142" s="9" t="s">
        <v>12795</v>
      </c>
      <c r="T142" s="9"/>
      <c r="U142" s="9"/>
      <c r="V142" s="9"/>
      <c r="W142" s="9"/>
      <c r="X142" s="9"/>
      <c r="Y142" s="9"/>
      <c r="Z142" s="9"/>
      <c r="AA142" s="9"/>
      <c r="AB142" s="9"/>
      <c r="AC142" s="9"/>
      <c r="AD142" s="9" t="s">
        <v>20</v>
      </c>
    </row>
    <row r="143" spans="1:30" ht="58">
      <c r="A143" s="3" t="s">
        <v>2584</v>
      </c>
      <c r="B143" s="3" t="s">
        <v>7712</v>
      </c>
      <c r="C143" s="3" t="s">
        <v>7713</v>
      </c>
      <c r="G143" s="9" t="s">
        <v>25</v>
      </c>
      <c r="H143" s="9"/>
      <c r="I143" s="9">
        <v>1</v>
      </c>
      <c r="J143" s="9">
        <v>3</v>
      </c>
      <c r="K143" s="9" t="s">
        <v>12078</v>
      </c>
      <c r="L143" s="9" t="s">
        <v>12119</v>
      </c>
      <c r="M143" s="9"/>
      <c r="N143" s="10"/>
      <c r="O143" s="9"/>
      <c r="P143" s="9">
        <v>11843</v>
      </c>
      <c r="Q143" s="9"/>
      <c r="R143" s="9" t="s">
        <v>12795</v>
      </c>
      <c r="S143" s="9" t="s">
        <v>12795</v>
      </c>
      <c r="T143" s="9"/>
      <c r="U143" s="9"/>
      <c r="V143" s="9"/>
      <c r="W143" s="9"/>
      <c r="X143" s="9"/>
      <c r="Y143" s="9"/>
      <c r="Z143" s="9"/>
      <c r="AA143" s="9"/>
      <c r="AB143" s="9"/>
      <c r="AC143" s="9"/>
      <c r="AD143" s="9" t="s">
        <v>20</v>
      </c>
    </row>
    <row r="144" spans="1:30" ht="58">
      <c r="A144" s="3" t="s">
        <v>2606</v>
      </c>
      <c r="B144" s="3" t="s">
        <v>7740</v>
      </c>
      <c r="C144" s="3" t="s">
        <v>7741</v>
      </c>
      <c r="G144" s="9" t="s">
        <v>25</v>
      </c>
      <c r="H144" s="9"/>
      <c r="I144" s="9">
        <v>1</v>
      </c>
      <c r="J144" s="9">
        <v>3</v>
      </c>
      <c r="K144" s="9" t="s">
        <v>12078</v>
      </c>
      <c r="L144" s="9" t="s">
        <v>12073</v>
      </c>
      <c r="M144" s="9" t="s">
        <v>12149</v>
      </c>
      <c r="N144" s="10" t="s">
        <v>12143</v>
      </c>
      <c r="O144" s="9"/>
      <c r="P144" s="9">
        <v>11843</v>
      </c>
      <c r="Q144" s="9"/>
      <c r="R144" s="9" t="s">
        <v>12795</v>
      </c>
      <c r="S144" s="9" t="s">
        <v>12795</v>
      </c>
      <c r="T144" s="9"/>
      <c r="U144" s="9"/>
      <c r="V144" s="9"/>
      <c r="W144" s="9"/>
      <c r="X144" s="9"/>
      <c r="Y144" s="9"/>
      <c r="Z144" s="9"/>
      <c r="AA144" s="9"/>
      <c r="AB144" s="9"/>
      <c r="AC144" s="9"/>
      <c r="AD144" s="9" t="s">
        <v>20</v>
      </c>
    </row>
    <row r="145" spans="1:30" ht="29">
      <c r="A145" s="3" t="s">
        <v>2621</v>
      </c>
      <c r="B145" s="3" t="s">
        <v>7765</v>
      </c>
      <c r="C145" s="3" t="s">
        <v>7764</v>
      </c>
      <c r="G145" s="9" t="s">
        <v>25</v>
      </c>
      <c r="H145" s="9"/>
      <c r="I145" s="9">
        <v>1</v>
      </c>
      <c r="J145" s="9">
        <v>2</v>
      </c>
      <c r="K145" s="9" t="s">
        <v>12078</v>
      </c>
      <c r="L145" s="9" t="s">
        <v>12119</v>
      </c>
      <c r="M145" s="9"/>
      <c r="N145" s="10"/>
      <c r="O145" s="9"/>
      <c r="P145" s="9">
        <v>11843</v>
      </c>
      <c r="Q145" s="9"/>
      <c r="R145" s="9" t="s">
        <v>12795</v>
      </c>
      <c r="S145" s="9" t="s">
        <v>12795</v>
      </c>
      <c r="T145" s="9"/>
      <c r="U145" s="9"/>
      <c r="V145" s="9"/>
      <c r="W145" s="9"/>
      <c r="X145" s="9"/>
      <c r="Y145" s="9"/>
      <c r="Z145" s="9"/>
      <c r="AA145" s="9"/>
      <c r="AB145" s="9"/>
      <c r="AC145" s="9"/>
      <c r="AD145" s="9" t="s">
        <v>20</v>
      </c>
    </row>
    <row r="146" spans="1:30" ht="43.5">
      <c r="A146" s="3" t="s">
        <v>2629</v>
      </c>
      <c r="B146" s="3" t="s">
        <v>7773</v>
      </c>
      <c r="C146" s="3" t="s">
        <v>7772</v>
      </c>
      <c r="G146" s="9" t="s">
        <v>25</v>
      </c>
      <c r="H146" s="9"/>
      <c r="I146" s="9">
        <v>1</v>
      </c>
      <c r="J146" s="9">
        <v>3</v>
      </c>
      <c r="K146" s="9" t="s">
        <v>12078</v>
      </c>
      <c r="L146" s="9" t="s">
        <v>12079</v>
      </c>
      <c r="M146" s="9"/>
      <c r="N146" s="10"/>
      <c r="O146" s="9"/>
      <c r="P146" s="9">
        <v>11843</v>
      </c>
      <c r="Q146" s="9"/>
      <c r="R146" s="9" t="s">
        <v>12795</v>
      </c>
      <c r="S146" s="9" t="s">
        <v>12795</v>
      </c>
      <c r="T146" s="9"/>
      <c r="U146" s="9"/>
      <c r="V146" s="9"/>
      <c r="W146" s="9"/>
      <c r="X146" s="9"/>
      <c r="Y146" s="9"/>
      <c r="Z146" s="9"/>
      <c r="AA146" s="9"/>
      <c r="AB146" s="9"/>
      <c r="AC146" s="9"/>
      <c r="AD146" s="9" t="s">
        <v>20</v>
      </c>
    </row>
    <row r="147" spans="1:30" ht="29">
      <c r="A147" s="3" t="s">
        <v>2649</v>
      </c>
      <c r="B147" s="3" t="s">
        <v>7788</v>
      </c>
      <c r="C147" s="3" t="s">
        <v>7787</v>
      </c>
      <c r="G147" s="9" t="s">
        <v>25</v>
      </c>
      <c r="H147" s="9"/>
      <c r="I147" s="9">
        <v>1</v>
      </c>
      <c r="J147" s="9">
        <v>2</v>
      </c>
      <c r="K147" s="9" t="s">
        <v>12078</v>
      </c>
      <c r="L147" s="9" t="s">
        <v>12119</v>
      </c>
      <c r="M147" s="9"/>
      <c r="N147" s="10"/>
      <c r="O147" s="9"/>
      <c r="P147" s="9">
        <v>11843</v>
      </c>
      <c r="Q147" s="9"/>
      <c r="R147" s="9" t="s">
        <v>12795</v>
      </c>
      <c r="S147" s="9" t="s">
        <v>12795</v>
      </c>
      <c r="T147" s="9"/>
      <c r="U147" s="9"/>
      <c r="V147" s="9"/>
      <c r="W147" s="9"/>
      <c r="X147" s="9"/>
      <c r="Y147" s="9"/>
      <c r="Z147" s="9"/>
      <c r="AA147" s="9"/>
      <c r="AB147" s="9"/>
      <c r="AC147" s="9"/>
      <c r="AD147" s="9" t="s">
        <v>20</v>
      </c>
    </row>
    <row r="148" spans="1:30" ht="29">
      <c r="A148" s="3" t="s">
        <v>2655</v>
      </c>
      <c r="B148" s="3" t="s">
        <v>12909</v>
      </c>
      <c r="C148" s="3" t="s">
        <v>7798</v>
      </c>
      <c r="G148" s="9" t="s">
        <v>25</v>
      </c>
      <c r="H148" s="9"/>
      <c r="I148" s="9">
        <v>1</v>
      </c>
      <c r="J148" s="9">
        <v>5</v>
      </c>
      <c r="K148" s="9" t="s">
        <v>12094</v>
      </c>
      <c r="L148" s="9" t="s">
        <v>12079</v>
      </c>
      <c r="M148" s="9"/>
      <c r="N148" s="10"/>
      <c r="O148" s="9"/>
      <c r="P148" s="9">
        <v>4240</v>
      </c>
      <c r="Q148" s="9"/>
      <c r="R148" s="9" t="s">
        <v>12795</v>
      </c>
      <c r="S148" s="9" t="s">
        <v>12795</v>
      </c>
      <c r="T148" s="9"/>
      <c r="U148" s="9"/>
      <c r="V148" s="9"/>
      <c r="W148" s="9"/>
      <c r="X148" s="9"/>
      <c r="Y148" s="9"/>
      <c r="Z148" s="9"/>
      <c r="AA148" s="9"/>
      <c r="AB148" s="9"/>
      <c r="AC148" s="9"/>
      <c r="AD148" s="9" t="s">
        <v>20</v>
      </c>
    </row>
    <row r="149" spans="1:30" ht="58">
      <c r="A149" s="3" t="s">
        <v>2679</v>
      </c>
      <c r="B149" s="3" t="s">
        <v>7814</v>
      </c>
      <c r="C149" s="3" t="s">
        <v>7813</v>
      </c>
      <c r="G149" s="9" t="s">
        <v>24</v>
      </c>
      <c r="H149" s="9"/>
      <c r="I149" s="9">
        <v>1</v>
      </c>
      <c r="J149" s="9">
        <v>6</v>
      </c>
      <c r="K149" s="9" t="s">
        <v>12094</v>
      </c>
      <c r="L149" s="9" t="s">
        <v>12073</v>
      </c>
      <c r="M149" s="9" t="s">
        <v>12149</v>
      </c>
      <c r="N149" s="10" t="s">
        <v>12143</v>
      </c>
      <c r="O149" s="9"/>
      <c r="P149" s="9">
        <v>930</v>
      </c>
      <c r="Q149" s="9"/>
      <c r="R149" s="9" t="s">
        <v>12795</v>
      </c>
      <c r="S149" s="9" t="s">
        <v>12795</v>
      </c>
      <c r="T149" s="9"/>
      <c r="U149" s="9"/>
      <c r="V149" s="9"/>
      <c r="W149" s="9"/>
      <c r="X149" s="9"/>
      <c r="Y149" s="9"/>
      <c r="Z149" s="9"/>
      <c r="AA149" s="9"/>
      <c r="AB149" s="9"/>
      <c r="AC149" s="9"/>
      <c r="AD149" s="9" t="s">
        <v>20</v>
      </c>
    </row>
    <row r="150" spans="1:30" ht="43.5">
      <c r="A150" s="3" t="s">
        <v>2684</v>
      </c>
      <c r="B150" s="3" t="s">
        <v>7828</v>
      </c>
      <c r="C150" s="3" t="s">
        <v>7827</v>
      </c>
      <c r="G150" s="9" t="s">
        <v>25</v>
      </c>
      <c r="H150" s="9"/>
      <c r="I150" s="9">
        <v>1</v>
      </c>
      <c r="J150" s="9">
        <v>5</v>
      </c>
      <c r="K150" s="9" t="s">
        <v>12094</v>
      </c>
      <c r="L150" s="9" t="s">
        <v>12079</v>
      </c>
      <c r="M150" s="9"/>
      <c r="N150" s="10"/>
      <c r="O150" s="9"/>
      <c r="P150" s="9">
        <v>4240</v>
      </c>
      <c r="Q150" s="9"/>
      <c r="R150" s="9" t="s">
        <v>12795</v>
      </c>
      <c r="S150" s="9" t="s">
        <v>12795</v>
      </c>
      <c r="T150" s="9"/>
      <c r="U150" s="9"/>
      <c r="V150" s="9"/>
      <c r="W150" s="9"/>
      <c r="X150" s="9"/>
      <c r="Y150" s="9"/>
      <c r="Z150" s="9"/>
      <c r="AA150" s="9"/>
      <c r="AB150" s="9"/>
      <c r="AC150" s="9"/>
      <c r="AD150" s="9" t="s">
        <v>20</v>
      </c>
    </row>
    <row r="151" spans="1:30" ht="43.5">
      <c r="A151" s="3" t="s">
        <v>2686</v>
      </c>
      <c r="B151" s="3" t="s">
        <v>7832</v>
      </c>
      <c r="C151" s="3" t="s">
        <v>7831</v>
      </c>
      <c r="G151" s="9" t="s">
        <v>24</v>
      </c>
      <c r="H151" s="9"/>
      <c r="I151" s="9">
        <v>1</v>
      </c>
      <c r="J151" s="9">
        <v>2</v>
      </c>
      <c r="K151" s="9" t="s">
        <v>12078</v>
      </c>
      <c r="L151" s="9" t="s">
        <v>12119</v>
      </c>
      <c r="M151" s="9"/>
      <c r="N151" s="10"/>
      <c r="O151" s="9"/>
      <c r="P151" s="9">
        <v>11843</v>
      </c>
      <c r="Q151" s="9"/>
      <c r="R151" s="9" t="s">
        <v>12795</v>
      </c>
      <c r="S151" s="9" t="s">
        <v>12795</v>
      </c>
      <c r="T151" s="9"/>
      <c r="U151" s="9"/>
      <c r="V151" s="9"/>
      <c r="W151" s="9"/>
      <c r="X151" s="9"/>
      <c r="Y151" s="9"/>
      <c r="Z151" s="9"/>
      <c r="AA151" s="9"/>
      <c r="AB151" s="9"/>
      <c r="AC151" s="9"/>
      <c r="AD151" s="9" t="s">
        <v>20</v>
      </c>
    </row>
    <row r="152" spans="1:30" ht="29">
      <c r="A152" s="3" t="s">
        <v>2750</v>
      </c>
      <c r="B152" s="3" t="s">
        <v>7926</v>
      </c>
      <c r="C152" s="3" t="s">
        <v>7925</v>
      </c>
      <c r="G152" s="9" t="s">
        <v>24</v>
      </c>
      <c r="H152" s="9"/>
      <c r="I152" s="9">
        <v>1</v>
      </c>
      <c r="J152" s="9">
        <v>3</v>
      </c>
      <c r="K152" s="9" t="s">
        <v>12078</v>
      </c>
      <c r="L152" s="9" t="s">
        <v>12079</v>
      </c>
      <c r="M152" s="9"/>
      <c r="N152" s="10"/>
      <c r="O152" s="9"/>
      <c r="P152" s="9">
        <v>11843</v>
      </c>
      <c r="Q152" s="9"/>
      <c r="R152" s="9" t="s">
        <v>12795</v>
      </c>
      <c r="S152" s="9" t="s">
        <v>12795</v>
      </c>
      <c r="T152" s="9"/>
      <c r="U152" s="9"/>
      <c r="V152" s="9"/>
      <c r="W152" s="9"/>
      <c r="X152" s="9"/>
      <c r="Y152" s="9"/>
      <c r="Z152" s="9"/>
      <c r="AA152" s="9"/>
      <c r="AB152" s="9"/>
      <c r="AC152" s="9"/>
      <c r="AD152" s="9" t="s">
        <v>20</v>
      </c>
    </row>
    <row r="153" spans="1:30" ht="43.5">
      <c r="A153" s="3" t="s">
        <v>2801</v>
      </c>
      <c r="B153" s="3" t="s">
        <v>8009</v>
      </c>
      <c r="C153" s="3" t="s">
        <v>8008</v>
      </c>
      <c r="G153" s="9" t="s">
        <v>25</v>
      </c>
      <c r="H153" s="9"/>
      <c r="I153" s="9">
        <v>1</v>
      </c>
      <c r="J153" s="9">
        <v>6</v>
      </c>
      <c r="K153" s="9" t="s">
        <v>12094</v>
      </c>
      <c r="L153" s="9" t="s">
        <v>12079</v>
      </c>
      <c r="M153" s="9"/>
      <c r="N153" s="10"/>
      <c r="O153" s="9"/>
      <c r="P153" s="9">
        <v>4240</v>
      </c>
      <c r="Q153" s="9"/>
      <c r="R153" s="9" t="s">
        <v>12795</v>
      </c>
      <c r="S153" s="9" t="s">
        <v>12795</v>
      </c>
      <c r="T153" s="9"/>
      <c r="U153" s="9"/>
      <c r="V153" s="9"/>
      <c r="W153" s="9"/>
      <c r="X153" s="9"/>
      <c r="Y153" s="9"/>
      <c r="Z153" s="9"/>
      <c r="AA153" s="9"/>
      <c r="AB153" s="9"/>
      <c r="AC153" s="9"/>
      <c r="AD153" s="9" t="s">
        <v>20</v>
      </c>
    </row>
    <row r="154" spans="1:30" ht="29">
      <c r="A154" s="3" t="s">
        <v>2812</v>
      </c>
      <c r="B154" s="3" t="s">
        <v>8040</v>
      </c>
      <c r="C154" s="3" t="s">
        <v>8039</v>
      </c>
      <c r="G154" s="9" t="s">
        <v>25</v>
      </c>
      <c r="H154" s="9"/>
      <c r="I154" s="9">
        <v>1</v>
      </c>
      <c r="J154" s="9">
        <v>3</v>
      </c>
      <c r="K154" s="9" t="s">
        <v>12078</v>
      </c>
      <c r="L154" s="9" t="s">
        <v>12079</v>
      </c>
      <c r="M154" s="9"/>
      <c r="N154" s="10"/>
      <c r="O154" s="9"/>
      <c r="P154" s="9">
        <v>11843</v>
      </c>
      <c r="Q154" s="9"/>
      <c r="R154" s="9" t="s">
        <v>12795</v>
      </c>
      <c r="S154" s="9" t="s">
        <v>12795</v>
      </c>
      <c r="T154" s="9"/>
      <c r="U154" s="9"/>
      <c r="V154" s="9"/>
      <c r="W154" s="9"/>
      <c r="X154" s="9"/>
      <c r="Y154" s="9"/>
      <c r="Z154" s="9"/>
      <c r="AA154" s="9"/>
      <c r="AB154" s="9"/>
      <c r="AC154" s="9"/>
      <c r="AD154" s="9" t="s">
        <v>20</v>
      </c>
    </row>
    <row r="155" spans="1:30" ht="29">
      <c r="A155" s="3" t="s">
        <v>2824</v>
      </c>
      <c r="B155" s="3" t="s">
        <v>8058</v>
      </c>
      <c r="C155" s="3" t="s">
        <v>8057</v>
      </c>
      <c r="G155" s="9" t="s">
        <v>25</v>
      </c>
      <c r="H155" s="9"/>
      <c r="I155" s="9">
        <v>1</v>
      </c>
      <c r="J155" s="9">
        <v>2</v>
      </c>
      <c r="K155" s="9" t="s">
        <v>12123</v>
      </c>
      <c r="L155" s="9" t="s">
        <v>12119</v>
      </c>
      <c r="M155" s="9"/>
      <c r="N155" s="10"/>
      <c r="O155" s="9"/>
      <c r="P155" s="9">
        <v>887</v>
      </c>
      <c r="Q155" s="9"/>
      <c r="R155" s="9" t="s">
        <v>12795</v>
      </c>
      <c r="S155" s="9" t="s">
        <v>12795</v>
      </c>
      <c r="T155" s="9"/>
      <c r="U155" s="9"/>
      <c r="V155" s="9"/>
      <c r="W155" s="9"/>
      <c r="X155" s="9"/>
      <c r="Y155" s="9"/>
      <c r="Z155" s="9"/>
      <c r="AA155" s="9"/>
      <c r="AB155" s="9"/>
      <c r="AC155" s="9"/>
      <c r="AD155" s="9" t="s">
        <v>20</v>
      </c>
    </row>
    <row r="156" spans="1:30" ht="58">
      <c r="A156" s="3" t="s">
        <v>2825</v>
      </c>
      <c r="B156" s="3" t="s">
        <v>8062</v>
      </c>
      <c r="C156" s="3" t="s">
        <v>8061</v>
      </c>
      <c r="G156" s="9" t="s">
        <v>24</v>
      </c>
      <c r="H156" s="9"/>
      <c r="I156" s="9">
        <v>1</v>
      </c>
      <c r="J156" s="9">
        <v>4</v>
      </c>
      <c r="K156" s="9" t="s">
        <v>12078</v>
      </c>
      <c r="L156" s="9" t="s">
        <v>12073</v>
      </c>
      <c r="M156" s="9" t="s">
        <v>12149</v>
      </c>
      <c r="N156" s="10" t="s">
        <v>12143</v>
      </c>
      <c r="O156" s="9"/>
      <c r="P156" s="9">
        <v>11843</v>
      </c>
      <c r="Q156" s="9"/>
      <c r="R156" s="9" t="s">
        <v>12795</v>
      </c>
      <c r="S156" s="9" t="s">
        <v>12795</v>
      </c>
      <c r="T156" s="9"/>
      <c r="U156" s="9"/>
      <c r="V156" s="9"/>
      <c r="W156" s="9"/>
      <c r="X156" s="9"/>
      <c r="Y156" s="9"/>
      <c r="Z156" s="9"/>
      <c r="AA156" s="9"/>
      <c r="AB156" s="9"/>
      <c r="AC156" s="9"/>
      <c r="AD156" s="9" t="s">
        <v>20</v>
      </c>
    </row>
    <row r="157" spans="1:30" ht="29">
      <c r="A157" s="3" t="s">
        <v>2837</v>
      </c>
      <c r="B157" s="3" t="s">
        <v>8096</v>
      </c>
      <c r="C157" s="3" t="s">
        <v>8095</v>
      </c>
      <c r="G157" s="9" t="s">
        <v>25</v>
      </c>
      <c r="H157" s="9"/>
      <c r="I157" s="9">
        <v>1</v>
      </c>
      <c r="J157" s="9">
        <v>2</v>
      </c>
      <c r="K157" s="9" t="s">
        <v>12123</v>
      </c>
      <c r="L157" s="9" t="s">
        <v>12119</v>
      </c>
      <c r="M157" s="9"/>
      <c r="N157" s="10"/>
      <c r="O157" s="9"/>
      <c r="P157" s="9">
        <v>526</v>
      </c>
      <c r="Q157" s="9"/>
      <c r="R157" s="9" t="s">
        <v>12795</v>
      </c>
      <c r="S157" s="9" t="s">
        <v>12795</v>
      </c>
      <c r="T157" s="9"/>
      <c r="U157" s="9"/>
      <c r="V157" s="9"/>
      <c r="W157" s="9"/>
      <c r="X157" s="9"/>
      <c r="Y157" s="9"/>
      <c r="Z157" s="9"/>
      <c r="AA157" s="9"/>
      <c r="AB157" s="9"/>
      <c r="AC157" s="9"/>
      <c r="AD157" s="9" t="s">
        <v>20</v>
      </c>
    </row>
    <row r="158" spans="1:30" ht="29">
      <c r="A158" s="3" t="s">
        <v>2859</v>
      </c>
      <c r="B158" s="3" t="s">
        <v>8120</v>
      </c>
      <c r="C158" s="3" t="s">
        <v>8121</v>
      </c>
      <c r="G158" s="9" t="s">
        <v>25</v>
      </c>
      <c r="H158" s="9"/>
      <c r="I158" s="9">
        <v>1</v>
      </c>
      <c r="J158" s="9">
        <v>2</v>
      </c>
      <c r="K158" s="9" t="s">
        <v>12078</v>
      </c>
      <c r="L158" s="9" t="s">
        <v>12119</v>
      </c>
      <c r="M158" s="9"/>
      <c r="N158" s="10"/>
      <c r="O158" s="9"/>
      <c r="P158" s="9">
        <v>11843</v>
      </c>
      <c r="Q158" s="9"/>
      <c r="R158" s="9" t="s">
        <v>12795</v>
      </c>
      <c r="S158" s="9" t="s">
        <v>12795</v>
      </c>
      <c r="T158" s="9"/>
      <c r="U158" s="9"/>
      <c r="V158" s="9"/>
      <c r="W158" s="9"/>
      <c r="X158" s="9"/>
      <c r="Y158" s="9"/>
      <c r="Z158" s="9"/>
      <c r="AA158" s="9"/>
      <c r="AB158" s="9"/>
      <c r="AC158" s="9"/>
      <c r="AD158" s="9" t="s">
        <v>20</v>
      </c>
    </row>
    <row r="159" spans="1:30" ht="43.5">
      <c r="A159" s="3" t="s">
        <v>2886</v>
      </c>
      <c r="B159" s="3" t="s">
        <v>8153</v>
      </c>
      <c r="C159" s="3" t="s">
        <v>8152</v>
      </c>
      <c r="G159" s="9" t="s">
        <v>25</v>
      </c>
      <c r="H159" s="9"/>
      <c r="I159" s="9">
        <v>1</v>
      </c>
      <c r="J159" s="9">
        <v>3</v>
      </c>
      <c r="K159" s="9" t="s">
        <v>12078</v>
      </c>
      <c r="L159" s="9" t="s">
        <v>12079</v>
      </c>
      <c r="M159" s="9"/>
      <c r="N159" s="10"/>
      <c r="O159" s="9"/>
      <c r="P159" s="9">
        <v>11843</v>
      </c>
      <c r="Q159" s="9"/>
      <c r="R159" s="9" t="s">
        <v>12795</v>
      </c>
      <c r="S159" s="9" t="s">
        <v>12795</v>
      </c>
      <c r="T159" s="9"/>
      <c r="U159" s="9"/>
      <c r="V159" s="9"/>
      <c r="W159" s="9"/>
      <c r="X159" s="9"/>
      <c r="Y159" s="9"/>
      <c r="Z159" s="9"/>
      <c r="AA159" s="9"/>
      <c r="AB159" s="9"/>
      <c r="AC159" s="9"/>
      <c r="AD159" s="9" t="s">
        <v>20</v>
      </c>
    </row>
    <row r="160" spans="1:30" ht="43.5">
      <c r="A160" s="3" t="s">
        <v>2890</v>
      </c>
      <c r="B160" s="11" t="s">
        <v>8161</v>
      </c>
      <c r="C160" s="3" t="s">
        <v>8160</v>
      </c>
      <c r="G160" s="9" t="s">
        <v>24</v>
      </c>
      <c r="H160" s="9"/>
      <c r="I160" s="9">
        <v>1</v>
      </c>
      <c r="J160" s="9">
        <v>3</v>
      </c>
      <c r="K160" s="9" t="s">
        <v>12078</v>
      </c>
      <c r="L160" s="9" t="s">
        <v>12079</v>
      </c>
      <c r="M160" s="9"/>
      <c r="N160" s="10"/>
      <c r="O160" s="9"/>
      <c r="P160" s="9">
        <v>11843</v>
      </c>
      <c r="Q160" s="9"/>
      <c r="R160" s="9" t="s">
        <v>12795</v>
      </c>
      <c r="S160" s="9" t="s">
        <v>12795</v>
      </c>
      <c r="T160" s="9"/>
      <c r="U160" s="9"/>
      <c r="V160" s="9"/>
      <c r="W160" s="9"/>
      <c r="X160" s="9"/>
      <c r="Y160" s="9"/>
      <c r="Z160" s="9"/>
      <c r="AA160" s="9"/>
      <c r="AB160" s="9"/>
      <c r="AC160" s="9"/>
      <c r="AD160" s="9" t="s">
        <v>20</v>
      </c>
    </row>
    <row r="161" spans="1:30" ht="58">
      <c r="A161" s="3" t="s">
        <v>2908</v>
      </c>
      <c r="B161" s="3" t="s">
        <v>8182</v>
      </c>
      <c r="C161" s="3" t="s">
        <v>8181</v>
      </c>
      <c r="F161" t="s">
        <v>19</v>
      </c>
      <c r="G161" s="9" t="s">
        <v>24</v>
      </c>
      <c r="H161" s="9"/>
      <c r="I161" s="9">
        <v>1</v>
      </c>
      <c r="J161" s="9">
        <v>2</v>
      </c>
      <c r="K161" s="9" t="s">
        <v>12078</v>
      </c>
      <c r="L161" s="9" t="s">
        <v>12119</v>
      </c>
      <c r="M161" s="9"/>
      <c r="N161" s="10"/>
      <c r="O161" s="9"/>
      <c r="P161" s="9">
        <v>11843</v>
      </c>
      <c r="Q161" s="9"/>
      <c r="R161" s="9" t="s">
        <v>12795</v>
      </c>
      <c r="S161" s="9" t="s">
        <v>12795</v>
      </c>
      <c r="T161" s="9"/>
      <c r="U161" s="9"/>
      <c r="V161" s="9"/>
      <c r="W161" s="9"/>
      <c r="X161" s="9"/>
      <c r="Y161" s="9"/>
      <c r="Z161" s="9"/>
      <c r="AA161" s="9"/>
      <c r="AB161" s="9"/>
      <c r="AC161" s="9"/>
      <c r="AD161" s="9" t="s">
        <v>20</v>
      </c>
    </row>
    <row r="162" spans="1:30" ht="29">
      <c r="A162" s="3" t="s">
        <v>2911</v>
      </c>
      <c r="B162" s="3" t="s">
        <v>8189</v>
      </c>
      <c r="C162" s="3" t="s">
        <v>8190</v>
      </c>
      <c r="G162" s="9" t="s">
        <v>24</v>
      </c>
      <c r="H162" s="9"/>
      <c r="I162" s="9">
        <v>1</v>
      </c>
      <c r="J162" s="9">
        <v>1</v>
      </c>
      <c r="K162" s="9" t="s">
        <v>12078</v>
      </c>
      <c r="L162" s="9" t="s">
        <v>12119</v>
      </c>
      <c r="M162" s="9"/>
      <c r="N162" s="10"/>
      <c r="O162" s="9"/>
      <c r="P162" s="9">
        <v>11843</v>
      </c>
      <c r="Q162" s="9"/>
      <c r="R162" s="9" t="s">
        <v>12795</v>
      </c>
      <c r="S162" s="9" t="s">
        <v>12795</v>
      </c>
      <c r="T162" s="9"/>
      <c r="U162" s="9"/>
      <c r="V162" s="9"/>
      <c r="W162" s="9"/>
      <c r="X162" s="9"/>
      <c r="Y162" s="9"/>
      <c r="Z162" s="9"/>
      <c r="AA162" s="9"/>
      <c r="AB162" s="9"/>
      <c r="AC162" s="9"/>
      <c r="AD162" s="9" t="s">
        <v>20</v>
      </c>
    </row>
    <row r="163" spans="1:30" ht="43.5">
      <c r="A163" s="3" t="s">
        <v>2932</v>
      </c>
      <c r="B163" s="3" t="s">
        <v>8212</v>
      </c>
      <c r="C163" s="3" t="s">
        <v>8213</v>
      </c>
      <c r="G163" s="9" t="s">
        <v>25</v>
      </c>
      <c r="H163" s="9"/>
      <c r="I163" s="9">
        <v>1</v>
      </c>
      <c r="J163" s="9">
        <v>3</v>
      </c>
      <c r="K163" s="9" t="s">
        <v>12094</v>
      </c>
      <c r="L163" s="9" t="s">
        <v>12079</v>
      </c>
      <c r="M163" s="9"/>
      <c r="N163" s="10"/>
      <c r="O163" s="9"/>
      <c r="P163" s="9">
        <v>1741</v>
      </c>
      <c r="Q163" s="9"/>
      <c r="R163" s="9" t="s">
        <v>12795</v>
      </c>
      <c r="S163" s="9" t="s">
        <v>12795</v>
      </c>
      <c r="T163" s="9"/>
      <c r="U163" s="9"/>
      <c r="V163" s="9"/>
      <c r="W163" s="9"/>
      <c r="X163" s="9"/>
      <c r="Y163" s="9"/>
      <c r="Z163" s="9"/>
      <c r="AA163" s="9"/>
      <c r="AB163" s="9"/>
      <c r="AC163" s="9"/>
      <c r="AD163" s="9" t="s">
        <v>20</v>
      </c>
    </row>
    <row r="164" spans="1:30" ht="29">
      <c r="A164" s="3" t="s">
        <v>2945</v>
      </c>
      <c r="B164" s="3" t="s">
        <v>8221</v>
      </c>
      <c r="C164" s="3" t="s">
        <v>8220</v>
      </c>
      <c r="G164" s="9" t="s">
        <v>25</v>
      </c>
      <c r="H164" s="9"/>
      <c r="I164" s="9">
        <v>1</v>
      </c>
      <c r="J164" s="9">
        <v>2</v>
      </c>
      <c r="K164" s="9" t="s">
        <v>12078</v>
      </c>
      <c r="L164" s="9" t="s">
        <v>12119</v>
      </c>
      <c r="M164" s="9"/>
      <c r="N164" s="10"/>
      <c r="O164" s="9"/>
      <c r="P164" s="9">
        <v>11843</v>
      </c>
      <c r="Q164" s="9"/>
      <c r="R164" s="9" t="s">
        <v>12795</v>
      </c>
      <c r="S164" s="9" t="s">
        <v>12795</v>
      </c>
      <c r="T164" s="9"/>
      <c r="U164" s="9"/>
      <c r="V164" s="9"/>
      <c r="W164" s="9"/>
      <c r="X164" s="9"/>
      <c r="Y164" s="9"/>
      <c r="Z164" s="9"/>
      <c r="AA164" s="9"/>
      <c r="AB164" s="9"/>
      <c r="AC164" s="9"/>
      <c r="AD164" s="9" t="s">
        <v>20</v>
      </c>
    </row>
    <row r="165" spans="1:30" ht="58">
      <c r="A165" s="3" t="s">
        <v>2947</v>
      </c>
      <c r="B165" s="3" t="s">
        <v>8223</v>
      </c>
      <c r="C165" s="3" t="s">
        <v>8224</v>
      </c>
      <c r="G165" s="9" t="s">
        <v>24</v>
      </c>
      <c r="H165" s="9"/>
      <c r="I165" s="9">
        <v>1</v>
      </c>
      <c r="J165" s="9">
        <v>3</v>
      </c>
      <c r="K165" s="9" t="s">
        <v>12078</v>
      </c>
      <c r="L165" s="9" t="s">
        <v>12073</v>
      </c>
      <c r="M165" s="9" t="s">
        <v>12142</v>
      </c>
      <c r="N165" s="10" t="s">
        <v>12143</v>
      </c>
      <c r="O165" s="9" t="s">
        <v>12074</v>
      </c>
      <c r="P165" s="9">
        <v>11843</v>
      </c>
      <c r="Q165" s="9"/>
      <c r="R165" s="9" t="s">
        <v>12795</v>
      </c>
      <c r="S165" s="9" t="s">
        <v>12795</v>
      </c>
      <c r="T165" s="9"/>
      <c r="U165" s="9"/>
      <c r="V165" s="9"/>
      <c r="W165" s="9"/>
      <c r="X165" s="9"/>
      <c r="Y165" s="9"/>
      <c r="Z165" s="9"/>
      <c r="AA165" s="9"/>
      <c r="AB165" s="9"/>
      <c r="AC165" s="9"/>
      <c r="AD165" s="9" t="s">
        <v>20</v>
      </c>
    </row>
    <row r="166" spans="1:30" ht="43.5">
      <c r="A166" s="3" t="s">
        <v>2947</v>
      </c>
      <c r="B166" s="3" t="s">
        <v>12426</v>
      </c>
      <c r="C166" s="3" t="s">
        <v>12427</v>
      </c>
      <c r="G166" s="9" t="s">
        <v>25</v>
      </c>
      <c r="H166" s="9"/>
      <c r="I166" s="9">
        <v>1</v>
      </c>
      <c r="J166" s="9">
        <v>1</v>
      </c>
      <c r="K166" s="9" t="s">
        <v>12078</v>
      </c>
      <c r="L166" s="9" t="s">
        <v>12119</v>
      </c>
      <c r="M166" s="9"/>
      <c r="N166" s="10"/>
      <c r="O166" s="9"/>
      <c r="P166" s="9">
        <v>11843</v>
      </c>
      <c r="Q166" s="9"/>
      <c r="R166" s="9" t="s">
        <v>12795</v>
      </c>
      <c r="S166" s="9" t="s">
        <v>12795</v>
      </c>
      <c r="T166" s="9"/>
      <c r="U166" s="9"/>
      <c r="V166" s="9"/>
      <c r="W166" s="9"/>
      <c r="X166" s="9"/>
      <c r="Y166" s="9"/>
      <c r="Z166" s="9"/>
      <c r="AA166" s="9"/>
      <c r="AB166" s="9"/>
      <c r="AC166" s="9"/>
      <c r="AD166" s="9" t="s">
        <v>13141</v>
      </c>
    </row>
    <row r="167" spans="1:30" ht="43.5">
      <c r="A167" s="3" t="s">
        <v>2956</v>
      </c>
      <c r="B167" s="3" t="s">
        <v>8238</v>
      </c>
      <c r="C167" s="3" t="s">
        <v>8237</v>
      </c>
      <c r="G167" s="9" t="s">
        <v>25</v>
      </c>
      <c r="H167" s="9"/>
      <c r="I167" s="9">
        <v>1</v>
      </c>
      <c r="J167" s="9">
        <v>3</v>
      </c>
      <c r="K167" s="9" t="s">
        <v>12087</v>
      </c>
      <c r="L167" s="9" t="s">
        <v>12079</v>
      </c>
      <c r="M167" s="9"/>
      <c r="N167" s="10"/>
      <c r="O167" s="9"/>
      <c r="P167" s="9">
        <v>431</v>
      </c>
      <c r="Q167" s="9"/>
      <c r="R167" s="9" t="s">
        <v>12795</v>
      </c>
      <c r="S167" s="9" t="s">
        <v>12795</v>
      </c>
      <c r="T167" s="9"/>
      <c r="U167" s="9"/>
      <c r="V167" s="9"/>
      <c r="W167" s="9"/>
      <c r="X167" s="9"/>
      <c r="Y167" s="9"/>
      <c r="Z167" s="9"/>
      <c r="AA167" s="9"/>
      <c r="AB167" s="9"/>
      <c r="AC167" s="9"/>
      <c r="AD167" s="9" t="s">
        <v>20</v>
      </c>
    </row>
    <row r="168" spans="1:30" ht="43.5">
      <c r="A168" s="3" t="s">
        <v>2957</v>
      </c>
      <c r="B168" s="3" t="s">
        <v>8240</v>
      </c>
      <c r="C168" s="3" t="s">
        <v>8239</v>
      </c>
      <c r="G168" s="9" t="s">
        <v>25</v>
      </c>
      <c r="H168" s="9"/>
      <c r="I168" s="9">
        <v>1</v>
      </c>
      <c r="J168" s="9">
        <v>2</v>
      </c>
      <c r="K168" s="9" t="s">
        <v>12078</v>
      </c>
      <c r="L168" s="9" t="s">
        <v>12119</v>
      </c>
      <c r="M168" s="9"/>
      <c r="N168" s="10"/>
      <c r="O168" s="9" t="s">
        <v>12074</v>
      </c>
      <c r="P168" s="9">
        <v>11843</v>
      </c>
      <c r="Q168" s="9"/>
      <c r="R168" s="9" t="s">
        <v>12795</v>
      </c>
      <c r="S168" s="9" t="s">
        <v>12795</v>
      </c>
      <c r="T168" s="9"/>
      <c r="U168" s="9"/>
      <c r="V168" s="9"/>
      <c r="W168" s="9"/>
      <c r="X168" s="9"/>
      <c r="Y168" s="9"/>
      <c r="Z168" s="9"/>
      <c r="AA168" s="9"/>
      <c r="AB168" s="9"/>
      <c r="AC168" s="9"/>
      <c r="AD168" s="9" t="s">
        <v>20</v>
      </c>
    </row>
    <row r="169" spans="1:30" ht="43.5">
      <c r="A169" s="3" t="s">
        <v>2970</v>
      </c>
      <c r="B169" s="3" t="s">
        <v>8258</v>
      </c>
      <c r="C169" s="3" t="s">
        <v>8257</v>
      </c>
      <c r="G169" s="9" t="s">
        <v>25</v>
      </c>
      <c r="H169" s="9"/>
      <c r="I169" s="9">
        <v>1</v>
      </c>
      <c r="J169" s="9">
        <v>2</v>
      </c>
      <c r="K169" s="9" t="s">
        <v>12123</v>
      </c>
      <c r="L169" s="9" t="s">
        <v>12119</v>
      </c>
      <c r="M169" s="9"/>
      <c r="N169" s="10"/>
      <c r="O169" s="9"/>
      <c r="P169" s="9">
        <v>526</v>
      </c>
      <c r="Q169" s="9"/>
      <c r="R169" s="9" t="s">
        <v>12795</v>
      </c>
      <c r="S169" s="9" t="s">
        <v>12795</v>
      </c>
      <c r="T169" s="9"/>
      <c r="U169" s="9"/>
      <c r="V169" s="9"/>
      <c r="W169" s="9"/>
      <c r="X169" s="9"/>
      <c r="Y169" s="9"/>
      <c r="Z169" s="9"/>
      <c r="AA169" s="9"/>
      <c r="AB169" s="9"/>
      <c r="AC169" s="9"/>
      <c r="AD169" s="9" t="s">
        <v>20</v>
      </c>
    </row>
    <row r="170" spans="1:30" ht="29">
      <c r="A170" s="3" t="s">
        <v>2978</v>
      </c>
      <c r="B170" s="3" t="s">
        <v>8272</v>
      </c>
      <c r="C170" s="3" t="s">
        <v>8271</v>
      </c>
      <c r="F170" t="s">
        <v>19</v>
      </c>
      <c r="G170" s="9" t="s">
        <v>25</v>
      </c>
      <c r="H170" s="9"/>
      <c r="I170" s="9">
        <v>1</v>
      </c>
      <c r="J170" s="9">
        <v>3</v>
      </c>
      <c r="K170" s="9" t="s">
        <v>12123</v>
      </c>
      <c r="L170" s="9" t="s">
        <v>12079</v>
      </c>
      <c r="M170" s="9"/>
      <c r="N170" s="10"/>
      <c r="O170" s="9"/>
      <c r="P170" s="9">
        <v>887</v>
      </c>
      <c r="Q170" s="9"/>
      <c r="R170" s="9" t="s">
        <v>12795</v>
      </c>
      <c r="S170" s="9" t="s">
        <v>12795</v>
      </c>
      <c r="T170" s="9"/>
      <c r="U170" s="9"/>
      <c r="V170" s="9"/>
      <c r="W170" s="9"/>
      <c r="X170" s="9"/>
      <c r="Y170" s="9"/>
      <c r="Z170" s="9"/>
      <c r="AA170" s="9"/>
      <c r="AB170" s="9"/>
      <c r="AC170" s="9"/>
      <c r="AD170" s="9" t="s">
        <v>20</v>
      </c>
    </row>
    <row r="171" spans="1:30" ht="58">
      <c r="A171" s="3" t="s">
        <v>2985</v>
      </c>
      <c r="B171" s="3" t="s">
        <v>8285</v>
      </c>
      <c r="C171" s="3" t="s">
        <v>8284</v>
      </c>
      <c r="F171" t="s">
        <v>19</v>
      </c>
      <c r="G171" s="9" t="s">
        <v>25</v>
      </c>
      <c r="H171" s="9"/>
      <c r="I171" s="9">
        <v>1</v>
      </c>
      <c r="J171" s="9">
        <v>4</v>
      </c>
      <c r="K171" s="9" t="s">
        <v>12078</v>
      </c>
      <c r="L171" s="9" t="s">
        <v>12073</v>
      </c>
      <c r="M171" s="9" t="s">
        <v>12149</v>
      </c>
      <c r="N171" s="10" t="s">
        <v>12143</v>
      </c>
      <c r="O171" s="9"/>
      <c r="P171" s="9">
        <v>11843</v>
      </c>
      <c r="Q171" s="9"/>
      <c r="R171" s="9" t="s">
        <v>12795</v>
      </c>
      <c r="S171" s="9" t="s">
        <v>12795</v>
      </c>
      <c r="T171" s="9"/>
      <c r="U171" s="9"/>
      <c r="V171" s="9"/>
      <c r="W171" s="9"/>
      <c r="X171" s="9"/>
      <c r="Y171" s="9"/>
      <c r="Z171" s="9"/>
      <c r="AA171" s="9"/>
      <c r="AB171" s="9"/>
      <c r="AC171" s="9"/>
      <c r="AD171" s="9" t="s">
        <v>20</v>
      </c>
    </row>
    <row r="172" spans="1:30" ht="58">
      <c r="A172" s="3" t="s">
        <v>2997</v>
      </c>
      <c r="B172" s="3" t="s">
        <v>8310</v>
      </c>
      <c r="C172" s="3" t="s">
        <v>8313</v>
      </c>
      <c r="G172" s="9" t="s">
        <v>24</v>
      </c>
      <c r="H172" s="9"/>
      <c r="I172" s="9">
        <v>1</v>
      </c>
      <c r="J172" s="9">
        <v>2</v>
      </c>
      <c r="K172" s="9" t="s">
        <v>12078</v>
      </c>
      <c r="L172" s="9" t="s">
        <v>12119</v>
      </c>
      <c r="M172" s="9"/>
      <c r="N172" s="10"/>
      <c r="O172" s="9"/>
      <c r="P172" s="9">
        <v>11843</v>
      </c>
      <c r="Q172" s="9"/>
      <c r="R172" s="9" t="s">
        <v>12795</v>
      </c>
      <c r="S172" s="9" t="s">
        <v>12795</v>
      </c>
      <c r="T172" s="9"/>
      <c r="U172" s="9"/>
      <c r="V172" s="9"/>
      <c r="W172" s="9"/>
      <c r="X172" s="9"/>
      <c r="Y172" s="9"/>
      <c r="Z172" s="9"/>
      <c r="AA172" s="9"/>
      <c r="AB172" s="9"/>
      <c r="AC172" s="9"/>
      <c r="AD172" s="9" t="s">
        <v>20</v>
      </c>
    </row>
    <row r="173" spans="1:30" ht="43.5">
      <c r="A173" s="3" t="s">
        <v>2998</v>
      </c>
      <c r="B173" s="3" t="s">
        <v>8314</v>
      </c>
      <c r="C173" s="3" t="s">
        <v>8315</v>
      </c>
      <c r="G173" s="9" t="s">
        <v>25</v>
      </c>
      <c r="H173" s="9"/>
      <c r="I173" s="9">
        <v>1</v>
      </c>
      <c r="J173" s="9">
        <v>2</v>
      </c>
      <c r="K173" s="9" t="s">
        <v>12096</v>
      </c>
      <c r="L173" s="9" t="s">
        <v>12119</v>
      </c>
      <c r="M173" s="9"/>
      <c r="N173" s="10"/>
      <c r="O173" s="9" t="s">
        <v>12074</v>
      </c>
      <c r="P173" s="9">
        <v>1294</v>
      </c>
      <c r="Q173" s="9"/>
      <c r="R173" s="9" t="s">
        <v>12795</v>
      </c>
      <c r="S173" s="9" t="s">
        <v>12795</v>
      </c>
      <c r="T173" s="9"/>
      <c r="U173" s="9"/>
      <c r="V173" s="9"/>
      <c r="W173" s="9"/>
      <c r="X173" s="9"/>
      <c r="Y173" s="9"/>
      <c r="Z173" s="9"/>
      <c r="AA173" s="9"/>
      <c r="AB173" s="9"/>
      <c r="AC173" s="9"/>
      <c r="AD173" s="9" t="s">
        <v>20</v>
      </c>
    </row>
    <row r="174" spans="1:30" ht="72.5">
      <c r="A174" s="3" t="s">
        <v>3011</v>
      </c>
      <c r="B174" s="3" t="s">
        <v>8343</v>
      </c>
      <c r="C174" s="3" t="s">
        <v>8342</v>
      </c>
      <c r="F174" t="s">
        <v>19</v>
      </c>
      <c r="G174" s="9" t="s">
        <v>25</v>
      </c>
      <c r="H174" s="9"/>
      <c r="I174" s="9">
        <v>1</v>
      </c>
      <c r="J174" s="9">
        <v>2</v>
      </c>
      <c r="K174" s="9" t="s">
        <v>12087</v>
      </c>
      <c r="L174" s="9" t="s">
        <v>12119</v>
      </c>
      <c r="M174" s="9"/>
      <c r="N174" s="10"/>
      <c r="O174" s="9"/>
      <c r="P174" s="9">
        <v>207</v>
      </c>
      <c r="Q174" s="9"/>
      <c r="R174" s="9" t="s">
        <v>12795</v>
      </c>
      <c r="S174" s="9" t="s">
        <v>12795</v>
      </c>
      <c r="T174" s="9"/>
      <c r="U174" s="9"/>
      <c r="V174" s="9"/>
      <c r="W174" s="9"/>
      <c r="X174" s="9"/>
      <c r="Y174" s="9"/>
      <c r="Z174" s="9"/>
      <c r="AA174" s="9"/>
      <c r="AB174" s="9"/>
      <c r="AC174" s="9"/>
      <c r="AD174" s="9" t="s">
        <v>20</v>
      </c>
    </row>
    <row r="175" spans="1:30" ht="58">
      <c r="A175" s="3" t="s">
        <v>3017</v>
      </c>
      <c r="B175" s="3" t="s">
        <v>8354</v>
      </c>
      <c r="C175" s="3" t="s">
        <v>8351</v>
      </c>
      <c r="G175" s="9" t="s">
        <v>25</v>
      </c>
      <c r="H175" s="9"/>
      <c r="I175" s="9">
        <v>1</v>
      </c>
      <c r="J175" s="9">
        <v>3</v>
      </c>
      <c r="K175" s="9" t="s">
        <v>12078</v>
      </c>
      <c r="L175" s="9" t="s">
        <v>12079</v>
      </c>
      <c r="M175" s="9"/>
      <c r="N175" s="10"/>
      <c r="O175" s="9"/>
      <c r="P175" s="9">
        <v>11843</v>
      </c>
      <c r="Q175" s="9"/>
      <c r="R175" s="9" t="s">
        <v>12795</v>
      </c>
      <c r="S175" s="9" t="s">
        <v>12795</v>
      </c>
      <c r="T175" s="9"/>
      <c r="U175" s="9"/>
      <c r="V175" s="9"/>
      <c r="W175" s="9"/>
      <c r="X175" s="9"/>
      <c r="Y175" s="9"/>
      <c r="Z175" s="9"/>
      <c r="AA175" s="9"/>
      <c r="AB175" s="9"/>
      <c r="AC175" s="9"/>
      <c r="AD175" s="9" t="s">
        <v>13141</v>
      </c>
    </row>
    <row r="176" spans="1:30" ht="72.5">
      <c r="A176" s="3" t="s">
        <v>3017</v>
      </c>
      <c r="B176" s="3" t="s">
        <v>8356</v>
      </c>
      <c r="C176" s="3" t="s">
        <v>8355</v>
      </c>
      <c r="G176" s="9" t="s">
        <v>25</v>
      </c>
      <c r="H176" s="9"/>
      <c r="I176" s="9">
        <v>1</v>
      </c>
      <c r="J176" s="9">
        <v>3</v>
      </c>
      <c r="K176" s="9" t="s">
        <v>12078</v>
      </c>
      <c r="L176" s="9" t="s">
        <v>12079</v>
      </c>
      <c r="M176" s="9"/>
      <c r="N176" s="10"/>
      <c r="O176" s="9"/>
      <c r="P176" s="9">
        <v>11843</v>
      </c>
      <c r="Q176" s="9"/>
      <c r="R176" s="9" t="s">
        <v>12795</v>
      </c>
      <c r="S176" s="9" t="s">
        <v>12795</v>
      </c>
      <c r="T176" s="9"/>
      <c r="U176" s="9"/>
      <c r="V176" s="9"/>
      <c r="W176" s="9"/>
      <c r="X176" s="9"/>
      <c r="Y176" s="9"/>
      <c r="Z176" s="9"/>
      <c r="AA176" s="9"/>
      <c r="AB176" s="9"/>
      <c r="AC176" s="9"/>
      <c r="AD176" s="9" t="s">
        <v>20</v>
      </c>
    </row>
    <row r="177" spans="1:30" ht="72.5">
      <c r="A177" s="3" t="s">
        <v>3017</v>
      </c>
      <c r="B177" s="3" t="s">
        <v>8357</v>
      </c>
      <c r="C177" s="3" t="s">
        <v>8355</v>
      </c>
      <c r="G177" s="9" t="s">
        <v>25</v>
      </c>
      <c r="H177" s="9"/>
      <c r="I177" s="9">
        <v>1</v>
      </c>
      <c r="J177" s="9">
        <v>1</v>
      </c>
      <c r="K177" s="9" t="s">
        <v>12078</v>
      </c>
      <c r="L177" s="9" t="s">
        <v>12119</v>
      </c>
      <c r="M177" s="9"/>
      <c r="N177" s="10"/>
      <c r="O177" s="9"/>
      <c r="P177" s="9">
        <v>11843</v>
      </c>
      <c r="Q177" s="9"/>
      <c r="R177" s="9" t="s">
        <v>12795</v>
      </c>
      <c r="S177" s="9" t="s">
        <v>12795</v>
      </c>
      <c r="T177" s="9"/>
      <c r="U177" s="9"/>
      <c r="V177" s="9"/>
      <c r="W177" s="9"/>
      <c r="X177" s="9"/>
      <c r="Y177" s="9"/>
      <c r="Z177" s="9"/>
      <c r="AA177" s="9"/>
      <c r="AB177" s="9"/>
      <c r="AC177" s="9"/>
      <c r="AD177" s="9" t="s">
        <v>20</v>
      </c>
    </row>
    <row r="178" spans="1:30" ht="29">
      <c r="A178" s="3" t="s">
        <v>3022</v>
      </c>
      <c r="B178" s="3" t="s">
        <v>8364</v>
      </c>
      <c r="C178" s="3" t="s">
        <v>8363</v>
      </c>
      <c r="G178" s="9" t="s">
        <v>25</v>
      </c>
      <c r="H178" s="9"/>
      <c r="I178" s="9">
        <v>1</v>
      </c>
      <c r="J178" s="9">
        <v>1</v>
      </c>
      <c r="K178" s="9" t="s">
        <v>12078</v>
      </c>
      <c r="L178" s="9" t="s">
        <v>12119</v>
      </c>
      <c r="M178" s="9"/>
      <c r="N178" s="10"/>
      <c r="O178" s="9"/>
      <c r="P178" s="9">
        <v>11843</v>
      </c>
      <c r="Q178" s="9"/>
      <c r="R178" s="9" t="s">
        <v>12795</v>
      </c>
      <c r="S178" s="9" t="s">
        <v>12795</v>
      </c>
      <c r="T178" s="9"/>
      <c r="U178" s="9"/>
      <c r="V178" s="9"/>
      <c r="W178" s="9"/>
      <c r="X178" s="9"/>
      <c r="Y178" s="9"/>
      <c r="Z178" s="9"/>
      <c r="AA178" s="9"/>
      <c r="AB178" s="9"/>
      <c r="AC178" s="9"/>
      <c r="AD178" s="9" t="s">
        <v>20</v>
      </c>
    </row>
    <row r="179" spans="1:30" ht="43.5">
      <c r="A179" s="3" t="s">
        <v>3028</v>
      </c>
      <c r="B179" s="3" t="s">
        <v>8380</v>
      </c>
      <c r="C179" s="3" t="s">
        <v>8377</v>
      </c>
      <c r="G179" s="9" t="s">
        <v>25</v>
      </c>
      <c r="H179" s="9"/>
      <c r="I179" s="9">
        <v>1</v>
      </c>
      <c r="J179" s="9">
        <v>2</v>
      </c>
      <c r="K179" s="9" t="s">
        <v>12087</v>
      </c>
      <c r="L179" s="9" t="s">
        <v>12119</v>
      </c>
      <c r="M179" s="9"/>
      <c r="N179" s="10"/>
      <c r="O179" s="9"/>
      <c r="P179" s="9">
        <v>1966</v>
      </c>
      <c r="Q179" s="9"/>
      <c r="R179" s="9" t="s">
        <v>12795</v>
      </c>
      <c r="S179" s="9" t="s">
        <v>12795</v>
      </c>
      <c r="T179" s="9"/>
      <c r="U179" s="9"/>
      <c r="V179" s="9"/>
      <c r="W179" s="9"/>
      <c r="X179" s="9"/>
      <c r="Y179" s="9"/>
      <c r="Z179" s="9"/>
      <c r="AA179" s="9"/>
      <c r="AB179" s="9"/>
      <c r="AC179" s="9"/>
      <c r="AD179" s="9" t="s">
        <v>20</v>
      </c>
    </row>
    <row r="180" spans="1:30" ht="43.5">
      <c r="A180" s="3" t="s">
        <v>3029</v>
      </c>
      <c r="B180" s="3" t="s">
        <v>8381</v>
      </c>
      <c r="C180" s="3" t="s">
        <v>12438</v>
      </c>
      <c r="G180" s="9" t="s">
        <v>25</v>
      </c>
      <c r="H180" s="9"/>
      <c r="I180" s="9">
        <v>1</v>
      </c>
      <c r="J180" s="9">
        <v>5</v>
      </c>
      <c r="K180" s="9" t="s">
        <v>12094</v>
      </c>
      <c r="L180" s="9" t="s">
        <v>12079</v>
      </c>
      <c r="M180" s="9"/>
      <c r="N180" s="10"/>
      <c r="O180" s="9"/>
      <c r="P180" s="9">
        <v>4240</v>
      </c>
      <c r="Q180" s="9"/>
      <c r="R180" s="9" t="s">
        <v>12795</v>
      </c>
      <c r="S180" s="9" t="s">
        <v>12795</v>
      </c>
      <c r="T180" s="9"/>
      <c r="U180" s="9"/>
      <c r="V180" s="9"/>
      <c r="W180" s="9"/>
      <c r="X180" s="9"/>
      <c r="Y180" s="9"/>
      <c r="Z180" s="9"/>
      <c r="AA180" s="9"/>
      <c r="AB180" s="9"/>
      <c r="AC180" s="9"/>
      <c r="AD180" s="9" t="s">
        <v>20</v>
      </c>
    </row>
    <row r="181" spans="1:30" ht="29">
      <c r="A181" s="3" t="s">
        <v>3033</v>
      </c>
      <c r="B181" s="3" t="s">
        <v>8382</v>
      </c>
      <c r="C181" s="11" t="s">
        <v>8383</v>
      </c>
      <c r="G181" s="9" t="s">
        <v>25</v>
      </c>
      <c r="H181" s="9"/>
      <c r="I181" s="9">
        <v>1</v>
      </c>
      <c r="J181" s="9">
        <v>2</v>
      </c>
      <c r="K181" s="9" t="s">
        <v>12078</v>
      </c>
      <c r="L181" s="9" t="s">
        <v>12119</v>
      </c>
      <c r="M181" s="9"/>
      <c r="N181" s="10"/>
      <c r="O181" s="9"/>
      <c r="P181" s="9">
        <v>11843</v>
      </c>
      <c r="Q181" s="9"/>
      <c r="R181" s="9" t="s">
        <v>12795</v>
      </c>
      <c r="S181" s="9" t="s">
        <v>12795</v>
      </c>
      <c r="T181" s="9"/>
      <c r="U181" s="9"/>
      <c r="V181" s="9"/>
      <c r="W181" s="9"/>
      <c r="X181" s="9"/>
      <c r="Y181" s="9"/>
      <c r="Z181" s="9"/>
      <c r="AA181" s="9"/>
      <c r="AB181" s="9"/>
      <c r="AC181" s="9"/>
      <c r="AD181" s="9" t="s">
        <v>20</v>
      </c>
    </row>
    <row r="182" spans="1:30" ht="29">
      <c r="A182" s="3" t="s">
        <v>3036</v>
      </c>
      <c r="B182" s="3" t="s">
        <v>8388</v>
      </c>
      <c r="C182" s="3" t="s">
        <v>8389</v>
      </c>
      <c r="F182" t="s">
        <v>19</v>
      </c>
      <c r="G182" s="9" t="s">
        <v>24</v>
      </c>
      <c r="H182" s="9"/>
      <c r="I182" s="9">
        <v>1</v>
      </c>
      <c r="J182" s="9">
        <v>2</v>
      </c>
      <c r="K182" s="9" t="s">
        <v>12078</v>
      </c>
      <c r="L182" s="9" t="s">
        <v>12119</v>
      </c>
      <c r="M182" s="9"/>
      <c r="N182" s="10"/>
      <c r="O182" s="9"/>
      <c r="P182" s="9">
        <v>11843</v>
      </c>
      <c r="Q182" s="9"/>
      <c r="R182" s="9" t="s">
        <v>12795</v>
      </c>
      <c r="S182" s="9" t="s">
        <v>12795</v>
      </c>
      <c r="T182" s="9"/>
      <c r="U182" s="9"/>
      <c r="V182" s="9"/>
      <c r="W182" s="9"/>
      <c r="X182" s="9"/>
      <c r="Y182" s="9"/>
      <c r="Z182" s="9"/>
      <c r="AA182" s="9"/>
      <c r="AB182" s="9"/>
      <c r="AC182" s="9"/>
      <c r="AD182" s="9" t="s">
        <v>20</v>
      </c>
    </row>
    <row r="183" spans="1:30" ht="29">
      <c r="A183" s="3" t="s">
        <v>3045</v>
      </c>
      <c r="B183" s="3" t="s">
        <v>8404</v>
      </c>
      <c r="C183" s="3" t="s">
        <v>8403</v>
      </c>
      <c r="G183" s="9" t="s">
        <v>25</v>
      </c>
      <c r="H183" s="9"/>
      <c r="I183" s="9">
        <v>1</v>
      </c>
      <c r="J183" s="9">
        <v>3</v>
      </c>
      <c r="K183" s="9" t="s">
        <v>12123</v>
      </c>
      <c r="L183" s="9" t="s">
        <v>12079</v>
      </c>
      <c r="M183" s="9"/>
      <c r="N183" s="10"/>
      <c r="O183" s="9"/>
      <c r="P183" s="9">
        <v>92</v>
      </c>
      <c r="Q183" s="9"/>
      <c r="R183" s="9" t="s">
        <v>12795</v>
      </c>
      <c r="S183" s="9" t="s">
        <v>12795</v>
      </c>
      <c r="T183" s="9"/>
      <c r="U183" s="9"/>
      <c r="V183" s="9"/>
      <c r="W183" s="9"/>
      <c r="X183" s="9"/>
      <c r="Y183" s="9"/>
      <c r="Z183" s="9"/>
      <c r="AA183" s="9"/>
      <c r="AB183" s="9"/>
      <c r="AC183" s="9"/>
      <c r="AD183" s="9" t="s">
        <v>20</v>
      </c>
    </row>
    <row r="184" spans="1:30" ht="43.5">
      <c r="A184" s="3" t="s">
        <v>3046</v>
      </c>
      <c r="B184" s="3" t="s">
        <v>5309</v>
      </c>
      <c r="C184" s="3" t="s">
        <v>5310</v>
      </c>
      <c r="G184" s="9" t="s">
        <v>25</v>
      </c>
      <c r="H184" s="9"/>
      <c r="I184" s="9">
        <v>1</v>
      </c>
      <c r="J184" s="9">
        <v>2</v>
      </c>
      <c r="K184" s="9" t="s">
        <v>12087</v>
      </c>
      <c r="L184" s="9" t="s">
        <v>12119</v>
      </c>
      <c r="M184" s="9"/>
      <c r="N184" s="10"/>
      <c r="O184" s="9"/>
      <c r="P184" s="9">
        <v>1966</v>
      </c>
      <c r="Q184" s="9"/>
      <c r="R184" s="9" t="s">
        <v>12795</v>
      </c>
      <c r="S184" s="9" t="s">
        <v>12795</v>
      </c>
      <c r="T184" s="9"/>
      <c r="U184" s="9"/>
      <c r="V184" s="9"/>
      <c r="W184" s="9"/>
      <c r="X184" s="9"/>
      <c r="Y184" s="9"/>
      <c r="Z184" s="9"/>
      <c r="AA184" s="9"/>
      <c r="AB184" s="9"/>
      <c r="AC184" s="9"/>
      <c r="AD184" s="9" t="s">
        <v>20</v>
      </c>
    </row>
    <row r="185" spans="1:30" ht="43.5">
      <c r="A185" s="3" t="s">
        <v>3046</v>
      </c>
      <c r="B185" s="11" t="s">
        <v>8409</v>
      </c>
      <c r="C185" s="3" t="s">
        <v>8408</v>
      </c>
      <c r="G185" s="9" t="s">
        <v>25</v>
      </c>
      <c r="H185" s="9"/>
      <c r="I185" s="9">
        <v>1</v>
      </c>
      <c r="J185" s="9">
        <v>2</v>
      </c>
      <c r="K185" s="9" t="s">
        <v>12078</v>
      </c>
      <c r="L185" s="9" t="s">
        <v>12119</v>
      </c>
      <c r="M185" s="9"/>
      <c r="N185" s="10"/>
      <c r="O185" s="9"/>
      <c r="P185" s="9">
        <v>11843</v>
      </c>
      <c r="Q185" s="9"/>
      <c r="R185" s="9" t="s">
        <v>12795</v>
      </c>
      <c r="S185" s="9" t="s">
        <v>12795</v>
      </c>
      <c r="T185" s="9"/>
      <c r="U185" s="9"/>
      <c r="V185" s="9"/>
      <c r="W185" s="9"/>
      <c r="X185" s="9"/>
      <c r="Y185" s="9"/>
      <c r="Z185" s="9"/>
      <c r="AA185" s="9"/>
      <c r="AB185" s="9"/>
      <c r="AC185" s="9"/>
      <c r="AD185" s="9" t="s">
        <v>20</v>
      </c>
    </row>
    <row r="186" spans="1:30" ht="43.5">
      <c r="A186" s="3" t="s">
        <v>3073</v>
      </c>
      <c r="B186" s="3" t="s">
        <v>8438</v>
      </c>
      <c r="C186" s="3" t="s">
        <v>8437</v>
      </c>
      <c r="G186" s="9" t="s">
        <v>25</v>
      </c>
      <c r="H186" s="9"/>
      <c r="I186" s="9">
        <v>1</v>
      </c>
      <c r="J186" s="9">
        <v>6</v>
      </c>
      <c r="K186" s="9" t="s">
        <v>12094</v>
      </c>
      <c r="L186" s="9" t="s">
        <v>12079</v>
      </c>
      <c r="M186" s="9"/>
      <c r="N186" s="10"/>
      <c r="O186" s="9"/>
      <c r="P186" s="9">
        <v>4240</v>
      </c>
      <c r="Q186" s="9"/>
      <c r="R186" s="9" t="s">
        <v>12795</v>
      </c>
      <c r="S186" s="9" t="s">
        <v>12795</v>
      </c>
      <c r="T186" s="9"/>
      <c r="U186" s="9"/>
      <c r="V186" s="9"/>
      <c r="W186" s="9"/>
      <c r="X186" s="9"/>
      <c r="Y186" s="9"/>
      <c r="Z186" s="9"/>
      <c r="AA186" s="9"/>
      <c r="AB186" s="9"/>
      <c r="AC186" s="9"/>
      <c r="AD186" s="9" t="s">
        <v>20</v>
      </c>
    </row>
    <row r="187" spans="1:30" ht="43.5">
      <c r="A187" s="3" t="s">
        <v>3097</v>
      </c>
      <c r="B187" s="3" t="s">
        <v>8462</v>
      </c>
      <c r="C187" s="3" t="s">
        <v>8463</v>
      </c>
      <c r="G187" s="9" t="s">
        <v>25</v>
      </c>
      <c r="H187" s="9"/>
      <c r="I187" s="9">
        <v>1</v>
      </c>
      <c r="J187" s="9">
        <v>3</v>
      </c>
      <c r="K187" s="9" t="s">
        <v>12078</v>
      </c>
      <c r="L187" s="9" t="s">
        <v>12073</v>
      </c>
      <c r="M187" s="9" t="s">
        <v>12149</v>
      </c>
      <c r="N187" s="10" t="s">
        <v>12143</v>
      </c>
      <c r="O187" s="9"/>
      <c r="P187" s="9">
        <v>11843</v>
      </c>
      <c r="Q187" s="9"/>
      <c r="R187" s="9" t="s">
        <v>12795</v>
      </c>
      <c r="S187" s="9" t="s">
        <v>12795</v>
      </c>
      <c r="T187" s="9"/>
      <c r="U187" s="9"/>
      <c r="V187" s="9"/>
      <c r="W187" s="9"/>
      <c r="X187" s="9"/>
      <c r="Y187" s="9"/>
      <c r="Z187" s="9"/>
      <c r="AA187" s="9"/>
      <c r="AB187" s="9"/>
      <c r="AC187" s="9"/>
      <c r="AD187" s="9" t="s">
        <v>20</v>
      </c>
    </row>
    <row r="188" spans="1:30" ht="29">
      <c r="A188" s="3" t="s">
        <v>3097</v>
      </c>
      <c r="B188" s="3" t="s">
        <v>8464</v>
      </c>
      <c r="C188" s="3" t="s">
        <v>8465</v>
      </c>
      <c r="G188" s="9" t="s">
        <v>25</v>
      </c>
      <c r="H188" s="9"/>
      <c r="I188" s="9">
        <v>1</v>
      </c>
      <c r="J188" s="9">
        <v>5</v>
      </c>
      <c r="K188" s="9" t="s">
        <v>12094</v>
      </c>
      <c r="L188" s="9" t="s">
        <v>12073</v>
      </c>
      <c r="M188" s="9" t="s">
        <v>12149</v>
      </c>
      <c r="N188" s="10" t="s">
        <v>12160</v>
      </c>
      <c r="O188" s="9"/>
      <c r="P188" s="9">
        <v>4240</v>
      </c>
      <c r="Q188" s="9"/>
      <c r="R188" s="9" t="s">
        <v>12795</v>
      </c>
      <c r="S188" s="9" t="s">
        <v>12795</v>
      </c>
      <c r="T188" s="9"/>
      <c r="U188" s="9"/>
      <c r="V188" s="9"/>
      <c r="W188" s="9"/>
      <c r="X188" s="9"/>
      <c r="Y188" s="9"/>
      <c r="Z188" s="9"/>
      <c r="AA188" s="9"/>
      <c r="AB188" s="9"/>
      <c r="AC188" s="9"/>
      <c r="AD188" s="9" t="s">
        <v>20</v>
      </c>
    </row>
    <row r="189" spans="1:30" ht="29">
      <c r="A189" s="3" t="s">
        <v>3100</v>
      </c>
      <c r="B189" s="3" t="s">
        <v>8476</v>
      </c>
      <c r="C189" s="3" t="s">
        <v>8477</v>
      </c>
      <c r="G189" s="9" t="s">
        <v>24</v>
      </c>
      <c r="H189" s="9"/>
      <c r="I189" s="9">
        <v>1</v>
      </c>
      <c r="J189" s="9">
        <v>3</v>
      </c>
      <c r="K189" s="9" t="s">
        <v>12123</v>
      </c>
      <c r="L189" s="9" t="s">
        <v>12073</v>
      </c>
      <c r="M189" s="9" t="s">
        <v>12142</v>
      </c>
      <c r="N189" s="10" t="s">
        <v>12143</v>
      </c>
      <c r="O189" s="9" t="s">
        <v>12074</v>
      </c>
      <c r="P189" s="9">
        <v>887</v>
      </c>
      <c r="Q189" s="9"/>
      <c r="R189" s="9" t="s">
        <v>12795</v>
      </c>
      <c r="S189" s="9" t="s">
        <v>12795</v>
      </c>
      <c r="T189" s="9"/>
      <c r="U189" s="9"/>
      <c r="V189" s="9"/>
      <c r="W189" s="9"/>
      <c r="X189" s="9"/>
      <c r="Y189" s="9"/>
      <c r="Z189" s="9"/>
      <c r="AA189" s="9"/>
      <c r="AB189" s="9"/>
      <c r="AC189" s="9"/>
      <c r="AD189" s="9" t="s">
        <v>20</v>
      </c>
    </row>
    <row r="190" spans="1:30" ht="29">
      <c r="A190" s="3" t="s">
        <v>3117</v>
      </c>
      <c r="B190" s="3" t="s">
        <v>8527</v>
      </c>
      <c r="C190" s="3" t="s">
        <v>8526</v>
      </c>
      <c r="G190" s="9" t="s">
        <v>24</v>
      </c>
      <c r="H190" s="9"/>
      <c r="I190" s="9">
        <v>1</v>
      </c>
      <c r="J190" s="9">
        <v>2</v>
      </c>
      <c r="K190" s="9" t="s">
        <v>12087</v>
      </c>
      <c r="L190" s="9" t="s">
        <v>12119</v>
      </c>
      <c r="M190" s="9"/>
      <c r="N190" s="10"/>
      <c r="O190" s="9"/>
      <c r="P190" s="9">
        <v>1966</v>
      </c>
      <c r="Q190" s="9"/>
      <c r="R190" s="9" t="s">
        <v>12795</v>
      </c>
      <c r="S190" s="9" t="s">
        <v>12795</v>
      </c>
      <c r="T190" s="9"/>
      <c r="U190" s="9"/>
      <c r="V190" s="9"/>
      <c r="W190" s="9"/>
      <c r="X190" s="9"/>
      <c r="Y190" s="9"/>
      <c r="Z190" s="9"/>
      <c r="AA190" s="9"/>
      <c r="AB190" s="9"/>
      <c r="AC190" s="9"/>
      <c r="AD190" s="9" t="s">
        <v>20</v>
      </c>
    </row>
    <row r="191" spans="1:30" ht="58">
      <c r="A191" s="3" t="s">
        <v>3183</v>
      </c>
      <c r="B191" s="3" t="s">
        <v>8639</v>
      </c>
      <c r="C191" s="3" t="s">
        <v>8636</v>
      </c>
      <c r="G191" s="9" t="s">
        <v>25</v>
      </c>
      <c r="H191" s="9"/>
      <c r="I191" s="9">
        <v>1</v>
      </c>
      <c r="J191" s="9">
        <v>1</v>
      </c>
      <c r="K191" s="9" t="s">
        <v>12078</v>
      </c>
      <c r="L191" s="9" t="s">
        <v>12119</v>
      </c>
      <c r="M191" s="9"/>
      <c r="N191" s="10"/>
      <c r="O191" s="9"/>
      <c r="P191" s="9">
        <v>11843</v>
      </c>
      <c r="Q191" s="9"/>
      <c r="R191" s="9" t="s">
        <v>12795</v>
      </c>
      <c r="S191" s="9" t="s">
        <v>12795</v>
      </c>
      <c r="T191" s="9"/>
      <c r="U191" s="9"/>
      <c r="V191" s="9"/>
      <c r="W191" s="9"/>
      <c r="X191" s="9"/>
      <c r="Y191" s="9"/>
      <c r="Z191" s="9"/>
      <c r="AA191" s="9"/>
      <c r="AB191" s="9"/>
      <c r="AC191" s="9"/>
      <c r="AD191" s="9" t="s">
        <v>13141</v>
      </c>
    </row>
    <row r="192" spans="1:30" ht="43.5">
      <c r="A192" s="3" t="s">
        <v>3195</v>
      </c>
      <c r="B192" s="3" t="s">
        <v>8657</v>
      </c>
      <c r="C192" s="3" t="s">
        <v>8656</v>
      </c>
      <c r="G192" s="9" t="s">
        <v>25</v>
      </c>
      <c r="H192" s="9"/>
      <c r="I192" s="9">
        <v>1</v>
      </c>
      <c r="J192" s="9">
        <v>5</v>
      </c>
      <c r="K192" s="9" t="s">
        <v>12094</v>
      </c>
      <c r="L192" s="9" t="s">
        <v>12079</v>
      </c>
      <c r="M192" s="9"/>
      <c r="N192" s="10"/>
      <c r="O192" s="9"/>
      <c r="P192" s="9">
        <v>4240</v>
      </c>
      <c r="Q192" s="9"/>
      <c r="R192" s="9" t="s">
        <v>12795</v>
      </c>
      <c r="S192" s="9" t="s">
        <v>12795</v>
      </c>
      <c r="T192" s="9"/>
      <c r="U192" s="9"/>
      <c r="V192" s="9"/>
      <c r="W192" s="9"/>
      <c r="X192" s="9"/>
      <c r="Y192" s="9"/>
      <c r="Z192" s="9"/>
      <c r="AA192" s="9"/>
      <c r="AB192" s="9"/>
      <c r="AC192" s="9"/>
      <c r="AD192" s="9" t="s">
        <v>20</v>
      </c>
    </row>
    <row r="193" spans="1:30" ht="29">
      <c r="A193" s="3" t="s">
        <v>3215</v>
      </c>
      <c r="B193" s="3" t="s">
        <v>8693</v>
      </c>
      <c r="C193" s="3" t="s">
        <v>8694</v>
      </c>
      <c r="G193" s="9" t="s">
        <v>25</v>
      </c>
      <c r="H193" s="9"/>
      <c r="I193" s="9">
        <v>1</v>
      </c>
      <c r="J193" s="9">
        <v>3</v>
      </c>
      <c r="K193" s="9" t="s">
        <v>12087</v>
      </c>
      <c r="L193" s="9" t="s">
        <v>12079</v>
      </c>
      <c r="M193" s="9"/>
      <c r="N193" s="10"/>
      <c r="O193" s="9"/>
      <c r="P193" s="9">
        <v>810</v>
      </c>
      <c r="Q193" s="9"/>
      <c r="R193" s="9" t="s">
        <v>12795</v>
      </c>
      <c r="S193" s="9" t="s">
        <v>12795</v>
      </c>
      <c r="T193" s="9"/>
      <c r="U193" s="9"/>
      <c r="V193" s="9"/>
      <c r="W193" s="9"/>
      <c r="X193" s="9"/>
      <c r="Y193" s="9"/>
      <c r="Z193" s="9"/>
      <c r="AA193" s="9"/>
      <c r="AB193" s="9"/>
      <c r="AC193" s="9"/>
      <c r="AD193" s="9" t="s">
        <v>20</v>
      </c>
    </row>
    <row r="194" spans="1:30" ht="43.5">
      <c r="A194" s="3" t="s">
        <v>3244</v>
      </c>
      <c r="B194" s="3" t="s">
        <v>8749</v>
      </c>
      <c r="C194" s="3" t="s">
        <v>8748</v>
      </c>
      <c r="G194" s="9" t="s">
        <v>25</v>
      </c>
      <c r="H194" s="9"/>
      <c r="I194" s="9">
        <v>1</v>
      </c>
      <c r="J194" s="9">
        <v>2</v>
      </c>
      <c r="K194" s="9" t="s">
        <v>12096</v>
      </c>
      <c r="L194" s="9" t="s">
        <v>12119</v>
      </c>
      <c r="M194" s="9"/>
      <c r="N194" s="10"/>
      <c r="O194" s="9"/>
      <c r="P194" s="9">
        <v>1294</v>
      </c>
      <c r="Q194" s="9"/>
      <c r="R194" s="9" t="s">
        <v>12795</v>
      </c>
      <c r="S194" s="9" t="s">
        <v>12795</v>
      </c>
      <c r="T194" s="9" t="s">
        <v>12117</v>
      </c>
      <c r="U194" s="9"/>
      <c r="V194" s="9"/>
      <c r="W194" s="9"/>
      <c r="X194" s="9"/>
      <c r="Y194" s="9"/>
      <c r="Z194" s="9"/>
      <c r="AA194" s="9"/>
      <c r="AB194" s="9"/>
      <c r="AC194" s="9"/>
      <c r="AD194" s="9" t="s">
        <v>20</v>
      </c>
    </row>
    <row r="195" spans="1:30" ht="87">
      <c r="A195" s="3" t="s">
        <v>3247</v>
      </c>
      <c r="B195" s="3" t="s">
        <v>8757</v>
      </c>
      <c r="C195" s="3" t="s">
        <v>8756</v>
      </c>
      <c r="G195" s="9" t="s">
        <v>25</v>
      </c>
      <c r="H195" s="9"/>
      <c r="I195" s="9">
        <v>1</v>
      </c>
      <c r="J195" s="9">
        <v>1</v>
      </c>
      <c r="K195" s="9" t="s">
        <v>12078</v>
      </c>
      <c r="L195" s="9" t="s">
        <v>12119</v>
      </c>
      <c r="M195" s="9"/>
      <c r="N195" s="10"/>
      <c r="O195" s="9"/>
      <c r="P195" s="9">
        <v>11843</v>
      </c>
      <c r="Q195" s="9"/>
      <c r="R195" s="9" t="s">
        <v>12795</v>
      </c>
      <c r="S195" s="9" t="s">
        <v>12795</v>
      </c>
      <c r="T195" s="9" t="s">
        <v>12117</v>
      </c>
      <c r="U195" s="9"/>
      <c r="V195" s="9"/>
      <c r="W195" s="9"/>
      <c r="X195" s="9"/>
      <c r="Y195" s="9"/>
      <c r="Z195" s="9"/>
      <c r="AA195" s="9"/>
      <c r="AB195" s="9"/>
      <c r="AC195" s="9"/>
      <c r="AD195" s="9" t="s">
        <v>20</v>
      </c>
    </row>
    <row r="196" spans="1:30" ht="43.5">
      <c r="A196" s="3" t="s">
        <v>3258</v>
      </c>
      <c r="B196" s="3" t="s">
        <v>8783</v>
      </c>
      <c r="C196" s="3" t="s">
        <v>8784</v>
      </c>
      <c r="G196" s="9" t="s">
        <v>25</v>
      </c>
      <c r="H196" s="9"/>
      <c r="I196" s="9">
        <v>1</v>
      </c>
      <c r="J196" s="9">
        <v>4</v>
      </c>
      <c r="K196" s="9" t="s">
        <v>12094</v>
      </c>
      <c r="L196" s="9" t="s">
        <v>12079</v>
      </c>
      <c r="M196" s="9"/>
      <c r="N196" s="10"/>
      <c r="O196" s="9"/>
      <c r="P196" s="9">
        <v>4240</v>
      </c>
      <c r="Q196" s="9"/>
      <c r="R196" s="9" t="s">
        <v>12795</v>
      </c>
      <c r="S196" s="9" t="s">
        <v>12795</v>
      </c>
      <c r="T196" s="9"/>
      <c r="U196" s="9"/>
      <c r="V196" s="9"/>
      <c r="W196" s="9"/>
      <c r="X196" s="9"/>
      <c r="Y196" s="9"/>
      <c r="Z196" s="9"/>
      <c r="AA196" s="9"/>
      <c r="AB196" s="9"/>
      <c r="AC196" s="9"/>
      <c r="AD196" s="9" t="s">
        <v>20</v>
      </c>
    </row>
    <row r="197" spans="1:30" ht="29">
      <c r="A197" s="3" t="s">
        <v>3272</v>
      </c>
      <c r="B197" s="3" t="s">
        <v>8815</v>
      </c>
      <c r="C197" s="3" t="s">
        <v>8816</v>
      </c>
      <c r="G197" s="9" t="s">
        <v>25</v>
      </c>
      <c r="H197" s="9"/>
      <c r="I197" s="9">
        <v>1</v>
      </c>
      <c r="J197" s="9">
        <v>1</v>
      </c>
      <c r="K197" s="9" t="s">
        <v>12078</v>
      </c>
      <c r="L197" s="9" t="s">
        <v>12119</v>
      </c>
      <c r="M197" s="9"/>
      <c r="N197" s="10"/>
      <c r="O197" s="9"/>
      <c r="P197" s="9">
        <v>11843</v>
      </c>
      <c r="Q197" s="9"/>
      <c r="R197" s="9" t="s">
        <v>12795</v>
      </c>
      <c r="S197" s="9" t="s">
        <v>12795</v>
      </c>
      <c r="T197" s="9"/>
      <c r="U197" s="9"/>
      <c r="V197" s="9"/>
      <c r="W197" s="9"/>
      <c r="X197" s="9"/>
      <c r="Y197" s="9"/>
      <c r="Z197" s="9"/>
      <c r="AA197" s="9"/>
      <c r="AB197" s="9"/>
      <c r="AC197" s="9"/>
      <c r="AD197" s="9" t="s">
        <v>20</v>
      </c>
    </row>
    <row r="198" spans="1:30" ht="29">
      <c r="A198" s="3" t="s">
        <v>3285</v>
      </c>
      <c r="B198" s="3" t="s">
        <v>8834</v>
      </c>
      <c r="C198" s="3" t="s">
        <v>8835</v>
      </c>
      <c r="G198" s="9" t="s">
        <v>25</v>
      </c>
      <c r="H198" s="9"/>
      <c r="I198" s="9">
        <v>1</v>
      </c>
      <c r="J198" s="9">
        <v>2</v>
      </c>
      <c r="K198" s="9" t="s">
        <v>12078</v>
      </c>
      <c r="L198" s="9" t="s">
        <v>12119</v>
      </c>
      <c r="M198" s="9"/>
      <c r="N198" s="10"/>
      <c r="O198" s="9"/>
      <c r="P198" s="9">
        <v>11843</v>
      </c>
      <c r="Q198" s="9"/>
      <c r="R198" s="9" t="s">
        <v>12795</v>
      </c>
      <c r="S198" s="9" t="s">
        <v>12795</v>
      </c>
      <c r="T198" s="9"/>
      <c r="U198" s="9"/>
      <c r="V198" s="9"/>
      <c r="W198" s="9"/>
      <c r="X198" s="9"/>
      <c r="Y198" s="9"/>
      <c r="Z198" s="9"/>
      <c r="AA198" s="9"/>
      <c r="AB198" s="9"/>
      <c r="AC198" s="9"/>
      <c r="AD198" s="9" t="s">
        <v>20</v>
      </c>
    </row>
    <row r="199" spans="1:30" ht="58">
      <c r="A199" s="3" t="s">
        <v>3285</v>
      </c>
      <c r="B199" s="3" t="s">
        <v>8839</v>
      </c>
      <c r="C199" s="3" t="s">
        <v>8836</v>
      </c>
      <c r="G199" s="9" t="s">
        <v>25</v>
      </c>
      <c r="H199" s="9"/>
      <c r="I199" s="9">
        <v>1</v>
      </c>
      <c r="J199" s="9">
        <v>3</v>
      </c>
      <c r="K199" s="9" t="s">
        <v>12078</v>
      </c>
      <c r="L199" s="9" t="s">
        <v>12079</v>
      </c>
      <c r="M199" s="9"/>
      <c r="N199" s="10"/>
      <c r="O199" s="9"/>
      <c r="P199" s="9">
        <v>11843</v>
      </c>
      <c r="Q199" s="9"/>
      <c r="R199" s="9" t="s">
        <v>12795</v>
      </c>
      <c r="S199" s="9" t="s">
        <v>12795</v>
      </c>
      <c r="T199" s="9"/>
      <c r="U199" s="9"/>
      <c r="V199" s="9"/>
      <c r="W199" s="9"/>
      <c r="X199" s="9"/>
      <c r="Y199" s="9"/>
      <c r="Z199" s="9"/>
      <c r="AA199" s="9"/>
      <c r="AB199" s="9"/>
      <c r="AC199" s="9"/>
      <c r="AD199" s="9" t="s">
        <v>20</v>
      </c>
    </row>
    <row r="200" spans="1:30" ht="101.5">
      <c r="A200" s="3" t="s">
        <v>3287</v>
      </c>
      <c r="B200" s="3" t="s">
        <v>8843</v>
      </c>
      <c r="C200" s="3" t="s">
        <v>8842</v>
      </c>
      <c r="G200" s="9" t="s">
        <v>25</v>
      </c>
      <c r="H200" s="9"/>
      <c r="I200" s="9">
        <v>1</v>
      </c>
      <c r="J200" s="9">
        <v>2</v>
      </c>
      <c r="K200" s="9" t="s">
        <v>12087</v>
      </c>
      <c r="L200" s="9" t="s">
        <v>12119</v>
      </c>
      <c r="M200" s="9"/>
      <c r="N200" s="10"/>
      <c r="O200" s="9"/>
      <c r="P200" s="9">
        <v>1966</v>
      </c>
      <c r="Q200" s="9"/>
      <c r="R200" s="9" t="s">
        <v>12795</v>
      </c>
      <c r="S200" s="9" t="s">
        <v>12795</v>
      </c>
      <c r="T200" s="9"/>
      <c r="U200" s="9"/>
      <c r="V200" s="9"/>
      <c r="W200" s="9"/>
      <c r="X200" s="9"/>
      <c r="Y200" s="9"/>
      <c r="Z200" s="9"/>
      <c r="AA200" s="9"/>
      <c r="AB200" s="9"/>
      <c r="AC200" s="9"/>
      <c r="AD200" s="9" t="s">
        <v>20</v>
      </c>
    </row>
    <row r="201" spans="1:30" ht="101.5">
      <c r="A201" s="3" t="s">
        <v>3287</v>
      </c>
      <c r="B201" s="3" t="s">
        <v>8847</v>
      </c>
      <c r="C201" s="3" t="s">
        <v>8842</v>
      </c>
      <c r="F201" t="s">
        <v>19</v>
      </c>
      <c r="G201" s="9" t="s">
        <v>25</v>
      </c>
      <c r="H201" s="9"/>
      <c r="I201" s="9">
        <v>1</v>
      </c>
      <c r="J201" s="9">
        <v>2</v>
      </c>
      <c r="K201" s="9" t="s">
        <v>12078</v>
      </c>
      <c r="L201" s="9" t="s">
        <v>12119</v>
      </c>
      <c r="M201" s="9"/>
      <c r="N201" s="10"/>
      <c r="O201" s="9"/>
      <c r="P201" s="9">
        <v>11843</v>
      </c>
      <c r="Q201" s="9"/>
      <c r="R201" s="9" t="s">
        <v>12795</v>
      </c>
      <c r="S201" s="9" t="s">
        <v>12795</v>
      </c>
      <c r="T201" s="9"/>
      <c r="U201" s="9"/>
      <c r="V201" s="9"/>
      <c r="W201" s="9"/>
      <c r="X201" s="9"/>
      <c r="Y201" s="9"/>
      <c r="Z201" s="9"/>
      <c r="AA201" s="9"/>
      <c r="AB201" s="9"/>
      <c r="AC201" s="9"/>
      <c r="AD201" s="9" t="s">
        <v>20</v>
      </c>
    </row>
    <row r="202" spans="1:30" ht="29">
      <c r="A202" s="3" t="s">
        <v>3305</v>
      </c>
      <c r="B202" s="3" t="s">
        <v>8884</v>
      </c>
      <c r="C202" s="3" t="s">
        <v>8886</v>
      </c>
      <c r="G202" s="9" t="s">
        <v>25</v>
      </c>
      <c r="H202" s="9"/>
      <c r="I202" s="9">
        <v>1</v>
      </c>
      <c r="J202" s="9">
        <v>2</v>
      </c>
      <c r="K202" s="9" t="s">
        <v>12087</v>
      </c>
      <c r="L202" s="9" t="s">
        <v>12119</v>
      </c>
      <c r="M202" s="9"/>
      <c r="N202" s="10"/>
      <c r="O202" s="9"/>
      <c r="P202" s="9">
        <v>1966</v>
      </c>
      <c r="Q202" s="9"/>
      <c r="R202" s="9" t="s">
        <v>12795</v>
      </c>
      <c r="S202" s="9" t="s">
        <v>12795</v>
      </c>
      <c r="T202" s="9"/>
      <c r="U202" s="9"/>
      <c r="V202" s="9"/>
      <c r="W202" s="9"/>
      <c r="X202" s="9"/>
      <c r="Y202" s="9"/>
      <c r="Z202" s="9"/>
      <c r="AA202" s="9"/>
      <c r="AB202" s="9"/>
      <c r="AC202" s="9"/>
      <c r="AD202" s="9" t="s">
        <v>20</v>
      </c>
    </row>
    <row r="203" spans="1:30" ht="29">
      <c r="A203" s="3" t="s">
        <v>3305</v>
      </c>
      <c r="B203" s="3" t="s">
        <v>8885</v>
      </c>
      <c r="C203" s="3" t="s">
        <v>8887</v>
      </c>
      <c r="G203" s="9" t="s">
        <v>25</v>
      </c>
      <c r="H203" s="9"/>
      <c r="I203" s="9">
        <v>1</v>
      </c>
      <c r="J203" s="9">
        <v>2</v>
      </c>
      <c r="K203" s="9" t="s">
        <v>12087</v>
      </c>
      <c r="L203" s="9" t="s">
        <v>12119</v>
      </c>
      <c r="M203" s="9"/>
      <c r="N203" s="10"/>
      <c r="O203" s="9"/>
      <c r="P203" s="9">
        <v>1966</v>
      </c>
      <c r="Q203" s="9"/>
      <c r="R203" s="9" t="s">
        <v>12795</v>
      </c>
      <c r="S203" s="9" t="s">
        <v>12795</v>
      </c>
      <c r="T203" s="9"/>
      <c r="U203" s="9"/>
      <c r="V203" s="9"/>
      <c r="W203" s="9"/>
      <c r="X203" s="9"/>
      <c r="Y203" s="9"/>
      <c r="Z203" s="9"/>
      <c r="AA203" s="9"/>
      <c r="AB203" s="9"/>
      <c r="AC203" s="9"/>
      <c r="AD203" s="9" t="s">
        <v>13141</v>
      </c>
    </row>
    <row r="204" spans="1:30" ht="58">
      <c r="A204" s="3" t="s">
        <v>3330</v>
      </c>
      <c r="B204" s="3" t="s">
        <v>8928</v>
      </c>
      <c r="C204" s="3" t="s">
        <v>8929</v>
      </c>
      <c r="G204" s="9" t="s">
        <v>25</v>
      </c>
      <c r="H204" s="9"/>
      <c r="I204" s="9">
        <v>1</v>
      </c>
      <c r="J204" s="9">
        <v>6</v>
      </c>
      <c r="K204" s="9" t="s">
        <v>12094</v>
      </c>
      <c r="L204" s="9" t="s">
        <v>12073</v>
      </c>
      <c r="M204" s="9" t="s">
        <v>12142</v>
      </c>
      <c r="N204" s="10" t="s">
        <v>12160</v>
      </c>
      <c r="O204" s="9"/>
      <c r="P204" s="9">
        <v>156</v>
      </c>
      <c r="Q204" s="9"/>
      <c r="R204" s="9" t="s">
        <v>12795</v>
      </c>
      <c r="S204" s="9" t="s">
        <v>12795</v>
      </c>
      <c r="T204" s="9"/>
      <c r="U204" s="9"/>
      <c r="V204" s="9"/>
      <c r="W204" s="9"/>
      <c r="X204" s="9"/>
      <c r="Y204" s="9"/>
      <c r="Z204" s="9"/>
      <c r="AA204" s="9"/>
      <c r="AB204" s="9"/>
      <c r="AC204" s="9"/>
      <c r="AD204" s="9" t="s">
        <v>20</v>
      </c>
    </row>
    <row r="205" spans="1:30" ht="29">
      <c r="A205" s="3" t="s">
        <v>3340</v>
      </c>
      <c r="B205" s="3" t="s">
        <v>8939</v>
      </c>
      <c r="C205" s="3" t="s">
        <v>8940</v>
      </c>
      <c r="G205" s="9" t="s">
        <v>25</v>
      </c>
      <c r="H205" s="9"/>
      <c r="I205" s="9">
        <v>1</v>
      </c>
      <c r="J205" s="9">
        <v>3</v>
      </c>
      <c r="K205" s="9" t="s">
        <v>12087</v>
      </c>
      <c r="L205" s="9" t="s">
        <v>12079</v>
      </c>
      <c r="M205" s="9"/>
      <c r="N205" s="10"/>
      <c r="O205" s="9"/>
      <c r="P205" s="9">
        <v>356</v>
      </c>
      <c r="Q205" s="9"/>
      <c r="R205" s="9" t="s">
        <v>12795</v>
      </c>
      <c r="S205" s="9" t="s">
        <v>12795</v>
      </c>
      <c r="T205" s="9"/>
      <c r="U205" s="9"/>
      <c r="V205" s="9"/>
      <c r="W205" s="9"/>
      <c r="X205" s="9"/>
      <c r="Y205" s="9"/>
      <c r="Z205" s="9"/>
      <c r="AA205" s="9"/>
      <c r="AB205" s="9"/>
      <c r="AC205" s="9"/>
      <c r="AD205" s="9" t="s">
        <v>20</v>
      </c>
    </row>
    <row r="206" spans="1:30" ht="72.5">
      <c r="A206" s="3" t="s">
        <v>3356</v>
      </c>
      <c r="B206" s="3" t="s">
        <v>8984</v>
      </c>
      <c r="C206" s="3" t="s">
        <v>8981</v>
      </c>
      <c r="G206" s="9" t="s">
        <v>24</v>
      </c>
      <c r="H206" s="9"/>
      <c r="I206" s="9">
        <v>1</v>
      </c>
      <c r="J206" s="9">
        <v>3</v>
      </c>
      <c r="K206" s="9" t="s">
        <v>12094</v>
      </c>
      <c r="L206" s="9" t="s">
        <v>12079</v>
      </c>
      <c r="M206" s="9"/>
      <c r="N206" s="10"/>
      <c r="O206" s="9"/>
      <c r="P206" s="9">
        <v>1496</v>
      </c>
      <c r="Q206" s="9"/>
      <c r="R206" s="9" t="s">
        <v>12795</v>
      </c>
      <c r="S206" s="9" t="s">
        <v>12795</v>
      </c>
      <c r="T206" s="9"/>
      <c r="U206" s="9"/>
      <c r="V206" s="9"/>
      <c r="W206" s="9"/>
      <c r="X206" s="9"/>
      <c r="Y206" s="9"/>
      <c r="Z206" s="9"/>
      <c r="AA206" s="9"/>
      <c r="AB206" s="9"/>
      <c r="AC206" s="9"/>
      <c r="AD206" s="9" t="s">
        <v>20</v>
      </c>
    </row>
    <row r="207" spans="1:30" ht="29">
      <c r="A207" s="3" t="s">
        <v>3359</v>
      </c>
      <c r="B207" s="3" t="s">
        <v>8988</v>
      </c>
      <c r="C207" s="3" t="s">
        <v>8989</v>
      </c>
      <c r="G207" s="9" t="s">
        <v>25</v>
      </c>
      <c r="H207" s="9"/>
      <c r="I207" s="9">
        <v>1</v>
      </c>
      <c r="J207" s="9">
        <v>3</v>
      </c>
      <c r="K207" s="9" t="s">
        <v>12078</v>
      </c>
      <c r="L207" s="9" t="s">
        <v>12079</v>
      </c>
      <c r="M207" s="9"/>
      <c r="N207" s="10"/>
      <c r="O207" s="9"/>
      <c r="P207" s="9">
        <v>11843</v>
      </c>
      <c r="Q207" s="9"/>
      <c r="R207" s="9" t="s">
        <v>12795</v>
      </c>
      <c r="S207" s="9" t="s">
        <v>12795</v>
      </c>
      <c r="T207" s="9"/>
      <c r="U207" s="9"/>
      <c r="V207" s="9"/>
      <c r="W207" s="9"/>
      <c r="X207" s="9"/>
      <c r="Y207" s="9"/>
      <c r="Z207" s="9"/>
      <c r="AA207" s="9"/>
      <c r="AB207" s="9"/>
      <c r="AC207" s="9"/>
      <c r="AD207" s="9" t="s">
        <v>13141</v>
      </c>
    </row>
    <row r="208" spans="1:30" ht="29">
      <c r="A208" s="3" t="s">
        <v>3363</v>
      </c>
      <c r="B208" s="3" t="s">
        <v>9001</v>
      </c>
      <c r="C208" s="3" t="s">
        <v>9000</v>
      </c>
      <c r="G208" s="9" t="s">
        <v>24</v>
      </c>
      <c r="H208" s="9"/>
      <c r="I208" s="9">
        <v>1</v>
      </c>
      <c r="J208" s="9">
        <v>3</v>
      </c>
      <c r="K208" s="9" t="s">
        <v>12087</v>
      </c>
      <c r="L208" s="9" t="s">
        <v>12079</v>
      </c>
      <c r="M208" s="9"/>
      <c r="N208" s="10"/>
      <c r="O208" s="9"/>
      <c r="P208" s="9">
        <v>5676</v>
      </c>
      <c r="Q208" s="9"/>
      <c r="R208" s="9" t="s">
        <v>12795</v>
      </c>
      <c r="S208" s="9" t="s">
        <v>12795</v>
      </c>
      <c r="T208" s="9"/>
      <c r="U208" s="9"/>
      <c r="V208" s="9"/>
      <c r="W208" s="9"/>
      <c r="X208" s="9"/>
      <c r="Y208" s="9"/>
      <c r="Z208" s="9"/>
      <c r="AA208" s="9"/>
      <c r="AB208" s="9"/>
      <c r="AC208" s="9"/>
      <c r="AD208" s="9" t="s">
        <v>20</v>
      </c>
    </row>
    <row r="209" spans="1:30" ht="87">
      <c r="A209" s="3" t="s">
        <v>3376</v>
      </c>
      <c r="B209" s="3" t="s">
        <v>9016</v>
      </c>
      <c r="C209" s="3" t="s">
        <v>9015</v>
      </c>
      <c r="G209" s="9" t="s">
        <v>25</v>
      </c>
      <c r="H209" s="9"/>
      <c r="I209" s="9">
        <v>1</v>
      </c>
      <c r="J209" s="9">
        <v>3</v>
      </c>
      <c r="K209" s="9" t="s">
        <v>12087</v>
      </c>
      <c r="L209" s="9" t="s">
        <v>12079</v>
      </c>
      <c r="M209" s="9"/>
      <c r="N209" s="10"/>
      <c r="O209" s="9"/>
      <c r="P209" s="9">
        <v>356</v>
      </c>
      <c r="Q209" s="9"/>
      <c r="R209" s="9" t="s">
        <v>12795</v>
      </c>
      <c r="S209" s="9" t="s">
        <v>12795</v>
      </c>
      <c r="T209" s="9"/>
      <c r="U209" s="9"/>
      <c r="V209" s="9"/>
      <c r="W209" s="9"/>
      <c r="X209" s="9"/>
      <c r="Y209" s="9"/>
      <c r="Z209" s="9"/>
      <c r="AA209" s="9"/>
      <c r="AB209" s="9"/>
      <c r="AC209" s="9"/>
      <c r="AD209" s="9" t="s">
        <v>20</v>
      </c>
    </row>
    <row r="210" spans="1:30" ht="43.5">
      <c r="A210" s="3" t="s">
        <v>3386</v>
      </c>
      <c r="B210" s="3" t="s">
        <v>9042</v>
      </c>
      <c r="C210" s="3" t="s">
        <v>9043</v>
      </c>
      <c r="G210" s="9" t="s">
        <v>24</v>
      </c>
      <c r="H210" s="9"/>
      <c r="I210" s="9">
        <v>1</v>
      </c>
      <c r="J210" s="9">
        <v>3</v>
      </c>
      <c r="K210" s="9" t="s">
        <v>12087</v>
      </c>
      <c r="L210" s="9" t="s">
        <v>12079</v>
      </c>
      <c r="M210" s="9"/>
      <c r="N210" s="10"/>
      <c r="O210" s="9"/>
      <c r="P210" s="9">
        <v>5676</v>
      </c>
      <c r="Q210" s="9"/>
      <c r="R210" s="9" t="s">
        <v>12795</v>
      </c>
      <c r="S210" s="9" t="s">
        <v>12795</v>
      </c>
      <c r="T210" s="9"/>
      <c r="U210" s="9"/>
      <c r="V210" s="9"/>
      <c r="W210" s="9"/>
      <c r="X210" s="9"/>
      <c r="Y210" s="9"/>
      <c r="Z210" s="9"/>
      <c r="AA210" s="9"/>
      <c r="AB210" s="9"/>
      <c r="AC210" s="9"/>
      <c r="AD210" s="9" t="s">
        <v>20</v>
      </c>
    </row>
    <row r="211" spans="1:30" ht="72.5">
      <c r="A211" s="3" t="s">
        <v>3392</v>
      </c>
      <c r="B211" s="3" t="s">
        <v>9054</v>
      </c>
      <c r="C211" s="3" t="s">
        <v>9055</v>
      </c>
      <c r="G211" s="9" t="s">
        <v>25</v>
      </c>
      <c r="H211" s="9"/>
      <c r="I211" s="9">
        <v>1</v>
      </c>
      <c r="J211" s="9">
        <v>3</v>
      </c>
      <c r="K211" s="9" t="s">
        <v>12078</v>
      </c>
      <c r="L211" s="9" t="s">
        <v>12079</v>
      </c>
      <c r="M211" s="9"/>
      <c r="N211" s="10"/>
      <c r="O211" s="9"/>
      <c r="P211" s="9">
        <v>11843</v>
      </c>
      <c r="Q211" s="9"/>
      <c r="R211" s="9" t="s">
        <v>12795</v>
      </c>
      <c r="S211" s="9" t="s">
        <v>12795</v>
      </c>
      <c r="T211" s="9"/>
      <c r="U211" s="9"/>
      <c r="V211" s="9"/>
      <c r="W211" s="9"/>
      <c r="X211" s="9"/>
      <c r="Y211" s="9"/>
      <c r="Z211" s="9"/>
      <c r="AA211" s="9"/>
      <c r="AB211" s="9"/>
      <c r="AC211" s="9"/>
      <c r="AD211" s="9" t="s">
        <v>20</v>
      </c>
    </row>
    <row r="212" spans="1:30" ht="43.5">
      <c r="A212" s="3" t="s">
        <v>3393</v>
      </c>
      <c r="B212" s="3" t="s">
        <v>9057</v>
      </c>
      <c r="C212" s="3" t="s">
        <v>9056</v>
      </c>
      <c r="G212" s="9" t="s">
        <v>25</v>
      </c>
      <c r="H212" s="9"/>
      <c r="I212" s="9">
        <v>1</v>
      </c>
      <c r="J212" s="9">
        <v>2</v>
      </c>
      <c r="K212" s="9" t="s">
        <v>12078</v>
      </c>
      <c r="L212" s="9" t="s">
        <v>12119</v>
      </c>
      <c r="M212" s="9"/>
      <c r="N212" s="10"/>
      <c r="O212" s="9"/>
      <c r="P212" s="9">
        <v>11843</v>
      </c>
      <c r="Q212" s="9"/>
      <c r="R212" s="9" t="s">
        <v>12795</v>
      </c>
      <c r="S212" s="9" t="s">
        <v>12795</v>
      </c>
      <c r="T212" s="9"/>
      <c r="U212" s="9"/>
      <c r="V212" s="9"/>
      <c r="W212" s="9"/>
      <c r="X212" s="9"/>
      <c r="Y212" s="9"/>
      <c r="Z212" s="9"/>
      <c r="AA212" s="9"/>
      <c r="AB212" s="9"/>
      <c r="AC212" s="9"/>
      <c r="AD212" s="9" t="s">
        <v>20</v>
      </c>
    </row>
    <row r="213" spans="1:30" ht="58">
      <c r="A213" s="3" t="s">
        <v>3405</v>
      </c>
      <c r="B213" s="3" t="s">
        <v>9081</v>
      </c>
      <c r="C213" s="3" t="s">
        <v>9080</v>
      </c>
      <c r="G213" s="9" t="s">
        <v>24</v>
      </c>
      <c r="H213" s="9"/>
      <c r="I213" s="9">
        <v>1</v>
      </c>
      <c r="J213" s="9">
        <v>3</v>
      </c>
      <c r="K213" s="9" t="s">
        <v>12078</v>
      </c>
      <c r="L213" s="9" t="s">
        <v>12079</v>
      </c>
      <c r="M213" s="9"/>
      <c r="N213" s="10"/>
      <c r="O213" s="9"/>
      <c r="P213" s="9">
        <v>11843</v>
      </c>
      <c r="Q213" s="9"/>
      <c r="R213" s="9" t="s">
        <v>12795</v>
      </c>
      <c r="S213" s="9" t="s">
        <v>12795</v>
      </c>
      <c r="T213" s="9"/>
      <c r="U213" s="9"/>
      <c r="V213" s="9"/>
      <c r="W213" s="9"/>
      <c r="X213" s="9"/>
      <c r="Y213" s="9"/>
      <c r="Z213" s="9"/>
      <c r="AA213" s="9"/>
      <c r="AB213" s="9"/>
      <c r="AC213" s="9"/>
      <c r="AD213" s="9" t="s">
        <v>20</v>
      </c>
    </row>
    <row r="214" spans="1:30" ht="43.5">
      <c r="A214" s="3" t="s">
        <v>3414</v>
      </c>
      <c r="B214" s="3" t="s">
        <v>9091</v>
      </c>
      <c r="C214" s="3" t="s">
        <v>9090</v>
      </c>
      <c r="G214" s="9" t="s">
        <v>25</v>
      </c>
      <c r="H214" s="9"/>
      <c r="I214" s="9">
        <v>1</v>
      </c>
      <c r="J214" s="9">
        <v>3</v>
      </c>
      <c r="K214" s="9" t="s">
        <v>12087</v>
      </c>
      <c r="L214" s="9" t="s">
        <v>12079</v>
      </c>
      <c r="M214" s="9"/>
      <c r="N214" s="10"/>
      <c r="O214" s="9"/>
      <c r="P214" s="9">
        <v>5676</v>
      </c>
      <c r="Q214" s="9"/>
      <c r="R214" s="9" t="s">
        <v>12795</v>
      </c>
      <c r="S214" s="9" t="s">
        <v>12795</v>
      </c>
      <c r="T214" s="9"/>
      <c r="U214" s="9"/>
      <c r="V214" s="9"/>
      <c r="W214" s="9"/>
      <c r="X214" s="9"/>
      <c r="Y214" s="9"/>
      <c r="Z214" s="9"/>
      <c r="AA214" s="9"/>
      <c r="AB214" s="9"/>
      <c r="AC214" s="9"/>
      <c r="AD214" s="9" t="s">
        <v>20</v>
      </c>
    </row>
    <row r="215" spans="1:30" ht="43.5">
      <c r="A215" s="3" t="s">
        <v>3443</v>
      </c>
      <c r="B215" s="3" t="s">
        <v>9138</v>
      </c>
      <c r="C215" s="3" t="s">
        <v>9139</v>
      </c>
      <c r="G215" s="9" t="s">
        <v>25</v>
      </c>
      <c r="H215" s="9"/>
      <c r="I215" s="9">
        <v>1</v>
      </c>
      <c r="J215" s="9">
        <v>1</v>
      </c>
      <c r="K215" s="9" t="s">
        <v>12078</v>
      </c>
      <c r="L215" s="9" t="s">
        <v>12119</v>
      </c>
      <c r="M215" s="9"/>
      <c r="N215" s="10"/>
      <c r="O215" s="9"/>
      <c r="P215" s="9">
        <v>11843</v>
      </c>
      <c r="Q215" s="9"/>
      <c r="R215" s="9" t="s">
        <v>12795</v>
      </c>
      <c r="S215" s="9" t="s">
        <v>12795</v>
      </c>
      <c r="T215" s="9"/>
      <c r="U215" s="9"/>
      <c r="V215" s="9"/>
      <c r="W215" s="9"/>
      <c r="X215" s="9"/>
      <c r="Y215" s="9"/>
      <c r="Z215" s="9"/>
      <c r="AA215" s="9"/>
      <c r="AB215" s="9"/>
      <c r="AC215" s="9"/>
      <c r="AD215" s="9" t="s">
        <v>20</v>
      </c>
    </row>
    <row r="216" spans="1:30" ht="72.5">
      <c r="A216" s="3" t="s">
        <v>3450</v>
      </c>
      <c r="B216" s="3" t="s">
        <v>9164</v>
      </c>
      <c r="C216" s="3" t="s">
        <v>9163</v>
      </c>
      <c r="G216" s="9" t="s">
        <v>25</v>
      </c>
      <c r="H216" s="9"/>
      <c r="I216" s="9">
        <v>1</v>
      </c>
      <c r="J216" s="9">
        <v>2</v>
      </c>
      <c r="K216" s="9" t="s">
        <v>12078</v>
      </c>
      <c r="L216" s="9" t="s">
        <v>12119</v>
      </c>
      <c r="M216" s="9"/>
      <c r="N216" s="10"/>
      <c r="O216" s="9"/>
      <c r="P216" s="9">
        <v>11843</v>
      </c>
      <c r="Q216" s="9"/>
      <c r="R216" s="9" t="s">
        <v>12795</v>
      </c>
      <c r="S216" s="9" t="s">
        <v>12795</v>
      </c>
      <c r="T216" s="9"/>
      <c r="U216" s="9"/>
      <c r="V216" s="9"/>
      <c r="W216" s="9"/>
      <c r="X216" s="9"/>
      <c r="Y216" s="9"/>
      <c r="Z216" s="9"/>
      <c r="AA216" s="9"/>
      <c r="AB216" s="9"/>
      <c r="AC216" s="9"/>
      <c r="AD216" s="9" t="s">
        <v>20</v>
      </c>
    </row>
    <row r="217" spans="1:30" ht="29">
      <c r="A217" s="3" t="s">
        <v>3459</v>
      </c>
      <c r="B217" s="3" t="s">
        <v>9176</v>
      </c>
      <c r="C217" s="3" t="s">
        <v>9175</v>
      </c>
      <c r="G217" s="9" t="s">
        <v>25</v>
      </c>
      <c r="H217" s="9"/>
      <c r="I217" s="9">
        <v>1</v>
      </c>
      <c r="J217" s="9">
        <v>1</v>
      </c>
      <c r="K217" s="9" t="s">
        <v>12078</v>
      </c>
      <c r="L217" s="9" t="s">
        <v>12119</v>
      </c>
      <c r="M217" s="9"/>
      <c r="N217" s="10"/>
      <c r="O217" s="9"/>
      <c r="P217" s="9">
        <v>11843</v>
      </c>
      <c r="Q217" s="9"/>
      <c r="R217" s="9" t="s">
        <v>12795</v>
      </c>
      <c r="S217" s="9" t="s">
        <v>12795</v>
      </c>
      <c r="T217" s="9"/>
      <c r="U217" s="9"/>
      <c r="V217" s="9"/>
      <c r="W217" s="9"/>
      <c r="X217" s="9"/>
      <c r="Y217" s="9"/>
      <c r="Z217" s="9"/>
      <c r="AA217" s="9"/>
      <c r="AB217" s="9"/>
      <c r="AC217" s="9"/>
      <c r="AD217" s="9" t="s">
        <v>20</v>
      </c>
    </row>
    <row r="218" spans="1:30" ht="43.5">
      <c r="A218" s="3" t="s">
        <v>3471</v>
      </c>
      <c r="B218" s="3" t="s">
        <v>12919</v>
      </c>
      <c r="C218" s="3" t="s">
        <v>9189</v>
      </c>
      <c r="G218" s="9" t="s">
        <v>25</v>
      </c>
      <c r="H218" s="9"/>
      <c r="I218" s="9">
        <v>1</v>
      </c>
      <c r="J218" s="9">
        <v>2</v>
      </c>
      <c r="K218" s="9" t="s">
        <v>12078</v>
      </c>
      <c r="L218" s="9" t="s">
        <v>12119</v>
      </c>
      <c r="M218" s="9"/>
      <c r="N218" s="10"/>
      <c r="O218" s="9"/>
      <c r="P218" s="9">
        <v>11843</v>
      </c>
      <c r="Q218" s="9"/>
      <c r="R218" s="9" t="s">
        <v>12795</v>
      </c>
      <c r="S218" s="9" t="s">
        <v>12795</v>
      </c>
      <c r="T218" s="9"/>
      <c r="U218" s="9"/>
      <c r="V218" s="9"/>
      <c r="W218" s="9"/>
      <c r="X218" s="9"/>
      <c r="Y218" s="9"/>
      <c r="Z218" s="9"/>
      <c r="AA218" s="9"/>
      <c r="AB218" s="9"/>
      <c r="AC218" s="9"/>
      <c r="AD218" s="9" t="s">
        <v>20</v>
      </c>
    </row>
    <row r="219" spans="1:30" ht="29">
      <c r="A219" s="3" t="s">
        <v>3503</v>
      </c>
      <c r="B219" s="3" t="s">
        <v>9241</v>
      </c>
      <c r="C219" s="3" t="s">
        <v>9240</v>
      </c>
      <c r="G219" s="9" t="s">
        <v>24</v>
      </c>
      <c r="H219" s="9"/>
      <c r="I219" s="9">
        <v>1</v>
      </c>
      <c r="J219" s="9">
        <v>2</v>
      </c>
      <c r="K219" s="9" t="s">
        <v>12087</v>
      </c>
      <c r="L219" s="9" t="s">
        <v>12119</v>
      </c>
      <c r="M219" s="9"/>
      <c r="N219" s="10"/>
      <c r="O219" s="9"/>
      <c r="P219" s="9">
        <v>1966</v>
      </c>
      <c r="Q219" s="9"/>
      <c r="R219" s="9" t="s">
        <v>12795</v>
      </c>
      <c r="S219" s="9" t="s">
        <v>12795</v>
      </c>
      <c r="T219" s="9"/>
      <c r="U219" s="9"/>
      <c r="V219" s="9"/>
      <c r="W219" s="9"/>
      <c r="X219" s="9"/>
      <c r="Y219" s="9"/>
      <c r="Z219" s="9"/>
      <c r="AA219" s="9"/>
      <c r="AB219" s="9"/>
      <c r="AC219" s="9"/>
      <c r="AD219" s="9" t="s">
        <v>20</v>
      </c>
    </row>
    <row r="220" spans="1:30" ht="29">
      <c r="A220" s="3" t="s">
        <v>3515</v>
      </c>
      <c r="B220" s="3" t="s">
        <v>9268</v>
      </c>
      <c r="C220" s="3" t="s">
        <v>9267</v>
      </c>
      <c r="G220" s="9" t="s">
        <v>25</v>
      </c>
      <c r="H220" s="9"/>
      <c r="I220" s="9">
        <v>1</v>
      </c>
      <c r="J220" s="9">
        <v>4</v>
      </c>
      <c r="K220" s="9" t="s">
        <v>12094</v>
      </c>
      <c r="L220" s="9" t="s">
        <v>12079</v>
      </c>
      <c r="M220" s="9"/>
      <c r="N220" s="10"/>
      <c r="O220" s="9"/>
      <c r="P220" s="9">
        <v>1496</v>
      </c>
      <c r="Q220" s="9"/>
      <c r="R220" s="9" t="s">
        <v>12795</v>
      </c>
      <c r="S220" s="9" t="s">
        <v>12795</v>
      </c>
      <c r="T220" s="9"/>
      <c r="U220" s="9"/>
      <c r="V220" s="9"/>
      <c r="W220" s="9"/>
      <c r="X220" s="9"/>
      <c r="Y220" s="9"/>
      <c r="Z220" s="9"/>
      <c r="AA220" s="9"/>
      <c r="AB220" s="9"/>
      <c r="AC220" s="9"/>
      <c r="AD220" s="9" t="s">
        <v>20</v>
      </c>
    </row>
    <row r="221" spans="1:30" ht="43.5">
      <c r="A221" s="3" t="s">
        <v>3517</v>
      </c>
      <c r="B221" s="3" t="s">
        <v>9273</v>
      </c>
      <c r="C221" s="3" t="s">
        <v>9274</v>
      </c>
      <c r="G221" s="9" t="s">
        <v>25</v>
      </c>
      <c r="H221" s="9"/>
      <c r="I221" s="9">
        <v>1</v>
      </c>
      <c r="J221" s="9">
        <v>3</v>
      </c>
      <c r="K221" s="9" t="s">
        <v>12078</v>
      </c>
      <c r="L221" s="9" t="s">
        <v>12079</v>
      </c>
      <c r="M221" s="9"/>
      <c r="N221" s="10"/>
      <c r="O221" s="9"/>
      <c r="P221" s="9">
        <v>11843</v>
      </c>
      <c r="Q221" s="9"/>
      <c r="R221" s="9" t="s">
        <v>12795</v>
      </c>
      <c r="S221" s="9" t="s">
        <v>12795</v>
      </c>
      <c r="T221" s="9"/>
      <c r="U221" s="9"/>
      <c r="V221" s="9"/>
      <c r="W221" s="9"/>
      <c r="X221" s="9"/>
      <c r="Y221" s="9"/>
      <c r="Z221" s="9"/>
      <c r="AA221" s="9"/>
      <c r="AB221" s="9"/>
      <c r="AC221" s="9"/>
      <c r="AD221" s="9" t="s">
        <v>20</v>
      </c>
    </row>
    <row r="222" spans="1:30" ht="58">
      <c r="A222" s="3" t="s">
        <v>3520</v>
      </c>
      <c r="B222" s="3" t="s">
        <v>9282</v>
      </c>
      <c r="C222" s="3" t="s">
        <v>9281</v>
      </c>
      <c r="G222" s="9" t="s">
        <v>25</v>
      </c>
      <c r="H222" s="9"/>
      <c r="I222" s="9">
        <v>1</v>
      </c>
      <c r="J222" s="9">
        <v>3</v>
      </c>
      <c r="K222" s="9" t="s">
        <v>12078</v>
      </c>
      <c r="L222" s="9" t="s">
        <v>12079</v>
      </c>
      <c r="M222" s="9"/>
      <c r="N222" s="10"/>
      <c r="O222" s="9"/>
      <c r="P222" s="9">
        <v>11843</v>
      </c>
      <c r="Q222" s="9"/>
      <c r="R222" s="9" t="s">
        <v>12795</v>
      </c>
      <c r="S222" s="9" t="s">
        <v>12795</v>
      </c>
      <c r="T222" s="9"/>
      <c r="U222" s="9"/>
      <c r="V222" s="9"/>
      <c r="W222" s="9"/>
      <c r="X222" s="9"/>
      <c r="Y222" s="9"/>
      <c r="Z222" s="9"/>
      <c r="AA222" s="9"/>
      <c r="AB222" s="9"/>
      <c r="AC222" s="9"/>
      <c r="AD222" s="9" t="s">
        <v>20</v>
      </c>
    </row>
    <row r="223" spans="1:30" ht="58">
      <c r="A223" s="3" t="s">
        <v>3520</v>
      </c>
      <c r="B223" s="3" t="s">
        <v>9283</v>
      </c>
      <c r="C223" s="3" t="s">
        <v>9281</v>
      </c>
      <c r="G223" s="9" t="s">
        <v>25</v>
      </c>
      <c r="H223" s="9"/>
      <c r="I223" s="9">
        <v>1</v>
      </c>
      <c r="J223" s="9">
        <v>5</v>
      </c>
      <c r="K223" s="9" t="s">
        <v>12094</v>
      </c>
      <c r="L223" s="9" t="s">
        <v>12079</v>
      </c>
      <c r="M223" s="9"/>
      <c r="N223" s="10"/>
      <c r="O223" s="9"/>
      <c r="P223" s="9">
        <v>4240</v>
      </c>
      <c r="Q223" s="9"/>
      <c r="R223" s="9" t="s">
        <v>12795</v>
      </c>
      <c r="S223" s="9" t="s">
        <v>12795</v>
      </c>
      <c r="T223" s="9"/>
      <c r="U223" s="9"/>
      <c r="V223" s="9"/>
      <c r="W223" s="9"/>
      <c r="X223" s="9"/>
      <c r="Y223" s="9"/>
      <c r="Z223" s="9"/>
      <c r="AA223" s="9"/>
      <c r="AB223" s="9"/>
      <c r="AC223" s="9"/>
      <c r="AD223" s="9" t="s">
        <v>20</v>
      </c>
    </row>
    <row r="224" spans="1:30" ht="43.5">
      <c r="A224" s="3" t="s">
        <v>3526</v>
      </c>
      <c r="B224" s="3" t="s">
        <v>12923</v>
      </c>
      <c r="C224" s="3" t="s">
        <v>9302</v>
      </c>
      <c r="G224" s="9" t="s">
        <v>25</v>
      </c>
      <c r="H224" s="9"/>
      <c r="I224" s="9">
        <v>1</v>
      </c>
      <c r="J224" s="9">
        <v>3</v>
      </c>
      <c r="K224" s="9" t="s">
        <v>12087</v>
      </c>
      <c r="L224" s="9" t="s">
        <v>12079</v>
      </c>
      <c r="M224" s="9"/>
      <c r="N224" s="10"/>
      <c r="O224" s="9"/>
      <c r="P224" s="9">
        <v>810</v>
      </c>
      <c r="Q224" s="9"/>
      <c r="R224" s="9" t="s">
        <v>12795</v>
      </c>
      <c r="S224" s="9" t="s">
        <v>12795</v>
      </c>
      <c r="T224" s="9"/>
      <c r="U224" s="9"/>
      <c r="V224" s="9"/>
      <c r="W224" s="9"/>
      <c r="X224" s="9"/>
      <c r="Y224" s="9"/>
      <c r="Z224" s="9"/>
      <c r="AA224" s="9"/>
      <c r="AB224" s="9"/>
      <c r="AC224" s="9"/>
      <c r="AD224" s="9" t="s">
        <v>20</v>
      </c>
    </row>
    <row r="225" spans="1:30" ht="58">
      <c r="A225" s="3" t="s">
        <v>3542</v>
      </c>
      <c r="B225" s="3" t="s">
        <v>9337</v>
      </c>
      <c r="C225" s="3" t="s">
        <v>9338</v>
      </c>
      <c r="G225" s="9" t="s">
        <v>25</v>
      </c>
      <c r="H225" s="9"/>
      <c r="I225" s="9">
        <v>1</v>
      </c>
      <c r="J225" s="9">
        <v>3</v>
      </c>
      <c r="K225" s="9" t="s">
        <v>12087</v>
      </c>
      <c r="L225" s="9" t="s">
        <v>12079</v>
      </c>
      <c r="M225" s="9"/>
      <c r="N225" s="10"/>
      <c r="O225" s="9"/>
      <c r="P225" s="9">
        <v>5676</v>
      </c>
      <c r="Q225" s="9"/>
      <c r="R225" s="9" t="s">
        <v>12795</v>
      </c>
      <c r="S225" s="9" t="s">
        <v>12795</v>
      </c>
      <c r="T225" s="9"/>
      <c r="U225" s="9"/>
      <c r="V225" s="9"/>
      <c r="W225" s="9"/>
      <c r="X225" s="9"/>
      <c r="Y225" s="9"/>
      <c r="Z225" s="9"/>
      <c r="AA225" s="9"/>
      <c r="AB225" s="9"/>
      <c r="AC225" s="9"/>
      <c r="AD225" s="9" t="s">
        <v>20</v>
      </c>
    </row>
    <row r="226" spans="1:30" ht="29">
      <c r="A226" s="3" t="s">
        <v>3549</v>
      </c>
      <c r="B226" s="3" t="s">
        <v>9354</v>
      </c>
      <c r="C226" s="3" t="s">
        <v>9355</v>
      </c>
      <c r="G226" s="9" t="s">
        <v>25</v>
      </c>
      <c r="H226" s="9"/>
      <c r="I226" s="9">
        <v>1</v>
      </c>
      <c r="J226" s="9">
        <v>3</v>
      </c>
      <c r="K226" s="9" t="s">
        <v>12087</v>
      </c>
      <c r="L226" s="9" t="s">
        <v>12079</v>
      </c>
      <c r="M226" s="9"/>
      <c r="N226" s="10"/>
      <c r="O226" s="9"/>
      <c r="P226" s="9">
        <v>356</v>
      </c>
      <c r="Q226" s="9"/>
      <c r="R226" s="9" t="s">
        <v>12795</v>
      </c>
      <c r="S226" s="9" t="s">
        <v>12795</v>
      </c>
      <c r="T226" s="9"/>
      <c r="U226" s="9"/>
      <c r="V226" s="9"/>
      <c r="W226" s="9"/>
      <c r="X226" s="9"/>
      <c r="Y226" s="9"/>
      <c r="Z226" s="9"/>
      <c r="AA226" s="9"/>
      <c r="AB226" s="9"/>
      <c r="AC226" s="9"/>
      <c r="AD226" s="9" t="s">
        <v>20</v>
      </c>
    </row>
    <row r="227" spans="1:30" ht="29">
      <c r="A227" s="3" t="s">
        <v>3563</v>
      </c>
      <c r="B227" s="3" t="s">
        <v>9386</v>
      </c>
      <c r="C227" s="3" t="s">
        <v>9387</v>
      </c>
      <c r="G227" s="9" t="s">
        <v>25</v>
      </c>
      <c r="H227" s="9"/>
      <c r="I227" s="9">
        <v>1</v>
      </c>
      <c r="J227" s="9">
        <v>3</v>
      </c>
      <c r="K227" s="9" t="s">
        <v>12094</v>
      </c>
      <c r="L227" s="9" t="s">
        <v>12079</v>
      </c>
      <c r="M227" s="9"/>
      <c r="N227" s="10"/>
      <c r="O227" s="9"/>
      <c r="P227" s="9">
        <v>1496</v>
      </c>
      <c r="Q227" s="9"/>
      <c r="R227" s="9" t="s">
        <v>12795</v>
      </c>
      <c r="S227" s="9" t="s">
        <v>12795</v>
      </c>
      <c r="T227" s="9"/>
      <c r="U227" s="9"/>
      <c r="V227" s="9"/>
      <c r="W227" s="9"/>
      <c r="X227" s="9"/>
      <c r="Y227" s="9"/>
      <c r="Z227" s="9"/>
      <c r="AA227" s="9"/>
      <c r="AB227" s="9"/>
      <c r="AC227" s="9"/>
      <c r="AD227" s="9" t="s">
        <v>20</v>
      </c>
    </row>
    <row r="228" spans="1:30" ht="43.5">
      <c r="A228" s="3" t="s">
        <v>3564</v>
      </c>
      <c r="B228" s="3" t="s">
        <v>9390</v>
      </c>
      <c r="C228" s="3" t="s">
        <v>9389</v>
      </c>
      <c r="E228" t="s">
        <v>20</v>
      </c>
      <c r="G228" s="9" t="s">
        <v>25</v>
      </c>
      <c r="H228" s="9"/>
      <c r="I228" s="9">
        <v>1</v>
      </c>
      <c r="J228" s="9">
        <v>5</v>
      </c>
      <c r="K228" s="9" t="s">
        <v>12094</v>
      </c>
      <c r="L228" s="9" t="s">
        <v>12079</v>
      </c>
      <c r="M228" s="9"/>
      <c r="N228" s="10"/>
      <c r="O228" s="9"/>
      <c r="P228" s="9">
        <v>4240</v>
      </c>
      <c r="Q228" s="9"/>
      <c r="R228" s="9" t="s">
        <v>12795</v>
      </c>
      <c r="S228" s="9" t="s">
        <v>12795</v>
      </c>
      <c r="T228" s="9"/>
      <c r="U228" s="9"/>
      <c r="V228" s="9"/>
      <c r="W228" s="9"/>
      <c r="X228" s="9"/>
      <c r="Y228" s="9"/>
      <c r="Z228" s="9"/>
      <c r="AA228" s="9"/>
      <c r="AB228" s="9"/>
      <c r="AC228" s="9"/>
      <c r="AD228" s="9" t="s">
        <v>20</v>
      </c>
    </row>
    <row r="229" spans="1:30" ht="29">
      <c r="A229" s="3" t="s">
        <v>3612</v>
      </c>
      <c r="B229" s="3" t="s">
        <v>9476</v>
      </c>
      <c r="C229" s="3" t="s">
        <v>9475</v>
      </c>
      <c r="G229" s="9" t="s">
        <v>25</v>
      </c>
      <c r="H229" s="9"/>
      <c r="I229" s="9">
        <v>1</v>
      </c>
      <c r="J229" s="9">
        <v>1</v>
      </c>
      <c r="K229" s="9" t="s">
        <v>12078</v>
      </c>
      <c r="L229" s="9" t="s">
        <v>12119</v>
      </c>
      <c r="M229" s="9"/>
      <c r="N229" s="10"/>
      <c r="O229" s="9"/>
      <c r="P229" s="9">
        <v>11843</v>
      </c>
      <c r="Q229" s="9"/>
      <c r="R229" s="9" t="s">
        <v>12795</v>
      </c>
      <c r="S229" s="9" t="s">
        <v>12795</v>
      </c>
      <c r="T229" s="9"/>
      <c r="U229" s="9"/>
      <c r="V229" s="9"/>
      <c r="W229" s="9"/>
      <c r="X229" s="9"/>
      <c r="Y229" s="9"/>
      <c r="Z229" s="9"/>
      <c r="AA229" s="9"/>
      <c r="AB229" s="9"/>
      <c r="AC229" s="9"/>
      <c r="AD229" s="9" t="s">
        <v>20</v>
      </c>
    </row>
    <row r="230" spans="1:30" ht="43.5">
      <c r="A230" s="3" t="s">
        <v>3640</v>
      </c>
      <c r="B230" s="3" t="s">
        <v>9541</v>
      </c>
      <c r="C230" s="3" t="s">
        <v>9540</v>
      </c>
      <c r="G230" s="9" t="s">
        <v>25</v>
      </c>
      <c r="H230" s="9"/>
      <c r="I230" s="9">
        <v>1</v>
      </c>
      <c r="J230" s="9">
        <v>2</v>
      </c>
      <c r="K230" s="9" t="s">
        <v>12094</v>
      </c>
      <c r="L230" s="9" t="s">
        <v>12119</v>
      </c>
      <c r="M230" s="9"/>
      <c r="N230" s="10"/>
      <c r="O230" s="9"/>
      <c r="P230" s="9">
        <v>1741</v>
      </c>
      <c r="Q230" s="9"/>
      <c r="R230" s="9" t="s">
        <v>12795</v>
      </c>
      <c r="S230" s="9" t="s">
        <v>12795</v>
      </c>
      <c r="T230" s="9"/>
      <c r="U230" s="9"/>
      <c r="V230" s="9"/>
      <c r="W230" s="9"/>
      <c r="X230" s="9"/>
      <c r="Y230" s="9"/>
      <c r="Z230" s="9"/>
      <c r="AA230" s="9"/>
      <c r="AB230" s="9"/>
      <c r="AC230" s="9"/>
      <c r="AD230" s="9" t="s">
        <v>20</v>
      </c>
    </row>
    <row r="231" spans="1:30" ht="29">
      <c r="A231" s="3" t="s">
        <v>3642</v>
      </c>
      <c r="B231" s="3" t="s">
        <v>9544</v>
      </c>
      <c r="C231" s="3" t="s">
        <v>9546</v>
      </c>
      <c r="F231" t="s">
        <v>19</v>
      </c>
      <c r="G231" s="9" t="s">
        <v>25</v>
      </c>
      <c r="H231" s="9"/>
      <c r="I231" s="9">
        <v>1</v>
      </c>
      <c r="J231" s="9">
        <v>3</v>
      </c>
      <c r="K231" s="9" t="s">
        <v>12087</v>
      </c>
      <c r="L231" s="9" t="s">
        <v>12079</v>
      </c>
      <c r="M231" s="9"/>
      <c r="N231" s="10"/>
      <c r="O231" s="9"/>
      <c r="P231" s="9">
        <v>5676</v>
      </c>
      <c r="Q231" s="9"/>
      <c r="R231" s="9" t="s">
        <v>12795</v>
      </c>
      <c r="S231" s="9" t="s">
        <v>12795</v>
      </c>
      <c r="T231" s="9"/>
      <c r="U231" s="9"/>
      <c r="V231" s="9"/>
      <c r="W231" s="9"/>
      <c r="X231" s="9"/>
      <c r="Y231" s="9"/>
      <c r="Z231" s="9"/>
      <c r="AA231" s="9"/>
      <c r="AB231" s="9"/>
      <c r="AC231" s="9"/>
      <c r="AD231" s="9" t="s">
        <v>20</v>
      </c>
    </row>
    <row r="232" spans="1:30" ht="29">
      <c r="A232" s="3" t="s">
        <v>3690</v>
      </c>
      <c r="B232" s="3" t="s">
        <v>9599</v>
      </c>
      <c r="C232" s="3" t="s">
        <v>9598</v>
      </c>
      <c r="F232" t="s">
        <v>19</v>
      </c>
      <c r="G232" s="9" t="s">
        <v>25</v>
      </c>
      <c r="H232" s="9"/>
      <c r="I232" s="9">
        <v>1</v>
      </c>
      <c r="J232" s="9">
        <v>2</v>
      </c>
      <c r="K232" s="9" t="s">
        <v>12078</v>
      </c>
      <c r="L232" s="9" t="s">
        <v>12119</v>
      </c>
      <c r="M232" s="9"/>
      <c r="N232" s="10"/>
      <c r="O232" s="9"/>
      <c r="P232" s="9">
        <v>11843</v>
      </c>
      <c r="Q232" s="9"/>
      <c r="R232" s="9" t="s">
        <v>12795</v>
      </c>
      <c r="S232" s="9" t="s">
        <v>12795</v>
      </c>
      <c r="T232" s="9"/>
      <c r="U232" s="9"/>
      <c r="V232" s="9"/>
      <c r="W232" s="9"/>
      <c r="X232" s="9"/>
      <c r="Y232" s="9"/>
      <c r="Z232" s="9"/>
      <c r="AA232" s="9"/>
      <c r="AB232" s="9"/>
      <c r="AC232" s="9"/>
      <c r="AD232" s="9" t="s">
        <v>20</v>
      </c>
    </row>
    <row r="233" spans="1:30" ht="29">
      <c r="A233" s="3" t="s">
        <v>3716</v>
      </c>
      <c r="B233" s="3" t="s">
        <v>9639</v>
      </c>
      <c r="C233" s="3" t="s">
        <v>9638</v>
      </c>
      <c r="G233" s="9" t="s">
        <v>25</v>
      </c>
      <c r="H233" s="9"/>
      <c r="I233" s="9">
        <v>1</v>
      </c>
      <c r="J233" s="9">
        <v>1</v>
      </c>
      <c r="K233" s="9" t="s">
        <v>12094</v>
      </c>
      <c r="L233" s="9" t="s">
        <v>12119</v>
      </c>
      <c r="M233" s="9"/>
      <c r="N233" s="10"/>
      <c r="O233" s="9"/>
      <c r="P233" s="9">
        <v>780</v>
      </c>
      <c r="Q233" s="9"/>
      <c r="R233" s="9" t="s">
        <v>12795</v>
      </c>
      <c r="S233" s="9" t="s">
        <v>12795</v>
      </c>
      <c r="T233" s="9"/>
      <c r="U233" s="9"/>
      <c r="V233" s="9"/>
      <c r="W233" s="9"/>
      <c r="X233" s="9"/>
      <c r="Y233" s="9"/>
      <c r="Z233" s="9"/>
      <c r="AA233" s="9"/>
      <c r="AB233" s="9"/>
      <c r="AC233" s="9"/>
      <c r="AD233" s="9" t="s">
        <v>20</v>
      </c>
    </row>
    <row r="234" spans="1:30" ht="43.5">
      <c r="A234" s="3" t="s">
        <v>3750</v>
      </c>
      <c r="B234" s="3" t="s">
        <v>9698</v>
      </c>
      <c r="C234" s="3" t="s">
        <v>9699</v>
      </c>
      <c r="G234" s="9" t="s">
        <v>25</v>
      </c>
      <c r="H234" s="9"/>
      <c r="I234" s="9">
        <v>1</v>
      </c>
      <c r="J234" s="9">
        <v>2</v>
      </c>
      <c r="K234" s="9" t="s">
        <v>12078</v>
      </c>
      <c r="L234" s="9" t="s">
        <v>12119</v>
      </c>
      <c r="M234" s="9"/>
      <c r="N234" s="10"/>
      <c r="O234" s="9"/>
      <c r="P234" s="9">
        <v>11843</v>
      </c>
      <c r="Q234" s="9"/>
      <c r="R234" s="9" t="s">
        <v>12795</v>
      </c>
      <c r="S234" s="9" t="s">
        <v>12795</v>
      </c>
      <c r="T234" s="9"/>
      <c r="U234" s="9"/>
      <c r="V234" s="9"/>
      <c r="W234" s="9"/>
      <c r="X234" s="9"/>
      <c r="Y234" s="9"/>
      <c r="Z234" s="9"/>
      <c r="AA234" s="9"/>
      <c r="AB234" s="9"/>
      <c r="AC234" s="9"/>
      <c r="AD234" s="9" t="s">
        <v>20</v>
      </c>
    </row>
    <row r="235" spans="1:30" ht="43.5">
      <c r="A235" s="3" t="s">
        <v>3775</v>
      </c>
      <c r="B235" s="3" t="s">
        <v>9748</v>
      </c>
      <c r="C235" s="3" t="s">
        <v>9747</v>
      </c>
      <c r="G235" s="9" t="s">
        <v>24</v>
      </c>
      <c r="H235" s="9"/>
      <c r="I235" s="9">
        <v>1</v>
      </c>
      <c r="J235" s="9">
        <v>2</v>
      </c>
      <c r="K235" s="9" t="s">
        <v>12096</v>
      </c>
      <c r="L235" s="9" t="s">
        <v>12119</v>
      </c>
      <c r="M235" s="9"/>
      <c r="N235" s="10"/>
      <c r="O235" s="9" t="s">
        <v>12074</v>
      </c>
      <c r="P235" s="9">
        <v>1294</v>
      </c>
      <c r="Q235" s="9"/>
      <c r="R235" s="9" t="s">
        <v>12795</v>
      </c>
      <c r="S235" s="9" t="s">
        <v>12795</v>
      </c>
      <c r="T235" s="9"/>
      <c r="U235" s="9"/>
      <c r="V235" s="9"/>
      <c r="W235" s="9"/>
      <c r="X235" s="9"/>
      <c r="Y235" s="9"/>
      <c r="Z235" s="9"/>
      <c r="AA235" s="9"/>
      <c r="AB235" s="9"/>
      <c r="AC235" s="9"/>
      <c r="AD235" s="9" t="s">
        <v>20</v>
      </c>
    </row>
    <row r="236" spans="1:30" ht="58">
      <c r="A236" s="3" t="s">
        <v>3782</v>
      </c>
      <c r="B236" s="3" t="s">
        <v>9765</v>
      </c>
      <c r="C236" s="3" t="s">
        <v>9764</v>
      </c>
      <c r="G236" s="9" t="s">
        <v>25</v>
      </c>
      <c r="H236" s="9"/>
      <c r="I236" s="9">
        <v>1</v>
      </c>
      <c r="J236" s="9">
        <v>5</v>
      </c>
      <c r="K236" s="9" t="s">
        <v>12094</v>
      </c>
      <c r="L236" s="9" t="s">
        <v>12073</v>
      </c>
      <c r="M236" s="9" t="s">
        <v>12142</v>
      </c>
      <c r="N236" s="10" t="s">
        <v>12143</v>
      </c>
      <c r="O236" s="9"/>
      <c r="P236" s="9">
        <v>4240</v>
      </c>
      <c r="Q236" s="9"/>
      <c r="R236" s="9" t="s">
        <v>12795</v>
      </c>
      <c r="S236" s="9" t="s">
        <v>12795</v>
      </c>
      <c r="T236" s="9"/>
      <c r="U236" s="9"/>
      <c r="V236" s="9"/>
      <c r="W236" s="9"/>
      <c r="X236" s="9"/>
      <c r="Y236" s="9"/>
      <c r="Z236" s="9"/>
      <c r="AA236" s="9"/>
      <c r="AB236" s="9"/>
      <c r="AC236" s="9"/>
      <c r="AD236" s="9" t="s">
        <v>20</v>
      </c>
    </row>
    <row r="237" spans="1:30" ht="43.5">
      <c r="A237" s="3" t="s">
        <v>3842</v>
      </c>
      <c r="B237" s="3" t="s">
        <v>12931</v>
      </c>
      <c r="C237" s="3" t="s">
        <v>9900</v>
      </c>
      <c r="F237" t="s">
        <v>19</v>
      </c>
      <c r="G237" s="9" t="s">
        <v>24</v>
      </c>
      <c r="H237" s="9"/>
      <c r="I237" s="9">
        <v>1</v>
      </c>
      <c r="J237" s="9">
        <v>2</v>
      </c>
      <c r="K237" s="9" t="s">
        <v>12078</v>
      </c>
      <c r="L237" s="9" t="s">
        <v>12119</v>
      </c>
      <c r="M237" s="9"/>
      <c r="N237" s="10"/>
      <c r="O237" s="9"/>
      <c r="P237" s="9">
        <v>11843</v>
      </c>
      <c r="Q237" s="9"/>
      <c r="R237" s="9" t="s">
        <v>12795</v>
      </c>
      <c r="S237" s="9" t="s">
        <v>12795</v>
      </c>
      <c r="T237" s="9"/>
      <c r="U237" s="9"/>
      <c r="V237" s="9"/>
      <c r="W237" s="9"/>
      <c r="X237" s="9"/>
      <c r="Y237" s="9"/>
      <c r="Z237" s="9"/>
      <c r="AA237" s="9"/>
      <c r="AB237" s="9"/>
      <c r="AC237" s="9"/>
      <c r="AD237" s="9" t="s">
        <v>20</v>
      </c>
    </row>
    <row r="238" spans="1:30" ht="58">
      <c r="A238" s="3" t="s">
        <v>3859</v>
      </c>
      <c r="B238" s="3" t="s">
        <v>9946</v>
      </c>
      <c r="C238" s="3" t="s">
        <v>9945</v>
      </c>
      <c r="G238" s="9" t="s">
        <v>25</v>
      </c>
      <c r="H238" s="9"/>
      <c r="I238" s="9">
        <v>1</v>
      </c>
      <c r="J238" s="9">
        <v>3</v>
      </c>
      <c r="K238" s="9" t="s">
        <v>12087</v>
      </c>
      <c r="L238" s="9" t="s">
        <v>12079</v>
      </c>
      <c r="M238" s="9"/>
      <c r="N238" s="10"/>
      <c r="O238" s="9"/>
      <c r="P238" s="9">
        <v>356</v>
      </c>
      <c r="Q238" s="9"/>
      <c r="R238" s="9" t="s">
        <v>12795</v>
      </c>
      <c r="S238" s="9" t="s">
        <v>12795</v>
      </c>
      <c r="T238" s="9"/>
      <c r="U238" s="9"/>
      <c r="V238" s="9"/>
      <c r="W238" s="9"/>
      <c r="X238" s="9"/>
      <c r="Y238" s="9"/>
      <c r="Z238" s="9"/>
      <c r="AA238" s="9"/>
      <c r="AB238" s="9"/>
      <c r="AC238" s="9"/>
      <c r="AD238" s="9" t="s">
        <v>20</v>
      </c>
    </row>
    <row r="239" spans="1:30" ht="43.5">
      <c r="A239" s="3" t="s">
        <v>3870</v>
      </c>
      <c r="B239" s="3" t="s">
        <v>9970</v>
      </c>
      <c r="C239" s="3" t="s">
        <v>9969</v>
      </c>
      <c r="G239" s="9" t="s">
        <v>25</v>
      </c>
      <c r="H239" s="9"/>
      <c r="I239" s="9">
        <v>1</v>
      </c>
      <c r="J239" s="9">
        <v>3</v>
      </c>
      <c r="K239" s="9" t="s">
        <v>12087</v>
      </c>
      <c r="L239" s="9" t="s">
        <v>12079</v>
      </c>
      <c r="M239" s="9"/>
      <c r="N239" s="10"/>
      <c r="O239" s="9"/>
      <c r="P239" s="9">
        <v>5676</v>
      </c>
      <c r="Q239" s="9"/>
      <c r="R239" s="9" t="s">
        <v>12795</v>
      </c>
      <c r="S239" s="9" t="s">
        <v>12795</v>
      </c>
      <c r="T239" s="9"/>
      <c r="U239" s="9"/>
      <c r="V239" s="9"/>
      <c r="W239" s="9"/>
      <c r="X239" s="9"/>
      <c r="Y239" s="9"/>
      <c r="Z239" s="9"/>
      <c r="AA239" s="9"/>
      <c r="AB239" s="9"/>
      <c r="AC239" s="9"/>
      <c r="AD239" s="9" t="s">
        <v>20</v>
      </c>
    </row>
    <row r="240" spans="1:30" ht="58">
      <c r="A240" s="3" t="s">
        <v>3874</v>
      </c>
      <c r="B240" s="3" t="s">
        <v>9975</v>
      </c>
      <c r="C240" s="3" t="s">
        <v>9976</v>
      </c>
      <c r="G240" s="9" t="s">
        <v>25</v>
      </c>
      <c r="H240" s="9"/>
      <c r="I240" s="9">
        <v>1</v>
      </c>
      <c r="J240" s="9">
        <v>4</v>
      </c>
      <c r="K240" s="9" t="s">
        <v>12094</v>
      </c>
      <c r="L240" s="9" t="s">
        <v>12079</v>
      </c>
      <c r="M240" s="9"/>
      <c r="N240" s="10"/>
      <c r="O240" s="9"/>
      <c r="P240" s="9">
        <v>4240</v>
      </c>
      <c r="Q240" s="9"/>
      <c r="R240" s="9" t="s">
        <v>12795</v>
      </c>
      <c r="S240" s="9" t="s">
        <v>12795</v>
      </c>
      <c r="T240" s="9"/>
      <c r="U240" s="9"/>
      <c r="V240" s="9"/>
      <c r="W240" s="9"/>
      <c r="X240" s="9"/>
      <c r="Y240" s="9"/>
      <c r="Z240" s="9"/>
      <c r="AA240" s="9"/>
      <c r="AB240" s="9"/>
      <c r="AC240" s="9"/>
      <c r="AD240" s="9" t="s">
        <v>20</v>
      </c>
    </row>
    <row r="241" spans="1:30" ht="29">
      <c r="A241" s="3" t="s">
        <v>3888</v>
      </c>
      <c r="B241" s="3" t="s">
        <v>10017</v>
      </c>
      <c r="C241" s="3" t="s">
        <v>10016</v>
      </c>
      <c r="G241" s="9" t="s">
        <v>24</v>
      </c>
      <c r="H241" s="9"/>
      <c r="I241" s="9">
        <v>1</v>
      </c>
      <c r="J241" s="9">
        <v>3</v>
      </c>
      <c r="K241" s="9" t="s">
        <v>12094</v>
      </c>
      <c r="L241" s="9" t="s">
        <v>12079</v>
      </c>
      <c r="M241" s="9"/>
      <c r="N241" s="10"/>
      <c r="O241" s="9"/>
      <c r="P241" s="9">
        <v>1741</v>
      </c>
      <c r="Q241" s="9"/>
      <c r="R241" s="9" t="s">
        <v>12795</v>
      </c>
      <c r="S241" s="9" t="s">
        <v>12795</v>
      </c>
      <c r="T241" s="9"/>
      <c r="U241" s="9"/>
      <c r="V241" s="9"/>
      <c r="W241" s="9"/>
      <c r="X241" s="9"/>
      <c r="Y241" s="9"/>
      <c r="Z241" s="9"/>
      <c r="AA241" s="9"/>
      <c r="AB241" s="9"/>
      <c r="AC241" s="9"/>
      <c r="AD241" s="9" t="s">
        <v>20</v>
      </c>
    </row>
    <row r="242" spans="1:30" ht="116">
      <c r="A242" s="3" t="s">
        <v>3936</v>
      </c>
      <c r="B242" s="3" t="s">
        <v>10126</v>
      </c>
      <c r="C242" s="3" t="s">
        <v>10121</v>
      </c>
      <c r="G242" s="9" t="s">
        <v>25</v>
      </c>
      <c r="H242" s="9"/>
      <c r="I242" s="9">
        <v>1</v>
      </c>
      <c r="J242" s="9">
        <v>4</v>
      </c>
      <c r="K242" s="9" t="s">
        <v>12096</v>
      </c>
      <c r="L242" s="9" t="s">
        <v>12079</v>
      </c>
      <c r="M242" s="9"/>
      <c r="N242" s="10"/>
      <c r="O242" s="9"/>
      <c r="P242" s="9">
        <v>207</v>
      </c>
      <c r="Q242" s="9"/>
      <c r="R242" s="9" t="s">
        <v>12795</v>
      </c>
      <c r="S242" s="9" t="s">
        <v>12795</v>
      </c>
      <c r="T242" s="9"/>
      <c r="U242" s="9"/>
      <c r="V242" s="9"/>
      <c r="W242" s="9"/>
      <c r="X242" s="9"/>
      <c r="Y242" s="9"/>
      <c r="Z242" s="9"/>
      <c r="AA242" s="9"/>
      <c r="AB242" s="9"/>
      <c r="AC242" s="9"/>
      <c r="AD242" s="9" t="s">
        <v>20</v>
      </c>
    </row>
    <row r="243" spans="1:30" ht="87">
      <c r="A243" s="3" t="s">
        <v>3945</v>
      </c>
      <c r="B243" s="3" t="s">
        <v>12519</v>
      </c>
      <c r="C243" s="3" t="s">
        <v>10135</v>
      </c>
      <c r="G243" s="9" t="s">
        <v>25</v>
      </c>
      <c r="H243" s="9"/>
      <c r="I243" s="9">
        <v>1</v>
      </c>
      <c r="J243" s="9">
        <v>3</v>
      </c>
      <c r="K243" s="9" t="s">
        <v>12096</v>
      </c>
      <c r="L243" s="9" t="s">
        <v>12079</v>
      </c>
      <c r="M243" s="9"/>
      <c r="N243" s="10"/>
      <c r="O243" s="9"/>
      <c r="P243" s="9">
        <v>264</v>
      </c>
      <c r="Q243" s="9"/>
      <c r="R243" s="9" t="s">
        <v>12795</v>
      </c>
      <c r="S243" s="9" t="s">
        <v>12795</v>
      </c>
      <c r="T243" s="9"/>
      <c r="U243" s="9"/>
      <c r="V243" s="9"/>
      <c r="W243" s="9"/>
      <c r="X243" s="9"/>
      <c r="Y243" s="9"/>
      <c r="Z243" s="9"/>
      <c r="AA243" s="9"/>
      <c r="AB243" s="9"/>
      <c r="AC243" s="9"/>
      <c r="AD243" s="9" t="s">
        <v>20</v>
      </c>
    </row>
    <row r="244" spans="1:30" ht="87">
      <c r="A244" s="3" t="s">
        <v>4007</v>
      </c>
      <c r="B244" s="3" t="s">
        <v>10242</v>
      </c>
      <c r="C244" s="3" t="s">
        <v>10241</v>
      </c>
      <c r="G244" s="9" t="s">
        <v>25</v>
      </c>
      <c r="H244" s="9"/>
      <c r="I244" s="9">
        <v>1</v>
      </c>
      <c r="J244" s="9">
        <v>3</v>
      </c>
      <c r="K244" s="9" t="s">
        <v>12087</v>
      </c>
      <c r="L244" s="9" t="s">
        <v>12079</v>
      </c>
      <c r="M244" s="9"/>
      <c r="N244" s="10"/>
      <c r="O244" s="9"/>
      <c r="P244" s="9">
        <v>431</v>
      </c>
      <c r="Q244" s="9"/>
      <c r="R244" s="9" t="s">
        <v>12795</v>
      </c>
      <c r="S244" s="9" t="s">
        <v>12795</v>
      </c>
      <c r="T244" s="9"/>
      <c r="U244" s="9"/>
      <c r="V244" s="9"/>
      <c r="W244" s="9"/>
      <c r="X244" s="9"/>
      <c r="Y244" s="9"/>
      <c r="Z244" s="9"/>
      <c r="AA244" s="9"/>
      <c r="AB244" s="9"/>
      <c r="AC244" s="9"/>
      <c r="AD244" s="9" t="s">
        <v>20</v>
      </c>
    </row>
    <row r="245" spans="1:30" ht="87">
      <c r="A245" s="3" t="s">
        <v>4023</v>
      </c>
      <c r="B245" s="3" t="s">
        <v>10290</v>
      </c>
      <c r="C245" s="3" t="s">
        <v>10291</v>
      </c>
      <c r="G245" s="9" t="s">
        <v>25</v>
      </c>
      <c r="H245" s="9"/>
      <c r="I245" s="9">
        <v>1</v>
      </c>
      <c r="J245" s="9">
        <v>2</v>
      </c>
      <c r="K245" s="9" t="s">
        <v>12087</v>
      </c>
      <c r="L245" s="9" t="s">
        <v>12119</v>
      </c>
      <c r="M245" s="9"/>
      <c r="N245" s="10"/>
      <c r="O245" s="9"/>
      <c r="P245" s="9">
        <v>1966</v>
      </c>
      <c r="Q245" s="9"/>
      <c r="R245" s="9" t="s">
        <v>12795</v>
      </c>
      <c r="S245" s="9" t="s">
        <v>12795</v>
      </c>
      <c r="T245" s="9"/>
      <c r="U245" s="9"/>
      <c r="V245" s="9"/>
      <c r="W245" s="9"/>
      <c r="X245" s="9"/>
      <c r="Y245" s="9"/>
      <c r="Z245" s="9"/>
      <c r="AA245" s="9"/>
      <c r="AB245" s="9"/>
      <c r="AC245" s="9"/>
      <c r="AD245" s="9" t="s">
        <v>20</v>
      </c>
    </row>
    <row r="246" spans="1:30" ht="43.5">
      <c r="A246" s="3" t="s">
        <v>4026</v>
      </c>
      <c r="B246" s="3" t="s">
        <v>10310</v>
      </c>
      <c r="C246" s="3" t="s">
        <v>10309</v>
      </c>
      <c r="G246" s="9" t="s">
        <v>25</v>
      </c>
      <c r="H246" s="9"/>
      <c r="I246" s="9">
        <v>1</v>
      </c>
      <c r="J246" s="9">
        <v>4</v>
      </c>
      <c r="K246" s="9" t="s">
        <v>12078</v>
      </c>
      <c r="L246" s="9" t="s">
        <v>12073</v>
      </c>
      <c r="M246" s="9" t="s">
        <v>12142</v>
      </c>
      <c r="N246" s="10" t="s">
        <v>12160</v>
      </c>
      <c r="O246" s="9" t="s">
        <v>12074</v>
      </c>
      <c r="P246" s="9">
        <v>11843</v>
      </c>
      <c r="Q246" s="9"/>
      <c r="R246" s="9" t="s">
        <v>12795</v>
      </c>
      <c r="S246" s="9" t="s">
        <v>12795</v>
      </c>
      <c r="T246" s="9"/>
      <c r="U246" s="9"/>
      <c r="V246" s="9"/>
      <c r="W246" s="9"/>
      <c r="X246" s="9"/>
      <c r="Y246" s="9"/>
      <c r="Z246" s="9"/>
      <c r="AA246" s="9"/>
      <c r="AB246" s="9"/>
      <c r="AC246" s="9"/>
      <c r="AD246" s="9" t="s">
        <v>20</v>
      </c>
    </row>
    <row r="247" spans="1:30" ht="72.5">
      <c r="A247" s="3" t="s">
        <v>4037</v>
      </c>
      <c r="B247" s="3" t="s">
        <v>10329</v>
      </c>
      <c r="C247" s="3" t="s">
        <v>10330</v>
      </c>
      <c r="G247" s="9" t="s">
        <v>24</v>
      </c>
      <c r="H247" s="9"/>
      <c r="I247" s="9">
        <v>1</v>
      </c>
      <c r="J247" s="9">
        <v>3</v>
      </c>
      <c r="K247" s="9" t="s">
        <v>12078</v>
      </c>
      <c r="L247" s="9" t="s">
        <v>12079</v>
      </c>
      <c r="M247" s="9"/>
      <c r="N247" s="10"/>
      <c r="O247" s="9"/>
      <c r="P247" s="9">
        <v>11843</v>
      </c>
      <c r="Q247" s="9"/>
      <c r="R247" s="9" t="s">
        <v>12795</v>
      </c>
      <c r="S247" s="9" t="s">
        <v>12795</v>
      </c>
      <c r="T247" s="9"/>
      <c r="U247" s="9"/>
      <c r="V247" s="9"/>
      <c r="W247" s="9"/>
      <c r="X247" s="9"/>
      <c r="Y247" s="9"/>
      <c r="Z247" s="9"/>
      <c r="AA247" s="9"/>
      <c r="AB247" s="9"/>
      <c r="AC247" s="9"/>
      <c r="AD247" s="9" t="s">
        <v>20</v>
      </c>
    </row>
    <row r="248" spans="1:30" ht="29">
      <c r="A248" s="3" t="s">
        <v>4112</v>
      </c>
      <c r="B248" s="3" t="s">
        <v>10528</v>
      </c>
      <c r="C248" s="3" t="s">
        <v>12533</v>
      </c>
      <c r="G248" s="9" t="s">
        <v>25</v>
      </c>
      <c r="H248" s="9"/>
      <c r="I248" s="9">
        <v>1</v>
      </c>
      <c r="J248" s="9">
        <v>2</v>
      </c>
      <c r="K248" s="9" t="s">
        <v>12078</v>
      </c>
      <c r="L248" s="9" t="s">
        <v>12119</v>
      </c>
      <c r="M248" s="9"/>
      <c r="N248" s="10"/>
      <c r="O248" s="9"/>
      <c r="P248" s="9">
        <v>11843</v>
      </c>
      <c r="Q248" s="9"/>
      <c r="R248" s="9" t="s">
        <v>12795</v>
      </c>
      <c r="S248" s="9" t="s">
        <v>12795</v>
      </c>
      <c r="T248" s="9"/>
      <c r="U248" s="9"/>
      <c r="V248" s="9"/>
      <c r="W248" s="9"/>
      <c r="X248" s="9"/>
      <c r="Y248" s="9"/>
      <c r="Z248" s="9"/>
      <c r="AA248" s="9"/>
      <c r="AB248" s="9"/>
      <c r="AC248" s="9"/>
      <c r="AD248" s="9" t="s">
        <v>20</v>
      </c>
    </row>
    <row r="249" spans="1:30" ht="130.5">
      <c r="A249" s="3" t="s">
        <v>4133</v>
      </c>
      <c r="B249" s="3" t="s">
        <v>10565</v>
      </c>
      <c r="C249" s="3" t="s">
        <v>10567</v>
      </c>
      <c r="G249" s="9" t="s">
        <v>24</v>
      </c>
      <c r="H249" s="9"/>
      <c r="I249" s="9">
        <v>1</v>
      </c>
      <c r="J249" s="9">
        <v>3</v>
      </c>
      <c r="K249" s="9" t="s">
        <v>12078</v>
      </c>
      <c r="L249" s="9" t="s">
        <v>12079</v>
      </c>
      <c r="M249" s="9"/>
      <c r="N249" s="10"/>
      <c r="O249" s="9"/>
      <c r="P249" s="9">
        <v>11843</v>
      </c>
      <c r="Q249" s="9"/>
      <c r="R249" s="9" t="s">
        <v>12795</v>
      </c>
      <c r="S249" s="9" t="s">
        <v>12795</v>
      </c>
      <c r="T249" s="9"/>
      <c r="U249" s="9"/>
      <c r="V249" s="9"/>
      <c r="W249" s="9"/>
      <c r="X249" s="9"/>
      <c r="Y249" s="9"/>
      <c r="Z249" s="9"/>
      <c r="AA249" s="9"/>
      <c r="AB249" s="9"/>
      <c r="AC249" s="9"/>
      <c r="AD249" s="9" t="s">
        <v>20</v>
      </c>
    </row>
    <row r="250" spans="1:30" ht="29">
      <c r="A250" s="3" t="s">
        <v>4165</v>
      </c>
      <c r="B250" s="11" t="s">
        <v>10648</v>
      </c>
      <c r="C250" s="3" t="s">
        <v>10645</v>
      </c>
      <c r="F250" t="s">
        <v>19</v>
      </c>
      <c r="G250" s="9" t="s">
        <v>25</v>
      </c>
      <c r="H250" s="9"/>
      <c r="I250" s="9">
        <v>1</v>
      </c>
      <c r="J250" s="9">
        <v>2</v>
      </c>
      <c r="K250" s="9" t="s">
        <v>12078</v>
      </c>
      <c r="L250" s="9" t="s">
        <v>12119</v>
      </c>
      <c r="M250" s="9"/>
      <c r="N250" s="10"/>
      <c r="O250" s="9"/>
      <c r="P250" s="9">
        <v>11843</v>
      </c>
      <c r="Q250" s="9"/>
      <c r="R250" s="9" t="s">
        <v>12795</v>
      </c>
      <c r="S250" s="9" t="s">
        <v>12795</v>
      </c>
      <c r="T250" s="9"/>
      <c r="U250" s="9"/>
      <c r="V250" s="9"/>
      <c r="W250" s="9"/>
      <c r="X250" s="9"/>
      <c r="Y250" s="9"/>
      <c r="Z250" s="9"/>
      <c r="AA250" s="9"/>
      <c r="AB250" s="9"/>
      <c r="AC250" s="9"/>
      <c r="AD250" s="9" t="s">
        <v>20</v>
      </c>
    </row>
    <row r="251" spans="1:30" ht="43.5">
      <c r="A251" s="3" t="s">
        <v>4175</v>
      </c>
      <c r="B251" s="3" t="s">
        <v>10697</v>
      </c>
      <c r="C251" s="3" t="s">
        <v>10694</v>
      </c>
      <c r="G251" s="9" t="s">
        <v>25</v>
      </c>
      <c r="H251" s="9"/>
      <c r="I251" s="9">
        <v>1</v>
      </c>
      <c r="J251" s="9">
        <v>2</v>
      </c>
      <c r="K251" s="9" t="s">
        <v>12087</v>
      </c>
      <c r="L251" s="9" t="s">
        <v>12119</v>
      </c>
      <c r="M251" s="9"/>
      <c r="N251" s="10"/>
      <c r="O251" s="9"/>
      <c r="P251" s="9">
        <v>166</v>
      </c>
      <c r="Q251" s="9"/>
      <c r="R251" s="9" t="s">
        <v>12795</v>
      </c>
      <c r="S251" s="9" t="s">
        <v>12795</v>
      </c>
      <c r="T251" s="9"/>
      <c r="U251" s="9"/>
      <c r="V251" s="9"/>
      <c r="W251" s="9"/>
      <c r="X251" s="9"/>
      <c r="Y251" s="9"/>
      <c r="Z251" s="9"/>
      <c r="AA251" s="9"/>
      <c r="AB251" s="9"/>
      <c r="AC251" s="9"/>
      <c r="AD251" s="9" t="s">
        <v>20</v>
      </c>
    </row>
    <row r="252" spans="1:30" ht="43.5">
      <c r="A252" s="3" t="s">
        <v>4206</v>
      </c>
      <c r="B252" s="3" t="s">
        <v>10775</v>
      </c>
      <c r="C252" s="3" t="s">
        <v>10774</v>
      </c>
      <c r="G252" s="9" t="s">
        <v>25</v>
      </c>
      <c r="H252" s="9"/>
      <c r="I252" s="9">
        <v>1</v>
      </c>
      <c r="J252" s="9">
        <v>2</v>
      </c>
      <c r="K252" s="9" t="s">
        <v>12087</v>
      </c>
      <c r="L252" s="9" t="s">
        <v>12119</v>
      </c>
      <c r="M252" s="9"/>
      <c r="N252" s="10"/>
      <c r="O252" s="9"/>
      <c r="P252" s="9">
        <v>1966</v>
      </c>
      <c r="Q252" s="9"/>
      <c r="R252" s="9" t="s">
        <v>12795</v>
      </c>
      <c r="S252" s="9" t="s">
        <v>12795</v>
      </c>
      <c r="T252" s="9"/>
      <c r="U252" s="9"/>
      <c r="V252" s="9"/>
      <c r="W252" s="9"/>
      <c r="X252" s="9"/>
      <c r="Y252" s="9"/>
      <c r="Z252" s="9"/>
      <c r="AA252" s="9"/>
      <c r="AB252" s="9"/>
      <c r="AC252" s="9"/>
      <c r="AD252" s="9" t="s">
        <v>20</v>
      </c>
    </row>
    <row r="253" spans="1:30" ht="58">
      <c r="A253" s="3" t="s">
        <v>4242</v>
      </c>
      <c r="B253" s="3" t="s">
        <v>10836</v>
      </c>
      <c r="C253" s="3" t="s">
        <v>10835</v>
      </c>
      <c r="G253" s="9" t="s">
        <v>25</v>
      </c>
      <c r="H253" s="9"/>
      <c r="I253" s="9">
        <v>1</v>
      </c>
      <c r="J253" s="9">
        <v>3</v>
      </c>
      <c r="K253" s="9" t="s">
        <v>12087</v>
      </c>
      <c r="L253" s="9" t="s">
        <v>12079</v>
      </c>
      <c r="M253" s="9"/>
      <c r="N253" s="10"/>
      <c r="O253" s="9"/>
      <c r="P253" s="9">
        <v>5676</v>
      </c>
      <c r="Q253" s="9"/>
      <c r="R253" s="9" t="s">
        <v>12795</v>
      </c>
      <c r="S253" s="9" t="s">
        <v>12795</v>
      </c>
      <c r="T253" s="9"/>
      <c r="U253" s="9"/>
      <c r="V253" s="9"/>
      <c r="W253" s="9"/>
      <c r="X253" s="9"/>
      <c r="Y253" s="9"/>
      <c r="Z253" s="9"/>
      <c r="AA253" s="9"/>
      <c r="AB253" s="9"/>
      <c r="AC253" s="9"/>
      <c r="AD253" s="9" t="s">
        <v>13141</v>
      </c>
    </row>
    <row r="254" spans="1:30" ht="72.5">
      <c r="A254" s="3" t="s">
        <v>4309</v>
      </c>
      <c r="B254" s="3" t="s">
        <v>10962</v>
      </c>
      <c r="C254" s="3" t="s">
        <v>10961</v>
      </c>
      <c r="G254" s="9" t="s">
        <v>25</v>
      </c>
      <c r="H254" s="9"/>
      <c r="I254" s="9">
        <v>1</v>
      </c>
      <c r="J254" s="9">
        <v>5</v>
      </c>
      <c r="K254" s="9" t="s">
        <v>12094</v>
      </c>
      <c r="L254" s="9" t="s">
        <v>12073</v>
      </c>
      <c r="M254" s="9" t="s">
        <v>12142</v>
      </c>
      <c r="N254" s="10" t="s">
        <v>12143</v>
      </c>
      <c r="O254" s="9"/>
      <c r="P254" s="9">
        <v>4240</v>
      </c>
      <c r="Q254" s="9"/>
      <c r="R254" s="9" t="s">
        <v>12795</v>
      </c>
      <c r="S254" s="9" t="s">
        <v>12795</v>
      </c>
      <c r="T254" s="9"/>
      <c r="U254" s="9"/>
      <c r="V254" s="9"/>
      <c r="W254" s="9"/>
      <c r="X254" s="9"/>
      <c r="Y254" s="9"/>
      <c r="Z254" s="9"/>
      <c r="AA254" s="9"/>
      <c r="AB254" s="9"/>
      <c r="AC254" s="9"/>
      <c r="AD254" s="9" t="s">
        <v>20</v>
      </c>
    </row>
    <row r="255" spans="1:30" ht="58">
      <c r="A255" s="3" t="s">
        <v>4317</v>
      </c>
      <c r="B255" s="3" t="s">
        <v>10983</v>
      </c>
      <c r="C255" s="3" t="s">
        <v>10982</v>
      </c>
      <c r="E255" t="s">
        <v>20</v>
      </c>
      <c r="G255" s="9" t="s">
        <v>25</v>
      </c>
      <c r="H255" s="9"/>
      <c r="I255" s="9">
        <v>1</v>
      </c>
      <c r="J255" s="9">
        <v>3</v>
      </c>
      <c r="K255" s="9" t="s">
        <v>12087</v>
      </c>
      <c r="L255" s="9" t="s">
        <v>12079</v>
      </c>
      <c r="M255" s="9"/>
      <c r="N255" s="10"/>
      <c r="O255" s="9"/>
      <c r="P255" s="9">
        <v>309</v>
      </c>
      <c r="Q255" s="9"/>
      <c r="R255" s="9" t="s">
        <v>12795</v>
      </c>
      <c r="S255" s="9" t="s">
        <v>12795</v>
      </c>
      <c r="T255" s="9"/>
      <c r="U255" s="9"/>
      <c r="V255" s="9"/>
      <c r="W255" s="9"/>
      <c r="X255" s="9"/>
      <c r="Y255" s="9"/>
      <c r="Z255" s="9"/>
      <c r="AA255" s="9"/>
      <c r="AB255" s="9"/>
      <c r="AC255" s="9"/>
      <c r="AD255" s="9" t="s">
        <v>13141</v>
      </c>
    </row>
    <row r="256" spans="1:30" ht="43.5">
      <c r="A256" s="3" t="s">
        <v>4321</v>
      </c>
      <c r="B256" s="3" t="s">
        <v>11002</v>
      </c>
      <c r="C256" s="3" t="s">
        <v>11001</v>
      </c>
      <c r="G256" s="9" t="s">
        <v>25</v>
      </c>
      <c r="H256" s="9"/>
      <c r="I256" s="9">
        <v>1</v>
      </c>
      <c r="J256" s="9">
        <v>3</v>
      </c>
      <c r="K256" s="9" t="s">
        <v>12094</v>
      </c>
      <c r="L256" s="9" t="s">
        <v>12079</v>
      </c>
      <c r="M256" s="9"/>
      <c r="N256" s="10"/>
      <c r="O256" s="9"/>
      <c r="P256" s="9">
        <v>1741</v>
      </c>
      <c r="Q256" s="9"/>
      <c r="R256" s="9" t="s">
        <v>12795</v>
      </c>
      <c r="S256" s="9" t="s">
        <v>12795</v>
      </c>
      <c r="T256" s="9"/>
      <c r="U256" s="9"/>
      <c r="V256" s="9"/>
      <c r="W256" s="9"/>
      <c r="X256" s="9"/>
      <c r="Y256" s="9"/>
      <c r="Z256" s="9"/>
      <c r="AA256" s="9"/>
      <c r="AB256" s="9"/>
      <c r="AC256" s="9"/>
      <c r="AD256" s="9" t="s">
        <v>20</v>
      </c>
    </row>
    <row r="257" spans="1:30" ht="29">
      <c r="A257" s="3" t="s">
        <v>4323</v>
      </c>
      <c r="B257" s="3" t="s">
        <v>11006</v>
      </c>
      <c r="C257" s="3" t="s">
        <v>11005</v>
      </c>
      <c r="G257" s="9" t="s">
        <v>24</v>
      </c>
      <c r="H257" s="9"/>
      <c r="I257" s="9">
        <v>1</v>
      </c>
      <c r="J257" s="9">
        <v>3</v>
      </c>
      <c r="K257" s="9" t="s">
        <v>12078</v>
      </c>
      <c r="L257" s="9" t="s">
        <v>12079</v>
      </c>
      <c r="M257" s="9"/>
      <c r="N257" s="10"/>
      <c r="O257" s="9"/>
      <c r="P257" s="9">
        <v>11843</v>
      </c>
      <c r="Q257" s="9"/>
      <c r="R257" s="9" t="s">
        <v>12795</v>
      </c>
      <c r="S257" s="9" t="s">
        <v>12795</v>
      </c>
      <c r="T257" s="9"/>
      <c r="U257" s="9"/>
      <c r="V257" s="9"/>
      <c r="W257" s="9"/>
      <c r="X257" s="9"/>
      <c r="Y257" s="9"/>
      <c r="Z257" s="9"/>
      <c r="AA257" s="9"/>
      <c r="AB257" s="9"/>
      <c r="AC257" s="9"/>
      <c r="AD257" s="9" t="s">
        <v>20</v>
      </c>
    </row>
    <row r="258" spans="1:30" ht="43.5">
      <c r="A258" s="3" t="s">
        <v>4347</v>
      </c>
      <c r="B258" s="3" t="s">
        <v>11069</v>
      </c>
      <c r="C258" s="3" t="s">
        <v>11070</v>
      </c>
      <c r="G258" s="9" t="s">
        <v>25</v>
      </c>
      <c r="H258" s="9"/>
      <c r="I258" s="9">
        <v>1</v>
      </c>
      <c r="J258" s="9">
        <v>3</v>
      </c>
      <c r="K258" s="9" t="s">
        <v>12096</v>
      </c>
      <c r="L258" s="9" t="s">
        <v>12079</v>
      </c>
      <c r="M258" s="9"/>
      <c r="N258" s="10"/>
      <c r="O258" s="9"/>
      <c r="P258" s="9">
        <v>560</v>
      </c>
      <c r="Q258" s="9"/>
      <c r="R258" s="9" t="s">
        <v>12795</v>
      </c>
      <c r="S258" s="9" t="s">
        <v>12795</v>
      </c>
      <c r="T258" s="9"/>
      <c r="U258" s="9"/>
      <c r="V258" s="9"/>
      <c r="W258" s="9"/>
      <c r="X258" s="9"/>
      <c r="Y258" s="9"/>
      <c r="Z258" s="9"/>
      <c r="AA258" s="9"/>
      <c r="AB258" s="9"/>
      <c r="AC258" s="9"/>
      <c r="AD258" s="9" t="s">
        <v>20</v>
      </c>
    </row>
    <row r="259" spans="1:30" ht="87">
      <c r="A259" s="3" t="s">
        <v>4370</v>
      </c>
      <c r="B259" s="3" t="s">
        <v>11133</v>
      </c>
      <c r="C259" s="3" t="s">
        <v>11134</v>
      </c>
      <c r="G259" s="9" t="s">
        <v>24</v>
      </c>
      <c r="H259" s="9"/>
      <c r="I259" s="9">
        <v>1</v>
      </c>
      <c r="J259" s="9">
        <v>2</v>
      </c>
      <c r="K259" s="9" t="s">
        <v>12096</v>
      </c>
      <c r="L259" s="9" t="s">
        <v>12119</v>
      </c>
      <c r="M259" s="9"/>
      <c r="N259" s="10"/>
      <c r="O259" s="9" t="s">
        <v>12074</v>
      </c>
      <c r="P259" s="9">
        <v>1294</v>
      </c>
      <c r="Q259" s="9"/>
      <c r="R259" s="9" t="s">
        <v>12795</v>
      </c>
      <c r="S259" s="9" t="s">
        <v>12795</v>
      </c>
      <c r="T259" s="9"/>
      <c r="U259" s="9"/>
      <c r="V259" s="9"/>
      <c r="W259" s="9"/>
      <c r="X259" s="9"/>
      <c r="Y259" s="9"/>
      <c r="Z259" s="9"/>
      <c r="AA259" s="9"/>
      <c r="AB259" s="9"/>
      <c r="AC259" s="9"/>
      <c r="AD259" s="9" t="s">
        <v>20</v>
      </c>
    </row>
    <row r="260" spans="1:30" ht="58">
      <c r="A260" s="3" t="s">
        <v>4376</v>
      </c>
      <c r="B260" s="3" t="s">
        <v>11155</v>
      </c>
      <c r="C260" s="3" t="s">
        <v>11154</v>
      </c>
      <c r="G260" s="9" t="s">
        <v>25</v>
      </c>
      <c r="H260" s="9"/>
      <c r="I260" s="9">
        <v>1</v>
      </c>
      <c r="J260" s="9">
        <v>2</v>
      </c>
      <c r="K260" s="9" t="s">
        <v>12087</v>
      </c>
      <c r="L260" s="9" t="s">
        <v>12119</v>
      </c>
      <c r="M260" s="9"/>
      <c r="N260" s="10"/>
      <c r="O260" s="9"/>
      <c r="P260" s="9">
        <v>1966</v>
      </c>
      <c r="Q260" s="9"/>
      <c r="R260" s="9" t="s">
        <v>12795</v>
      </c>
      <c r="S260" s="9" t="s">
        <v>12795</v>
      </c>
      <c r="T260" s="9"/>
      <c r="U260" s="9"/>
      <c r="V260" s="9"/>
      <c r="W260" s="9"/>
      <c r="X260" s="9"/>
      <c r="Y260" s="9"/>
      <c r="Z260" s="9"/>
      <c r="AA260" s="9"/>
      <c r="AB260" s="9"/>
      <c r="AC260" s="9"/>
      <c r="AD260" s="9" t="s">
        <v>20</v>
      </c>
    </row>
    <row r="261" spans="1:30" ht="43.5">
      <c r="A261" s="3" t="s">
        <v>4381</v>
      </c>
      <c r="B261" s="3" t="s">
        <v>11169</v>
      </c>
      <c r="C261" s="3" t="s">
        <v>11170</v>
      </c>
      <c r="F261" t="s">
        <v>19</v>
      </c>
      <c r="G261" s="9" t="s">
        <v>24</v>
      </c>
      <c r="H261" s="9"/>
      <c r="I261" s="9">
        <v>1</v>
      </c>
      <c r="J261" s="9">
        <v>5</v>
      </c>
      <c r="K261" s="9" t="s">
        <v>12094</v>
      </c>
      <c r="L261" s="9" t="s">
        <v>12073</v>
      </c>
      <c r="M261" s="9" t="s">
        <v>12149</v>
      </c>
      <c r="N261" s="10" t="s">
        <v>12143</v>
      </c>
      <c r="O261" s="9"/>
      <c r="P261" s="9">
        <v>4240</v>
      </c>
      <c r="Q261" s="9"/>
      <c r="R261" s="9" t="s">
        <v>12795</v>
      </c>
      <c r="S261" s="9" t="s">
        <v>12795</v>
      </c>
      <c r="T261" s="9"/>
      <c r="U261" s="9"/>
      <c r="V261" s="9"/>
      <c r="W261" s="9"/>
      <c r="X261" s="9"/>
      <c r="Y261" s="9"/>
      <c r="Z261" s="9"/>
      <c r="AA261" s="9"/>
      <c r="AB261" s="9"/>
      <c r="AC261" s="9"/>
      <c r="AD261" s="9" t="s">
        <v>20</v>
      </c>
    </row>
    <row r="262" spans="1:30" ht="29">
      <c r="A262" s="3" t="s">
        <v>4423</v>
      </c>
      <c r="B262" s="3" t="s">
        <v>11251</v>
      </c>
      <c r="C262" s="3" t="s">
        <v>11252</v>
      </c>
      <c r="G262" s="9" t="s">
        <v>25</v>
      </c>
      <c r="H262" s="9"/>
      <c r="I262" s="9">
        <v>1</v>
      </c>
      <c r="J262" s="9">
        <v>3</v>
      </c>
      <c r="K262" s="9" t="s">
        <v>12078</v>
      </c>
      <c r="L262" s="9" t="s">
        <v>12079</v>
      </c>
      <c r="M262" s="9"/>
      <c r="N262" s="10"/>
      <c r="O262" s="9"/>
      <c r="P262" s="9">
        <v>11843</v>
      </c>
      <c r="Q262" s="9"/>
      <c r="R262" s="9" t="s">
        <v>12795</v>
      </c>
      <c r="S262" s="9" t="s">
        <v>12795</v>
      </c>
      <c r="T262" s="9"/>
      <c r="U262" s="9"/>
      <c r="V262" s="9"/>
      <c r="W262" s="9"/>
      <c r="X262" s="9"/>
      <c r="Y262" s="9"/>
      <c r="Z262" s="9"/>
      <c r="AA262" s="9"/>
      <c r="AB262" s="9"/>
      <c r="AC262" s="9"/>
      <c r="AD262" s="9" t="s">
        <v>20</v>
      </c>
    </row>
    <row r="263" spans="1:30" ht="29">
      <c r="A263" s="3" t="s">
        <v>4447</v>
      </c>
      <c r="B263" s="3" t="s">
        <v>11305</v>
      </c>
      <c r="C263" s="3" t="s">
        <v>11304</v>
      </c>
      <c r="G263" s="9" t="s">
        <v>24</v>
      </c>
      <c r="H263" s="9"/>
      <c r="I263" s="9">
        <v>1</v>
      </c>
      <c r="J263" s="9">
        <v>1</v>
      </c>
      <c r="K263" s="9" t="s">
        <v>12078</v>
      </c>
      <c r="L263" s="9" t="s">
        <v>12119</v>
      </c>
      <c r="M263" s="9"/>
      <c r="N263" s="10"/>
      <c r="O263" s="9"/>
      <c r="P263" s="9">
        <v>11843</v>
      </c>
      <c r="Q263" s="9"/>
      <c r="R263" s="9" t="s">
        <v>12795</v>
      </c>
      <c r="S263" s="9" t="s">
        <v>12795</v>
      </c>
      <c r="T263" s="9"/>
      <c r="U263" s="9"/>
      <c r="V263" s="9"/>
      <c r="W263" s="9"/>
      <c r="X263" s="9"/>
      <c r="Y263" s="9"/>
      <c r="Z263" s="9"/>
      <c r="AA263" s="9"/>
      <c r="AB263" s="9"/>
      <c r="AC263" s="9"/>
      <c r="AD263" s="9" t="s">
        <v>20</v>
      </c>
    </row>
    <row r="264" spans="1:30" ht="29">
      <c r="A264" s="3" t="s">
        <v>4485</v>
      </c>
      <c r="B264" s="3" t="s">
        <v>11367</v>
      </c>
      <c r="C264" s="3" t="s">
        <v>11368</v>
      </c>
      <c r="F264" t="s">
        <v>19</v>
      </c>
      <c r="G264" s="9" t="s">
        <v>25</v>
      </c>
      <c r="H264" s="9"/>
      <c r="I264" s="9">
        <v>1</v>
      </c>
      <c r="J264" s="9">
        <v>3</v>
      </c>
      <c r="K264" s="9" t="s">
        <v>12078</v>
      </c>
      <c r="L264" s="9" t="s">
        <v>12079</v>
      </c>
      <c r="M264" s="9"/>
      <c r="N264" s="10"/>
      <c r="O264" s="9"/>
      <c r="P264" s="9">
        <v>11843</v>
      </c>
      <c r="Q264" s="9"/>
      <c r="R264" s="9" t="s">
        <v>12795</v>
      </c>
      <c r="S264" s="9" t="s">
        <v>12795</v>
      </c>
      <c r="T264" s="9"/>
      <c r="U264" s="9"/>
      <c r="V264" s="9"/>
      <c r="W264" s="9"/>
      <c r="X264" s="9"/>
      <c r="Y264" s="9"/>
      <c r="Z264" s="9"/>
      <c r="AA264" s="9"/>
      <c r="AB264" s="9"/>
      <c r="AC264" s="9"/>
      <c r="AD264" s="9" t="s">
        <v>20</v>
      </c>
    </row>
    <row r="265" spans="1:30" ht="29">
      <c r="A265" s="3" t="s">
        <v>4509</v>
      </c>
      <c r="B265" s="3" t="s">
        <v>11440</v>
      </c>
      <c r="C265" s="3" t="s">
        <v>11441</v>
      </c>
      <c r="G265" s="9" t="s">
        <v>25</v>
      </c>
      <c r="H265" s="9"/>
      <c r="I265" s="9">
        <v>1</v>
      </c>
      <c r="J265" s="9">
        <v>2</v>
      </c>
      <c r="K265" s="9" t="s">
        <v>12078</v>
      </c>
      <c r="L265" s="9" t="s">
        <v>12119</v>
      </c>
      <c r="M265" s="9"/>
      <c r="N265" s="10"/>
      <c r="O265" s="9"/>
      <c r="P265" s="9">
        <v>11843</v>
      </c>
      <c r="Q265" s="9"/>
      <c r="R265" s="9" t="s">
        <v>12795</v>
      </c>
      <c r="S265" s="9" t="s">
        <v>12795</v>
      </c>
      <c r="T265" s="9"/>
      <c r="U265" s="9"/>
      <c r="V265" s="9"/>
      <c r="W265" s="9"/>
      <c r="X265" s="9"/>
      <c r="Y265" s="9"/>
      <c r="Z265" s="9"/>
      <c r="AA265" s="9"/>
      <c r="AB265" s="9"/>
      <c r="AC265" s="9"/>
      <c r="AD265" s="9" t="s">
        <v>20</v>
      </c>
    </row>
    <row r="266" spans="1:30" ht="43.5">
      <c r="A266" s="3" t="s">
        <v>4600</v>
      </c>
      <c r="B266" s="3" t="s">
        <v>11676</v>
      </c>
      <c r="C266" s="3" t="s">
        <v>11675</v>
      </c>
      <c r="G266" s="9" t="s">
        <v>24</v>
      </c>
      <c r="H266" s="9"/>
      <c r="I266" s="9">
        <v>1</v>
      </c>
      <c r="J266" s="9">
        <v>3</v>
      </c>
      <c r="K266" s="9" t="s">
        <v>12087</v>
      </c>
      <c r="L266" s="9" t="s">
        <v>12073</v>
      </c>
      <c r="M266" s="9" t="s">
        <v>12149</v>
      </c>
      <c r="N266" s="10" t="s">
        <v>12143</v>
      </c>
      <c r="O266" s="9"/>
      <c r="P266" s="9">
        <v>5676</v>
      </c>
      <c r="Q266" s="9"/>
      <c r="R266" s="9" t="s">
        <v>12795</v>
      </c>
      <c r="S266" s="9" t="s">
        <v>12795</v>
      </c>
      <c r="T266" s="9"/>
      <c r="U266" s="9"/>
      <c r="V266" s="9"/>
      <c r="W266" s="9"/>
      <c r="X266" s="9"/>
      <c r="Y266" s="9"/>
      <c r="Z266" s="9"/>
      <c r="AA266" s="9"/>
      <c r="AB266" s="9"/>
      <c r="AC266" s="9"/>
      <c r="AD266" s="9" t="s">
        <v>20</v>
      </c>
    </row>
    <row r="267" spans="1:30" ht="58">
      <c r="A267" s="3" t="s">
        <v>4624</v>
      </c>
      <c r="B267" s="3" t="s">
        <v>11717</v>
      </c>
      <c r="C267" s="3" t="s">
        <v>11716</v>
      </c>
      <c r="G267" s="9" t="s">
        <v>25</v>
      </c>
      <c r="H267" s="9"/>
      <c r="I267" s="9">
        <v>1</v>
      </c>
      <c r="J267" s="9">
        <v>2</v>
      </c>
      <c r="K267" s="9" t="s">
        <v>12078</v>
      </c>
      <c r="L267" s="9" t="s">
        <v>12119</v>
      </c>
      <c r="M267" s="9"/>
      <c r="N267" s="10"/>
      <c r="O267" s="9"/>
      <c r="P267" s="9">
        <v>11843</v>
      </c>
      <c r="Q267" s="9"/>
      <c r="R267" s="9" t="s">
        <v>12795</v>
      </c>
      <c r="S267" s="9" t="s">
        <v>12795</v>
      </c>
      <c r="T267" s="9"/>
      <c r="U267" s="9"/>
      <c r="V267" s="9"/>
      <c r="W267" s="9"/>
      <c r="X267" s="9"/>
      <c r="Y267" s="9"/>
      <c r="Z267" s="9"/>
      <c r="AA267" s="9"/>
      <c r="AB267" s="9"/>
      <c r="AC267" s="9"/>
      <c r="AD267" s="9" t="s">
        <v>20</v>
      </c>
    </row>
    <row r="268" spans="1:30" ht="29">
      <c r="A268" s="3" t="s">
        <v>4641</v>
      </c>
      <c r="B268" s="3" t="s">
        <v>11765</v>
      </c>
      <c r="C268" s="3" t="s">
        <v>11766</v>
      </c>
      <c r="F268" t="s">
        <v>19</v>
      </c>
      <c r="G268" s="9" t="s">
        <v>25</v>
      </c>
      <c r="H268" s="9"/>
      <c r="I268" s="9">
        <v>1</v>
      </c>
      <c r="J268" s="9">
        <v>3</v>
      </c>
      <c r="K268" s="9" t="s">
        <v>12078</v>
      </c>
      <c r="L268" s="9" t="s">
        <v>12079</v>
      </c>
      <c r="M268" s="9"/>
      <c r="N268" s="10"/>
      <c r="O268" s="9"/>
      <c r="P268" s="9">
        <v>11843</v>
      </c>
      <c r="Q268" s="9"/>
      <c r="R268" s="9" t="s">
        <v>12795</v>
      </c>
      <c r="S268" s="9" t="s">
        <v>12795</v>
      </c>
      <c r="T268" s="9"/>
      <c r="U268" s="9"/>
      <c r="V268" s="9"/>
      <c r="W268" s="9"/>
      <c r="X268" s="9"/>
      <c r="Y268" s="9"/>
      <c r="Z268" s="9"/>
      <c r="AA268" s="9"/>
      <c r="AB268" s="9"/>
      <c r="AC268" s="9"/>
      <c r="AD268" s="9" t="s">
        <v>20</v>
      </c>
    </row>
    <row r="269" spans="1:30" ht="29">
      <c r="A269" s="3" t="s">
        <v>4653</v>
      </c>
      <c r="B269" s="3" t="s">
        <v>11815</v>
      </c>
      <c r="C269" s="3" t="s">
        <v>11814</v>
      </c>
      <c r="G269" s="9" t="s">
        <v>24</v>
      </c>
      <c r="H269" s="9"/>
      <c r="I269" s="9">
        <v>1</v>
      </c>
      <c r="J269" s="9">
        <v>2</v>
      </c>
      <c r="K269" s="9" t="s">
        <v>12087</v>
      </c>
      <c r="L269" s="9" t="s">
        <v>12119</v>
      </c>
      <c r="M269" s="9"/>
      <c r="N269" s="10"/>
      <c r="O269" s="9"/>
      <c r="P269" s="9">
        <v>166</v>
      </c>
      <c r="Q269" s="9"/>
      <c r="R269" s="9" t="s">
        <v>12795</v>
      </c>
      <c r="S269" s="9" t="s">
        <v>12795</v>
      </c>
      <c r="T269" s="9" t="s">
        <v>4</v>
      </c>
      <c r="U269" s="9"/>
      <c r="V269" s="9"/>
      <c r="W269" s="9"/>
      <c r="X269" s="9"/>
      <c r="Y269" s="9"/>
      <c r="Z269" s="9"/>
      <c r="AA269" s="9"/>
      <c r="AB269" s="9"/>
      <c r="AC269" s="9"/>
      <c r="AD269" s="9" t="s">
        <v>20</v>
      </c>
    </row>
    <row r="270" spans="1:30" ht="29">
      <c r="A270" s="3" t="s">
        <v>4655</v>
      </c>
      <c r="B270" s="3" t="s">
        <v>11829</v>
      </c>
      <c r="C270" s="3" t="s">
        <v>11830</v>
      </c>
      <c r="F270" t="s">
        <v>19</v>
      </c>
      <c r="G270" s="9" t="s">
        <v>24</v>
      </c>
      <c r="H270" s="9"/>
      <c r="I270" s="9">
        <v>1</v>
      </c>
      <c r="J270" s="9">
        <v>3</v>
      </c>
      <c r="K270" s="9" t="s">
        <v>12094</v>
      </c>
      <c r="L270" s="9" t="s">
        <v>12079</v>
      </c>
      <c r="M270" s="9"/>
      <c r="N270" s="10"/>
      <c r="O270" s="9"/>
      <c r="P270" s="9">
        <v>1496</v>
      </c>
      <c r="Q270" s="9"/>
      <c r="R270" s="9" t="s">
        <v>12795</v>
      </c>
      <c r="S270" s="9" t="s">
        <v>12795</v>
      </c>
      <c r="T270" s="9"/>
      <c r="U270" s="9"/>
      <c r="V270" s="9"/>
      <c r="W270" s="9"/>
      <c r="X270" s="9"/>
      <c r="Y270" s="9"/>
      <c r="Z270" s="9"/>
      <c r="AA270" s="9"/>
      <c r="AB270" s="9"/>
      <c r="AC270" s="9"/>
      <c r="AD270" s="9" t="s">
        <v>20</v>
      </c>
    </row>
    <row r="271" spans="1:30" ht="72.5">
      <c r="A271" s="3" t="s">
        <v>4711</v>
      </c>
      <c r="B271" s="3" t="s">
        <v>11971</v>
      </c>
      <c r="C271" s="3" t="s">
        <v>11969</v>
      </c>
      <c r="G271" s="9" t="s">
        <v>25</v>
      </c>
      <c r="H271" s="9"/>
      <c r="I271" s="9">
        <v>1</v>
      </c>
      <c r="J271" s="9">
        <v>3</v>
      </c>
      <c r="K271" s="9" t="s">
        <v>12087</v>
      </c>
      <c r="L271" s="9" t="s">
        <v>12079</v>
      </c>
      <c r="M271" s="9"/>
      <c r="N271" s="10"/>
      <c r="O271" s="9"/>
      <c r="P271" s="9">
        <v>5676</v>
      </c>
      <c r="Q271" s="9"/>
      <c r="R271" s="9" t="s">
        <v>12795</v>
      </c>
      <c r="S271" s="9" t="s">
        <v>12795</v>
      </c>
      <c r="T271" s="9"/>
      <c r="U271" s="9"/>
      <c r="V271" s="9"/>
      <c r="W271" s="9"/>
      <c r="X271" s="9"/>
      <c r="Y271" s="9"/>
      <c r="Z271" s="9"/>
      <c r="AA271" s="9"/>
      <c r="AB271" s="9"/>
      <c r="AC271" s="9"/>
      <c r="AD271" s="9" t="s">
        <v>20</v>
      </c>
    </row>
    <row r="272" spans="1:30" ht="43.5">
      <c r="A272" s="3" t="s">
        <v>4727</v>
      </c>
      <c r="B272" s="3" t="s">
        <v>11999</v>
      </c>
      <c r="C272" s="3" t="s">
        <v>12000</v>
      </c>
      <c r="G272" s="9" t="s">
        <v>25</v>
      </c>
      <c r="H272" s="9"/>
      <c r="I272" s="9">
        <v>1</v>
      </c>
      <c r="J272" s="9">
        <v>2</v>
      </c>
      <c r="K272" s="9" t="s">
        <v>12123</v>
      </c>
      <c r="L272" s="9" t="s">
        <v>12119</v>
      </c>
      <c r="M272" s="9"/>
      <c r="N272" s="10"/>
      <c r="O272" s="9"/>
      <c r="P272" s="9">
        <v>887</v>
      </c>
      <c r="Q272" s="9"/>
      <c r="R272" s="9" t="s">
        <v>12795</v>
      </c>
      <c r="S272" s="9" t="s">
        <v>12795</v>
      </c>
      <c r="T272" s="9"/>
      <c r="U272" s="9"/>
      <c r="V272" s="9"/>
      <c r="W272" s="9"/>
      <c r="X272" s="9"/>
      <c r="Y272" s="9"/>
      <c r="Z272" s="9"/>
      <c r="AA272" s="9"/>
      <c r="AB272" s="9"/>
      <c r="AC272" s="9"/>
      <c r="AD272" s="9" t="s">
        <v>20</v>
      </c>
    </row>
    <row r="273" spans="1:30" ht="29">
      <c r="A273" s="3" t="s">
        <v>4742</v>
      </c>
      <c r="B273" s="3" t="s">
        <v>12014</v>
      </c>
      <c r="C273" s="3" t="s">
        <v>12013</v>
      </c>
      <c r="G273" s="9" t="s">
        <v>24</v>
      </c>
      <c r="H273" s="9"/>
      <c r="I273" s="9">
        <v>1</v>
      </c>
      <c r="J273" s="9">
        <v>2</v>
      </c>
      <c r="K273" s="9" t="s">
        <v>12087</v>
      </c>
      <c r="L273" s="9" t="s">
        <v>12119</v>
      </c>
      <c r="M273" s="9"/>
      <c r="N273" s="10"/>
      <c r="O273" s="9"/>
      <c r="P273" s="9">
        <v>166</v>
      </c>
      <c r="Q273" s="9"/>
      <c r="R273" s="9" t="s">
        <v>12795</v>
      </c>
      <c r="S273" s="9" t="s">
        <v>12795</v>
      </c>
      <c r="T273" s="9"/>
      <c r="U273" s="9"/>
      <c r="V273" s="9"/>
      <c r="W273" s="9"/>
      <c r="X273" s="9"/>
      <c r="Y273" s="9"/>
      <c r="Z273" s="9"/>
      <c r="AA273" s="9"/>
      <c r="AB273" s="9"/>
      <c r="AC273" s="9"/>
      <c r="AD273" s="9" t="s">
        <v>20</v>
      </c>
    </row>
    <row r="274" spans="1:30" ht="58">
      <c r="A274" s="3" t="s">
        <v>4760</v>
      </c>
      <c r="B274" s="3" t="s">
        <v>12034</v>
      </c>
      <c r="C274" s="3" t="s">
        <v>12033</v>
      </c>
      <c r="G274" s="9" t="s">
        <v>25</v>
      </c>
      <c r="H274" s="9"/>
      <c r="I274" s="9">
        <v>1</v>
      </c>
      <c r="J274" s="9">
        <v>3</v>
      </c>
      <c r="K274" s="9" t="s">
        <v>12087</v>
      </c>
      <c r="L274" s="9" t="s">
        <v>12079</v>
      </c>
      <c r="M274" s="9"/>
      <c r="N274" s="10"/>
      <c r="O274" s="9"/>
      <c r="P274" s="9">
        <v>5676</v>
      </c>
      <c r="Q274" s="9"/>
      <c r="R274" s="9" t="s">
        <v>12795</v>
      </c>
      <c r="S274" s="9" t="s">
        <v>12795</v>
      </c>
      <c r="T274" s="9"/>
      <c r="U274" s="9"/>
      <c r="V274" s="9"/>
      <c r="W274" s="9"/>
      <c r="X274" s="9"/>
      <c r="Y274" s="9"/>
      <c r="Z274" s="9"/>
      <c r="AA274" s="9"/>
      <c r="AB274" s="9"/>
      <c r="AC274" s="9"/>
      <c r="AD274" s="9" t="s">
        <v>20</v>
      </c>
    </row>
    <row r="275" spans="1:30" ht="29">
      <c r="A275" s="3" t="s">
        <v>4767</v>
      </c>
      <c r="B275" s="3" t="s">
        <v>12048</v>
      </c>
      <c r="C275" s="3" t="s">
        <v>12047</v>
      </c>
      <c r="F275" t="s">
        <v>19</v>
      </c>
      <c r="G275" s="9" t="s">
        <v>25</v>
      </c>
      <c r="H275" s="9"/>
      <c r="I275" s="9">
        <v>1</v>
      </c>
      <c r="J275" s="9">
        <v>3</v>
      </c>
      <c r="K275" s="9" t="s">
        <v>12078</v>
      </c>
      <c r="L275" s="9" t="s">
        <v>12079</v>
      </c>
      <c r="M275" s="9"/>
      <c r="N275" s="10"/>
      <c r="O275" s="9"/>
      <c r="P275" s="9">
        <v>11843</v>
      </c>
      <c r="Q275" s="9"/>
      <c r="R275" s="9" t="s">
        <v>12795</v>
      </c>
      <c r="S275" s="9" t="s">
        <v>12795</v>
      </c>
      <c r="T275" s="9"/>
      <c r="U275" s="9"/>
      <c r="V275" s="9"/>
      <c r="W275" s="9"/>
      <c r="X275" s="9"/>
      <c r="Y275" s="9"/>
      <c r="Z275" s="9"/>
      <c r="AA275" s="9"/>
      <c r="AB275" s="9"/>
      <c r="AC275" s="9"/>
      <c r="AD275" s="9" t="s">
        <v>20</v>
      </c>
    </row>
    <row r="276" spans="1:30" ht="29">
      <c r="A276" s="3" t="s">
        <v>4768</v>
      </c>
      <c r="B276" s="3" t="s">
        <v>12054</v>
      </c>
      <c r="C276" s="3" t="s">
        <v>12053</v>
      </c>
      <c r="G276" s="9" t="s">
        <v>24</v>
      </c>
      <c r="H276" s="9"/>
      <c r="I276" s="9">
        <v>1</v>
      </c>
      <c r="J276" s="9">
        <v>2</v>
      </c>
      <c r="K276" s="9" t="s">
        <v>12087</v>
      </c>
      <c r="L276" s="9" t="s">
        <v>12119</v>
      </c>
      <c r="M276" s="9"/>
      <c r="N276" s="10"/>
      <c r="O276" s="9"/>
      <c r="P276" s="9">
        <v>1966</v>
      </c>
      <c r="Q276" s="9"/>
      <c r="R276" s="9" t="s">
        <v>12795</v>
      </c>
      <c r="S276" s="9" t="s">
        <v>12795</v>
      </c>
      <c r="T276" s="9"/>
      <c r="U276" s="9"/>
      <c r="V276" s="9"/>
      <c r="W276" s="9"/>
      <c r="X276" s="9"/>
      <c r="Y276" s="9"/>
      <c r="Z276" s="9"/>
      <c r="AA276" s="9"/>
      <c r="AB276" s="9"/>
      <c r="AC276" s="9"/>
      <c r="AD276" s="9" t="s">
        <v>13141</v>
      </c>
    </row>
    <row r="279" spans="1:30">
      <c r="D279" t="s">
        <v>12792</v>
      </c>
      <c r="E279">
        <v>83220</v>
      </c>
    </row>
    <row r="280" spans="1:30">
      <c r="D280" t="s">
        <v>12797</v>
      </c>
      <c r="E280">
        <f>MEDIAN(P:P)</f>
        <v>11843</v>
      </c>
    </row>
    <row r="283" spans="1:30">
      <c r="D283" t="s">
        <v>12798</v>
      </c>
      <c r="E283">
        <f>COUNTIFS(G:G, "Addition", P:P, "&gt;=" &amp; $E$280)</f>
        <v>39</v>
      </c>
      <c r="F283" s="4" t="s">
        <v>12807</v>
      </c>
    </row>
    <row r="284" spans="1:30">
      <c r="D284" t="s">
        <v>12799</v>
      </c>
      <c r="E284">
        <f>COUNTIFS(G:G, "Omission", P:P, "&gt;=" &amp; $E$280)</f>
        <v>100</v>
      </c>
    </row>
    <row r="285" spans="1:30">
      <c r="D285" t="s">
        <v>12800</v>
      </c>
      <c r="E285">
        <f>E283/(E283+E284)</f>
        <v>0.2805755395683453</v>
      </c>
    </row>
    <row r="286" spans="1:30">
      <c r="D286" t="s">
        <v>12801</v>
      </c>
      <c r="E286">
        <f>COUNTIFS(G:G, "Addition", P:P, "&lt;" &amp; $E$280)</f>
        <v>35</v>
      </c>
    </row>
    <row r="287" spans="1:30">
      <c r="D287" t="s">
        <v>12802</v>
      </c>
      <c r="E287">
        <f>COUNTIFS(G:G, "Omission", P:P, "&lt;" &amp; $E$280)</f>
        <v>101</v>
      </c>
    </row>
    <row r="288" spans="1:30">
      <c r="D288" t="s">
        <v>12803</v>
      </c>
      <c r="E288">
        <f>E286/(E286+E287)</f>
        <v>0.25735294117647056</v>
      </c>
    </row>
    <row r="291" spans="4:5">
      <c r="D291" t="s">
        <v>12804</v>
      </c>
      <c r="E291">
        <f>COUNTIFS(G:G, "Addition", K:K, "Article")</f>
        <v>39</v>
      </c>
    </row>
    <row r="292" spans="4:5">
      <c r="D292" t="s">
        <v>12805</v>
      </c>
      <c r="E292">
        <f>COUNTIFS(G:G, "Omission", K:K, "Article")</f>
        <v>100</v>
      </c>
    </row>
    <row r="293" spans="4:5">
      <c r="D293" t="s">
        <v>12806</v>
      </c>
      <c r="E293">
        <f>COUNTIFS(G:G, "Addition", K:K, "Article")/(COUNTIFS(G:G, "Addition", K:K, "Article") + COUNTIFS(G:G, "Omission", K:K, "Article"))</f>
        <v>0.2805755395683453</v>
      </c>
    </row>
  </sheetData>
  <conditionalFormatting sqref="G2:G276">
    <cfRule type="expression" dxfId="108" priority="4">
      <formula>$J2&lt;&gt;""</formula>
    </cfRule>
    <cfRule type="expression" dxfId="107" priority="5">
      <formula>$J2=""</formula>
    </cfRule>
  </conditionalFormatting>
  <conditionalFormatting sqref="H2:L276 O2:P276">
    <cfRule type="expression" dxfId="106" priority="13">
      <formula>AND($J2&lt;&gt;"Addition",$J2&lt;&gt;"Omission",$J2&lt;&gt;"Substitution - Word")</formula>
    </cfRule>
  </conditionalFormatting>
  <conditionalFormatting sqref="H2:P276">
    <cfRule type="expression" dxfId="105" priority="23">
      <formula>AND(OR($J2="Addition",$J2="Omission"), H2&lt;&gt;"")</formula>
    </cfRule>
  </conditionalFormatting>
  <conditionalFormatting sqref="K2:K276">
    <cfRule type="expression" dxfId="104" priority="10">
      <formula>AND($L2&lt;&gt;"",$L2&gt;1)</formula>
    </cfRule>
  </conditionalFormatting>
  <conditionalFormatting sqref="M2:N276">
    <cfRule type="expression" dxfId="103" priority="6">
      <formula>$O2="Absent"</formula>
    </cfRule>
    <cfRule type="expression" dxfId="102" priority="7">
      <formula>$O2="NA"</formula>
    </cfRule>
    <cfRule type="expression" dxfId="101" priority="8">
      <formula>AND(OR($J2="Addition",$J2="Omission"), M2="")</formula>
    </cfRule>
    <cfRule type="expression" dxfId="100" priority="9">
      <formula>AND($J2&lt;&gt;"Addition",$J2&lt;&gt;"Omission")</formula>
    </cfRule>
  </conditionalFormatting>
  <conditionalFormatting sqref="O2:O276">
    <cfRule type="expression" dxfId="99" priority="11">
      <formula>OR($J2="Addition",$J2="Omission",$J2 = "Substitution - Word")</formula>
    </cfRule>
  </conditionalFormatting>
  <conditionalFormatting sqref="O2:P276 H2:L276">
    <cfRule type="expression" dxfId="98" priority="12">
      <formula>AND(OR($J2="Addition",$J2="Omission"), H2="")</formula>
    </cfRule>
  </conditionalFormatting>
  <conditionalFormatting sqref="Q2:S276">
    <cfRule type="expression" dxfId="97" priority="20">
      <formula>AND(AND(LEFT($J2,3)="Sub", RIGHT($J2,4)&lt;&gt;"Form"),$T2&lt;&gt;"")</formula>
    </cfRule>
    <cfRule type="expression" dxfId="96" priority="21">
      <formula>AND(AND(LEFT($J2,3)="Sub", RIGHT($J2,4)&lt;&gt;"Form"),$T2="")</formula>
    </cfRule>
    <cfRule type="expression" dxfId="95" priority="22">
      <formula>"&lt;&gt;AND(LEFT($J2,3)=""Sub"", RIGHT($J2,4)&lt;&gt;""Form"")"</formula>
    </cfRule>
  </conditionalFormatting>
  <conditionalFormatting sqref="R2:S276">
    <cfRule type="expression" dxfId="94" priority="1">
      <formula>AND(AND(LEFT($J2,3)="Sub", RIGHT($J2,4)&lt;&gt;"Form"),$T2&lt;&gt;"")</formula>
    </cfRule>
    <cfRule type="expression" dxfId="93" priority="2">
      <formula>AND(AND(LEFT($J2,3)="Sub", RIGHT($J2,4)&lt;&gt;"Form"),$T2="")</formula>
    </cfRule>
    <cfRule type="expression" dxfId="92" priority="3">
      <formula>"&lt;&gt;AND(LEFT($J2,3)=""Sub"", RIGHT($J2,4)&lt;&gt;""Form"")"</formula>
    </cfRule>
  </conditionalFormatting>
  <conditionalFormatting sqref="T2:T276">
    <cfRule type="expression" dxfId="91" priority="15">
      <formula>AND($W2&lt;&gt;"",OR($AD2="Yes",$AE2&lt;&gt;""))</formula>
    </cfRule>
    <cfRule type="expression" dxfId="90" priority="16">
      <formula>OR($AD2="Yes",$AE2&lt;&gt;"")</formula>
    </cfRule>
    <cfRule type="expression" dxfId="89" priority="26">
      <formula>AND($AD2&lt;&gt;"Yes",$AE2="")</formula>
    </cfRule>
  </conditionalFormatting>
  <conditionalFormatting sqref="T2:AD276">
    <cfRule type="expression" dxfId="88" priority="24">
      <formula>AND($J2&lt;&gt;"",$J2&lt;&gt;"Unclear due to correction")</formula>
    </cfRule>
    <cfRule type="expression" dxfId="87" priority="25">
      <formula>OR($J2="",$J2="Unclear due to correction")</formula>
    </cfRule>
  </conditionalFormatting>
  <conditionalFormatting sqref="U2:U276">
    <cfRule type="expression" dxfId="86" priority="14">
      <formula>AND($J2&lt;&gt;"",$J2&lt;&gt;"Unclear due to correction",$X2="")</formula>
    </cfRule>
  </conditionalFormatting>
  <conditionalFormatting sqref="V2:V276">
    <cfRule type="expression" dxfId="85" priority="17">
      <formula>AND($X2="Yes",$Y2="")</formula>
    </cfRule>
    <cfRule type="expression" dxfId="84" priority="18">
      <formula>$X2=""</formula>
    </cfRule>
  </conditionalFormatting>
  <conditionalFormatting sqref="AA2:AA276">
    <cfRule type="expression" dxfId="83" priority="19">
      <formula>AND(OR($AB2&lt;&gt;"",$AC2&lt;&gt;""),$AD2="")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7">
        <x14:dataValidation type="list" allowBlank="1" showInputMessage="1" showErrorMessage="1" xr:uid="{B35D9654-7003-4264-B158-52E973E86D67}">
          <x14:formula1>
            <xm:f>'Data Regularization'!$S$2:$S$5</xm:f>
          </x14:formula1>
          <xm:sqref>AD2:AD276</xm:sqref>
        </x14:dataValidation>
        <x14:dataValidation type="list" allowBlank="1" showInputMessage="1" showErrorMessage="1" xr:uid="{A5E5F7E9-15DC-4D49-ACF0-BCB0615DFF12}">
          <x14:formula1>
            <xm:f>'Data Regularization'!$R$2:$R$1048576</xm:f>
          </x14:formula1>
          <xm:sqref>AC2:AC276</xm:sqref>
        </x14:dataValidation>
        <x14:dataValidation type="list" allowBlank="1" showInputMessage="1" xr:uid="{E0652BDB-B723-48C3-97B8-52D4F2F66D44}">
          <x14:formula1>
            <xm:f>'Data Regularization'!$J$2:$J$1048576</xm:f>
          </x14:formula1>
          <xm:sqref>U2:U276</xm:sqref>
        </x14:dataValidation>
        <x14:dataValidation type="list" allowBlank="1" showInputMessage="1" showErrorMessage="1" xr:uid="{007D11F3-37CC-4E2D-8EA3-27D482306F99}">
          <x14:formula1>
            <xm:f>'Data Regularization'!$H$2:$H$1048576</xm:f>
          </x14:formula1>
          <xm:sqref>T2:T276</xm:sqref>
        </x14:dataValidation>
        <x14:dataValidation type="list" allowBlank="1" showInputMessage="1" showErrorMessage="1" xr:uid="{1D2F0AB3-31BD-4498-A0AC-09A413224C63}">
          <x14:formula1>
            <xm:f>'Data Regularization'!$Q$2:$Q$1048576</xm:f>
          </x14:formula1>
          <xm:sqref>AB2:AB276</xm:sqref>
        </x14:dataValidation>
        <x14:dataValidation type="list" allowBlank="1" showInputMessage="1" showErrorMessage="1" xr:uid="{76BF304B-8FC5-4BBA-8FE8-9AE68F086F21}">
          <x14:formula1>
            <xm:f>'Data Regularization'!$P$2:$P$1048576</xm:f>
          </x14:formula1>
          <xm:sqref>AA2:AA276</xm:sqref>
        </x14:dataValidation>
        <x14:dataValidation type="list" allowBlank="1" showInputMessage="1" showErrorMessage="1" xr:uid="{692C57A8-31F7-45FD-8693-731B0759546E}">
          <x14:formula1>
            <xm:f>'Data Regularization'!$O$2:$O$1048576</xm:f>
          </x14:formula1>
          <xm:sqref>Y2:Y276</xm:sqref>
        </x14:dataValidation>
        <x14:dataValidation type="list" allowBlank="1" showInputMessage="1" showErrorMessage="1" xr:uid="{4A357FD3-3DA6-47AA-811D-FD08CF366C34}">
          <x14:formula1>
            <xm:f>'Data Regularization'!$N$2:$N$1048576</xm:f>
          </x14:formula1>
          <xm:sqref>X2:X276</xm:sqref>
        </x14:dataValidation>
        <x14:dataValidation type="list" allowBlank="1" showInputMessage="1" showErrorMessage="1" xr:uid="{57F57395-D31F-4CFE-87B5-F555292E22F8}">
          <x14:formula1>
            <xm:f>'Data Regularization'!$L$2:$L$1048576</xm:f>
          </x14:formula1>
          <xm:sqref>W2:W276</xm:sqref>
        </x14:dataValidation>
        <x14:dataValidation type="list" allowBlank="1" showInputMessage="1" showErrorMessage="1" xr:uid="{DC1DE24D-BE7B-47EC-AFE9-94738C59CC73}">
          <x14:formula1>
            <xm:f>'Data Regularization'!$K$2:$K$1048576</xm:f>
          </x14:formula1>
          <xm:sqref>V2:V276</xm:sqref>
        </x14:dataValidation>
        <x14:dataValidation type="list" allowBlank="1" showInputMessage="1" showErrorMessage="1" xr:uid="{6B783C92-BD11-49A9-BB2A-93EBF5A44367}">
          <x14:formula1>
            <xm:f>'Data Regularization'!$G$2:$G$1048576</xm:f>
          </x14:formula1>
          <xm:sqref>O2:O276</xm:sqref>
        </x14:dataValidation>
        <x14:dataValidation type="list" allowBlank="1" showInputMessage="1" showErrorMessage="1" xr:uid="{EF3AE414-2514-4DEE-A892-95AAE0B052FC}">
          <x14:formula1>
            <xm:f>'Data Regularization'!$F$2:$F$1048576</xm:f>
          </x14:formula1>
          <xm:sqref>L2:L276</xm:sqref>
        </x14:dataValidation>
        <x14:dataValidation type="list" allowBlank="1" showInputMessage="1" showErrorMessage="1" xr:uid="{94CEA661-C515-4CD4-A6DC-DF82EFF87AC7}">
          <x14:formula1>
            <xm:f>'Data Regularization'!$E$2:$E$1048576</xm:f>
          </x14:formula1>
          <xm:sqref>K2:K276</xm:sqref>
        </x14:dataValidation>
        <x14:dataValidation type="list" allowBlank="1" showInputMessage="1" showErrorMessage="1" xr:uid="{0BE6813C-C448-4D85-85D2-4C0A16E8729E}">
          <x14:formula1>
            <xm:f>'Data Regularization'!$A$2:$A$1048576</xm:f>
          </x14:formula1>
          <xm:sqref>D2:D276</xm:sqref>
        </x14:dataValidation>
        <x14:dataValidation type="list" allowBlank="1" showInputMessage="1" showErrorMessage="1" xr:uid="{81DE2C8F-CDA5-41D3-B5B4-293AC704A6F0}">
          <x14:formula1>
            <xm:f>'Data Regularization'!$C$2:$C$29</xm:f>
          </x14:formula1>
          <xm:sqref>F2:F276</xm:sqref>
        </x14:dataValidation>
        <x14:dataValidation type="list" allowBlank="1" showInputMessage="1" showErrorMessage="1" xr:uid="{A387F823-E47C-4BC1-A031-350E64CD02D8}">
          <x14:formula1>
            <xm:f>'Data Regularization'!$B$2:$B$1048576</xm:f>
          </x14:formula1>
          <xm:sqref>E2:E276</xm:sqref>
        </x14:dataValidation>
        <x14:dataValidation type="list" allowBlank="1" showInputMessage="1" showErrorMessage="1" xr:uid="{1254FEC1-07DD-41AE-94FE-F7910F5DE370}">
          <x14:formula1>
            <xm:f>'Data Regularization'!$D$2:$D$1048576</xm:f>
          </x14:formula1>
          <xm:sqref>G1:G276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69855-0F9D-4761-BB65-4A6795B57590}">
  <dimension ref="A1:AD72"/>
  <sheetViews>
    <sheetView topLeftCell="A55" workbookViewId="0">
      <selection activeCell="D72" sqref="D72:E72"/>
    </sheetView>
  </sheetViews>
  <sheetFormatPr defaultRowHeight="14.5"/>
  <sheetData>
    <row r="1" spans="1:30"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12112</v>
      </c>
      <c r="U1" s="1" t="s">
        <v>12113</v>
      </c>
      <c r="V1" s="1" t="s">
        <v>12114</v>
      </c>
      <c r="W1" s="1" t="s">
        <v>12068</v>
      </c>
      <c r="X1" s="1" t="s">
        <v>12069</v>
      </c>
      <c r="Y1" s="1" t="s">
        <v>12070</v>
      </c>
      <c r="Z1" s="1" t="s">
        <v>12111</v>
      </c>
      <c r="AA1" s="1" t="s">
        <v>12115</v>
      </c>
      <c r="AB1" s="1" t="s">
        <v>12071</v>
      </c>
      <c r="AC1" s="1" t="s">
        <v>12116</v>
      </c>
      <c r="AD1" s="1" t="s">
        <v>13140</v>
      </c>
    </row>
    <row r="2" spans="1:30" ht="29">
      <c r="A2" s="3" t="s">
        <v>492</v>
      </c>
      <c r="B2" s="3" t="s">
        <v>5119</v>
      </c>
      <c r="C2" s="3" t="s">
        <v>5120</v>
      </c>
      <c r="G2" s="9" t="s">
        <v>25</v>
      </c>
      <c r="H2" s="9"/>
      <c r="I2" s="9">
        <v>1</v>
      </c>
      <c r="J2" s="9">
        <v>2</v>
      </c>
      <c r="K2" s="9" t="s">
        <v>12092</v>
      </c>
      <c r="L2" s="9" t="s">
        <v>12119</v>
      </c>
      <c r="M2" s="9"/>
      <c r="N2" s="10"/>
      <c r="O2" s="9"/>
      <c r="P2" s="9">
        <v>472</v>
      </c>
      <c r="Q2" s="9"/>
      <c r="R2" s="9" t="s">
        <v>12795</v>
      </c>
      <c r="S2" s="9" t="s">
        <v>12795</v>
      </c>
      <c r="T2" s="9"/>
      <c r="U2" s="9"/>
      <c r="V2" s="9"/>
      <c r="W2" s="9"/>
      <c r="X2" s="9"/>
      <c r="Y2" s="9"/>
      <c r="Z2" s="9"/>
      <c r="AA2" s="9"/>
      <c r="AB2" s="9"/>
      <c r="AC2" s="9"/>
      <c r="AD2" s="9" t="s">
        <v>20</v>
      </c>
    </row>
    <row r="3" spans="1:30" ht="87">
      <c r="A3" s="3" t="s">
        <v>633</v>
      </c>
      <c r="B3" s="3" t="s">
        <v>5228</v>
      </c>
      <c r="C3" s="3" t="s">
        <v>5226</v>
      </c>
      <c r="G3" s="9" t="s">
        <v>25</v>
      </c>
      <c r="H3" s="9"/>
      <c r="I3" s="9">
        <v>1</v>
      </c>
      <c r="J3" s="9">
        <v>7</v>
      </c>
      <c r="K3" s="9" t="s">
        <v>12092</v>
      </c>
      <c r="L3" s="9" t="s">
        <v>12079</v>
      </c>
      <c r="M3" s="9"/>
      <c r="N3" s="10"/>
      <c r="O3" s="9"/>
      <c r="P3" s="9">
        <v>131</v>
      </c>
      <c r="Q3" s="9"/>
      <c r="R3" s="9" t="s">
        <v>12795</v>
      </c>
      <c r="S3" s="9" t="s">
        <v>12795</v>
      </c>
      <c r="T3" s="9"/>
      <c r="U3" s="9"/>
      <c r="V3" s="9"/>
      <c r="W3" s="9"/>
      <c r="X3" s="9"/>
      <c r="Y3" s="9"/>
      <c r="Z3" s="9"/>
      <c r="AA3" s="9"/>
      <c r="AB3" s="9"/>
      <c r="AC3" s="9"/>
      <c r="AD3" s="9" t="s">
        <v>20</v>
      </c>
    </row>
    <row r="4" spans="1:30" ht="72.5">
      <c r="A4" s="3" t="s">
        <v>741</v>
      </c>
      <c r="B4" s="3" t="s">
        <v>5307</v>
      </c>
      <c r="C4" s="3" t="s">
        <v>5308</v>
      </c>
      <c r="F4" t="s">
        <v>19</v>
      </c>
      <c r="G4" s="9" t="s">
        <v>24</v>
      </c>
      <c r="H4" s="9"/>
      <c r="I4" s="9">
        <v>1</v>
      </c>
      <c r="J4" s="9">
        <v>6</v>
      </c>
      <c r="K4" s="9" t="s">
        <v>12092</v>
      </c>
      <c r="L4" s="9" t="s">
        <v>12079</v>
      </c>
      <c r="M4" s="9"/>
      <c r="N4" s="10"/>
      <c r="O4" s="9"/>
      <c r="P4" s="9">
        <v>152</v>
      </c>
      <c r="Q4" s="9"/>
      <c r="R4" s="9"/>
      <c r="S4" s="9"/>
      <c r="T4" s="9"/>
      <c r="U4" s="9"/>
      <c r="V4" s="9"/>
      <c r="W4" s="9"/>
      <c r="X4" s="9"/>
      <c r="Y4" s="9"/>
      <c r="Z4" s="9"/>
      <c r="AA4" s="9"/>
      <c r="AB4" s="9"/>
      <c r="AC4" s="9"/>
      <c r="AD4" s="9" t="s">
        <v>20</v>
      </c>
    </row>
    <row r="5" spans="1:30" ht="43.5">
      <c r="A5" s="3" t="s">
        <v>787</v>
      </c>
      <c r="B5" s="3" t="s">
        <v>5361</v>
      </c>
      <c r="C5" s="3" t="s">
        <v>5362</v>
      </c>
      <c r="G5" s="9" t="s">
        <v>25</v>
      </c>
      <c r="H5" s="9"/>
      <c r="I5" s="9">
        <v>1</v>
      </c>
      <c r="J5" s="9">
        <v>6</v>
      </c>
      <c r="K5" s="9" t="s">
        <v>12084</v>
      </c>
      <c r="L5" s="9" t="s">
        <v>12079</v>
      </c>
      <c r="M5" s="9"/>
      <c r="N5" s="10"/>
      <c r="O5" s="9"/>
      <c r="P5" s="9">
        <v>0</v>
      </c>
      <c r="Q5" s="9"/>
      <c r="R5" s="9" t="s">
        <v>12795</v>
      </c>
      <c r="S5" s="9" t="s">
        <v>12795</v>
      </c>
      <c r="T5" s="9"/>
      <c r="U5" s="9"/>
      <c r="V5" s="9"/>
      <c r="W5" s="9"/>
      <c r="X5" s="9"/>
      <c r="Y5" s="9"/>
      <c r="Z5" s="9"/>
      <c r="AA5" s="9"/>
      <c r="AB5" s="9"/>
      <c r="AC5" s="9"/>
      <c r="AD5" s="9" t="s">
        <v>20</v>
      </c>
    </row>
    <row r="6" spans="1:30" ht="72.5">
      <c r="A6" s="3" t="s">
        <v>865</v>
      </c>
      <c r="B6" s="3" t="s">
        <v>5451</v>
      </c>
      <c r="C6" s="3" t="s">
        <v>5452</v>
      </c>
      <c r="G6" s="9" t="s">
        <v>25</v>
      </c>
      <c r="H6" s="9"/>
      <c r="I6" s="9">
        <v>1</v>
      </c>
      <c r="J6" s="9">
        <v>8</v>
      </c>
      <c r="K6" s="9" t="s">
        <v>12092</v>
      </c>
      <c r="L6" s="9" t="s">
        <v>12079</v>
      </c>
      <c r="M6" s="9"/>
      <c r="N6" s="10"/>
      <c r="O6" s="9"/>
      <c r="P6" s="9">
        <v>371</v>
      </c>
      <c r="Q6" s="9"/>
      <c r="R6" s="9" t="s">
        <v>12795</v>
      </c>
      <c r="S6" s="9" t="s">
        <v>12795</v>
      </c>
      <c r="T6" s="9"/>
      <c r="U6" s="9"/>
      <c r="V6" s="9"/>
      <c r="W6" s="9"/>
      <c r="X6" s="9"/>
      <c r="Y6" s="9"/>
      <c r="Z6" s="9"/>
      <c r="AA6" s="9"/>
      <c r="AB6" s="9"/>
      <c r="AC6" s="9"/>
      <c r="AD6" s="9" t="s">
        <v>20</v>
      </c>
    </row>
    <row r="7" spans="1:30" ht="43.5">
      <c r="A7" s="3" t="s">
        <v>1177</v>
      </c>
      <c r="B7" s="3" t="s">
        <v>5777</v>
      </c>
      <c r="C7" s="3" t="s">
        <v>5774</v>
      </c>
      <c r="G7" s="9" t="s">
        <v>25</v>
      </c>
      <c r="H7" s="9"/>
      <c r="I7" s="9">
        <v>1</v>
      </c>
      <c r="J7" s="9">
        <v>4</v>
      </c>
      <c r="K7" s="9" t="s">
        <v>12125</v>
      </c>
      <c r="L7" s="9" t="s">
        <v>12073</v>
      </c>
      <c r="M7" s="9" t="s">
        <v>12142</v>
      </c>
      <c r="N7" s="10" t="s">
        <v>12143</v>
      </c>
      <c r="O7" s="9"/>
      <c r="P7" s="9">
        <v>2042</v>
      </c>
      <c r="Q7" s="9"/>
      <c r="R7" s="9" t="s">
        <v>12795</v>
      </c>
      <c r="S7" s="9" t="s">
        <v>12795</v>
      </c>
      <c r="T7" s="9"/>
      <c r="U7" s="9"/>
      <c r="V7" s="9"/>
      <c r="W7" s="9"/>
      <c r="X7" s="9"/>
      <c r="Y7" s="9"/>
      <c r="Z7" s="9"/>
      <c r="AA7" s="9"/>
      <c r="AB7" s="9"/>
      <c r="AC7" s="9"/>
      <c r="AD7" s="9" t="s">
        <v>20</v>
      </c>
    </row>
    <row r="8" spans="1:30" ht="43.5">
      <c r="A8" s="3" t="s">
        <v>1249</v>
      </c>
      <c r="B8" s="3" t="s">
        <v>5859</v>
      </c>
      <c r="C8" s="3" t="s">
        <v>5860</v>
      </c>
      <c r="G8" s="9" t="s">
        <v>25</v>
      </c>
      <c r="H8" s="9"/>
      <c r="I8" s="9">
        <v>1</v>
      </c>
      <c r="J8" s="9">
        <v>2</v>
      </c>
      <c r="K8" s="9" t="s">
        <v>12125</v>
      </c>
      <c r="L8" s="9" t="s">
        <v>12119</v>
      </c>
      <c r="M8" s="9"/>
      <c r="N8" s="10"/>
      <c r="O8" s="9"/>
      <c r="P8" s="9">
        <v>1565</v>
      </c>
      <c r="Q8" s="9"/>
      <c r="R8" s="9" t="s">
        <v>12795</v>
      </c>
      <c r="S8" s="9" t="s">
        <v>12795</v>
      </c>
      <c r="T8" s="9"/>
      <c r="U8" s="9"/>
      <c r="V8" s="9"/>
      <c r="W8" s="9"/>
      <c r="X8" s="9"/>
      <c r="Y8" s="9"/>
      <c r="Z8" s="9"/>
      <c r="AA8" s="9"/>
      <c r="AB8" s="9"/>
      <c r="AC8" s="9"/>
      <c r="AD8" s="9" t="s">
        <v>20</v>
      </c>
    </row>
    <row r="9" spans="1:30" ht="72.5">
      <c r="A9" s="3" t="s">
        <v>1370</v>
      </c>
      <c r="B9" s="3" t="s">
        <v>6017</v>
      </c>
      <c r="C9" s="3" t="s">
        <v>6018</v>
      </c>
      <c r="G9" s="9" t="s">
        <v>24</v>
      </c>
      <c r="H9" s="9"/>
      <c r="I9" s="9">
        <v>1</v>
      </c>
      <c r="J9" s="9">
        <v>6</v>
      </c>
      <c r="K9" s="9" t="s">
        <v>12092</v>
      </c>
      <c r="L9" s="9" t="s">
        <v>12073</v>
      </c>
      <c r="M9" s="9" t="s">
        <v>12142</v>
      </c>
      <c r="N9" s="10" t="s">
        <v>12158</v>
      </c>
      <c r="O9" s="9" t="s">
        <v>12074</v>
      </c>
      <c r="P9" s="9">
        <v>5</v>
      </c>
      <c r="Q9" s="9"/>
      <c r="R9" s="9" t="s">
        <v>12795</v>
      </c>
      <c r="S9" s="9" t="s">
        <v>12795</v>
      </c>
      <c r="T9" s="9"/>
      <c r="U9" s="9"/>
      <c r="V9" s="9"/>
      <c r="W9" s="9"/>
      <c r="X9" s="9"/>
      <c r="Y9" s="9"/>
      <c r="Z9" s="9"/>
      <c r="AA9" s="9"/>
      <c r="AB9" s="9"/>
      <c r="AC9" s="9"/>
      <c r="AD9" s="9" t="s">
        <v>20</v>
      </c>
    </row>
    <row r="10" spans="1:30" ht="116">
      <c r="A10" s="3" t="s">
        <v>1384</v>
      </c>
      <c r="B10" s="3" t="s">
        <v>6037</v>
      </c>
      <c r="C10" s="3" t="s">
        <v>6036</v>
      </c>
      <c r="F10" t="s">
        <v>19</v>
      </c>
      <c r="G10" s="9" t="s">
        <v>25</v>
      </c>
      <c r="H10" s="9"/>
      <c r="I10" s="9">
        <v>1</v>
      </c>
      <c r="J10" s="9">
        <v>8</v>
      </c>
      <c r="K10" s="9" t="s">
        <v>12098</v>
      </c>
      <c r="L10" s="9" t="s">
        <v>12079</v>
      </c>
      <c r="M10" s="9"/>
      <c r="N10" s="10"/>
      <c r="O10" s="9"/>
      <c r="P10" s="9">
        <v>35</v>
      </c>
      <c r="Q10" s="9"/>
      <c r="R10" s="9" t="s">
        <v>12795</v>
      </c>
      <c r="S10" s="9" t="s">
        <v>12795</v>
      </c>
      <c r="T10" s="9"/>
      <c r="U10" s="9"/>
      <c r="V10" s="9"/>
      <c r="W10" s="9"/>
      <c r="X10" s="9"/>
      <c r="Y10" s="9"/>
      <c r="Z10" s="9"/>
      <c r="AA10" s="9"/>
      <c r="AB10" s="9"/>
      <c r="AC10" s="9"/>
      <c r="AD10" s="9" t="s">
        <v>20</v>
      </c>
    </row>
    <row r="11" spans="1:30" ht="116">
      <c r="A11" s="3" t="s">
        <v>1384</v>
      </c>
      <c r="B11" s="3" t="s">
        <v>6039</v>
      </c>
      <c r="C11" s="3" t="s">
        <v>6036</v>
      </c>
      <c r="F11" t="s">
        <v>19</v>
      </c>
      <c r="G11" s="9" t="s">
        <v>25</v>
      </c>
      <c r="H11" s="9"/>
      <c r="I11" s="9">
        <v>1</v>
      </c>
      <c r="J11" s="9">
        <v>6</v>
      </c>
      <c r="K11" s="9" t="s">
        <v>12084</v>
      </c>
      <c r="L11" s="9" t="s">
        <v>12079</v>
      </c>
      <c r="M11" s="9"/>
      <c r="N11" s="10"/>
      <c r="O11" s="9"/>
      <c r="P11" s="9">
        <v>32</v>
      </c>
      <c r="Q11" s="9"/>
      <c r="R11" s="9" t="s">
        <v>12795</v>
      </c>
      <c r="S11" s="9" t="s">
        <v>12795</v>
      </c>
      <c r="T11" s="9"/>
      <c r="U11" s="9"/>
      <c r="V11" s="9"/>
      <c r="W11" s="9"/>
      <c r="X11" s="9"/>
      <c r="Y11" s="9"/>
      <c r="Z11" s="9"/>
      <c r="AA11" s="9"/>
      <c r="AB11" s="9"/>
      <c r="AC11" s="9"/>
      <c r="AD11" s="9" t="s">
        <v>20</v>
      </c>
    </row>
    <row r="12" spans="1:30" ht="43.5">
      <c r="A12" s="3" t="s">
        <v>1503</v>
      </c>
      <c r="B12" s="3" t="s">
        <v>6203</v>
      </c>
      <c r="C12" s="3" t="s">
        <v>6202</v>
      </c>
      <c r="G12" s="9" t="s">
        <v>25</v>
      </c>
      <c r="H12" s="9"/>
      <c r="I12" s="9">
        <v>1</v>
      </c>
      <c r="J12" s="9">
        <v>5</v>
      </c>
      <c r="K12" s="9" t="s">
        <v>12125</v>
      </c>
      <c r="L12" s="9" t="s">
        <v>12079</v>
      </c>
      <c r="M12" s="9"/>
      <c r="N12" s="10"/>
      <c r="O12" s="9"/>
      <c r="P12" s="9">
        <v>1565</v>
      </c>
      <c r="Q12" s="9"/>
      <c r="R12" s="9" t="s">
        <v>12795</v>
      </c>
      <c r="S12" s="9" t="s">
        <v>12795</v>
      </c>
      <c r="T12" s="9"/>
      <c r="U12" s="9"/>
      <c r="V12" s="9"/>
      <c r="W12" s="9"/>
      <c r="X12" s="9"/>
      <c r="Y12" s="9"/>
      <c r="Z12" s="9"/>
      <c r="AA12" s="9"/>
      <c r="AB12" s="9"/>
      <c r="AC12" s="9"/>
      <c r="AD12" s="9" t="s">
        <v>20</v>
      </c>
    </row>
    <row r="13" spans="1:30" ht="29">
      <c r="A13" s="3" t="s">
        <v>1593</v>
      </c>
      <c r="B13" s="3" t="s">
        <v>6376</v>
      </c>
      <c r="C13" s="3" t="s">
        <v>6377</v>
      </c>
      <c r="G13" s="9" t="s">
        <v>25</v>
      </c>
      <c r="H13" s="9"/>
      <c r="I13" s="9">
        <v>1</v>
      </c>
      <c r="J13" s="9">
        <v>1</v>
      </c>
      <c r="K13" s="9" t="s">
        <v>12072</v>
      </c>
      <c r="L13" s="9" t="s">
        <v>12119</v>
      </c>
      <c r="M13" s="9"/>
      <c r="N13" s="10"/>
      <c r="O13" s="9"/>
      <c r="P13" s="9">
        <v>34</v>
      </c>
      <c r="Q13" s="9"/>
      <c r="R13" s="9" t="s">
        <v>12795</v>
      </c>
      <c r="S13" s="9" t="s">
        <v>12795</v>
      </c>
      <c r="T13" s="9"/>
      <c r="U13" s="9"/>
      <c r="V13" s="9"/>
      <c r="W13" s="9"/>
      <c r="X13" s="9"/>
      <c r="Y13" s="9"/>
      <c r="Z13" s="9"/>
      <c r="AA13" s="9"/>
      <c r="AB13" s="9"/>
      <c r="AC13" s="9"/>
      <c r="AD13" s="9" t="s">
        <v>20</v>
      </c>
    </row>
    <row r="14" spans="1:30" ht="43.5">
      <c r="A14" s="3" t="s">
        <v>1659</v>
      </c>
      <c r="B14" s="3" t="s">
        <v>6445</v>
      </c>
      <c r="C14" s="3" t="s">
        <v>6447</v>
      </c>
      <c r="G14" s="9" t="s">
        <v>25</v>
      </c>
      <c r="H14" s="9"/>
      <c r="I14" s="9">
        <v>1</v>
      </c>
      <c r="J14" s="9">
        <v>5</v>
      </c>
      <c r="K14" s="9" t="s">
        <v>12084</v>
      </c>
      <c r="L14" s="9" t="s">
        <v>12079</v>
      </c>
      <c r="M14" s="9"/>
      <c r="N14" s="10"/>
      <c r="O14" s="9"/>
      <c r="P14" s="9">
        <v>98</v>
      </c>
      <c r="Q14" s="9"/>
      <c r="R14" s="9" t="s">
        <v>12795</v>
      </c>
      <c r="S14" s="9" t="s">
        <v>12795</v>
      </c>
      <c r="T14" s="9"/>
      <c r="U14" s="9"/>
      <c r="V14" s="9"/>
      <c r="W14" s="9"/>
      <c r="X14" s="9"/>
      <c r="Y14" s="9"/>
      <c r="Z14" s="9"/>
      <c r="AA14" s="9"/>
      <c r="AB14" s="9"/>
      <c r="AC14" s="9"/>
      <c r="AD14" s="9" t="s">
        <v>20</v>
      </c>
    </row>
    <row r="15" spans="1:30" ht="29">
      <c r="A15" s="3" t="s">
        <v>1781</v>
      </c>
      <c r="B15" s="3" t="s">
        <v>6612</v>
      </c>
      <c r="C15" s="3" t="s">
        <v>6613</v>
      </c>
      <c r="G15" s="9" t="s">
        <v>25</v>
      </c>
      <c r="H15" s="9"/>
      <c r="I15" s="9">
        <v>1</v>
      </c>
      <c r="J15" s="9">
        <v>1</v>
      </c>
      <c r="K15" s="9" t="s">
        <v>12072</v>
      </c>
      <c r="L15" s="9" t="s">
        <v>12119</v>
      </c>
      <c r="M15" s="9"/>
      <c r="N15" s="10"/>
      <c r="O15" s="9" t="s">
        <v>12074</v>
      </c>
      <c r="P15" s="9">
        <v>16</v>
      </c>
      <c r="Q15" s="9"/>
      <c r="R15" s="9" t="s">
        <v>12795</v>
      </c>
      <c r="S15" s="9" t="s">
        <v>12795</v>
      </c>
      <c r="T15" s="9"/>
      <c r="U15" s="9"/>
      <c r="V15" s="9"/>
      <c r="W15" s="9"/>
      <c r="X15" s="9"/>
      <c r="Y15" s="9"/>
      <c r="Z15" s="9"/>
      <c r="AA15" s="9"/>
      <c r="AB15" s="9"/>
      <c r="AC15" s="9"/>
      <c r="AD15" s="9" t="s">
        <v>20</v>
      </c>
    </row>
    <row r="16" spans="1:30" ht="130.5">
      <c r="A16" s="3" t="s">
        <v>1841</v>
      </c>
      <c r="B16" s="3" t="s">
        <v>6711</v>
      </c>
      <c r="C16" s="3" t="s">
        <v>6719</v>
      </c>
      <c r="G16" s="9" t="s">
        <v>24</v>
      </c>
      <c r="H16" s="9"/>
      <c r="I16" s="9">
        <v>1</v>
      </c>
      <c r="J16" s="9">
        <v>8</v>
      </c>
      <c r="K16" s="9" t="s">
        <v>12092</v>
      </c>
      <c r="L16" s="9" t="s">
        <v>12073</v>
      </c>
      <c r="M16" s="9" t="s">
        <v>12142</v>
      </c>
      <c r="N16" s="10" t="s">
        <v>12160</v>
      </c>
      <c r="O16" s="9"/>
      <c r="P16" s="9">
        <v>28</v>
      </c>
      <c r="Q16" s="9"/>
      <c r="R16" s="9" t="s">
        <v>12795</v>
      </c>
      <c r="S16" s="9" t="s">
        <v>12795</v>
      </c>
      <c r="T16" s="9"/>
      <c r="U16" s="9"/>
      <c r="V16" s="9"/>
      <c r="W16" s="9"/>
      <c r="X16" s="9"/>
      <c r="Y16" s="9"/>
      <c r="Z16" s="9"/>
      <c r="AA16" s="9"/>
      <c r="AB16" s="9"/>
      <c r="AC16" s="9"/>
      <c r="AD16" s="9" t="s">
        <v>20</v>
      </c>
    </row>
    <row r="17" spans="1:30" ht="43.5">
      <c r="A17" s="3" t="s">
        <v>1848</v>
      </c>
      <c r="B17" s="3" t="s">
        <v>6740</v>
      </c>
      <c r="C17" s="3" t="s">
        <v>6741</v>
      </c>
      <c r="G17" s="9" t="s">
        <v>25</v>
      </c>
      <c r="H17" s="9"/>
      <c r="I17" s="9">
        <v>1</v>
      </c>
      <c r="J17" s="9">
        <v>7</v>
      </c>
      <c r="K17" s="9" t="s">
        <v>12092</v>
      </c>
      <c r="L17" s="9" t="s">
        <v>12079</v>
      </c>
      <c r="M17" s="9"/>
      <c r="N17" s="10"/>
      <c r="O17" s="9"/>
      <c r="P17" s="9">
        <v>57</v>
      </c>
      <c r="Q17" s="9"/>
      <c r="R17" s="9" t="s">
        <v>12795</v>
      </c>
      <c r="S17" s="9" t="s">
        <v>12795</v>
      </c>
      <c r="T17" s="9"/>
      <c r="U17" s="9"/>
      <c r="V17" s="9"/>
      <c r="W17" s="9"/>
      <c r="X17" s="9"/>
      <c r="Y17" s="9"/>
      <c r="Z17" s="9"/>
      <c r="AA17" s="9"/>
      <c r="AB17" s="9"/>
      <c r="AC17" s="9"/>
      <c r="AD17" s="9" t="s">
        <v>20</v>
      </c>
    </row>
    <row r="18" spans="1:30" ht="43.5">
      <c r="A18" s="3" t="s">
        <v>1851</v>
      </c>
      <c r="B18" s="3" t="s">
        <v>6744</v>
      </c>
      <c r="C18" s="3" t="s">
        <v>6745</v>
      </c>
      <c r="G18" s="9" t="s">
        <v>25</v>
      </c>
      <c r="H18" s="9"/>
      <c r="I18" s="9">
        <v>1</v>
      </c>
      <c r="J18" s="9">
        <v>9</v>
      </c>
      <c r="K18" s="9" t="s">
        <v>12092</v>
      </c>
      <c r="L18" s="9" t="s">
        <v>12079</v>
      </c>
      <c r="M18" s="9"/>
      <c r="N18" s="10"/>
      <c r="O18" s="9"/>
      <c r="P18" s="9">
        <v>50</v>
      </c>
      <c r="Q18" s="9"/>
      <c r="R18" s="9" t="s">
        <v>12795</v>
      </c>
      <c r="S18" s="9" t="s">
        <v>12795</v>
      </c>
      <c r="T18" s="9"/>
      <c r="U18" s="9"/>
      <c r="V18" s="9"/>
      <c r="W18" s="9"/>
      <c r="X18" s="9"/>
      <c r="Y18" s="9"/>
      <c r="Z18" s="9"/>
      <c r="AA18" s="9"/>
      <c r="AB18" s="9"/>
      <c r="AC18" s="9"/>
      <c r="AD18" s="9" t="s">
        <v>20</v>
      </c>
    </row>
    <row r="19" spans="1:30" ht="58">
      <c r="A19" s="3" t="s">
        <v>1962</v>
      </c>
      <c r="B19" s="3" t="s">
        <v>6924</v>
      </c>
      <c r="C19" s="3" t="s">
        <v>6921</v>
      </c>
      <c r="G19" s="9" t="s">
        <v>25</v>
      </c>
      <c r="H19" s="9"/>
      <c r="I19" s="9">
        <v>1</v>
      </c>
      <c r="J19" s="9">
        <v>3</v>
      </c>
      <c r="K19" s="9" t="s">
        <v>12072</v>
      </c>
      <c r="L19" s="9" t="s">
        <v>12079</v>
      </c>
      <c r="M19" s="9"/>
      <c r="N19" s="10"/>
      <c r="O19" s="9"/>
      <c r="P19" s="9">
        <v>214</v>
      </c>
      <c r="Q19" s="9"/>
      <c r="R19" s="9" t="s">
        <v>12795</v>
      </c>
      <c r="S19" s="9" t="s">
        <v>12795</v>
      </c>
      <c r="T19" s="9"/>
      <c r="U19" s="9"/>
      <c r="V19" s="9"/>
      <c r="W19" s="9"/>
      <c r="X19" s="9"/>
      <c r="Y19" s="9"/>
      <c r="Z19" s="9"/>
      <c r="AA19" s="9"/>
      <c r="AB19" s="9"/>
      <c r="AC19" s="9"/>
      <c r="AD19" s="9" t="s">
        <v>20</v>
      </c>
    </row>
    <row r="20" spans="1:30" ht="43.5">
      <c r="A20" s="3" t="s">
        <v>1967</v>
      </c>
      <c r="B20" s="3" t="s">
        <v>6934</v>
      </c>
      <c r="C20" s="3" t="s">
        <v>6933</v>
      </c>
      <c r="G20" s="9" t="s">
        <v>25</v>
      </c>
      <c r="H20" s="9"/>
      <c r="I20" s="9">
        <v>1</v>
      </c>
      <c r="J20" s="9">
        <v>8</v>
      </c>
      <c r="K20" s="9" t="s">
        <v>12098</v>
      </c>
      <c r="L20" s="9" t="s">
        <v>12079</v>
      </c>
      <c r="M20" s="9"/>
      <c r="N20" s="10"/>
      <c r="O20" s="9"/>
      <c r="P20" s="9">
        <v>2042</v>
      </c>
      <c r="Q20" s="9"/>
      <c r="R20" s="9" t="s">
        <v>12795</v>
      </c>
      <c r="S20" s="9" t="s">
        <v>12795</v>
      </c>
      <c r="T20" s="9"/>
      <c r="U20" s="9"/>
      <c r="V20" s="9"/>
      <c r="W20" s="9"/>
      <c r="X20" s="9"/>
      <c r="Y20" s="9"/>
      <c r="Z20" s="9"/>
      <c r="AA20" s="9"/>
      <c r="AB20" s="9"/>
      <c r="AC20" s="9"/>
      <c r="AD20" s="9" t="s">
        <v>20</v>
      </c>
    </row>
    <row r="21" spans="1:30" ht="72.5">
      <c r="A21" s="3" t="s">
        <v>2013</v>
      </c>
      <c r="B21" s="3" t="s">
        <v>6988</v>
      </c>
      <c r="C21" s="3" t="s">
        <v>6987</v>
      </c>
      <c r="G21" s="9" t="s">
        <v>25</v>
      </c>
      <c r="H21" s="9"/>
      <c r="I21" s="9">
        <v>1</v>
      </c>
      <c r="J21" s="9">
        <v>8</v>
      </c>
      <c r="K21" s="9" t="s">
        <v>12125</v>
      </c>
      <c r="L21" s="9" t="s">
        <v>12073</v>
      </c>
      <c r="M21" s="9" t="s">
        <v>12203</v>
      </c>
      <c r="N21" s="10" t="s">
        <v>12204</v>
      </c>
      <c r="O21" s="9"/>
      <c r="P21" s="9">
        <v>20</v>
      </c>
      <c r="Q21" s="9"/>
      <c r="R21" s="9" t="s">
        <v>12795</v>
      </c>
      <c r="S21" s="9" t="s">
        <v>12795</v>
      </c>
      <c r="T21" s="9"/>
      <c r="U21" s="9"/>
      <c r="V21" s="9"/>
      <c r="W21" s="9"/>
      <c r="X21" s="9"/>
      <c r="Y21" s="9"/>
      <c r="Z21" s="9"/>
      <c r="AA21" s="9"/>
      <c r="AB21" s="9"/>
      <c r="AC21" s="9"/>
      <c r="AD21" s="9" t="s">
        <v>20</v>
      </c>
    </row>
    <row r="22" spans="1:30" ht="72.5">
      <c r="A22" s="3" t="s">
        <v>2114</v>
      </c>
      <c r="B22" s="3" t="s">
        <v>7102</v>
      </c>
      <c r="C22" s="3" t="s">
        <v>7103</v>
      </c>
      <c r="G22" s="9" t="s">
        <v>25</v>
      </c>
      <c r="H22" s="9"/>
      <c r="I22" s="9">
        <v>1</v>
      </c>
      <c r="J22" s="9">
        <v>9</v>
      </c>
      <c r="K22" s="9" t="s">
        <v>12092</v>
      </c>
      <c r="L22" s="9" t="s">
        <v>12073</v>
      </c>
      <c r="M22" s="9" t="s">
        <v>12149</v>
      </c>
      <c r="N22" s="10" t="s">
        <v>12143</v>
      </c>
      <c r="O22" s="9"/>
      <c r="P22" s="9">
        <v>1</v>
      </c>
      <c r="Q22" s="9"/>
      <c r="R22" s="9" t="s">
        <v>12795</v>
      </c>
      <c r="S22" s="9" t="s">
        <v>12795</v>
      </c>
      <c r="T22" s="9"/>
      <c r="U22" s="9"/>
      <c r="V22" s="9"/>
      <c r="W22" s="9"/>
      <c r="X22" s="9"/>
      <c r="Y22" s="9"/>
      <c r="Z22" s="9"/>
      <c r="AA22" s="9"/>
      <c r="AB22" s="9"/>
      <c r="AC22" s="9"/>
      <c r="AD22" s="9" t="s">
        <v>20</v>
      </c>
    </row>
    <row r="23" spans="1:30" ht="58">
      <c r="A23" s="3" t="s">
        <v>2136</v>
      </c>
      <c r="B23" s="3" t="s">
        <v>12895</v>
      </c>
      <c r="C23" s="3" t="s">
        <v>7134</v>
      </c>
      <c r="G23" s="9" t="s">
        <v>25</v>
      </c>
      <c r="H23" s="9"/>
      <c r="I23" s="9">
        <v>1</v>
      </c>
      <c r="J23" s="9">
        <v>10</v>
      </c>
      <c r="K23" s="9" t="s">
        <v>12125</v>
      </c>
      <c r="L23" s="9" t="s">
        <v>12073</v>
      </c>
      <c r="M23" s="9" t="s">
        <v>12142</v>
      </c>
      <c r="N23" s="10" t="s">
        <v>12143</v>
      </c>
      <c r="O23" s="9"/>
      <c r="P23" s="9">
        <v>25</v>
      </c>
      <c r="Q23" s="9"/>
      <c r="R23" s="9" t="s">
        <v>12795</v>
      </c>
      <c r="S23" s="9" t="s">
        <v>12795</v>
      </c>
      <c r="T23" s="9"/>
      <c r="U23" s="9"/>
      <c r="V23" s="9"/>
      <c r="W23" s="9"/>
      <c r="X23" s="9"/>
      <c r="Y23" s="9"/>
      <c r="Z23" s="9"/>
      <c r="AA23" s="9"/>
      <c r="AB23" s="9"/>
      <c r="AC23" s="9"/>
      <c r="AD23" s="9" t="s">
        <v>20</v>
      </c>
    </row>
    <row r="24" spans="1:30" ht="101.5">
      <c r="A24" s="3" t="s">
        <v>2343</v>
      </c>
      <c r="B24" s="3" t="s">
        <v>7390</v>
      </c>
      <c r="C24" s="3" t="s">
        <v>7393</v>
      </c>
      <c r="G24" s="9" t="s">
        <v>24</v>
      </c>
      <c r="H24" s="9"/>
      <c r="I24" s="9">
        <v>1</v>
      </c>
      <c r="J24" s="9">
        <v>10</v>
      </c>
      <c r="K24" s="9" t="s">
        <v>12092</v>
      </c>
      <c r="L24" s="9" t="s">
        <v>12073</v>
      </c>
      <c r="M24" s="9" t="s">
        <v>12142</v>
      </c>
      <c r="N24" s="10" t="s">
        <v>12375</v>
      </c>
      <c r="O24" s="9" t="s">
        <v>12074</v>
      </c>
      <c r="P24" s="9">
        <v>17</v>
      </c>
      <c r="Q24" s="9"/>
      <c r="R24" s="9" t="s">
        <v>12795</v>
      </c>
      <c r="S24" s="9" t="s">
        <v>12795</v>
      </c>
      <c r="T24" s="9"/>
      <c r="U24" s="9"/>
      <c r="V24" s="9"/>
      <c r="W24" s="9"/>
      <c r="X24" s="9"/>
      <c r="Y24" s="9"/>
      <c r="Z24" s="9"/>
      <c r="AA24" s="9"/>
      <c r="AB24" s="9"/>
      <c r="AC24" s="9"/>
      <c r="AD24" s="9" t="s">
        <v>20</v>
      </c>
    </row>
    <row r="25" spans="1:30" ht="43.5">
      <c r="A25" s="3" t="s">
        <v>2470</v>
      </c>
      <c r="B25" s="3" t="s">
        <v>7570</v>
      </c>
      <c r="C25" s="3" t="s">
        <v>7569</v>
      </c>
      <c r="G25" s="9" t="s">
        <v>25</v>
      </c>
      <c r="H25" s="9"/>
      <c r="I25" s="9">
        <v>1</v>
      </c>
      <c r="J25" s="9">
        <v>9</v>
      </c>
      <c r="K25" s="9" t="s">
        <v>12092</v>
      </c>
      <c r="L25" s="9" t="s">
        <v>12073</v>
      </c>
      <c r="M25" s="9" t="s">
        <v>12142</v>
      </c>
      <c r="N25" s="10" t="s">
        <v>12143</v>
      </c>
      <c r="O25" s="9"/>
      <c r="P25" s="9">
        <v>2</v>
      </c>
      <c r="Q25" s="9"/>
      <c r="R25" s="9" t="s">
        <v>12795</v>
      </c>
      <c r="S25" s="9" t="s">
        <v>12795</v>
      </c>
      <c r="T25" s="9"/>
      <c r="U25" s="9"/>
      <c r="V25" s="9"/>
      <c r="W25" s="9"/>
      <c r="X25" s="9"/>
      <c r="Y25" s="9"/>
      <c r="Z25" s="9"/>
      <c r="AA25" s="9"/>
      <c r="AB25" s="9"/>
      <c r="AC25" s="9"/>
      <c r="AD25" s="9" t="s">
        <v>20</v>
      </c>
    </row>
    <row r="26" spans="1:30" ht="87">
      <c r="A26" s="3" t="s">
        <v>2562</v>
      </c>
      <c r="B26" s="3" t="s">
        <v>7693</v>
      </c>
      <c r="C26" s="3" t="s">
        <v>7694</v>
      </c>
      <c r="G26" s="9" t="s">
        <v>24</v>
      </c>
      <c r="H26" s="9"/>
      <c r="I26" s="9">
        <v>1</v>
      </c>
      <c r="J26" s="9">
        <v>3</v>
      </c>
      <c r="K26" s="9" t="s">
        <v>12084</v>
      </c>
      <c r="L26" s="9" t="s">
        <v>12079</v>
      </c>
      <c r="M26" s="9"/>
      <c r="N26" s="10"/>
      <c r="O26" s="9"/>
      <c r="P26" s="9">
        <v>50</v>
      </c>
      <c r="Q26" s="9"/>
      <c r="R26" s="9" t="s">
        <v>12795</v>
      </c>
      <c r="S26" s="9" t="s">
        <v>12795</v>
      </c>
      <c r="T26" s="9"/>
      <c r="U26" s="9"/>
      <c r="V26" s="9"/>
      <c r="W26" s="9"/>
      <c r="X26" s="9"/>
      <c r="Y26" s="9"/>
      <c r="Z26" s="9"/>
      <c r="AA26" s="9"/>
      <c r="AB26" s="9"/>
      <c r="AC26" s="9"/>
      <c r="AD26" s="9" t="s">
        <v>20</v>
      </c>
    </row>
    <row r="27" spans="1:30" ht="58">
      <c r="A27" s="3" t="s">
        <v>2627</v>
      </c>
      <c r="B27" s="3" t="s">
        <v>7771</v>
      </c>
      <c r="C27" s="3" t="s">
        <v>7770</v>
      </c>
      <c r="G27" s="9" t="s">
        <v>25</v>
      </c>
      <c r="H27" s="9"/>
      <c r="I27" s="9">
        <v>1</v>
      </c>
      <c r="J27" s="9">
        <v>4</v>
      </c>
      <c r="K27" s="9" t="s">
        <v>12125</v>
      </c>
      <c r="L27" s="9" t="s">
        <v>12079</v>
      </c>
      <c r="M27" s="9"/>
      <c r="N27" s="10"/>
      <c r="O27" s="9"/>
      <c r="P27" s="9">
        <v>2042</v>
      </c>
      <c r="Q27" s="9"/>
      <c r="R27" s="9" t="s">
        <v>12795</v>
      </c>
      <c r="S27" s="9" t="s">
        <v>12795</v>
      </c>
      <c r="T27" s="9"/>
      <c r="U27" s="9"/>
      <c r="V27" s="9"/>
      <c r="W27" s="9"/>
      <c r="X27" s="9"/>
      <c r="Y27" s="9"/>
      <c r="Z27" s="9"/>
      <c r="AA27" s="9"/>
      <c r="AB27" s="9"/>
      <c r="AC27" s="9"/>
      <c r="AD27" s="9" t="s">
        <v>20</v>
      </c>
    </row>
    <row r="28" spans="1:30" ht="58">
      <c r="A28" s="3" t="s">
        <v>2685</v>
      </c>
      <c r="B28" s="3" t="s">
        <v>7830</v>
      </c>
      <c r="C28" s="3" t="s">
        <v>7829</v>
      </c>
      <c r="G28" s="9" t="s">
        <v>25</v>
      </c>
      <c r="H28" s="9"/>
      <c r="I28" s="9">
        <v>1</v>
      </c>
      <c r="J28" s="9">
        <v>7</v>
      </c>
      <c r="K28" s="9" t="s">
        <v>12092</v>
      </c>
      <c r="L28" s="9" t="s">
        <v>12073</v>
      </c>
      <c r="M28" s="9" t="s">
        <v>12142</v>
      </c>
      <c r="N28" s="10" t="s">
        <v>12160</v>
      </c>
      <c r="O28" s="9"/>
      <c r="P28" s="9">
        <v>2</v>
      </c>
      <c r="Q28" s="9"/>
      <c r="R28" s="9" t="s">
        <v>12795</v>
      </c>
      <c r="S28" s="9" t="s">
        <v>12795</v>
      </c>
      <c r="T28" s="9"/>
      <c r="U28" s="9"/>
      <c r="V28" s="9"/>
      <c r="W28" s="9"/>
      <c r="X28" s="9"/>
      <c r="Y28" s="9"/>
      <c r="Z28" s="9"/>
      <c r="AA28" s="9"/>
      <c r="AB28" s="9"/>
      <c r="AC28" s="9"/>
      <c r="AD28" s="9" t="s">
        <v>20</v>
      </c>
    </row>
    <row r="29" spans="1:30" ht="58">
      <c r="A29" s="3" t="s">
        <v>2858</v>
      </c>
      <c r="B29" s="3" t="s">
        <v>8118</v>
      </c>
      <c r="C29" s="3" t="s">
        <v>8119</v>
      </c>
      <c r="G29" s="9" t="s">
        <v>25</v>
      </c>
      <c r="H29" s="9"/>
      <c r="I29" s="9">
        <v>1</v>
      </c>
      <c r="J29" s="9">
        <v>5</v>
      </c>
      <c r="K29" s="9" t="s">
        <v>12125</v>
      </c>
      <c r="L29" s="9" t="s">
        <v>12079</v>
      </c>
      <c r="M29" s="9"/>
      <c r="N29" s="10"/>
      <c r="O29" s="9"/>
      <c r="P29" s="9">
        <v>1565</v>
      </c>
      <c r="Q29" s="9"/>
      <c r="R29" s="9" t="s">
        <v>12795</v>
      </c>
      <c r="S29" s="9" t="s">
        <v>12795</v>
      </c>
      <c r="T29" s="9"/>
      <c r="U29" s="9"/>
      <c r="V29" s="9"/>
      <c r="W29" s="9"/>
      <c r="X29" s="9"/>
      <c r="Y29" s="9"/>
      <c r="Z29" s="9"/>
      <c r="AA29" s="9"/>
      <c r="AB29" s="9"/>
      <c r="AC29" s="9"/>
      <c r="AD29" s="9" t="s">
        <v>20</v>
      </c>
    </row>
    <row r="30" spans="1:30" ht="87">
      <c r="A30" s="3" t="s">
        <v>2885</v>
      </c>
      <c r="B30" s="3" t="s">
        <v>8151</v>
      </c>
      <c r="C30" s="3" t="s">
        <v>13048</v>
      </c>
      <c r="G30" s="9" t="s">
        <v>25</v>
      </c>
      <c r="H30" s="9"/>
      <c r="I30" s="9">
        <v>1</v>
      </c>
      <c r="J30" s="9">
        <v>11</v>
      </c>
      <c r="K30" s="9" t="s">
        <v>12125</v>
      </c>
      <c r="L30" s="9" t="s">
        <v>12073</v>
      </c>
      <c r="M30" s="9" t="s">
        <v>12142</v>
      </c>
      <c r="N30" s="10" t="s">
        <v>12170</v>
      </c>
      <c r="O30" s="9"/>
      <c r="P30" s="9">
        <v>229</v>
      </c>
      <c r="Q30" s="9"/>
      <c r="R30" s="9" t="s">
        <v>12795</v>
      </c>
      <c r="S30" s="9" t="s">
        <v>12795</v>
      </c>
      <c r="T30" s="9"/>
      <c r="U30" s="9"/>
      <c r="V30" s="9"/>
      <c r="W30" s="9"/>
      <c r="X30" s="9"/>
      <c r="Y30" s="9"/>
      <c r="Z30" s="9"/>
      <c r="AA30" s="9"/>
      <c r="AB30" s="9"/>
      <c r="AC30" s="9"/>
      <c r="AD30" s="9" t="s">
        <v>20</v>
      </c>
    </row>
    <row r="31" spans="1:30" ht="43.5">
      <c r="A31" s="3" t="s">
        <v>2965</v>
      </c>
      <c r="B31" s="3" t="s">
        <v>8251</v>
      </c>
      <c r="C31" s="3" t="s">
        <v>8252</v>
      </c>
      <c r="G31" s="9" t="s">
        <v>25</v>
      </c>
      <c r="H31" s="9"/>
      <c r="I31" s="9">
        <v>1</v>
      </c>
      <c r="J31" s="9">
        <v>6</v>
      </c>
      <c r="K31" s="9" t="s">
        <v>12125</v>
      </c>
      <c r="L31" s="9" t="s">
        <v>12079</v>
      </c>
      <c r="M31" s="9"/>
      <c r="N31" s="10"/>
      <c r="O31" s="9"/>
      <c r="P31" s="9">
        <v>265</v>
      </c>
      <c r="Q31" s="9"/>
      <c r="R31" s="9" t="s">
        <v>12795</v>
      </c>
      <c r="S31" s="9" t="s">
        <v>12795</v>
      </c>
      <c r="T31" s="9"/>
      <c r="U31" s="9"/>
      <c r="V31" s="9"/>
      <c r="W31" s="9"/>
      <c r="X31" s="9"/>
      <c r="Y31" s="9"/>
      <c r="Z31" s="9"/>
      <c r="AA31" s="9"/>
      <c r="AB31" s="9"/>
      <c r="AC31" s="9"/>
      <c r="AD31" s="9" t="s">
        <v>20</v>
      </c>
    </row>
    <row r="32" spans="1:30" ht="116">
      <c r="A32" s="3" t="s">
        <v>2994</v>
      </c>
      <c r="B32" s="3" t="s">
        <v>8296</v>
      </c>
      <c r="C32" s="3" t="s">
        <v>8297</v>
      </c>
      <c r="G32" s="9" t="s">
        <v>24</v>
      </c>
      <c r="H32" s="9"/>
      <c r="I32" s="9">
        <v>1</v>
      </c>
      <c r="J32" s="9">
        <v>11</v>
      </c>
      <c r="K32" s="9" t="s">
        <v>12098</v>
      </c>
      <c r="L32" s="9" t="s">
        <v>12073</v>
      </c>
      <c r="M32" s="9" t="s">
        <v>12142</v>
      </c>
      <c r="N32" s="10" t="s">
        <v>12434</v>
      </c>
      <c r="O32" s="9" t="s">
        <v>12074</v>
      </c>
      <c r="P32" s="9">
        <v>101</v>
      </c>
      <c r="Q32" s="9"/>
      <c r="R32" s="9" t="s">
        <v>12795</v>
      </c>
      <c r="S32" s="9" t="s">
        <v>12795</v>
      </c>
      <c r="T32" s="9"/>
      <c r="U32" s="9"/>
      <c r="V32" s="9"/>
      <c r="W32" s="9"/>
      <c r="X32" s="9"/>
      <c r="Y32" s="9"/>
      <c r="Z32" s="9"/>
      <c r="AA32" s="9"/>
      <c r="AB32" s="9"/>
      <c r="AC32" s="9"/>
      <c r="AD32" s="9" t="s">
        <v>20</v>
      </c>
    </row>
    <row r="33" spans="1:30" ht="101.5">
      <c r="A33" s="3" t="s">
        <v>3069</v>
      </c>
      <c r="B33" s="3" t="s">
        <v>8427</v>
      </c>
      <c r="C33" s="3" t="s">
        <v>8428</v>
      </c>
      <c r="G33" s="9" t="s">
        <v>25</v>
      </c>
      <c r="H33" s="9"/>
      <c r="I33" s="9">
        <v>1</v>
      </c>
      <c r="J33" s="9">
        <v>3</v>
      </c>
      <c r="K33" s="9" t="s">
        <v>12072</v>
      </c>
      <c r="L33" s="9" t="s">
        <v>12079</v>
      </c>
      <c r="M33" s="9"/>
      <c r="N33" s="10"/>
      <c r="O33" s="9"/>
      <c r="P33" s="9">
        <v>214</v>
      </c>
      <c r="Q33" s="9"/>
      <c r="R33" s="9" t="s">
        <v>12795</v>
      </c>
      <c r="S33" s="9" t="s">
        <v>12795</v>
      </c>
      <c r="T33" s="9"/>
      <c r="U33" s="9"/>
      <c r="V33" s="9"/>
      <c r="W33" s="9"/>
      <c r="X33" s="9"/>
      <c r="Y33" s="9"/>
      <c r="Z33" s="9"/>
      <c r="AA33" s="9"/>
      <c r="AB33" s="9"/>
      <c r="AC33" s="9"/>
      <c r="AD33" s="9" t="s">
        <v>20</v>
      </c>
    </row>
    <row r="34" spans="1:30" ht="58">
      <c r="A34" s="3" t="s">
        <v>3243</v>
      </c>
      <c r="B34" s="3" t="s">
        <v>8745</v>
      </c>
      <c r="C34" s="3" t="s">
        <v>8744</v>
      </c>
      <c r="G34" s="9" t="s">
        <v>24</v>
      </c>
      <c r="H34" s="9"/>
      <c r="I34" s="9">
        <v>1</v>
      </c>
      <c r="J34" s="9">
        <v>5</v>
      </c>
      <c r="K34" s="9" t="s">
        <v>12092</v>
      </c>
      <c r="L34" s="9" t="s">
        <v>12079</v>
      </c>
      <c r="M34" s="9"/>
      <c r="N34" s="10"/>
      <c r="O34" s="9"/>
      <c r="P34" s="9">
        <v>308</v>
      </c>
      <c r="Q34" s="9"/>
      <c r="R34" s="9" t="s">
        <v>12795</v>
      </c>
      <c r="S34" s="9" t="s">
        <v>12795</v>
      </c>
      <c r="T34" s="9"/>
      <c r="U34" s="9"/>
      <c r="V34" s="9"/>
      <c r="W34" s="9"/>
      <c r="X34" s="9"/>
      <c r="Y34" s="9"/>
      <c r="Z34" s="9"/>
      <c r="AA34" s="9"/>
      <c r="AB34" s="9"/>
      <c r="AC34" s="9"/>
      <c r="AD34" s="9" t="s">
        <v>20</v>
      </c>
    </row>
    <row r="35" spans="1:30" ht="29">
      <c r="A35" s="3" t="s">
        <v>3246</v>
      </c>
      <c r="B35" s="3" t="s">
        <v>8753</v>
      </c>
      <c r="C35" s="3" t="s">
        <v>8752</v>
      </c>
      <c r="G35" s="9" t="s">
        <v>25</v>
      </c>
      <c r="H35" s="9"/>
      <c r="I35" s="9">
        <v>1</v>
      </c>
      <c r="J35" s="9">
        <v>5</v>
      </c>
      <c r="K35" s="9" t="s">
        <v>12125</v>
      </c>
      <c r="L35" s="9" t="s">
        <v>12079</v>
      </c>
      <c r="M35" s="9"/>
      <c r="N35" s="10"/>
      <c r="O35" s="9"/>
      <c r="P35" s="9">
        <v>1565</v>
      </c>
      <c r="Q35" s="9"/>
      <c r="R35" s="9" t="s">
        <v>12795</v>
      </c>
      <c r="S35" s="9" t="s">
        <v>12795</v>
      </c>
      <c r="T35" s="9"/>
      <c r="U35" s="9"/>
      <c r="V35" s="9"/>
      <c r="W35" s="9"/>
      <c r="X35" s="9"/>
      <c r="Y35" s="9"/>
      <c r="Z35" s="9"/>
      <c r="AA35" s="9"/>
      <c r="AB35" s="9"/>
      <c r="AC35" s="9"/>
      <c r="AD35" s="9" t="s">
        <v>20</v>
      </c>
    </row>
    <row r="36" spans="1:30" ht="43.5">
      <c r="A36" s="3" t="s">
        <v>3353</v>
      </c>
      <c r="B36" s="3" t="s">
        <v>8969</v>
      </c>
      <c r="C36" s="3" t="s">
        <v>8968</v>
      </c>
      <c r="G36" s="9" t="s">
        <v>25</v>
      </c>
      <c r="H36" s="9"/>
      <c r="I36" s="9">
        <v>1</v>
      </c>
      <c r="J36" s="9">
        <v>4</v>
      </c>
      <c r="K36" s="9" t="s">
        <v>12084</v>
      </c>
      <c r="L36" s="9" t="s">
        <v>12079</v>
      </c>
      <c r="M36" s="9"/>
      <c r="N36" s="10"/>
      <c r="O36" s="9"/>
      <c r="P36" s="9">
        <v>13</v>
      </c>
      <c r="Q36" s="9"/>
      <c r="R36" s="9" t="s">
        <v>12795</v>
      </c>
      <c r="S36" s="9" t="s">
        <v>12795</v>
      </c>
      <c r="T36" s="9"/>
      <c r="U36" s="9"/>
      <c r="V36" s="9"/>
      <c r="W36" s="9"/>
      <c r="X36" s="9"/>
      <c r="Y36" s="9"/>
      <c r="Z36" s="9"/>
      <c r="AA36" s="9"/>
      <c r="AB36" s="9"/>
      <c r="AC36" s="9"/>
      <c r="AD36" s="9" t="s">
        <v>20</v>
      </c>
    </row>
    <row r="37" spans="1:30" ht="43.5">
      <c r="A37" s="3" t="s">
        <v>3460</v>
      </c>
      <c r="B37" s="3" t="s">
        <v>9181</v>
      </c>
      <c r="C37" s="3" t="s">
        <v>9182</v>
      </c>
      <c r="G37" s="9" t="s">
        <v>25</v>
      </c>
      <c r="H37" s="9"/>
      <c r="I37" s="9">
        <v>1</v>
      </c>
      <c r="J37" s="9">
        <v>3</v>
      </c>
      <c r="K37" s="9" t="s">
        <v>12084</v>
      </c>
      <c r="L37" s="9" t="s">
        <v>12079</v>
      </c>
      <c r="M37" s="9"/>
      <c r="N37" s="10"/>
      <c r="O37" s="9"/>
      <c r="P37" s="9">
        <v>4</v>
      </c>
      <c r="Q37" s="9"/>
      <c r="R37" s="9" t="s">
        <v>12795</v>
      </c>
      <c r="S37" s="9" t="s">
        <v>12795</v>
      </c>
      <c r="T37" s="9"/>
      <c r="U37" s="9"/>
      <c r="V37" s="9"/>
      <c r="W37" s="9"/>
      <c r="X37" s="9"/>
      <c r="Y37" s="9"/>
      <c r="Z37" s="9"/>
      <c r="AA37" s="9"/>
      <c r="AB37" s="9"/>
      <c r="AC37" s="9"/>
      <c r="AD37" s="9" t="s">
        <v>20</v>
      </c>
    </row>
    <row r="38" spans="1:30" ht="72.5">
      <c r="A38" s="3" t="s">
        <v>3472</v>
      </c>
      <c r="B38" s="3" t="s">
        <v>9194</v>
      </c>
      <c r="C38" s="3" t="s">
        <v>9192</v>
      </c>
      <c r="G38" s="9" t="s">
        <v>25</v>
      </c>
      <c r="H38" s="9"/>
      <c r="I38" s="9">
        <v>1</v>
      </c>
      <c r="J38" s="9">
        <v>7</v>
      </c>
      <c r="K38" s="9" t="s">
        <v>12098</v>
      </c>
      <c r="L38" s="9" t="s">
        <v>12079</v>
      </c>
      <c r="M38" s="9"/>
      <c r="N38" s="10"/>
      <c r="O38" s="9"/>
      <c r="P38" s="9">
        <v>111</v>
      </c>
      <c r="Q38" s="9"/>
      <c r="R38" s="9" t="s">
        <v>12795</v>
      </c>
      <c r="S38" s="9" t="s">
        <v>12795</v>
      </c>
      <c r="T38" s="9"/>
      <c r="U38" s="9"/>
      <c r="V38" s="9"/>
      <c r="W38" s="9"/>
      <c r="X38" s="9"/>
      <c r="Y38" s="9"/>
      <c r="Z38" s="9"/>
      <c r="AA38" s="9"/>
      <c r="AB38" s="9"/>
      <c r="AC38" s="9"/>
      <c r="AD38" s="9" t="s">
        <v>20</v>
      </c>
    </row>
    <row r="39" spans="1:30" ht="87">
      <c r="A39" s="3" t="s">
        <v>3484</v>
      </c>
      <c r="B39" s="3" t="s">
        <v>13062</v>
      </c>
      <c r="C39" s="3" t="s">
        <v>13065</v>
      </c>
      <c r="G39" s="9" t="s">
        <v>25</v>
      </c>
      <c r="H39" s="9"/>
      <c r="I39" s="9">
        <v>1</v>
      </c>
      <c r="J39" s="9">
        <v>6</v>
      </c>
      <c r="K39" s="9" t="s">
        <v>12125</v>
      </c>
      <c r="L39" s="9" t="s">
        <v>12079</v>
      </c>
      <c r="M39" s="9"/>
      <c r="N39" s="10"/>
      <c r="O39" s="9"/>
      <c r="P39" s="9">
        <v>336</v>
      </c>
      <c r="Q39" s="9"/>
      <c r="R39" s="9" t="s">
        <v>12795</v>
      </c>
      <c r="S39" s="9" t="s">
        <v>12795</v>
      </c>
      <c r="T39" s="9"/>
      <c r="U39" s="9"/>
      <c r="V39" s="9"/>
      <c r="W39" s="9"/>
      <c r="X39" s="9"/>
      <c r="Y39" s="9"/>
      <c r="Z39" s="9"/>
      <c r="AA39" s="9"/>
      <c r="AB39" s="9"/>
      <c r="AC39" s="9"/>
      <c r="AD39" s="9" t="s">
        <v>20</v>
      </c>
    </row>
    <row r="40" spans="1:30" ht="43.5">
      <c r="A40" s="3" t="s">
        <v>3494</v>
      </c>
      <c r="B40" s="3" t="s">
        <v>9228</v>
      </c>
      <c r="C40" s="3" t="s">
        <v>9229</v>
      </c>
      <c r="G40" s="9" t="s">
        <v>25</v>
      </c>
      <c r="H40" s="9"/>
      <c r="I40" s="9">
        <v>1</v>
      </c>
      <c r="J40" s="9">
        <v>7</v>
      </c>
      <c r="K40" s="9" t="s">
        <v>12125</v>
      </c>
      <c r="L40" s="9" t="s">
        <v>12079</v>
      </c>
      <c r="M40" s="9"/>
      <c r="N40" s="10"/>
      <c r="O40" s="9"/>
      <c r="P40" s="9">
        <v>320</v>
      </c>
      <c r="Q40" s="9"/>
      <c r="R40" s="9" t="s">
        <v>12795</v>
      </c>
      <c r="S40" s="9" t="s">
        <v>12795</v>
      </c>
      <c r="T40" s="9"/>
      <c r="U40" s="9"/>
      <c r="V40" s="9"/>
      <c r="W40" s="9"/>
      <c r="X40" s="9"/>
      <c r="Y40" s="9"/>
      <c r="Z40" s="9"/>
      <c r="AA40" s="9"/>
      <c r="AB40" s="9"/>
      <c r="AC40" s="9"/>
      <c r="AD40" s="9" t="s">
        <v>20</v>
      </c>
    </row>
    <row r="41" spans="1:30" ht="43.5">
      <c r="A41" s="3" t="s">
        <v>3530</v>
      </c>
      <c r="B41" s="3" t="s">
        <v>9305</v>
      </c>
      <c r="C41" s="3" t="s">
        <v>9306</v>
      </c>
      <c r="G41" s="9" t="s">
        <v>25</v>
      </c>
      <c r="H41" s="9"/>
      <c r="I41" s="9">
        <v>1</v>
      </c>
      <c r="J41" s="9">
        <v>6</v>
      </c>
      <c r="K41" s="9" t="s">
        <v>12125</v>
      </c>
      <c r="L41" s="9" t="s">
        <v>12079</v>
      </c>
      <c r="M41" s="9"/>
      <c r="N41" s="10"/>
      <c r="O41" s="9"/>
      <c r="P41" s="9">
        <v>92</v>
      </c>
      <c r="Q41" s="9"/>
      <c r="R41" s="9" t="s">
        <v>12795</v>
      </c>
      <c r="S41" s="9" t="s">
        <v>12795</v>
      </c>
      <c r="T41" s="9"/>
      <c r="U41" s="9"/>
      <c r="V41" s="9"/>
      <c r="W41" s="9"/>
      <c r="X41" s="9"/>
      <c r="Y41" s="9"/>
      <c r="Z41" s="9"/>
      <c r="AA41" s="9"/>
      <c r="AB41" s="9"/>
      <c r="AC41" s="9"/>
      <c r="AD41" s="9" t="s">
        <v>20</v>
      </c>
    </row>
    <row r="42" spans="1:30" ht="43.5">
      <c r="A42" s="3" t="s">
        <v>3535</v>
      </c>
      <c r="B42" s="3" t="s">
        <v>9317</v>
      </c>
      <c r="C42" s="3" t="s">
        <v>9316</v>
      </c>
      <c r="F42" t="s">
        <v>19</v>
      </c>
      <c r="G42" s="9" t="s">
        <v>25</v>
      </c>
      <c r="H42" s="9"/>
      <c r="I42" s="9">
        <v>1</v>
      </c>
      <c r="J42" s="9">
        <v>2</v>
      </c>
      <c r="K42" s="9" t="s">
        <v>12092</v>
      </c>
      <c r="L42" s="9" t="s">
        <v>12119</v>
      </c>
      <c r="M42" s="9"/>
      <c r="N42" s="10"/>
      <c r="O42" s="9"/>
      <c r="P42" s="9">
        <v>361</v>
      </c>
      <c r="Q42" s="9"/>
      <c r="R42" s="9" t="s">
        <v>12795</v>
      </c>
      <c r="S42" s="9" t="s">
        <v>12795</v>
      </c>
      <c r="T42" s="9" t="s">
        <v>12117</v>
      </c>
      <c r="U42" s="9"/>
      <c r="V42" s="9"/>
      <c r="W42" s="9"/>
      <c r="X42" s="9"/>
      <c r="Y42" s="9"/>
      <c r="Z42" s="9"/>
      <c r="AA42" s="9"/>
      <c r="AB42" s="9"/>
      <c r="AC42" s="9"/>
      <c r="AD42" s="9" t="s">
        <v>20</v>
      </c>
    </row>
    <row r="43" spans="1:30" ht="43.5">
      <c r="A43" s="3" t="s">
        <v>3538</v>
      </c>
      <c r="B43" s="3" t="s">
        <v>9336</v>
      </c>
      <c r="C43" s="3" t="s">
        <v>9335</v>
      </c>
      <c r="G43" s="9" t="s">
        <v>25</v>
      </c>
      <c r="H43" s="9"/>
      <c r="I43" s="9">
        <v>1</v>
      </c>
      <c r="J43" s="9">
        <v>8</v>
      </c>
      <c r="K43" s="9" t="s">
        <v>12125</v>
      </c>
      <c r="L43" s="9" t="s">
        <v>12079</v>
      </c>
      <c r="M43" s="9"/>
      <c r="N43" s="10"/>
      <c r="O43" s="9"/>
      <c r="P43" s="9">
        <v>14</v>
      </c>
      <c r="Q43" s="9"/>
      <c r="R43" s="9" t="s">
        <v>12795</v>
      </c>
      <c r="S43" s="9" t="s">
        <v>12795</v>
      </c>
      <c r="T43" s="9"/>
      <c r="U43" s="9"/>
      <c r="V43" s="9"/>
      <c r="W43" s="9"/>
      <c r="X43" s="9"/>
      <c r="Y43" s="9"/>
      <c r="Z43" s="9"/>
      <c r="AA43" s="9"/>
      <c r="AB43" s="9"/>
      <c r="AC43" s="9"/>
      <c r="AD43" s="9" t="s">
        <v>20</v>
      </c>
    </row>
    <row r="44" spans="1:30" ht="58">
      <c r="A44" s="3" t="s">
        <v>3579</v>
      </c>
      <c r="B44" s="3" t="s">
        <v>9415</v>
      </c>
      <c r="C44" s="3" t="s">
        <v>9416</v>
      </c>
      <c r="G44" s="9" t="s">
        <v>25</v>
      </c>
      <c r="H44" s="9"/>
      <c r="I44" s="9">
        <v>1</v>
      </c>
      <c r="J44" s="9">
        <v>8</v>
      </c>
      <c r="K44" s="9" t="s">
        <v>12084</v>
      </c>
      <c r="L44" s="9" t="s">
        <v>12079</v>
      </c>
      <c r="M44" s="9"/>
      <c r="N44" s="10"/>
      <c r="O44" s="9"/>
      <c r="P44" s="9">
        <v>8</v>
      </c>
      <c r="Q44" s="9"/>
      <c r="R44" s="9" t="s">
        <v>12795</v>
      </c>
      <c r="S44" s="9" t="s">
        <v>12795</v>
      </c>
      <c r="T44" s="9"/>
      <c r="U44" s="9"/>
      <c r="V44" s="9"/>
      <c r="W44" s="9"/>
      <c r="X44" s="9"/>
      <c r="Y44" s="9"/>
      <c r="Z44" s="9"/>
      <c r="AA44" s="9"/>
      <c r="AB44" s="9"/>
      <c r="AC44" s="9"/>
      <c r="AD44" s="9" t="s">
        <v>20</v>
      </c>
    </row>
    <row r="45" spans="1:30" ht="72.5">
      <c r="A45" s="3" t="s">
        <v>3624</v>
      </c>
      <c r="B45" s="3" t="s">
        <v>9499</v>
      </c>
      <c r="C45" s="3" t="s">
        <v>9498</v>
      </c>
      <c r="G45" s="9" t="s">
        <v>25</v>
      </c>
      <c r="H45" s="9"/>
      <c r="I45" s="9">
        <v>1</v>
      </c>
      <c r="J45" s="9">
        <v>3</v>
      </c>
      <c r="K45" s="9" t="s">
        <v>12092</v>
      </c>
      <c r="L45" s="9" t="s">
        <v>12079</v>
      </c>
      <c r="M45" s="9"/>
      <c r="N45" s="10"/>
      <c r="O45" s="9"/>
      <c r="P45" s="9">
        <v>60</v>
      </c>
      <c r="Q45" s="9"/>
      <c r="R45" s="9" t="s">
        <v>12795</v>
      </c>
      <c r="S45" s="9" t="s">
        <v>12795</v>
      </c>
      <c r="T45" s="9"/>
      <c r="U45" s="9"/>
      <c r="V45" s="9"/>
      <c r="W45" s="9"/>
      <c r="X45" s="9"/>
      <c r="Y45" s="9"/>
      <c r="Z45" s="9"/>
      <c r="AA45" s="9"/>
      <c r="AB45" s="9"/>
      <c r="AC45" s="9"/>
      <c r="AD45" s="9" t="s">
        <v>20</v>
      </c>
    </row>
    <row r="46" spans="1:30" ht="58">
      <c r="A46" s="3" t="s">
        <v>3717</v>
      </c>
      <c r="B46" s="3" t="s">
        <v>9642</v>
      </c>
      <c r="C46" s="3" t="s">
        <v>9643</v>
      </c>
      <c r="G46" s="9" t="s">
        <v>24</v>
      </c>
      <c r="H46" s="9"/>
      <c r="I46" s="9">
        <v>1</v>
      </c>
      <c r="J46" s="9">
        <v>7</v>
      </c>
      <c r="K46" s="9" t="s">
        <v>12125</v>
      </c>
      <c r="L46" s="9" t="s">
        <v>12073</v>
      </c>
      <c r="M46" s="9" t="s">
        <v>12142</v>
      </c>
      <c r="N46" s="10" t="s">
        <v>12156</v>
      </c>
      <c r="O46" s="9" t="s">
        <v>12074</v>
      </c>
      <c r="P46" s="9">
        <v>336</v>
      </c>
      <c r="Q46" s="9"/>
      <c r="R46" s="9" t="s">
        <v>12795</v>
      </c>
      <c r="S46" s="9" t="s">
        <v>12795</v>
      </c>
      <c r="T46" s="9"/>
      <c r="U46" s="9"/>
      <c r="V46" s="9"/>
      <c r="W46" s="9"/>
      <c r="X46" s="9"/>
      <c r="Y46" s="9"/>
      <c r="Z46" s="9"/>
      <c r="AA46" s="9"/>
      <c r="AB46" s="9"/>
      <c r="AC46" s="9"/>
      <c r="AD46" s="9" t="s">
        <v>20</v>
      </c>
    </row>
    <row r="47" spans="1:30" ht="58">
      <c r="A47" s="3" t="s">
        <v>3846</v>
      </c>
      <c r="B47" s="3" t="s">
        <v>9908</v>
      </c>
      <c r="C47" s="3" t="s">
        <v>9907</v>
      </c>
      <c r="G47" s="9" t="s">
        <v>25</v>
      </c>
      <c r="H47" s="9"/>
      <c r="I47" s="9">
        <v>1</v>
      </c>
      <c r="J47" s="9">
        <v>2</v>
      </c>
      <c r="K47" s="9" t="s">
        <v>12125</v>
      </c>
      <c r="L47" s="9" t="s">
        <v>12079</v>
      </c>
      <c r="M47" s="9"/>
      <c r="N47" s="10"/>
      <c r="O47" s="9"/>
      <c r="P47" s="9">
        <v>4</v>
      </c>
      <c r="Q47" s="9"/>
      <c r="R47" s="9" t="s">
        <v>12795</v>
      </c>
      <c r="S47" s="9" t="s">
        <v>12795</v>
      </c>
      <c r="T47" s="9"/>
      <c r="U47" s="9"/>
      <c r="V47" s="9"/>
      <c r="W47" s="9"/>
      <c r="X47" s="9"/>
      <c r="Y47" s="9"/>
      <c r="Z47" s="9"/>
      <c r="AA47" s="9"/>
      <c r="AB47" s="9"/>
      <c r="AC47" s="9"/>
      <c r="AD47" s="9" t="s">
        <v>20</v>
      </c>
    </row>
    <row r="48" spans="1:30" ht="130.5">
      <c r="A48" s="3" t="s">
        <v>3894</v>
      </c>
      <c r="B48" s="3" t="s">
        <v>10029</v>
      </c>
      <c r="C48" s="3" t="s">
        <v>10024</v>
      </c>
      <c r="G48" s="9" t="s">
        <v>25</v>
      </c>
      <c r="H48" s="9"/>
      <c r="I48" s="9">
        <v>1</v>
      </c>
      <c r="J48" s="9">
        <v>8</v>
      </c>
      <c r="K48" s="9" t="s">
        <v>12072</v>
      </c>
      <c r="L48" s="9" t="s">
        <v>12073</v>
      </c>
      <c r="M48" s="9" t="s">
        <v>12149</v>
      </c>
      <c r="N48" s="10" t="s">
        <v>12143</v>
      </c>
      <c r="O48" s="9"/>
      <c r="P48" s="9">
        <v>1</v>
      </c>
      <c r="Q48" s="9"/>
      <c r="R48" s="9" t="s">
        <v>12795</v>
      </c>
      <c r="S48" s="9" t="s">
        <v>12795</v>
      </c>
      <c r="T48" s="9"/>
      <c r="U48" s="9"/>
      <c r="V48" s="9"/>
      <c r="W48" s="9"/>
      <c r="X48" s="9"/>
      <c r="Y48" s="9"/>
      <c r="Z48" s="9"/>
      <c r="AA48" s="9"/>
      <c r="AB48" s="9"/>
      <c r="AC48" s="9"/>
      <c r="AD48" s="9" t="s">
        <v>20</v>
      </c>
    </row>
    <row r="49" spans="1:30" ht="58">
      <c r="A49" s="3" t="s">
        <v>3903</v>
      </c>
      <c r="B49" s="3" t="s">
        <v>10053</v>
      </c>
      <c r="C49" s="3" t="s">
        <v>10051</v>
      </c>
      <c r="G49" s="9" t="s">
        <v>25</v>
      </c>
      <c r="H49" s="9"/>
      <c r="I49" s="9">
        <v>1</v>
      </c>
      <c r="J49" s="9">
        <v>5</v>
      </c>
      <c r="K49" s="9" t="s">
        <v>12084</v>
      </c>
      <c r="L49" s="9" t="s">
        <v>12079</v>
      </c>
      <c r="M49" s="9"/>
      <c r="N49" s="10"/>
      <c r="O49" s="9"/>
      <c r="P49" s="9">
        <v>17</v>
      </c>
      <c r="Q49" s="9"/>
      <c r="R49" s="9" t="s">
        <v>12795</v>
      </c>
      <c r="S49" s="9" t="s">
        <v>12795</v>
      </c>
      <c r="T49" s="9"/>
      <c r="U49" s="9"/>
      <c r="V49" s="9"/>
      <c r="W49" s="9"/>
      <c r="X49" s="9"/>
      <c r="Y49" s="9"/>
      <c r="Z49" s="9"/>
      <c r="AA49" s="9"/>
      <c r="AB49" s="9"/>
      <c r="AC49" s="9"/>
      <c r="AD49" s="9" t="s">
        <v>20</v>
      </c>
    </row>
    <row r="50" spans="1:30" ht="87">
      <c r="A50" s="3" t="s">
        <v>4023</v>
      </c>
      <c r="B50" s="3" t="s">
        <v>10292</v>
      </c>
      <c r="C50" s="3" t="s">
        <v>10291</v>
      </c>
      <c r="G50" s="9" t="s">
        <v>25</v>
      </c>
      <c r="H50" s="9"/>
      <c r="I50" s="9">
        <v>1</v>
      </c>
      <c r="J50" s="9">
        <v>5</v>
      </c>
      <c r="K50" s="9" t="s">
        <v>12125</v>
      </c>
      <c r="L50" s="9" t="s">
        <v>12079</v>
      </c>
      <c r="M50" s="9"/>
      <c r="N50" s="10"/>
      <c r="O50" s="9"/>
      <c r="P50" s="9">
        <v>1565</v>
      </c>
      <c r="Q50" s="9"/>
      <c r="R50" s="9" t="s">
        <v>12795</v>
      </c>
      <c r="S50" s="9" t="s">
        <v>12795</v>
      </c>
      <c r="T50" s="9"/>
      <c r="U50" s="9"/>
      <c r="V50" s="9"/>
      <c r="W50" s="9"/>
      <c r="X50" s="9"/>
      <c r="Y50" s="9"/>
      <c r="Z50" s="9"/>
      <c r="AA50" s="9"/>
      <c r="AB50" s="9"/>
      <c r="AC50" s="9"/>
      <c r="AD50" s="9" t="s">
        <v>20</v>
      </c>
    </row>
    <row r="51" spans="1:30" ht="43.5">
      <c r="A51" s="3" t="s">
        <v>4080</v>
      </c>
      <c r="B51" s="3" t="s">
        <v>10423</v>
      </c>
      <c r="C51" s="3" t="s">
        <v>10422</v>
      </c>
      <c r="G51" s="9" t="s">
        <v>25</v>
      </c>
      <c r="H51" s="9"/>
      <c r="I51" s="9">
        <v>1</v>
      </c>
      <c r="J51" s="9">
        <v>1</v>
      </c>
      <c r="K51" s="9" t="s">
        <v>12072</v>
      </c>
      <c r="L51" s="9" t="s">
        <v>12119</v>
      </c>
      <c r="M51" s="9"/>
      <c r="N51" s="10"/>
      <c r="O51" s="9"/>
      <c r="P51" s="9">
        <v>13</v>
      </c>
      <c r="Q51" s="9"/>
      <c r="R51" s="9" t="s">
        <v>12795</v>
      </c>
      <c r="S51" s="9" t="s">
        <v>12795</v>
      </c>
      <c r="T51" s="9"/>
      <c r="U51" s="9"/>
      <c r="V51" s="9"/>
      <c r="W51" s="9"/>
      <c r="X51" s="9"/>
      <c r="Y51" s="9"/>
      <c r="Z51" s="9"/>
      <c r="AA51" s="9"/>
      <c r="AB51" s="9"/>
      <c r="AC51" s="9"/>
      <c r="AD51" s="9" t="s">
        <v>13141</v>
      </c>
    </row>
    <row r="52" spans="1:30" ht="29">
      <c r="A52" s="3" t="s">
        <v>4097</v>
      </c>
      <c r="B52" s="3" t="s">
        <v>10487</v>
      </c>
      <c r="C52" s="3" t="s">
        <v>10488</v>
      </c>
      <c r="F52" t="s">
        <v>19</v>
      </c>
      <c r="G52" s="9" t="s">
        <v>25</v>
      </c>
      <c r="H52" s="9"/>
      <c r="I52" s="9">
        <v>1</v>
      </c>
      <c r="J52" s="9">
        <v>2</v>
      </c>
      <c r="K52" s="9" t="s">
        <v>12092</v>
      </c>
      <c r="L52" s="9" t="s">
        <v>12119</v>
      </c>
      <c r="M52" s="9"/>
      <c r="N52" s="10"/>
      <c r="O52" s="9"/>
      <c r="P52" s="9">
        <v>133</v>
      </c>
      <c r="Q52" s="9"/>
      <c r="R52" s="9" t="s">
        <v>12795</v>
      </c>
      <c r="S52" s="9" t="s">
        <v>12795</v>
      </c>
      <c r="T52" s="9"/>
      <c r="U52" s="9"/>
      <c r="V52" s="9"/>
      <c r="W52" s="9"/>
      <c r="X52" s="9"/>
      <c r="Y52" s="9"/>
      <c r="Z52" s="9"/>
      <c r="AA52" s="9"/>
      <c r="AB52" s="9"/>
      <c r="AC52" s="9"/>
      <c r="AD52" s="9" t="s">
        <v>20</v>
      </c>
    </row>
    <row r="53" spans="1:30" ht="43.5">
      <c r="A53" s="3" t="s">
        <v>4188</v>
      </c>
      <c r="B53" s="3" t="s">
        <v>10739</v>
      </c>
      <c r="C53" s="3" t="s">
        <v>10740</v>
      </c>
      <c r="G53" s="9" t="s">
        <v>24</v>
      </c>
      <c r="H53" s="9"/>
      <c r="I53" s="9">
        <v>1</v>
      </c>
      <c r="J53" s="9">
        <v>5</v>
      </c>
      <c r="K53" s="9" t="s">
        <v>12125</v>
      </c>
      <c r="L53" s="9" t="s">
        <v>12073</v>
      </c>
      <c r="M53" s="9" t="s">
        <v>12142</v>
      </c>
      <c r="N53" s="10" t="s">
        <v>12170</v>
      </c>
      <c r="O53" s="9" t="s">
        <v>12074</v>
      </c>
      <c r="P53" s="9">
        <v>2042</v>
      </c>
      <c r="Q53" s="9"/>
      <c r="R53" s="9" t="s">
        <v>12795</v>
      </c>
      <c r="S53" s="9" t="s">
        <v>12795</v>
      </c>
      <c r="T53" s="9"/>
      <c r="U53" s="9"/>
      <c r="V53" s="9"/>
      <c r="W53" s="9"/>
      <c r="X53" s="9"/>
      <c r="Y53" s="9"/>
      <c r="Z53" s="9"/>
      <c r="AA53" s="9"/>
      <c r="AB53" s="9"/>
      <c r="AC53" s="9"/>
      <c r="AD53" s="9" t="s">
        <v>20</v>
      </c>
    </row>
    <row r="54" spans="1:30" ht="43.5">
      <c r="A54" s="3" t="s">
        <v>4333</v>
      </c>
      <c r="B54" s="3" t="s">
        <v>11028</v>
      </c>
      <c r="C54" s="3" t="s">
        <v>11029</v>
      </c>
      <c r="G54" s="9" t="s">
        <v>25</v>
      </c>
      <c r="H54" s="9"/>
      <c r="I54" s="9">
        <v>1</v>
      </c>
      <c r="J54" s="9">
        <v>6</v>
      </c>
      <c r="K54" s="9" t="s">
        <v>12092</v>
      </c>
      <c r="L54" s="9" t="s">
        <v>12073</v>
      </c>
      <c r="M54" s="9" t="s">
        <v>12149</v>
      </c>
      <c r="N54" s="10" t="s">
        <v>12143</v>
      </c>
      <c r="O54" s="9"/>
      <c r="P54" s="9">
        <v>128</v>
      </c>
      <c r="Q54" s="9"/>
      <c r="R54" s="9" t="s">
        <v>12795</v>
      </c>
      <c r="S54" s="9" t="s">
        <v>12795</v>
      </c>
      <c r="T54" s="9"/>
      <c r="U54" s="9"/>
      <c r="V54" s="9"/>
      <c r="W54" s="9"/>
      <c r="X54" s="9"/>
      <c r="Y54" s="9"/>
      <c r="Z54" s="9"/>
      <c r="AA54" s="9"/>
      <c r="AB54" s="9"/>
      <c r="AC54" s="9"/>
      <c r="AD54" s="9" t="s">
        <v>20</v>
      </c>
    </row>
    <row r="55" spans="1:30" ht="72.5">
      <c r="A55" s="3" t="s">
        <v>4335</v>
      </c>
      <c r="B55" s="3" t="s">
        <v>12946</v>
      </c>
      <c r="C55" s="3" t="s">
        <v>11033</v>
      </c>
      <c r="G55" s="9" t="s">
        <v>24</v>
      </c>
      <c r="H55" s="9"/>
      <c r="I55" s="9">
        <v>1</v>
      </c>
      <c r="J55" s="9">
        <v>6</v>
      </c>
      <c r="K55" s="9" t="s">
        <v>12072</v>
      </c>
      <c r="L55" s="9" t="s">
        <v>12073</v>
      </c>
      <c r="M55" s="9" t="s">
        <v>12142</v>
      </c>
      <c r="N55" s="10" t="s">
        <v>12143</v>
      </c>
      <c r="O55" s="9"/>
      <c r="P55" s="9">
        <v>92</v>
      </c>
      <c r="Q55" s="9"/>
      <c r="R55" s="9" t="s">
        <v>12795</v>
      </c>
      <c r="S55" s="9" t="s">
        <v>12795</v>
      </c>
      <c r="T55" s="9"/>
      <c r="U55" s="9"/>
      <c r="V55" s="9"/>
      <c r="W55" s="9"/>
      <c r="X55" s="9"/>
      <c r="Y55" s="9"/>
      <c r="Z55" s="9"/>
      <c r="AA55" s="9"/>
      <c r="AB55" s="9"/>
      <c r="AC55" s="9"/>
      <c r="AD55" s="9" t="s">
        <v>13141</v>
      </c>
    </row>
    <row r="56" spans="1:30" ht="43.5">
      <c r="A56" s="3" t="s">
        <v>4525</v>
      </c>
      <c r="B56" s="3" t="s">
        <v>11501</v>
      </c>
      <c r="C56" s="3" t="s">
        <v>11500</v>
      </c>
      <c r="G56" s="9" t="s">
        <v>25</v>
      </c>
      <c r="H56" s="9"/>
      <c r="I56" s="9">
        <v>1</v>
      </c>
      <c r="J56" s="9">
        <v>5</v>
      </c>
      <c r="K56" s="9" t="s">
        <v>12125</v>
      </c>
      <c r="L56" s="9" t="s">
        <v>12073</v>
      </c>
      <c r="M56" s="9" t="s">
        <v>12142</v>
      </c>
      <c r="N56" s="10" t="s">
        <v>12143</v>
      </c>
      <c r="O56" s="9"/>
      <c r="P56" s="9">
        <v>1565</v>
      </c>
      <c r="Q56" s="9"/>
      <c r="R56" s="9" t="s">
        <v>12795</v>
      </c>
      <c r="S56" s="9" t="s">
        <v>12795</v>
      </c>
      <c r="T56" s="9"/>
      <c r="U56" s="9"/>
      <c r="V56" s="9"/>
      <c r="W56" s="9"/>
      <c r="X56" s="9"/>
      <c r="Y56" s="9"/>
      <c r="Z56" s="9"/>
      <c r="AA56" s="9"/>
      <c r="AB56" s="9"/>
      <c r="AC56" s="9"/>
      <c r="AD56" s="9" t="s">
        <v>20</v>
      </c>
    </row>
    <row r="57" spans="1:30" ht="58">
      <c r="A57" s="3" t="s">
        <v>4566</v>
      </c>
      <c r="B57" s="3" t="s">
        <v>11593</v>
      </c>
      <c r="C57" s="3" t="s">
        <v>13081</v>
      </c>
      <c r="G57" s="9" t="s">
        <v>25</v>
      </c>
      <c r="H57" s="9"/>
      <c r="I57" s="9">
        <v>1</v>
      </c>
      <c r="J57" s="9">
        <v>3</v>
      </c>
      <c r="K57" s="9" t="s">
        <v>12092</v>
      </c>
      <c r="L57" s="9" t="s">
        <v>12079</v>
      </c>
      <c r="M57" s="9"/>
      <c r="N57" s="10"/>
      <c r="O57" s="9"/>
      <c r="P57" s="9">
        <v>79</v>
      </c>
      <c r="Q57" s="9"/>
      <c r="R57" s="9" t="s">
        <v>12795</v>
      </c>
      <c r="S57" s="9" t="s">
        <v>12795</v>
      </c>
      <c r="T57" s="9"/>
      <c r="U57" s="9"/>
      <c r="V57" s="9"/>
      <c r="W57" s="9"/>
      <c r="X57" s="9"/>
      <c r="Y57" s="9"/>
      <c r="Z57" s="9"/>
      <c r="AA57" s="9"/>
      <c r="AB57" s="9"/>
      <c r="AC57" s="9"/>
      <c r="AD57" s="9" t="s">
        <v>13141</v>
      </c>
    </row>
    <row r="58" spans="1:30" ht="58">
      <c r="A58" s="3" t="s">
        <v>4728</v>
      </c>
      <c r="B58" s="3" t="s">
        <v>12004</v>
      </c>
      <c r="C58" s="3" t="s">
        <v>12003</v>
      </c>
      <c r="G58" s="9" t="s">
        <v>24</v>
      </c>
      <c r="H58" s="9"/>
      <c r="I58" s="9">
        <v>1</v>
      </c>
      <c r="J58" s="9">
        <v>7</v>
      </c>
      <c r="K58" s="9" t="s">
        <v>12092</v>
      </c>
      <c r="L58" s="9" t="s">
        <v>12079</v>
      </c>
      <c r="M58" s="9"/>
      <c r="N58" s="10"/>
      <c r="O58" s="9"/>
      <c r="P58" s="9">
        <v>3</v>
      </c>
      <c r="Q58" s="9"/>
      <c r="R58" s="9" t="s">
        <v>12795</v>
      </c>
      <c r="S58" s="9" t="s">
        <v>12795</v>
      </c>
      <c r="T58" s="9"/>
      <c r="U58" s="9"/>
      <c r="V58" s="9"/>
      <c r="W58" s="9"/>
      <c r="X58" s="9"/>
      <c r="Y58" s="9"/>
      <c r="Z58" s="9"/>
      <c r="AA58" s="9"/>
      <c r="AB58" s="9"/>
      <c r="AC58" s="9"/>
      <c r="AD58" s="9" t="s">
        <v>20</v>
      </c>
    </row>
    <row r="59" spans="1:30" ht="58">
      <c r="A59" s="3" t="s">
        <v>4734</v>
      </c>
      <c r="B59" s="3" t="s">
        <v>12010</v>
      </c>
      <c r="C59" s="3" t="s">
        <v>12009</v>
      </c>
      <c r="G59" s="9" t="s">
        <v>24</v>
      </c>
      <c r="H59" s="9"/>
      <c r="I59" s="9">
        <v>1</v>
      </c>
      <c r="J59" s="9">
        <v>8</v>
      </c>
      <c r="K59" s="9" t="s">
        <v>12125</v>
      </c>
      <c r="L59" s="9" t="s">
        <v>12073</v>
      </c>
      <c r="M59" s="9" t="s">
        <v>12142</v>
      </c>
      <c r="N59" s="10" t="s">
        <v>12143</v>
      </c>
      <c r="O59" s="9"/>
      <c r="P59" s="9">
        <v>11</v>
      </c>
      <c r="Q59" s="9"/>
      <c r="R59" s="9" t="s">
        <v>12795</v>
      </c>
      <c r="S59" s="9" t="s">
        <v>12795</v>
      </c>
      <c r="T59" s="9"/>
      <c r="U59" s="9"/>
      <c r="V59" s="9"/>
      <c r="W59" s="9"/>
      <c r="X59" s="9"/>
      <c r="Y59" s="9"/>
      <c r="Z59" s="9"/>
      <c r="AA59" s="9"/>
      <c r="AB59" s="9"/>
      <c r="AC59" s="9"/>
      <c r="AD59" s="9" t="s">
        <v>20</v>
      </c>
    </row>
    <row r="62" spans="1:30">
      <c r="D62" t="s">
        <v>12792</v>
      </c>
      <c r="E62">
        <v>83220</v>
      </c>
    </row>
    <row r="63" spans="1:30">
      <c r="D63" t="s">
        <v>12797</v>
      </c>
      <c r="E63">
        <f>MEDIAN(P:P)</f>
        <v>92</v>
      </c>
    </row>
    <row r="66" spans="4:5">
      <c r="D66" t="s">
        <v>12798</v>
      </c>
      <c r="E66">
        <f>COUNTIFS(G:G, "Addition", P:P, "&gt;=" &amp; $E$63)</f>
        <v>6</v>
      </c>
    </row>
    <row r="67" spans="4:5">
      <c r="D67" t="s">
        <v>12799</v>
      </c>
      <c r="E67">
        <f>COUNTIFS(G:G, "Omission", P:P, "&gt;=" &amp; $E$63)</f>
        <v>24</v>
      </c>
    </row>
    <row r="68" spans="4:5">
      <c r="D68" t="s">
        <v>12800</v>
      </c>
      <c r="E68">
        <f>E66/(E66+E67)</f>
        <v>0.2</v>
      </c>
    </row>
    <row r="69" spans="4:5">
      <c r="D69" t="s">
        <v>12801</v>
      </c>
      <c r="E69">
        <f>COUNTIFS(G:G, "Addition", P:P, "&lt;" &amp; $E$63)</f>
        <v>6</v>
      </c>
    </row>
    <row r="70" spans="4:5">
      <c r="D70" t="s">
        <v>12802</v>
      </c>
      <c r="E70">
        <f>COUNTIFS(G:G, "Omission", P:P, "&lt;" &amp; $E$63)</f>
        <v>22</v>
      </c>
    </row>
    <row r="71" spans="4:5">
      <c r="D71" t="s">
        <v>12803</v>
      </c>
      <c r="E71">
        <f>E69/(E69+E70)</f>
        <v>0.21428571428571427</v>
      </c>
    </row>
    <row r="72" spans="4:5">
      <c r="D72" t="s">
        <v>12818</v>
      </c>
      <c r="E72">
        <f>E68-E71</f>
        <v>-1.4285714285714263E-2</v>
      </c>
    </row>
  </sheetData>
  <conditionalFormatting sqref="G2:G59">
    <cfRule type="expression" dxfId="82" priority="4">
      <formula>$J2&lt;&gt;""</formula>
    </cfRule>
    <cfRule type="expression" dxfId="81" priority="5">
      <formula>$J2=""</formula>
    </cfRule>
  </conditionalFormatting>
  <conditionalFormatting sqref="H2:L59 O2:P59">
    <cfRule type="expression" dxfId="80" priority="13">
      <formula>AND($J2&lt;&gt;"Addition",$J2&lt;&gt;"Omission",$J2&lt;&gt;"Substitution - Word")</formula>
    </cfRule>
  </conditionalFormatting>
  <conditionalFormatting sqref="H2:P59">
    <cfRule type="expression" dxfId="79" priority="23">
      <formula>AND(OR($J2="Addition",$J2="Omission"), H2&lt;&gt;"")</formula>
    </cfRule>
  </conditionalFormatting>
  <conditionalFormatting sqref="K2:K59">
    <cfRule type="expression" dxfId="78" priority="10">
      <formula>AND($L2&lt;&gt;"",$L2&gt;1)</formula>
    </cfRule>
  </conditionalFormatting>
  <conditionalFormatting sqref="M2:N59">
    <cfRule type="expression" dxfId="77" priority="6">
      <formula>$O2="Absent"</formula>
    </cfRule>
    <cfRule type="expression" dxfId="76" priority="7">
      <formula>$O2="NA"</formula>
    </cfRule>
    <cfRule type="expression" dxfId="75" priority="8">
      <formula>AND(OR($J2="Addition",$J2="Omission"), M2="")</formula>
    </cfRule>
    <cfRule type="expression" dxfId="74" priority="9">
      <formula>AND($J2&lt;&gt;"Addition",$J2&lt;&gt;"Omission")</formula>
    </cfRule>
  </conditionalFormatting>
  <conditionalFormatting sqref="O2:O59">
    <cfRule type="expression" dxfId="73" priority="11">
      <formula>OR($J2="Addition",$J2="Omission",$J2 = "Substitution - Word")</formula>
    </cfRule>
  </conditionalFormatting>
  <conditionalFormatting sqref="O2:P59 H2:L59">
    <cfRule type="expression" dxfId="72" priority="12">
      <formula>AND(OR($J2="Addition",$J2="Omission"), H2="")</formula>
    </cfRule>
  </conditionalFormatting>
  <conditionalFormatting sqref="Q2:S59">
    <cfRule type="expression" dxfId="71" priority="20">
      <formula>AND(AND(LEFT($J2,3)="Sub", RIGHT($J2,4)&lt;&gt;"Form"),$T2&lt;&gt;"")</formula>
    </cfRule>
    <cfRule type="expression" dxfId="70" priority="21">
      <formula>AND(AND(LEFT($J2,3)="Sub", RIGHT($J2,4)&lt;&gt;"Form"),$T2="")</formula>
    </cfRule>
    <cfRule type="expression" dxfId="69" priority="22">
      <formula>"&lt;&gt;AND(LEFT($J2,3)=""Sub"", RIGHT($J2,4)&lt;&gt;""Form"")"</formula>
    </cfRule>
  </conditionalFormatting>
  <conditionalFormatting sqref="R2:S59">
    <cfRule type="expression" dxfId="68" priority="1">
      <formula>AND(AND(LEFT($J2,3)="Sub", RIGHT($J2,4)&lt;&gt;"Form"),$T2&lt;&gt;"")</formula>
    </cfRule>
    <cfRule type="expression" dxfId="67" priority="2">
      <formula>AND(AND(LEFT($J2,3)="Sub", RIGHT($J2,4)&lt;&gt;"Form"),$T2="")</formula>
    </cfRule>
    <cfRule type="expression" dxfId="66" priority="3">
      <formula>"&lt;&gt;AND(LEFT($J2,3)=""Sub"", RIGHT($J2,4)&lt;&gt;""Form"")"</formula>
    </cfRule>
  </conditionalFormatting>
  <conditionalFormatting sqref="T2:T59">
    <cfRule type="expression" dxfId="65" priority="15">
      <formula>AND($W2&lt;&gt;"",OR($AD2="Yes",$AE2&lt;&gt;""))</formula>
    </cfRule>
    <cfRule type="expression" dxfId="64" priority="16">
      <formula>OR($AD2="Yes",$AE2&lt;&gt;"")</formula>
    </cfRule>
    <cfRule type="expression" dxfId="63" priority="26">
      <formula>AND($AD2&lt;&gt;"Yes",$AE2="")</formula>
    </cfRule>
  </conditionalFormatting>
  <conditionalFormatting sqref="T2:AD59">
    <cfRule type="expression" dxfId="62" priority="24">
      <formula>AND($J2&lt;&gt;"",$J2&lt;&gt;"Unclear due to correction")</formula>
    </cfRule>
    <cfRule type="expression" dxfId="61" priority="25">
      <formula>OR($J2="",$J2="Unclear due to correction")</formula>
    </cfRule>
  </conditionalFormatting>
  <conditionalFormatting sqref="U2:U59">
    <cfRule type="expression" dxfId="60" priority="14">
      <formula>AND($J2&lt;&gt;"",$J2&lt;&gt;"Unclear due to correction",$X2="")</formula>
    </cfRule>
  </conditionalFormatting>
  <conditionalFormatting sqref="V2:V59">
    <cfRule type="expression" dxfId="59" priority="17">
      <formula>AND($X2="Yes",$Y2="")</formula>
    </cfRule>
    <cfRule type="expression" dxfId="58" priority="18">
      <formula>$X2=""</formula>
    </cfRule>
  </conditionalFormatting>
  <conditionalFormatting sqref="AA2:AA59">
    <cfRule type="expression" dxfId="57" priority="19">
      <formula>AND(OR($AB2&lt;&gt;"",$AC2&lt;&gt;""),$AD2="")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7">
        <x14:dataValidation type="list" allowBlank="1" showInputMessage="1" showErrorMessage="1" xr:uid="{A4A31BB2-52CC-4185-946B-3F1AF4BC6781}">
          <x14:formula1>
            <xm:f>'Data Regularization'!$D$2:$D$1048576</xm:f>
          </x14:formula1>
          <xm:sqref>G1:G59</xm:sqref>
        </x14:dataValidation>
        <x14:dataValidation type="list" allowBlank="1" showInputMessage="1" showErrorMessage="1" xr:uid="{7EEE720C-20E9-4768-8707-8BD1D0362F41}">
          <x14:formula1>
            <xm:f>'Data Regularization'!$S$2:$S$5</xm:f>
          </x14:formula1>
          <xm:sqref>AD2:AD59</xm:sqref>
        </x14:dataValidation>
        <x14:dataValidation type="list" allowBlank="1" showInputMessage="1" showErrorMessage="1" xr:uid="{4EDA6892-8EFE-4109-8AA9-D14353B3615C}">
          <x14:formula1>
            <xm:f>'Data Regularization'!$R$2:$R$1048576</xm:f>
          </x14:formula1>
          <xm:sqref>AC2:AC59</xm:sqref>
        </x14:dataValidation>
        <x14:dataValidation type="list" allowBlank="1" showInputMessage="1" xr:uid="{6414F6E1-BF3B-4674-B43D-8E8495F67AC4}">
          <x14:formula1>
            <xm:f>'Data Regularization'!$J$2:$J$1048576</xm:f>
          </x14:formula1>
          <xm:sqref>U2:U59</xm:sqref>
        </x14:dataValidation>
        <x14:dataValidation type="list" allowBlank="1" showInputMessage="1" showErrorMessage="1" xr:uid="{6C85A67C-E80D-472D-99FC-27C62A4089BC}">
          <x14:formula1>
            <xm:f>'Data Regularization'!$H$2:$H$1048576</xm:f>
          </x14:formula1>
          <xm:sqref>T2:T59</xm:sqref>
        </x14:dataValidation>
        <x14:dataValidation type="list" allowBlank="1" showInputMessage="1" showErrorMessage="1" xr:uid="{7026F598-1CB9-48A5-A0B9-E802EE555B2D}">
          <x14:formula1>
            <xm:f>'Data Regularization'!$Q$2:$Q$1048576</xm:f>
          </x14:formula1>
          <xm:sqref>AB2:AB59</xm:sqref>
        </x14:dataValidation>
        <x14:dataValidation type="list" allowBlank="1" showInputMessage="1" showErrorMessage="1" xr:uid="{B1450BB2-89C2-41FA-B303-85856AE89D30}">
          <x14:formula1>
            <xm:f>'Data Regularization'!$P$2:$P$1048576</xm:f>
          </x14:formula1>
          <xm:sqref>AA2:AA59</xm:sqref>
        </x14:dataValidation>
        <x14:dataValidation type="list" allowBlank="1" showInputMessage="1" showErrorMessage="1" xr:uid="{35EA1A53-78BF-4A10-871C-3D229E945DFE}">
          <x14:formula1>
            <xm:f>'Data Regularization'!$O$2:$O$1048576</xm:f>
          </x14:formula1>
          <xm:sqref>Y2:Y59</xm:sqref>
        </x14:dataValidation>
        <x14:dataValidation type="list" allowBlank="1" showInputMessage="1" showErrorMessage="1" xr:uid="{CB9FBBCB-04B8-46C0-A60B-51DF360772ED}">
          <x14:formula1>
            <xm:f>'Data Regularization'!$N$2:$N$1048576</xm:f>
          </x14:formula1>
          <xm:sqref>X2:X59</xm:sqref>
        </x14:dataValidation>
        <x14:dataValidation type="list" allowBlank="1" showInputMessage="1" showErrorMessage="1" xr:uid="{C1381C15-B621-44C6-A683-322F61F8F0A1}">
          <x14:formula1>
            <xm:f>'Data Regularization'!$L$2:$L$1048576</xm:f>
          </x14:formula1>
          <xm:sqref>W2:W59</xm:sqref>
        </x14:dataValidation>
        <x14:dataValidation type="list" allowBlank="1" showInputMessage="1" showErrorMessage="1" xr:uid="{59D3BDBD-9D50-4AD1-AABA-608BB36719EC}">
          <x14:formula1>
            <xm:f>'Data Regularization'!$K$2:$K$1048576</xm:f>
          </x14:formula1>
          <xm:sqref>V2:V59</xm:sqref>
        </x14:dataValidation>
        <x14:dataValidation type="list" allowBlank="1" showInputMessage="1" showErrorMessage="1" xr:uid="{238F345A-40AC-4BB5-9051-D4610D4FAFD4}">
          <x14:formula1>
            <xm:f>'Data Regularization'!$G$2:$G$1048576</xm:f>
          </x14:formula1>
          <xm:sqref>O2:O59</xm:sqref>
        </x14:dataValidation>
        <x14:dataValidation type="list" allowBlank="1" showInputMessage="1" showErrorMessage="1" xr:uid="{3EF11D09-6610-4BEA-8084-467C18585D5E}">
          <x14:formula1>
            <xm:f>'Data Regularization'!$F$2:$F$1048576</xm:f>
          </x14:formula1>
          <xm:sqref>L2:L59</xm:sqref>
        </x14:dataValidation>
        <x14:dataValidation type="list" allowBlank="1" showInputMessage="1" showErrorMessage="1" xr:uid="{D82AF82B-7F9C-4669-9498-4FA95AB7280C}">
          <x14:formula1>
            <xm:f>'Data Regularization'!$E$2:$E$1048576</xm:f>
          </x14:formula1>
          <xm:sqref>K2:K59</xm:sqref>
        </x14:dataValidation>
        <x14:dataValidation type="list" allowBlank="1" showInputMessage="1" showErrorMessage="1" xr:uid="{95150641-7AC0-426A-8C6A-4D659D733AC7}">
          <x14:formula1>
            <xm:f>'Data Regularization'!$A$2:$A$1048576</xm:f>
          </x14:formula1>
          <xm:sqref>D2:D59</xm:sqref>
        </x14:dataValidation>
        <x14:dataValidation type="list" allowBlank="1" showInputMessage="1" showErrorMessage="1" xr:uid="{D3F75704-9A58-4547-BB8B-EF87DFD4FF04}">
          <x14:formula1>
            <xm:f>'Data Regularization'!$C$2:$C$29</xm:f>
          </x14:formula1>
          <xm:sqref>F2:F59</xm:sqref>
        </x14:dataValidation>
        <x14:dataValidation type="list" allowBlank="1" showInputMessage="1" showErrorMessage="1" xr:uid="{B7458670-9549-46BC-8EA7-FBD0C69D73C7}">
          <x14:formula1>
            <xm:f>'Data Regularization'!$B$2:$B$1048576</xm:f>
          </x14:formula1>
          <xm:sqref>E2:E59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BD90-84C4-400F-BD98-71886E22E518}">
  <dimension ref="A1:AG153"/>
  <sheetViews>
    <sheetView workbookViewId="0">
      <pane xSplit="3" ySplit="1" topLeftCell="D126" activePane="bottomRight" state="frozen"/>
      <selection pane="topRight" activeCell="D1" sqref="D1"/>
      <selection pane="bottomLeft" activeCell="A2" sqref="A2"/>
      <selection pane="bottomRight" activeCell="D152" sqref="D152"/>
    </sheetView>
  </sheetViews>
  <sheetFormatPr defaultRowHeight="14.5"/>
  <sheetData>
    <row r="1" spans="1:33"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12815</v>
      </c>
      <c r="U1" s="1" t="s">
        <v>12816</v>
      </c>
      <c r="V1" s="1" t="s">
        <v>12817</v>
      </c>
      <c r="W1" s="1" t="s">
        <v>12112</v>
      </c>
      <c r="X1" s="1" t="s">
        <v>12113</v>
      </c>
      <c r="Y1" s="1" t="s">
        <v>12114</v>
      </c>
      <c r="Z1" s="1" t="s">
        <v>12068</v>
      </c>
      <c r="AA1" s="1" t="s">
        <v>12069</v>
      </c>
      <c r="AB1" s="1" t="s">
        <v>12070</v>
      </c>
      <c r="AC1" s="1" t="s">
        <v>12111</v>
      </c>
      <c r="AD1" s="1" t="s">
        <v>12115</v>
      </c>
      <c r="AE1" s="1" t="s">
        <v>12071</v>
      </c>
      <c r="AF1" s="1" t="s">
        <v>12116</v>
      </c>
      <c r="AG1" s="1" t="s">
        <v>13140</v>
      </c>
    </row>
    <row r="2" spans="1:33" ht="29">
      <c r="A2" s="3" t="s">
        <v>89</v>
      </c>
      <c r="B2" s="3" t="s">
        <v>4778</v>
      </c>
      <c r="C2" s="3" t="s">
        <v>4779</v>
      </c>
      <c r="G2" s="9" t="s">
        <v>12118</v>
      </c>
      <c r="H2" s="9"/>
      <c r="I2" s="9"/>
      <c r="J2" s="9"/>
      <c r="K2" s="9"/>
      <c r="L2" s="9"/>
      <c r="M2" s="9"/>
      <c r="N2" s="10"/>
      <c r="O2" s="9"/>
      <c r="P2" s="9"/>
      <c r="Q2" s="9">
        <v>103</v>
      </c>
      <c r="R2" s="9">
        <v>93</v>
      </c>
      <c r="S2" s="9">
        <v>196</v>
      </c>
      <c r="T2" s="13">
        <f>IF(ISNUMBER(R2), (R2/$E$134)*10000, "")</f>
        <v>11.175198269646719</v>
      </c>
      <c r="U2" s="13">
        <f>IF(ISNUMBER(S2), (S2/$E$134)*10000, "")</f>
        <v>23.5520307618361</v>
      </c>
      <c r="V2" s="13">
        <f>IF(ISNUMBER(Q2), U2-T2, "")</f>
        <v>12.376832492189381</v>
      </c>
      <c r="W2" s="9" t="s">
        <v>12117</v>
      </c>
      <c r="X2" s="9"/>
      <c r="Y2" s="9"/>
      <c r="Z2" s="9"/>
      <c r="AA2" s="9"/>
      <c r="AB2" s="9"/>
      <c r="AC2" s="9"/>
      <c r="AD2" s="9"/>
      <c r="AE2" s="9"/>
      <c r="AF2" s="9"/>
      <c r="AG2" s="9" t="s">
        <v>20</v>
      </c>
    </row>
    <row r="3" spans="1:33" ht="58">
      <c r="A3" s="3" t="s">
        <v>208</v>
      </c>
      <c r="B3" s="3" t="s">
        <v>4876</v>
      </c>
      <c r="C3" s="3" t="s">
        <v>4877</v>
      </c>
      <c r="G3" s="9" t="s">
        <v>12118</v>
      </c>
      <c r="H3" s="9"/>
      <c r="I3" s="9"/>
      <c r="J3" s="9"/>
      <c r="K3" s="9"/>
      <c r="L3" s="9"/>
      <c r="M3" s="9"/>
      <c r="N3" s="10"/>
      <c r="O3" s="9"/>
      <c r="P3" s="9"/>
      <c r="Q3" s="9">
        <v>-141</v>
      </c>
      <c r="R3" s="9">
        <v>148</v>
      </c>
      <c r="S3" s="9">
        <v>7</v>
      </c>
      <c r="T3" s="13">
        <f t="shared" ref="T3:T66" si="0">IF(ISNUMBER(R3), (R3/$E$134)*10000, "")</f>
        <v>17.784186493631339</v>
      </c>
      <c r="U3" s="13">
        <f t="shared" ref="U3:U66" si="1">IF(ISNUMBER(S3), (S3/$E$134)*10000, "")</f>
        <v>0.84114395577986056</v>
      </c>
      <c r="V3" s="13">
        <f t="shared" ref="V3:V66" si="2">IF(ISNUMBER(Q3), U3-T3, "")</f>
        <v>-16.943042537851479</v>
      </c>
      <c r="W3" s="9"/>
      <c r="X3" s="9"/>
      <c r="Y3" s="9"/>
      <c r="Z3" s="9"/>
      <c r="AA3" s="9"/>
      <c r="AB3" s="9"/>
      <c r="AC3" s="9"/>
      <c r="AD3" s="9"/>
      <c r="AE3" s="9"/>
      <c r="AF3" s="9"/>
      <c r="AG3" s="9" t="s">
        <v>20</v>
      </c>
    </row>
    <row r="4" spans="1:33" ht="43.5">
      <c r="A4" s="3" t="s">
        <v>249</v>
      </c>
      <c r="B4" s="3" t="s">
        <v>4904</v>
      </c>
      <c r="C4" s="3" t="s">
        <v>4905</v>
      </c>
      <c r="G4" s="9" t="s">
        <v>12118</v>
      </c>
      <c r="H4" s="9"/>
      <c r="I4" s="9"/>
      <c r="J4" s="9"/>
      <c r="K4" s="9"/>
      <c r="L4" s="9"/>
      <c r="M4" s="9"/>
      <c r="N4" s="10"/>
      <c r="O4" s="9"/>
      <c r="P4" s="9"/>
      <c r="Q4" s="9">
        <v>10102</v>
      </c>
      <c r="R4" s="9">
        <v>1741</v>
      </c>
      <c r="S4" s="9">
        <v>11843</v>
      </c>
      <c r="T4" s="13">
        <f t="shared" si="0"/>
        <v>209.20451814467677</v>
      </c>
      <c r="U4" s="13">
        <f t="shared" si="1"/>
        <v>1423.0954097572699</v>
      </c>
      <c r="V4" s="13">
        <f t="shared" si="2"/>
        <v>1213.8908916125931</v>
      </c>
      <c r="W4" s="9" t="s">
        <v>12117</v>
      </c>
      <c r="X4" s="9"/>
      <c r="Y4" s="9"/>
      <c r="Z4" s="9"/>
      <c r="AA4" s="9"/>
      <c r="AB4" s="9"/>
      <c r="AC4" s="9"/>
      <c r="AD4" s="9"/>
      <c r="AE4" s="9"/>
      <c r="AF4" s="9"/>
      <c r="AG4" s="9" t="s">
        <v>20</v>
      </c>
    </row>
    <row r="5" spans="1:33" ht="43.5">
      <c r="A5" s="3" t="s">
        <v>415</v>
      </c>
      <c r="B5" s="3" t="s">
        <v>5055</v>
      </c>
      <c r="C5" s="3" t="s">
        <v>5056</v>
      </c>
      <c r="G5" s="9" t="s">
        <v>12118</v>
      </c>
      <c r="H5" s="9"/>
      <c r="I5" s="9"/>
      <c r="J5" s="9"/>
      <c r="K5" s="9"/>
      <c r="L5" s="9"/>
      <c r="M5" s="9"/>
      <c r="N5" s="10"/>
      <c r="O5" s="9"/>
      <c r="P5" s="9"/>
      <c r="Q5" s="9">
        <v>37</v>
      </c>
      <c r="R5" s="9">
        <v>17</v>
      </c>
      <c r="S5" s="9">
        <v>54</v>
      </c>
      <c r="T5" s="13">
        <f t="shared" si="0"/>
        <v>2.0427781783225187</v>
      </c>
      <c r="U5" s="13">
        <f t="shared" si="1"/>
        <v>6.4888248017303534</v>
      </c>
      <c r="V5" s="13">
        <f t="shared" si="2"/>
        <v>4.4460466234078346</v>
      </c>
      <c r="W5" s="9" t="s">
        <v>12117</v>
      </c>
      <c r="X5" s="9"/>
      <c r="Y5" s="9"/>
      <c r="Z5" s="9"/>
      <c r="AA5" s="9"/>
      <c r="AB5" s="9"/>
      <c r="AC5" s="9"/>
      <c r="AD5" s="9"/>
      <c r="AE5" s="9"/>
      <c r="AF5" s="9"/>
      <c r="AG5" s="9" t="s">
        <v>20</v>
      </c>
    </row>
    <row r="6" spans="1:33" ht="29">
      <c r="A6" s="3" t="s">
        <v>476</v>
      </c>
      <c r="B6" s="3" t="s">
        <v>479</v>
      </c>
      <c r="C6" s="3" t="s">
        <v>480</v>
      </c>
      <c r="G6" s="9" t="s">
        <v>12118</v>
      </c>
      <c r="H6" s="9"/>
      <c r="I6" s="9"/>
      <c r="J6" s="9"/>
      <c r="K6" s="9"/>
      <c r="L6" s="9"/>
      <c r="M6" s="9"/>
      <c r="N6" s="10"/>
      <c r="O6" s="9"/>
      <c r="P6" s="9"/>
      <c r="Q6" s="9">
        <v>-30</v>
      </c>
      <c r="R6" s="9">
        <v>40</v>
      </c>
      <c r="S6" s="9">
        <v>10</v>
      </c>
      <c r="T6" s="13">
        <f t="shared" si="0"/>
        <v>4.8065368901706318</v>
      </c>
      <c r="U6" s="13">
        <f t="shared" si="1"/>
        <v>1.2016342225426579</v>
      </c>
      <c r="V6" s="13">
        <f t="shared" si="2"/>
        <v>-3.6049026676279738</v>
      </c>
      <c r="W6" s="9"/>
      <c r="X6" s="9"/>
      <c r="Y6" s="9"/>
      <c r="Z6" s="9"/>
      <c r="AA6" s="9"/>
      <c r="AB6" s="9"/>
      <c r="AC6" s="9"/>
      <c r="AD6" s="9"/>
      <c r="AE6" s="9"/>
      <c r="AF6" s="9"/>
      <c r="AG6" s="9" t="s">
        <v>20</v>
      </c>
    </row>
    <row r="7" spans="1:33" ht="29">
      <c r="A7" s="3" t="s">
        <v>494</v>
      </c>
      <c r="B7" s="3" t="s">
        <v>5122</v>
      </c>
      <c r="C7" s="3" t="s">
        <v>5123</v>
      </c>
      <c r="G7" s="9" t="s">
        <v>12118</v>
      </c>
      <c r="H7" s="9"/>
      <c r="I7" s="9"/>
      <c r="J7" s="9"/>
      <c r="K7" s="9"/>
      <c r="L7" s="9"/>
      <c r="M7" s="9"/>
      <c r="N7" s="10"/>
      <c r="O7" s="9"/>
      <c r="P7" s="9"/>
      <c r="Q7" s="9">
        <v>21</v>
      </c>
      <c r="R7" s="9">
        <v>165</v>
      </c>
      <c r="S7" s="9">
        <v>186</v>
      </c>
      <c r="T7" s="13">
        <f t="shared" si="0"/>
        <v>19.826964671953856</v>
      </c>
      <c r="U7" s="13">
        <f t="shared" si="1"/>
        <v>22.350396539293438</v>
      </c>
      <c r="V7" s="13">
        <f t="shared" si="2"/>
        <v>2.5234318673395819</v>
      </c>
      <c r="W7" s="9"/>
      <c r="X7" s="9"/>
      <c r="Y7" s="9"/>
      <c r="Z7" s="9"/>
      <c r="AA7" s="9"/>
      <c r="AB7" s="9"/>
      <c r="AC7" s="9"/>
      <c r="AD7" s="9"/>
      <c r="AE7" s="9"/>
      <c r="AF7" s="9"/>
      <c r="AG7" s="9" t="s">
        <v>20</v>
      </c>
    </row>
    <row r="8" spans="1:33" ht="29">
      <c r="A8" s="3" t="s">
        <v>543</v>
      </c>
      <c r="B8" s="3" t="s">
        <v>5171</v>
      </c>
      <c r="C8" s="3" t="s">
        <v>5172</v>
      </c>
      <c r="G8" s="9" t="s">
        <v>12118</v>
      </c>
      <c r="H8" s="9"/>
      <c r="I8" s="9"/>
      <c r="J8" s="9"/>
      <c r="K8" s="9"/>
      <c r="L8" s="9"/>
      <c r="M8" s="9"/>
      <c r="N8" s="10"/>
      <c r="O8" s="9"/>
      <c r="P8" s="9"/>
      <c r="Q8" s="9">
        <v>-1874</v>
      </c>
      <c r="R8" s="9">
        <v>1966</v>
      </c>
      <c r="S8" s="9">
        <v>92</v>
      </c>
      <c r="T8" s="13">
        <f t="shared" si="0"/>
        <v>236.24128815188658</v>
      </c>
      <c r="U8" s="13">
        <f t="shared" si="1"/>
        <v>11.055034847392454</v>
      </c>
      <c r="V8" s="13">
        <f t="shared" si="2"/>
        <v>-225.18625330449413</v>
      </c>
      <c r="W8" s="9"/>
      <c r="X8" s="9"/>
      <c r="Y8" s="9"/>
      <c r="Z8" s="9"/>
      <c r="AA8" s="9"/>
      <c r="AB8" s="9"/>
      <c r="AC8" s="9"/>
      <c r="AD8" s="9"/>
      <c r="AE8" s="9"/>
      <c r="AF8" s="9"/>
      <c r="AG8" s="9" t="s">
        <v>20</v>
      </c>
    </row>
    <row r="9" spans="1:33" ht="29">
      <c r="A9" s="3" t="s">
        <v>628</v>
      </c>
      <c r="B9" s="3" t="s">
        <v>5223</v>
      </c>
      <c r="C9" s="3" t="s">
        <v>5224</v>
      </c>
      <c r="G9" s="9" t="s">
        <v>12118</v>
      </c>
      <c r="H9" s="9"/>
      <c r="I9" s="9"/>
      <c r="J9" s="9"/>
      <c r="K9" s="9"/>
      <c r="L9" s="9"/>
      <c r="M9" s="9"/>
      <c r="N9" s="10"/>
      <c r="O9" s="9"/>
      <c r="P9" s="9"/>
      <c r="Q9" s="9">
        <v>-68</v>
      </c>
      <c r="R9" s="9">
        <v>171</v>
      </c>
      <c r="S9" s="9">
        <v>103</v>
      </c>
      <c r="T9" s="13">
        <f t="shared" si="0"/>
        <v>20.547945205479451</v>
      </c>
      <c r="U9" s="13">
        <f t="shared" si="1"/>
        <v>12.376832492189379</v>
      </c>
      <c r="V9" s="13">
        <f t="shared" si="2"/>
        <v>-8.1711127132900714</v>
      </c>
      <c r="W9" s="9"/>
      <c r="X9" s="9"/>
      <c r="Y9" s="9"/>
      <c r="Z9" s="9"/>
      <c r="AA9" s="9"/>
      <c r="AB9" s="9"/>
      <c r="AC9" s="9"/>
      <c r="AD9" s="9"/>
      <c r="AE9" s="9"/>
      <c r="AF9" s="9"/>
      <c r="AG9" s="9" t="s">
        <v>20</v>
      </c>
    </row>
    <row r="10" spans="1:33" ht="29">
      <c r="A10" s="3" t="s">
        <v>652</v>
      </c>
      <c r="B10" s="3" t="s">
        <v>653</v>
      </c>
      <c r="C10" s="3" t="s">
        <v>654</v>
      </c>
      <c r="G10" s="9" t="s">
        <v>12118</v>
      </c>
      <c r="H10" s="9"/>
      <c r="I10" s="9"/>
      <c r="J10" s="9"/>
      <c r="K10" s="9"/>
      <c r="L10" s="9"/>
      <c r="M10" s="9"/>
      <c r="N10" s="10"/>
      <c r="O10" s="9"/>
      <c r="P10" s="9"/>
      <c r="Q10" s="9">
        <v>-6</v>
      </c>
      <c r="R10" s="9">
        <v>6</v>
      </c>
      <c r="S10" s="9">
        <v>0</v>
      </c>
      <c r="T10" s="13">
        <f t="shared" si="0"/>
        <v>0.72098053352559488</v>
      </c>
      <c r="U10" s="13">
        <f t="shared" si="1"/>
        <v>0</v>
      </c>
      <c r="V10" s="13">
        <f t="shared" si="2"/>
        <v>-0.72098053352559488</v>
      </c>
      <c r="W10" s="9"/>
      <c r="X10" s="9"/>
      <c r="Y10" s="9"/>
      <c r="Z10" s="9"/>
      <c r="AA10" s="9"/>
      <c r="AB10" s="9"/>
      <c r="AC10" s="9"/>
      <c r="AD10" s="9"/>
      <c r="AE10" s="9"/>
      <c r="AF10" s="9"/>
      <c r="AG10" s="9" t="s">
        <v>20</v>
      </c>
    </row>
    <row r="11" spans="1:33" ht="29">
      <c r="A11" s="3" t="s">
        <v>726</v>
      </c>
      <c r="B11" s="3" t="s">
        <v>727</v>
      </c>
      <c r="C11" s="3" t="s">
        <v>728</v>
      </c>
      <c r="G11" s="9" t="s">
        <v>12118</v>
      </c>
      <c r="H11" s="9"/>
      <c r="I11" s="9"/>
      <c r="J11" s="9"/>
      <c r="K11" s="9"/>
      <c r="L11" s="9"/>
      <c r="M11" s="9"/>
      <c r="N11" s="10"/>
      <c r="O11" s="9"/>
      <c r="P11" s="9"/>
      <c r="Q11" s="9">
        <v>-50</v>
      </c>
      <c r="R11" s="9">
        <v>87</v>
      </c>
      <c r="S11" s="9">
        <v>37</v>
      </c>
      <c r="T11" s="13">
        <f t="shared" si="0"/>
        <v>10.454217736121125</v>
      </c>
      <c r="U11" s="13">
        <f t="shared" si="1"/>
        <v>4.4460466234078346</v>
      </c>
      <c r="V11" s="13">
        <f t="shared" si="2"/>
        <v>-6.0081711127132902</v>
      </c>
      <c r="W11" s="9"/>
      <c r="X11" s="9"/>
      <c r="Y11" s="9"/>
      <c r="Z11" s="9"/>
      <c r="AA11" s="9"/>
      <c r="AB11" s="9"/>
      <c r="AC11" s="9"/>
      <c r="AD11" s="9"/>
      <c r="AE11" s="9"/>
      <c r="AF11" s="9"/>
      <c r="AG11" s="9" t="s">
        <v>20</v>
      </c>
    </row>
    <row r="12" spans="1:33" ht="43.5">
      <c r="A12" s="3" t="s">
        <v>841</v>
      </c>
      <c r="B12" s="3" t="s">
        <v>5431</v>
      </c>
      <c r="C12" s="3" t="s">
        <v>5432</v>
      </c>
      <c r="G12" s="9" t="s">
        <v>12118</v>
      </c>
      <c r="H12" s="9"/>
      <c r="I12" s="9"/>
      <c r="J12" s="9"/>
      <c r="K12" s="9"/>
      <c r="L12" s="9"/>
      <c r="M12" s="9"/>
      <c r="N12" s="10"/>
      <c r="O12" s="9"/>
      <c r="P12" s="9"/>
      <c r="Q12" s="9">
        <v>234</v>
      </c>
      <c r="R12" s="9">
        <v>31</v>
      </c>
      <c r="S12" s="9">
        <v>265</v>
      </c>
      <c r="T12" s="13">
        <f t="shared" si="0"/>
        <v>3.7250660898822399</v>
      </c>
      <c r="U12" s="13">
        <f t="shared" si="1"/>
        <v>31.843306897380437</v>
      </c>
      <c r="V12" s="13">
        <f t="shared" si="2"/>
        <v>28.118240807498196</v>
      </c>
      <c r="W12" s="9"/>
      <c r="X12" s="9"/>
      <c r="Y12" s="9"/>
      <c r="Z12" s="9"/>
      <c r="AA12" s="9"/>
      <c r="AB12" s="9"/>
      <c r="AC12" s="9"/>
      <c r="AD12" s="9"/>
      <c r="AE12" s="9"/>
      <c r="AF12" s="9"/>
      <c r="AG12" s="9" t="s">
        <v>20</v>
      </c>
    </row>
    <row r="13" spans="1:33" ht="43.5">
      <c r="A13" s="3" t="s">
        <v>881</v>
      </c>
      <c r="B13" s="3" t="s">
        <v>5471</v>
      </c>
      <c r="C13" s="3" t="s">
        <v>5472</v>
      </c>
      <c r="G13" s="9" t="s">
        <v>12118</v>
      </c>
      <c r="H13" s="9"/>
      <c r="I13" s="9"/>
      <c r="J13" s="9"/>
      <c r="K13" s="9"/>
      <c r="L13" s="9"/>
      <c r="M13" s="9"/>
      <c r="N13" s="10"/>
      <c r="O13" s="9"/>
      <c r="P13" s="9"/>
      <c r="Q13" s="9">
        <v>-293</v>
      </c>
      <c r="R13" s="9">
        <v>472</v>
      </c>
      <c r="S13" s="9">
        <v>179</v>
      </c>
      <c r="T13" s="13">
        <f t="shared" si="0"/>
        <v>56.71713530401346</v>
      </c>
      <c r="U13" s="13">
        <f t="shared" si="1"/>
        <v>21.509252583513579</v>
      </c>
      <c r="V13" s="13">
        <f t="shared" si="2"/>
        <v>-35.207882720499882</v>
      </c>
      <c r="W13" s="9" t="s">
        <v>4</v>
      </c>
      <c r="X13" s="9"/>
      <c r="Y13" s="9"/>
      <c r="Z13" s="9"/>
      <c r="AA13" s="9"/>
      <c r="AB13" s="9"/>
      <c r="AC13" s="9"/>
      <c r="AD13" s="9"/>
      <c r="AE13" s="9"/>
      <c r="AF13" s="9"/>
      <c r="AG13" s="9" t="s">
        <v>20</v>
      </c>
    </row>
    <row r="14" spans="1:33" ht="43.5">
      <c r="A14" s="3" t="s">
        <v>910</v>
      </c>
      <c r="B14" s="3" t="s">
        <v>5497</v>
      </c>
      <c r="C14" s="3" t="s">
        <v>5498</v>
      </c>
      <c r="G14" s="9" t="s">
        <v>12118</v>
      </c>
      <c r="H14" s="9"/>
      <c r="I14" s="9"/>
      <c r="J14" s="9"/>
      <c r="K14" s="9"/>
      <c r="L14" s="9"/>
      <c r="M14" s="9"/>
      <c r="N14" s="10"/>
      <c r="O14" s="9"/>
      <c r="P14" s="9"/>
      <c r="Q14" s="9">
        <v>-34</v>
      </c>
      <c r="R14" s="9">
        <v>227</v>
      </c>
      <c r="S14" s="9">
        <v>193</v>
      </c>
      <c r="T14" s="13">
        <f t="shared" si="0"/>
        <v>27.277096851718337</v>
      </c>
      <c r="U14" s="13">
        <f t="shared" si="1"/>
        <v>23.191540495073301</v>
      </c>
      <c r="V14" s="13">
        <f t="shared" si="2"/>
        <v>-4.0855563566450357</v>
      </c>
      <c r="W14" s="9"/>
      <c r="X14" s="9"/>
      <c r="Y14" s="9"/>
      <c r="Z14" s="9"/>
      <c r="AA14" s="9"/>
      <c r="AB14" s="9"/>
      <c r="AC14" s="9"/>
      <c r="AD14" s="9"/>
      <c r="AE14" s="9"/>
      <c r="AF14" s="9"/>
      <c r="AG14" s="9" t="s">
        <v>20</v>
      </c>
    </row>
    <row r="15" spans="1:33" ht="29">
      <c r="A15" s="3" t="s">
        <v>1138</v>
      </c>
      <c r="B15" s="3" t="s">
        <v>5720</v>
      </c>
      <c r="C15" s="3" t="s">
        <v>5721</v>
      </c>
      <c r="G15" s="9" t="s">
        <v>12118</v>
      </c>
      <c r="H15" s="9"/>
      <c r="I15" s="9"/>
      <c r="J15" s="9"/>
      <c r="K15" s="9"/>
      <c r="L15" s="9"/>
      <c r="M15" s="9"/>
      <c r="N15" s="10"/>
      <c r="O15" s="9"/>
      <c r="P15" s="9"/>
      <c r="Q15" s="9">
        <v>193</v>
      </c>
      <c r="R15" s="9">
        <v>87</v>
      </c>
      <c r="S15" s="9">
        <v>280</v>
      </c>
      <c r="T15" s="13">
        <f t="shared" si="0"/>
        <v>10.454217736121125</v>
      </c>
      <c r="U15" s="13">
        <f t="shared" si="1"/>
        <v>33.645758231194421</v>
      </c>
      <c r="V15" s="13">
        <f t="shared" si="2"/>
        <v>23.191540495073298</v>
      </c>
      <c r="W15" s="9"/>
      <c r="X15" s="9"/>
      <c r="Y15" s="9"/>
      <c r="Z15" s="9"/>
      <c r="AA15" s="9"/>
      <c r="AB15" s="9"/>
      <c r="AC15" s="9"/>
      <c r="AD15" s="9"/>
      <c r="AE15" s="9"/>
      <c r="AF15" s="9"/>
      <c r="AG15" s="9" t="s">
        <v>20</v>
      </c>
    </row>
    <row r="16" spans="1:33" ht="58">
      <c r="A16" s="3" t="s">
        <v>1157</v>
      </c>
      <c r="B16" s="3" t="s">
        <v>5752</v>
      </c>
      <c r="C16" s="3" t="s">
        <v>5753</v>
      </c>
      <c r="G16" s="9" t="s">
        <v>12118</v>
      </c>
      <c r="H16" s="9"/>
      <c r="I16" s="9"/>
      <c r="J16" s="9"/>
      <c r="K16" s="9"/>
      <c r="L16" s="9"/>
      <c r="M16" s="9"/>
      <c r="N16" s="10"/>
      <c r="O16" s="9"/>
      <c r="P16" s="9"/>
      <c r="Q16" s="9">
        <v>57</v>
      </c>
      <c r="R16" s="9">
        <v>8</v>
      </c>
      <c r="S16" s="9">
        <v>65</v>
      </c>
      <c r="T16" s="13">
        <f t="shared" si="0"/>
        <v>0.96130737803412647</v>
      </c>
      <c r="U16" s="13">
        <f t="shared" si="1"/>
        <v>7.8106224465272769</v>
      </c>
      <c r="V16" s="13">
        <f t="shared" si="2"/>
        <v>6.8493150684931505</v>
      </c>
      <c r="W16" s="9"/>
      <c r="X16" s="9"/>
      <c r="Y16" s="9"/>
      <c r="Z16" s="9"/>
      <c r="AA16" s="9"/>
      <c r="AB16" s="9"/>
      <c r="AC16" s="9"/>
      <c r="AD16" s="9"/>
      <c r="AE16" s="9"/>
      <c r="AF16" s="9"/>
      <c r="AG16" s="9" t="s">
        <v>20</v>
      </c>
    </row>
    <row r="17" spans="1:33" ht="72.5">
      <c r="A17" s="3" t="s">
        <v>1163</v>
      </c>
      <c r="B17" s="3" t="s">
        <v>5761</v>
      </c>
      <c r="C17" s="3" t="s">
        <v>5762</v>
      </c>
      <c r="G17" s="9" t="s">
        <v>12121</v>
      </c>
      <c r="H17" s="9"/>
      <c r="I17" s="9"/>
      <c r="J17" s="9"/>
      <c r="K17" s="9"/>
      <c r="L17" s="9"/>
      <c r="M17" s="9"/>
      <c r="N17" s="10"/>
      <c r="O17" s="9"/>
      <c r="P17" s="9"/>
      <c r="Q17" s="9">
        <v>-15</v>
      </c>
      <c r="R17" s="9">
        <v>92</v>
      </c>
      <c r="S17" s="9">
        <v>77</v>
      </c>
      <c r="T17" s="13">
        <f t="shared" si="0"/>
        <v>11.055034847392454</v>
      </c>
      <c r="U17" s="13">
        <f t="shared" si="1"/>
        <v>9.2525835135784664</v>
      </c>
      <c r="V17" s="13">
        <f t="shared" si="2"/>
        <v>-1.8024513338139876</v>
      </c>
      <c r="W17" s="9"/>
      <c r="X17" s="9"/>
      <c r="Y17" s="9"/>
      <c r="Z17" s="9"/>
      <c r="AA17" s="9"/>
      <c r="AB17" s="9"/>
      <c r="AC17" s="9"/>
      <c r="AD17" s="9"/>
      <c r="AE17" s="9"/>
      <c r="AF17" s="9"/>
      <c r="AG17" s="9" t="s">
        <v>13141</v>
      </c>
    </row>
    <row r="18" spans="1:33" ht="43.5">
      <c r="A18" s="3" t="s">
        <v>1163</v>
      </c>
      <c r="B18" s="3" t="s">
        <v>5764</v>
      </c>
      <c r="C18" s="3" t="s">
        <v>5765</v>
      </c>
      <c r="G18" s="9" t="s">
        <v>12118</v>
      </c>
      <c r="H18" s="9"/>
      <c r="I18" s="9"/>
      <c r="J18" s="9"/>
      <c r="K18" s="9"/>
      <c r="L18" s="9"/>
      <c r="M18" s="9"/>
      <c r="N18" s="10"/>
      <c r="O18" s="9"/>
      <c r="P18" s="9"/>
      <c r="Q18" s="9">
        <v>49</v>
      </c>
      <c r="R18" s="9">
        <v>3</v>
      </c>
      <c r="S18" s="9">
        <v>52</v>
      </c>
      <c r="T18" s="13">
        <f t="shared" si="0"/>
        <v>0.36049026676279744</v>
      </c>
      <c r="U18" s="13">
        <f t="shared" si="1"/>
        <v>6.2484979572218213</v>
      </c>
      <c r="V18" s="13">
        <f t="shared" si="2"/>
        <v>5.8880076904590242</v>
      </c>
      <c r="W18" s="9"/>
      <c r="X18" s="9"/>
      <c r="Y18" s="9"/>
      <c r="Z18" s="9"/>
      <c r="AA18" s="9"/>
      <c r="AB18" s="9"/>
      <c r="AC18" s="9"/>
      <c r="AD18" s="9"/>
      <c r="AE18" s="9"/>
      <c r="AF18" s="9"/>
      <c r="AG18" s="9" t="s">
        <v>20</v>
      </c>
    </row>
    <row r="19" spans="1:33" ht="58">
      <c r="A19" s="3" t="s">
        <v>1176</v>
      </c>
      <c r="B19" s="3" t="s">
        <v>5772</v>
      </c>
      <c r="C19" s="3" t="s">
        <v>5773</v>
      </c>
      <c r="G19" s="9" t="s">
        <v>12118</v>
      </c>
      <c r="H19" s="9"/>
      <c r="I19" s="9"/>
      <c r="J19" s="9"/>
      <c r="K19" s="9"/>
      <c r="L19" s="9"/>
      <c r="M19" s="9"/>
      <c r="N19" s="10"/>
      <c r="O19" s="9"/>
      <c r="P19" s="9"/>
      <c r="Q19" s="9">
        <v>5483</v>
      </c>
      <c r="R19" s="9">
        <v>193</v>
      </c>
      <c r="S19" s="9">
        <v>5676</v>
      </c>
      <c r="T19" s="13">
        <f t="shared" si="0"/>
        <v>23.191540495073301</v>
      </c>
      <c r="U19" s="13">
        <f t="shared" si="1"/>
        <v>682.04758471521268</v>
      </c>
      <c r="V19" s="13">
        <f t="shared" si="2"/>
        <v>658.85604422013932</v>
      </c>
      <c r="W19" s="9"/>
      <c r="X19" s="9"/>
      <c r="Y19" s="9"/>
      <c r="Z19" s="9"/>
      <c r="AA19" s="9"/>
      <c r="AB19" s="9"/>
      <c r="AC19" s="9"/>
      <c r="AD19" s="9"/>
      <c r="AE19" s="9"/>
      <c r="AF19" s="9"/>
      <c r="AG19" s="9" t="s">
        <v>20</v>
      </c>
    </row>
    <row r="20" spans="1:33" ht="87">
      <c r="A20" s="3" t="s">
        <v>1184</v>
      </c>
      <c r="B20" s="3" t="s">
        <v>5787</v>
      </c>
      <c r="C20" s="3" t="s">
        <v>5788</v>
      </c>
      <c r="G20" s="9" t="s">
        <v>12118</v>
      </c>
      <c r="H20" s="9"/>
      <c r="I20" s="9"/>
      <c r="J20" s="9"/>
      <c r="K20" s="9"/>
      <c r="L20" s="9"/>
      <c r="M20" s="9"/>
      <c r="N20" s="10"/>
      <c r="O20" s="9"/>
      <c r="P20" s="9"/>
      <c r="Q20" s="9">
        <v>-743</v>
      </c>
      <c r="R20" s="9">
        <v>810</v>
      </c>
      <c r="S20" s="9">
        <v>67</v>
      </c>
      <c r="T20" s="13">
        <f t="shared" si="0"/>
        <v>97.332372025955294</v>
      </c>
      <c r="U20" s="13">
        <f t="shared" si="1"/>
        <v>8.050949291035808</v>
      </c>
      <c r="V20" s="13">
        <f t="shared" si="2"/>
        <v>-89.281422734919488</v>
      </c>
      <c r="W20" s="9"/>
      <c r="X20" s="9"/>
      <c r="Y20" s="9"/>
      <c r="Z20" s="9"/>
      <c r="AA20" s="9"/>
      <c r="AB20" s="9"/>
      <c r="AC20" s="9"/>
      <c r="AD20" s="9"/>
      <c r="AE20" s="9"/>
      <c r="AF20" s="9"/>
      <c r="AG20" s="9" t="s">
        <v>20</v>
      </c>
    </row>
    <row r="21" spans="1:33" ht="58">
      <c r="A21" s="3" t="s">
        <v>1205</v>
      </c>
      <c r="B21" s="3" t="s">
        <v>5819</v>
      </c>
      <c r="C21" s="3" t="s">
        <v>5820</v>
      </c>
      <c r="G21" s="9" t="s">
        <v>12118</v>
      </c>
      <c r="H21" s="9"/>
      <c r="I21" s="9"/>
      <c r="J21" s="9"/>
      <c r="K21" s="9"/>
      <c r="L21" s="9"/>
      <c r="M21" s="9"/>
      <c r="N21" s="10"/>
      <c r="O21" s="9"/>
      <c r="P21" s="9"/>
      <c r="Q21" s="9">
        <v>-12</v>
      </c>
      <c r="R21" s="9">
        <v>25</v>
      </c>
      <c r="S21" s="9">
        <v>13</v>
      </c>
      <c r="T21" s="13">
        <f t="shared" si="0"/>
        <v>3.0040855563566451</v>
      </c>
      <c r="U21" s="13">
        <f t="shared" si="1"/>
        <v>1.5621244893054553</v>
      </c>
      <c r="V21" s="13">
        <f t="shared" si="2"/>
        <v>-1.4419610670511898</v>
      </c>
      <c r="W21" s="9"/>
      <c r="X21" s="9"/>
      <c r="Y21" s="9"/>
      <c r="Z21" s="9"/>
      <c r="AA21" s="9"/>
      <c r="AB21" s="9"/>
      <c r="AC21" s="9"/>
      <c r="AD21" s="9"/>
      <c r="AE21" s="9"/>
      <c r="AF21" s="9"/>
      <c r="AG21" s="9" t="s">
        <v>20</v>
      </c>
    </row>
    <row r="22" spans="1:33" ht="43.5">
      <c r="A22" s="3" t="s">
        <v>1214</v>
      </c>
      <c r="B22" s="3" t="s">
        <v>5827</v>
      </c>
      <c r="C22" s="3" t="s">
        <v>5828</v>
      </c>
      <c r="G22" s="9" t="s">
        <v>12118</v>
      </c>
      <c r="H22" s="9"/>
      <c r="I22" s="9"/>
      <c r="J22" s="9"/>
      <c r="K22" s="9"/>
      <c r="L22" s="9"/>
      <c r="M22" s="9"/>
      <c r="N22" s="10"/>
      <c r="O22" s="9"/>
      <c r="P22" s="9"/>
      <c r="Q22" s="9">
        <v>-21</v>
      </c>
      <c r="R22" s="9">
        <v>186</v>
      </c>
      <c r="S22" s="9">
        <v>165</v>
      </c>
      <c r="T22" s="13">
        <f t="shared" si="0"/>
        <v>22.350396539293438</v>
      </c>
      <c r="U22" s="13">
        <f t="shared" si="1"/>
        <v>19.826964671953856</v>
      </c>
      <c r="V22" s="13">
        <f t="shared" si="2"/>
        <v>-2.5234318673395819</v>
      </c>
      <c r="W22" s="9"/>
      <c r="X22" s="9"/>
      <c r="Y22" s="9"/>
      <c r="Z22" s="9"/>
      <c r="AA22" s="9"/>
      <c r="AB22" s="9"/>
      <c r="AC22" s="9"/>
      <c r="AD22" s="9"/>
      <c r="AE22" s="9"/>
      <c r="AF22" s="9"/>
      <c r="AG22" s="9" t="s">
        <v>20</v>
      </c>
    </row>
    <row r="23" spans="1:33" ht="43.5">
      <c r="A23" s="3" t="s">
        <v>1264</v>
      </c>
      <c r="B23" s="3" t="s">
        <v>5876</v>
      </c>
      <c r="C23" s="3" t="s">
        <v>5877</v>
      </c>
      <c r="G23" s="9" t="s">
        <v>12118</v>
      </c>
      <c r="H23" s="9"/>
      <c r="I23" s="9"/>
      <c r="J23" s="9"/>
      <c r="K23" s="9"/>
      <c r="L23" s="9"/>
      <c r="M23" s="9"/>
      <c r="N23" s="10"/>
      <c r="O23" s="9"/>
      <c r="P23" s="9"/>
      <c r="Q23" s="9">
        <v>294</v>
      </c>
      <c r="R23" s="9">
        <v>214</v>
      </c>
      <c r="S23" s="9">
        <v>508</v>
      </c>
      <c r="T23" s="13">
        <f t="shared" si="0"/>
        <v>25.71497236241288</v>
      </c>
      <c r="U23" s="13">
        <f t="shared" si="1"/>
        <v>61.043018505167026</v>
      </c>
      <c r="V23" s="13">
        <f t="shared" si="2"/>
        <v>35.328046142754147</v>
      </c>
      <c r="W23" s="9"/>
      <c r="X23" s="9"/>
      <c r="Y23" s="9"/>
      <c r="Z23" s="9"/>
      <c r="AA23" s="9"/>
      <c r="AB23" s="9"/>
      <c r="AC23" s="9"/>
      <c r="AD23" s="9"/>
      <c r="AE23" s="9"/>
      <c r="AF23" s="9"/>
      <c r="AG23" s="9" t="s">
        <v>20</v>
      </c>
    </row>
    <row r="24" spans="1:33" ht="72.5">
      <c r="A24" s="3" t="s">
        <v>1267</v>
      </c>
      <c r="B24" s="3" t="s">
        <v>5883</v>
      </c>
      <c r="C24" s="3" t="s">
        <v>5884</v>
      </c>
      <c r="G24" s="9" t="s">
        <v>12118</v>
      </c>
      <c r="H24" s="9"/>
      <c r="I24" s="9"/>
      <c r="J24" s="9"/>
      <c r="K24" s="9"/>
      <c r="L24" s="9"/>
      <c r="M24" s="9"/>
      <c r="N24" s="10"/>
      <c r="O24" s="9"/>
      <c r="P24" s="9"/>
      <c r="Q24" s="9">
        <v>-68</v>
      </c>
      <c r="R24" s="9">
        <v>171</v>
      </c>
      <c r="S24" s="9">
        <v>103</v>
      </c>
      <c r="T24" s="13">
        <f t="shared" si="0"/>
        <v>20.547945205479451</v>
      </c>
      <c r="U24" s="13">
        <f t="shared" si="1"/>
        <v>12.376832492189379</v>
      </c>
      <c r="V24" s="13">
        <f t="shared" si="2"/>
        <v>-8.1711127132900714</v>
      </c>
      <c r="W24" s="9"/>
      <c r="X24" s="9"/>
      <c r="Y24" s="9"/>
      <c r="Z24" s="9"/>
      <c r="AA24" s="9"/>
      <c r="AB24" s="9"/>
      <c r="AC24" s="9"/>
      <c r="AD24" s="9"/>
      <c r="AE24" s="9"/>
      <c r="AF24" s="9"/>
      <c r="AG24" s="9" t="s">
        <v>20</v>
      </c>
    </row>
    <row r="25" spans="1:33" ht="43.5">
      <c r="A25" s="3" t="s">
        <v>1273</v>
      </c>
      <c r="B25" s="3" t="s">
        <v>5888</v>
      </c>
      <c r="C25" s="3" t="s">
        <v>5889</v>
      </c>
      <c r="G25" s="9" t="s">
        <v>12118</v>
      </c>
      <c r="H25" s="9"/>
      <c r="I25" s="9"/>
      <c r="J25" s="9"/>
      <c r="K25" s="9"/>
      <c r="L25" s="9"/>
      <c r="M25" s="9"/>
      <c r="N25" s="10"/>
      <c r="O25" s="9"/>
      <c r="P25" s="9"/>
      <c r="Q25" s="9">
        <v>15</v>
      </c>
      <c r="R25" s="9">
        <v>1</v>
      </c>
      <c r="S25" s="9">
        <v>16</v>
      </c>
      <c r="T25" s="13">
        <f t="shared" si="0"/>
        <v>0.12016342225426581</v>
      </c>
      <c r="U25" s="13">
        <f t="shared" si="1"/>
        <v>1.9226147560682529</v>
      </c>
      <c r="V25" s="13">
        <f t="shared" si="2"/>
        <v>1.8024513338139871</v>
      </c>
      <c r="W25" s="9"/>
      <c r="X25" s="9"/>
      <c r="Y25" s="9"/>
      <c r="Z25" s="9"/>
      <c r="AA25" s="9"/>
      <c r="AB25" s="9"/>
      <c r="AC25" s="9"/>
      <c r="AD25" s="9"/>
      <c r="AE25" s="9"/>
      <c r="AF25" s="9"/>
      <c r="AG25" s="9" t="s">
        <v>20</v>
      </c>
    </row>
    <row r="26" spans="1:33" ht="43.5">
      <c r="A26" s="3" t="s">
        <v>1298</v>
      </c>
      <c r="B26" s="3" t="s">
        <v>5914</v>
      </c>
      <c r="C26" s="3" t="s">
        <v>5915</v>
      </c>
      <c r="G26" s="9" t="s">
        <v>12118</v>
      </c>
      <c r="H26" s="9"/>
      <c r="I26" s="9"/>
      <c r="J26" s="9"/>
      <c r="K26" s="9"/>
      <c r="L26" s="9"/>
      <c r="M26" s="9"/>
      <c r="N26" s="10"/>
      <c r="O26" s="9"/>
      <c r="P26" s="9"/>
      <c r="Q26" s="9">
        <v>29</v>
      </c>
      <c r="R26" s="9">
        <v>1</v>
      </c>
      <c r="S26" s="9">
        <v>30</v>
      </c>
      <c r="T26" s="13">
        <f t="shared" si="0"/>
        <v>0.12016342225426581</v>
      </c>
      <c r="U26" s="13">
        <f t="shared" si="1"/>
        <v>3.6049026676279738</v>
      </c>
      <c r="V26" s="13">
        <f t="shared" si="2"/>
        <v>3.4847392453737078</v>
      </c>
      <c r="W26" s="9"/>
      <c r="X26" s="9"/>
      <c r="Y26" s="9"/>
      <c r="Z26" s="9"/>
      <c r="AA26" s="9"/>
      <c r="AB26" s="9"/>
      <c r="AC26" s="9"/>
      <c r="AD26" s="9"/>
      <c r="AE26" s="9"/>
      <c r="AF26" s="9"/>
      <c r="AG26" s="9" t="s">
        <v>20</v>
      </c>
    </row>
    <row r="27" spans="1:33" ht="29">
      <c r="A27" s="3" t="s">
        <v>1384</v>
      </c>
      <c r="B27" s="3" t="s">
        <v>1229</v>
      </c>
      <c r="C27" s="3" t="s">
        <v>1230</v>
      </c>
      <c r="G27" s="9" t="s">
        <v>12118</v>
      </c>
      <c r="H27" s="9"/>
      <c r="I27" s="9"/>
      <c r="J27" s="9"/>
      <c r="K27" s="9"/>
      <c r="L27" s="9"/>
      <c r="M27" s="9"/>
      <c r="N27" s="10"/>
      <c r="O27" s="9"/>
      <c r="P27" s="9"/>
      <c r="Q27" s="9">
        <v>-69</v>
      </c>
      <c r="R27" s="9">
        <v>77</v>
      </c>
      <c r="S27" s="9">
        <v>8</v>
      </c>
      <c r="T27" s="13">
        <f t="shared" si="0"/>
        <v>9.2525835135784664</v>
      </c>
      <c r="U27" s="13">
        <f t="shared" si="1"/>
        <v>0.96130737803412647</v>
      </c>
      <c r="V27" s="13">
        <f t="shared" si="2"/>
        <v>-8.2912761355443401</v>
      </c>
      <c r="W27" s="9"/>
      <c r="X27" s="9"/>
      <c r="Y27" s="9"/>
      <c r="Z27" s="9"/>
      <c r="AA27" s="9"/>
      <c r="AB27" s="9"/>
      <c r="AC27" s="9"/>
      <c r="AD27" s="9"/>
      <c r="AE27" s="9"/>
      <c r="AF27" s="9"/>
      <c r="AG27" s="9" t="s">
        <v>20</v>
      </c>
    </row>
    <row r="28" spans="1:33" ht="58">
      <c r="A28" s="3" t="s">
        <v>1409</v>
      </c>
      <c r="B28" s="3" t="s">
        <v>6058</v>
      </c>
      <c r="C28" s="3" t="s">
        <v>6057</v>
      </c>
      <c r="G28" s="9" t="s">
        <v>12118</v>
      </c>
      <c r="H28" s="9"/>
      <c r="I28" s="9"/>
      <c r="J28" s="9"/>
      <c r="K28" s="9"/>
      <c r="L28" s="9"/>
      <c r="M28" s="9"/>
      <c r="N28" s="10"/>
      <c r="O28" s="9"/>
      <c r="P28" s="9"/>
      <c r="Q28" s="9">
        <v>-25</v>
      </c>
      <c r="R28" s="9">
        <v>27</v>
      </c>
      <c r="S28" s="9">
        <v>2</v>
      </c>
      <c r="T28" s="13">
        <f t="shared" si="0"/>
        <v>3.2444124008651767</v>
      </c>
      <c r="U28" s="13">
        <f t="shared" si="1"/>
        <v>0.24032684450853162</v>
      </c>
      <c r="V28" s="13">
        <f t="shared" si="2"/>
        <v>-3.0040855563566451</v>
      </c>
      <c r="W28" s="9"/>
      <c r="X28" s="9"/>
      <c r="Y28" s="9"/>
      <c r="Z28" s="9"/>
      <c r="AA28" s="9"/>
      <c r="AB28" s="9"/>
      <c r="AC28" s="9"/>
      <c r="AD28" s="9"/>
      <c r="AE28" s="9"/>
      <c r="AF28" s="9"/>
      <c r="AG28" s="9" t="s">
        <v>20</v>
      </c>
    </row>
    <row r="29" spans="1:33" ht="43.5">
      <c r="A29" s="3" t="s">
        <v>1417</v>
      </c>
      <c r="B29" s="3" t="s">
        <v>6072</v>
      </c>
      <c r="C29" s="3" t="s">
        <v>6073</v>
      </c>
      <c r="G29" s="9" t="s">
        <v>12118</v>
      </c>
      <c r="H29" s="9"/>
      <c r="I29" s="9"/>
      <c r="J29" s="9"/>
      <c r="K29" s="9"/>
      <c r="L29" s="9"/>
      <c r="M29" s="9"/>
      <c r="N29" s="10"/>
      <c r="O29" s="9"/>
      <c r="P29" s="9"/>
      <c r="Q29" s="9">
        <v>-6</v>
      </c>
      <c r="R29" s="9">
        <v>16</v>
      </c>
      <c r="S29" s="9">
        <v>10</v>
      </c>
      <c r="T29" s="13">
        <f t="shared" si="0"/>
        <v>1.9226147560682529</v>
      </c>
      <c r="U29" s="13">
        <f t="shared" si="1"/>
        <v>1.2016342225426579</v>
      </c>
      <c r="V29" s="13">
        <f t="shared" si="2"/>
        <v>-0.72098053352559499</v>
      </c>
      <c r="W29" s="9"/>
      <c r="X29" s="9"/>
      <c r="Y29" s="9"/>
      <c r="Z29" s="9"/>
      <c r="AA29" s="9"/>
      <c r="AB29" s="9"/>
      <c r="AC29" s="9"/>
      <c r="AD29" s="9"/>
      <c r="AE29" s="9"/>
      <c r="AF29" s="9"/>
      <c r="AG29" s="9" t="s">
        <v>20</v>
      </c>
    </row>
    <row r="30" spans="1:33" ht="29">
      <c r="A30" s="3" t="s">
        <v>1423</v>
      </c>
      <c r="B30" s="3" t="s">
        <v>1426</v>
      </c>
      <c r="C30" s="3" t="s">
        <v>1427</v>
      </c>
      <c r="G30" s="9" t="s">
        <v>12118</v>
      </c>
      <c r="H30" s="9"/>
      <c r="I30" s="9"/>
      <c r="J30" s="9"/>
      <c r="K30" s="9"/>
      <c r="L30" s="9"/>
      <c r="M30" s="9"/>
      <c r="N30" s="10"/>
      <c r="O30" s="9"/>
      <c r="P30" s="9"/>
      <c r="Q30" s="9">
        <v>0</v>
      </c>
      <c r="R30" s="9">
        <v>0</v>
      </c>
      <c r="S30" s="9">
        <v>0</v>
      </c>
      <c r="T30" s="13">
        <f t="shared" si="0"/>
        <v>0</v>
      </c>
      <c r="U30" s="13">
        <f t="shared" si="1"/>
        <v>0</v>
      </c>
      <c r="V30" s="13">
        <f t="shared" si="2"/>
        <v>0</v>
      </c>
      <c r="W30" s="9"/>
      <c r="X30" s="9"/>
      <c r="Y30" s="9"/>
      <c r="Z30" s="9"/>
      <c r="AA30" s="9"/>
      <c r="AB30" s="9"/>
      <c r="AC30" s="9"/>
      <c r="AD30" s="9"/>
      <c r="AE30" s="9"/>
      <c r="AF30" s="9"/>
      <c r="AG30" s="9" t="s">
        <v>20</v>
      </c>
    </row>
    <row r="31" spans="1:33" ht="58">
      <c r="A31" s="3" t="s">
        <v>1434</v>
      </c>
      <c r="B31" s="3" t="s">
        <v>6096</v>
      </c>
      <c r="C31" s="3" t="s">
        <v>6097</v>
      </c>
      <c r="G31" s="9" t="s">
        <v>12118</v>
      </c>
      <c r="H31" s="9"/>
      <c r="I31" s="9"/>
      <c r="J31" s="9"/>
      <c r="K31" s="9"/>
      <c r="L31" s="9"/>
      <c r="M31" s="9"/>
      <c r="N31" s="10"/>
      <c r="O31" s="9"/>
      <c r="P31" s="9"/>
      <c r="Q31" s="9">
        <v>-4</v>
      </c>
      <c r="R31" s="9">
        <v>11</v>
      </c>
      <c r="S31" s="9">
        <v>7</v>
      </c>
      <c r="T31" s="13">
        <f t="shared" si="0"/>
        <v>1.3217976447969237</v>
      </c>
      <c r="U31" s="13">
        <f t="shared" si="1"/>
        <v>0.84114395577986056</v>
      </c>
      <c r="V31" s="13">
        <f t="shared" si="2"/>
        <v>-0.48065368901706318</v>
      </c>
      <c r="W31" s="9" t="s">
        <v>4</v>
      </c>
      <c r="X31" s="9"/>
      <c r="Y31" s="9"/>
      <c r="Z31" s="9"/>
      <c r="AA31" s="9"/>
      <c r="AB31" s="9"/>
      <c r="AC31" s="9"/>
      <c r="AD31" s="9"/>
      <c r="AE31" s="9"/>
      <c r="AF31" s="9"/>
      <c r="AG31" s="9" t="s">
        <v>20</v>
      </c>
    </row>
    <row r="32" spans="1:33" ht="29">
      <c r="A32" s="3" t="s">
        <v>1592</v>
      </c>
      <c r="B32" s="3" t="s">
        <v>6374</v>
      </c>
      <c r="C32" s="3" t="s">
        <v>6375</v>
      </c>
      <c r="G32" s="9" t="s">
        <v>12118</v>
      </c>
      <c r="H32" s="9"/>
      <c r="I32" s="9"/>
      <c r="J32" s="9"/>
      <c r="K32" s="9"/>
      <c r="L32" s="9"/>
      <c r="M32" s="9"/>
      <c r="N32" s="10"/>
      <c r="O32" s="9"/>
      <c r="P32" s="9"/>
      <c r="Q32" s="9">
        <v>734</v>
      </c>
      <c r="R32" s="9">
        <v>560</v>
      </c>
      <c r="S32" s="9">
        <v>1294</v>
      </c>
      <c r="T32" s="13">
        <f t="shared" si="0"/>
        <v>67.291516462388842</v>
      </c>
      <c r="U32" s="13">
        <f t="shared" si="1"/>
        <v>155.49146839701996</v>
      </c>
      <c r="V32" s="13">
        <f t="shared" si="2"/>
        <v>88.199951934631116</v>
      </c>
      <c r="W32" s="9"/>
      <c r="X32" s="9"/>
      <c r="Y32" s="9"/>
      <c r="Z32" s="9"/>
      <c r="AA32" s="9"/>
      <c r="AB32" s="9"/>
      <c r="AC32" s="9"/>
      <c r="AD32" s="9"/>
      <c r="AE32" s="9"/>
      <c r="AF32" s="9"/>
      <c r="AG32" s="9" t="s">
        <v>20</v>
      </c>
    </row>
    <row r="33" spans="1:33" ht="43.5">
      <c r="A33" s="3" t="s">
        <v>1616</v>
      </c>
      <c r="B33" s="3" t="s">
        <v>6390</v>
      </c>
      <c r="C33" s="3" t="s">
        <v>6391</v>
      </c>
      <c r="G33" s="9" t="s">
        <v>12118</v>
      </c>
      <c r="H33" s="9"/>
      <c r="I33" s="9"/>
      <c r="J33" s="9"/>
      <c r="K33" s="9"/>
      <c r="L33" s="9"/>
      <c r="M33" s="9"/>
      <c r="N33" s="10"/>
      <c r="O33" s="9"/>
      <c r="P33" s="9"/>
      <c r="Q33" s="9">
        <v>-79</v>
      </c>
      <c r="R33" s="9">
        <v>111</v>
      </c>
      <c r="S33" s="9">
        <v>32</v>
      </c>
      <c r="T33" s="13">
        <f t="shared" si="0"/>
        <v>13.338139870223504</v>
      </c>
      <c r="U33" s="13">
        <f t="shared" si="1"/>
        <v>3.8452295121365059</v>
      </c>
      <c r="V33" s="13">
        <f t="shared" si="2"/>
        <v>-9.4929103580869985</v>
      </c>
      <c r="W33" s="9"/>
      <c r="X33" s="9"/>
      <c r="Y33" s="9"/>
      <c r="Z33" s="9"/>
      <c r="AA33" s="9"/>
      <c r="AB33" s="9"/>
      <c r="AC33" s="9"/>
      <c r="AD33" s="9"/>
      <c r="AE33" s="9"/>
      <c r="AF33" s="9"/>
      <c r="AG33" s="9" t="s">
        <v>13141</v>
      </c>
    </row>
    <row r="34" spans="1:33" ht="43.5">
      <c r="A34" s="3" t="s">
        <v>1630</v>
      </c>
      <c r="B34" s="3" t="s">
        <v>6402</v>
      </c>
      <c r="C34" s="3" t="s">
        <v>6403</v>
      </c>
      <c r="G34" s="9" t="s">
        <v>12118</v>
      </c>
      <c r="H34" s="9"/>
      <c r="I34" s="9"/>
      <c r="J34" s="9"/>
      <c r="K34" s="9"/>
      <c r="L34" s="9"/>
      <c r="M34" s="9"/>
      <c r="N34" s="10"/>
      <c r="O34" s="9"/>
      <c r="P34" s="9"/>
      <c r="Q34" s="9">
        <v>342</v>
      </c>
      <c r="R34" s="9">
        <v>165</v>
      </c>
      <c r="S34" s="9">
        <v>507</v>
      </c>
      <c r="T34" s="13">
        <f t="shared" si="0"/>
        <v>19.826964671953856</v>
      </c>
      <c r="U34" s="13">
        <f t="shared" si="1"/>
        <v>60.922855082912768</v>
      </c>
      <c r="V34" s="13">
        <f t="shared" si="2"/>
        <v>41.095890410958916</v>
      </c>
      <c r="W34" s="9"/>
      <c r="X34" s="9"/>
      <c r="Y34" s="9"/>
      <c r="Z34" s="9"/>
      <c r="AA34" s="9"/>
      <c r="AB34" s="9"/>
      <c r="AC34" s="9"/>
      <c r="AD34" s="9"/>
      <c r="AE34" s="9"/>
      <c r="AF34" s="9"/>
      <c r="AG34" s="9" t="s">
        <v>20</v>
      </c>
    </row>
    <row r="35" spans="1:33" ht="29">
      <c r="A35" s="3" t="s">
        <v>1720</v>
      </c>
      <c r="B35" s="3" t="s">
        <v>6541</v>
      </c>
      <c r="C35" s="3" t="s">
        <v>6542</v>
      </c>
      <c r="G35" s="9" t="s">
        <v>12118</v>
      </c>
      <c r="H35" s="9"/>
      <c r="I35" s="9"/>
      <c r="J35" s="9"/>
      <c r="K35" s="9"/>
      <c r="L35" s="9"/>
      <c r="M35" s="9"/>
      <c r="N35" s="10"/>
      <c r="O35" s="9"/>
      <c r="P35" s="9"/>
      <c r="Q35" s="9">
        <v>41</v>
      </c>
      <c r="R35" s="9">
        <v>444</v>
      </c>
      <c r="S35" s="9">
        <v>485</v>
      </c>
      <c r="T35" s="13">
        <f t="shared" si="0"/>
        <v>53.352559480894016</v>
      </c>
      <c r="U35" s="13">
        <f t="shared" si="1"/>
        <v>58.279259793318907</v>
      </c>
      <c r="V35" s="13">
        <f t="shared" si="2"/>
        <v>4.9267003124248916</v>
      </c>
      <c r="W35" s="9" t="s">
        <v>4</v>
      </c>
      <c r="X35" s="9"/>
      <c r="Y35" s="9"/>
      <c r="Z35" s="9"/>
      <c r="AA35" s="9"/>
      <c r="AB35" s="9"/>
      <c r="AC35" s="9"/>
      <c r="AD35" s="9"/>
      <c r="AE35" s="9"/>
      <c r="AF35" s="9"/>
      <c r="AG35" s="9" t="s">
        <v>20</v>
      </c>
    </row>
    <row r="36" spans="1:33" ht="29">
      <c r="A36" s="3" t="s">
        <v>1722</v>
      </c>
      <c r="B36" s="3" t="s">
        <v>1723</v>
      </c>
      <c r="C36" s="3" t="s">
        <v>96</v>
      </c>
      <c r="G36" s="9" t="s">
        <v>12118</v>
      </c>
      <c r="H36" s="9"/>
      <c r="I36" s="9"/>
      <c r="J36" s="9"/>
      <c r="K36" s="9"/>
      <c r="L36" s="9"/>
      <c r="M36" s="9"/>
      <c r="N36" s="10"/>
      <c r="O36" s="9"/>
      <c r="P36" s="9"/>
      <c r="Q36" s="9">
        <v>-86</v>
      </c>
      <c r="R36" s="9">
        <v>86</v>
      </c>
      <c r="S36" s="9">
        <v>0</v>
      </c>
      <c r="T36" s="13">
        <f t="shared" si="0"/>
        <v>10.33405431386686</v>
      </c>
      <c r="U36" s="13">
        <f t="shared" si="1"/>
        <v>0</v>
      </c>
      <c r="V36" s="13">
        <f t="shared" si="2"/>
        <v>-10.33405431386686</v>
      </c>
      <c r="W36" s="9"/>
      <c r="X36" s="9"/>
      <c r="Y36" s="9"/>
      <c r="Z36" s="9"/>
      <c r="AA36" s="9"/>
      <c r="AB36" s="9"/>
      <c r="AC36" s="9"/>
      <c r="AD36" s="9"/>
      <c r="AE36" s="9"/>
      <c r="AF36" s="9"/>
      <c r="AG36" s="9" t="s">
        <v>20</v>
      </c>
    </row>
    <row r="37" spans="1:33" ht="58">
      <c r="A37" s="3" t="s">
        <v>1729</v>
      </c>
      <c r="B37" s="3" t="s">
        <v>12877</v>
      </c>
      <c r="C37" s="3" t="s">
        <v>6561</v>
      </c>
      <c r="G37" s="9" t="s">
        <v>12118</v>
      </c>
      <c r="H37" s="9"/>
      <c r="I37" s="9"/>
      <c r="J37" s="9"/>
      <c r="K37" s="9"/>
      <c r="L37" s="9"/>
      <c r="M37" s="9"/>
      <c r="N37" s="10"/>
      <c r="O37" s="9"/>
      <c r="P37" s="9"/>
      <c r="Q37" s="9">
        <v>41</v>
      </c>
      <c r="R37" s="9">
        <v>1</v>
      </c>
      <c r="S37" s="9">
        <v>42</v>
      </c>
      <c r="T37" s="13">
        <f t="shared" si="0"/>
        <v>0.12016342225426581</v>
      </c>
      <c r="U37" s="13">
        <f t="shared" si="1"/>
        <v>5.0468637346791638</v>
      </c>
      <c r="V37" s="13">
        <f t="shared" si="2"/>
        <v>4.9267003124248978</v>
      </c>
      <c r="W37" s="9"/>
      <c r="X37" s="9"/>
      <c r="Y37" s="9"/>
      <c r="Z37" s="9"/>
      <c r="AA37" s="9"/>
      <c r="AB37" s="9"/>
      <c r="AC37" s="9"/>
      <c r="AD37" s="9"/>
      <c r="AE37" s="9"/>
      <c r="AF37" s="9"/>
      <c r="AG37" s="9" t="s">
        <v>13141</v>
      </c>
    </row>
    <row r="38" spans="1:33" ht="29">
      <c r="A38" s="3" t="s">
        <v>1763</v>
      </c>
      <c r="B38" s="3" t="s">
        <v>883</v>
      </c>
      <c r="C38" s="3" t="s">
        <v>1764</v>
      </c>
      <c r="G38" s="9" t="s">
        <v>12118</v>
      </c>
      <c r="H38" s="9"/>
      <c r="I38" s="9"/>
      <c r="J38" s="9"/>
      <c r="K38" s="9"/>
      <c r="L38" s="9"/>
      <c r="M38" s="9"/>
      <c r="N38" s="10"/>
      <c r="O38" s="9"/>
      <c r="P38" s="9"/>
      <c r="Q38" s="9">
        <v>-12</v>
      </c>
      <c r="R38" s="9">
        <v>12</v>
      </c>
      <c r="S38" s="9">
        <v>0</v>
      </c>
      <c r="T38" s="13">
        <f t="shared" si="0"/>
        <v>1.4419610670511898</v>
      </c>
      <c r="U38" s="13">
        <f t="shared" si="1"/>
        <v>0</v>
      </c>
      <c r="V38" s="13">
        <f t="shared" si="2"/>
        <v>-1.4419610670511898</v>
      </c>
      <c r="W38" s="9"/>
      <c r="X38" s="9"/>
      <c r="Y38" s="9"/>
      <c r="Z38" s="9"/>
      <c r="AA38" s="9"/>
      <c r="AB38" s="9"/>
      <c r="AC38" s="9"/>
      <c r="AD38" s="9"/>
      <c r="AE38" s="9"/>
      <c r="AF38" s="9"/>
      <c r="AG38" s="9" t="s">
        <v>20</v>
      </c>
    </row>
    <row r="39" spans="1:33" ht="58">
      <c r="A39" s="3" t="s">
        <v>1912</v>
      </c>
      <c r="B39" s="3" t="s">
        <v>6850</v>
      </c>
      <c r="C39" s="3" t="s">
        <v>6849</v>
      </c>
      <c r="G39" s="9" t="s">
        <v>12118</v>
      </c>
      <c r="H39" s="9"/>
      <c r="I39" s="9"/>
      <c r="J39" s="9"/>
      <c r="K39" s="9"/>
      <c r="L39" s="9"/>
      <c r="M39" s="9"/>
      <c r="N39" s="10"/>
      <c r="O39" s="9"/>
      <c r="P39" s="9"/>
      <c r="Q39" s="9">
        <v>16</v>
      </c>
      <c r="R39" s="9">
        <v>6</v>
      </c>
      <c r="S39" s="9">
        <v>22</v>
      </c>
      <c r="T39" s="13">
        <f t="shared" si="0"/>
        <v>0.72098053352559488</v>
      </c>
      <c r="U39" s="13">
        <f t="shared" si="1"/>
        <v>2.6435952895938475</v>
      </c>
      <c r="V39" s="13">
        <f t="shared" si="2"/>
        <v>1.9226147560682527</v>
      </c>
      <c r="W39" s="9"/>
      <c r="X39" s="9"/>
      <c r="Y39" s="9"/>
      <c r="Z39" s="9"/>
      <c r="AA39" s="9"/>
      <c r="AB39" s="9"/>
      <c r="AC39" s="9"/>
      <c r="AD39" s="9"/>
      <c r="AE39" s="9"/>
      <c r="AF39" s="9"/>
      <c r="AG39" s="9" t="s">
        <v>20</v>
      </c>
    </row>
    <row r="40" spans="1:33" ht="43.5">
      <c r="A40" s="3" t="s">
        <v>1915</v>
      </c>
      <c r="B40" s="3" t="s">
        <v>6854</v>
      </c>
      <c r="C40" s="3" t="s">
        <v>6855</v>
      </c>
      <c r="G40" s="9" t="s">
        <v>12118</v>
      </c>
      <c r="H40" s="9"/>
      <c r="I40" s="9"/>
      <c r="J40" s="9"/>
      <c r="K40" s="9"/>
      <c r="L40" s="9"/>
      <c r="M40" s="9"/>
      <c r="N40" s="10"/>
      <c r="O40" s="9"/>
      <c r="P40" s="9"/>
      <c r="Q40" s="9">
        <v>3</v>
      </c>
      <c r="R40" s="9">
        <v>1</v>
      </c>
      <c r="S40" s="9">
        <v>4</v>
      </c>
      <c r="T40" s="13">
        <f t="shared" si="0"/>
        <v>0.12016342225426581</v>
      </c>
      <c r="U40" s="13">
        <f t="shared" si="1"/>
        <v>0.48065368901706323</v>
      </c>
      <c r="V40" s="13">
        <f t="shared" si="2"/>
        <v>0.36049026676279744</v>
      </c>
      <c r="W40" s="9"/>
      <c r="X40" s="9"/>
      <c r="Y40" s="9"/>
      <c r="Z40" s="9"/>
      <c r="AA40" s="9"/>
      <c r="AB40" s="9"/>
      <c r="AC40" s="9"/>
      <c r="AD40" s="9"/>
      <c r="AE40" s="9"/>
      <c r="AF40" s="9"/>
      <c r="AG40" s="9" t="s">
        <v>20</v>
      </c>
    </row>
    <row r="41" spans="1:33" ht="58">
      <c r="A41" s="3" t="s">
        <v>1925</v>
      </c>
      <c r="B41" s="3" t="s">
        <v>6873</v>
      </c>
      <c r="C41" s="3" t="s">
        <v>6874</v>
      </c>
      <c r="G41" s="9" t="s">
        <v>12118</v>
      </c>
      <c r="H41" s="9"/>
      <c r="I41" s="9"/>
      <c r="J41" s="9"/>
      <c r="K41" s="9"/>
      <c r="L41" s="9"/>
      <c r="M41" s="9"/>
      <c r="N41" s="10"/>
      <c r="O41" s="9"/>
      <c r="P41" s="9"/>
      <c r="Q41" s="9">
        <v>-134</v>
      </c>
      <c r="R41" s="9">
        <v>444</v>
      </c>
      <c r="S41" s="9">
        <v>310</v>
      </c>
      <c r="T41" s="13">
        <f t="shared" si="0"/>
        <v>53.352559480894016</v>
      </c>
      <c r="U41" s="13">
        <f t="shared" si="1"/>
        <v>37.250660898822396</v>
      </c>
      <c r="V41" s="13">
        <f t="shared" si="2"/>
        <v>-16.10189858207162</v>
      </c>
      <c r="W41" s="9"/>
      <c r="X41" s="9"/>
      <c r="Y41" s="9"/>
      <c r="Z41" s="9"/>
      <c r="AA41" s="9"/>
      <c r="AB41" s="9"/>
      <c r="AC41" s="9"/>
      <c r="AD41" s="9"/>
      <c r="AE41" s="9"/>
      <c r="AF41" s="9"/>
      <c r="AG41" s="9" t="s">
        <v>20</v>
      </c>
    </row>
    <row r="42" spans="1:33" ht="72.5">
      <c r="A42" s="3" t="s">
        <v>1961</v>
      </c>
      <c r="B42" s="3" t="s">
        <v>12319</v>
      </c>
      <c r="C42" s="3" t="s">
        <v>12318</v>
      </c>
      <c r="G42" s="9" t="s">
        <v>12118</v>
      </c>
      <c r="H42" s="9"/>
      <c r="I42" s="9"/>
      <c r="J42" s="9"/>
      <c r="K42" s="9"/>
      <c r="L42" s="9"/>
      <c r="M42" s="9"/>
      <c r="N42" s="10"/>
      <c r="O42" s="9"/>
      <c r="P42" s="9"/>
      <c r="Q42" s="9">
        <v>11614</v>
      </c>
      <c r="R42" s="9">
        <v>229</v>
      </c>
      <c r="S42" s="9">
        <v>11843</v>
      </c>
      <c r="T42" s="13">
        <f t="shared" si="0"/>
        <v>27.517423696226867</v>
      </c>
      <c r="U42" s="13">
        <f t="shared" si="1"/>
        <v>1423.0954097572699</v>
      </c>
      <c r="V42" s="13">
        <f t="shared" si="2"/>
        <v>1395.577986061043</v>
      </c>
      <c r="W42" s="9"/>
      <c r="X42" s="9"/>
      <c r="Y42" s="9"/>
      <c r="Z42" s="9"/>
      <c r="AA42" s="9"/>
      <c r="AB42" s="9"/>
      <c r="AC42" s="9"/>
      <c r="AD42" s="9"/>
      <c r="AE42" s="9"/>
      <c r="AF42" s="9"/>
      <c r="AG42" s="9" t="s">
        <v>20</v>
      </c>
    </row>
    <row r="43" spans="1:33" ht="43.5">
      <c r="A43" s="3" t="s">
        <v>1983</v>
      </c>
      <c r="B43" s="3" t="s">
        <v>6947</v>
      </c>
      <c r="C43" s="3" t="s">
        <v>6948</v>
      </c>
      <c r="G43" s="9" t="s">
        <v>12118</v>
      </c>
      <c r="H43" s="9"/>
      <c r="I43" s="9"/>
      <c r="J43" s="9"/>
      <c r="K43" s="9"/>
      <c r="L43" s="9"/>
      <c r="M43" s="9"/>
      <c r="N43" s="10"/>
      <c r="O43" s="9"/>
      <c r="P43" s="9"/>
      <c r="Q43" s="9">
        <v>29</v>
      </c>
      <c r="R43" s="9">
        <v>1</v>
      </c>
      <c r="S43" s="9">
        <v>30</v>
      </c>
      <c r="T43" s="13">
        <f t="shared" si="0"/>
        <v>0.12016342225426581</v>
      </c>
      <c r="U43" s="13">
        <f t="shared" si="1"/>
        <v>3.6049026676279738</v>
      </c>
      <c r="V43" s="13">
        <f t="shared" si="2"/>
        <v>3.4847392453737078</v>
      </c>
      <c r="W43" s="9"/>
      <c r="X43" s="9"/>
      <c r="Y43" s="9"/>
      <c r="Z43" s="9"/>
      <c r="AA43" s="9"/>
      <c r="AB43" s="9"/>
      <c r="AC43" s="9"/>
      <c r="AD43" s="9"/>
      <c r="AE43" s="9"/>
      <c r="AF43" s="9"/>
      <c r="AG43" s="9" t="s">
        <v>20</v>
      </c>
    </row>
    <row r="44" spans="1:33" ht="43.5">
      <c r="A44" s="3" t="s">
        <v>2158</v>
      </c>
      <c r="B44" s="3" t="s">
        <v>7173</v>
      </c>
      <c r="C44" s="3" t="s">
        <v>7174</v>
      </c>
      <c r="G44" s="9" t="s">
        <v>12118</v>
      </c>
      <c r="H44" s="9"/>
      <c r="I44" s="9"/>
      <c r="J44" s="9"/>
      <c r="K44" s="9"/>
      <c r="L44" s="9"/>
      <c r="M44" s="9"/>
      <c r="N44" s="10"/>
      <c r="O44" s="9"/>
      <c r="P44" s="9"/>
      <c r="Q44" s="9">
        <v>-103</v>
      </c>
      <c r="R44" s="9">
        <v>310</v>
      </c>
      <c r="S44" s="9">
        <v>207</v>
      </c>
      <c r="T44" s="13">
        <f t="shared" si="0"/>
        <v>37.250660898822396</v>
      </c>
      <c r="U44" s="13">
        <f t="shared" si="1"/>
        <v>24.873828406633024</v>
      </c>
      <c r="V44" s="13">
        <f t="shared" si="2"/>
        <v>-12.376832492189372</v>
      </c>
      <c r="W44" s="9"/>
      <c r="X44" s="9"/>
      <c r="Y44" s="9"/>
      <c r="Z44" s="9"/>
      <c r="AA44" s="9"/>
      <c r="AB44" s="9"/>
      <c r="AC44" s="9"/>
      <c r="AD44" s="9"/>
      <c r="AE44" s="9"/>
      <c r="AF44" s="9"/>
      <c r="AG44" s="9" t="s">
        <v>20</v>
      </c>
    </row>
    <row r="45" spans="1:33" ht="43.5">
      <c r="A45" s="3" t="s">
        <v>2265</v>
      </c>
      <c r="B45" s="3" t="s">
        <v>7305</v>
      </c>
      <c r="C45" s="3" t="s">
        <v>7304</v>
      </c>
      <c r="G45" s="9" t="s">
        <v>12118</v>
      </c>
      <c r="H45" s="9"/>
      <c r="I45" s="9"/>
      <c r="J45" s="9"/>
      <c r="K45" s="9"/>
      <c r="L45" s="9"/>
      <c r="M45" s="9"/>
      <c r="N45" s="10"/>
      <c r="O45" s="9"/>
      <c r="P45" s="9"/>
      <c r="Q45" s="9">
        <v>1610</v>
      </c>
      <c r="R45" s="9">
        <v>356</v>
      </c>
      <c r="S45" s="9">
        <v>1966</v>
      </c>
      <c r="T45" s="13">
        <f t="shared" si="0"/>
        <v>42.778178322518627</v>
      </c>
      <c r="U45" s="13">
        <f t="shared" si="1"/>
        <v>236.24128815188658</v>
      </c>
      <c r="V45" s="13">
        <f t="shared" si="2"/>
        <v>193.46310982936797</v>
      </c>
      <c r="W45" s="9"/>
      <c r="X45" s="9"/>
      <c r="Y45" s="9"/>
      <c r="Z45" s="9"/>
      <c r="AA45" s="9"/>
      <c r="AB45" s="9"/>
      <c r="AC45" s="9"/>
      <c r="AD45" s="9"/>
      <c r="AE45" s="9"/>
      <c r="AF45" s="9"/>
      <c r="AG45" s="9" t="s">
        <v>20</v>
      </c>
    </row>
    <row r="46" spans="1:33" ht="43.5">
      <c r="A46" s="3" t="s">
        <v>2288</v>
      </c>
      <c r="B46" s="3" t="s">
        <v>7337</v>
      </c>
      <c r="C46" s="3" t="s">
        <v>7338</v>
      </c>
      <c r="G46" s="9" t="s">
        <v>12118</v>
      </c>
      <c r="H46" s="9"/>
      <c r="I46" s="9"/>
      <c r="J46" s="9"/>
      <c r="K46" s="9"/>
      <c r="L46" s="9"/>
      <c r="M46" s="9"/>
      <c r="N46" s="10"/>
      <c r="O46" s="9"/>
      <c r="P46" s="9"/>
      <c r="Q46" s="9">
        <v>-7</v>
      </c>
      <c r="R46" s="9">
        <v>7</v>
      </c>
      <c r="S46" s="9">
        <v>0</v>
      </c>
      <c r="T46" s="13">
        <f t="shared" si="0"/>
        <v>0.84114395577986056</v>
      </c>
      <c r="U46" s="13">
        <f t="shared" si="1"/>
        <v>0</v>
      </c>
      <c r="V46" s="13">
        <f t="shared" si="2"/>
        <v>-0.84114395577986056</v>
      </c>
      <c r="W46" s="9"/>
      <c r="X46" s="9"/>
      <c r="Y46" s="9"/>
      <c r="Z46" s="9"/>
      <c r="AA46" s="9"/>
      <c r="AB46" s="9"/>
      <c r="AC46" s="9"/>
      <c r="AD46" s="9"/>
      <c r="AE46" s="9"/>
      <c r="AF46" s="9"/>
      <c r="AG46" s="9" t="s">
        <v>20</v>
      </c>
    </row>
    <row r="47" spans="1:33" ht="87">
      <c r="A47" s="3" t="s">
        <v>2304</v>
      </c>
      <c r="B47" s="3" t="s">
        <v>7355</v>
      </c>
      <c r="C47" s="3" t="s">
        <v>7354</v>
      </c>
      <c r="G47" s="9" t="s">
        <v>12118</v>
      </c>
      <c r="H47" s="9"/>
      <c r="I47" s="9"/>
      <c r="J47" s="9"/>
      <c r="K47" s="9"/>
      <c r="L47" s="9"/>
      <c r="M47" s="9"/>
      <c r="N47" s="10"/>
      <c r="O47" s="9"/>
      <c r="P47" s="9"/>
      <c r="Q47" s="9">
        <v>11777</v>
      </c>
      <c r="R47" s="9">
        <v>66</v>
      </c>
      <c r="S47" s="9">
        <v>11843</v>
      </c>
      <c r="T47" s="13">
        <f t="shared" si="0"/>
        <v>7.9307858687815429</v>
      </c>
      <c r="U47" s="13">
        <f t="shared" si="1"/>
        <v>1423.0954097572699</v>
      </c>
      <c r="V47" s="13">
        <f t="shared" si="2"/>
        <v>1415.1646238884882</v>
      </c>
      <c r="W47" s="9"/>
      <c r="X47" s="9"/>
      <c r="Y47" s="9"/>
      <c r="Z47" s="9"/>
      <c r="AA47" s="9"/>
      <c r="AB47" s="9"/>
      <c r="AC47" s="9"/>
      <c r="AD47" s="9"/>
      <c r="AE47" s="9"/>
      <c r="AF47" s="9"/>
      <c r="AG47" s="9" t="s">
        <v>20</v>
      </c>
    </row>
    <row r="48" spans="1:33" ht="43.5">
      <c r="A48" s="3" t="s">
        <v>2310</v>
      </c>
      <c r="B48" s="3" t="s">
        <v>7361</v>
      </c>
      <c r="C48" s="3" t="s">
        <v>7362</v>
      </c>
      <c r="G48" s="9" t="s">
        <v>12118</v>
      </c>
      <c r="H48" s="9"/>
      <c r="I48" s="9"/>
      <c r="J48" s="9"/>
      <c r="K48" s="9"/>
      <c r="L48" s="9"/>
      <c r="M48" s="9"/>
      <c r="N48" s="10"/>
      <c r="O48" s="9"/>
      <c r="P48" s="9"/>
      <c r="Q48" s="9">
        <v>4</v>
      </c>
      <c r="R48" s="9">
        <v>133</v>
      </c>
      <c r="S48" s="9">
        <v>137</v>
      </c>
      <c r="T48" s="13">
        <f t="shared" si="0"/>
        <v>15.981735159817353</v>
      </c>
      <c r="U48" s="13">
        <f t="shared" si="1"/>
        <v>16.462388848834415</v>
      </c>
      <c r="V48" s="13">
        <f t="shared" si="2"/>
        <v>0.48065368901706229</v>
      </c>
      <c r="W48" s="9"/>
      <c r="X48" s="9"/>
      <c r="Y48" s="9"/>
      <c r="Z48" s="9"/>
      <c r="AA48" s="9"/>
      <c r="AB48" s="9"/>
      <c r="AC48" s="9"/>
      <c r="AD48" s="9"/>
      <c r="AE48" s="9"/>
      <c r="AF48" s="9"/>
      <c r="AG48" s="9" t="s">
        <v>20</v>
      </c>
    </row>
    <row r="49" spans="1:33" ht="72.5">
      <c r="A49" s="3" t="s">
        <v>2348</v>
      </c>
      <c r="B49" s="3" t="s">
        <v>7402</v>
      </c>
      <c r="C49" s="3" t="s">
        <v>7403</v>
      </c>
      <c r="G49" s="9" t="s">
        <v>12118</v>
      </c>
      <c r="H49" s="9"/>
      <c r="I49" s="9"/>
      <c r="J49" s="9"/>
      <c r="K49" s="9"/>
      <c r="L49" s="9"/>
      <c r="M49" s="9"/>
      <c r="N49" s="10"/>
      <c r="O49" s="9"/>
      <c r="P49" s="9"/>
      <c r="Q49" s="9">
        <v>202</v>
      </c>
      <c r="R49" s="9">
        <v>0</v>
      </c>
      <c r="S49" s="9">
        <v>202</v>
      </c>
      <c r="T49" s="13">
        <f t="shared" si="0"/>
        <v>0</v>
      </c>
      <c r="U49" s="13">
        <f t="shared" si="1"/>
        <v>24.273011295361695</v>
      </c>
      <c r="V49" s="13">
        <f t="shared" si="2"/>
        <v>24.273011295361695</v>
      </c>
      <c r="W49" s="9"/>
      <c r="X49" s="9"/>
      <c r="Y49" s="9"/>
      <c r="Z49" s="9"/>
      <c r="AA49" s="9"/>
      <c r="AB49" s="9"/>
      <c r="AC49" s="9"/>
      <c r="AD49" s="9"/>
      <c r="AE49" s="9"/>
      <c r="AF49" s="9"/>
      <c r="AG49" s="9" t="s">
        <v>20</v>
      </c>
    </row>
    <row r="50" spans="1:33" ht="58">
      <c r="A50" s="3" t="s">
        <v>2369</v>
      </c>
      <c r="B50" s="3" t="s">
        <v>7434</v>
      </c>
      <c r="C50" s="3" t="s">
        <v>7435</v>
      </c>
      <c r="G50" s="9" t="s">
        <v>12118</v>
      </c>
      <c r="H50" s="9"/>
      <c r="I50" s="9"/>
      <c r="J50" s="9"/>
      <c r="K50" s="9"/>
      <c r="L50" s="9"/>
      <c r="M50" s="9"/>
      <c r="N50" s="10"/>
      <c r="O50" s="9"/>
      <c r="P50" s="9"/>
      <c r="Q50" s="9">
        <v>-81</v>
      </c>
      <c r="R50" s="9">
        <v>83</v>
      </c>
      <c r="S50" s="9">
        <v>2</v>
      </c>
      <c r="T50" s="13">
        <f t="shared" si="0"/>
        <v>9.9735640471040607</v>
      </c>
      <c r="U50" s="13">
        <f t="shared" si="1"/>
        <v>0.24032684450853162</v>
      </c>
      <c r="V50" s="13">
        <f t="shared" si="2"/>
        <v>-9.7332372025955287</v>
      </c>
      <c r="W50" s="9"/>
      <c r="X50" s="9"/>
      <c r="Y50" s="9"/>
      <c r="Z50" s="9"/>
      <c r="AA50" s="9"/>
      <c r="AB50" s="9"/>
      <c r="AC50" s="9"/>
      <c r="AD50" s="9"/>
      <c r="AE50" s="9"/>
      <c r="AF50" s="9"/>
      <c r="AG50" s="9" t="s">
        <v>20</v>
      </c>
    </row>
    <row r="51" spans="1:33" ht="43.5">
      <c r="A51" s="3" t="s">
        <v>2451</v>
      </c>
      <c r="B51" s="3" t="s">
        <v>7553</v>
      </c>
      <c r="C51" s="3" t="s">
        <v>7554</v>
      </c>
      <c r="G51" s="9" t="s">
        <v>12118</v>
      </c>
      <c r="H51" s="9"/>
      <c r="I51" s="9"/>
      <c r="J51" s="9"/>
      <c r="K51" s="9"/>
      <c r="L51" s="9"/>
      <c r="M51" s="9"/>
      <c r="N51" s="10"/>
      <c r="O51" s="9"/>
      <c r="P51" s="9"/>
      <c r="Q51" s="9">
        <v>-2</v>
      </c>
      <c r="R51" s="9">
        <v>2</v>
      </c>
      <c r="S51" s="9">
        <v>0</v>
      </c>
      <c r="T51" s="13">
        <f t="shared" si="0"/>
        <v>0.24032684450853162</v>
      </c>
      <c r="U51" s="13">
        <f t="shared" si="1"/>
        <v>0</v>
      </c>
      <c r="V51" s="13">
        <f t="shared" si="2"/>
        <v>-0.24032684450853162</v>
      </c>
      <c r="W51" s="9"/>
      <c r="X51" s="9"/>
      <c r="Y51" s="9"/>
      <c r="Z51" s="9"/>
      <c r="AA51" s="9"/>
      <c r="AB51" s="9"/>
      <c r="AC51" s="9"/>
      <c r="AD51" s="9"/>
      <c r="AE51" s="9"/>
      <c r="AF51" s="9"/>
      <c r="AG51" s="9" t="s">
        <v>20</v>
      </c>
    </row>
    <row r="52" spans="1:33" ht="58">
      <c r="A52" s="3" t="s">
        <v>2463</v>
      </c>
      <c r="B52" s="3" t="s">
        <v>7567</v>
      </c>
      <c r="C52" s="3" t="s">
        <v>7568</v>
      </c>
      <c r="G52" s="9" t="s">
        <v>12118</v>
      </c>
      <c r="H52" s="9"/>
      <c r="I52" s="9"/>
      <c r="J52" s="9"/>
      <c r="K52" s="9"/>
      <c r="L52" s="9"/>
      <c r="M52" s="9"/>
      <c r="N52" s="10"/>
      <c r="O52" s="9"/>
      <c r="P52" s="9"/>
      <c r="Q52" s="9">
        <v>0</v>
      </c>
      <c r="R52" s="9">
        <v>4</v>
      </c>
      <c r="S52" s="9">
        <v>4</v>
      </c>
      <c r="T52" s="13">
        <f t="shared" si="0"/>
        <v>0.48065368901706323</v>
      </c>
      <c r="U52" s="13">
        <f t="shared" si="1"/>
        <v>0.48065368901706323</v>
      </c>
      <c r="V52" s="13">
        <f t="shared" si="2"/>
        <v>0</v>
      </c>
      <c r="W52" s="9"/>
      <c r="X52" s="9"/>
      <c r="Y52" s="9"/>
      <c r="Z52" s="9"/>
      <c r="AA52" s="9"/>
      <c r="AB52" s="9"/>
      <c r="AC52" s="9"/>
      <c r="AD52" s="9"/>
      <c r="AE52" s="9"/>
      <c r="AF52" s="9"/>
      <c r="AG52" s="9" t="s">
        <v>20</v>
      </c>
    </row>
    <row r="53" spans="1:33" ht="43.5">
      <c r="A53" s="3" t="s">
        <v>2491</v>
      </c>
      <c r="B53" s="3" t="s">
        <v>7593</v>
      </c>
      <c r="C53" s="3" t="s">
        <v>7594</v>
      </c>
      <c r="G53" s="9" t="s">
        <v>12118</v>
      </c>
      <c r="H53" s="9"/>
      <c r="I53" s="9"/>
      <c r="J53" s="9"/>
      <c r="K53" s="9"/>
      <c r="L53" s="9"/>
      <c r="M53" s="9"/>
      <c r="N53" s="10"/>
      <c r="O53" s="9"/>
      <c r="P53" s="9"/>
      <c r="Q53" s="9">
        <v>-3768</v>
      </c>
      <c r="R53" s="9">
        <v>4240</v>
      </c>
      <c r="S53" s="9">
        <v>472</v>
      </c>
      <c r="T53" s="13">
        <f t="shared" si="0"/>
        <v>509.49291035808699</v>
      </c>
      <c r="U53" s="13">
        <f t="shared" si="1"/>
        <v>56.71713530401346</v>
      </c>
      <c r="V53" s="13">
        <f t="shared" si="2"/>
        <v>-452.77577505407351</v>
      </c>
      <c r="W53" s="9"/>
      <c r="X53" s="9"/>
      <c r="Y53" s="9"/>
      <c r="Z53" s="9"/>
      <c r="AA53" s="9"/>
      <c r="AB53" s="9"/>
      <c r="AC53" s="9"/>
      <c r="AD53" s="9"/>
      <c r="AE53" s="9"/>
      <c r="AF53" s="9"/>
      <c r="AG53" s="9" t="s">
        <v>20</v>
      </c>
    </row>
    <row r="54" spans="1:33" ht="43.5">
      <c r="A54" s="3" t="s">
        <v>2493</v>
      </c>
      <c r="B54" s="3" t="s">
        <v>7605</v>
      </c>
      <c r="C54" s="3" t="s">
        <v>7606</v>
      </c>
      <c r="G54" s="9" t="s">
        <v>12118</v>
      </c>
      <c r="H54" s="9"/>
      <c r="I54" s="9"/>
      <c r="J54" s="9"/>
      <c r="K54" s="9"/>
      <c r="L54" s="9"/>
      <c r="M54" s="9"/>
      <c r="N54" s="10"/>
      <c r="O54" s="9"/>
      <c r="P54" s="9"/>
      <c r="Q54" s="9">
        <v>-1846</v>
      </c>
      <c r="R54" s="9">
        <v>2042</v>
      </c>
      <c r="S54" s="9">
        <v>196</v>
      </c>
      <c r="T54" s="13">
        <f t="shared" si="0"/>
        <v>245.37370824321076</v>
      </c>
      <c r="U54" s="13">
        <f t="shared" si="1"/>
        <v>23.5520307618361</v>
      </c>
      <c r="V54" s="13">
        <f t="shared" si="2"/>
        <v>-221.82167748137465</v>
      </c>
      <c r="W54" s="9"/>
      <c r="X54" s="9"/>
      <c r="Y54" s="9"/>
      <c r="Z54" s="9"/>
      <c r="AA54" s="9"/>
      <c r="AB54" s="9"/>
      <c r="AC54" s="9"/>
      <c r="AD54" s="9"/>
      <c r="AE54" s="9"/>
      <c r="AF54" s="9"/>
      <c r="AG54" s="9" t="s">
        <v>20</v>
      </c>
    </row>
    <row r="55" spans="1:33" ht="29">
      <c r="A55" s="3" t="s">
        <v>2569</v>
      </c>
      <c r="B55" s="3" t="s">
        <v>7702</v>
      </c>
      <c r="C55" s="3" t="s">
        <v>7703</v>
      </c>
      <c r="G55" s="9" t="s">
        <v>12118</v>
      </c>
      <c r="H55" s="9"/>
      <c r="I55" s="9"/>
      <c r="J55" s="9"/>
      <c r="K55" s="9"/>
      <c r="L55" s="9"/>
      <c r="M55" s="9"/>
      <c r="N55" s="10"/>
      <c r="O55" s="9"/>
      <c r="P55" s="9"/>
      <c r="Q55" s="9">
        <v>41</v>
      </c>
      <c r="R55" s="9">
        <v>444</v>
      </c>
      <c r="S55" s="9">
        <v>485</v>
      </c>
      <c r="T55" s="13">
        <f t="shared" si="0"/>
        <v>53.352559480894016</v>
      </c>
      <c r="U55" s="13">
        <f t="shared" si="1"/>
        <v>58.279259793318907</v>
      </c>
      <c r="V55" s="13">
        <f t="shared" si="2"/>
        <v>4.9267003124248916</v>
      </c>
      <c r="W55" s="9"/>
      <c r="X55" s="9"/>
      <c r="Y55" s="9"/>
      <c r="Z55" s="9"/>
      <c r="AA55" s="9"/>
      <c r="AB55" s="9"/>
      <c r="AC55" s="9"/>
      <c r="AD55" s="9"/>
      <c r="AE55" s="9"/>
      <c r="AF55" s="9"/>
      <c r="AG55" s="9" t="s">
        <v>13141</v>
      </c>
    </row>
    <row r="56" spans="1:33" ht="43.5">
      <c r="A56" s="3" t="s">
        <v>2589</v>
      </c>
      <c r="B56" s="3" t="s">
        <v>7722</v>
      </c>
      <c r="C56" s="3" t="s">
        <v>7723</v>
      </c>
      <c r="G56" s="9" t="s">
        <v>12118</v>
      </c>
      <c r="H56" s="9"/>
      <c r="I56" s="9"/>
      <c r="J56" s="9"/>
      <c r="K56" s="9"/>
      <c r="L56" s="9"/>
      <c r="M56" s="9"/>
      <c r="N56" s="10"/>
      <c r="O56" s="9"/>
      <c r="P56" s="9"/>
      <c r="Q56" s="9">
        <v>-89</v>
      </c>
      <c r="R56" s="9">
        <v>92</v>
      </c>
      <c r="S56" s="9">
        <v>3</v>
      </c>
      <c r="T56" s="13">
        <f t="shared" si="0"/>
        <v>11.055034847392454</v>
      </c>
      <c r="U56" s="13">
        <f t="shared" si="1"/>
        <v>0.36049026676279744</v>
      </c>
      <c r="V56" s="13">
        <f t="shared" si="2"/>
        <v>-10.694544580629657</v>
      </c>
      <c r="W56" s="9"/>
      <c r="X56" s="9"/>
      <c r="Y56" s="9"/>
      <c r="Z56" s="9"/>
      <c r="AA56" s="9"/>
      <c r="AB56" s="9"/>
      <c r="AC56" s="9"/>
      <c r="AD56" s="9"/>
      <c r="AE56" s="9"/>
      <c r="AF56" s="9"/>
      <c r="AG56" s="9" t="s">
        <v>20</v>
      </c>
    </row>
    <row r="57" spans="1:33" ht="43.5">
      <c r="A57" s="3" t="s">
        <v>2648</v>
      </c>
      <c r="B57" s="3" t="s">
        <v>7786</v>
      </c>
      <c r="C57" s="3" t="s">
        <v>7785</v>
      </c>
      <c r="G57" s="9" t="s">
        <v>12118</v>
      </c>
      <c r="H57" s="9"/>
      <c r="I57" s="9"/>
      <c r="J57" s="9"/>
      <c r="K57" s="9"/>
      <c r="L57" s="9"/>
      <c r="M57" s="9"/>
      <c r="N57" s="10"/>
      <c r="O57" s="9"/>
      <c r="P57" s="9"/>
      <c r="Q57" s="9">
        <v>122</v>
      </c>
      <c r="R57" s="9">
        <v>20</v>
      </c>
      <c r="S57" s="9">
        <v>142</v>
      </c>
      <c r="T57" s="13">
        <f t="shared" si="0"/>
        <v>2.4032684450853159</v>
      </c>
      <c r="U57" s="13">
        <f t="shared" si="1"/>
        <v>17.063205960105744</v>
      </c>
      <c r="V57" s="13">
        <f t="shared" si="2"/>
        <v>14.659937515020427</v>
      </c>
      <c r="W57" s="9"/>
      <c r="X57" s="9"/>
      <c r="Y57" s="9"/>
      <c r="Z57" s="9"/>
      <c r="AA57" s="9"/>
      <c r="AB57" s="9"/>
      <c r="AC57" s="9"/>
      <c r="AD57" s="9"/>
      <c r="AE57" s="9"/>
      <c r="AF57" s="9"/>
      <c r="AG57" s="9" t="s">
        <v>20</v>
      </c>
    </row>
    <row r="58" spans="1:33" ht="43.5">
      <c r="A58" s="3" t="s">
        <v>2651</v>
      </c>
      <c r="B58" s="3" t="s">
        <v>7792</v>
      </c>
      <c r="C58" s="3" t="s">
        <v>7791</v>
      </c>
      <c r="G58" s="9" t="s">
        <v>12118</v>
      </c>
      <c r="H58" s="9"/>
      <c r="I58" s="9"/>
      <c r="J58" s="9"/>
      <c r="K58" s="9"/>
      <c r="L58" s="9"/>
      <c r="M58" s="9"/>
      <c r="N58" s="10"/>
      <c r="O58" s="9"/>
      <c r="P58" s="9"/>
      <c r="Q58" s="9">
        <v>11063</v>
      </c>
      <c r="R58" s="9">
        <v>780</v>
      </c>
      <c r="S58" s="9">
        <v>11843</v>
      </c>
      <c r="T58" s="13">
        <f t="shared" si="0"/>
        <v>93.727469358327326</v>
      </c>
      <c r="U58" s="13">
        <f t="shared" si="1"/>
        <v>1423.0954097572699</v>
      </c>
      <c r="V58" s="13">
        <f t="shared" si="2"/>
        <v>1329.3679403989424</v>
      </c>
      <c r="W58" s="9"/>
      <c r="X58" s="9"/>
      <c r="Y58" s="9"/>
      <c r="Z58" s="9"/>
      <c r="AA58" s="9"/>
      <c r="AB58" s="9"/>
      <c r="AC58" s="9"/>
      <c r="AD58" s="9"/>
      <c r="AE58" s="9"/>
      <c r="AF58" s="9"/>
      <c r="AG58" s="9" t="s">
        <v>20</v>
      </c>
    </row>
    <row r="59" spans="1:33" ht="58">
      <c r="A59" s="3" t="s">
        <v>2684</v>
      </c>
      <c r="B59" s="3" t="s">
        <v>7824</v>
      </c>
      <c r="C59" s="3" t="s">
        <v>7823</v>
      </c>
      <c r="G59" s="9" t="s">
        <v>12118</v>
      </c>
      <c r="H59" s="9"/>
      <c r="I59" s="9"/>
      <c r="J59" s="9"/>
      <c r="K59" s="9"/>
      <c r="L59" s="9"/>
      <c r="M59" s="9"/>
      <c r="N59" s="10"/>
      <c r="O59" s="9"/>
      <c r="P59" s="9"/>
      <c r="Q59" s="9">
        <v>116</v>
      </c>
      <c r="R59" s="9">
        <v>444</v>
      </c>
      <c r="S59" s="9">
        <v>560</v>
      </c>
      <c r="T59" s="13">
        <f t="shared" si="0"/>
        <v>53.352559480894016</v>
      </c>
      <c r="U59" s="13">
        <f t="shared" si="1"/>
        <v>67.291516462388842</v>
      </c>
      <c r="V59" s="13">
        <f t="shared" si="2"/>
        <v>13.938956981494826</v>
      </c>
      <c r="W59" s="9"/>
      <c r="X59" s="9"/>
      <c r="Y59" s="9"/>
      <c r="Z59" s="9"/>
      <c r="AA59" s="9"/>
      <c r="AB59" s="9"/>
      <c r="AC59" s="9"/>
      <c r="AD59" s="9"/>
      <c r="AE59" s="9"/>
      <c r="AF59" s="9"/>
      <c r="AG59" s="9" t="s">
        <v>20</v>
      </c>
    </row>
    <row r="60" spans="1:33" ht="29">
      <c r="A60" s="3" t="s">
        <v>2696</v>
      </c>
      <c r="B60" s="3" t="s">
        <v>7845</v>
      </c>
      <c r="C60" s="3" t="s">
        <v>7844</v>
      </c>
      <c r="G60" s="9" t="s">
        <v>12118</v>
      </c>
      <c r="H60" s="9"/>
      <c r="I60" s="9"/>
      <c r="J60" s="9"/>
      <c r="K60" s="9"/>
      <c r="L60" s="9"/>
      <c r="M60" s="9"/>
      <c r="N60" s="10"/>
      <c r="O60" s="9"/>
      <c r="P60" s="9"/>
      <c r="Q60" s="9">
        <v>-5483</v>
      </c>
      <c r="R60" s="9">
        <v>5676</v>
      </c>
      <c r="S60" s="9">
        <v>193</v>
      </c>
      <c r="T60" s="13">
        <f t="shared" si="0"/>
        <v>682.04758471521268</v>
      </c>
      <c r="U60" s="13">
        <f t="shared" si="1"/>
        <v>23.191540495073301</v>
      </c>
      <c r="V60" s="13">
        <f t="shared" si="2"/>
        <v>-658.85604422013932</v>
      </c>
      <c r="W60" s="9"/>
      <c r="X60" s="9"/>
      <c r="Y60" s="9"/>
      <c r="Z60" s="9"/>
      <c r="AA60" s="9"/>
      <c r="AB60" s="9"/>
      <c r="AC60" s="9"/>
      <c r="AD60" s="9"/>
      <c r="AE60" s="9"/>
      <c r="AF60" s="9"/>
      <c r="AG60" s="9" t="s">
        <v>20</v>
      </c>
    </row>
    <row r="61" spans="1:33" ht="58">
      <c r="A61" s="3" t="s">
        <v>2698</v>
      </c>
      <c r="B61" s="3" t="s">
        <v>7851</v>
      </c>
      <c r="C61" s="3" t="s">
        <v>7850</v>
      </c>
      <c r="G61" s="9" t="s">
        <v>12118</v>
      </c>
      <c r="H61" s="9"/>
      <c r="I61" s="9"/>
      <c r="J61" s="9"/>
      <c r="K61" s="9"/>
      <c r="L61" s="9"/>
      <c r="M61" s="9"/>
      <c r="N61" s="10"/>
      <c r="O61" s="9"/>
      <c r="P61" s="9"/>
      <c r="Q61" s="9">
        <v>222</v>
      </c>
      <c r="R61" s="9">
        <v>134</v>
      </c>
      <c r="S61" s="9">
        <v>356</v>
      </c>
      <c r="T61" s="13">
        <f t="shared" si="0"/>
        <v>16.101898582071616</v>
      </c>
      <c r="U61" s="13">
        <f t="shared" si="1"/>
        <v>42.778178322518627</v>
      </c>
      <c r="V61" s="13">
        <f t="shared" si="2"/>
        <v>26.676279740447011</v>
      </c>
      <c r="W61" s="9"/>
      <c r="X61" s="9"/>
      <c r="Y61" s="9"/>
      <c r="Z61" s="9"/>
      <c r="AA61" s="9"/>
      <c r="AB61" s="9"/>
      <c r="AC61" s="9"/>
      <c r="AD61" s="9"/>
      <c r="AE61" s="9"/>
      <c r="AF61" s="9"/>
      <c r="AG61" s="9" t="s">
        <v>20</v>
      </c>
    </row>
    <row r="62" spans="1:33" ht="29">
      <c r="A62" s="3" t="s">
        <v>2735</v>
      </c>
      <c r="B62" s="3" t="s">
        <v>7904</v>
      </c>
      <c r="C62" s="3" t="s">
        <v>7903</v>
      </c>
      <c r="G62" s="9" t="s">
        <v>12121</v>
      </c>
      <c r="H62" s="9"/>
      <c r="I62" s="9"/>
      <c r="J62" s="9"/>
      <c r="K62" s="9"/>
      <c r="L62" s="9"/>
      <c r="M62" s="9"/>
      <c r="N62" s="10"/>
      <c r="O62" s="9"/>
      <c r="P62" s="9"/>
      <c r="Q62" s="9">
        <v>-635</v>
      </c>
      <c r="R62" s="9">
        <v>1565</v>
      </c>
      <c r="S62" s="9">
        <v>930</v>
      </c>
      <c r="T62" s="13">
        <f t="shared" si="0"/>
        <v>188.05575582792596</v>
      </c>
      <c r="U62" s="13">
        <f t="shared" si="1"/>
        <v>111.75198269646719</v>
      </c>
      <c r="V62" s="13">
        <f t="shared" si="2"/>
        <v>-76.303773131458769</v>
      </c>
      <c r="W62" s="9"/>
      <c r="X62" s="9"/>
      <c r="Y62" s="9"/>
      <c r="Z62" s="9"/>
      <c r="AA62" s="9"/>
      <c r="AB62" s="9"/>
      <c r="AC62" s="9"/>
      <c r="AD62" s="9"/>
      <c r="AE62" s="9"/>
      <c r="AF62" s="9"/>
      <c r="AG62" s="9" t="s">
        <v>20</v>
      </c>
    </row>
    <row r="63" spans="1:33" ht="58">
      <c r="A63" s="3" t="s">
        <v>2771</v>
      </c>
      <c r="B63" s="3" t="s">
        <v>7950</v>
      </c>
      <c r="C63" s="3" t="s">
        <v>7949</v>
      </c>
      <c r="G63" s="9" t="s">
        <v>12118</v>
      </c>
      <c r="H63" s="9"/>
      <c r="I63" s="9"/>
      <c r="J63" s="9"/>
      <c r="K63" s="9"/>
      <c r="L63" s="9"/>
      <c r="M63" s="9"/>
      <c r="N63" s="10"/>
      <c r="O63" s="9"/>
      <c r="P63" s="9"/>
      <c r="Q63" s="9">
        <v>36</v>
      </c>
      <c r="R63" s="9">
        <v>0</v>
      </c>
      <c r="S63" s="9">
        <v>36</v>
      </c>
      <c r="T63" s="13">
        <f t="shared" si="0"/>
        <v>0</v>
      </c>
      <c r="U63" s="13">
        <f t="shared" si="1"/>
        <v>4.3258832011535686</v>
      </c>
      <c r="V63" s="13">
        <f t="shared" si="2"/>
        <v>4.3258832011535686</v>
      </c>
      <c r="W63" s="9"/>
      <c r="X63" s="9"/>
      <c r="Y63" s="9"/>
      <c r="Z63" s="9"/>
      <c r="AA63" s="9"/>
      <c r="AB63" s="9"/>
      <c r="AC63" s="9"/>
      <c r="AD63" s="9"/>
      <c r="AE63" s="9"/>
      <c r="AF63" s="9"/>
      <c r="AG63" s="9" t="s">
        <v>20</v>
      </c>
    </row>
    <row r="64" spans="1:33" ht="43.5">
      <c r="A64" s="3" t="s">
        <v>2814</v>
      </c>
      <c r="B64" s="3" t="s">
        <v>8045</v>
      </c>
      <c r="C64" s="3" t="s">
        <v>8046</v>
      </c>
      <c r="G64" s="9" t="s">
        <v>12118</v>
      </c>
      <c r="H64" s="9"/>
      <c r="I64" s="9"/>
      <c r="J64" s="9"/>
      <c r="K64" s="9"/>
      <c r="L64" s="9"/>
      <c r="M64" s="9"/>
      <c r="N64" s="10"/>
      <c r="O64" s="9"/>
      <c r="P64" s="9"/>
      <c r="Q64" s="9">
        <v>7</v>
      </c>
      <c r="R64" s="9">
        <v>20</v>
      </c>
      <c r="S64" s="9">
        <v>27</v>
      </c>
      <c r="T64" s="13">
        <f t="shared" si="0"/>
        <v>2.4032684450853159</v>
      </c>
      <c r="U64" s="13">
        <f t="shared" si="1"/>
        <v>3.2444124008651767</v>
      </c>
      <c r="V64" s="13">
        <f t="shared" si="2"/>
        <v>0.84114395577986079</v>
      </c>
      <c r="W64" s="9"/>
      <c r="X64" s="9"/>
      <c r="Y64" s="9"/>
      <c r="Z64" s="9"/>
      <c r="AA64" s="9"/>
      <c r="AB64" s="9"/>
      <c r="AC64" s="9"/>
      <c r="AD64" s="9"/>
      <c r="AE64" s="9"/>
      <c r="AF64" s="9"/>
      <c r="AG64" s="9" t="s">
        <v>20</v>
      </c>
    </row>
    <row r="65" spans="1:33" ht="174">
      <c r="A65" s="3" t="s">
        <v>2823</v>
      </c>
      <c r="B65" s="3" t="s">
        <v>8055</v>
      </c>
      <c r="C65" s="3" t="s">
        <v>8056</v>
      </c>
      <c r="G65" s="9" t="s">
        <v>12118</v>
      </c>
      <c r="H65" s="9"/>
      <c r="I65" s="9"/>
      <c r="J65" s="9"/>
      <c r="K65" s="9"/>
      <c r="L65" s="9"/>
      <c r="M65" s="9"/>
      <c r="N65" s="10"/>
      <c r="O65" s="9"/>
      <c r="P65" s="9"/>
      <c r="Q65" s="9">
        <v>302</v>
      </c>
      <c r="R65" s="9">
        <v>508</v>
      </c>
      <c r="S65" s="9">
        <v>810</v>
      </c>
      <c r="T65" s="13">
        <f t="shared" si="0"/>
        <v>61.043018505167026</v>
      </c>
      <c r="U65" s="13">
        <f t="shared" si="1"/>
        <v>97.332372025955294</v>
      </c>
      <c r="V65" s="13">
        <f t="shared" si="2"/>
        <v>36.289353520788268</v>
      </c>
      <c r="W65" s="9"/>
      <c r="X65" s="9"/>
      <c r="Y65" s="9"/>
      <c r="Z65" s="9"/>
      <c r="AA65" s="9"/>
      <c r="AB65" s="9"/>
      <c r="AC65" s="9"/>
      <c r="AD65" s="9"/>
      <c r="AE65" s="9"/>
      <c r="AF65" s="9"/>
      <c r="AG65" s="9" t="s">
        <v>20</v>
      </c>
    </row>
    <row r="66" spans="1:33" ht="43.5">
      <c r="A66" s="3" t="s">
        <v>2834</v>
      </c>
      <c r="B66" s="3" t="s">
        <v>8086</v>
      </c>
      <c r="C66" s="3" t="s">
        <v>8087</v>
      </c>
      <c r="G66" s="9" t="s">
        <v>12118</v>
      </c>
      <c r="H66" s="9"/>
      <c r="I66" s="9"/>
      <c r="J66" s="9"/>
      <c r="K66" s="9"/>
      <c r="L66" s="9"/>
      <c r="M66" s="9"/>
      <c r="N66" s="10"/>
      <c r="O66" s="9"/>
      <c r="P66" s="9"/>
      <c r="Q66" s="9">
        <v>768</v>
      </c>
      <c r="R66" s="9">
        <v>42</v>
      </c>
      <c r="S66" s="9">
        <v>810</v>
      </c>
      <c r="T66" s="13">
        <f t="shared" si="0"/>
        <v>5.0468637346791638</v>
      </c>
      <c r="U66" s="13">
        <f t="shared" si="1"/>
        <v>97.332372025955294</v>
      </c>
      <c r="V66" s="13">
        <f t="shared" si="2"/>
        <v>92.28550829127613</v>
      </c>
      <c r="W66" s="9"/>
      <c r="X66" s="9"/>
      <c r="Y66" s="9"/>
      <c r="Z66" s="9"/>
      <c r="AA66" s="9"/>
      <c r="AB66" s="9"/>
      <c r="AC66" s="9"/>
      <c r="AD66" s="9"/>
      <c r="AE66" s="9"/>
      <c r="AF66" s="9"/>
      <c r="AG66" s="9" t="s">
        <v>20</v>
      </c>
    </row>
    <row r="67" spans="1:33" ht="29">
      <c r="A67" s="3" t="s">
        <v>2836</v>
      </c>
      <c r="B67" s="3" t="s">
        <v>8093</v>
      </c>
      <c r="C67" s="3" t="s">
        <v>8094</v>
      </c>
      <c r="G67" s="9" t="s">
        <v>12118</v>
      </c>
      <c r="H67" s="9"/>
      <c r="I67" s="9"/>
      <c r="J67" s="9"/>
      <c r="K67" s="9"/>
      <c r="L67" s="9"/>
      <c r="M67" s="9"/>
      <c r="N67" s="10"/>
      <c r="O67" s="9"/>
      <c r="P67" s="9"/>
      <c r="Q67" s="9">
        <v>342</v>
      </c>
      <c r="R67" s="9">
        <v>165</v>
      </c>
      <c r="S67" s="9">
        <v>507</v>
      </c>
      <c r="T67" s="13">
        <f t="shared" ref="T67:T130" si="3">IF(ISNUMBER(R67), (R67/$E$134)*10000, "")</f>
        <v>19.826964671953856</v>
      </c>
      <c r="U67" s="13">
        <f t="shared" ref="U67:U130" si="4">IF(ISNUMBER(S67), (S67/$E$134)*10000, "")</f>
        <v>60.922855082912768</v>
      </c>
      <c r="V67" s="13">
        <f t="shared" ref="V67:V130" si="5">IF(ISNUMBER(Q67), U67-T67, "")</f>
        <v>41.095890410958916</v>
      </c>
      <c r="W67" s="9"/>
      <c r="X67" s="9"/>
      <c r="Y67" s="9"/>
      <c r="Z67" s="9"/>
      <c r="AA67" s="9"/>
      <c r="AB67" s="9"/>
      <c r="AC67" s="9"/>
      <c r="AD67" s="9"/>
      <c r="AE67" s="9"/>
      <c r="AF67" s="9"/>
      <c r="AG67" s="9" t="s">
        <v>20</v>
      </c>
    </row>
    <row r="68" spans="1:33" ht="29">
      <c r="A68" s="3" t="s">
        <v>2892</v>
      </c>
      <c r="B68" s="3" t="s">
        <v>8166</v>
      </c>
      <c r="C68" s="3" t="s">
        <v>8167</v>
      </c>
      <c r="G68" s="9" t="s">
        <v>12118</v>
      </c>
      <c r="H68" s="9"/>
      <c r="I68" s="9"/>
      <c r="J68" s="9"/>
      <c r="K68" s="9"/>
      <c r="L68" s="9"/>
      <c r="M68" s="9"/>
      <c r="N68" s="10"/>
      <c r="O68" s="9"/>
      <c r="P68" s="9"/>
      <c r="Q68" s="9">
        <v>-91</v>
      </c>
      <c r="R68" s="9">
        <v>105</v>
      </c>
      <c r="S68" s="9">
        <v>14</v>
      </c>
      <c r="T68" s="13">
        <f t="shared" si="3"/>
        <v>12.617159336697908</v>
      </c>
      <c r="U68" s="13">
        <f t="shared" si="4"/>
        <v>1.6822879115597211</v>
      </c>
      <c r="V68" s="13">
        <f t="shared" si="5"/>
        <v>-10.934871425138187</v>
      </c>
      <c r="W68" s="9"/>
      <c r="X68" s="9"/>
      <c r="Y68" s="9"/>
      <c r="Z68" s="9"/>
      <c r="AA68" s="9"/>
      <c r="AB68" s="9"/>
      <c r="AC68" s="9"/>
      <c r="AD68" s="9"/>
      <c r="AE68" s="9"/>
      <c r="AF68" s="9"/>
      <c r="AG68" s="9" t="s">
        <v>20</v>
      </c>
    </row>
    <row r="69" spans="1:33" ht="43.5">
      <c r="A69" s="3" t="s">
        <v>2920</v>
      </c>
      <c r="B69" s="3" t="s">
        <v>8196</v>
      </c>
      <c r="C69" s="3" t="s">
        <v>8197</v>
      </c>
      <c r="G69" s="9" t="s">
        <v>12118</v>
      </c>
      <c r="H69" s="9"/>
      <c r="I69" s="9"/>
      <c r="J69" s="9"/>
      <c r="K69" s="9"/>
      <c r="L69" s="9"/>
      <c r="M69" s="9"/>
      <c r="N69" s="10"/>
      <c r="O69" s="9"/>
      <c r="P69" s="9"/>
      <c r="Q69" s="9">
        <v>0</v>
      </c>
      <c r="R69" s="9">
        <v>73</v>
      </c>
      <c r="S69" s="9">
        <v>73</v>
      </c>
      <c r="T69" s="13">
        <f t="shared" si="3"/>
        <v>8.7719298245614041</v>
      </c>
      <c r="U69" s="13">
        <f t="shared" si="4"/>
        <v>8.7719298245614041</v>
      </c>
      <c r="V69" s="13">
        <f t="shared" si="5"/>
        <v>0</v>
      </c>
      <c r="W69" s="9"/>
      <c r="X69" s="9"/>
      <c r="Y69" s="9"/>
      <c r="Z69" s="9"/>
      <c r="AA69" s="9"/>
      <c r="AB69" s="9"/>
      <c r="AC69" s="9"/>
      <c r="AD69" s="9"/>
      <c r="AE69" s="9"/>
      <c r="AF69" s="9"/>
      <c r="AG69" s="9" t="s">
        <v>20</v>
      </c>
    </row>
    <row r="70" spans="1:33" ht="58">
      <c r="A70" s="3" t="s">
        <v>2962</v>
      </c>
      <c r="B70" s="3" t="s">
        <v>8242</v>
      </c>
      <c r="C70" s="3" t="s">
        <v>8243</v>
      </c>
      <c r="F70" t="s">
        <v>19</v>
      </c>
      <c r="G70" s="9" t="s">
        <v>12118</v>
      </c>
      <c r="H70" s="9"/>
      <c r="I70" s="9"/>
      <c r="J70" s="9"/>
      <c r="K70" s="9"/>
      <c r="L70" s="9"/>
      <c r="M70" s="9"/>
      <c r="N70" s="10"/>
      <c r="O70" s="9"/>
      <c r="P70" s="9"/>
      <c r="Q70" s="9">
        <v>11750</v>
      </c>
      <c r="R70" s="9">
        <v>93</v>
      </c>
      <c r="S70" s="9">
        <v>11843</v>
      </c>
      <c r="T70" s="13">
        <f t="shared" si="3"/>
        <v>11.175198269646719</v>
      </c>
      <c r="U70" s="13">
        <f t="shared" si="4"/>
        <v>1423.0954097572699</v>
      </c>
      <c r="V70" s="13">
        <f t="shared" si="5"/>
        <v>1411.9202114876232</v>
      </c>
      <c r="W70" s="9"/>
      <c r="X70" s="9"/>
      <c r="Y70" s="9"/>
      <c r="Z70" s="9"/>
      <c r="AA70" s="9"/>
      <c r="AB70" s="9"/>
      <c r="AC70" s="9"/>
      <c r="AD70" s="9"/>
      <c r="AE70" s="9"/>
      <c r="AF70" s="9"/>
      <c r="AG70" s="9" t="s">
        <v>20</v>
      </c>
    </row>
    <row r="71" spans="1:33" ht="43.5">
      <c r="A71" s="3" t="s">
        <v>3026</v>
      </c>
      <c r="B71" s="3" t="s">
        <v>8371</v>
      </c>
      <c r="C71" s="5" t="s">
        <v>8372</v>
      </c>
      <c r="D71" t="s">
        <v>32</v>
      </c>
      <c r="E71" t="s">
        <v>20</v>
      </c>
      <c r="G71" s="9" t="s">
        <v>12118</v>
      </c>
      <c r="H71" s="9"/>
      <c r="I71" s="9"/>
      <c r="J71" s="9"/>
      <c r="K71" s="9"/>
      <c r="L71" s="9"/>
      <c r="M71" s="9"/>
      <c r="N71" s="10"/>
      <c r="O71" s="9" t="s">
        <v>12074</v>
      </c>
      <c r="P71" s="9"/>
      <c r="Q71" s="9">
        <v>-11806</v>
      </c>
      <c r="R71" s="9">
        <v>11843</v>
      </c>
      <c r="S71" s="9">
        <v>37</v>
      </c>
      <c r="T71" s="13">
        <f t="shared" si="3"/>
        <v>1423.0954097572699</v>
      </c>
      <c r="U71" s="13">
        <f t="shared" si="4"/>
        <v>4.4460466234078346</v>
      </c>
      <c r="V71" s="13">
        <f t="shared" si="5"/>
        <v>-1418.6493631338619</v>
      </c>
      <c r="W71" s="9"/>
      <c r="X71" s="9"/>
      <c r="Y71" s="9"/>
      <c r="Z71" s="9"/>
      <c r="AA71" s="9"/>
      <c r="AB71" s="9"/>
      <c r="AC71" s="9"/>
      <c r="AD71" s="9"/>
      <c r="AE71" s="9"/>
      <c r="AF71" s="9"/>
      <c r="AG71" s="9" t="s">
        <v>20</v>
      </c>
    </row>
    <row r="72" spans="1:33" ht="43.5">
      <c r="A72" s="3" t="s">
        <v>3039</v>
      </c>
      <c r="B72" s="3" t="s">
        <v>8395</v>
      </c>
      <c r="C72" s="3" t="s">
        <v>8394</v>
      </c>
      <c r="G72" s="9" t="s">
        <v>12118</v>
      </c>
      <c r="H72" s="9"/>
      <c r="I72" s="9"/>
      <c r="J72" s="9"/>
      <c r="K72" s="9"/>
      <c r="L72" s="9"/>
      <c r="M72" s="9"/>
      <c r="N72" s="10"/>
      <c r="O72" s="9"/>
      <c r="P72" s="9"/>
      <c r="Q72" s="9">
        <v>-3710</v>
      </c>
      <c r="R72" s="9">
        <v>5676</v>
      </c>
      <c r="S72" s="9">
        <v>1966</v>
      </c>
      <c r="T72" s="13">
        <f t="shared" si="3"/>
        <v>682.04758471521268</v>
      </c>
      <c r="U72" s="13">
        <f t="shared" si="4"/>
        <v>236.24128815188658</v>
      </c>
      <c r="V72" s="13">
        <f t="shared" si="5"/>
        <v>-445.8062965633261</v>
      </c>
      <c r="W72" s="9"/>
      <c r="X72" s="9"/>
      <c r="Y72" s="9"/>
      <c r="Z72" s="9"/>
      <c r="AA72" s="9"/>
      <c r="AB72" s="9"/>
      <c r="AC72" s="9"/>
      <c r="AD72" s="9"/>
      <c r="AE72" s="9"/>
      <c r="AF72" s="9"/>
      <c r="AG72" s="9" t="s">
        <v>20</v>
      </c>
    </row>
    <row r="73" spans="1:33" ht="29">
      <c r="A73" s="3" t="s">
        <v>3054</v>
      </c>
      <c r="B73" s="3" t="s">
        <v>8413</v>
      </c>
      <c r="C73" s="3" t="s">
        <v>8412</v>
      </c>
      <c r="G73" s="9" t="s">
        <v>12121</v>
      </c>
      <c r="H73" s="9"/>
      <c r="I73" s="9"/>
      <c r="J73" s="9"/>
      <c r="K73" s="9"/>
      <c r="L73" s="9"/>
      <c r="M73" s="9"/>
      <c r="N73" s="10"/>
      <c r="O73" s="9"/>
      <c r="P73" s="9"/>
      <c r="Q73" s="9">
        <v>-1</v>
      </c>
      <c r="R73" s="9">
        <v>1</v>
      </c>
      <c r="S73" s="9">
        <v>0</v>
      </c>
      <c r="T73" s="13">
        <f t="shared" si="3"/>
        <v>0.12016342225426581</v>
      </c>
      <c r="U73" s="13">
        <f t="shared" si="4"/>
        <v>0</v>
      </c>
      <c r="V73" s="13">
        <f t="shared" si="5"/>
        <v>-0.12016342225426581</v>
      </c>
      <c r="W73" s="9"/>
      <c r="X73" s="9"/>
      <c r="Y73" s="9"/>
      <c r="Z73" s="9"/>
      <c r="AA73" s="9"/>
      <c r="AB73" s="9"/>
      <c r="AC73" s="9"/>
      <c r="AD73" s="9"/>
      <c r="AE73" s="9"/>
      <c r="AF73" s="9"/>
      <c r="AG73" s="9" t="s">
        <v>20</v>
      </c>
    </row>
    <row r="74" spans="1:33" ht="43.5">
      <c r="A74" s="3" t="s">
        <v>3106</v>
      </c>
      <c r="B74" s="3" t="s">
        <v>8497</v>
      </c>
      <c r="C74" s="3" t="s">
        <v>8496</v>
      </c>
      <c r="G74" s="9" t="s">
        <v>12118</v>
      </c>
      <c r="H74" s="9"/>
      <c r="I74" s="9"/>
      <c r="J74" s="9"/>
      <c r="K74" s="9"/>
      <c r="L74" s="9"/>
      <c r="M74" s="9"/>
      <c r="N74" s="10"/>
      <c r="O74" s="9"/>
      <c r="P74" s="9"/>
      <c r="Q74" s="9">
        <v>731</v>
      </c>
      <c r="R74" s="9">
        <v>156</v>
      </c>
      <c r="S74" s="9">
        <v>887</v>
      </c>
      <c r="T74" s="13">
        <f t="shared" si="3"/>
        <v>18.745493871665467</v>
      </c>
      <c r="U74" s="13">
        <f t="shared" si="4"/>
        <v>106.58495553953377</v>
      </c>
      <c r="V74" s="13">
        <f t="shared" si="5"/>
        <v>87.839461667868306</v>
      </c>
      <c r="W74" s="9"/>
      <c r="X74" s="9"/>
      <c r="Y74" s="9"/>
      <c r="Z74" s="9"/>
      <c r="AA74" s="9"/>
      <c r="AB74" s="9"/>
      <c r="AC74" s="9"/>
      <c r="AD74" s="9"/>
      <c r="AE74" s="9"/>
      <c r="AF74" s="9"/>
      <c r="AG74" s="9" t="s">
        <v>20</v>
      </c>
    </row>
    <row r="75" spans="1:33" ht="72.5">
      <c r="A75" s="3" t="s">
        <v>3195</v>
      </c>
      <c r="B75" s="3" t="s">
        <v>8662</v>
      </c>
      <c r="C75" s="3" t="s">
        <v>8663</v>
      </c>
      <c r="G75" s="9" t="s">
        <v>12118</v>
      </c>
      <c r="H75" s="9"/>
      <c r="I75" s="9"/>
      <c r="J75" s="9"/>
      <c r="K75" s="9"/>
      <c r="L75" s="9"/>
      <c r="M75" s="9"/>
      <c r="N75" s="10"/>
      <c r="O75" s="9"/>
      <c r="P75" s="9"/>
      <c r="Q75" s="9">
        <v>50</v>
      </c>
      <c r="R75" s="9">
        <v>37</v>
      </c>
      <c r="S75" s="9">
        <v>87</v>
      </c>
      <c r="T75" s="13">
        <f t="shared" si="3"/>
        <v>4.4460466234078346</v>
      </c>
      <c r="U75" s="13">
        <f t="shared" si="4"/>
        <v>10.454217736121125</v>
      </c>
      <c r="V75" s="13">
        <f t="shared" si="5"/>
        <v>6.0081711127132902</v>
      </c>
      <c r="W75" s="9"/>
      <c r="X75" s="9"/>
      <c r="Y75" s="9"/>
      <c r="Z75" s="9"/>
      <c r="AA75" s="9"/>
      <c r="AB75" s="9"/>
      <c r="AC75" s="9"/>
      <c r="AD75" s="9"/>
      <c r="AE75" s="9"/>
      <c r="AF75" s="9"/>
      <c r="AG75" s="9" t="s">
        <v>20</v>
      </c>
    </row>
    <row r="76" spans="1:33" ht="29">
      <c r="A76" s="3" t="s">
        <v>3217</v>
      </c>
      <c r="B76" s="3" t="s">
        <v>8699</v>
      </c>
      <c r="C76" s="3" t="s">
        <v>8700</v>
      </c>
      <c r="G76" s="9" t="s">
        <v>12118</v>
      </c>
      <c r="H76" s="9"/>
      <c r="I76" s="9"/>
      <c r="J76" s="9"/>
      <c r="K76" s="9"/>
      <c r="L76" s="9"/>
      <c r="M76" s="9"/>
      <c r="N76" s="10"/>
      <c r="O76" s="9"/>
      <c r="P76" s="9"/>
      <c r="Q76" s="9">
        <v>18</v>
      </c>
      <c r="R76" s="9">
        <v>19</v>
      </c>
      <c r="S76" s="9">
        <v>37</v>
      </c>
      <c r="T76" s="13">
        <f t="shared" si="3"/>
        <v>2.2831050228310503</v>
      </c>
      <c r="U76" s="13">
        <f t="shared" si="4"/>
        <v>4.4460466234078346</v>
      </c>
      <c r="V76" s="13">
        <f t="shared" si="5"/>
        <v>2.1629416005767843</v>
      </c>
      <c r="W76" s="9"/>
      <c r="X76" s="9"/>
      <c r="Y76" s="9"/>
      <c r="Z76" s="9"/>
      <c r="AA76" s="9"/>
      <c r="AB76" s="9"/>
      <c r="AC76" s="9"/>
      <c r="AD76" s="9"/>
      <c r="AE76" s="9"/>
      <c r="AF76" s="9"/>
      <c r="AG76" s="9" t="s">
        <v>20</v>
      </c>
    </row>
    <row r="77" spans="1:33" ht="29">
      <c r="A77" s="3" t="s">
        <v>3220</v>
      </c>
      <c r="B77" s="3" t="s">
        <v>8707</v>
      </c>
      <c r="C77" s="3" t="s">
        <v>8708</v>
      </c>
      <c r="G77" s="9" t="s">
        <v>12121</v>
      </c>
      <c r="H77" s="9"/>
      <c r="I77" s="9"/>
      <c r="J77" s="9"/>
      <c r="K77" s="9"/>
      <c r="L77" s="9"/>
      <c r="M77" s="9"/>
      <c r="N77" s="10"/>
      <c r="O77" s="9"/>
      <c r="P77" s="9"/>
      <c r="Q77" s="9">
        <v>146</v>
      </c>
      <c r="R77" s="9">
        <v>103</v>
      </c>
      <c r="S77" s="9">
        <v>249</v>
      </c>
      <c r="T77" s="13">
        <f t="shared" si="3"/>
        <v>12.376832492189379</v>
      </c>
      <c r="U77" s="13">
        <f t="shared" si="4"/>
        <v>29.920692141312184</v>
      </c>
      <c r="V77" s="13">
        <f t="shared" si="5"/>
        <v>17.543859649122805</v>
      </c>
      <c r="W77" s="9"/>
      <c r="X77" s="9"/>
      <c r="Y77" s="9"/>
      <c r="Z77" s="9"/>
      <c r="AA77" s="9"/>
      <c r="AB77" s="9"/>
      <c r="AC77" s="9"/>
      <c r="AD77" s="9"/>
      <c r="AE77" s="9"/>
      <c r="AF77" s="9"/>
      <c r="AG77" s="9" t="s">
        <v>20</v>
      </c>
    </row>
    <row r="78" spans="1:33" ht="29">
      <c r="A78" s="3" t="s">
        <v>3243</v>
      </c>
      <c r="B78" s="3" t="s">
        <v>8747</v>
      </c>
      <c r="C78" s="3" t="s">
        <v>8746</v>
      </c>
      <c r="G78" s="9" t="s">
        <v>12118</v>
      </c>
      <c r="H78" s="9"/>
      <c r="I78" s="9"/>
      <c r="J78" s="9"/>
      <c r="K78" s="9"/>
      <c r="L78" s="9"/>
      <c r="M78" s="9"/>
      <c r="N78" s="10"/>
      <c r="O78" s="9"/>
      <c r="P78" s="9"/>
      <c r="Q78" s="9">
        <v>-560</v>
      </c>
      <c r="R78" s="9">
        <v>591</v>
      </c>
      <c r="S78" s="9">
        <v>31</v>
      </c>
      <c r="T78" s="13">
        <f t="shared" si="3"/>
        <v>71.016582552271089</v>
      </c>
      <c r="U78" s="13">
        <f t="shared" si="4"/>
        <v>3.7250660898822399</v>
      </c>
      <c r="V78" s="13">
        <f t="shared" si="5"/>
        <v>-67.291516462388856</v>
      </c>
      <c r="W78" s="9"/>
      <c r="X78" s="9"/>
      <c r="Y78" s="9"/>
      <c r="Z78" s="9"/>
      <c r="AA78" s="9"/>
      <c r="AB78" s="9"/>
      <c r="AC78" s="9"/>
      <c r="AD78" s="9"/>
      <c r="AE78" s="9"/>
      <c r="AF78" s="9"/>
      <c r="AG78" s="9" t="s">
        <v>20</v>
      </c>
    </row>
    <row r="79" spans="1:33" ht="29">
      <c r="A79" s="3" t="s">
        <v>3246</v>
      </c>
      <c r="B79" s="3" t="s">
        <v>8754</v>
      </c>
      <c r="C79" s="3" t="s">
        <v>8755</v>
      </c>
      <c r="G79" s="9" t="s">
        <v>12118</v>
      </c>
      <c r="H79" s="9"/>
      <c r="I79" s="9"/>
      <c r="J79" s="9"/>
      <c r="K79" s="9"/>
      <c r="L79" s="9"/>
      <c r="M79" s="9"/>
      <c r="N79" s="10"/>
      <c r="O79" s="9"/>
      <c r="P79" s="9"/>
      <c r="Q79" s="9">
        <v>4080</v>
      </c>
      <c r="R79" s="9">
        <v>160</v>
      </c>
      <c r="S79" s="9">
        <v>4240</v>
      </c>
      <c r="T79" s="13">
        <f t="shared" si="3"/>
        <v>19.226147560682527</v>
      </c>
      <c r="U79" s="13">
        <f t="shared" si="4"/>
        <v>509.49291035808699</v>
      </c>
      <c r="V79" s="13">
        <f t="shared" si="5"/>
        <v>490.26676279740445</v>
      </c>
      <c r="W79" s="9"/>
      <c r="X79" s="9"/>
      <c r="Y79" s="9"/>
      <c r="Z79" s="9"/>
      <c r="AA79" s="9"/>
      <c r="AB79" s="9"/>
      <c r="AC79" s="9"/>
      <c r="AD79" s="9"/>
      <c r="AE79" s="9"/>
      <c r="AF79" s="9"/>
      <c r="AG79" s="9" t="s">
        <v>20</v>
      </c>
    </row>
    <row r="80" spans="1:33" ht="58">
      <c r="A80" s="3" t="s">
        <v>3318</v>
      </c>
      <c r="B80" s="3" t="s">
        <v>8904</v>
      </c>
      <c r="C80" s="3" t="s">
        <v>8905</v>
      </c>
      <c r="G80" s="9" t="s">
        <v>12118</v>
      </c>
      <c r="H80" s="9"/>
      <c r="I80" s="9"/>
      <c r="J80" s="9"/>
      <c r="K80" s="9"/>
      <c r="L80" s="9"/>
      <c r="M80" s="9"/>
      <c r="N80" s="10"/>
      <c r="O80" s="9"/>
      <c r="P80" s="9"/>
      <c r="Q80" s="9">
        <v>-4</v>
      </c>
      <c r="R80" s="9">
        <v>6</v>
      </c>
      <c r="S80" s="9">
        <v>2</v>
      </c>
      <c r="T80" s="13">
        <f t="shared" si="3"/>
        <v>0.72098053352559488</v>
      </c>
      <c r="U80" s="13">
        <f t="shared" si="4"/>
        <v>0.24032684450853162</v>
      </c>
      <c r="V80" s="13">
        <f t="shared" si="5"/>
        <v>-0.48065368901706329</v>
      </c>
      <c r="W80" s="9"/>
      <c r="X80" s="9"/>
      <c r="Y80" s="9"/>
      <c r="Z80" s="9"/>
      <c r="AA80" s="9"/>
      <c r="AB80" s="9"/>
      <c r="AC80" s="9"/>
      <c r="AD80" s="9"/>
      <c r="AE80" s="9"/>
      <c r="AF80" s="9"/>
      <c r="AG80" s="9" t="s">
        <v>20</v>
      </c>
    </row>
    <row r="81" spans="1:33" ht="72.5">
      <c r="A81" s="3" t="s">
        <v>3427</v>
      </c>
      <c r="B81" s="3" t="s">
        <v>9110</v>
      </c>
      <c r="C81" s="3" t="s">
        <v>9111</v>
      </c>
      <c r="G81" s="9" t="s">
        <v>12118</v>
      </c>
      <c r="H81" s="9"/>
      <c r="I81" s="9"/>
      <c r="J81" s="9"/>
      <c r="K81" s="9"/>
      <c r="L81" s="9"/>
      <c r="M81" s="9"/>
      <c r="N81" s="10"/>
      <c r="O81" s="9"/>
      <c r="P81" s="9"/>
      <c r="Q81" s="9">
        <v>-3605</v>
      </c>
      <c r="R81" s="9">
        <v>4240</v>
      </c>
      <c r="S81" s="9">
        <v>635</v>
      </c>
      <c r="T81" s="13">
        <f t="shared" si="3"/>
        <v>509.49291035808699</v>
      </c>
      <c r="U81" s="13">
        <f t="shared" si="4"/>
        <v>76.303773131458783</v>
      </c>
      <c r="V81" s="13">
        <f t="shared" si="5"/>
        <v>-433.18913722662819</v>
      </c>
      <c r="W81" s="9"/>
      <c r="X81" s="9"/>
      <c r="Y81" s="9"/>
      <c r="Z81" s="9"/>
      <c r="AA81" s="9"/>
      <c r="AB81" s="9"/>
      <c r="AC81" s="9"/>
      <c r="AD81" s="9"/>
      <c r="AE81" s="9"/>
      <c r="AF81" s="9"/>
      <c r="AG81" s="9" t="s">
        <v>20</v>
      </c>
    </row>
    <row r="82" spans="1:33" ht="87">
      <c r="A82" s="3" t="s">
        <v>3484</v>
      </c>
      <c r="B82" s="3" t="s">
        <v>13061</v>
      </c>
      <c r="C82" s="3" t="s">
        <v>13064</v>
      </c>
      <c r="G82" s="9" t="s">
        <v>12118</v>
      </c>
      <c r="H82" s="9"/>
      <c r="I82" s="9"/>
      <c r="J82" s="9"/>
      <c r="K82" s="9"/>
      <c r="L82" s="9"/>
      <c r="M82" s="9"/>
      <c r="N82" s="10"/>
      <c r="O82" s="9"/>
      <c r="P82" s="9"/>
      <c r="Q82" s="9">
        <v>-45</v>
      </c>
      <c r="R82" s="9">
        <v>309</v>
      </c>
      <c r="S82" s="9">
        <v>264</v>
      </c>
      <c r="T82" s="13">
        <f t="shared" si="3"/>
        <v>37.130497476568131</v>
      </c>
      <c r="U82" s="13">
        <f t="shared" si="4"/>
        <v>31.723143475126172</v>
      </c>
      <c r="V82" s="13">
        <f t="shared" si="5"/>
        <v>-5.4073540014419592</v>
      </c>
      <c r="W82" s="9"/>
      <c r="X82" s="9"/>
      <c r="Y82" s="9"/>
      <c r="Z82" s="9"/>
      <c r="AA82" s="9"/>
      <c r="AB82" s="9"/>
      <c r="AC82" s="9"/>
      <c r="AD82" s="9"/>
      <c r="AE82" s="9"/>
      <c r="AF82" s="9"/>
      <c r="AG82" s="9" t="s">
        <v>20</v>
      </c>
    </row>
    <row r="83" spans="1:33" ht="29">
      <c r="A83" s="3" t="s">
        <v>3488</v>
      </c>
      <c r="B83" s="3" t="s">
        <v>3489</v>
      </c>
      <c r="C83" s="3" t="s">
        <v>3490</v>
      </c>
      <c r="G83" s="9" t="s">
        <v>12118</v>
      </c>
      <c r="H83" s="9"/>
      <c r="I83" s="9"/>
      <c r="J83" s="9"/>
      <c r="K83" s="9"/>
      <c r="L83" s="9"/>
      <c r="M83" s="9"/>
      <c r="N83" s="10"/>
      <c r="O83" s="9"/>
      <c r="P83" s="9"/>
      <c r="Q83" s="9">
        <v>0</v>
      </c>
      <c r="R83" s="9">
        <v>1</v>
      </c>
      <c r="S83" s="9">
        <v>1</v>
      </c>
      <c r="T83" s="13">
        <f t="shared" si="3"/>
        <v>0.12016342225426581</v>
      </c>
      <c r="U83" s="13">
        <f t="shared" si="4"/>
        <v>0.12016342225426581</v>
      </c>
      <c r="V83" s="13">
        <f t="shared" si="5"/>
        <v>0</v>
      </c>
      <c r="W83" s="9"/>
      <c r="X83" s="9"/>
      <c r="Y83" s="9"/>
      <c r="Z83" s="9"/>
      <c r="AA83" s="9"/>
      <c r="AB83" s="9"/>
      <c r="AC83" s="9"/>
      <c r="AD83" s="9"/>
      <c r="AE83" s="9"/>
      <c r="AF83" s="9"/>
      <c r="AG83" s="9" t="s">
        <v>20</v>
      </c>
    </row>
    <row r="84" spans="1:33" ht="29">
      <c r="A84" s="3" t="s">
        <v>3502</v>
      </c>
      <c r="B84" s="3" t="s">
        <v>9239</v>
      </c>
      <c r="C84" s="3" t="s">
        <v>9238</v>
      </c>
      <c r="G84" s="9" t="s">
        <v>12118</v>
      </c>
      <c r="H84" s="9"/>
      <c r="I84" s="9"/>
      <c r="J84" s="9"/>
      <c r="K84" s="9"/>
      <c r="L84" s="9"/>
      <c r="M84" s="9"/>
      <c r="N84" s="10"/>
      <c r="O84" s="9"/>
      <c r="P84" s="9"/>
      <c r="Q84" s="9">
        <v>-14</v>
      </c>
      <c r="R84" s="9">
        <v>148</v>
      </c>
      <c r="S84" s="9">
        <v>134</v>
      </c>
      <c r="T84" s="13">
        <f t="shared" si="3"/>
        <v>17.784186493631339</v>
      </c>
      <c r="U84" s="13">
        <f t="shared" si="4"/>
        <v>16.101898582071616</v>
      </c>
      <c r="V84" s="13">
        <f t="shared" si="5"/>
        <v>-1.6822879115597225</v>
      </c>
      <c r="W84" s="9"/>
      <c r="X84" s="9"/>
      <c r="Y84" s="9"/>
      <c r="Z84" s="9"/>
      <c r="AA84" s="9"/>
      <c r="AB84" s="9"/>
      <c r="AC84" s="9"/>
      <c r="AD84" s="9"/>
      <c r="AE84" s="9"/>
      <c r="AF84" s="9"/>
      <c r="AG84" s="9" t="s">
        <v>20</v>
      </c>
    </row>
    <row r="85" spans="1:33" ht="29">
      <c r="A85" s="3" t="s">
        <v>3504</v>
      </c>
      <c r="B85" s="3" t="s">
        <v>9245</v>
      </c>
      <c r="C85" s="3" t="s">
        <v>9244</v>
      </c>
      <c r="G85" s="9" t="s">
        <v>12118</v>
      </c>
      <c r="H85" s="9"/>
      <c r="I85" s="9"/>
      <c r="J85" s="9"/>
      <c r="K85" s="9"/>
      <c r="L85" s="9"/>
      <c r="M85" s="9"/>
      <c r="N85" s="10"/>
      <c r="O85" s="9"/>
      <c r="P85" s="9"/>
      <c r="Q85" s="9">
        <v>-16</v>
      </c>
      <c r="R85" s="9">
        <v>29</v>
      </c>
      <c r="S85" s="9">
        <v>13</v>
      </c>
      <c r="T85" s="13">
        <f t="shared" si="3"/>
        <v>3.4847392453737083</v>
      </c>
      <c r="U85" s="13">
        <f t="shared" si="4"/>
        <v>1.5621244893054553</v>
      </c>
      <c r="V85" s="13">
        <f t="shared" si="5"/>
        <v>-1.9226147560682529</v>
      </c>
      <c r="W85" s="9"/>
      <c r="X85" s="9"/>
      <c r="Y85" s="9"/>
      <c r="Z85" s="9"/>
      <c r="AA85" s="9"/>
      <c r="AB85" s="9"/>
      <c r="AC85" s="9"/>
      <c r="AD85" s="9"/>
      <c r="AE85" s="9"/>
      <c r="AF85" s="9"/>
      <c r="AG85" s="9" t="s">
        <v>20</v>
      </c>
    </row>
    <row r="86" spans="1:33" ht="29">
      <c r="A86" s="3" t="s">
        <v>3512</v>
      </c>
      <c r="B86" s="3" t="s">
        <v>1900</v>
      </c>
      <c r="C86" s="3" t="s">
        <v>1234</v>
      </c>
      <c r="G86" s="9" t="s">
        <v>12118</v>
      </c>
      <c r="H86" s="9"/>
      <c r="I86" s="9"/>
      <c r="J86" s="9"/>
      <c r="K86" s="9"/>
      <c r="L86" s="9"/>
      <c r="M86" s="9"/>
      <c r="N86" s="10"/>
      <c r="O86" s="9"/>
      <c r="P86" s="9"/>
      <c r="Q86" s="9">
        <v>155</v>
      </c>
      <c r="R86" s="9">
        <v>352</v>
      </c>
      <c r="S86" s="9">
        <v>507</v>
      </c>
      <c r="T86" s="13">
        <f t="shared" si="3"/>
        <v>42.29752463350156</v>
      </c>
      <c r="U86" s="13">
        <f t="shared" si="4"/>
        <v>60.922855082912768</v>
      </c>
      <c r="V86" s="13">
        <f t="shared" si="5"/>
        <v>18.625330449411209</v>
      </c>
      <c r="W86" s="9"/>
      <c r="X86" s="9"/>
      <c r="Y86" s="9"/>
      <c r="Z86" s="9"/>
      <c r="AA86" s="9"/>
      <c r="AB86" s="9"/>
      <c r="AC86" s="9"/>
      <c r="AD86" s="9"/>
      <c r="AE86" s="9"/>
      <c r="AF86" s="9"/>
      <c r="AG86" s="9" t="s">
        <v>20</v>
      </c>
    </row>
    <row r="87" spans="1:33" ht="29">
      <c r="A87" s="3" t="s">
        <v>3520</v>
      </c>
      <c r="B87" s="3" t="s">
        <v>9279</v>
      </c>
      <c r="C87" s="3" t="s">
        <v>9280</v>
      </c>
      <c r="G87" s="9" t="s">
        <v>12118</v>
      </c>
      <c r="H87" s="9"/>
      <c r="I87" s="9"/>
      <c r="J87" s="9"/>
      <c r="K87" s="9"/>
      <c r="L87" s="9"/>
      <c r="M87" s="9"/>
      <c r="N87" s="10"/>
      <c r="O87" s="9"/>
      <c r="P87" s="9"/>
      <c r="Q87" s="9">
        <v>743</v>
      </c>
      <c r="R87" s="9">
        <v>67</v>
      </c>
      <c r="S87" s="9">
        <v>810</v>
      </c>
      <c r="T87" s="13">
        <f t="shared" si="3"/>
        <v>8.050949291035808</v>
      </c>
      <c r="U87" s="13">
        <f t="shared" si="4"/>
        <v>97.332372025955294</v>
      </c>
      <c r="V87" s="13">
        <f t="shared" si="5"/>
        <v>89.281422734919488</v>
      </c>
      <c r="W87" s="9"/>
      <c r="X87" s="9"/>
      <c r="Y87" s="9"/>
      <c r="Z87" s="9"/>
      <c r="AA87" s="9"/>
      <c r="AB87" s="9"/>
      <c r="AC87" s="9"/>
      <c r="AD87" s="9"/>
      <c r="AE87" s="9"/>
      <c r="AF87" s="9"/>
      <c r="AG87" s="9" t="s">
        <v>20</v>
      </c>
    </row>
    <row r="88" spans="1:33" ht="43.5">
      <c r="A88" s="3" t="s">
        <v>3612</v>
      </c>
      <c r="B88" s="3" t="s">
        <v>9477</v>
      </c>
      <c r="C88" s="3" t="s">
        <v>9478</v>
      </c>
      <c r="G88" s="9" t="s">
        <v>12118</v>
      </c>
      <c r="H88" s="9"/>
      <c r="I88" s="9"/>
      <c r="J88" s="9"/>
      <c r="K88" s="9"/>
      <c r="L88" s="9"/>
      <c r="M88" s="9"/>
      <c r="N88" s="10"/>
      <c r="O88" s="9"/>
      <c r="P88" s="9"/>
      <c r="Q88" s="9">
        <v>860</v>
      </c>
      <c r="R88" s="9">
        <v>27</v>
      </c>
      <c r="S88" s="9">
        <v>887</v>
      </c>
      <c r="T88" s="13">
        <f t="shared" si="3"/>
        <v>3.2444124008651767</v>
      </c>
      <c r="U88" s="13">
        <f t="shared" si="4"/>
        <v>106.58495553953377</v>
      </c>
      <c r="V88" s="13">
        <f t="shared" si="5"/>
        <v>103.34054313866859</v>
      </c>
      <c r="W88" s="9"/>
      <c r="X88" s="9"/>
      <c r="Y88" s="9"/>
      <c r="Z88" s="9"/>
      <c r="AA88" s="9"/>
      <c r="AB88" s="9"/>
      <c r="AC88" s="9"/>
      <c r="AD88" s="9"/>
      <c r="AE88" s="9"/>
      <c r="AF88" s="9"/>
      <c r="AG88" s="9" t="s">
        <v>20</v>
      </c>
    </row>
    <row r="89" spans="1:33" ht="58">
      <c r="A89" s="3" t="s">
        <v>3631</v>
      </c>
      <c r="B89" s="3" t="s">
        <v>9523</v>
      </c>
      <c r="C89" s="3" t="s">
        <v>9524</v>
      </c>
      <c r="F89" t="s">
        <v>19</v>
      </c>
      <c r="G89" s="9" t="s">
        <v>12118</v>
      </c>
      <c r="H89" s="9"/>
      <c r="I89" s="9"/>
      <c r="J89" s="9"/>
      <c r="K89" s="9"/>
      <c r="L89" s="9"/>
      <c r="M89" s="9"/>
      <c r="N89" s="10"/>
      <c r="O89" s="9"/>
      <c r="P89" s="9"/>
      <c r="Q89" s="9">
        <v>-11063</v>
      </c>
      <c r="R89" s="9">
        <v>11843</v>
      </c>
      <c r="S89" s="9">
        <v>780</v>
      </c>
      <c r="T89" s="13">
        <f t="shared" si="3"/>
        <v>1423.0954097572699</v>
      </c>
      <c r="U89" s="13">
        <f t="shared" si="4"/>
        <v>93.727469358327326</v>
      </c>
      <c r="V89" s="13">
        <f t="shared" si="5"/>
        <v>-1329.3679403989424</v>
      </c>
      <c r="W89" s="9"/>
      <c r="X89" s="9"/>
      <c r="Y89" s="9"/>
      <c r="Z89" s="9"/>
      <c r="AA89" s="9"/>
      <c r="AB89" s="9"/>
      <c r="AC89" s="9"/>
      <c r="AD89" s="9"/>
      <c r="AE89" s="9"/>
      <c r="AF89" s="9"/>
      <c r="AG89" s="9" t="s">
        <v>20</v>
      </c>
    </row>
    <row r="90" spans="1:33" ht="29">
      <c r="A90" s="3" t="s">
        <v>3665</v>
      </c>
      <c r="B90" s="3" t="s">
        <v>9576</v>
      </c>
      <c r="C90" s="3" t="s">
        <v>9577</v>
      </c>
      <c r="G90" s="9" t="s">
        <v>12118</v>
      </c>
      <c r="H90" s="9"/>
      <c r="I90" s="9"/>
      <c r="J90" s="9"/>
      <c r="K90" s="9"/>
      <c r="L90" s="9"/>
      <c r="M90" s="9"/>
      <c r="N90" s="10"/>
      <c r="O90" s="9"/>
      <c r="P90" s="9"/>
      <c r="Q90" s="9">
        <v>1706</v>
      </c>
      <c r="R90" s="9">
        <v>336</v>
      </c>
      <c r="S90" s="9">
        <v>2042</v>
      </c>
      <c r="T90" s="13">
        <f t="shared" si="3"/>
        <v>40.374909877433311</v>
      </c>
      <c r="U90" s="13">
        <f t="shared" si="4"/>
        <v>245.37370824321076</v>
      </c>
      <c r="V90" s="13">
        <f t="shared" si="5"/>
        <v>204.99879836577745</v>
      </c>
      <c r="W90" s="9"/>
      <c r="X90" s="9"/>
      <c r="Y90" s="9"/>
      <c r="Z90" s="9"/>
      <c r="AA90" s="9"/>
      <c r="AB90" s="9"/>
      <c r="AC90" s="9"/>
      <c r="AD90" s="9"/>
      <c r="AE90" s="9"/>
      <c r="AF90" s="9"/>
      <c r="AG90" s="9" t="s">
        <v>20</v>
      </c>
    </row>
    <row r="91" spans="1:33" ht="29">
      <c r="A91" s="3" t="s">
        <v>3696</v>
      </c>
      <c r="B91" s="3" t="s">
        <v>3698</v>
      </c>
      <c r="C91" s="3" t="s">
        <v>3697</v>
      </c>
      <c r="G91" s="9" t="s">
        <v>12118</v>
      </c>
      <c r="H91" s="9"/>
      <c r="I91" s="9"/>
      <c r="J91" s="9"/>
      <c r="K91" s="9"/>
      <c r="L91" s="9"/>
      <c r="M91" s="9"/>
      <c r="N91" s="10"/>
      <c r="O91" s="9"/>
      <c r="P91" s="9"/>
      <c r="Q91" s="9">
        <v>36</v>
      </c>
      <c r="R91" s="9">
        <v>1</v>
      </c>
      <c r="S91" s="9">
        <v>37</v>
      </c>
      <c r="T91" s="13">
        <f t="shared" si="3"/>
        <v>0.12016342225426581</v>
      </c>
      <c r="U91" s="13">
        <f t="shared" si="4"/>
        <v>4.4460466234078346</v>
      </c>
      <c r="V91" s="13">
        <f t="shared" si="5"/>
        <v>4.3258832011535686</v>
      </c>
      <c r="W91" s="9"/>
      <c r="X91" s="9"/>
      <c r="Y91" s="9"/>
      <c r="Z91" s="9"/>
      <c r="AA91" s="9"/>
      <c r="AB91" s="9"/>
      <c r="AC91" s="9"/>
      <c r="AD91" s="9"/>
      <c r="AE91" s="9"/>
      <c r="AF91" s="9"/>
      <c r="AG91" s="9" t="s">
        <v>20</v>
      </c>
    </row>
    <row r="92" spans="1:33" ht="29">
      <c r="A92" s="3" t="s">
        <v>3709</v>
      </c>
      <c r="B92" s="3" t="s">
        <v>3711</v>
      </c>
      <c r="C92" s="3" t="s">
        <v>3710</v>
      </c>
      <c r="F92" t="s">
        <v>19</v>
      </c>
      <c r="G92" s="9" t="s">
        <v>12118</v>
      </c>
      <c r="H92" s="9"/>
      <c r="I92" s="9"/>
      <c r="J92" s="9"/>
      <c r="K92" s="9"/>
      <c r="L92" s="9"/>
      <c r="M92" s="9"/>
      <c r="N92" s="10"/>
      <c r="O92" s="9"/>
      <c r="P92" s="9"/>
      <c r="Q92" s="9">
        <v>-25</v>
      </c>
      <c r="R92" s="9">
        <v>27</v>
      </c>
      <c r="S92" s="9">
        <v>2</v>
      </c>
      <c r="T92" s="13">
        <f t="shared" si="3"/>
        <v>3.2444124008651767</v>
      </c>
      <c r="U92" s="13">
        <f t="shared" si="4"/>
        <v>0.24032684450853162</v>
      </c>
      <c r="V92" s="13">
        <f t="shared" si="5"/>
        <v>-3.0040855563566451</v>
      </c>
      <c r="W92" s="9"/>
      <c r="X92" s="9"/>
      <c r="Y92" s="9"/>
      <c r="Z92" s="9"/>
      <c r="AA92" s="9"/>
      <c r="AB92" s="9"/>
      <c r="AC92" s="9"/>
      <c r="AD92" s="9"/>
      <c r="AE92" s="9"/>
      <c r="AF92" s="9"/>
      <c r="AG92" s="9" t="s">
        <v>20</v>
      </c>
    </row>
    <row r="93" spans="1:33" ht="101.5">
      <c r="A93" s="3" t="s">
        <v>3775</v>
      </c>
      <c r="B93" s="3" t="s">
        <v>9751</v>
      </c>
      <c r="C93" s="3" t="s">
        <v>9752</v>
      </c>
      <c r="G93" s="9" t="s">
        <v>12118</v>
      </c>
      <c r="H93" s="9"/>
      <c r="I93" s="9"/>
      <c r="J93" s="9"/>
      <c r="K93" s="9"/>
      <c r="L93" s="9"/>
      <c r="M93" s="9"/>
      <c r="N93" s="10"/>
      <c r="O93" s="9"/>
      <c r="P93" s="9"/>
      <c r="Q93" s="9">
        <v>10913</v>
      </c>
      <c r="R93" s="9">
        <v>930</v>
      </c>
      <c r="S93" s="9">
        <v>11843</v>
      </c>
      <c r="T93" s="13">
        <f t="shared" si="3"/>
        <v>111.75198269646719</v>
      </c>
      <c r="U93" s="13">
        <f t="shared" si="4"/>
        <v>1423.0954097572699</v>
      </c>
      <c r="V93" s="13">
        <f t="shared" si="5"/>
        <v>1311.3434270608027</v>
      </c>
      <c r="W93" s="9"/>
      <c r="X93" s="9"/>
      <c r="Y93" s="9"/>
      <c r="Z93" s="9"/>
      <c r="AA93" s="9"/>
      <c r="AB93" s="9"/>
      <c r="AC93" s="9"/>
      <c r="AD93" s="9"/>
      <c r="AE93" s="9"/>
      <c r="AF93" s="9"/>
      <c r="AG93" s="9" t="s">
        <v>20</v>
      </c>
    </row>
    <row r="94" spans="1:33" ht="43.5">
      <c r="A94" s="3" t="s">
        <v>3778</v>
      </c>
      <c r="B94" s="3" t="s">
        <v>9762</v>
      </c>
      <c r="C94" s="3" t="s">
        <v>12506</v>
      </c>
      <c r="G94" s="9" t="s">
        <v>12118</v>
      </c>
      <c r="H94" s="9"/>
      <c r="I94" s="9"/>
      <c r="J94" s="9"/>
      <c r="K94" s="9"/>
      <c r="L94" s="9"/>
      <c r="M94" s="9"/>
      <c r="N94" s="10"/>
      <c r="O94" s="9"/>
      <c r="P94" s="9"/>
      <c r="Q94" s="9">
        <v>930</v>
      </c>
      <c r="R94" s="9">
        <v>0</v>
      </c>
      <c r="S94" s="9">
        <v>930</v>
      </c>
      <c r="T94" s="13">
        <f t="shared" si="3"/>
        <v>0</v>
      </c>
      <c r="U94" s="13">
        <f t="shared" si="4"/>
        <v>111.75198269646719</v>
      </c>
      <c r="V94" s="13">
        <f t="shared" si="5"/>
        <v>111.75198269646719</v>
      </c>
      <c r="W94" s="9"/>
      <c r="X94" s="9"/>
      <c r="Y94" s="9"/>
      <c r="Z94" s="9"/>
      <c r="AA94" s="9"/>
      <c r="AB94" s="9"/>
      <c r="AC94" s="9"/>
      <c r="AD94" s="9"/>
      <c r="AE94" s="9"/>
      <c r="AF94" s="9"/>
      <c r="AG94" s="9" t="s">
        <v>20</v>
      </c>
    </row>
    <row r="95" spans="1:33" ht="29">
      <c r="A95" s="3" t="s">
        <v>3797</v>
      </c>
      <c r="B95" s="3" t="s">
        <v>9792</v>
      </c>
      <c r="C95" s="3" t="s">
        <v>9791</v>
      </c>
      <c r="G95" s="9" t="s">
        <v>12118</v>
      </c>
      <c r="H95" s="9"/>
      <c r="I95" s="9"/>
      <c r="J95" s="9"/>
      <c r="K95" s="9"/>
      <c r="L95" s="9"/>
      <c r="M95" s="9"/>
      <c r="N95" s="10"/>
      <c r="O95" s="9"/>
      <c r="P95" s="9"/>
      <c r="Q95" s="9">
        <v>-3710</v>
      </c>
      <c r="R95" s="9">
        <v>5676</v>
      </c>
      <c r="S95" s="9">
        <v>1966</v>
      </c>
      <c r="T95" s="13">
        <f t="shared" si="3"/>
        <v>682.04758471521268</v>
      </c>
      <c r="U95" s="13">
        <f t="shared" si="4"/>
        <v>236.24128815188658</v>
      </c>
      <c r="V95" s="13">
        <f t="shared" si="5"/>
        <v>-445.8062965633261</v>
      </c>
      <c r="W95" s="9"/>
      <c r="X95" s="9"/>
      <c r="Y95" s="9"/>
      <c r="Z95" s="9"/>
      <c r="AA95" s="9"/>
      <c r="AB95" s="9"/>
      <c r="AC95" s="9"/>
      <c r="AD95" s="9"/>
      <c r="AE95" s="9"/>
      <c r="AF95" s="9"/>
      <c r="AG95" s="9" t="s">
        <v>20</v>
      </c>
    </row>
    <row r="96" spans="1:33" ht="43.5">
      <c r="A96" s="3" t="s">
        <v>3851</v>
      </c>
      <c r="B96" s="3" t="s">
        <v>9917</v>
      </c>
      <c r="C96" s="3" t="s">
        <v>9918</v>
      </c>
      <c r="G96" s="9" t="s">
        <v>12118</v>
      </c>
      <c r="H96" s="9"/>
      <c r="I96" s="9"/>
      <c r="J96" s="9"/>
      <c r="K96" s="9"/>
      <c r="L96" s="9"/>
      <c r="M96" s="9"/>
      <c r="N96" s="10"/>
      <c r="O96" s="9"/>
      <c r="P96" s="9"/>
      <c r="Q96" s="9">
        <v>-15</v>
      </c>
      <c r="R96" s="9">
        <v>21</v>
      </c>
      <c r="S96" s="9">
        <v>6</v>
      </c>
      <c r="T96" s="13">
        <f t="shared" si="3"/>
        <v>2.5234318673395819</v>
      </c>
      <c r="U96" s="13">
        <f t="shared" si="4"/>
        <v>0.72098053352559488</v>
      </c>
      <c r="V96" s="13">
        <f t="shared" si="5"/>
        <v>-1.8024513338139871</v>
      </c>
      <c r="W96" s="9"/>
      <c r="X96" s="9"/>
      <c r="Y96" s="9"/>
      <c r="Z96" s="9"/>
      <c r="AA96" s="9"/>
      <c r="AB96" s="9"/>
      <c r="AC96" s="9"/>
      <c r="AD96" s="9"/>
      <c r="AE96" s="9"/>
      <c r="AF96" s="9"/>
      <c r="AG96" s="9" t="s">
        <v>20</v>
      </c>
    </row>
    <row r="97" spans="1:33" ht="58">
      <c r="A97" s="3" t="s">
        <v>3858</v>
      </c>
      <c r="B97" s="3" t="s">
        <v>9943</v>
      </c>
      <c r="C97" s="3" t="s">
        <v>9944</v>
      </c>
      <c r="G97" s="9" t="s">
        <v>12118</v>
      </c>
      <c r="H97" s="9"/>
      <c r="I97" s="9"/>
      <c r="J97" s="9"/>
      <c r="K97" s="9"/>
      <c r="L97" s="9"/>
      <c r="M97" s="9"/>
      <c r="N97" s="10"/>
      <c r="O97" s="9"/>
      <c r="P97" s="9"/>
      <c r="Q97" s="9">
        <v>-245</v>
      </c>
      <c r="R97" s="9">
        <v>1741</v>
      </c>
      <c r="S97" s="9">
        <v>1496</v>
      </c>
      <c r="T97" s="13">
        <f t="shared" si="3"/>
        <v>209.20451814467677</v>
      </c>
      <c r="U97" s="13">
        <f t="shared" si="4"/>
        <v>179.76447969238166</v>
      </c>
      <c r="V97" s="13">
        <f t="shared" si="5"/>
        <v>-29.440038452295113</v>
      </c>
      <c r="W97" s="9"/>
      <c r="X97" s="9"/>
      <c r="Y97" s="9"/>
      <c r="Z97" s="9"/>
      <c r="AA97" s="9"/>
      <c r="AB97" s="9"/>
      <c r="AC97" s="9"/>
      <c r="AD97" s="9"/>
      <c r="AE97" s="9"/>
      <c r="AF97" s="9"/>
      <c r="AG97" s="9" t="s">
        <v>20</v>
      </c>
    </row>
    <row r="98" spans="1:33" ht="72.5">
      <c r="A98" s="3" t="s">
        <v>3885</v>
      </c>
      <c r="B98" s="3" t="s">
        <v>10011</v>
      </c>
      <c r="C98" s="3" t="s">
        <v>10012</v>
      </c>
      <c r="G98" s="9" t="s">
        <v>12118</v>
      </c>
      <c r="H98" s="9"/>
      <c r="I98" s="9"/>
      <c r="J98" s="9"/>
      <c r="K98" s="9"/>
      <c r="L98" s="9"/>
      <c r="M98" s="9"/>
      <c r="N98" s="10"/>
      <c r="O98" s="9"/>
      <c r="P98" s="9"/>
      <c r="Q98" s="9">
        <v>0</v>
      </c>
      <c r="R98" s="9">
        <v>12</v>
      </c>
      <c r="S98" s="9">
        <v>12</v>
      </c>
      <c r="T98" s="13">
        <f t="shared" si="3"/>
        <v>1.4419610670511898</v>
      </c>
      <c r="U98" s="13">
        <f t="shared" si="4"/>
        <v>1.4419610670511898</v>
      </c>
      <c r="V98" s="13">
        <f t="shared" si="5"/>
        <v>0</v>
      </c>
      <c r="W98" s="9"/>
      <c r="X98" s="9"/>
      <c r="Y98" s="9"/>
      <c r="Z98" s="9"/>
      <c r="AA98" s="9"/>
      <c r="AB98" s="9"/>
      <c r="AC98" s="9"/>
      <c r="AD98" s="9"/>
      <c r="AE98" s="9"/>
      <c r="AF98" s="9"/>
      <c r="AG98" s="9" t="s">
        <v>20</v>
      </c>
    </row>
    <row r="99" spans="1:33" ht="29">
      <c r="A99" s="3" t="s">
        <v>3906</v>
      </c>
      <c r="B99" s="3" t="s">
        <v>12936</v>
      </c>
      <c r="C99" s="3" t="s">
        <v>10060</v>
      </c>
      <c r="G99" s="9" t="s">
        <v>12118</v>
      </c>
      <c r="H99" s="9"/>
      <c r="I99" s="9"/>
      <c r="J99" s="9"/>
      <c r="K99" s="9"/>
      <c r="L99" s="9"/>
      <c r="M99" s="9"/>
      <c r="N99" s="10"/>
      <c r="O99" s="9"/>
      <c r="P99" s="9"/>
      <c r="Q99" s="9">
        <v>-245</v>
      </c>
      <c r="R99" s="9">
        <v>1741</v>
      </c>
      <c r="S99" s="9">
        <v>1496</v>
      </c>
      <c r="T99" s="13">
        <f t="shared" si="3"/>
        <v>209.20451814467677</v>
      </c>
      <c r="U99" s="13">
        <f t="shared" si="4"/>
        <v>179.76447969238166</v>
      </c>
      <c r="V99" s="13">
        <f t="shared" si="5"/>
        <v>-29.440038452295113</v>
      </c>
      <c r="W99" s="9"/>
      <c r="X99" s="9"/>
      <c r="Y99" s="9"/>
      <c r="Z99" s="9"/>
      <c r="AA99" s="9"/>
      <c r="AB99" s="9"/>
      <c r="AC99" s="9"/>
      <c r="AD99" s="9"/>
      <c r="AE99" s="9"/>
      <c r="AF99" s="9"/>
      <c r="AG99" s="9" t="s">
        <v>20</v>
      </c>
    </row>
    <row r="100" spans="1:33" ht="58">
      <c r="A100" s="3" t="s">
        <v>3943</v>
      </c>
      <c r="B100" s="3" t="s">
        <v>10131</v>
      </c>
      <c r="C100" s="3" t="s">
        <v>10132</v>
      </c>
      <c r="G100" s="9" t="s">
        <v>12118</v>
      </c>
      <c r="H100" s="9"/>
      <c r="I100" s="9"/>
      <c r="J100" s="9"/>
      <c r="K100" s="9"/>
      <c r="L100" s="9"/>
      <c r="M100" s="9"/>
      <c r="N100" s="10"/>
      <c r="O100" s="9"/>
      <c r="P100" s="9"/>
      <c r="Q100" s="9">
        <v>-34</v>
      </c>
      <c r="R100" s="9">
        <v>74</v>
      </c>
      <c r="S100" s="9">
        <v>40</v>
      </c>
      <c r="T100" s="13">
        <f t="shared" si="3"/>
        <v>8.8920932468156693</v>
      </c>
      <c r="U100" s="13">
        <f t="shared" si="4"/>
        <v>4.8065368901706318</v>
      </c>
      <c r="V100" s="13">
        <f t="shared" si="5"/>
        <v>-4.0855563566450375</v>
      </c>
      <c r="W100" s="9"/>
      <c r="X100" s="9"/>
      <c r="Y100" s="9"/>
      <c r="Z100" s="9"/>
      <c r="AA100" s="9"/>
      <c r="AB100" s="9"/>
      <c r="AC100" s="9"/>
      <c r="AD100" s="9"/>
      <c r="AE100" s="9"/>
      <c r="AF100" s="9"/>
      <c r="AG100" s="9" t="s">
        <v>20</v>
      </c>
    </row>
    <row r="101" spans="1:33" ht="58">
      <c r="A101" s="3" t="s">
        <v>3996</v>
      </c>
      <c r="B101" s="3" t="s">
        <v>12523</v>
      </c>
      <c r="C101" s="3" t="s">
        <v>10212</v>
      </c>
      <c r="G101" s="9" t="s">
        <v>12118</v>
      </c>
      <c r="H101" s="9"/>
      <c r="I101" s="9"/>
      <c r="J101" s="9"/>
      <c r="K101" s="9"/>
      <c r="L101" s="9"/>
      <c r="M101" s="9"/>
      <c r="N101" s="10"/>
      <c r="O101" s="9"/>
      <c r="P101" s="9"/>
      <c r="Q101" s="9">
        <v>-24</v>
      </c>
      <c r="R101" s="9">
        <v>24</v>
      </c>
      <c r="S101" s="9">
        <v>0</v>
      </c>
      <c r="T101" s="13">
        <f t="shared" si="3"/>
        <v>2.8839221341023795</v>
      </c>
      <c r="U101" s="13">
        <f t="shared" si="4"/>
        <v>0</v>
      </c>
      <c r="V101" s="13">
        <f t="shared" si="5"/>
        <v>-2.8839221341023795</v>
      </c>
      <c r="W101" s="9"/>
      <c r="X101" s="9"/>
      <c r="Y101" s="9"/>
      <c r="Z101" s="9"/>
      <c r="AA101" s="9"/>
      <c r="AB101" s="9"/>
      <c r="AC101" s="9"/>
      <c r="AD101" s="9"/>
      <c r="AE101" s="9"/>
      <c r="AF101" s="9"/>
      <c r="AG101" s="9" t="s">
        <v>20</v>
      </c>
    </row>
    <row r="102" spans="1:33" ht="29">
      <c r="A102" s="3" t="s">
        <v>4043</v>
      </c>
      <c r="B102" s="3" t="s">
        <v>10332</v>
      </c>
      <c r="C102" s="3" t="s">
        <v>10333</v>
      </c>
      <c r="G102" s="9" t="s">
        <v>12118</v>
      </c>
      <c r="H102" s="9"/>
      <c r="I102" s="9"/>
      <c r="J102" s="9"/>
      <c r="K102" s="9"/>
      <c r="L102" s="9"/>
      <c r="M102" s="9"/>
      <c r="N102" s="10"/>
      <c r="O102" s="9"/>
      <c r="P102" s="9"/>
      <c r="Q102" s="9">
        <v>11063</v>
      </c>
      <c r="R102" s="9">
        <v>780</v>
      </c>
      <c r="S102" s="9">
        <v>11843</v>
      </c>
      <c r="T102" s="13">
        <f t="shared" si="3"/>
        <v>93.727469358327326</v>
      </c>
      <c r="U102" s="13">
        <f t="shared" si="4"/>
        <v>1423.0954097572699</v>
      </c>
      <c r="V102" s="13">
        <f t="shared" si="5"/>
        <v>1329.3679403989424</v>
      </c>
      <c r="W102" s="9"/>
      <c r="X102" s="9"/>
      <c r="Y102" s="9"/>
      <c r="Z102" s="9"/>
      <c r="AA102" s="9"/>
      <c r="AB102" s="9"/>
      <c r="AC102" s="9"/>
      <c r="AD102" s="9"/>
      <c r="AE102" s="9"/>
      <c r="AF102" s="9"/>
      <c r="AG102" s="9" t="s">
        <v>20</v>
      </c>
    </row>
    <row r="103" spans="1:33" ht="29">
      <c r="A103" s="3" t="s">
        <v>4046</v>
      </c>
      <c r="B103" s="3" t="s">
        <v>10347</v>
      </c>
      <c r="C103" s="3" t="s">
        <v>10348</v>
      </c>
      <c r="G103" s="9" t="s">
        <v>12118</v>
      </c>
      <c r="H103" s="9"/>
      <c r="I103" s="9"/>
      <c r="J103" s="9"/>
      <c r="K103" s="9"/>
      <c r="L103" s="9"/>
      <c r="M103" s="9"/>
      <c r="N103" s="10"/>
      <c r="O103" s="9"/>
      <c r="P103" s="9"/>
      <c r="Q103" s="9">
        <v>245</v>
      </c>
      <c r="R103" s="9">
        <v>1496</v>
      </c>
      <c r="S103" s="9">
        <v>1741</v>
      </c>
      <c r="T103" s="13">
        <f t="shared" si="3"/>
        <v>179.76447969238166</v>
      </c>
      <c r="U103" s="13">
        <f t="shared" si="4"/>
        <v>209.20451814467677</v>
      </c>
      <c r="V103" s="13">
        <f t="shared" si="5"/>
        <v>29.440038452295113</v>
      </c>
      <c r="W103" s="9"/>
      <c r="X103" s="9"/>
      <c r="Y103" s="9"/>
      <c r="Z103" s="9"/>
      <c r="AA103" s="9"/>
      <c r="AB103" s="9"/>
      <c r="AC103" s="9"/>
      <c r="AD103" s="9"/>
      <c r="AE103" s="9"/>
      <c r="AF103" s="9"/>
      <c r="AG103" s="9" t="s">
        <v>20</v>
      </c>
    </row>
    <row r="104" spans="1:33" ht="58">
      <c r="A104" s="3" t="s">
        <v>4071</v>
      </c>
      <c r="B104" s="3" t="s">
        <v>10405</v>
      </c>
      <c r="C104" s="3" t="s">
        <v>10406</v>
      </c>
      <c r="G104" s="9" t="s">
        <v>12118</v>
      </c>
      <c r="H104" s="9"/>
      <c r="I104" s="9"/>
      <c r="J104" s="9"/>
      <c r="K104" s="9"/>
      <c r="L104" s="9"/>
      <c r="M104" s="9"/>
      <c r="N104" s="10"/>
      <c r="O104" s="9"/>
      <c r="P104" s="9"/>
      <c r="Q104" s="9">
        <v>149</v>
      </c>
      <c r="R104" s="9">
        <v>7</v>
      </c>
      <c r="S104" s="9">
        <v>156</v>
      </c>
      <c r="T104" s="13">
        <f t="shared" si="3"/>
        <v>0.84114395577986056</v>
      </c>
      <c r="U104" s="13">
        <f t="shared" si="4"/>
        <v>18.745493871665467</v>
      </c>
      <c r="V104" s="13">
        <f t="shared" si="5"/>
        <v>17.904349915885607</v>
      </c>
      <c r="W104" s="9"/>
      <c r="X104" s="9"/>
      <c r="Y104" s="9"/>
      <c r="Z104" s="9"/>
      <c r="AA104" s="9"/>
      <c r="AB104" s="9"/>
      <c r="AC104" s="9"/>
      <c r="AD104" s="9"/>
      <c r="AE104" s="9"/>
      <c r="AF104" s="9"/>
      <c r="AG104" s="9" t="s">
        <v>20</v>
      </c>
    </row>
    <row r="105" spans="1:33" ht="72.5">
      <c r="A105" s="3" t="s">
        <v>4113</v>
      </c>
      <c r="B105" s="3" t="s">
        <v>10529</v>
      </c>
      <c r="C105" s="3" t="s">
        <v>10530</v>
      </c>
      <c r="G105" s="9" t="s">
        <v>12118</v>
      </c>
      <c r="H105" s="9"/>
      <c r="I105" s="9"/>
      <c r="J105" s="9"/>
      <c r="K105" s="9"/>
      <c r="L105" s="9"/>
      <c r="M105" s="9"/>
      <c r="N105" s="10"/>
      <c r="O105" s="9"/>
      <c r="P105" s="9"/>
      <c r="Q105" s="9">
        <v>-186</v>
      </c>
      <c r="R105" s="9">
        <v>207</v>
      </c>
      <c r="S105" s="9">
        <v>21</v>
      </c>
      <c r="T105" s="13">
        <f t="shared" si="3"/>
        <v>24.873828406633024</v>
      </c>
      <c r="U105" s="13">
        <f t="shared" si="4"/>
        <v>2.5234318673395819</v>
      </c>
      <c r="V105" s="13">
        <f t="shared" si="5"/>
        <v>-22.350396539293442</v>
      </c>
      <c r="W105" s="9"/>
      <c r="X105" s="9"/>
      <c r="Y105" s="9"/>
      <c r="Z105" s="9"/>
      <c r="AA105" s="9"/>
      <c r="AB105" s="9"/>
      <c r="AC105" s="9"/>
      <c r="AD105" s="9"/>
      <c r="AE105" s="9"/>
      <c r="AF105" s="9"/>
      <c r="AG105" s="9" t="s">
        <v>20</v>
      </c>
    </row>
    <row r="106" spans="1:33" ht="174">
      <c r="A106" s="3" t="s">
        <v>4129</v>
      </c>
      <c r="B106" s="3" t="s">
        <v>10560</v>
      </c>
      <c r="C106" s="3" t="s">
        <v>10561</v>
      </c>
      <c r="G106" s="9" t="s">
        <v>12118</v>
      </c>
      <c r="H106" s="9"/>
      <c r="I106" s="9"/>
      <c r="J106" s="9"/>
      <c r="K106" s="9"/>
      <c r="L106" s="9"/>
      <c r="M106" s="9"/>
      <c r="N106" s="10"/>
      <c r="O106" s="9"/>
      <c r="P106" s="9"/>
      <c r="Q106" s="9">
        <v>-63</v>
      </c>
      <c r="R106" s="9">
        <v>65</v>
      </c>
      <c r="S106" s="9">
        <v>2</v>
      </c>
      <c r="T106" s="13">
        <f t="shared" si="3"/>
        <v>7.8106224465272769</v>
      </c>
      <c r="U106" s="13">
        <f t="shared" si="4"/>
        <v>0.24032684450853162</v>
      </c>
      <c r="V106" s="13">
        <f t="shared" si="5"/>
        <v>-7.5702956020187449</v>
      </c>
      <c r="W106" s="9"/>
      <c r="X106" s="9"/>
      <c r="Y106" s="9"/>
      <c r="Z106" s="9"/>
      <c r="AA106" s="9"/>
      <c r="AB106" s="9"/>
      <c r="AC106" s="9"/>
      <c r="AD106" s="9"/>
      <c r="AE106" s="9"/>
      <c r="AF106" s="9"/>
      <c r="AG106" s="9" t="s">
        <v>20</v>
      </c>
    </row>
    <row r="107" spans="1:33" ht="58">
      <c r="A107" s="3" t="s">
        <v>4162</v>
      </c>
      <c r="B107" s="3" t="s">
        <v>10632</v>
      </c>
      <c r="C107" s="3" t="s">
        <v>10633</v>
      </c>
      <c r="G107" s="9" t="s">
        <v>12118</v>
      </c>
      <c r="H107" s="9"/>
      <c r="I107" s="9"/>
      <c r="J107" s="9"/>
      <c r="K107" s="9"/>
      <c r="L107" s="9"/>
      <c r="M107" s="9"/>
      <c r="N107" s="10"/>
      <c r="O107" s="9"/>
      <c r="P107" s="9"/>
      <c r="Q107" s="9">
        <v>103</v>
      </c>
      <c r="R107" s="9">
        <v>207</v>
      </c>
      <c r="S107" s="9">
        <v>310</v>
      </c>
      <c r="T107" s="13">
        <f t="shared" si="3"/>
        <v>24.873828406633024</v>
      </c>
      <c r="U107" s="13">
        <f t="shared" si="4"/>
        <v>37.250660898822396</v>
      </c>
      <c r="V107" s="13">
        <f t="shared" si="5"/>
        <v>12.376832492189372</v>
      </c>
      <c r="W107" s="9"/>
      <c r="X107" s="9"/>
      <c r="Y107" s="9"/>
      <c r="Z107" s="9"/>
      <c r="AA107" s="9"/>
      <c r="AB107" s="9"/>
      <c r="AC107" s="9"/>
      <c r="AD107" s="9"/>
      <c r="AE107" s="9"/>
      <c r="AF107" s="9"/>
      <c r="AG107" s="9" t="s">
        <v>20</v>
      </c>
    </row>
    <row r="108" spans="1:33" ht="29">
      <c r="A108" s="3" t="s">
        <v>4189</v>
      </c>
      <c r="B108" s="3" t="s">
        <v>10747</v>
      </c>
      <c r="C108" s="3" t="s">
        <v>10746</v>
      </c>
      <c r="G108" s="9" t="s">
        <v>12118</v>
      </c>
      <c r="H108" s="9"/>
      <c r="I108" s="9"/>
      <c r="J108" s="9"/>
      <c r="K108" s="9"/>
      <c r="L108" s="9"/>
      <c r="M108" s="9"/>
      <c r="N108" s="10"/>
      <c r="O108" s="9"/>
      <c r="P108" s="9"/>
      <c r="Q108" s="9">
        <v>245</v>
      </c>
      <c r="R108" s="9">
        <v>1496</v>
      </c>
      <c r="S108" s="9">
        <v>1741</v>
      </c>
      <c r="T108" s="13">
        <f t="shared" si="3"/>
        <v>179.76447969238166</v>
      </c>
      <c r="U108" s="13">
        <f t="shared" si="4"/>
        <v>209.20451814467677</v>
      </c>
      <c r="V108" s="13">
        <f t="shared" si="5"/>
        <v>29.440038452295113</v>
      </c>
      <c r="W108" s="9"/>
      <c r="X108" s="9"/>
      <c r="Y108" s="9"/>
      <c r="Z108" s="9"/>
      <c r="AA108" s="9"/>
      <c r="AB108" s="9"/>
      <c r="AC108" s="9"/>
      <c r="AD108" s="9"/>
      <c r="AE108" s="9"/>
      <c r="AF108" s="9"/>
      <c r="AG108" s="9" t="s">
        <v>20</v>
      </c>
    </row>
    <row r="109" spans="1:33" ht="29">
      <c r="A109" s="3" t="s">
        <v>4217</v>
      </c>
      <c r="B109" s="3" t="s">
        <v>4218</v>
      </c>
      <c r="C109" s="3" t="s">
        <v>4219</v>
      </c>
      <c r="G109" s="9" t="s">
        <v>12118</v>
      </c>
      <c r="H109" s="9"/>
      <c r="I109" s="9"/>
      <c r="J109" s="9"/>
      <c r="K109" s="9"/>
      <c r="L109" s="9"/>
      <c r="M109" s="9"/>
      <c r="N109" s="10"/>
      <c r="O109" s="9"/>
      <c r="P109" s="9"/>
      <c r="Q109" s="9">
        <v>16</v>
      </c>
      <c r="R109" s="9">
        <v>0</v>
      </c>
      <c r="S109" s="9">
        <v>16</v>
      </c>
      <c r="T109" s="13">
        <f t="shared" si="3"/>
        <v>0</v>
      </c>
      <c r="U109" s="13">
        <f t="shared" si="4"/>
        <v>1.9226147560682529</v>
      </c>
      <c r="V109" s="13">
        <f t="shared" si="5"/>
        <v>1.9226147560682529</v>
      </c>
      <c r="W109" s="9"/>
      <c r="X109" s="9"/>
      <c r="Y109" s="9"/>
      <c r="Z109" s="9"/>
      <c r="AA109" s="9"/>
      <c r="AB109" s="9"/>
      <c r="AC109" s="9"/>
      <c r="AD109" s="9"/>
      <c r="AE109" s="9"/>
      <c r="AF109" s="9"/>
      <c r="AG109" s="9" t="s">
        <v>20</v>
      </c>
    </row>
    <row r="110" spans="1:33" ht="43.5">
      <c r="A110" s="3" t="s">
        <v>4223</v>
      </c>
      <c r="B110" s="3" t="s">
        <v>10802</v>
      </c>
      <c r="C110" s="3" t="s">
        <v>10803</v>
      </c>
      <c r="G110" s="9" t="s">
        <v>12118</v>
      </c>
      <c r="H110" s="9"/>
      <c r="I110" s="9"/>
      <c r="J110" s="9"/>
      <c r="K110" s="9"/>
      <c r="L110" s="9"/>
      <c r="M110" s="9"/>
      <c r="N110" s="10"/>
      <c r="O110" s="9"/>
      <c r="P110" s="9"/>
      <c r="Q110" s="9">
        <v>-21</v>
      </c>
      <c r="R110" s="9">
        <v>186</v>
      </c>
      <c r="S110" s="9">
        <v>165</v>
      </c>
      <c r="T110" s="13">
        <f t="shared" si="3"/>
        <v>22.350396539293438</v>
      </c>
      <c r="U110" s="13">
        <f t="shared" si="4"/>
        <v>19.826964671953856</v>
      </c>
      <c r="V110" s="13">
        <f t="shared" si="5"/>
        <v>-2.5234318673395819</v>
      </c>
      <c r="W110" s="9"/>
      <c r="X110" s="9"/>
      <c r="Y110" s="9"/>
      <c r="Z110" s="9"/>
      <c r="AA110" s="9"/>
      <c r="AB110" s="9"/>
      <c r="AC110" s="9"/>
      <c r="AD110" s="9"/>
      <c r="AE110" s="9"/>
      <c r="AF110" s="9"/>
      <c r="AG110" s="9" t="s">
        <v>20</v>
      </c>
    </row>
    <row r="111" spans="1:33" ht="43.5">
      <c r="A111" s="3" t="s">
        <v>4233</v>
      </c>
      <c r="B111" s="3" t="s">
        <v>10815</v>
      </c>
      <c r="C111" s="3" t="s">
        <v>10816</v>
      </c>
      <c r="G111" s="9" t="s">
        <v>12118</v>
      </c>
      <c r="H111" s="9"/>
      <c r="I111" s="9"/>
      <c r="J111" s="9"/>
      <c r="K111" s="9"/>
      <c r="L111" s="9"/>
      <c r="M111" s="9"/>
      <c r="N111" s="10"/>
      <c r="O111" s="9"/>
      <c r="P111" s="9"/>
      <c r="Q111" s="9">
        <v>541</v>
      </c>
      <c r="R111" s="9">
        <v>560</v>
      </c>
      <c r="S111" s="9">
        <v>1101</v>
      </c>
      <c r="T111" s="13">
        <f t="shared" si="3"/>
        <v>67.291516462388842</v>
      </c>
      <c r="U111" s="13">
        <f t="shared" si="4"/>
        <v>132.29992790194663</v>
      </c>
      <c r="V111" s="13">
        <f t="shared" si="5"/>
        <v>65.00841143955779</v>
      </c>
      <c r="W111" s="9"/>
      <c r="X111" s="9"/>
      <c r="Y111" s="9"/>
      <c r="Z111" s="9"/>
      <c r="AA111" s="9"/>
      <c r="AB111" s="9"/>
      <c r="AC111" s="9"/>
      <c r="AD111" s="9"/>
      <c r="AE111" s="9"/>
      <c r="AF111" s="9"/>
      <c r="AG111" s="9" t="s">
        <v>20</v>
      </c>
    </row>
    <row r="112" spans="1:33" ht="43.5">
      <c r="A112" s="3" t="s">
        <v>4262</v>
      </c>
      <c r="B112" s="3" t="s">
        <v>10861</v>
      </c>
      <c r="C112" s="3" t="s">
        <v>10860</v>
      </c>
      <c r="G112" s="9" t="s">
        <v>12118</v>
      </c>
      <c r="H112" s="9"/>
      <c r="I112" s="9"/>
      <c r="J112" s="9"/>
      <c r="K112" s="9"/>
      <c r="L112" s="9"/>
      <c r="M112" s="9"/>
      <c r="N112" s="10"/>
      <c r="O112" s="9"/>
      <c r="P112" s="9"/>
      <c r="Q112" s="9">
        <v>-7603</v>
      </c>
      <c r="R112" s="9">
        <v>11843</v>
      </c>
      <c r="S112" s="9">
        <v>4240</v>
      </c>
      <c r="T112" s="13">
        <f t="shared" si="3"/>
        <v>1423.0954097572699</v>
      </c>
      <c r="U112" s="13">
        <f t="shared" si="4"/>
        <v>509.49291035808699</v>
      </c>
      <c r="V112" s="13">
        <f t="shared" si="5"/>
        <v>-913.60249939918288</v>
      </c>
      <c r="W112" s="9"/>
      <c r="X112" s="9"/>
      <c r="Y112" s="9"/>
      <c r="Z112" s="9"/>
      <c r="AA112" s="9"/>
      <c r="AB112" s="9"/>
      <c r="AC112" s="9"/>
      <c r="AD112" s="9"/>
      <c r="AE112" s="9"/>
      <c r="AF112" s="9"/>
      <c r="AG112" s="9" t="s">
        <v>20</v>
      </c>
    </row>
    <row r="113" spans="1:33" ht="58">
      <c r="A113" s="3" t="s">
        <v>4267</v>
      </c>
      <c r="B113" s="3" t="s">
        <v>10880</v>
      </c>
      <c r="C113" s="3" t="s">
        <v>10881</v>
      </c>
      <c r="G113" s="9" t="s">
        <v>12118</v>
      </c>
      <c r="H113" s="9"/>
      <c r="I113" s="9"/>
      <c r="J113" s="9"/>
      <c r="K113" s="9"/>
      <c r="L113" s="9"/>
      <c r="M113" s="9"/>
      <c r="N113" s="10"/>
      <c r="O113" s="9"/>
      <c r="P113" s="9"/>
      <c r="Q113" s="9">
        <v>113</v>
      </c>
      <c r="R113" s="9">
        <v>15</v>
      </c>
      <c r="S113" s="9">
        <v>128</v>
      </c>
      <c r="T113" s="13">
        <f t="shared" si="3"/>
        <v>1.8024513338139869</v>
      </c>
      <c r="U113" s="13">
        <f t="shared" si="4"/>
        <v>15.380918048546024</v>
      </c>
      <c r="V113" s="13">
        <f t="shared" si="5"/>
        <v>13.578466714732036</v>
      </c>
      <c r="W113" s="9"/>
      <c r="X113" s="9"/>
      <c r="Y113" s="9"/>
      <c r="Z113" s="9"/>
      <c r="AA113" s="9"/>
      <c r="AB113" s="9"/>
      <c r="AC113" s="9"/>
      <c r="AD113" s="9"/>
      <c r="AE113" s="9"/>
      <c r="AF113" s="9"/>
      <c r="AG113" s="9" t="s">
        <v>20</v>
      </c>
    </row>
    <row r="114" spans="1:33" ht="29">
      <c r="A114" s="3" t="s">
        <v>4278</v>
      </c>
      <c r="B114" s="3" t="s">
        <v>10912</v>
      </c>
      <c r="C114" s="3" t="s">
        <v>10913</v>
      </c>
      <c r="G114" s="9" t="s">
        <v>12118</v>
      </c>
      <c r="H114" s="9"/>
      <c r="I114" s="9"/>
      <c r="J114" s="9"/>
      <c r="K114" s="9"/>
      <c r="L114" s="9"/>
      <c r="M114" s="9"/>
      <c r="N114" s="10"/>
      <c r="O114" s="9"/>
      <c r="P114" s="9"/>
      <c r="Q114" s="9">
        <v>-4</v>
      </c>
      <c r="R114" s="9">
        <v>6</v>
      </c>
      <c r="S114" s="9">
        <v>2</v>
      </c>
      <c r="T114" s="13">
        <f t="shared" si="3"/>
        <v>0.72098053352559488</v>
      </c>
      <c r="U114" s="13">
        <f t="shared" si="4"/>
        <v>0.24032684450853162</v>
      </c>
      <c r="V114" s="13">
        <f t="shared" si="5"/>
        <v>-0.48065368901706329</v>
      </c>
      <c r="W114" s="9"/>
      <c r="X114" s="9"/>
      <c r="Y114" s="9"/>
      <c r="Z114" s="9"/>
      <c r="AA114" s="9"/>
      <c r="AB114" s="9"/>
      <c r="AC114" s="9"/>
      <c r="AD114" s="9"/>
      <c r="AE114" s="9"/>
      <c r="AF114" s="9"/>
      <c r="AG114" s="9" t="s">
        <v>20</v>
      </c>
    </row>
    <row r="115" spans="1:33" ht="130.5">
      <c r="A115" s="3" t="s">
        <v>4292</v>
      </c>
      <c r="B115" s="3" t="s">
        <v>10934</v>
      </c>
      <c r="C115" s="3" t="s">
        <v>13069</v>
      </c>
      <c r="G115" s="9" t="s">
        <v>12121</v>
      </c>
      <c r="H115" s="9"/>
      <c r="I115" s="9"/>
      <c r="J115" s="9"/>
      <c r="K115" s="9"/>
      <c r="L115" s="9"/>
      <c r="M115" s="9"/>
      <c r="N115" s="10"/>
      <c r="O115" s="9"/>
      <c r="P115" s="9"/>
      <c r="Q115" s="9">
        <v>5204</v>
      </c>
      <c r="R115" s="9">
        <v>472</v>
      </c>
      <c r="S115" s="9">
        <v>5676</v>
      </c>
      <c r="T115" s="13">
        <f t="shared" si="3"/>
        <v>56.71713530401346</v>
      </c>
      <c r="U115" s="13">
        <f t="shared" si="4"/>
        <v>682.04758471521268</v>
      </c>
      <c r="V115" s="13">
        <f t="shared" si="5"/>
        <v>625.3304494111992</v>
      </c>
      <c r="W115" s="9"/>
      <c r="X115" s="9"/>
      <c r="Y115" s="9"/>
      <c r="Z115" s="9"/>
      <c r="AA115" s="9"/>
      <c r="AB115" s="9"/>
      <c r="AC115" s="9"/>
      <c r="AD115" s="9"/>
      <c r="AE115" s="9"/>
      <c r="AF115" s="9"/>
      <c r="AG115" s="9" t="s">
        <v>20</v>
      </c>
    </row>
    <row r="116" spans="1:33" ht="29">
      <c r="A116" s="3" t="s">
        <v>4319</v>
      </c>
      <c r="B116" s="3" t="s">
        <v>10995</v>
      </c>
      <c r="C116" s="3" t="s">
        <v>10996</v>
      </c>
      <c r="G116" s="9" t="s">
        <v>12118</v>
      </c>
      <c r="H116" s="9"/>
      <c r="I116" s="9"/>
      <c r="J116" s="9"/>
      <c r="K116" s="9"/>
      <c r="L116" s="9"/>
      <c r="M116" s="9"/>
      <c r="N116" s="10"/>
      <c r="O116" s="9"/>
      <c r="P116" s="9"/>
      <c r="Q116" s="9">
        <v>-15</v>
      </c>
      <c r="R116" s="9">
        <v>21</v>
      </c>
      <c r="S116" s="9">
        <v>6</v>
      </c>
      <c r="T116" s="13">
        <f t="shared" si="3"/>
        <v>2.5234318673395819</v>
      </c>
      <c r="U116" s="13">
        <f t="shared" si="4"/>
        <v>0.72098053352559488</v>
      </c>
      <c r="V116" s="13">
        <f t="shared" si="5"/>
        <v>-1.8024513338139871</v>
      </c>
      <c r="W116" s="9"/>
      <c r="X116" s="9"/>
      <c r="Y116" s="9"/>
      <c r="Z116" s="9"/>
      <c r="AA116" s="9"/>
      <c r="AB116" s="9"/>
      <c r="AC116" s="9"/>
      <c r="AD116" s="9"/>
      <c r="AE116" s="9"/>
      <c r="AF116" s="9"/>
      <c r="AG116" s="9" t="s">
        <v>20</v>
      </c>
    </row>
    <row r="117" spans="1:33" ht="29">
      <c r="A117" s="3" t="s">
        <v>4372</v>
      </c>
      <c r="B117" s="3" t="s">
        <v>3892</v>
      </c>
      <c r="C117" s="3" t="s">
        <v>3893</v>
      </c>
      <c r="G117" s="9" t="s">
        <v>12118</v>
      </c>
      <c r="H117" s="9"/>
      <c r="I117" s="9"/>
      <c r="J117" s="9"/>
      <c r="K117" s="9"/>
      <c r="L117" s="9"/>
      <c r="M117" s="9"/>
      <c r="N117" s="10"/>
      <c r="O117" s="9"/>
      <c r="P117" s="9"/>
      <c r="Q117" s="9">
        <v>7</v>
      </c>
      <c r="R117" s="9">
        <v>0</v>
      </c>
      <c r="S117" s="9">
        <v>7</v>
      </c>
      <c r="T117" s="13">
        <f t="shared" si="3"/>
        <v>0</v>
      </c>
      <c r="U117" s="13">
        <f t="shared" si="4"/>
        <v>0.84114395577986056</v>
      </c>
      <c r="V117" s="13">
        <f t="shared" si="5"/>
        <v>0.84114395577986056</v>
      </c>
      <c r="W117" s="9"/>
      <c r="X117" s="9"/>
      <c r="Y117" s="9"/>
      <c r="Z117" s="9"/>
      <c r="AA117" s="9"/>
      <c r="AB117" s="9"/>
      <c r="AC117" s="9"/>
      <c r="AD117" s="9"/>
      <c r="AE117" s="9"/>
      <c r="AF117" s="9"/>
      <c r="AG117" s="9" t="s">
        <v>20</v>
      </c>
    </row>
    <row r="118" spans="1:33" ht="43.5">
      <c r="A118" s="3" t="s">
        <v>4387</v>
      </c>
      <c r="B118" s="3" t="s">
        <v>11181</v>
      </c>
      <c r="C118" s="3" t="s">
        <v>11182</v>
      </c>
      <c r="G118" s="9" t="s">
        <v>12118</v>
      </c>
      <c r="H118" s="9"/>
      <c r="I118" s="9"/>
      <c r="J118" s="9"/>
      <c r="K118" s="9"/>
      <c r="L118" s="9"/>
      <c r="M118" s="9"/>
      <c r="N118" s="10"/>
      <c r="O118" s="9"/>
      <c r="P118" s="9"/>
      <c r="Q118" s="9">
        <v>-111</v>
      </c>
      <c r="R118" s="9">
        <v>472</v>
      </c>
      <c r="S118" s="9">
        <v>361</v>
      </c>
      <c r="T118" s="13">
        <f t="shared" si="3"/>
        <v>56.71713530401346</v>
      </c>
      <c r="U118" s="13">
        <f t="shared" si="4"/>
        <v>43.378995433789953</v>
      </c>
      <c r="V118" s="13">
        <f t="shared" si="5"/>
        <v>-13.338139870223507</v>
      </c>
      <c r="W118" s="9"/>
      <c r="X118" s="9"/>
      <c r="Y118" s="9"/>
      <c r="Z118" s="9"/>
      <c r="AA118" s="9"/>
      <c r="AB118" s="9"/>
      <c r="AC118" s="9"/>
      <c r="AD118" s="9"/>
      <c r="AE118" s="9"/>
      <c r="AF118" s="9"/>
      <c r="AG118" s="9" t="s">
        <v>20</v>
      </c>
    </row>
    <row r="119" spans="1:33" ht="29">
      <c r="A119" s="3" t="s">
        <v>4461</v>
      </c>
      <c r="B119" s="3" t="s">
        <v>4463</v>
      </c>
      <c r="C119" s="3" t="s">
        <v>4464</v>
      </c>
      <c r="G119" s="9" t="s">
        <v>12118</v>
      </c>
      <c r="H119" s="9"/>
      <c r="I119" s="9"/>
      <c r="J119" s="9"/>
      <c r="K119" s="9"/>
      <c r="L119" s="9"/>
      <c r="M119" s="9"/>
      <c r="N119" s="10"/>
      <c r="O119" s="9"/>
      <c r="P119" s="9"/>
      <c r="Q119" s="9">
        <v>-36</v>
      </c>
      <c r="R119" s="9">
        <v>37</v>
      </c>
      <c r="S119" s="9">
        <v>1</v>
      </c>
      <c r="T119" s="13">
        <f t="shared" si="3"/>
        <v>4.4460466234078346</v>
      </c>
      <c r="U119" s="13">
        <f t="shared" si="4"/>
        <v>0.12016342225426581</v>
      </c>
      <c r="V119" s="13">
        <f t="shared" si="5"/>
        <v>-4.3258832011535686</v>
      </c>
      <c r="W119" s="9"/>
      <c r="X119" s="9"/>
      <c r="Y119" s="9"/>
      <c r="Z119" s="9"/>
      <c r="AA119" s="9"/>
      <c r="AB119" s="9"/>
      <c r="AC119" s="9"/>
      <c r="AD119" s="9"/>
      <c r="AE119" s="9"/>
      <c r="AF119" s="9"/>
      <c r="AG119" s="9" t="s">
        <v>20</v>
      </c>
    </row>
    <row r="120" spans="1:33" ht="43.5">
      <c r="A120" s="3" t="s">
        <v>4497</v>
      </c>
      <c r="B120" s="3" t="s">
        <v>11398</v>
      </c>
      <c r="C120" s="3" t="s">
        <v>11399</v>
      </c>
      <c r="G120" s="9" t="s">
        <v>12118</v>
      </c>
      <c r="H120" s="9"/>
      <c r="I120" s="9"/>
      <c r="J120" s="9"/>
      <c r="K120" s="9"/>
      <c r="L120" s="9"/>
      <c r="M120" s="9"/>
      <c r="N120" s="10"/>
      <c r="O120" s="9"/>
      <c r="P120" s="9"/>
      <c r="Q120" s="9">
        <v>-10742</v>
      </c>
      <c r="R120" s="9">
        <v>11843</v>
      </c>
      <c r="S120" s="9">
        <v>1101</v>
      </c>
      <c r="T120" s="13">
        <f t="shared" si="3"/>
        <v>1423.0954097572699</v>
      </c>
      <c r="U120" s="13">
        <f t="shared" si="4"/>
        <v>132.29992790194663</v>
      </c>
      <c r="V120" s="13">
        <f t="shared" si="5"/>
        <v>-1290.7954818553233</v>
      </c>
      <c r="W120" s="9"/>
      <c r="X120" s="9"/>
      <c r="Y120" s="9"/>
      <c r="Z120" s="9"/>
      <c r="AA120" s="9"/>
      <c r="AB120" s="9"/>
      <c r="AC120" s="9"/>
      <c r="AD120" s="9"/>
      <c r="AE120" s="9"/>
      <c r="AF120" s="9"/>
      <c r="AG120" s="9" t="s">
        <v>20</v>
      </c>
    </row>
    <row r="121" spans="1:33" ht="29">
      <c r="A121" s="3" t="s">
        <v>4502</v>
      </c>
      <c r="B121" s="3" t="s">
        <v>11414</v>
      </c>
      <c r="C121" s="3" t="s">
        <v>11415</v>
      </c>
      <c r="G121" s="9" t="s">
        <v>12118</v>
      </c>
      <c r="H121" s="9"/>
      <c r="I121" s="9"/>
      <c r="J121" s="9"/>
      <c r="K121" s="9"/>
      <c r="L121" s="9"/>
      <c r="M121" s="9"/>
      <c r="N121" s="10"/>
      <c r="O121" s="9"/>
      <c r="P121" s="9"/>
      <c r="Q121" s="9">
        <v>-1846</v>
      </c>
      <c r="R121" s="9">
        <v>2042</v>
      </c>
      <c r="S121" s="9">
        <v>196</v>
      </c>
      <c r="T121" s="13">
        <f t="shared" si="3"/>
        <v>245.37370824321076</v>
      </c>
      <c r="U121" s="13">
        <f t="shared" si="4"/>
        <v>23.5520307618361</v>
      </c>
      <c r="V121" s="13">
        <f t="shared" si="5"/>
        <v>-221.82167748137465</v>
      </c>
      <c r="W121" s="9"/>
      <c r="X121" s="9"/>
      <c r="Y121" s="9"/>
      <c r="Z121" s="9"/>
      <c r="AA121" s="9"/>
      <c r="AB121" s="9"/>
      <c r="AC121" s="9"/>
      <c r="AD121" s="9"/>
      <c r="AE121" s="9"/>
      <c r="AF121" s="9"/>
      <c r="AG121" s="9" t="s">
        <v>20</v>
      </c>
    </row>
    <row r="122" spans="1:33" ht="58">
      <c r="A122" s="3" t="s">
        <v>4513</v>
      </c>
      <c r="B122" s="3" t="s">
        <v>11470</v>
      </c>
      <c r="C122" s="3" t="s">
        <v>11469</v>
      </c>
      <c r="G122" s="9" t="s">
        <v>12118</v>
      </c>
      <c r="H122" s="9"/>
      <c r="I122" s="9"/>
      <c r="J122" s="9"/>
      <c r="K122" s="9"/>
      <c r="L122" s="9"/>
      <c r="M122" s="9"/>
      <c r="N122" s="10"/>
      <c r="O122" s="9"/>
      <c r="P122" s="9"/>
      <c r="Q122" s="9">
        <v>75</v>
      </c>
      <c r="R122" s="9">
        <v>356</v>
      </c>
      <c r="S122" s="9">
        <v>431</v>
      </c>
      <c r="T122" s="13">
        <f t="shared" si="3"/>
        <v>42.778178322518627</v>
      </c>
      <c r="U122" s="13">
        <f t="shared" si="4"/>
        <v>51.790434991588562</v>
      </c>
      <c r="V122" s="13">
        <f t="shared" si="5"/>
        <v>9.0122566690699344</v>
      </c>
      <c r="W122" s="9"/>
      <c r="X122" s="9"/>
      <c r="Y122" s="9"/>
      <c r="Z122" s="9"/>
      <c r="AA122" s="9"/>
      <c r="AB122" s="9"/>
      <c r="AC122" s="9"/>
      <c r="AD122" s="9"/>
      <c r="AE122" s="9"/>
      <c r="AF122" s="9"/>
      <c r="AG122" s="9" t="s">
        <v>20</v>
      </c>
    </row>
    <row r="123" spans="1:33" ht="29">
      <c r="A123" s="3" t="s">
        <v>4527</v>
      </c>
      <c r="B123" s="3" t="s">
        <v>4528</v>
      </c>
      <c r="C123" s="3" t="s">
        <v>4529</v>
      </c>
      <c r="G123" s="9" t="s">
        <v>12118</v>
      </c>
      <c r="H123" s="9"/>
      <c r="I123" s="9"/>
      <c r="J123" s="9"/>
      <c r="K123" s="9"/>
      <c r="L123" s="9"/>
      <c r="M123" s="9"/>
      <c r="N123" s="10"/>
      <c r="O123" s="9"/>
      <c r="P123" s="9"/>
      <c r="Q123" s="9">
        <v>-4</v>
      </c>
      <c r="R123" s="9">
        <v>4</v>
      </c>
      <c r="S123" s="9">
        <v>0</v>
      </c>
      <c r="T123" s="13">
        <f t="shared" si="3"/>
        <v>0.48065368901706323</v>
      </c>
      <c r="U123" s="13">
        <f t="shared" si="4"/>
        <v>0</v>
      </c>
      <c r="V123" s="13">
        <f t="shared" si="5"/>
        <v>-0.48065368901706323</v>
      </c>
      <c r="W123" s="9"/>
      <c r="X123" s="9"/>
      <c r="Y123" s="9"/>
      <c r="Z123" s="9"/>
      <c r="AA123" s="9"/>
      <c r="AB123" s="9"/>
      <c r="AC123" s="9"/>
      <c r="AD123" s="9"/>
      <c r="AE123" s="9"/>
      <c r="AF123" s="9"/>
      <c r="AG123" s="9" t="s">
        <v>20</v>
      </c>
    </row>
    <row r="124" spans="1:33" ht="58">
      <c r="A124" s="3" t="s">
        <v>4576</v>
      </c>
      <c r="B124" s="3" t="s">
        <v>11626</v>
      </c>
      <c r="C124" s="3" t="s">
        <v>11625</v>
      </c>
      <c r="G124" s="9" t="s">
        <v>12118</v>
      </c>
      <c r="H124" s="9"/>
      <c r="I124" s="9"/>
      <c r="J124" s="9"/>
      <c r="K124" s="9"/>
      <c r="L124" s="9"/>
      <c r="M124" s="9"/>
      <c r="N124" s="10"/>
      <c r="O124" s="9"/>
      <c r="P124" s="9"/>
      <c r="Q124" s="9">
        <v>26</v>
      </c>
      <c r="R124" s="9">
        <v>21</v>
      </c>
      <c r="S124" s="9">
        <v>47</v>
      </c>
      <c r="T124" s="13">
        <f t="shared" si="3"/>
        <v>2.5234318673395819</v>
      </c>
      <c r="U124" s="13">
        <f t="shared" si="4"/>
        <v>5.647680845950493</v>
      </c>
      <c r="V124" s="13">
        <f t="shared" si="5"/>
        <v>3.1242489786109111</v>
      </c>
      <c r="W124" s="9"/>
      <c r="X124" s="9"/>
      <c r="Y124" s="9"/>
      <c r="Z124" s="9"/>
      <c r="AA124" s="9"/>
      <c r="AB124" s="9"/>
      <c r="AC124" s="9"/>
      <c r="AD124" s="9"/>
      <c r="AE124" s="9"/>
      <c r="AF124" s="9"/>
      <c r="AG124" s="9" t="s">
        <v>20</v>
      </c>
    </row>
    <row r="125" spans="1:33" ht="43.5">
      <c r="A125" s="3" t="s">
        <v>4621</v>
      </c>
      <c r="B125" s="3" t="s">
        <v>11707</v>
      </c>
      <c r="C125" s="3" t="s">
        <v>11708</v>
      </c>
      <c r="G125" s="9" t="s">
        <v>12118</v>
      </c>
      <c r="H125" s="9"/>
      <c r="I125" s="9"/>
      <c r="J125" s="9"/>
      <c r="K125" s="9"/>
      <c r="L125" s="9"/>
      <c r="M125" s="9"/>
      <c r="N125" s="10"/>
      <c r="O125" s="9"/>
      <c r="P125" s="9"/>
      <c r="Q125" s="9">
        <v>85</v>
      </c>
      <c r="R125" s="9">
        <v>8</v>
      </c>
      <c r="S125" s="9">
        <v>93</v>
      </c>
      <c r="T125" s="13">
        <f t="shared" si="3"/>
        <v>0.96130737803412647</v>
      </c>
      <c r="U125" s="13">
        <f t="shared" si="4"/>
        <v>11.175198269646719</v>
      </c>
      <c r="V125" s="13">
        <f t="shared" si="5"/>
        <v>10.213890891612593</v>
      </c>
      <c r="W125" s="9"/>
      <c r="X125" s="9"/>
      <c r="Y125" s="9"/>
      <c r="Z125" s="9"/>
      <c r="AA125" s="9"/>
      <c r="AB125" s="9"/>
      <c r="AC125" s="9"/>
      <c r="AD125" s="9"/>
      <c r="AE125" s="9"/>
      <c r="AF125" s="9"/>
      <c r="AG125" s="9" t="s">
        <v>20</v>
      </c>
    </row>
    <row r="126" spans="1:33" ht="43.5">
      <c r="A126" s="3" t="s">
        <v>4635</v>
      </c>
      <c r="B126" s="3" t="s">
        <v>11753</v>
      </c>
      <c r="C126" s="3" t="s">
        <v>11754</v>
      </c>
      <c r="G126" s="9" t="s">
        <v>12118</v>
      </c>
      <c r="H126" s="9"/>
      <c r="I126" s="9"/>
      <c r="J126" s="9"/>
      <c r="K126" s="9"/>
      <c r="L126" s="9"/>
      <c r="M126" s="9"/>
      <c r="N126" s="10"/>
      <c r="O126" s="9"/>
      <c r="P126" s="9"/>
      <c r="Q126" s="9">
        <v>348</v>
      </c>
      <c r="R126" s="9">
        <v>4</v>
      </c>
      <c r="S126" s="9">
        <v>352</v>
      </c>
      <c r="T126" s="13">
        <f t="shared" si="3"/>
        <v>0.48065368901706323</v>
      </c>
      <c r="U126" s="13">
        <f t="shared" si="4"/>
        <v>42.29752463350156</v>
      </c>
      <c r="V126" s="13">
        <f t="shared" si="5"/>
        <v>41.816870944484499</v>
      </c>
      <c r="W126" s="9"/>
      <c r="X126" s="9"/>
      <c r="Y126" s="9"/>
      <c r="Z126" s="9"/>
      <c r="AA126" s="9"/>
      <c r="AB126" s="9"/>
      <c r="AC126" s="9"/>
      <c r="AD126" s="9"/>
      <c r="AE126" s="9"/>
      <c r="AF126" s="9"/>
      <c r="AG126" s="9" t="s">
        <v>20</v>
      </c>
    </row>
    <row r="127" spans="1:33" ht="43.5">
      <c r="A127" s="3" t="s">
        <v>4646</v>
      </c>
      <c r="B127" s="3" t="s">
        <v>11794</v>
      </c>
      <c r="C127" s="3" t="s">
        <v>11795</v>
      </c>
      <c r="G127" s="9" t="s">
        <v>12118</v>
      </c>
      <c r="H127" s="9"/>
      <c r="I127" s="9"/>
      <c r="J127" s="9"/>
      <c r="K127" s="9"/>
      <c r="L127" s="9"/>
      <c r="M127" s="9"/>
      <c r="N127" s="10"/>
      <c r="O127" s="9"/>
      <c r="P127" s="9"/>
      <c r="Q127" s="9">
        <v>118</v>
      </c>
      <c r="R127" s="9">
        <v>2</v>
      </c>
      <c r="S127" s="9">
        <v>120</v>
      </c>
      <c r="T127" s="13">
        <f t="shared" si="3"/>
        <v>0.24032684450853162</v>
      </c>
      <c r="U127" s="13">
        <f t="shared" si="4"/>
        <v>14.419610670511895</v>
      </c>
      <c r="V127" s="13">
        <f t="shared" si="5"/>
        <v>14.179283826003363</v>
      </c>
      <c r="W127" s="9"/>
      <c r="X127" s="9"/>
      <c r="Y127" s="9"/>
      <c r="Z127" s="9"/>
      <c r="AA127" s="9"/>
      <c r="AB127" s="9"/>
      <c r="AC127" s="9"/>
      <c r="AD127" s="9"/>
      <c r="AE127" s="9"/>
      <c r="AF127" s="9"/>
      <c r="AG127" s="9" t="s">
        <v>20</v>
      </c>
    </row>
    <row r="128" spans="1:33" ht="58">
      <c r="A128" s="3" t="s">
        <v>4651</v>
      </c>
      <c r="B128" s="3" t="s">
        <v>11801</v>
      </c>
      <c r="C128" s="3" t="s">
        <v>11800</v>
      </c>
      <c r="G128" s="9" t="s">
        <v>12121</v>
      </c>
      <c r="H128" s="9"/>
      <c r="I128" s="9"/>
      <c r="J128" s="9"/>
      <c r="K128" s="9"/>
      <c r="L128" s="9"/>
      <c r="M128" s="9"/>
      <c r="N128" s="10"/>
      <c r="O128" s="9"/>
      <c r="P128" s="9"/>
      <c r="Q128" s="9">
        <v>7</v>
      </c>
      <c r="R128" s="9">
        <v>59</v>
      </c>
      <c r="S128" s="9">
        <v>66</v>
      </c>
      <c r="T128" s="13">
        <f t="shared" si="3"/>
        <v>7.0896419130016826</v>
      </c>
      <c r="U128" s="13">
        <f t="shared" si="4"/>
        <v>7.9307858687815429</v>
      </c>
      <c r="V128" s="13">
        <f t="shared" si="5"/>
        <v>0.84114395577986034</v>
      </c>
      <c r="W128" s="9"/>
      <c r="X128" s="9"/>
      <c r="Y128" s="9"/>
      <c r="Z128" s="9"/>
      <c r="AA128" s="9"/>
      <c r="AB128" s="9"/>
      <c r="AC128" s="9"/>
      <c r="AD128" s="9"/>
      <c r="AE128" s="9"/>
      <c r="AF128" s="9"/>
      <c r="AG128" s="9" t="s">
        <v>20</v>
      </c>
    </row>
    <row r="129" spans="1:33" ht="43.5">
      <c r="A129" s="3" t="s">
        <v>4701</v>
      </c>
      <c r="B129" s="3" t="s">
        <v>11946</v>
      </c>
      <c r="C129" s="3" t="s">
        <v>11945</v>
      </c>
      <c r="G129" s="9" t="s">
        <v>12118</v>
      </c>
      <c r="H129" s="9"/>
      <c r="I129" s="9"/>
      <c r="J129" s="9"/>
      <c r="K129" s="9"/>
      <c r="L129" s="9"/>
      <c r="M129" s="9"/>
      <c r="N129" s="10"/>
      <c r="O129" s="9"/>
      <c r="P129" s="9"/>
      <c r="Q129" s="9">
        <v>-116</v>
      </c>
      <c r="R129" s="9">
        <v>560</v>
      </c>
      <c r="S129" s="9">
        <v>444</v>
      </c>
      <c r="T129" s="13">
        <f t="shared" si="3"/>
        <v>67.291516462388842</v>
      </c>
      <c r="U129" s="13">
        <f t="shared" si="4"/>
        <v>53.352559480894016</v>
      </c>
      <c r="V129" s="13">
        <f t="shared" si="5"/>
        <v>-13.938956981494826</v>
      </c>
      <c r="W129" s="9"/>
      <c r="X129" s="9"/>
      <c r="Y129" s="9"/>
      <c r="Z129" s="9"/>
      <c r="AA129" s="9"/>
      <c r="AB129" s="9"/>
      <c r="AC129" s="9"/>
      <c r="AD129" s="9"/>
      <c r="AE129" s="9"/>
      <c r="AF129" s="9"/>
      <c r="AG129" s="9" t="s">
        <v>20</v>
      </c>
    </row>
    <row r="130" spans="1:33" ht="29">
      <c r="A130" s="3" t="s">
        <v>4714</v>
      </c>
      <c r="B130" s="3" t="s">
        <v>4715</v>
      </c>
      <c r="C130" s="3" t="s">
        <v>4716</v>
      </c>
      <c r="G130" s="9" t="s">
        <v>12118</v>
      </c>
      <c r="H130" s="9"/>
      <c r="I130" s="9"/>
      <c r="J130" s="9"/>
      <c r="K130" s="9"/>
      <c r="L130" s="9"/>
      <c r="M130" s="9"/>
      <c r="N130" s="10"/>
      <c r="O130" s="9"/>
      <c r="P130" s="9"/>
      <c r="Q130" s="9">
        <v>-3</v>
      </c>
      <c r="R130" s="9">
        <v>3</v>
      </c>
      <c r="S130" s="9">
        <v>0</v>
      </c>
      <c r="T130" s="13">
        <f t="shared" si="3"/>
        <v>0.36049026676279744</v>
      </c>
      <c r="U130" s="13">
        <f t="shared" si="4"/>
        <v>0</v>
      </c>
      <c r="V130" s="13">
        <f t="shared" si="5"/>
        <v>-0.36049026676279744</v>
      </c>
      <c r="W130" s="9"/>
      <c r="X130" s="9"/>
      <c r="Y130" s="9"/>
      <c r="Z130" s="9"/>
      <c r="AA130" s="9"/>
      <c r="AB130" s="9"/>
      <c r="AC130" s="9"/>
      <c r="AD130" s="9"/>
      <c r="AE130" s="9"/>
      <c r="AF130" s="9"/>
      <c r="AG130" s="9" t="s">
        <v>20</v>
      </c>
    </row>
    <row r="131" spans="1:33" ht="43.5">
      <c r="A131" s="3" t="s">
        <v>4725</v>
      </c>
      <c r="B131" s="3" t="s">
        <v>11991</v>
      </c>
      <c r="C131" s="3" t="s">
        <v>11992</v>
      </c>
      <c r="G131" s="9" t="s">
        <v>12118</v>
      </c>
      <c r="H131" s="9"/>
      <c r="I131" s="9"/>
      <c r="J131" s="9"/>
      <c r="K131" s="9"/>
      <c r="L131" s="9"/>
      <c r="M131" s="9"/>
      <c r="N131" s="10"/>
      <c r="O131" s="9"/>
      <c r="P131" s="9"/>
      <c r="Q131" s="9">
        <v>22</v>
      </c>
      <c r="R131" s="9">
        <v>0</v>
      </c>
      <c r="S131" s="9">
        <v>22</v>
      </c>
      <c r="T131" s="13">
        <f>IF(ISNUMBER(R131), (R131/$E$134)*10000, "")</f>
        <v>0</v>
      </c>
      <c r="U131" s="13">
        <f t="shared" ref="U131" si="6">IF(ISNUMBER(S131), (S131/$E$134)*10000, "")</f>
        <v>2.6435952895938475</v>
      </c>
      <c r="V131" s="13">
        <f t="shared" ref="V131" si="7">IF(ISNUMBER(Q131), U131-T131, "")</f>
        <v>2.6435952895938475</v>
      </c>
      <c r="W131" s="9"/>
      <c r="X131" s="9"/>
      <c r="Y131" s="9"/>
      <c r="Z131" s="9"/>
      <c r="AA131" s="9"/>
      <c r="AB131" s="9"/>
      <c r="AC131" s="9"/>
      <c r="AD131" s="9"/>
      <c r="AE131" s="9"/>
      <c r="AF131" s="9"/>
      <c r="AG131" s="9" t="s">
        <v>20</v>
      </c>
    </row>
    <row r="134" spans="1:33">
      <c r="D134" t="s">
        <v>12792</v>
      </c>
      <c r="E134">
        <v>83220</v>
      </c>
    </row>
    <row r="137" spans="1:33">
      <c r="D137" t="s">
        <v>12808</v>
      </c>
      <c r="E137">
        <f>COUNTIF(Q:Q, "&gt;0")</f>
        <v>64</v>
      </c>
    </row>
    <row r="138" spans="1:33">
      <c r="D138" t="s">
        <v>12809</v>
      </c>
      <c r="E138">
        <f>COUNTIF(Q:Q, "&lt;0")</f>
        <v>61</v>
      </c>
    </row>
    <row r="139" spans="1:33">
      <c r="D139" t="s">
        <v>12810</v>
      </c>
      <c r="E139">
        <f>_xlfn.BINOM.DIST(MIN(E137,E138),(E137+E138),0.5,TRUE)*2</f>
        <v>0.85811937326359145</v>
      </c>
    </row>
    <row r="141" spans="1:33">
      <c r="D141" t="s">
        <v>12811</v>
      </c>
      <c r="E141">
        <f>AVERAGE(Q:Q)</f>
        <v>267.59230769230771</v>
      </c>
    </row>
    <row r="142" spans="1:33">
      <c r="D142" t="s">
        <v>12812</v>
      </c>
      <c r="E142">
        <f>_xlfn.STDEV.S(Q:Q)</f>
        <v>3392.2064020868447</v>
      </c>
    </row>
    <row r="145" spans="4:5">
      <c r="D145" t="s">
        <v>12813</v>
      </c>
      <c r="E145">
        <f>AVERAGE(V:V)</f>
        <v>32.154807461224159</v>
      </c>
    </row>
    <row r="146" spans="4:5">
      <c r="D146" t="s">
        <v>12814</v>
      </c>
      <c r="E146">
        <f>_xlfn.STDEV.S(V:V)</f>
        <v>407.61913026758526</v>
      </c>
    </row>
    <row r="149" spans="4:5">
      <c r="D149" t="s">
        <v>12819</v>
      </c>
      <c r="E149">
        <f>COUNT(V:V)</f>
        <v>130</v>
      </c>
    </row>
    <row r="150" spans="4:5">
      <c r="D150" t="s">
        <v>12820</v>
      </c>
      <c r="E150">
        <f>_xlfn.STDEV.P(V:V)</f>
        <v>406.04833779559226</v>
      </c>
    </row>
    <row r="152" spans="4:5">
      <c r="D152">
        <f>MIN(V:V)</f>
        <v>-1418.6493631338619</v>
      </c>
    </row>
    <row r="153" spans="4:5">
      <c r="D153">
        <f>MAX(V:V)</f>
        <v>1415.1646238884882</v>
      </c>
    </row>
  </sheetData>
  <conditionalFormatting sqref="G2:G131">
    <cfRule type="expression" dxfId="56" priority="10">
      <formula>$J2&lt;&gt;""</formula>
    </cfRule>
    <cfRule type="expression" dxfId="55" priority="11">
      <formula>$J2=""</formula>
    </cfRule>
  </conditionalFormatting>
  <conditionalFormatting sqref="H2:L131 O2:P131">
    <cfRule type="expression" dxfId="54" priority="19">
      <formula>AND($J2&lt;&gt;"Addition",$J2&lt;&gt;"Omission",$J2&lt;&gt;"Substitution - Word")</formula>
    </cfRule>
  </conditionalFormatting>
  <conditionalFormatting sqref="H2:P131">
    <cfRule type="expression" dxfId="53" priority="29">
      <formula>AND(OR($J2="Addition",$J2="Omission"), H2&lt;&gt;"")</formula>
    </cfRule>
  </conditionalFormatting>
  <conditionalFormatting sqref="K2:K131">
    <cfRule type="expression" dxfId="52" priority="16">
      <formula>AND($L2&lt;&gt;"",$L2&gt;1)</formula>
    </cfRule>
  </conditionalFormatting>
  <conditionalFormatting sqref="M2:N131">
    <cfRule type="expression" dxfId="51" priority="12">
      <formula>$O2="Absent"</formula>
    </cfRule>
    <cfRule type="expression" dxfId="50" priority="13">
      <formula>$O2="NA"</formula>
    </cfRule>
    <cfRule type="expression" dxfId="49" priority="14">
      <formula>AND(OR($J2="Addition",$J2="Omission"), M2="")</formula>
    </cfRule>
    <cfRule type="expression" dxfId="48" priority="15">
      <formula>AND($J2&lt;&gt;"Addition",$J2&lt;&gt;"Omission")</formula>
    </cfRule>
  </conditionalFormatting>
  <conditionalFormatting sqref="O2:O131">
    <cfRule type="expression" dxfId="47" priority="17">
      <formula>OR($J2="Addition",$J2="Omission",$J2 = "Substitution - Word")</formula>
    </cfRule>
  </conditionalFormatting>
  <conditionalFormatting sqref="O2:P131 H2:L131">
    <cfRule type="expression" dxfId="46" priority="18">
      <formula>AND(OR($J2="Addition",$J2="Omission"), H2="")</formula>
    </cfRule>
  </conditionalFormatting>
  <conditionalFormatting sqref="Q2:S131">
    <cfRule type="expression" dxfId="45" priority="26">
      <formula>AND(AND(LEFT($J2,3)="Sub", RIGHT($J2,4)&lt;&gt;"Form"),$W2&lt;&gt;"")</formula>
    </cfRule>
    <cfRule type="expression" dxfId="44" priority="27">
      <formula>AND(AND(LEFT($J2,3)="Sub", RIGHT($J2,4)&lt;&gt;"Form"),$W2="")</formula>
    </cfRule>
    <cfRule type="expression" dxfId="43" priority="28">
      <formula>"&lt;&gt;AND(LEFT($J2,3)=""Sub"", RIGHT($J2,4)&lt;&gt;""Form"")"</formula>
    </cfRule>
  </conditionalFormatting>
  <conditionalFormatting sqref="R2:S131">
    <cfRule type="expression" dxfId="42" priority="7">
      <formula>AND(AND(LEFT($J2,3)="Sub", RIGHT($J2,4)&lt;&gt;"Form"),$W2&lt;&gt;"")</formula>
    </cfRule>
    <cfRule type="expression" dxfId="41" priority="8">
      <formula>AND(AND(LEFT($J2,3)="Sub", RIGHT($J2,4)&lt;&gt;"Form"),$W2="")</formula>
    </cfRule>
    <cfRule type="expression" dxfId="40" priority="9">
      <formula>"&lt;&gt;AND(LEFT($J2,3)=""Sub"", RIGHT($J2,4)&lt;&gt;""Form"")"</formula>
    </cfRule>
  </conditionalFormatting>
  <conditionalFormatting sqref="T2:V131">
    <cfRule type="expression" dxfId="39" priority="1">
      <formula>AND(AND(LEFT($I2,3)="Sub", RIGHT($I2,4)&lt;&gt;"Form"),$S2&lt;&gt;"")</formula>
    </cfRule>
    <cfRule type="expression" dxfId="38" priority="2">
      <formula>AND(AND(LEFT($I2,3)="Sub", RIGHT($I2,4)&lt;&gt;"Form"),$S2="")</formula>
    </cfRule>
    <cfRule type="expression" dxfId="37" priority="3">
      <formula>"&lt;&gt;AND(LEFT($J2,3)=""Sub"", RIGHT($J2,4)&lt;&gt;""Form"")"</formula>
    </cfRule>
  </conditionalFormatting>
  <conditionalFormatting sqref="W2:W131">
    <cfRule type="expression" dxfId="36" priority="21">
      <formula>AND($Z2&lt;&gt;"",OR($AG2="Yes",$AH2&lt;&gt;""))</formula>
    </cfRule>
    <cfRule type="expression" dxfId="35" priority="22">
      <formula>OR($AG2="Yes",$AH2&lt;&gt;"")</formula>
    </cfRule>
    <cfRule type="expression" dxfId="34" priority="32">
      <formula>AND($AG2&lt;&gt;"Yes",$AH2="")</formula>
    </cfRule>
  </conditionalFormatting>
  <conditionalFormatting sqref="W2:AG131">
    <cfRule type="expression" dxfId="33" priority="30">
      <formula>AND($J2&lt;&gt;"",$J2&lt;&gt;"Unclear due to correction")</formula>
    </cfRule>
    <cfRule type="expression" dxfId="32" priority="31">
      <formula>OR($J2="",$J2="Unclear due to correction")</formula>
    </cfRule>
  </conditionalFormatting>
  <conditionalFormatting sqref="X2:X131">
    <cfRule type="expression" dxfId="31" priority="20">
      <formula>AND($J2&lt;&gt;"",$J2&lt;&gt;"Unclear due to correction",$AA2="")</formula>
    </cfRule>
  </conditionalFormatting>
  <conditionalFormatting sqref="Y2:Y131">
    <cfRule type="expression" dxfId="30" priority="23">
      <formula>AND($AA2="Yes",$AB2="")</formula>
    </cfRule>
    <cfRule type="expression" dxfId="29" priority="24">
      <formula>$AA2=""</formula>
    </cfRule>
  </conditionalFormatting>
  <conditionalFormatting sqref="AD2:AD131">
    <cfRule type="expression" dxfId="28" priority="25">
      <formula>AND(OR($AE2&lt;&gt;"",$AF2&lt;&gt;""),$AG2="")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7">
        <x14:dataValidation type="list" allowBlank="1" showInputMessage="1" showErrorMessage="1" xr:uid="{F7837E52-DC13-41EB-A040-9DC98794C190}">
          <x14:formula1>
            <xm:f>'Data Regularization'!$D$2:$D$1048576</xm:f>
          </x14:formula1>
          <xm:sqref>G1:G131</xm:sqref>
        </x14:dataValidation>
        <x14:dataValidation type="list" allowBlank="1" showInputMessage="1" showErrorMessage="1" xr:uid="{198ECF1F-793E-4C97-8E55-4319E535A164}">
          <x14:formula1>
            <xm:f>'Data Regularization'!$B$2:$B$1048576</xm:f>
          </x14:formula1>
          <xm:sqref>E2:E131</xm:sqref>
        </x14:dataValidation>
        <x14:dataValidation type="list" allowBlank="1" showInputMessage="1" showErrorMessage="1" xr:uid="{682334C4-1E47-4F39-83BB-607E790A2D24}">
          <x14:formula1>
            <xm:f>'Data Regularization'!$C$2:$C$29</xm:f>
          </x14:formula1>
          <xm:sqref>F2:F131</xm:sqref>
        </x14:dataValidation>
        <x14:dataValidation type="list" allowBlank="1" showInputMessage="1" showErrorMessage="1" xr:uid="{05EBE5EE-C949-4310-96B5-1A76042C22E1}">
          <x14:formula1>
            <xm:f>'Data Regularization'!$A$2:$A$1048576</xm:f>
          </x14:formula1>
          <xm:sqref>D2:D131</xm:sqref>
        </x14:dataValidation>
        <x14:dataValidation type="list" allowBlank="1" showInputMessage="1" showErrorMessage="1" xr:uid="{F5610C51-52B2-4D80-AB85-AA43D84FB71A}">
          <x14:formula1>
            <xm:f>'Data Regularization'!$E$2:$E$1048576</xm:f>
          </x14:formula1>
          <xm:sqref>K2:K131</xm:sqref>
        </x14:dataValidation>
        <x14:dataValidation type="list" allowBlank="1" showInputMessage="1" showErrorMessage="1" xr:uid="{9D4F9EAA-A638-4049-848E-900EA4199203}">
          <x14:formula1>
            <xm:f>'Data Regularization'!$F$2:$F$1048576</xm:f>
          </x14:formula1>
          <xm:sqref>L2:L131</xm:sqref>
        </x14:dataValidation>
        <x14:dataValidation type="list" allowBlank="1" showInputMessage="1" showErrorMessage="1" xr:uid="{C8ECA5D2-5C8D-4336-88CC-0AAF1BF0CD29}">
          <x14:formula1>
            <xm:f>'Data Regularization'!$G$2:$G$1048576</xm:f>
          </x14:formula1>
          <xm:sqref>O2:O131</xm:sqref>
        </x14:dataValidation>
        <x14:dataValidation type="list" allowBlank="1" showInputMessage="1" showErrorMessage="1" xr:uid="{620AA4DE-E466-4C86-B6D6-DD01F7F167CA}">
          <x14:formula1>
            <xm:f>'Data Regularization'!$K$2:$K$1048576</xm:f>
          </x14:formula1>
          <xm:sqref>Y2:Y131</xm:sqref>
        </x14:dataValidation>
        <x14:dataValidation type="list" allowBlank="1" showInputMessage="1" showErrorMessage="1" xr:uid="{1F980290-2AA8-42C7-9290-864C191FD7DF}">
          <x14:formula1>
            <xm:f>'Data Regularization'!$L$2:$L$1048576</xm:f>
          </x14:formula1>
          <xm:sqref>Z2:Z131</xm:sqref>
        </x14:dataValidation>
        <x14:dataValidation type="list" allowBlank="1" showInputMessage="1" showErrorMessage="1" xr:uid="{8C6ACAEF-E9B0-47B0-B35A-EDA2F0FDDC1D}">
          <x14:formula1>
            <xm:f>'Data Regularization'!$N$2:$N$1048576</xm:f>
          </x14:formula1>
          <xm:sqref>AA2:AA131</xm:sqref>
        </x14:dataValidation>
        <x14:dataValidation type="list" allowBlank="1" showInputMessage="1" showErrorMessage="1" xr:uid="{40D8D3D7-DA10-4C8B-BE9E-DDA6C50E124C}">
          <x14:formula1>
            <xm:f>'Data Regularization'!$O$2:$O$1048576</xm:f>
          </x14:formula1>
          <xm:sqref>AB2:AB131</xm:sqref>
        </x14:dataValidation>
        <x14:dataValidation type="list" allowBlank="1" showInputMessage="1" showErrorMessage="1" xr:uid="{C05861C5-9095-4692-9FA6-36F2CBD87C54}">
          <x14:formula1>
            <xm:f>'Data Regularization'!$P$2:$P$1048576</xm:f>
          </x14:formula1>
          <xm:sqref>AD2:AD131</xm:sqref>
        </x14:dataValidation>
        <x14:dataValidation type="list" allowBlank="1" showInputMessage="1" showErrorMessage="1" xr:uid="{58253FC8-CE72-4D6B-841A-3D207C868348}">
          <x14:formula1>
            <xm:f>'Data Regularization'!$Q$2:$Q$1048576</xm:f>
          </x14:formula1>
          <xm:sqref>AE2:AE131</xm:sqref>
        </x14:dataValidation>
        <x14:dataValidation type="list" allowBlank="1" showInputMessage="1" showErrorMessage="1" xr:uid="{5BACFFC0-D3EC-40E3-BCD1-6C94B4F06F15}">
          <x14:formula1>
            <xm:f>'Data Regularization'!$H$2:$H$1048576</xm:f>
          </x14:formula1>
          <xm:sqref>W2:W131</xm:sqref>
        </x14:dataValidation>
        <x14:dataValidation type="list" allowBlank="1" showInputMessage="1" xr:uid="{AD079431-850A-4CFD-9EA6-6B87EBD3ADFC}">
          <x14:formula1>
            <xm:f>'Data Regularization'!$J$2:$J$1048576</xm:f>
          </x14:formula1>
          <xm:sqref>X2:X131</xm:sqref>
        </x14:dataValidation>
        <x14:dataValidation type="list" allowBlank="1" showInputMessage="1" showErrorMessage="1" xr:uid="{4E816535-3A47-4421-ABBF-9D651CD4C897}">
          <x14:formula1>
            <xm:f>'Data Regularization'!$R$2:$R$1048576</xm:f>
          </x14:formula1>
          <xm:sqref>AF2:AF131</xm:sqref>
        </x14:dataValidation>
        <x14:dataValidation type="list" allowBlank="1" showInputMessage="1" showErrorMessage="1" xr:uid="{EBD6C6ED-E4F0-49A3-A904-FB1412746951}">
          <x14:formula1>
            <xm:f>'Data Regularization'!$S$2:$S$5</xm:f>
          </x14:formula1>
          <xm:sqref>AG2:AG131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F041-654F-4173-BDCE-9F5E3CEE7D16}">
  <dimension ref="A1:AF41"/>
  <sheetViews>
    <sheetView workbookViewId="0">
      <pane xSplit="3" ySplit="1" topLeftCell="D20" activePane="bottomRight" state="frozen"/>
      <selection pane="topRight" activeCell="D1" sqref="D1"/>
      <selection pane="bottomLeft" activeCell="A2" sqref="A2"/>
      <selection pane="bottomRight" activeCell="S45" sqref="S45"/>
    </sheetView>
  </sheetViews>
  <sheetFormatPr defaultRowHeight="14.5"/>
  <sheetData>
    <row r="1" spans="1:32" s="1" customFormat="1">
      <c r="A1" s="1" t="s">
        <v>0</v>
      </c>
      <c r="B1" s="1" t="s">
        <v>5</v>
      </c>
      <c r="C1" s="1" t="s">
        <v>6</v>
      </c>
      <c r="D1" s="1" t="s">
        <v>12100</v>
      </c>
      <c r="E1" s="1" t="s">
        <v>12101</v>
      </c>
      <c r="F1" s="1" t="s">
        <v>12102</v>
      </c>
      <c r="G1" s="1" t="s">
        <v>7</v>
      </c>
      <c r="H1" s="1" t="s">
        <v>3</v>
      </c>
      <c r="I1" s="1" t="s">
        <v>12103</v>
      </c>
      <c r="J1" s="1" t="s">
        <v>12104</v>
      </c>
      <c r="K1" s="1" t="s">
        <v>12105</v>
      </c>
      <c r="L1" s="1" t="s">
        <v>12106</v>
      </c>
      <c r="M1" s="1" t="s">
        <v>12066</v>
      </c>
      <c r="N1" s="1" t="s">
        <v>12107</v>
      </c>
      <c r="O1" s="8" t="s">
        <v>12108</v>
      </c>
      <c r="P1" s="1" t="s">
        <v>12067</v>
      </c>
      <c r="Q1" s="1" t="s">
        <v>12109</v>
      </c>
      <c r="R1" s="1" t="s">
        <v>12110</v>
      </c>
      <c r="S1" s="1" t="s">
        <v>12793</v>
      </c>
      <c r="T1" s="1" t="s">
        <v>12794</v>
      </c>
      <c r="U1" s="1" t="s">
        <v>12112</v>
      </c>
      <c r="V1" s="1" t="s">
        <v>13129</v>
      </c>
      <c r="W1" s="1" t="s">
        <v>12113</v>
      </c>
      <c r="X1" s="1" t="s">
        <v>12114</v>
      </c>
      <c r="Y1" s="1" t="s">
        <v>12068</v>
      </c>
      <c r="Z1" s="1" t="s">
        <v>12069</v>
      </c>
      <c r="AA1" s="1" t="s">
        <v>12070</v>
      </c>
      <c r="AB1" s="1" t="s">
        <v>12111</v>
      </c>
      <c r="AC1" s="1" t="s">
        <v>12115</v>
      </c>
      <c r="AD1" s="1" t="s">
        <v>12071</v>
      </c>
      <c r="AE1" s="1" t="s">
        <v>12116</v>
      </c>
      <c r="AF1" s="1" t="s">
        <v>13140</v>
      </c>
    </row>
    <row r="2" spans="1:32" ht="29">
      <c r="A2" s="3" t="s">
        <v>89</v>
      </c>
      <c r="B2" s="3" t="s">
        <v>4778</v>
      </c>
      <c r="C2" s="3" t="s">
        <v>4779</v>
      </c>
      <c r="G2" t="s">
        <v>12630</v>
      </c>
      <c r="H2" s="9" t="s">
        <v>12118</v>
      </c>
      <c r="I2" s="9"/>
      <c r="J2" s="9"/>
      <c r="K2" s="9"/>
      <c r="L2" s="9"/>
      <c r="M2" s="9"/>
      <c r="N2" s="9"/>
      <c r="O2" s="10"/>
      <c r="P2" s="9"/>
      <c r="Q2" s="9"/>
      <c r="R2" s="9">
        <v>103</v>
      </c>
      <c r="S2" s="9">
        <v>93</v>
      </c>
      <c r="T2" s="9">
        <v>196</v>
      </c>
      <c r="U2" s="9" t="s">
        <v>12117</v>
      </c>
      <c r="V2" s="9" t="s">
        <v>13130</v>
      </c>
      <c r="W2" s="9"/>
      <c r="X2" s="9"/>
      <c r="Y2" s="9"/>
      <c r="Z2" s="9"/>
      <c r="AA2" s="9"/>
      <c r="AB2" s="9"/>
      <c r="AC2" s="9"/>
      <c r="AD2" s="9"/>
      <c r="AE2" s="9"/>
      <c r="AF2" s="9" t="s">
        <v>20</v>
      </c>
    </row>
    <row r="3" spans="1:32" ht="43.5">
      <c r="A3" s="3" t="s">
        <v>247</v>
      </c>
      <c r="B3" s="3" t="s">
        <v>4900</v>
      </c>
      <c r="C3" s="3" t="s">
        <v>4901</v>
      </c>
      <c r="G3" t="s">
        <v>12636</v>
      </c>
      <c r="H3" s="9" t="s">
        <v>25</v>
      </c>
      <c r="I3" s="9"/>
      <c r="J3" s="9">
        <v>1</v>
      </c>
      <c r="K3" s="9">
        <v>2</v>
      </c>
      <c r="L3" s="9" t="s">
        <v>12078</v>
      </c>
      <c r="M3" s="9" t="s">
        <v>12119</v>
      </c>
      <c r="N3" s="9"/>
      <c r="O3" s="10"/>
      <c r="P3" s="9"/>
      <c r="Q3" s="9">
        <v>11843</v>
      </c>
      <c r="R3" s="9"/>
      <c r="S3" s="9" t="s">
        <v>12795</v>
      </c>
      <c r="T3" s="9" t="s">
        <v>12795</v>
      </c>
      <c r="U3" s="9" t="s">
        <v>12117</v>
      </c>
      <c r="V3" s="9" t="s">
        <v>13132</v>
      </c>
      <c r="W3" s="9"/>
      <c r="X3" s="9"/>
      <c r="Y3" s="9"/>
      <c r="Z3" s="9"/>
      <c r="AA3" s="9"/>
      <c r="AB3" s="9"/>
      <c r="AC3" s="9"/>
      <c r="AD3" s="9"/>
      <c r="AE3" s="9"/>
      <c r="AF3" s="9" t="s">
        <v>20</v>
      </c>
    </row>
    <row r="4" spans="1:32" ht="43.5">
      <c r="A4" s="3" t="s">
        <v>249</v>
      </c>
      <c r="B4" s="3" t="s">
        <v>4904</v>
      </c>
      <c r="C4" s="3" t="s">
        <v>4905</v>
      </c>
      <c r="G4" t="s">
        <v>13128</v>
      </c>
      <c r="H4" s="9" t="s">
        <v>12118</v>
      </c>
      <c r="I4" s="9"/>
      <c r="J4" s="9"/>
      <c r="K4" s="9"/>
      <c r="L4" s="9"/>
      <c r="M4" s="9"/>
      <c r="N4" s="9"/>
      <c r="O4" s="10"/>
      <c r="P4" s="9"/>
      <c r="Q4" s="9"/>
      <c r="R4" s="9">
        <v>10102</v>
      </c>
      <c r="S4" s="9">
        <v>1741</v>
      </c>
      <c r="T4" s="9">
        <v>11843</v>
      </c>
      <c r="U4" s="9" t="s">
        <v>12117</v>
      </c>
      <c r="V4" s="9" t="s">
        <v>13132</v>
      </c>
      <c r="W4" s="9"/>
      <c r="X4" s="9"/>
      <c r="Y4" s="9"/>
      <c r="Z4" s="9"/>
      <c r="AA4" s="9"/>
      <c r="AB4" s="9"/>
      <c r="AC4" s="9"/>
      <c r="AD4" s="9"/>
      <c r="AE4" s="9"/>
      <c r="AF4" s="9" t="s">
        <v>20</v>
      </c>
    </row>
    <row r="5" spans="1:32" ht="43.5">
      <c r="A5" s="3" t="s">
        <v>415</v>
      </c>
      <c r="B5" s="3" t="s">
        <v>5055</v>
      </c>
      <c r="C5" s="3" t="s">
        <v>5056</v>
      </c>
      <c r="G5" t="s">
        <v>12640</v>
      </c>
      <c r="H5" s="9" t="s">
        <v>12118</v>
      </c>
      <c r="I5" s="9"/>
      <c r="J5" s="9"/>
      <c r="K5" s="9"/>
      <c r="L5" s="9"/>
      <c r="M5" s="9"/>
      <c r="N5" s="9"/>
      <c r="O5" s="10"/>
      <c r="P5" s="9"/>
      <c r="Q5" s="9"/>
      <c r="R5" s="9">
        <v>37</v>
      </c>
      <c r="S5" s="9">
        <v>17</v>
      </c>
      <c r="T5" s="9">
        <v>54</v>
      </c>
      <c r="U5" s="9" t="s">
        <v>12117</v>
      </c>
      <c r="V5" s="9" t="s">
        <v>13131</v>
      </c>
      <c r="W5" s="9"/>
      <c r="X5" s="9"/>
      <c r="Y5" s="9"/>
      <c r="Z5" s="9"/>
      <c r="AA5" s="9"/>
      <c r="AB5" s="9"/>
      <c r="AC5" s="9"/>
      <c r="AD5" s="9"/>
      <c r="AE5" s="9"/>
      <c r="AF5" s="9" t="s">
        <v>20</v>
      </c>
    </row>
    <row r="6" spans="1:32" ht="29">
      <c r="A6" s="3" t="s">
        <v>538</v>
      </c>
      <c r="B6" s="3" t="s">
        <v>541</v>
      </c>
      <c r="C6" s="3" t="s">
        <v>542</v>
      </c>
      <c r="G6" t="s">
        <v>12642</v>
      </c>
      <c r="H6" s="9" t="s">
        <v>12120</v>
      </c>
      <c r="I6" s="9"/>
      <c r="J6" s="9"/>
      <c r="K6" s="9"/>
      <c r="L6" s="9"/>
      <c r="M6" s="9"/>
      <c r="N6" s="9"/>
      <c r="O6" s="10"/>
      <c r="P6" s="9"/>
      <c r="Q6" s="9"/>
      <c r="R6" s="9"/>
      <c r="S6" s="9" t="s">
        <v>12795</v>
      </c>
      <c r="T6" s="9" t="s">
        <v>12795</v>
      </c>
      <c r="U6" s="9" t="s">
        <v>12117</v>
      </c>
      <c r="V6" s="9" t="s">
        <v>13131</v>
      </c>
      <c r="W6" s="9"/>
      <c r="X6" s="9"/>
      <c r="Y6" s="9"/>
      <c r="Z6" s="9"/>
      <c r="AA6" s="9"/>
      <c r="AB6" s="9"/>
      <c r="AC6" s="9"/>
      <c r="AD6" s="9"/>
      <c r="AE6" s="9"/>
      <c r="AF6" s="9" t="s">
        <v>20</v>
      </c>
    </row>
    <row r="7" spans="1:32" ht="58">
      <c r="A7" s="3" t="s">
        <v>673</v>
      </c>
      <c r="B7" s="3" t="s">
        <v>5261</v>
      </c>
      <c r="C7" s="3" t="s">
        <v>5258</v>
      </c>
      <c r="G7" t="s">
        <v>12643</v>
      </c>
      <c r="H7" s="9" t="s">
        <v>25</v>
      </c>
      <c r="I7" s="9"/>
      <c r="J7" s="9">
        <v>2</v>
      </c>
      <c r="K7" s="9">
        <v>11</v>
      </c>
      <c r="L7" s="9"/>
      <c r="M7" s="9" t="s">
        <v>12073</v>
      </c>
      <c r="N7" s="9" t="s">
        <v>12140</v>
      </c>
      <c r="O7" s="10" t="s">
        <v>12136</v>
      </c>
      <c r="P7" s="9"/>
      <c r="Q7" s="9">
        <v>371</v>
      </c>
      <c r="R7" s="9"/>
      <c r="S7" s="9" t="s">
        <v>12795</v>
      </c>
      <c r="T7" s="9" t="s">
        <v>12795</v>
      </c>
      <c r="U7" s="9" t="s">
        <v>12117</v>
      </c>
      <c r="V7" s="9" t="s">
        <v>13131</v>
      </c>
      <c r="W7" s="9"/>
      <c r="X7" s="9"/>
      <c r="Y7" s="9"/>
      <c r="Z7" s="9"/>
      <c r="AA7" s="9"/>
      <c r="AB7" s="9"/>
      <c r="AC7" s="9"/>
      <c r="AD7" s="9"/>
      <c r="AE7" s="9"/>
      <c r="AF7" s="9" t="s">
        <v>20</v>
      </c>
    </row>
    <row r="8" spans="1:32" ht="72.5">
      <c r="A8" s="3" t="s">
        <v>673</v>
      </c>
      <c r="B8" s="3" t="s">
        <v>5262</v>
      </c>
      <c r="C8" s="3" t="s">
        <v>5263</v>
      </c>
      <c r="G8" t="s">
        <v>12644</v>
      </c>
      <c r="H8" s="9" t="s">
        <v>25</v>
      </c>
      <c r="I8" s="9"/>
      <c r="J8" s="9">
        <v>1</v>
      </c>
      <c r="K8" s="9">
        <v>3</v>
      </c>
      <c r="L8" s="9" t="s">
        <v>12078</v>
      </c>
      <c r="M8" s="9" t="s">
        <v>12079</v>
      </c>
      <c r="N8" s="9"/>
      <c r="O8" s="10"/>
      <c r="P8" s="9"/>
      <c r="Q8" s="9">
        <v>11843</v>
      </c>
      <c r="R8" s="9"/>
      <c r="S8" s="9" t="s">
        <v>12795</v>
      </c>
      <c r="T8" s="9" t="s">
        <v>12795</v>
      </c>
      <c r="U8" s="9" t="s">
        <v>12117</v>
      </c>
      <c r="V8" s="9" t="s">
        <v>13132</v>
      </c>
      <c r="W8" s="9"/>
      <c r="X8" s="9"/>
      <c r="Y8" s="9"/>
      <c r="Z8" s="9"/>
      <c r="AA8" s="9"/>
      <c r="AB8" s="9"/>
      <c r="AC8" s="9"/>
      <c r="AD8" s="9"/>
      <c r="AE8" s="9"/>
      <c r="AF8" s="9" t="s">
        <v>20</v>
      </c>
    </row>
    <row r="9" spans="1:32" ht="72.5">
      <c r="A9" s="3" t="s">
        <v>733</v>
      </c>
      <c r="B9" s="3" t="s">
        <v>5305</v>
      </c>
      <c r="C9" s="3" t="s">
        <v>5306</v>
      </c>
      <c r="G9" t="s">
        <v>12646</v>
      </c>
      <c r="H9" s="9" t="s">
        <v>26</v>
      </c>
      <c r="I9" s="9"/>
      <c r="J9" s="9"/>
      <c r="K9" s="9"/>
      <c r="L9" s="9"/>
      <c r="M9" s="9"/>
      <c r="N9" s="9"/>
      <c r="O9" s="10"/>
      <c r="P9" s="9"/>
      <c r="Q9" s="9"/>
      <c r="R9" s="9"/>
      <c r="S9" s="9" t="s">
        <v>12795</v>
      </c>
      <c r="T9" s="9" t="s">
        <v>12795</v>
      </c>
      <c r="U9" s="9" t="s">
        <v>12117</v>
      </c>
      <c r="V9" s="9" t="s">
        <v>13131</v>
      </c>
      <c r="W9" s="9"/>
      <c r="X9" s="9"/>
      <c r="Y9" s="9"/>
      <c r="Z9" s="9"/>
      <c r="AA9" s="9"/>
      <c r="AB9" s="9"/>
      <c r="AC9" s="9"/>
      <c r="AD9" s="9"/>
      <c r="AE9" s="9"/>
      <c r="AF9" s="9" t="s">
        <v>20</v>
      </c>
    </row>
    <row r="10" spans="1:32" ht="29">
      <c r="A10" s="3" t="s">
        <v>818</v>
      </c>
      <c r="B10" s="3" t="s">
        <v>5385</v>
      </c>
      <c r="C10" s="3" t="s">
        <v>5386</v>
      </c>
      <c r="G10" t="s">
        <v>12647</v>
      </c>
      <c r="H10" s="9" t="s">
        <v>12120</v>
      </c>
      <c r="I10" s="9"/>
      <c r="J10" s="9"/>
      <c r="K10" s="9"/>
      <c r="L10" s="9"/>
      <c r="M10" s="9"/>
      <c r="N10" s="9"/>
      <c r="O10" s="10"/>
      <c r="P10" s="9"/>
      <c r="Q10" s="9"/>
      <c r="R10" s="9"/>
      <c r="S10" s="9" t="s">
        <v>12795</v>
      </c>
      <c r="T10" s="9" t="s">
        <v>12795</v>
      </c>
      <c r="U10" s="9" t="s">
        <v>12117</v>
      </c>
      <c r="V10" s="9" t="s">
        <v>13131</v>
      </c>
      <c r="W10" s="9"/>
      <c r="X10" s="9"/>
      <c r="Y10" s="9"/>
      <c r="Z10" s="9"/>
      <c r="AA10" s="9"/>
      <c r="AB10" s="9"/>
      <c r="AC10" s="9"/>
      <c r="AD10" s="9"/>
      <c r="AE10" s="9"/>
      <c r="AF10" s="9" t="s">
        <v>20</v>
      </c>
    </row>
    <row r="11" spans="1:32" ht="43.5">
      <c r="A11" s="3" t="s">
        <v>881</v>
      </c>
      <c r="B11" s="3" t="s">
        <v>5471</v>
      </c>
      <c r="C11" s="3" t="s">
        <v>5472</v>
      </c>
      <c r="G11" t="s">
        <v>12648</v>
      </c>
      <c r="H11" s="9" t="s">
        <v>12118</v>
      </c>
      <c r="I11" s="9"/>
      <c r="J11" s="9"/>
      <c r="K11" s="9"/>
      <c r="L11" s="9"/>
      <c r="M11" s="9"/>
      <c r="N11" s="9"/>
      <c r="O11" s="10"/>
      <c r="P11" s="9"/>
      <c r="Q11" s="9"/>
      <c r="R11" s="9">
        <v>-293</v>
      </c>
      <c r="S11" s="9">
        <v>472</v>
      </c>
      <c r="T11" s="9">
        <v>179</v>
      </c>
      <c r="U11" s="9" t="s">
        <v>4</v>
      </c>
      <c r="V11" s="9" t="s">
        <v>13130</v>
      </c>
      <c r="W11" s="9"/>
      <c r="X11" s="9"/>
      <c r="Y11" s="9"/>
      <c r="Z11" s="9"/>
      <c r="AA11" s="9"/>
      <c r="AB11" s="9"/>
      <c r="AC11" s="9"/>
      <c r="AD11" s="9"/>
      <c r="AE11" s="9"/>
      <c r="AF11" s="9" t="s">
        <v>20</v>
      </c>
    </row>
    <row r="12" spans="1:32" ht="29">
      <c r="A12" s="3" t="s">
        <v>895</v>
      </c>
      <c r="B12" s="3" t="s">
        <v>5488</v>
      </c>
      <c r="C12" s="3" t="s">
        <v>5489</v>
      </c>
      <c r="G12" t="s">
        <v>12649</v>
      </c>
      <c r="H12" s="9" t="s">
        <v>24</v>
      </c>
      <c r="I12" s="9"/>
      <c r="J12" s="9">
        <v>1</v>
      </c>
      <c r="K12" s="9">
        <v>3</v>
      </c>
      <c r="L12" s="9" t="s">
        <v>12078</v>
      </c>
      <c r="M12" s="9" t="s">
        <v>12079</v>
      </c>
      <c r="N12" s="9"/>
      <c r="O12" s="10"/>
      <c r="P12" s="9"/>
      <c r="Q12" s="9">
        <v>11843</v>
      </c>
      <c r="R12" s="9"/>
      <c r="S12" s="9" t="s">
        <v>12795</v>
      </c>
      <c r="T12" s="9" t="s">
        <v>12795</v>
      </c>
      <c r="U12" s="9" t="s">
        <v>12117</v>
      </c>
      <c r="V12" s="9" t="s">
        <v>13131</v>
      </c>
      <c r="W12" s="9"/>
      <c r="X12" s="9"/>
      <c r="Y12" s="9"/>
      <c r="Z12" s="9"/>
      <c r="AA12" s="9"/>
      <c r="AB12" s="9"/>
      <c r="AC12" s="9"/>
      <c r="AD12" s="9"/>
      <c r="AE12" s="9"/>
      <c r="AF12" s="9" t="s">
        <v>13141</v>
      </c>
    </row>
    <row r="13" spans="1:32" ht="145">
      <c r="A13" s="3" t="s">
        <v>919</v>
      </c>
      <c r="B13" s="3" t="s">
        <v>5507</v>
      </c>
      <c r="C13" s="3" t="s">
        <v>5509</v>
      </c>
      <c r="F13" t="s">
        <v>22</v>
      </c>
      <c r="G13" t="s">
        <v>12650</v>
      </c>
      <c r="H13" s="9" t="s">
        <v>25</v>
      </c>
      <c r="I13" s="9"/>
      <c r="J13" s="9">
        <v>4</v>
      </c>
      <c r="K13" s="9">
        <v>16</v>
      </c>
      <c r="L13" s="9"/>
      <c r="M13" s="9" t="s">
        <v>12073</v>
      </c>
      <c r="N13" s="9" t="s">
        <v>12140</v>
      </c>
      <c r="O13" s="10" t="s">
        <v>12136</v>
      </c>
      <c r="P13" s="9"/>
      <c r="Q13" s="9">
        <v>8</v>
      </c>
      <c r="R13" s="9"/>
      <c r="S13" s="9" t="s">
        <v>12795</v>
      </c>
      <c r="T13" s="9" t="s">
        <v>12795</v>
      </c>
      <c r="U13" s="9" t="s">
        <v>12117</v>
      </c>
      <c r="V13" s="9" t="s">
        <v>13130</v>
      </c>
      <c r="W13" s="9"/>
      <c r="X13" s="9"/>
      <c r="Y13" s="9"/>
      <c r="Z13" s="9"/>
      <c r="AA13" s="9"/>
      <c r="AB13" s="9"/>
      <c r="AC13" s="9"/>
      <c r="AD13" s="9"/>
      <c r="AE13" s="9"/>
      <c r="AF13" s="9" t="s">
        <v>20</v>
      </c>
    </row>
    <row r="14" spans="1:32" ht="72.5">
      <c r="A14" s="3" t="s">
        <v>928</v>
      </c>
      <c r="B14" s="3" t="s">
        <v>5526</v>
      </c>
      <c r="C14" s="3" t="s">
        <v>5525</v>
      </c>
      <c r="G14" t="s">
        <v>12651</v>
      </c>
      <c r="H14" s="9" t="s">
        <v>26</v>
      </c>
      <c r="I14" s="9"/>
      <c r="J14" s="9"/>
      <c r="K14" s="9"/>
      <c r="L14" s="9"/>
      <c r="M14" s="9"/>
      <c r="N14" s="9"/>
      <c r="O14" s="10"/>
      <c r="P14" s="9"/>
      <c r="Q14" s="9"/>
      <c r="R14" s="9"/>
      <c r="S14" s="9" t="s">
        <v>12795</v>
      </c>
      <c r="T14" s="9" t="s">
        <v>12795</v>
      </c>
      <c r="U14" s="9" t="s">
        <v>12117</v>
      </c>
      <c r="V14" s="9" t="s">
        <v>13130</v>
      </c>
      <c r="W14" s="9"/>
      <c r="X14" s="9"/>
      <c r="Y14" s="9"/>
      <c r="Z14" s="9"/>
      <c r="AA14" s="9"/>
      <c r="AB14" s="9"/>
      <c r="AC14" s="9"/>
      <c r="AD14" s="9"/>
      <c r="AE14" s="9"/>
      <c r="AF14" s="9" t="s">
        <v>20</v>
      </c>
    </row>
    <row r="15" spans="1:32" ht="58">
      <c r="A15" s="3" t="s">
        <v>1434</v>
      </c>
      <c r="B15" s="3" t="s">
        <v>6094</v>
      </c>
      <c r="C15" s="3" t="s">
        <v>6095</v>
      </c>
      <c r="E15" t="s">
        <v>20</v>
      </c>
      <c r="G15" t="s">
        <v>13108</v>
      </c>
      <c r="H15" s="9" t="s">
        <v>26</v>
      </c>
      <c r="I15" s="9"/>
      <c r="J15" s="9"/>
      <c r="K15" s="9"/>
      <c r="L15" s="9"/>
      <c r="M15" s="9"/>
      <c r="N15" s="9"/>
      <c r="O15" s="10"/>
      <c r="P15" s="9"/>
      <c r="Q15" s="9"/>
      <c r="R15" s="9"/>
      <c r="S15" s="9" t="s">
        <v>12795</v>
      </c>
      <c r="T15" s="9" t="s">
        <v>12795</v>
      </c>
      <c r="U15" s="9" t="s">
        <v>4</v>
      </c>
      <c r="V15" s="9" t="s">
        <v>13130</v>
      </c>
      <c r="W15" s="9"/>
      <c r="X15" s="9"/>
      <c r="Y15" s="9"/>
      <c r="Z15" s="9"/>
      <c r="AA15" s="9"/>
      <c r="AB15" s="9"/>
      <c r="AC15" s="9"/>
      <c r="AD15" s="9"/>
      <c r="AE15" s="9"/>
      <c r="AF15" s="9" t="s">
        <v>20</v>
      </c>
    </row>
    <row r="16" spans="1:32" ht="58">
      <c r="A16" s="3" t="s">
        <v>1434</v>
      </c>
      <c r="B16" s="3" t="s">
        <v>6096</v>
      </c>
      <c r="C16" s="3" t="s">
        <v>6097</v>
      </c>
      <c r="G16" t="s">
        <v>12656</v>
      </c>
      <c r="H16" s="9" t="s">
        <v>12118</v>
      </c>
      <c r="I16" s="9"/>
      <c r="J16" s="9"/>
      <c r="K16" s="9"/>
      <c r="L16" s="9"/>
      <c r="M16" s="9"/>
      <c r="N16" s="9"/>
      <c r="O16" s="10"/>
      <c r="P16" s="9"/>
      <c r="Q16" s="9"/>
      <c r="R16" s="9">
        <v>-4</v>
      </c>
      <c r="S16" s="9">
        <v>11</v>
      </c>
      <c r="T16" s="9">
        <v>7</v>
      </c>
      <c r="U16" s="9" t="s">
        <v>4</v>
      </c>
      <c r="V16" s="9" t="s">
        <v>13130</v>
      </c>
      <c r="W16" s="9"/>
      <c r="X16" s="9"/>
      <c r="Y16" s="9"/>
      <c r="Z16" s="9"/>
      <c r="AA16" s="9"/>
      <c r="AB16" s="9"/>
      <c r="AC16" s="9"/>
      <c r="AD16" s="9"/>
      <c r="AE16" s="9"/>
      <c r="AF16" s="9" t="s">
        <v>20</v>
      </c>
    </row>
    <row r="17" spans="1:32" ht="43.5">
      <c r="A17" s="3" t="s">
        <v>1458</v>
      </c>
      <c r="B17" s="3" t="s">
        <v>6152</v>
      </c>
      <c r="C17" s="3" t="s">
        <v>6153</v>
      </c>
      <c r="G17" t="s">
        <v>12657</v>
      </c>
      <c r="H17" s="9" t="s">
        <v>24</v>
      </c>
      <c r="I17" s="9"/>
      <c r="J17" s="9">
        <v>1</v>
      </c>
      <c r="K17" s="9">
        <v>2</v>
      </c>
      <c r="L17" s="9" t="s">
        <v>12123</v>
      </c>
      <c r="M17" s="9" t="s">
        <v>12119</v>
      </c>
      <c r="N17" s="9"/>
      <c r="O17" s="10"/>
      <c r="P17" s="9" t="s">
        <v>12074</v>
      </c>
      <c r="Q17" s="9">
        <v>887</v>
      </c>
      <c r="R17" s="9"/>
      <c r="S17" s="9" t="s">
        <v>12795</v>
      </c>
      <c r="T17" s="9" t="s">
        <v>12795</v>
      </c>
      <c r="U17" s="9" t="s">
        <v>12117</v>
      </c>
      <c r="V17" s="9" t="s">
        <v>13131</v>
      </c>
      <c r="W17" s="9"/>
      <c r="X17" s="9"/>
      <c r="Y17" s="9"/>
      <c r="Z17" s="9"/>
      <c r="AA17" s="9"/>
      <c r="AB17" s="9"/>
      <c r="AC17" s="9"/>
      <c r="AD17" s="9"/>
      <c r="AE17" s="9"/>
      <c r="AF17" s="9" t="s">
        <v>20</v>
      </c>
    </row>
    <row r="18" spans="1:32" ht="29">
      <c r="A18" s="3" t="s">
        <v>1536</v>
      </c>
      <c r="B18" s="3" t="s">
        <v>6273</v>
      </c>
      <c r="C18" s="3" t="s">
        <v>6275</v>
      </c>
      <c r="G18" t="s">
        <v>12659</v>
      </c>
      <c r="H18" s="9" t="s">
        <v>25</v>
      </c>
      <c r="I18" s="9"/>
      <c r="J18" s="9">
        <v>1</v>
      </c>
      <c r="K18" s="9">
        <v>5</v>
      </c>
      <c r="L18" s="9" t="s">
        <v>12094</v>
      </c>
      <c r="M18" s="9" t="s">
        <v>12073</v>
      </c>
      <c r="N18" s="9" t="s">
        <v>12142</v>
      </c>
      <c r="O18" s="10" t="s">
        <v>12160</v>
      </c>
      <c r="P18" s="9"/>
      <c r="Q18" s="9">
        <v>4240</v>
      </c>
      <c r="R18" s="9"/>
      <c r="S18" s="9" t="s">
        <v>12795</v>
      </c>
      <c r="T18" s="9" t="s">
        <v>12795</v>
      </c>
      <c r="U18" s="9" t="s">
        <v>4</v>
      </c>
      <c r="V18" s="9" t="s">
        <v>13131</v>
      </c>
      <c r="W18" s="9"/>
      <c r="X18" s="9"/>
      <c r="Y18" s="9"/>
      <c r="Z18" s="9"/>
      <c r="AA18" s="9"/>
      <c r="AB18" s="9"/>
      <c r="AC18" s="9"/>
      <c r="AD18" s="9"/>
      <c r="AE18" s="9"/>
      <c r="AF18" s="9" t="s">
        <v>20</v>
      </c>
    </row>
    <row r="19" spans="1:32" ht="29">
      <c r="A19" s="3" t="s">
        <v>1720</v>
      </c>
      <c r="B19" s="3" t="s">
        <v>6541</v>
      </c>
      <c r="C19" s="3" t="s">
        <v>6542</v>
      </c>
      <c r="G19" t="s">
        <v>12660</v>
      </c>
      <c r="H19" s="9" t="s">
        <v>12118</v>
      </c>
      <c r="I19" s="9"/>
      <c r="J19" s="9"/>
      <c r="K19" s="9"/>
      <c r="L19" s="9"/>
      <c r="M19" s="9"/>
      <c r="N19" s="9"/>
      <c r="O19" s="10"/>
      <c r="P19" s="9"/>
      <c r="Q19" s="9"/>
      <c r="R19" s="9">
        <v>41</v>
      </c>
      <c r="S19" s="9">
        <v>444</v>
      </c>
      <c r="T19" s="9">
        <v>485</v>
      </c>
      <c r="U19" s="9" t="s">
        <v>4</v>
      </c>
      <c r="V19" s="9" t="s">
        <v>13130</v>
      </c>
      <c r="W19" s="9"/>
      <c r="X19" s="9"/>
      <c r="Y19" s="9"/>
      <c r="Z19" s="9"/>
      <c r="AA19" s="9"/>
      <c r="AB19" s="9"/>
      <c r="AC19" s="9"/>
      <c r="AD19" s="9"/>
      <c r="AE19" s="9"/>
      <c r="AF19" s="9" t="s">
        <v>20</v>
      </c>
    </row>
    <row r="20" spans="1:32" ht="87">
      <c r="A20" s="3" t="s">
        <v>2381</v>
      </c>
      <c r="B20" s="3" t="s">
        <v>7451</v>
      </c>
      <c r="C20" s="3" t="s">
        <v>7452</v>
      </c>
      <c r="G20" t="s">
        <v>12675</v>
      </c>
      <c r="H20" s="9" t="s">
        <v>26</v>
      </c>
      <c r="I20" s="9"/>
      <c r="J20" s="9"/>
      <c r="K20" s="9"/>
      <c r="L20" s="9"/>
      <c r="M20" s="9"/>
      <c r="N20" s="9"/>
      <c r="O20" s="10"/>
      <c r="P20" s="9"/>
      <c r="Q20" s="9"/>
      <c r="R20" s="9"/>
      <c r="S20" s="9" t="s">
        <v>12795</v>
      </c>
      <c r="T20" s="9" t="s">
        <v>12795</v>
      </c>
      <c r="U20" s="9" t="s">
        <v>12117</v>
      </c>
      <c r="V20" s="9" t="s">
        <v>13131</v>
      </c>
      <c r="W20" s="9"/>
      <c r="X20" s="9"/>
      <c r="Y20" s="9"/>
      <c r="Z20" s="9"/>
      <c r="AA20" s="9"/>
      <c r="AB20" s="9"/>
      <c r="AC20" s="9"/>
      <c r="AD20" s="9"/>
      <c r="AE20" s="9"/>
      <c r="AF20" s="9" t="s">
        <v>20</v>
      </c>
    </row>
    <row r="21" spans="1:32" ht="87">
      <c r="A21" s="3" t="s">
        <v>2513</v>
      </c>
      <c r="B21" s="3" t="s">
        <v>7632</v>
      </c>
      <c r="C21" s="3" t="s">
        <v>7631</v>
      </c>
      <c r="G21" t="s">
        <v>12678</v>
      </c>
      <c r="H21" s="9" t="s">
        <v>26</v>
      </c>
      <c r="I21" s="9"/>
      <c r="J21" s="9"/>
      <c r="K21" s="9"/>
      <c r="L21" s="9"/>
      <c r="M21" s="9"/>
      <c r="N21" s="9"/>
      <c r="O21" s="10"/>
      <c r="P21" s="9"/>
      <c r="Q21" s="9"/>
      <c r="R21" s="9"/>
      <c r="S21" s="9" t="s">
        <v>12795</v>
      </c>
      <c r="T21" s="9" t="s">
        <v>12795</v>
      </c>
      <c r="U21" s="9" t="s">
        <v>12117</v>
      </c>
      <c r="V21" s="9" t="s">
        <v>13130</v>
      </c>
      <c r="W21" s="9"/>
      <c r="X21" s="9"/>
      <c r="Y21" s="9"/>
      <c r="Z21" s="9"/>
      <c r="AA21" s="9"/>
      <c r="AB21" s="9"/>
      <c r="AC21" s="9"/>
      <c r="AD21" s="9"/>
      <c r="AE21" s="9"/>
      <c r="AF21" s="9" t="s">
        <v>20</v>
      </c>
    </row>
    <row r="22" spans="1:32" ht="43.5">
      <c r="A22" s="3" t="s">
        <v>3134</v>
      </c>
      <c r="B22" s="3" t="s">
        <v>8558</v>
      </c>
      <c r="C22" s="3" t="s">
        <v>8559</v>
      </c>
      <c r="G22" t="s">
        <v>12687</v>
      </c>
      <c r="H22" s="9" t="s">
        <v>26</v>
      </c>
      <c r="I22" s="9"/>
      <c r="J22" s="9"/>
      <c r="K22" s="9"/>
      <c r="L22" s="9"/>
      <c r="M22" s="9"/>
      <c r="N22" s="9"/>
      <c r="O22" s="10"/>
      <c r="P22" s="9"/>
      <c r="Q22" s="9"/>
      <c r="R22" s="9"/>
      <c r="S22" s="9" t="s">
        <v>12795</v>
      </c>
      <c r="T22" s="9" t="s">
        <v>12795</v>
      </c>
      <c r="U22" s="9" t="s">
        <v>12117</v>
      </c>
      <c r="V22" s="9" t="s">
        <v>13131</v>
      </c>
      <c r="W22" s="9"/>
      <c r="X22" s="9"/>
      <c r="Y22" s="9"/>
      <c r="Z22" s="9"/>
      <c r="AA22" s="9"/>
      <c r="AB22" s="9"/>
      <c r="AC22" s="9"/>
      <c r="AD22" s="9"/>
      <c r="AE22" s="9"/>
      <c r="AF22" s="9" t="s">
        <v>20</v>
      </c>
    </row>
    <row r="23" spans="1:32" ht="43.5">
      <c r="A23" s="3" t="s">
        <v>3244</v>
      </c>
      <c r="B23" s="3" t="s">
        <v>8749</v>
      </c>
      <c r="C23" s="3" t="s">
        <v>8748</v>
      </c>
      <c r="G23" t="s">
        <v>12691</v>
      </c>
      <c r="H23" s="9" t="s">
        <v>25</v>
      </c>
      <c r="I23" s="9"/>
      <c r="J23" s="9">
        <v>1</v>
      </c>
      <c r="K23" s="9">
        <v>2</v>
      </c>
      <c r="L23" s="9" t="s">
        <v>12096</v>
      </c>
      <c r="M23" s="9" t="s">
        <v>12119</v>
      </c>
      <c r="N23" s="9"/>
      <c r="O23" s="10"/>
      <c r="P23" s="9"/>
      <c r="Q23" s="9">
        <v>1294</v>
      </c>
      <c r="R23" s="9"/>
      <c r="S23" s="9" t="s">
        <v>12795</v>
      </c>
      <c r="T23" s="9" t="s">
        <v>12795</v>
      </c>
      <c r="U23" s="9" t="s">
        <v>12117</v>
      </c>
      <c r="V23" s="9" t="s">
        <v>13132</v>
      </c>
      <c r="W23" s="9"/>
      <c r="X23" s="9"/>
      <c r="Y23" s="9"/>
      <c r="Z23" s="9"/>
      <c r="AA23" s="9"/>
      <c r="AB23" s="9"/>
      <c r="AC23" s="9"/>
      <c r="AD23" s="9"/>
      <c r="AE23" s="9"/>
      <c r="AF23" s="9" t="s">
        <v>20</v>
      </c>
    </row>
    <row r="24" spans="1:32" ht="87">
      <c r="A24" s="3" t="s">
        <v>3247</v>
      </c>
      <c r="B24" s="3" t="s">
        <v>8757</v>
      </c>
      <c r="C24" s="3" t="s">
        <v>8756</v>
      </c>
      <c r="G24" t="s">
        <v>12692</v>
      </c>
      <c r="H24" s="9" t="s">
        <v>25</v>
      </c>
      <c r="I24" s="9"/>
      <c r="J24" s="9">
        <v>1</v>
      </c>
      <c r="K24" s="9">
        <v>1</v>
      </c>
      <c r="L24" s="9" t="s">
        <v>12078</v>
      </c>
      <c r="M24" s="9" t="s">
        <v>12119</v>
      </c>
      <c r="N24" s="9"/>
      <c r="O24" s="10"/>
      <c r="P24" s="9"/>
      <c r="Q24" s="9">
        <v>11843</v>
      </c>
      <c r="R24" s="9"/>
      <c r="S24" s="9" t="s">
        <v>12795</v>
      </c>
      <c r="T24" s="9" t="s">
        <v>12795</v>
      </c>
      <c r="U24" s="9" t="s">
        <v>12117</v>
      </c>
      <c r="V24" s="9" t="s">
        <v>13131</v>
      </c>
      <c r="W24" s="9"/>
      <c r="X24" s="9"/>
      <c r="Y24" s="9"/>
      <c r="Z24" s="9"/>
      <c r="AA24" s="9"/>
      <c r="AB24" s="9"/>
      <c r="AC24" s="9"/>
      <c r="AD24" s="9"/>
      <c r="AE24" s="9"/>
      <c r="AF24" s="9" t="s">
        <v>20</v>
      </c>
    </row>
    <row r="25" spans="1:32" ht="43.5">
      <c r="A25" s="3" t="s">
        <v>3255</v>
      </c>
      <c r="B25" s="3" t="s">
        <v>8775</v>
      </c>
      <c r="C25" s="3" t="s">
        <v>8774</v>
      </c>
      <c r="G25" t="s">
        <v>12693</v>
      </c>
      <c r="H25" s="9" t="s">
        <v>26</v>
      </c>
      <c r="I25" s="9"/>
      <c r="J25" s="9"/>
      <c r="K25" s="9"/>
      <c r="L25" s="9"/>
      <c r="M25" s="9"/>
      <c r="N25" s="9"/>
      <c r="O25" s="10"/>
      <c r="P25" s="9"/>
      <c r="Q25" s="9"/>
      <c r="R25" s="9"/>
      <c r="S25" s="9" t="s">
        <v>12795</v>
      </c>
      <c r="T25" s="9" t="s">
        <v>12795</v>
      </c>
      <c r="U25" s="9" t="s">
        <v>4</v>
      </c>
      <c r="V25" s="9" t="s">
        <v>13131</v>
      </c>
      <c r="W25" s="9"/>
      <c r="X25" s="9"/>
      <c r="Y25" s="9"/>
      <c r="Z25" s="9"/>
      <c r="AA25" s="9"/>
      <c r="AB25" s="9"/>
      <c r="AC25" s="9"/>
      <c r="AD25" s="9"/>
      <c r="AE25" s="9"/>
      <c r="AF25" s="9" t="s">
        <v>20</v>
      </c>
    </row>
    <row r="26" spans="1:32" ht="87">
      <c r="A26" s="3" t="s">
        <v>3439</v>
      </c>
      <c r="B26" s="3" t="s">
        <v>9127</v>
      </c>
      <c r="C26" s="3" t="s">
        <v>9126</v>
      </c>
      <c r="G26" t="s">
        <v>12708</v>
      </c>
      <c r="H26" s="9" t="s">
        <v>26</v>
      </c>
      <c r="I26" s="9"/>
      <c r="J26" s="9"/>
      <c r="K26" s="9"/>
      <c r="L26" s="9"/>
      <c r="M26" s="9"/>
      <c r="N26" s="9"/>
      <c r="O26" s="10"/>
      <c r="P26" s="9"/>
      <c r="Q26" s="9"/>
      <c r="R26" s="9"/>
      <c r="S26" s="9" t="s">
        <v>12795</v>
      </c>
      <c r="T26" s="9" t="s">
        <v>12795</v>
      </c>
      <c r="U26" s="9" t="s">
        <v>12117</v>
      </c>
      <c r="V26" s="9" t="s">
        <v>13131</v>
      </c>
      <c r="W26" s="9"/>
      <c r="X26" s="9"/>
      <c r="Y26" s="9"/>
      <c r="Z26" s="9"/>
      <c r="AA26" s="9"/>
      <c r="AB26" s="9"/>
      <c r="AC26" s="9"/>
      <c r="AD26" s="9"/>
      <c r="AE26" s="9"/>
      <c r="AF26" s="9" t="s">
        <v>20</v>
      </c>
    </row>
    <row r="27" spans="1:32" ht="43.5">
      <c r="A27" s="3" t="s">
        <v>3502</v>
      </c>
      <c r="B27" s="3" t="s">
        <v>9233</v>
      </c>
      <c r="C27" s="3" t="s">
        <v>9232</v>
      </c>
      <c r="G27" t="s">
        <v>12709</v>
      </c>
      <c r="H27" s="9" t="s">
        <v>26</v>
      </c>
      <c r="I27" s="9"/>
      <c r="J27" s="9"/>
      <c r="K27" s="9"/>
      <c r="L27" s="9"/>
      <c r="M27" s="9"/>
      <c r="N27" s="9"/>
      <c r="O27" s="10"/>
      <c r="P27" s="9"/>
      <c r="Q27" s="9"/>
      <c r="R27" s="9"/>
      <c r="S27" s="9" t="s">
        <v>12795</v>
      </c>
      <c r="T27" s="9" t="s">
        <v>12795</v>
      </c>
      <c r="U27" s="9" t="s">
        <v>12117</v>
      </c>
      <c r="V27" s="9" t="s">
        <v>13131</v>
      </c>
      <c r="W27" s="9"/>
      <c r="X27" s="9"/>
      <c r="Y27" s="9"/>
      <c r="Z27" s="9"/>
      <c r="AA27" s="9"/>
      <c r="AB27" s="9"/>
      <c r="AC27" s="9"/>
      <c r="AD27" s="9"/>
      <c r="AE27" s="9"/>
      <c r="AF27" s="9" t="s">
        <v>20</v>
      </c>
    </row>
    <row r="28" spans="1:32" ht="43.5">
      <c r="A28" s="3" t="s">
        <v>3535</v>
      </c>
      <c r="B28" s="3" t="s">
        <v>9317</v>
      </c>
      <c r="C28" s="3" t="s">
        <v>9316</v>
      </c>
      <c r="F28" t="s">
        <v>19</v>
      </c>
      <c r="G28" t="s">
        <v>12710</v>
      </c>
      <c r="H28" s="9" t="s">
        <v>25</v>
      </c>
      <c r="I28" s="9"/>
      <c r="J28" s="9">
        <v>1</v>
      </c>
      <c r="K28" s="9">
        <v>2</v>
      </c>
      <c r="L28" s="9" t="s">
        <v>12092</v>
      </c>
      <c r="M28" s="9" t="s">
        <v>12119</v>
      </c>
      <c r="N28" s="9"/>
      <c r="O28" s="10"/>
      <c r="P28" s="9"/>
      <c r="Q28" s="9">
        <v>361</v>
      </c>
      <c r="R28" s="9"/>
      <c r="S28" s="9" t="s">
        <v>12795</v>
      </c>
      <c r="T28" s="9" t="s">
        <v>12795</v>
      </c>
      <c r="U28" s="9" t="s">
        <v>12117</v>
      </c>
      <c r="V28" s="9" t="s">
        <v>13130</v>
      </c>
      <c r="W28" s="9"/>
      <c r="X28" s="9"/>
      <c r="Y28" s="9"/>
      <c r="Z28" s="9"/>
      <c r="AA28" s="9"/>
      <c r="AB28" s="9"/>
      <c r="AC28" s="9"/>
      <c r="AD28" s="9"/>
      <c r="AE28" s="9"/>
      <c r="AF28" s="9" t="s">
        <v>20</v>
      </c>
    </row>
    <row r="29" spans="1:32" ht="29">
      <c r="A29" s="3" t="s">
        <v>4653</v>
      </c>
      <c r="B29" s="3" t="s">
        <v>11815</v>
      </c>
      <c r="C29" s="3" t="s">
        <v>11814</v>
      </c>
      <c r="G29" t="s">
        <v>12736</v>
      </c>
      <c r="H29" s="9" t="s">
        <v>24</v>
      </c>
      <c r="I29" s="9"/>
      <c r="J29" s="9">
        <v>1</v>
      </c>
      <c r="K29" s="9">
        <v>2</v>
      </c>
      <c r="L29" s="9" t="s">
        <v>12087</v>
      </c>
      <c r="M29" s="9" t="s">
        <v>12119</v>
      </c>
      <c r="N29" s="9"/>
      <c r="O29" s="10"/>
      <c r="P29" s="9"/>
      <c r="Q29" s="9">
        <v>166</v>
      </c>
      <c r="R29" s="9"/>
      <c r="S29" s="9" t="s">
        <v>12795</v>
      </c>
      <c r="T29" s="9" t="s">
        <v>12795</v>
      </c>
      <c r="U29" s="9" t="s">
        <v>4</v>
      </c>
      <c r="V29" s="9" t="s">
        <v>13130</v>
      </c>
      <c r="W29" s="9"/>
      <c r="X29" s="9"/>
      <c r="Y29" s="9"/>
      <c r="Z29" s="9"/>
      <c r="AA29" s="9"/>
      <c r="AB29" s="9"/>
      <c r="AC29" s="9"/>
      <c r="AD29" s="9"/>
      <c r="AE29" s="9"/>
      <c r="AF29" s="9" t="s">
        <v>20</v>
      </c>
    </row>
    <row r="32" spans="1:32">
      <c r="D32" t="s">
        <v>12821</v>
      </c>
      <c r="E32">
        <f>COUNTIF(U:U, "Harmonizing")</f>
        <v>7</v>
      </c>
    </row>
    <row r="33" spans="4:10">
      <c r="D33" t="s">
        <v>12822</v>
      </c>
      <c r="E33">
        <f>COUNTIF(U:U, "Disharmonizing")</f>
        <v>21</v>
      </c>
    </row>
    <row r="34" spans="4:10">
      <c r="D34" t="s">
        <v>12823</v>
      </c>
      <c r="E34">
        <f>E32/(E32+E33)</f>
        <v>0.25</v>
      </c>
    </row>
    <row r="37" spans="4:10">
      <c r="E37" s="22" t="s">
        <v>13135</v>
      </c>
      <c r="F37" s="22"/>
      <c r="G37" s="22"/>
      <c r="H37" s="22"/>
    </row>
    <row r="38" spans="4:10">
      <c r="E38" t="s">
        <v>13136</v>
      </c>
      <c r="F38" t="s">
        <v>13137</v>
      </c>
      <c r="G38" t="s">
        <v>13138</v>
      </c>
      <c r="H38" t="s">
        <v>13139</v>
      </c>
      <c r="I38" t="s">
        <v>13132</v>
      </c>
      <c r="J38" t="s">
        <v>12782</v>
      </c>
    </row>
    <row r="39" spans="4:10">
      <c r="D39" t="s">
        <v>12821</v>
      </c>
      <c r="E39">
        <f>COUNTIFS($U$2:$U$66,"Harmonizing",$V$2:$V$66,"forward")</f>
        <v>5</v>
      </c>
      <c r="F39">
        <f>COUNTIFS($U$2:$U$66,"Harmonizing",$V$2:$V$66,"forward") + COUNTIFS($U$2:$U$66,"Harmonizing",$V$2:$V$66,"both")</f>
        <v>5</v>
      </c>
      <c r="G39">
        <f>COUNTIFS($U$2:$U$66,"Harmonizing",$V$2:$V$66,"backward")</f>
        <v>2</v>
      </c>
      <c r="H39">
        <f>COUNTIFS($U$2:$U$66,"Harmonizing",$V$2:$V$66,"backward") + COUNTIFS($U$2:$U$66,"Harmonizing",$V$2:$V$66,"both")</f>
        <v>2</v>
      </c>
      <c r="I39">
        <f>COUNTIFS($U$2:$U$66,"Harmonizing",$V$2:$V$66,"both")</f>
        <v>0</v>
      </c>
      <c r="J39">
        <f>COUNTIFS($U$2:$U$66,"Harmonizing",$V$2:$V$66,"both") + COUNTIFS($U$2:$U$66,"Harmonizing",$V$2:$V$66,"forward") + COUNTIFS($U$2:$U$66,"Harmonizing",$V$2:$V$66,"backward")</f>
        <v>7</v>
      </c>
    </row>
    <row r="40" spans="4:10">
      <c r="D40" t="s">
        <v>12822</v>
      </c>
      <c r="E40">
        <f>COUNTIFS($U$2:$U$66,"Disharmonizing",$V$2:$V$66,"forward")</f>
        <v>5</v>
      </c>
      <c r="F40">
        <f>COUNTIFS($U$2:$U$66,"Disharmonizing",$V$2:$V$66,"forward") + COUNTIFS($U$2:$U$66,"Disharmonizing",$V$2:$V$66,"both")</f>
        <v>9</v>
      </c>
      <c r="G40">
        <f>COUNTIFS($U$2:$U$66,"Disharmonizing",$V$2:$V$66,"backward")</f>
        <v>12</v>
      </c>
      <c r="H40">
        <f>COUNTIFS($U$2:$U$66,"Disharmonizing",$V$2:$V$66,"backward") + COUNTIFS($U$2:$U$66,"Disharmonizing",$V$2:$V$66,"both")</f>
        <v>16</v>
      </c>
      <c r="I40">
        <f>COUNTIFS($U$2:$U$66,"Disharmonizing",$V$2:$V$66,"both")</f>
        <v>4</v>
      </c>
      <c r="J40">
        <f>COUNTIFS($U$2:$U$66,"Disharmonizing",$V$2:$V$66,"both") + COUNTIFS($U$2:$U$66,"Disharmonizing",$V$2:$V$66,"forward") + COUNTIFS($U$2:$U$66,"Disharmonizing",$V$2:$V$66,"backward")</f>
        <v>21</v>
      </c>
    </row>
    <row r="41" spans="4:10">
      <c r="D41" t="s">
        <v>12823</v>
      </c>
      <c r="E41">
        <f t="shared" ref="E41:J41" si="0">E39/(E39+E40)</f>
        <v>0.5</v>
      </c>
      <c r="F41">
        <f t="shared" si="0"/>
        <v>0.35714285714285715</v>
      </c>
      <c r="G41">
        <f t="shared" si="0"/>
        <v>0.14285714285714285</v>
      </c>
      <c r="H41">
        <f t="shared" si="0"/>
        <v>0.1111111111111111</v>
      </c>
      <c r="I41">
        <f t="shared" si="0"/>
        <v>0</v>
      </c>
      <c r="J41">
        <f t="shared" si="0"/>
        <v>0.25</v>
      </c>
    </row>
  </sheetData>
  <mergeCells count="1">
    <mergeCell ref="E37:H37"/>
  </mergeCells>
  <conditionalFormatting sqref="H2:H29">
    <cfRule type="expression" dxfId="27" priority="6">
      <formula>$J2&lt;&gt;""</formula>
    </cfRule>
    <cfRule type="expression" dxfId="26" priority="7">
      <formula>$J2=""</formula>
    </cfRule>
  </conditionalFormatting>
  <conditionalFormatting sqref="I2:M29 P2:Q29">
    <cfRule type="expression" dxfId="25" priority="15">
      <formula>AND($J2&lt;&gt;"Addition",$J2&lt;&gt;"Omission",$J2&lt;&gt;"Substitution - Word")</formula>
    </cfRule>
  </conditionalFormatting>
  <conditionalFormatting sqref="I2:Q29">
    <cfRule type="expression" dxfId="24" priority="25">
      <formula>AND(OR($J2="Addition",$J2="Omission"), I2&lt;&gt;"")</formula>
    </cfRule>
  </conditionalFormatting>
  <conditionalFormatting sqref="L2:L29">
    <cfRule type="expression" dxfId="23" priority="12">
      <formula>AND($L2&lt;&gt;"",$L2&gt;1)</formula>
    </cfRule>
  </conditionalFormatting>
  <conditionalFormatting sqref="N2:O29">
    <cfRule type="expression" dxfId="22" priority="8">
      <formula>$O2="Absent"</formula>
    </cfRule>
    <cfRule type="expression" dxfId="21" priority="9">
      <formula>$O2="NA"</formula>
    </cfRule>
    <cfRule type="expression" dxfId="20" priority="10">
      <formula>AND(OR($J2="Addition",$J2="Omission"), N2="")</formula>
    </cfRule>
    <cfRule type="expression" dxfId="19" priority="11">
      <formula>AND($J2&lt;&gt;"Addition",$J2&lt;&gt;"Omission")</formula>
    </cfRule>
  </conditionalFormatting>
  <conditionalFormatting sqref="P2:P29">
    <cfRule type="expression" dxfId="18" priority="13">
      <formula>OR($J2="Addition",$J2="Omission",$J2 = "Substitution - Word")</formula>
    </cfRule>
  </conditionalFormatting>
  <conditionalFormatting sqref="P2:Q29 I2:M29">
    <cfRule type="expression" dxfId="17" priority="14">
      <formula>AND(OR($J2="Addition",$J2="Omission"), I2="")</formula>
    </cfRule>
  </conditionalFormatting>
  <conditionalFormatting sqref="R2:T29">
    <cfRule type="expression" dxfId="16" priority="22">
      <formula>AND(AND(LEFT($J2,3)="Sub", RIGHT($J2,4)&lt;&gt;"Form"),$T2&lt;&gt;"")</formula>
    </cfRule>
    <cfRule type="expression" dxfId="15" priority="23">
      <formula>AND(AND(LEFT($J2,3)="Sub", RIGHT($J2,4)&lt;&gt;"Form"),$T2="")</formula>
    </cfRule>
    <cfRule type="expression" dxfId="14" priority="24">
      <formula>"&lt;&gt;AND(LEFT($J2,3)=""Sub"", RIGHT($J2,4)&lt;&gt;""Form"")"</formula>
    </cfRule>
  </conditionalFormatting>
  <conditionalFormatting sqref="S2:T29">
    <cfRule type="expression" dxfId="13" priority="3">
      <formula>AND(AND(LEFT($J2,3)="Sub", RIGHT($J2,4)&lt;&gt;"Form"),$T2&lt;&gt;"")</formula>
    </cfRule>
    <cfRule type="expression" dxfId="12" priority="4">
      <formula>AND(AND(LEFT($J2,3)="Sub", RIGHT($J2,4)&lt;&gt;"Form"),$T2="")</formula>
    </cfRule>
    <cfRule type="expression" dxfId="11" priority="5">
      <formula>"&lt;&gt;AND(LEFT($J2,3)=""Sub"", RIGHT($J2,4)&lt;&gt;""Form"")"</formula>
    </cfRule>
  </conditionalFormatting>
  <conditionalFormatting sqref="U2:V29">
    <cfRule type="expression" dxfId="10" priority="17">
      <formula>AND($X2&lt;&gt;"",OR($AE2="Yes",$AF2&lt;&gt;""))</formula>
    </cfRule>
    <cfRule type="expression" dxfId="9" priority="18">
      <formula>OR($AE2="Yes",$AF2&lt;&gt;"")</formula>
    </cfRule>
    <cfRule type="expression" dxfId="8" priority="28">
      <formula>AND($AE2&lt;&gt;"Yes",$AF2="")</formula>
    </cfRule>
  </conditionalFormatting>
  <conditionalFormatting sqref="U2:AE29">
    <cfRule type="expression" dxfId="7" priority="26">
      <formula>AND($J2&lt;&gt;"",$J2&lt;&gt;"Unclear due to correction")</formula>
    </cfRule>
    <cfRule type="expression" dxfId="6" priority="27">
      <formula>OR($J2="",$J2="Unclear due to correction")</formula>
    </cfRule>
  </conditionalFormatting>
  <conditionalFormatting sqref="W2:W29">
    <cfRule type="expression" dxfId="5" priority="16">
      <formula>AND($J2&lt;&gt;"",$J2&lt;&gt;"Unclear due to correction",$Y2="")</formula>
    </cfRule>
  </conditionalFormatting>
  <conditionalFormatting sqref="X2:X29">
    <cfRule type="expression" dxfId="4" priority="19">
      <formula>AND($Y2="Yes",$Z2="")</formula>
    </cfRule>
    <cfRule type="expression" dxfId="3" priority="20">
      <formula>$Y2=""</formula>
    </cfRule>
  </conditionalFormatting>
  <conditionalFormatting sqref="AC2:AC29">
    <cfRule type="expression" dxfId="2" priority="21">
      <formula>AND(OR($AC2&lt;&gt;"",$AD2&lt;&gt;""),$AE2="")</formula>
    </cfRule>
  </conditionalFormatting>
  <conditionalFormatting sqref="AF2:AF29">
    <cfRule type="expression" dxfId="1" priority="1">
      <formula>AND($J2&lt;&gt;"",$J2&lt;&gt;"Unclear due to correction")</formula>
    </cfRule>
    <cfRule type="expression" dxfId="0" priority="2">
      <formula>OR($J2="",$J2="Unclear due to correction")</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8">
        <x14:dataValidation type="list" allowBlank="1" showInputMessage="1" showErrorMessage="1" xr:uid="{A0BFEE88-59F2-432F-ABE9-5D9B3FA380EC}">
          <x14:formula1>
            <xm:f>'Data Regularization'!$S$2:$S$5</xm:f>
          </x14:formula1>
          <xm:sqref>AF2:AF29</xm:sqref>
        </x14:dataValidation>
        <x14:dataValidation type="list" allowBlank="1" showInputMessage="1" showErrorMessage="1" xr:uid="{39D6AD17-1DC4-43F4-A5B0-DD4BB65E6C81}">
          <x14:formula1>
            <xm:f>'Data Regularization'!$I$2:$I$5</xm:f>
          </x14:formula1>
          <xm:sqref>V2:V29</xm:sqref>
        </x14:dataValidation>
        <x14:dataValidation type="list" allowBlank="1" showInputMessage="1" showErrorMessage="1" xr:uid="{C65347AC-C492-4071-A93B-382CEC64D1F8}">
          <x14:formula1>
            <xm:f>'Data Regularization'!$D$2:$D$1048576</xm:f>
          </x14:formula1>
          <xm:sqref>H1:H29</xm:sqref>
        </x14:dataValidation>
        <x14:dataValidation type="list" allowBlank="1" showInputMessage="1" showErrorMessage="1" xr:uid="{D6D11098-04F3-42C4-AA59-CBC2EE5C4DCE}">
          <x14:formula1>
            <xm:f>'Data Regularization'!$R$2:$R$1048576</xm:f>
          </x14:formula1>
          <xm:sqref>AE2:AE29</xm:sqref>
        </x14:dataValidation>
        <x14:dataValidation type="list" allowBlank="1" showInputMessage="1" xr:uid="{683719A1-AB40-4283-B5AB-B17CA0DF3026}">
          <x14:formula1>
            <xm:f>'Data Regularization'!$J$2:$J$1048576</xm:f>
          </x14:formula1>
          <xm:sqref>W2:W29</xm:sqref>
        </x14:dataValidation>
        <x14:dataValidation type="list" allowBlank="1" showInputMessage="1" showErrorMessage="1" xr:uid="{63345324-0FC1-4784-8D13-2764819FD7C0}">
          <x14:formula1>
            <xm:f>'Data Regularization'!$H$2:$H$1048576</xm:f>
          </x14:formula1>
          <xm:sqref>U2:U29</xm:sqref>
        </x14:dataValidation>
        <x14:dataValidation type="list" allowBlank="1" showInputMessage="1" showErrorMessage="1" xr:uid="{843A5705-752E-4C23-9070-15ECF2459D43}">
          <x14:formula1>
            <xm:f>'Data Regularization'!$Q$2:$Q$1048576</xm:f>
          </x14:formula1>
          <xm:sqref>AD2:AD29</xm:sqref>
        </x14:dataValidation>
        <x14:dataValidation type="list" allowBlank="1" showInputMessage="1" showErrorMessage="1" xr:uid="{D7D57E56-D0F6-4BA7-8155-3D69BCC56BB8}">
          <x14:formula1>
            <xm:f>'Data Regularization'!$P$2:$P$1048576</xm:f>
          </x14:formula1>
          <xm:sqref>AC2:AC29</xm:sqref>
        </x14:dataValidation>
        <x14:dataValidation type="list" allowBlank="1" showInputMessage="1" showErrorMessage="1" xr:uid="{3D60DEB5-5B25-4A4E-8401-448524CD1088}">
          <x14:formula1>
            <xm:f>'Data Regularization'!$O$2:$O$1048576</xm:f>
          </x14:formula1>
          <xm:sqref>AA2:AA29</xm:sqref>
        </x14:dataValidation>
        <x14:dataValidation type="list" allowBlank="1" showInputMessage="1" showErrorMessage="1" xr:uid="{64F1308A-520C-44EC-A9E9-315E97A81BFB}">
          <x14:formula1>
            <xm:f>'Data Regularization'!$N$2:$N$1048576</xm:f>
          </x14:formula1>
          <xm:sqref>Z2:Z29</xm:sqref>
        </x14:dataValidation>
        <x14:dataValidation type="list" allowBlank="1" showInputMessage="1" showErrorMessage="1" xr:uid="{4D580624-A7EC-4CBB-B661-284AA1A54F16}">
          <x14:formula1>
            <xm:f>'Data Regularization'!$L$2:$L$1048576</xm:f>
          </x14:formula1>
          <xm:sqref>Y2:Y29</xm:sqref>
        </x14:dataValidation>
        <x14:dataValidation type="list" allowBlank="1" showInputMessage="1" showErrorMessage="1" xr:uid="{0661C365-4FC8-443B-99D0-3C718EC12628}">
          <x14:formula1>
            <xm:f>'Data Regularization'!$K$2:$K$1048576</xm:f>
          </x14:formula1>
          <xm:sqref>X2:X29</xm:sqref>
        </x14:dataValidation>
        <x14:dataValidation type="list" allowBlank="1" showInputMessage="1" showErrorMessage="1" xr:uid="{E81748EC-F9A7-4ABC-8D47-75240BE6CD23}">
          <x14:formula1>
            <xm:f>'Data Regularization'!$G$2:$G$1048576</xm:f>
          </x14:formula1>
          <xm:sqref>P2:P29</xm:sqref>
        </x14:dataValidation>
        <x14:dataValidation type="list" allowBlank="1" showInputMessage="1" showErrorMessage="1" xr:uid="{8C3BF754-219E-45D1-87E1-5C723345E5AE}">
          <x14:formula1>
            <xm:f>'Data Regularization'!$F$2:$F$1048576</xm:f>
          </x14:formula1>
          <xm:sqref>M2:M29</xm:sqref>
        </x14:dataValidation>
        <x14:dataValidation type="list" allowBlank="1" showInputMessage="1" showErrorMessage="1" xr:uid="{8337D764-AD5D-4297-AFA7-9B89E5BF33F1}">
          <x14:formula1>
            <xm:f>'Data Regularization'!$E$2:$E$1048576</xm:f>
          </x14:formula1>
          <xm:sqref>L2:L29</xm:sqref>
        </x14:dataValidation>
        <x14:dataValidation type="list" allowBlank="1" showInputMessage="1" showErrorMessage="1" xr:uid="{5B8355EE-E390-43A4-8ADD-105559D56C33}">
          <x14:formula1>
            <xm:f>'Data Regularization'!$A$2:$A$1048576</xm:f>
          </x14:formula1>
          <xm:sqref>D2:D29</xm:sqref>
        </x14:dataValidation>
        <x14:dataValidation type="list" allowBlank="1" showInputMessage="1" showErrorMessage="1" xr:uid="{E2DAD88E-2764-46DF-A277-24CBDF52CFAC}">
          <x14:formula1>
            <xm:f>'Data Regularization'!$B$2:$B$1048576</xm:f>
          </x14:formula1>
          <xm:sqref>E2:E29</xm:sqref>
        </x14:dataValidation>
        <x14:dataValidation type="list" allowBlank="1" showInputMessage="1" showErrorMessage="1" xr:uid="{66AF67FC-A69A-4ED9-937B-53C12825CD36}">
          <x14:formula1>
            <xm:f>'Data Regularization'!$C$2:$C$29</xm:f>
          </x14:formula1>
          <xm:sqref>F2:F29</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6DBB-7F8B-407C-8CD7-86CEE6B500E9}">
  <dimension ref="A1:B6"/>
  <sheetViews>
    <sheetView workbookViewId="0"/>
  </sheetViews>
  <sheetFormatPr defaultRowHeight="14.5"/>
  <cols>
    <col min="1" max="1" width="23.453125" bestFit="1" customWidth="1"/>
  </cols>
  <sheetData>
    <row r="1" spans="1:2">
      <c r="A1" t="s">
        <v>12824</v>
      </c>
      <c r="B1">
        <v>76104</v>
      </c>
    </row>
    <row r="2" spans="1:2">
      <c r="A2" t="s">
        <v>12825</v>
      </c>
      <c r="B2">
        <f>COUNTA('Unfiltered Data'!A:A) - 1</f>
        <v>5196</v>
      </c>
    </row>
    <row r="3" spans="1:2">
      <c r="A3" t="s">
        <v>12826</v>
      </c>
      <c r="B3">
        <f>COUNTA('Gen-filters'!A:A) - 1</f>
        <v>1871</v>
      </c>
    </row>
    <row r="5" spans="1:2">
      <c r="A5" t="s">
        <v>12827</v>
      </c>
      <c r="B5">
        <f>(B2/B1)*1000</f>
        <v>68.27499211605172</v>
      </c>
    </row>
    <row r="6" spans="1:2">
      <c r="A6" t="s">
        <v>12828</v>
      </c>
      <c r="B6">
        <f>(B3/B1)*1000</f>
        <v>24.584778723851571</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BE50-FBE9-4815-B8B9-4BFE73EA9431}">
  <dimension ref="A1:D11"/>
  <sheetViews>
    <sheetView workbookViewId="0"/>
  </sheetViews>
  <sheetFormatPr defaultRowHeight="14.5"/>
  <sheetData>
    <row r="1" spans="1:4">
      <c r="A1" t="s">
        <v>12836</v>
      </c>
    </row>
    <row r="2" spans="1:4">
      <c r="A2" t="s">
        <v>19</v>
      </c>
      <c r="B2">
        <f>COUNTIF('Unfiltered Data'!G:G, "Yes")</f>
        <v>1112</v>
      </c>
    </row>
    <row r="3" spans="1:4">
      <c r="A3" t="s">
        <v>20</v>
      </c>
      <c r="B3">
        <f>COUNTIF('Unfiltered Data'!G:G, "No")</f>
        <v>212</v>
      </c>
    </row>
    <row r="4" spans="1:4">
      <c r="A4" t="s">
        <v>12837</v>
      </c>
      <c r="B4">
        <f>B2/SUM(B2:B3)</f>
        <v>0.83987915407854985</v>
      </c>
    </row>
    <row r="7" spans="1:4">
      <c r="A7" t="s">
        <v>12838</v>
      </c>
    </row>
    <row r="8" spans="1:4">
      <c r="B8" t="s">
        <v>12839</v>
      </c>
      <c r="C8" t="s">
        <v>12840</v>
      </c>
      <c r="D8" t="s">
        <v>12841</v>
      </c>
    </row>
    <row r="9" spans="1:4">
      <c r="A9" t="s">
        <v>19</v>
      </c>
      <c r="B9">
        <f>COUNTIF('Unfiltered Data'!H:H, "Yes")</f>
        <v>94</v>
      </c>
      <c r="C9">
        <f>B10/'Gen-Error-Rates'!$B$2</f>
        <v>9.6227867590454198E-4</v>
      </c>
      <c r="D9">
        <f>B9/SUM($B$9:$B$11)</f>
        <v>0.93069306930693074</v>
      </c>
    </row>
    <row r="10" spans="1:4">
      <c r="A10" t="s">
        <v>12842</v>
      </c>
      <c r="B10">
        <f>COUNTIF('Unfiltered Data'!H:H, "Yes, partially")</f>
        <v>5</v>
      </c>
      <c r="C10">
        <f>B11/'Gen-Error-Rates'!$B$2</f>
        <v>3.8491147036181676E-4</v>
      </c>
      <c r="D10">
        <f t="shared" ref="D10:D11" si="0">B10/SUM($B$9:$B$11)</f>
        <v>4.9504950495049507E-2</v>
      </c>
    </row>
    <row r="11" spans="1:4">
      <c r="A11" t="s">
        <v>12843</v>
      </c>
      <c r="B11">
        <f>COUNTIF('Unfiltered Data'!H:H, "Yes, to another error")</f>
        <v>2</v>
      </c>
      <c r="C11">
        <f>B12/'Gen-Error-Rates'!$B$2</f>
        <v>0</v>
      </c>
      <c r="D11">
        <f t="shared" si="0"/>
        <v>1.9801980198019802E-2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95C0-011C-47AE-AE97-D85A1B174AA2}">
  <dimension ref="A1:AL61"/>
  <sheetViews>
    <sheetView workbookViewId="0">
      <pane ySplit="1" topLeftCell="A54" activePane="bottomLeft" state="frozen"/>
      <selection pane="bottomLeft" activeCell="A2" sqref="A2:XFD2"/>
    </sheetView>
  </sheetViews>
  <sheetFormatPr defaultRowHeight="14.5"/>
  <cols>
    <col min="8" max="29" width="0" hidden="1" customWidth="1"/>
  </cols>
  <sheetData>
    <row r="1" spans="1:38" s="1" customFormat="1">
      <c r="A1" s="1" t="s">
        <v>0</v>
      </c>
      <c r="B1" s="1" t="s">
        <v>5</v>
      </c>
      <c r="C1" s="1" t="s">
        <v>6</v>
      </c>
      <c r="D1" s="1" t="s">
        <v>12100</v>
      </c>
      <c r="E1" s="1" t="s">
        <v>12101</v>
      </c>
      <c r="F1" s="1" t="s">
        <v>12102</v>
      </c>
      <c r="G1" s="1" t="s">
        <v>3</v>
      </c>
      <c r="H1" s="1" t="s">
        <v>12103</v>
      </c>
      <c r="I1" s="1" t="s">
        <v>12104</v>
      </c>
      <c r="J1" s="1" t="s">
        <v>12105</v>
      </c>
      <c r="K1" s="1" t="s">
        <v>12106</v>
      </c>
      <c r="L1" s="1" t="s">
        <v>12066</v>
      </c>
      <c r="M1" s="1" t="s">
        <v>12107</v>
      </c>
      <c r="N1" s="8" t="s">
        <v>12108</v>
      </c>
      <c r="O1" s="1" t="s">
        <v>12067</v>
      </c>
      <c r="P1" s="1" t="s">
        <v>12109</v>
      </c>
      <c r="Q1" s="1" t="s">
        <v>12110</v>
      </c>
      <c r="R1" s="1" t="s">
        <v>12793</v>
      </c>
      <c r="S1" s="1" t="s">
        <v>12794</v>
      </c>
      <c r="T1" s="1" t="s">
        <v>12112</v>
      </c>
      <c r="U1" s="1" t="s">
        <v>12113</v>
      </c>
      <c r="V1" s="1" t="s">
        <v>12114</v>
      </c>
      <c r="W1" s="1" t="s">
        <v>12068</v>
      </c>
      <c r="X1" s="1" t="s">
        <v>12069</v>
      </c>
      <c r="Y1" s="1" t="s">
        <v>12070</v>
      </c>
      <c r="Z1" s="1" t="s">
        <v>12111</v>
      </c>
      <c r="AA1" s="1" t="s">
        <v>12115</v>
      </c>
      <c r="AB1" s="1" t="s">
        <v>12071</v>
      </c>
      <c r="AC1" s="1" t="s">
        <v>12116</v>
      </c>
      <c r="AD1" s="1" t="s">
        <v>13146</v>
      </c>
      <c r="AE1" s="1" t="s">
        <v>13147</v>
      </c>
      <c r="AF1" s="1" t="s">
        <v>13148</v>
      </c>
      <c r="AG1" s="1" t="s">
        <v>13149</v>
      </c>
      <c r="AH1" s="1" t="s">
        <v>13150</v>
      </c>
      <c r="AI1" s="1" t="s">
        <v>13151</v>
      </c>
      <c r="AJ1" s="1" t="s">
        <v>13152</v>
      </c>
      <c r="AK1" s="8" t="s">
        <v>13153</v>
      </c>
      <c r="AL1" s="8"/>
    </row>
    <row r="2" spans="1:38" ht="29">
      <c r="A2" s="3" t="s">
        <v>89</v>
      </c>
      <c r="B2" s="3" t="s">
        <v>4778</v>
      </c>
      <c r="C2" s="3" t="s">
        <v>4779</v>
      </c>
      <c r="G2" s="9" t="s">
        <v>12118</v>
      </c>
      <c r="H2" s="9"/>
      <c r="I2" s="9"/>
      <c r="J2" s="9"/>
      <c r="K2" s="9"/>
      <c r="L2" s="9"/>
      <c r="M2" s="9"/>
      <c r="N2" s="10"/>
      <c r="O2" s="9"/>
      <c r="P2" s="9"/>
      <c r="Q2" s="9">
        <v>103</v>
      </c>
      <c r="R2" s="9">
        <v>93</v>
      </c>
      <c r="S2" s="9">
        <v>196</v>
      </c>
      <c r="T2" s="9" t="s">
        <v>12117</v>
      </c>
      <c r="U2" s="9"/>
      <c r="V2" s="9"/>
      <c r="W2" s="9"/>
      <c r="X2" s="9"/>
      <c r="Y2" s="9"/>
      <c r="Z2" s="9"/>
      <c r="AA2" s="9"/>
      <c r="AB2" s="9"/>
      <c r="AC2" s="9"/>
      <c r="AD2" t="s">
        <v>20</v>
      </c>
      <c r="AE2" t="s">
        <v>20</v>
      </c>
      <c r="AF2" t="s">
        <v>20</v>
      </c>
      <c r="AG2" t="s">
        <v>20</v>
      </c>
      <c r="AH2" t="s">
        <v>20</v>
      </c>
      <c r="AI2" t="s">
        <v>20</v>
      </c>
      <c r="AJ2" t="s">
        <v>20</v>
      </c>
      <c r="AK2" t="s">
        <v>20</v>
      </c>
    </row>
    <row r="3" spans="1:38" ht="87">
      <c r="A3" s="3" t="s">
        <v>93</v>
      </c>
      <c r="B3" s="3" t="s">
        <v>4784</v>
      </c>
      <c r="C3" s="3" t="s">
        <v>4785</v>
      </c>
      <c r="G3" s="9" t="s">
        <v>26</v>
      </c>
      <c r="H3" s="9"/>
      <c r="I3" s="9"/>
      <c r="J3" s="9"/>
      <c r="K3" s="9"/>
      <c r="L3" s="9"/>
      <c r="M3" s="9"/>
      <c r="N3" s="10"/>
      <c r="O3" s="9"/>
      <c r="P3" s="9"/>
      <c r="Q3" s="9"/>
      <c r="R3" s="9" t="s">
        <v>12795</v>
      </c>
      <c r="S3" s="9" t="s">
        <v>12795</v>
      </c>
      <c r="T3" s="9"/>
      <c r="U3" s="9"/>
      <c r="V3" s="9"/>
      <c r="W3" s="9"/>
      <c r="X3" s="9"/>
      <c r="Y3" s="9"/>
      <c r="Z3" s="9"/>
      <c r="AA3" s="9"/>
      <c r="AB3" s="9"/>
      <c r="AC3" s="9"/>
      <c r="AD3" t="s">
        <v>13141</v>
      </c>
      <c r="AE3" t="s">
        <v>19</v>
      </c>
      <c r="AF3" t="s">
        <v>13141</v>
      </c>
      <c r="AG3" t="s">
        <v>13141</v>
      </c>
      <c r="AH3" t="s">
        <v>13141</v>
      </c>
      <c r="AI3" t="s">
        <v>13141</v>
      </c>
      <c r="AJ3" t="s">
        <v>13141</v>
      </c>
      <c r="AK3" t="s">
        <v>20</v>
      </c>
    </row>
    <row r="4" spans="1:38" ht="29">
      <c r="A4" s="3" t="s">
        <v>95</v>
      </c>
      <c r="B4" s="3" t="s">
        <v>98</v>
      </c>
      <c r="C4" s="3" t="s">
        <v>99</v>
      </c>
      <c r="G4" s="9" t="s">
        <v>12120</v>
      </c>
      <c r="H4" s="9"/>
      <c r="I4" s="9"/>
      <c r="J4" s="9"/>
      <c r="K4" s="9"/>
      <c r="L4" s="9"/>
      <c r="M4" s="9"/>
      <c r="N4" s="10"/>
      <c r="O4" s="9"/>
      <c r="P4" s="9"/>
      <c r="Q4" s="9"/>
      <c r="R4" s="9" t="s">
        <v>12795</v>
      </c>
      <c r="S4" s="9" t="s">
        <v>12795</v>
      </c>
      <c r="T4" s="9"/>
      <c r="U4" s="9"/>
      <c r="V4" s="9"/>
      <c r="W4" s="9"/>
      <c r="X4" s="9"/>
      <c r="Y4" s="9"/>
      <c r="Z4" s="9"/>
      <c r="AA4" s="9"/>
      <c r="AB4" s="9"/>
      <c r="AC4" s="9"/>
      <c r="AD4" t="s">
        <v>19</v>
      </c>
      <c r="AE4" t="s">
        <v>19</v>
      </c>
      <c r="AF4" t="s">
        <v>19</v>
      </c>
      <c r="AG4" t="s">
        <v>19</v>
      </c>
      <c r="AH4" t="s">
        <v>19</v>
      </c>
      <c r="AI4" t="s">
        <v>19</v>
      </c>
      <c r="AJ4" t="s">
        <v>19</v>
      </c>
      <c r="AK4" t="s">
        <v>19</v>
      </c>
    </row>
    <row r="5" spans="1:38" ht="43.5">
      <c r="A5" s="3" t="s">
        <v>100</v>
      </c>
      <c r="B5" s="3" t="s">
        <v>4792</v>
      </c>
      <c r="C5" s="3" t="s">
        <v>4793</v>
      </c>
      <c r="G5" s="9" t="s">
        <v>12120</v>
      </c>
      <c r="H5" s="9"/>
      <c r="I5" s="9"/>
      <c r="J5" s="9"/>
      <c r="K5" s="9"/>
      <c r="L5" s="9"/>
      <c r="M5" s="9"/>
      <c r="N5" s="10"/>
      <c r="O5" s="9"/>
      <c r="P5" s="9"/>
      <c r="Q5" s="9"/>
      <c r="R5" s="9" t="s">
        <v>12795</v>
      </c>
      <c r="S5" s="9" t="s">
        <v>12795</v>
      </c>
      <c r="T5" s="9"/>
      <c r="U5" s="9"/>
      <c r="V5" s="9"/>
      <c r="W5" s="9"/>
      <c r="X5" s="9"/>
      <c r="Y5" s="9"/>
      <c r="Z5" s="9"/>
      <c r="AA5" s="9"/>
      <c r="AB5" s="9"/>
      <c r="AC5" s="9"/>
      <c r="AD5" t="s">
        <v>20</v>
      </c>
      <c r="AE5" t="s">
        <v>20</v>
      </c>
      <c r="AF5" t="s">
        <v>20</v>
      </c>
      <c r="AG5" t="s">
        <v>20</v>
      </c>
      <c r="AH5" t="s">
        <v>20</v>
      </c>
      <c r="AI5" t="s">
        <v>20</v>
      </c>
      <c r="AJ5" t="s">
        <v>20</v>
      </c>
      <c r="AK5" t="s">
        <v>20</v>
      </c>
    </row>
    <row r="6" spans="1:38" ht="43.5">
      <c r="A6" s="3" t="s">
        <v>102</v>
      </c>
      <c r="B6" s="3" t="s">
        <v>4794</v>
      </c>
      <c r="C6" s="3" t="s">
        <v>4795</v>
      </c>
      <c r="G6" s="9" t="s">
        <v>12118</v>
      </c>
      <c r="H6" s="9"/>
      <c r="I6" s="9"/>
      <c r="J6" s="9"/>
      <c r="K6" s="9"/>
      <c r="L6" s="9"/>
      <c r="M6" s="9"/>
      <c r="N6" s="10"/>
      <c r="O6" s="9"/>
      <c r="P6" s="9"/>
      <c r="Q6" s="9">
        <v>95</v>
      </c>
      <c r="R6" s="9">
        <v>4</v>
      </c>
      <c r="S6" s="9">
        <v>99</v>
      </c>
      <c r="T6" s="9" t="s">
        <v>4</v>
      </c>
      <c r="U6" s="9"/>
      <c r="V6" s="9"/>
      <c r="W6" s="9"/>
      <c r="X6" s="9"/>
      <c r="Y6" s="9"/>
      <c r="Z6" s="9"/>
      <c r="AA6" s="9"/>
      <c r="AB6" s="9"/>
      <c r="AC6" s="9"/>
      <c r="AD6" t="s">
        <v>19</v>
      </c>
      <c r="AE6" t="s">
        <v>19</v>
      </c>
      <c r="AF6" t="s">
        <v>19</v>
      </c>
      <c r="AG6" t="s">
        <v>19</v>
      </c>
      <c r="AH6" t="s">
        <v>19</v>
      </c>
      <c r="AI6" t="s">
        <v>19</v>
      </c>
      <c r="AJ6" t="s">
        <v>19</v>
      </c>
      <c r="AK6" t="s">
        <v>19</v>
      </c>
    </row>
    <row r="7" spans="1:38" ht="43.5">
      <c r="A7" s="3" t="s">
        <v>108</v>
      </c>
      <c r="B7" s="3" t="s">
        <v>4804</v>
      </c>
      <c r="C7" s="3" t="s">
        <v>4805</v>
      </c>
      <c r="F7" t="s">
        <v>19</v>
      </c>
      <c r="G7" s="9" t="s">
        <v>25</v>
      </c>
      <c r="H7" s="9"/>
      <c r="I7" s="9">
        <v>1</v>
      </c>
      <c r="J7" s="9">
        <v>2</v>
      </c>
      <c r="K7" s="9" t="s">
        <v>12078</v>
      </c>
      <c r="L7" s="9" t="s">
        <v>12119</v>
      </c>
      <c r="M7" s="9"/>
      <c r="N7" s="10"/>
      <c r="O7" s="9"/>
      <c r="P7" s="9">
        <v>11843</v>
      </c>
      <c r="Q7" s="9"/>
      <c r="R7" s="9" t="s">
        <v>12795</v>
      </c>
      <c r="S7" s="9" t="s">
        <v>12795</v>
      </c>
      <c r="T7" s="9"/>
      <c r="U7" s="9"/>
      <c r="V7" s="9"/>
      <c r="W7" s="9"/>
      <c r="X7" s="9"/>
      <c r="Y7" s="9"/>
      <c r="Z7" s="9"/>
      <c r="AA7" s="9"/>
      <c r="AB7" s="9"/>
      <c r="AC7" s="9"/>
      <c r="AD7" t="s">
        <v>20</v>
      </c>
      <c r="AE7" t="s">
        <v>20</v>
      </c>
      <c r="AF7" t="s">
        <v>20</v>
      </c>
      <c r="AG7" t="s">
        <v>20</v>
      </c>
      <c r="AH7" t="s">
        <v>20</v>
      </c>
      <c r="AI7" t="s">
        <v>20</v>
      </c>
      <c r="AJ7" t="s">
        <v>20</v>
      </c>
      <c r="AK7" t="s">
        <v>20</v>
      </c>
    </row>
    <row r="8" spans="1:38" ht="43.5">
      <c r="A8" s="3" t="s">
        <v>114</v>
      </c>
      <c r="B8" s="3" t="s">
        <v>4810</v>
      </c>
      <c r="C8" s="3" t="s">
        <v>4811</v>
      </c>
      <c r="G8" s="9" t="s">
        <v>24</v>
      </c>
      <c r="H8" s="9"/>
      <c r="I8" s="9">
        <v>1</v>
      </c>
      <c r="J8" s="9">
        <v>2</v>
      </c>
      <c r="K8" s="9" t="s">
        <v>12087</v>
      </c>
      <c r="L8" s="9" t="s">
        <v>12119</v>
      </c>
      <c r="M8" s="9"/>
      <c r="N8" s="10"/>
      <c r="O8" s="9"/>
      <c r="P8" s="9">
        <v>1966</v>
      </c>
      <c r="Q8" s="9"/>
      <c r="R8" s="9" t="s">
        <v>12795</v>
      </c>
      <c r="S8" s="9" t="s">
        <v>12795</v>
      </c>
      <c r="T8" s="9"/>
      <c r="U8" s="9"/>
      <c r="V8" s="9"/>
      <c r="W8" s="9"/>
      <c r="X8" s="9"/>
      <c r="Y8" s="9"/>
      <c r="Z8" s="9"/>
      <c r="AA8" s="9"/>
      <c r="AB8" s="9"/>
      <c r="AC8" s="9"/>
      <c r="AD8" t="s">
        <v>19</v>
      </c>
      <c r="AE8" t="s">
        <v>19</v>
      </c>
      <c r="AF8" t="s">
        <v>19</v>
      </c>
      <c r="AG8" t="s">
        <v>19</v>
      </c>
      <c r="AH8" t="s">
        <v>19</v>
      </c>
      <c r="AI8" t="s">
        <v>19</v>
      </c>
      <c r="AJ8" t="s">
        <v>19</v>
      </c>
      <c r="AK8" t="s">
        <v>19</v>
      </c>
    </row>
    <row r="9" spans="1:38" ht="58">
      <c r="A9" s="3" t="s">
        <v>140</v>
      </c>
      <c r="B9" s="3" t="s">
        <v>4824</v>
      </c>
      <c r="C9" s="3" t="s">
        <v>4825</v>
      </c>
      <c r="F9" t="s">
        <v>19</v>
      </c>
      <c r="G9" s="9" t="s">
        <v>12120</v>
      </c>
      <c r="H9" s="9"/>
      <c r="I9" s="9"/>
      <c r="J9" s="9"/>
      <c r="K9" s="9"/>
      <c r="L9" s="9"/>
      <c r="M9" s="9"/>
      <c r="N9" s="10"/>
      <c r="O9" s="9"/>
      <c r="P9" s="9"/>
      <c r="Q9" s="9"/>
      <c r="R9" s="9" t="s">
        <v>12795</v>
      </c>
      <c r="S9" s="9" t="s">
        <v>12795</v>
      </c>
      <c r="T9" s="9"/>
      <c r="U9" s="9"/>
      <c r="V9" s="9"/>
      <c r="W9" s="9"/>
      <c r="X9" s="9"/>
      <c r="Y9" s="9"/>
      <c r="Z9" s="9"/>
      <c r="AA9" s="9"/>
      <c r="AB9" s="9"/>
      <c r="AC9" s="9"/>
      <c r="AD9" t="s">
        <v>20</v>
      </c>
      <c r="AE9" t="s">
        <v>20</v>
      </c>
      <c r="AF9" t="s">
        <v>20</v>
      </c>
      <c r="AG9" t="s">
        <v>20</v>
      </c>
      <c r="AH9" t="s">
        <v>20</v>
      </c>
      <c r="AI9" t="s">
        <v>20</v>
      </c>
      <c r="AJ9" t="s">
        <v>20</v>
      </c>
      <c r="AK9" t="s">
        <v>19</v>
      </c>
    </row>
    <row r="10" spans="1:38" ht="116">
      <c r="A10" s="3" t="s">
        <v>142</v>
      </c>
      <c r="B10" s="3" t="s">
        <v>4828</v>
      </c>
      <c r="C10" s="3" t="s">
        <v>12959</v>
      </c>
      <c r="G10" s="9" t="s">
        <v>25</v>
      </c>
      <c r="H10" s="9"/>
      <c r="I10" s="9">
        <v>4</v>
      </c>
      <c r="J10" s="9">
        <v>20</v>
      </c>
      <c r="K10" s="9"/>
      <c r="L10" s="9" t="s">
        <v>12073</v>
      </c>
      <c r="M10" s="9" t="s">
        <v>12135</v>
      </c>
      <c r="N10" s="10" t="s">
        <v>12136</v>
      </c>
      <c r="O10" s="9"/>
      <c r="P10" s="9">
        <v>507</v>
      </c>
      <c r="Q10" s="9"/>
      <c r="R10" s="9" t="s">
        <v>12795</v>
      </c>
      <c r="S10" s="9" t="s">
        <v>12795</v>
      </c>
      <c r="T10" s="9"/>
      <c r="U10" s="9"/>
      <c r="V10" s="9"/>
      <c r="W10" s="9"/>
      <c r="X10" s="9"/>
      <c r="Y10" s="9"/>
      <c r="Z10" s="9"/>
      <c r="AA10" s="9"/>
      <c r="AB10" s="9"/>
      <c r="AC10" s="9"/>
      <c r="AD10" t="s">
        <v>20</v>
      </c>
      <c r="AE10" t="s">
        <v>20</v>
      </c>
      <c r="AF10" t="s">
        <v>20</v>
      </c>
      <c r="AG10" t="s">
        <v>20</v>
      </c>
      <c r="AH10" t="s">
        <v>20</v>
      </c>
      <c r="AI10" t="s">
        <v>20</v>
      </c>
      <c r="AJ10" t="s">
        <v>20</v>
      </c>
      <c r="AK10" t="s">
        <v>20</v>
      </c>
    </row>
    <row r="11" spans="1:38" ht="29">
      <c r="A11" s="3" t="s">
        <v>147</v>
      </c>
      <c r="B11" s="3" t="s">
        <v>4829</v>
      </c>
      <c r="C11" s="3" t="s">
        <v>4830</v>
      </c>
      <c r="G11" s="9" t="s">
        <v>25</v>
      </c>
      <c r="H11" s="9"/>
      <c r="I11" s="9">
        <v>1</v>
      </c>
      <c r="J11" s="9">
        <v>1</v>
      </c>
      <c r="K11" s="9" t="s">
        <v>12078</v>
      </c>
      <c r="L11" s="9" t="s">
        <v>12119</v>
      </c>
      <c r="M11" s="9"/>
      <c r="N11" s="10"/>
      <c r="O11" s="9"/>
      <c r="P11" s="9">
        <v>11843</v>
      </c>
      <c r="Q11" s="9"/>
      <c r="R11" s="9" t="s">
        <v>12795</v>
      </c>
      <c r="S11" s="9" t="s">
        <v>12795</v>
      </c>
      <c r="T11" s="9"/>
      <c r="U11" s="9"/>
      <c r="V11" s="9"/>
      <c r="W11" s="9"/>
      <c r="X11" s="9"/>
      <c r="Y11" s="9"/>
      <c r="Z11" s="9"/>
      <c r="AA11" s="9"/>
      <c r="AB11" s="9"/>
      <c r="AC11" s="9"/>
      <c r="AD11" t="s">
        <v>20</v>
      </c>
      <c r="AE11" t="s">
        <v>20</v>
      </c>
      <c r="AF11" t="s">
        <v>20</v>
      </c>
      <c r="AG11" t="s">
        <v>20</v>
      </c>
      <c r="AH11" t="s">
        <v>20</v>
      </c>
      <c r="AI11" t="s">
        <v>20</v>
      </c>
      <c r="AJ11" t="s">
        <v>20</v>
      </c>
      <c r="AK11" t="s">
        <v>20</v>
      </c>
    </row>
    <row r="12" spans="1:38" ht="43.5">
      <c r="A12" s="3" t="s">
        <v>148</v>
      </c>
      <c r="B12" s="3" t="s">
        <v>4831</v>
      </c>
      <c r="C12" s="3" t="s">
        <v>4832</v>
      </c>
      <c r="G12" s="9" t="s">
        <v>25</v>
      </c>
      <c r="H12" s="9"/>
      <c r="I12" s="9">
        <v>1</v>
      </c>
      <c r="J12" s="9">
        <v>3</v>
      </c>
      <c r="K12" s="9" t="s">
        <v>12078</v>
      </c>
      <c r="L12" s="9" t="s">
        <v>12079</v>
      </c>
      <c r="M12" s="9"/>
      <c r="N12" s="10"/>
      <c r="O12" s="9"/>
      <c r="P12" s="9">
        <v>11843</v>
      </c>
      <c r="Q12" s="9"/>
      <c r="R12" s="9" t="s">
        <v>12795</v>
      </c>
      <c r="S12" s="9" t="s">
        <v>12795</v>
      </c>
      <c r="T12" s="9"/>
      <c r="U12" s="9"/>
      <c r="V12" s="9"/>
      <c r="W12" s="9"/>
      <c r="X12" s="9"/>
      <c r="Y12" s="9"/>
      <c r="Z12" s="9"/>
      <c r="AA12" s="9"/>
      <c r="AB12" s="9"/>
      <c r="AC12" s="9"/>
      <c r="AD12" t="s">
        <v>20</v>
      </c>
      <c r="AE12" t="s">
        <v>20</v>
      </c>
      <c r="AF12" t="s">
        <v>20</v>
      </c>
      <c r="AG12" t="s">
        <v>20</v>
      </c>
      <c r="AH12" t="s">
        <v>20</v>
      </c>
      <c r="AI12" t="s">
        <v>20</v>
      </c>
      <c r="AJ12" t="s">
        <v>20</v>
      </c>
      <c r="AK12" t="s">
        <v>20</v>
      </c>
    </row>
    <row r="13" spans="1:38" ht="43.5">
      <c r="A13" s="3" t="s">
        <v>152</v>
      </c>
      <c r="B13" s="3" t="s">
        <v>4833</v>
      </c>
      <c r="C13" s="3" t="s">
        <v>4834</v>
      </c>
      <c r="G13" s="9" t="s">
        <v>25</v>
      </c>
      <c r="H13" s="9"/>
      <c r="I13" s="9">
        <v>1</v>
      </c>
      <c r="J13" s="9">
        <v>4</v>
      </c>
      <c r="K13" s="9" t="s">
        <v>12094</v>
      </c>
      <c r="L13" s="9" t="s">
        <v>12079</v>
      </c>
      <c r="M13" s="9"/>
      <c r="N13" s="10"/>
      <c r="O13" s="9"/>
      <c r="P13" s="9">
        <v>4240</v>
      </c>
      <c r="Q13" s="9"/>
      <c r="R13" s="9" t="s">
        <v>12795</v>
      </c>
      <c r="S13" s="9" t="s">
        <v>12795</v>
      </c>
      <c r="T13" s="9" t="s">
        <v>4</v>
      </c>
      <c r="U13" s="9"/>
      <c r="V13" s="9"/>
      <c r="W13" s="9"/>
      <c r="X13" s="9"/>
      <c r="Y13" s="9"/>
      <c r="Z13" s="9"/>
      <c r="AA13" s="9"/>
      <c r="AB13" s="9"/>
      <c r="AC13" s="9"/>
      <c r="AD13" t="s">
        <v>19</v>
      </c>
      <c r="AE13" t="s">
        <v>19</v>
      </c>
      <c r="AF13" t="s">
        <v>19</v>
      </c>
      <c r="AG13" t="s">
        <v>19</v>
      </c>
      <c r="AH13" t="s">
        <v>19</v>
      </c>
      <c r="AI13" t="s">
        <v>19</v>
      </c>
      <c r="AJ13" t="s">
        <v>19</v>
      </c>
      <c r="AK13" t="s">
        <v>20</v>
      </c>
    </row>
    <row r="14" spans="1:38" ht="101.5">
      <c r="A14" s="3" t="s">
        <v>173</v>
      </c>
      <c r="B14" s="3" t="s">
        <v>12634</v>
      </c>
      <c r="C14" s="3" t="s">
        <v>12635</v>
      </c>
      <c r="G14" s="9" t="s">
        <v>25</v>
      </c>
      <c r="H14" s="9"/>
      <c r="I14" s="9">
        <v>2</v>
      </c>
      <c r="J14" s="9">
        <v>15</v>
      </c>
      <c r="K14" s="9"/>
      <c r="L14" s="9" t="s">
        <v>12073</v>
      </c>
      <c r="M14" s="9" t="s">
        <v>12140</v>
      </c>
      <c r="N14" s="10" t="s">
        <v>12137</v>
      </c>
      <c r="O14" s="9"/>
      <c r="P14" s="9">
        <v>83</v>
      </c>
      <c r="Q14" s="9"/>
      <c r="R14" s="9" t="s">
        <v>12795</v>
      </c>
      <c r="S14" s="9" t="s">
        <v>12795</v>
      </c>
      <c r="T14" s="9"/>
      <c r="U14" s="9"/>
      <c r="V14" s="9"/>
      <c r="W14" s="9"/>
      <c r="X14" s="9"/>
      <c r="Y14" s="9"/>
      <c r="Z14" s="9"/>
      <c r="AA14" s="9"/>
      <c r="AB14" s="9"/>
      <c r="AC14" s="9"/>
      <c r="AD14" t="s">
        <v>20</v>
      </c>
      <c r="AE14" t="s">
        <v>20</v>
      </c>
      <c r="AF14" t="s">
        <v>20</v>
      </c>
      <c r="AG14" t="s">
        <v>20</v>
      </c>
      <c r="AH14" t="s">
        <v>20</v>
      </c>
      <c r="AI14" t="s">
        <v>20</v>
      </c>
      <c r="AJ14" t="s">
        <v>20</v>
      </c>
      <c r="AK14" t="s">
        <v>20</v>
      </c>
    </row>
    <row r="15" spans="1:38" ht="130.5">
      <c r="A15" s="3" t="s">
        <v>177</v>
      </c>
      <c r="B15" s="3" t="s">
        <v>4849</v>
      </c>
      <c r="C15" s="3" t="s">
        <v>4850</v>
      </c>
      <c r="G15" s="9" t="s">
        <v>26</v>
      </c>
      <c r="H15" s="9"/>
      <c r="I15" s="9"/>
      <c r="J15" s="9"/>
      <c r="K15" s="9"/>
      <c r="L15" s="9"/>
      <c r="M15" s="9"/>
      <c r="N15" s="10"/>
      <c r="O15" s="9"/>
      <c r="P15" s="9"/>
      <c r="Q15" s="9"/>
      <c r="R15" s="9" t="s">
        <v>12795</v>
      </c>
      <c r="S15" s="9" t="s">
        <v>12795</v>
      </c>
      <c r="T15" s="9"/>
      <c r="U15" s="9"/>
      <c r="V15" s="9"/>
      <c r="W15" s="9"/>
      <c r="X15" s="9"/>
      <c r="Y15" s="9"/>
      <c r="Z15" s="9"/>
      <c r="AA15" s="9"/>
      <c r="AB15" s="9"/>
      <c r="AC15" s="9"/>
      <c r="AD15" t="s">
        <v>20</v>
      </c>
      <c r="AE15" t="s">
        <v>20</v>
      </c>
      <c r="AF15" t="s">
        <v>20</v>
      </c>
      <c r="AG15" t="s">
        <v>20</v>
      </c>
      <c r="AH15" t="s">
        <v>20</v>
      </c>
      <c r="AI15" t="s">
        <v>20</v>
      </c>
      <c r="AJ15" t="s">
        <v>20</v>
      </c>
      <c r="AK15" t="s">
        <v>20</v>
      </c>
    </row>
    <row r="16" spans="1:38" ht="58">
      <c r="A16" s="3" t="s">
        <v>188</v>
      </c>
      <c r="B16" s="3" t="s">
        <v>4857</v>
      </c>
      <c r="C16" s="3" t="s">
        <v>4858</v>
      </c>
      <c r="F16" t="s">
        <v>19</v>
      </c>
      <c r="G16" s="9" t="s">
        <v>25</v>
      </c>
      <c r="H16" s="9"/>
      <c r="I16" s="9">
        <v>1</v>
      </c>
      <c r="J16" s="9">
        <v>4</v>
      </c>
      <c r="K16" s="9" t="s">
        <v>12078</v>
      </c>
      <c r="L16" s="9" t="s">
        <v>12079</v>
      </c>
      <c r="M16" s="9"/>
      <c r="N16" s="10"/>
      <c r="O16" s="9"/>
      <c r="P16" s="9">
        <v>11843</v>
      </c>
      <c r="Q16" s="9"/>
      <c r="R16" s="9" t="s">
        <v>12795</v>
      </c>
      <c r="S16" s="9" t="s">
        <v>12795</v>
      </c>
      <c r="T16" s="9"/>
      <c r="U16" s="9"/>
      <c r="V16" s="9"/>
      <c r="W16" s="9"/>
      <c r="X16" s="9"/>
      <c r="Y16" s="9"/>
      <c r="Z16" s="9"/>
      <c r="AA16" s="9"/>
      <c r="AB16" s="9"/>
      <c r="AC16" s="9"/>
      <c r="AD16" t="s">
        <v>20</v>
      </c>
      <c r="AE16" t="s">
        <v>20</v>
      </c>
      <c r="AF16" t="s">
        <v>20</v>
      </c>
      <c r="AG16" t="s">
        <v>20</v>
      </c>
      <c r="AH16" t="s">
        <v>20</v>
      </c>
      <c r="AI16" t="s">
        <v>20</v>
      </c>
      <c r="AJ16" t="s">
        <v>20</v>
      </c>
      <c r="AK16" t="s">
        <v>20</v>
      </c>
    </row>
    <row r="17" spans="1:37" ht="43.5">
      <c r="A17" s="3" t="s">
        <v>200</v>
      </c>
      <c r="B17" s="3" t="s">
        <v>4869</v>
      </c>
      <c r="C17" s="3" t="s">
        <v>4870</v>
      </c>
      <c r="G17" s="9" t="s">
        <v>26</v>
      </c>
      <c r="H17" s="9"/>
      <c r="I17" s="9">
        <v>1</v>
      </c>
      <c r="J17" s="9">
        <v>2</v>
      </c>
      <c r="K17" s="9" t="s">
        <v>12123</v>
      </c>
      <c r="L17" s="9" t="s">
        <v>12119</v>
      </c>
      <c r="M17" s="9"/>
      <c r="N17" s="10"/>
      <c r="O17" s="9"/>
      <c r="P17" s="9">
        <v>134</v>
      </c>
      <c r="Q17" s="9"/>
      <c r="R17" s="9" t="s">
        <v>12795</v>
      </c>
      <c r="S17" s="9" t="s">
        <v>12795</v>
      </c>
      <c r="T17" s="9"/>
      <c r="U17" s="9"/>
      <c r="V17" s="9"/>
      <c r="W17" s="9"/>
      <c r="X17" s="9"/>
      <c r="Y17" s="9"/>
      <c r="Z17" s="9"/>
      <c r="AA17" s="9"/>
      <c r="AB17" s="9"/>
      <c r="AC17" s="9"/>
      <c r="AD17" t="s">
        <v>20</v>
      </c>
      <c r="AE17" t="s">
        <v>20</v>
      </c>
      <c r="AF17" t="s">
        <v>20</v>
      </c>
      <c r="AG17" t="s">
        <v>20</v>
      </c>
      <c r="AH17" t="s">
        <v>20</v>
      </c>
      <c r="AI17" t="s">
        <v>20</v>
      </c>
      <c r="AJ17" t="s">
        <v>20</v>
      </c>
      <c r="AK17" t="s">
        <v>20</v>
      </c>
    </row>
    <row r="18" spans="1:37" ht="29">
      <c r="A18" s="3" t="s">
        <v>201</v>
      </c>
      <c r="B18" s="3" t="s">
        <v>4871</v>
      </c>
      <c r="C18" s="3" t="s">
        <v>4872</v>
      </c>
      <c r="E18" t="s">
        <v>20</v>
      </c>
      <c r="G18" s="9" t="s">
        <v>24</v>
      </c>
      <c r="H18" s="9"/>
      <c r="I18" s="9">
        <v>1</v>
      </c>
      <c r="J18" s="9">
        <v>2</v>
      </c>
      <c r="K18" s="9" t="s">
        <v>12087</v>
      </c>
      <c r="L18" s="9" t="s">
        <v>12119</v>
      </c>
      <c r="M18" s="9"/>
      <c r="N18" s="10"/>
      <c r="O18" s="9"/>
      <c r="P18" s="9">
        <v>1966</v>
      </c>
      <c r="Q18" s="9"/>
      <c r="R18" s="9" t="s">
        <v>12795</v>
      </c>
      <c r="S18" s="9" t="s">
        <v>12795</v>
      </c>
      <c r="T18" s="9"/>
      <c r="U18" s="9"/>
      <c r="V18" s="9"/>
      <c r="W18" s="9"/>
      <c r="X18" s="9"/>
      <c r="Y18" s="9"/>
      <c r="Z18" s="9"/>
      <c r="AA18" s="9"/>
      <c r="AB18" s="9"/>
      <c r="AC18" s="9"/>
      <c r="AD18" t="s">
        <v>20</v>
      </c>
      <c r="AE18" t="s">
        <v>20</v>
      </c>
      <c r="AF18" t="s">
        <v>20</v>
      </c>
      <c r="AG18" t="s">
        <v>20</v>
      </c>
      <c r="AH18" t="s">
        <v>20</v>
      </c>
      <c r="AI18" t="s">
        <v>20</v>
      </c>
      <c r="AJ18" t="s">
        <v>20</v>
      </c>
      <c r="AK18" t="s">
        <v>20</v>
      </c>
    </row>
    <row r="19" spans="1:37" ht="58">
      <c r="A19" s="3" t="s">
        <v>208</v>
      </c>
      <c r="B19" s="3" t="s">
        <v>4876</v>
      </c>
      <c r="C19" s="3" t="s">
        <v>4877</v>
      </c>
      <c r="G19" s="9" t="s">
        <v>12118</v>
      </c>
      <c r="H19" s="9"/>
      <c r="I19" s="9"/>
      <c r="J19" s="9"/>
      <c r="K19" s="9"/>
      <c r="L19" s="9"/>
      <c r="M19" s="9"/>
      <c r="N19" s="10"/>
      <c r="O19" s="9"/>
      <c r="P19" s="9"/>
      <c r="Q19" s="9">
        <v>-141</v>
      </c>
      <c r="R19" s="9">
        <v>148</v>
      </c>
      <c r="S19" s="9">
        <v>7</v>
      </c>
      <c r="T19" s="9"/>
      <c r="U19" s="9"/>
      <c r="V19" s="9"/>
      <c r="W19" s="9"/>
      <c r="X19" s="9"/>
      <c r="Y19" s="9"/>
      <c r="Z19" s="9"/>
      <c r="AA19" s="9"/>
      <c r="AB19" s="9"/>
      <c r="AC19" s="9"/>
      <c r="AD19" t="s">
        <v>20</v>
      </c>
      <c r="AE19" t="s">
        <v>20</v>
      </c>
      <c r="AF19" t="s">
        <v>20</v>
      </c>
      <c r="AG19" t="s">
        <v>20</v>
      </c>
      <c r="AH19" t="s">
        <v>20</v>
      </c>
      <c r="AI19" t="s">
        <v>20</v>
      </c>
      <c r="AJ19" t="s">
        <v>20</v>
      </c>
      <c r="AK19" t="s">
        <v>20</v>
      </c>
    </row>
    <row r="20" spans="1:37" ht="29">
      <c r="A20" s="3" t="s">
        <v>230</v>
      </c>
      <c r="B20" s="3" t="s">
        <v>4886</v>
      </c>
      <c r="C20" s="3" t="s">
        <v>4887</v>
      </c>
      <c r="G20" s="9" t="s">
        <v>12120</v>
      </c>
      <c r="H20" s="9"/>
      <c r="I20" s="9"/>
      <c r="J20" s="9"/>
      <c r="K20" s="9"/>
      <c r="L20" s="9"/>
      <c r="M20" s="9"/>
      <c r="N20" s="10"/>
      <c r="O20" s="9"/>
      <c r="P20" s="9"/>
      <c r="Q20" s="9"/>
      <c r="R20" s="9" t="s">
        <v>12795</v>
      </c>
      <c r="S20" s="9" t="s">
        <v>12795</v>
      </c>
      <c r="T20" s="9"/>
      <c r="U20" s="9"/>
      <c r="V20" s="9"/>
      <c r="W20" s="9"/>
      <c r="X20" s="9"/>
      <c r="Y20" s="9"/>
      <c r="Z20" s="9"/>
      <c r="AA20" s="9"/>
      <c r="AB20" s="9"/>
      <c r="AC20" s="9"/>
      <c r="AD20" t="s">
        <v>19</v>
      </c>
      <c r="AE20" t="s">
        <v>19</v>
      </c>
      <c r="AF20" t="s">
        <v>19</v>
      </c>
      <c r="AG20" t="s">
        <v>19</v>
      </c>
      <c r="AH20" t="s">
        <v>19</v>
      </c>
      <c r="AI20" t="s">
        <v>19</v>
      </c>
      <c r="AJ20" t="s">
        <v>19</v>
      </c>
      <c r="AK20" t="s">
        <v>20</v>
      </c>
    </row>
    <row r="21" spans="1:37" ht="43.5">
      <c r="A21" s="3" t="s">
        <v>246</v>
      </c>
      <c r="B21" s="3" t="s">
        <v>4898</v>
      </c>
      <c r="C21" s="3" t="s">
        <v>4899</v>
      </c>
      <c r="G21" s="9" t="s">
        <v>25</v>
      </c>
      <c r="H21" s="9"/>
      <c r="I21" s="9">
        <v>1</v>
      </c>
      <c r="J21" s="9">
        <v>1</v>
      </c>
      <c r="K21" s="9" t="s">
        <v>12078</v>
      </c>
      <c r="L21" s="9" t="s">
        <v>12119</v>
      </c>
      <c r="M21" s="9"/>
      <c r="N21" s="10"/>
      <c r="O21" s="9"/>
      <c r="P21" s="9">
        <v>11843</v>
      </c>
      <c r="Q21" s="9"/>
      <c r="R21" s="9" t="s">
        <v>12795</v>
      </c>
      <c r="S21" s="9" t="s">
        <v>12795</v>
      </c>
      <c r="T21" s="9"/>
      <c r="U21" s="9"/>
      <c r="V21" s="9"/>
      <c r="W21" s="9"/>
      <c r="X21" s="9"/>
      <c r="Y21" s="9"/>
      <c r="Z21" s="9"/>
      <c r="AA21" s="9"/>
      <c r="AB21" s="9"/>
      <c r="AC21" s="9"/>
      <c r="AD21" t="s">
        <v>20</v>
      </c>
      <c r="AE21" t="s">
        <v>20</v>
      </c>
      <c r="AF21" t="s">
        <v>20</v>
      </c>
      <c r="AG21" t="s">
        <v>20</v>
      </c>
      <c r="AH21" t="s">
        <v>20</v>
      </c>
      <c r="AI21" t="s">
        <v>20</v>
      </c>
      <c r="AJ21" t="s">
        <v>20</v>
      </c>
      <c r="AK21" t="s">
        <v>20</v>
      </c>
    </row>
    <row r="22" spans="1:37" ht="43.5">
      <c r="A22" s="3" t="s">
        <v>247</v>
      </c>
      <c r="B22" s="3" t="s">
        <v>4900</v>
      </c>
      <c r="C22" s="3" t="s">
        <v>4901</v>
      </c>
      <c r="G22" s="9" t="s">
        <v>25</v>
      </c>
      <c r="H22" s="9"/>
      <c r="I22" s="9">
        <v>1</v>
      </c>
      <c r="J22" s="9">
        <v>2</v>
      </c>
      <c r="K22" s="9" t="s">
        <v>12078</v>
      </c>
      <c r="L22" s="9" t="s">
        <v>12119</v>
      </c>
      <c r="M22" s="9"/>
      <c r="N22" s="10"/>
      <c r="O22" s="9"/>
      <c r="P22" s="9">
        <v>11843</v>
      </c>
      <c r="Q22" s="9"/>
      <c r="R22" s="9" t="s">
        <v>12795</v>
      </c>
      <c r="S22" s="9" t="s">
        <v>12795</v>
      </c>
      <c r="T22" s="9" t="s">
        <v>12117</v>
      </c>
      <c r="U22" s="9"/>
      <c r="V22" s="9"/>
      <c r="W22" s="9"/>
      <c r="X22" s="9"/>
      <c r="Y22" s="9"/>
      <c r="Z22" s="9"/>
      <c r="AA22" s="9"/>
      <c r="AB22" s="9"/>
      <c r="AC22" s="9"/>
      <c r="AD22" t="s">
        <v>20</v>
      </c>
      <c r="AE22" t="s">
        <v>20</v>
      </c>
      <c r="AF22" t="s">
        <v>20</v>
      </c>
      <c r="AG22" t="s">
        <v>20</v>
      </c>
      <c r="AH22" t="s">
        <v>20</v>
      </c>
      <c r="AI22" t="s">
        <v>20</v>
      </c>
      <c r="AJ22" t="s">
        <v>20</v>
      </c>
      <c r="AK22" t="s">
        <v>20</v>
      </c>
    </row>
    <row r="23" spans="1:37" ht="43.5">
      <c r="A23" s="3" t="s">
        <v>249</v>
      </c>
      <c r="B23" s="3" t="s">
        <v>4904</v>
      </c>
      <c r="C23" s="3" t="s">
        <v>4905</v>
      </c>
      <c r="G23" s="9" t="s">
        <v>12118</v>
      </c>
      <c r="H23" s="9"/>
      <c r="I23" s="9"/>
      <c r="J23" s="9"/>
      <c r="K23" s="9"/>
      <c r="L23" s="9"/>
      <c r="M23" s="9"/>
      <c r="N23" s="10"/>
      <c r="O23" s="9"/>
      <c r="P23" s="9"/>
      <c r="Q23" s="9">
        <v>10102</v>
      </c>
      <c r="R23" s="9">
        <v>1741</v>
      </c>
      <c r="S23" s="9">
        <v>11843</v>
      </c>
      <c r="T23" s="9" t="s">
        <v>12117</v>
      </c>
      <c r="U23" s="9"/>
      <c r="V23" s="9"/>
      <c r="W23" s="9"/>
      <c r="X23" s="9"/>
      <c r="Y23" s="9"/>
      <c r="Z23" s="9"/>
      <c r="AA23" s="9"/>
      <c r="AB23" s="9"/>
      <c r="AC23" s="9"/>
      <c r="AD23" t="s">
        <v>19</v>
      </c>
      <c r="AE23" t="s">
        <v>19</v>
      </c>
      <c r="AF23" t="s">
        <v>20</v>
      </c>
      <c r="AG23" t="s">
        <v>20</v>
      </c>
      <c r="AH23" t="s">
        <v>20</v>
      </c>
      <c r="AI23" t="s">
        <v>20</v>
      </c>
      <c r="AJ23" t="s">
        <v>20</v>
      </c>
      <c r="AK23" t="s">
        <v>20</v>
      </c>
    </row>
    <row r="24" spans="1:37" ht="43.5">
      <c r="A24" s="3" t="s">
        <v>265</v>
      </c>
      <c r="B24" s="3" t="s">
        <v>4913</v>
      </c>
      <c r="C24" s="3" t="s">
        <v>4914</v>
      </c>
      <c r="G24" s="9" t="s">
        <v>12118</v>
      </c>
      <c r="H24" s="9"/>
      <c r="I24" s="9"/>
      <c r="J24" s="9"/>
      <c r="K24" s="9"/>
      <c r="L24" s="9"/>
      <c r="M24" s="9"/>
      <c r="N24" s="10"/>
      <c r="O24" s="9"/>
      <c r="P24" s="9"/>
      <c r="Q24" s="9">
        <v>-190</v>
      </c>
      <c r="R24" s="9">
        <v>207</v>
      </c>
      <c r="S24" s="9">
        <v>17</v>
      </c>
      <c r="T24" s="9"/>
      <c r="U24" s="9"/>
      <c r="V24" s="9"/>
      <c r="W24" s="9"/>
      <c r="X24" s="9"/>
      <c r="Y24" s="9"/>
      <c r="Z24" s="9"/>
      <c r="AA24" s="9"/>
      <c r="AB24" s="9"/>
      <c r="AC24" s="9"/>
      <c r="AD24" t="s">
        <v>19</v>
      </c>
      <c r="AE24" t="s">
        <v>19</v>
      </c>
      <c r="AF24" t="s">
        <v>19</v>
      </c>
      <c r="AG24" t="s">
        <v>19</v>
      </c>
      <c r="AH24" t="s">
        <v>19</v>
      </c>
      <c r="AI24" t="s">
        <v>19</v>
      </c>
      <c r="AJ24" t="s">
        <v>19</v>
      </c>
      <c r="AK24" t="s">
        <v>20</v>
      </c>
    </row>
    <row r="25" spans="1:37" ht="43.5">
      <c r="A25" s="3" t="s">
        <v>268</v>
      </c>
      <c r="B25" s="3" t="s">
        <v>4917</v>
      </c>
      <c r="C25" s="3" t="s">
        <v>4918</v>
      </c>
      <c r="G25" s="9" t="s">
        <v>25</v>
      </c>
      <c r="H25" s="9"/>
      <c r="I25" s="9">
        <v>1</v>
      </c>
      <c r="J25" s="9">
        <v>2</v>
      </c>
      <c r="K25" s="9" t="s">
        <v>12078</v>
      </c>
      <c r="L25" s="9" t="s">
        <v>12119</v>
      </c>
      <c r="M25" s="9"/>
      <c r="N25" s="10"/>
      <c r="O25" s="9"/>
      <c r="P25" s="9">
        <v>11843</v>
      </c>
      <c r="Q25" s="9"/>
      <c r="R25" s="9" t="s">
        <v>12795</v>
      </c>
      <c r="S25" s="9" t="s">
        <v>12795</v>
      </c>
      <c r="T25" s="9"/>
      <c r="U25" s="9"/>
      <c r="V25" s="9"/>
      <c r="W25" s="9"/>
      <c r="X25" s="9"/>
      <c r="Y25" s="9"/>
      <c r="Z25" s="9"/>
      <c r="AA25" s="9"/>
      <c r="AB25" s="9"/>
      <c r="AC25" s="9"/>
      <c r="AD25" t="s">
        <v>20</v>
      </c>
      <c r="AE25" t="s">
        <v>20</v>
      </c>
      <c r="AF25" t="s">
        <v>20</v>
      </c>
      <c r="AG25" t="s">
        <v>20</v>
      </c>
      <c r="AH25" t="s">
        <v>20</v>
      </c>
      <c r="AI25" t="s">
        <v>20</v>
      </c>
      <c r="AJ25" t="s">
        <v>20</v>
      </c>
      <c r="AK25" t="s">
        <v>20</v>
      </c>
    </row>
    <row r="26" spans="1:37" ht="29">
      <c r="A26" s="3" t="s">
        <v>272</v>
      </c>
      <c r="B26" s="3" t="s">
        <v>273</v>
      </c>
      <c r="C26" s="3" t="s">
        <v>274</v>
      </c>
      <c r="G26" s="9" t="s">
        <v>12120</v>
      </c>
      <c r="H26" s="9"/>
      <c r="I26" s="9"/>
      <c r="J26" s="9"/>
      <c r="K26" s="9"/>
      <c r="L26" s="9"/>
      <c r="M26" s="9"/>
      <c r="N26" s="10"/>
      <c r="O26" s="9"/>
      <c r="P26" s="9"/>
      <c r="Q26" s="9"/>
      <c r="R26" s="9" t="s">
        <v>12795</v>
      </c>
      <c r="S26" s="9" t="s">
        <v>12795</v>
      </c>
      <c r="T26" s="9"/>
      <c r="U26" s="9"/>
      <c r="V26" s="9"/>
      <c r="W26" s="9"/>
      <c r="X26" s="9"/>
      <c r="Y26" s="9"/>
      <c r="Z26" s="9"/>
      <c r="AA26" s="9"/>
      <c r="AB26" s="9"/>
      <c r="AC26" s="9"/>
      <c r="AD26" t="s">
        <v>13141</v>
      </c>
      <c r="AE26" t="s">
        <v>13141</v>
      </c>
      <c r="AF26" t="s">
        <v>13141</v>
      </c>
      <c r="AG26" t="s">
        <v>13141</v>
      </c>
      <c r="AH26" t="s">
        <v>13141</v>
      </c>
      <c r="AI26" t="s">
        <v>13141</v>
      </c>
      <c r="AJ26" t="s">
        <v>13141</v>
      </c>
      <c r="AK26" t="s">
        <v>13141</v>
      </c>
    </row>
    <row r="27" spans="1:37" ht="304.5">
      <c r="A27" s="3" t="s">
        <v>1116</v>
      </c>
      <c r="B27" s="3" t="s">
        <v>5702</v>
      </c>
      <c r="C27" s="3" t="s">
        <v>5701</v>
      </c>
      <c r="G27" s="15" t="s">
        <v>25</v>
      </c>
      <c r="H27" s="15"/>
      <c r="I27" s="15">
        <v>15</v>
      </c>
      <c r="J27" s="15">
        <v>90</v>
      </c>
      <c r="K27" s="15"/>
      <c r="L27" s="15" t="s">
        <v>12079</v>
      </c>
      <c r="M27" s="15"/>
      <c r="N27" s="16"/>
      <c r="O27" s="15"/>
      <c r="P27" s="15">
        <v>1</v>
      </c>
      <c r="Q27" s="9" t="e">
        <f t="shared" ref="Q27" si="0">IF(ISNUMBER(P27), (P27/$F$995)*10000, "")</f>
        <v>#DIV/0!</v>
      </c>
      <c r="R27" s="15"/>
      <c r="S27" s="15" t="s">
        <v>12795</v>
      </c>
      <c r="T27" s="15" t="s">
        <v>12795</v>
      </c>
      <c r="U27" s="15"/>
      <c r="V27" s="15"/>
      <c r="W27" s="15"/>
      <c r="X27" s="15"/>
      <c r="Y27" s="15"/>
      <c r="Z27" s="15"/>
      <c r="AA27" s="15"/>
      <c r="AB27" s="15"/>
      <c r="AC27" s="15"/>
      <c r="AD27" s="15" t="s">
        <v>19</v>
      </c>
      <c r="AE27" t="s">
        <v>19</v>
      </c>
      <c r="AF27" t="s">
        <v>19</v>
      </c>
      <c r="AG27" t="s">
        <v>19</v>
      </c>
      <c r="AH27" t="s">
        <v>19</v>
      </c>
      <c r="AI27" t="s">
        <v>19</v>
      </c>
      <c r="AJ27" t="s">
        <v>19</v>
      </c>
      <c r="AK27" t="s">
        <v>19</v>
      </c>
    </row>
    <row r="28" spans="1:37" ht="87">
      <c r="A28" s="3" t="s">
        <v>1476</v>
      </c>
      <c r="B28" s="3" t="s">
        <v>6176</v>
      </c>
      <c r="C28" s="3" t="s">
        <v>6177</v>
      </c>
      <c r="D28" t="s">
        <v>4774</v>
      </c>
      <c r="G28" s="15" t="s">
        <v>27</v>
      </c>
      <c r="H28" s="15"/>
      <c r="I28" s="15"/>
      <c r="J28" s="15"/>
      <c r="K28" s="15"/>
      <c r="L28" s="15"/>
      <c r="M28" s="15"/>
      <c r="N28" s="16"/>
      <c r="O28" s="15"/>
      <c r="P28" s="15"/>
      <c r="Q28" s="15"/>
      <c r="R28" s="15" t="s">
        <v>12795</v>
      </c>
      <c r="S28" s="15" t="s">
        <v>12795</v>
      </c>
      <c r="T28" s="15"/>
      <c r="U28" s="15"/>
      <c r="V28" s="15"/>
      <c r="W28" s="15"/>
      <c r="X28" s="15"/>
      <c r="Y28" s="15"/>
      <c r="Z28" s="15"/>
      <c r="AA28" s="15"/>
      <c r="AB28" s="15"/>
      <c r="AC28" s="15"/>
      <c r="AD28" s="17" t="s">
        <v>19</v>
      </c>
      <c r="AE28" t="s">
        <v>19</v>
      </c>
      <c r="AF28" t="s">
        <v>19</v>
      </c>
      <c r="AG28" t="s">
        <v>19</v>
      </c>
      <c r="AH28" t="s">
        <v>19</v>
      </c>
      <c r="AI28" t="s">
        <v>19</v>
      </c>
      <c r="AJ28" t="s">
        <v>19</v>
      </c>
      <c r="AK28" t="s">
        <v>13141</v>
      </c>
    </row>
    <row r="29" spans="1:37" ht="145">
      <c r="A29" s="3" t="s">
        <v>1482</v>
      </c>
      <c r="B29" s="3" t="s">
        <v>12242</v>
      </c>
      <c r="C29" s="3" t="s">
        <v>12243</v>
      </c>
      <c r="D29" t="s">
        <v>4774</v>
      </c>
      <c r="G29" s="15" t="s">
        <v>27</v>
      </c>
      <c r="H29" s="15"/>
      <c r="I29" s="15"/>
      <c r="J29" s="15"/>
      <c r="K29" s="15"/>
      <c r="L29" s="15"/>
      <c r="M29" s="15"/>
      <c r="N29" s="16"/>
      <c r="O29" s="15"/>
      <c r="P29" s="15"/>
      <c r="Q29" s="15"/>
      <c r="R29" s="15" t="s">
        <v>12795</v>
      </c>
      <c r="S29" s="15" t="s">
        <v>12795</v>
      </c>
      <c r="T29" s="15"/>
      <c r="U29" s="15"/>
      <c r="V29" s="15"/>
      <c r="W29" s="15"/>
      <c r="X29" s="15"/>
      <c r="Y29" s="15"/>
      <c r="Z29" s="15"/>
      <c r="AA29" s="15"/>
      <c r="AB29" s="15"/>
      <c r="AC29" s="15"/>
      <c r="AD29" s="17" t="s">
        <v>20</v>
      </c>
      <c r="AE29" t="s">
        <v>20</v>
      </c>
      <c r="AF29" t="s">
        <v>20</v>
      </c>
      <c r="AG29" t="s">
        <v>20</v>
      </c>
      <c r="AH29" t="s">
        <v>20</v>
      </c>
      <c r="AI29" t="s">
        <v>20</v>
      </c>
      <c r="AJ29" t="s">
        <v>20</v>
      </c>
      <c r="AK29" t="s">
        <v>20</v>
      </c>
    </row>
    <row r="30" spans="1:37" ht="43.5">
      <c r="A30" s="3" t="s">
        <v>1718</v>
      </c>
      <c r="B30" s="3" t="s">
        <v>6536</v>
      </c>
      <c r="C30" s="3" t="s">
        <v>6537</v>
      </c>
      <c r="D30" t="s">
        <v>4774</v>
      </c>
      <c r="G30" s="15" t="s">
        <v>27</v>
      </c>
      <c r="H30" s="15"/>
      <c r="I30" s="15"/>
      <c r="J30" s="15"/>
      <c r="K30" s="15"/>
      <c r="L30" s="15"/>
      <c r="M30" s="15"/>
      <c r="N30" s="16"/>
      <c r="O30" s="15"/>
      <c r="P30" s="15"/>
      <c r="Q30" s="15"/>
      <c r="R30" s="15" t="s">
        <v>12795</v>
      </c>
      <c r="S30" s="15" t="s">
        <v>12795</v>
      </c>
      <c r="T30" s="15"/>
      <c r="U30" s="15"/>
      <c r="V30" s="15"/>
      <c r="W30" s="15"/>
      <c r="X30" s="15"/>
      <c r="Y30" s="15"/>
      <c r="Z30" s="15"/>
      <c r="AA30" s="15"/>
      <c r="AB30" s="15"/>
      <c r="AC30" s="15"/>
      <c r="AD30" s="17" t="s">
        <v>13141</v>
      </c>
      <c r="AE30" s="17" t="s">
        <v>13141</v>
      </c>
      <c r="AF30" s="17" t="s">
        <v>13141</v>
      </c>
      <c r="AG30" s="17" t="s">
        <v>13141</v>
      </c>
      <c r="AH30" s="17" t="s">
        <v>13141</v>
      </c>
      <c r="AI30" s="17" t="s">
        <v>13141</v>
      </c>
      <c r="AJ30" s="17" t="s">
        <v>13141</v>
      </c>
      <c r="AK30" s="17" t="s">
        <v>13141</v>
      </c>
    </row>
    <row r="31" spans="1:37" ht="116">
      <c r="A31" s="3" t="s">
        <v>1788</v>
      </c>
      <c r="B31" s="3" t="s">
        <v>6628</v>
      </c>
      <c r="C31" s="3" t="s">
        <v>6627</v>
      </c>
      <c r="D31" t="s">
        <v>4774</v>
      </c>
      <c r="E31" t="s">
        <v>19</v>
      </c>
      <c r="G31" s="15" t="s">
        <v>27</v>
      </c>
      <c r="H31" s="15"/>
      <c r="I31" s="15"/>
      <c r="J31" s="15"/>
      <c r="K31" s="15"/>
      <c r="L31" s="15"/>
      <c r="M31" s="15"/>
      <c r="N31" s="16"/>
      <c r="O31" s="15"/>
      <c r="P31" s="15"/>
      <c r="Q31" s="15"/>
      <c r="R31" s="15" t="s">
        <v>12795</v>
      </c>
      <c r="S31" s="15" t="s">
        <v>12795</v>
      </c>
      <c r="T31" s="15"/>
      <c r="U31" s="15"/>
      <c r="V31" s="15"/>
      <c r="W31" s="15"/>
      <c r="X31" s="15"/>
      <c r="Y31" s="15"/>
      <c r="Z31" s="15"/>
      <c r="AA31" s="15"/>
      <c r="AB31" s="15"/>
      <c r="AC31" s="15" t="s">
        <v>19</v>
      </c>
      <c r="AD31" s="17" t="s">
        <v>13141</v>
      </c>
      <c r="AE31" t="s">
        <v>13141</v>
      </c>
      <c r="AF31" t="s">
        <v>13141</v>
      </c>
      <c r="AG31" t="s">
        <v>13141</v>
      </c>
      <c r="AH31" t="s">
        <v>13141</v>
      </c>
      <c r="AI31" t="s">
        <v>13141</v>
      </c>
      <c r="AJ31" t="s">
        <v>13141</v>
      </c>
      <c r="AK31" t="s">
        <v>13141</v>
      </c>
    </row>
    <row r="32" spans="1:37" ht="130.5">
      <c r="A32" s="3" t="s">
        <v>2000</v>
      </c>
      <c r="B32" s="3" t="s">
        <v>6961</v>
      </c>
      <c r="C32" s="3" t="s">
        <v>6962</v>
      </c>
      <c r="D32" t="s">
        <v>4774</v>
      </c>
      <c r="G32" s="15" t="s">
        <v>27</v>
      </c>
      <c r="H32" s="15"/>
      <c r="I32" s="15"/>
      <c r="J32" s="15"/>
      <c r="K32" s="15"/>
      <c r="L32" s="15"/>
      <c r="M32" s="15"/>
      <c r="N32" s="16"/>
      <c r="O32" s="15"/>
      <c r="P32" s="15"/>
      <c r="Q32" s="15"/>
      <c r="R32" s="15" t="s">
        <v>12795</v>
      </c>
      <c r="S32" s="15" t="s">
        <v>12795</v>
      </c>
      <c r="T32" s="15"/>
      <c r="U32" s="15"/>
      <c r="V32" s="15"/>
      <c r="W32" s="15"/>
      <c r="X32" s="15"/>
      <c r="Y32" s="15"/>
      <c r="Z32" s="15"/>
      <c r="AA32" s="15"/>
      <c r="AB32" s="15"/>
      <c r="AC32" s="15"/>
      <c r="AD32" s="17" t="s">
        <v>20</v>
      </c>
      <c r="AE32" t="s">
        <v>13141</v>
      </c>
      <c r="AF32" t="s">
        <v>13141</v>
      </c>
      <c r="AG32" t="s">
        <v>13141</v>
      </c>
      <c r="AH32" t="s">
        <v>13141</v>
      </c>
      <c r="AI32" t="s">
        <v>13141</v>
      </c>
      <c r="AJ32" t="s">
        <v>13141</v>
      </c>
      <c r="AK32" t="s">
        <v>13141</v>
      </c>
    </row>
    <row r="33" spans="1:37" ht="72.5">
      <c r="A33" s="3" t="s">
        <v>2018</v>
      </c>
      <c r="B33" s="3" t="s">
        <v>6991</v>
      </c>
      <c r="C33" s="3" t="s">
        <v>6992</v>
      </c>
      <c r="D33" t="s">
        <v>4774</v>
      </c>
      <c r="E33" t="s">
        <v>21</v>
      </c>
      <c r="G33" s="15" t="s">
        <v>27</v>
      </c>
      <c r="H33" s="15"/>
      <c r="I33" s="15"/>
      <c r="J33" s="15"/>
      <c r="K33" s="15"/>
      <c r="L33" s="15"/>
      <c r="M33" s="15"/>
      <c r="N33" s="16"/>
      <c r="O33" s="15"/>
      <c r="P33" s="15"/>
      <c r="Q33" s="15"/>
      <c r="R33" s="15" t="s">
        <v>12795</v>
      </c>
      <c r="S33" s="15" t="s">
        <v>12795</v>
      </c>
      <c r="T33" s="15"/>
      <c r="U33" s="15"/>
      <c r="V33" s="15"/>
      <c r="W33" s="15"/>
      <c r="X33" s="15"/>
      <c r="Y33" s="15"/>
      <c r="Z33" s="15"/>
      <c r="AA33" s="15"/>
      <c r="AB33" s="15"/>
      <c r="AC33" s="15"/>
      <c r="AD33" s="17" t="s">
        <v>13141</v>
      </c>
      <c r="AE33" t="s">
        <v>13141</v>
      </c>
      <c r="AF33" t="s">
        <v>13141</v>
      </c>
      <c r="AG33" t="s">
        <v>13141</v>
      </c>
      <c r="AH33" t="s">
        <v>13141</v>
      </c>
      <c r="AI33" t="s">
        <v>13141</v>
      </c>
      <c r="AJ33" t="s">
        <v>13141</v>
      </c>
      <c r="AK33" t="s">
        <v>13141</v>
      </c>
    </row>
    <row r="34" spans="1:37" ht="232">
      <c r="A34" s="3" t="s">
        <v>2044</v>
      </c>
      <c r="B34" s="3" t="s">
        <v>12888</v>
      </c>
      <c r="C34" s="3" t="s">
        <v>12889</v>
      </c>
      <c r="G34" s="9" t="s">
        <v>25</v>
      </c>
      <c r="H34" s="9"/>
      <c r="I34" s="9">
        <v>12</v>
      </c>
      <c r="J34" s="9">
        <v>60</v>
      </c>
      <c r="K34" s="9"/>
      <c r="L34" s="9" t="s">
        <v>12073</v>
      </c>
      <c r="M34" s="9" t="s">
        <v>12140</v>
      </c>
      <c r="N34" s="10" t="s">
        <v>12344</v>
      </c>
      <c r="O34" s="9"/>
      <c r="P34" s="9">
        <v>2</v>
      </c>
      <c r="Q34" s="9" t="e">
        <f t="shared" ref="Q34" si="1">IF(ISNUMBER(P34), (P34/$F$994)*10000, "")</f>
        <v>#DIV/0!</v>
      </c>
      <c r="R34" s="9"/>
      <c r="S34" s="9" t="s">
        <v>12795</v>
      </c>
      <c r="T34" s="9" t="s">
        <v>12795</v>
      </c>
      <c r="U34" s="9"/>
      <c r="V34" s="9"/>
      <c r="W34" s="9"/>
      <c r="X34" s="9"/>
      <c r="Y34" s="9"/>
      <c r="Z34" s="9"/>
      <c r="AA34" s="9"/>
      <c r="AB34" s="9"/>
      <c r="AC34" s="9"/>
      <c r="AD34" s="9" t="s">
        <v>20</v>
      </c>
      <c r="AE34" t="s">
        <v>20</v>
      </c>
      <c r="AF34" t="s">
        <v>20</v>
      </c>
      <c r="AG34" s="18" t="s">
        <v>20</v>
      </c>
      <c r="AH34" s="18" t="s">
        <v>20</v>
      </c>
      <c r="AI34" s="18" t="s">
        <v>20</v>
      </c>
      <c r="AJ34" s="18" t="s">
        <v>20</v>
      </c>
      <c r="AK34" s="18" t="s">
        <v>20</v>
      </c>
    </row>
    <row r="35" spans="1:37" ht="159.5">
      <c r="A35" s="3" t="s">
        <v>2611</v>
      </c>
      <c r="B35" s="3" t="s">
        <v>12752</v>
      </c>
      <c r="C35" s="3" t="s">
        <v>12753</v>
      </c>
      <c r="D35" t="s">
        <v>4774</v>
      </c>
      <c r="G35" s="15" t="s">
        <v>27</v>
      </c>
      <c r="H35" s="15"/>
      <c r="I35" s="15"/>
      <c r="J35" s="15"/>
      <c r="K35" s="15"/>
      <c r="L35" s="15"/>
      <c r="M35" s="15"/>
      <c r="N35" s="16"/>
      <c r="O35" s="15"/>
      <c r="P35" s="15"/>
      <c r="Q35" s="15"/>
      <c r="R35" s="15" t="s">
        <v>12795</v>
      </c>
      <c r="S35" s="15" t="s">
        <v>12795</v>
      </c>
      <c r="T35" s="15"/>
      <c r="U35" s="15"/>
      <c r="V35" s="15"/>
      <c r="W35" s="15"/>
      <c r="X35" s="15"/>
      <c r="Y35" s="15"/>
      <c r="Z35" s="15"/>
      <c r="AA35" s="15"/>
      <c r="AB35" s="15"/>
      <c r="AC35" s="15" t="s">
        <v>19</v>
      </c>
      <c r="AD35" s="17" t="s">
        <v>13141</v>
      </c>
      <c r="AE35" t="s">
        <v>13141</v>
      </c>
      <c r="AF35" s="17" t="s">
        <v>13141</v>
      </c>
      <c r="AG35" t="s">
        <v>13141</v>
      </c>
      <c r="AH35" t="s">
        <v>13141</v>
      </c>
      <c r="AI35" t="s">
        <v>13141</v>
      </c>
      <c r="AJ35" t="s">
        <v>13141</v>
      </c>
      <c r="AK35" t="s">
        <v>13141</v>
      </c>
    </row>
    <row r="36" spans="1:37" ht="232">
      <c r="A36" s="3" t="s">
        <v>2707</v>
      </c>
      <c r="B36" s="3" t="s">
        <v>7859</v>
      </c>
      <c r="C36" s="3" t="s">
        <v>7858</v>
      </c>
      <c r="G36" s="9" t="s">
        <v>25</v>
      </c>
      <c r="H36" s="9"/>
      <c r="I36" s="9">
        <v>13</v>
      </c>
      <c r="J36" s="9">
        <v>65</v>
      </c>
      <c r="K36" s="9"/>
      <c r="L36" s="9" t="s">
        <v>12079</v>
      </c>
      <c r="M36" s="9"/>
      <c r="N36" s="10"/>
      <c r="O36" s="9"/>
      <c r="P36" s="9">
        <v>31</v>
      </c>
      <c r="Q36" s="9" t="e">
        <f t="shared" ref="Q36" si="2">IF(ISNUMBER(P36), (P36/$F$993)*10000, "")</f>
        <v>#DIV/0!</v>
      </c>
      <c r="R36" s="9"/>
      <c r="S36" s="9" t="s">
        <v>12795</v>
      </c>
      <c r="T36" s="9" t="s">
        <v>12795</v>
      </c>
      <c r="U36" s="9"/>
      <c r="V36" s="9"/>
      <c r="W36" s="9"/>
      <c r="X36" s="9"/>
      <c r="Y36" s="9"/>
      <c r="Z36" s="9"/>
      <c r="AA36" s="9"/>
      <c r="AB36" s="9"/>
      <c r="AC36" s="9"/>
      <c r="AD36" s="9" t="s">
        <v>20</v>
      </c>
      <c r="AE36" t="s">
        <v>20</v>
      </c>
      <c r="AF36" t="s">
        <v>20</v>
      </c>
      <c r="AG36" s="18" t="s">
        <v>20</v>
      </c>
      <c r="AH36" s="18" t="s">
        <v>20</v>
      </c>
      <c r="AI36" s="18" t="s">
        <v>20</v>
      </c>
      <c r="AJ36" s="18" t="s">
        <v>20</v>
      </c>
      <c r="AK36" s="18" t="s">
        <v>20</v>
      </c>
    </row>
    <row r="37" spans="1:37" ht="319">
      <c r="A37" s="3" t="s">
        <v>3172</v>
      </c>
      <c r="B37" s="3" t="s">
        <v>12449</v>
      </c>
      <c r="C37" s="3" t="s">
        <v>12448</v>
      </c>
      <c r="G37" s="9" t="s">
        <v>25</v>
      </c>
      <c r="H37" s="9"/>
      <c r="I37" s="9">
        <v>15</v>
      </c>
      <c r="J37" s="9">
        <v>70</v>
      </c>
      <c r="K37" s="9"/>
      <c r="L37" s="9" t="s">
        <v>12073</v>
      </c>
      <c r="M37" s="9" t="s">
        <v>12140</v>
      </c>
      <c r="N37" s="10" t="s">
        <v>12450</v>
      </c>
      <c r="O37" s="9"/>
      <c r="P37" s="9">
        <v>11</v>
      </c>
      <c r="Q37" s="9" t="e">
        <f t="shared" ref="Q37" si="3">IF(ISNUMBER(P37), (P37/$F$992)*10000, "")</f>
        <v>#DIV/0!</v>
      </c>
      <c r="R37" s="9"/>
      <c r="S37" s="9" t="s">
        <v>12795</v>
      </c>
      <c r="T37" s="9" t="s">
        <v>12795</v>
      </c>
      <c r="U37" s="9"/>
      <c r="V37" s="9"/>
      <c r="W37" s="9"/>
      <c r="X37" s="9"/>
      <c r="Y37" s="9"/>
      <c r="Z37" s="9"/>
      <c r="AA37" s="9"/>
      <c r="AB37" s="9"/>
      <c r="AC37" s="9"/>
      <c r="AD37" s="9" t="s">
        <v>20</v>
      </c>
      <c r="AE37" t="s">
        <v>20</v>
      </c>
      <c r="AF37" t="s">
        <v>20</v>
      </c>
      <c r="AG37" s="18" t="s">
        <v>20</v>
      </c>
      <c r="AH37" s="18" t="s">
        <v>20</v>
      </c>
      <c r="AI37" s="18" t="s">
        <v>20</v>
      </c>
      <c r="AJ37" s="18" t="s">
        <v>20</v>
      </c>
      <c r="AK37" s="18" t="s">
        <v>20</v>
      </c>
    </row>
    <row r="38" spans="1:37" ht="409.5">
      <c r="A38" s="3" t="s">
        <v>3269</v>
      </c>
      <c r="B38" s="3" t="s">
        <v>12913</v>
      </c>
      <c r="C38" s="3" t="s">
        <v>12454</v>
      </c>
      <c r="G38" s="9" t="s">
        <v>24</v>
      </c>
      <c r="H38" s="9"/>
      <c r="I38" s="9">
        <v>37</v>
      </c>
      <c r="J38" s="9">
        <v>151</v>
      </c>
      <c r="K38" s="9"/>
      <c r="L38" s="9" t="s">
        <v>12073</v>
      </c>
      <c r="M38" s="9" t="s">
        <v>12142</v>
      </c>
      <c r="N38" s="10" t="s">
        <v>12455</v>
      </c>
      <c r="O38" s="9" t="s">
        <v>12074</v>
      </c>
      <c r="P38" s="9">
        <v>1</v>
      </c>
      <c r="Q38" s="9" t="e">
        <f t="shared" ref="Q38" si="4">IF(ISNUMBER(P38), (P38/$F$991)*10000, "")</f>
        <v>#DIV/0!</v>
      </c>
      <c r="R38" s="9"/>
      <c r="S38" s="9" t="s">
        <v>12795</v>
      </c>
      <c r="T38" s="9" t="s">
        <v>12795</v>
      </c>
      <c r="U38" s="9"/>
      <c r="V38" s="9"/>
      <c r="W38" s="9"/>
      <c r="X38" s="9"/>
      <c r="Y38" s="9"/>
      <c r="Z38" s="9"/>
      <c r="AA38" s="9"/>
      <c r="AB38" s="9"/>
      <c r="AC38" s="9"/>
      <c r="AD38" s="9" t="s">
        <v>20</v>
      </c>
      <c r="AE38" t="s">
        <v>20</v>
      </c>
      <c r="AF38" t="s">
        <v>20</v>
      </c>
      <c r="AG38" t="s">
        <v>20</v>
      </c>
      <c r="AH38" t="s">
        <v>20</v>
      </c>
      <c r="AI38" t="s">
        <v>20</v>
      </c>
      <c r="AJ38" t="s">
        <v>20</v>
      </c>
      <c r="AK38" t="s">
        <v>20</v>
      </c>
    </row>
    <row r="39" spans="1:37" ht="145">
      <c r="A39" s="3" t="s">
        <v>3448</v>
      </c>
      <c r="B39" s="3" t="s">
        <v>13087</v>
      </c>
      <c r="C39" s="3" t="s">
        <v>9153</v>
      </c>
      <c r="D39" t="s">
        <v>4774</v>
      </c>
      <c r="G39" s="9" t="s">
        <v>27</v>
      </c>
      <c r="H39" s="9"/>
      <c r="I39" s="9"/>
      <c r="J39" s="9"/>
      <c r="K39" s="9"/>
      <c r="L39" s="9"/>
      <c r="M39" s="9"/>
      <c r="N39" s="10"/>
      <c r="O39" s="9"/>
      <c r="P39" s="9"/>
      <c r="Q39" s="9"/>
      <c r="R39" s="9" t="s">
        <v>12795</v>
      </c>
      <c r="S39" s="9" t="s">
        <v>12795</v>
      </c>
      <c r="T39" s="9"/>
      <c r="U39" s="9"/>
      <c r="V39" s="9"/>
      <c r="W39" s="9"/>
      <c r="X39" s="9"/>
      <c r="Y39" s="9"/>
      <c r="Z39" s="9"/>
      <c r="AA39" s="9"/>
      <c r="AB39" s="9"/>
      <c r="AC39" s="9"/>
      <c r="AD39" t="s">
        <v>13141</v>
      </c>
      <c r="AE39" t="s">
        <v>13141</v>
      </c>
      <c r="AF39" t="s">
        <v>13141</v>
      </c>
      <c r="AG39" t="s">
        <v>13141</v>
      </c>
      <c r="AH39" t="s">
        <v>13141</v>
      </c>
      <c r="AI39" t="s">
        <v>13141</v>
      </c>
      <c r="AJ39" t="s">
        <v>13141</v>
      </c>
      <c r="AK39" t="s">
        <v>13141</v>
      </c>
    </row>
    <row r="40" spans="1:37" ht="261">
      <c r="A40" s="3" t="s">
        <v>3631</v>
      </c>
      <c r="B40" s="3" t="s">
        <v>12495</v>
      </c>
      <c r="C40" s="3" t="s">
        <v>12496</v>
      </c>
      <c r="G40" s="9" t="s">
        <v>25</v>
      </c>
      <c r="H40" s="9"/>
      <c r="I40" s="9">
        <v>12</v>
      </c>
      <c r="J40" s="9">
        <v>48</v>
      </c>
      <c r="K40" s="9"/>
      <c r="L40" s="9" t="s">
        <v>12073</v>
      </c>
      <c r="M40" s="9" t="s">
        <v>12140</v>
      </c>
      <c r="N40" s="10" t="s">
        <v>12497</v>
      </c>
      <c r="O40" s="9"/>
      <c r="P40" s="9">
        <v>32</v>
      </c>
      <c r="Q40" s="9" t="e">
        <f t="shared" ref="Q40" si="5">IF(ISNUMBER(P40), (P40/$F$990)*10000, "")</f>
        <v>#DIV/0!</v>
      </c>
      <c r="R40" s="9"/>
      <c r="S40" s="9" t="s">
        <v>12795</v>
      </c>
      <c r="T40" s="9" t="s">
        <v>12795</v>
      </c>
      <c r="U40" s="9"/>
      <c r="V40" s="9"/>
      <c r="W40" s="9"/>
      <c r="X40" s="9"/>
      <c r="Y40" s="9"/>
      <c r="Z40" s="9"/>
      <c r="AA40" s="9"/>
      <c r="AB40" s="9"/>
      <c r="AC40" s="9"/>
      <c r="AD40" s="9" t="s">
        <v>13141</v>
      </c>
      <c r="AE40" t="s">
        <v>19</v>
      </c>
      <c r="AF40" t="s">
        <v>19</v>
      </c>
      <c r="AG40" t="s">
        <v>19</v>
      </c>
      <c r="AH40" t="s">
        <v>19</v>
      </c>
      <c r="AI40" t="s">
        <v>19</v>
      </c>
      <c r="AJ40" t="s">
        <v>19</v>
      </c>
      <c r="AK40" t="s">
        <v>13141</v>
      </c>
    </row>
    <row r="41" spans="1:37" ht="130.5">
      <c r="A41" s="3" t="s">
        <v>4138</v>
      </c>
      <c r="B41" s="3" t="s">
        <v>10572</v>
      </c>
      <c r="C41" s="3" t="s">
        <v>10571</v>
      </c>
      <c r="D41" t="s">
        <v>4774</v>
      </c>
      <c r="G41" s="9" t="s">
        <v>27</v>
      </c>
      <c r="H41" s="9"/>
      <c r="I41" s="9">
        <v>1</v>
      </c>
      <c r="J41" s="9">
        <v>2</v>
      </c>
      <c r="K41" s="9" t="s">
        <v>12087</v>
      </c>
      <c r="L41" s="9" t="s">
        <v>12119</v>
      </c>
      <c r="M41" s="9"/>
      <c r="N41" s="10"/>
      <c r="O41" s="9"/>
      <c r="P41" s="9">
        <v>207</v>
      </c>
      <c r="Q41" s="9"/>
      <c r="R41" s="9" t="s">
        <v>12795</v>
      </c>
      <c r="S41" s="9" t="s">
        <v>12795</v>
      </c>
      <c r="T41" s="9"/>
      <c r="U41" s="9"/>
      <c r="V41" s="9"/>
      <c r="W41" s="9"/>
      <c r="X41" s="9"/>
      <c r="Y41" s="9"/>
      <c r="Z41" s="9"/>
      <c r="AA41" s="9"/>
      <c r="AB41" s="9"/>
      <c r="AC41" s="9"/>
      <c r="AD41" t="s">
        <v>13141</v>
      </c>
      <c r="AE41" t="s">
        <v>13141</v>
      </c>
      <c r="AF41" t="s">
        <v>13141</v>
      </c>
      <c r="AG41" t="s">
        <v>13141</v>
      </c>
      <c r="AH41" t="s">
        <v>13141</v>
      </c>
      <c r="AI41" t="s">
        <v>13141</v>
      </c>
      <c r="AJ41" t="s">
        <v>13141</v>
      </c>
      <c r="AK41" t="s">
        <v>19</v>
      </c>
    </row>
    <row r="42" spans="1:37" ht="145">
      <c r="A42" s="3" t="s">
        <v>4157</v>
      </c>
      <c r="B42" s="3" t="s">
        <v>10613</v>
      </c>
      <c r="C42" s="3" t="s">
        <v>10612</v>
      </c>
      <c r="D42" t="s">
        <v>4774</v>
      </c>
      <c r="G42" s="9" t="s">
        <v>27</v>
      </c>
      <c r="H42" s="9"/>
      <c r="I42" s="9"/>
      <c r="J42" s="9"/>
      <c r="K42" s="9"/>
      <c r="L42" s="9"/>
      <c r="M42" s="9"/>
      <c r="N42" s="10"/>
      <c r="O42" s="9"/>
      <c r="P42" s="9"/>
      <c r="Q42" s="9"/>
      <c r="R42" s="9" t="s">
        <v>12795</v>
      </c>
      <c r="S42" s="9" t="s">
        <v>12795</v>
      </c>
      <c r="T42" s="9"/>
      <c r="U42" s="9"/>
      <c r="V42" s="9"/>
      <c r="W42" s="9"/>
      <c r="X42" s="9"/>
      <c r="Y42" s="9"/>
      <c r="Z42" s="9"/>
      <c r="AA42" s="9"/>
      <c r="AB42" s="9"/>
      <c r="AC42" s="9"/>
      <c r="AD42" t="s">
        <v>13141</v>
      </c>
      <c r="AE42" t="s">
        <v>13141</v>
      </c>
      <c r="AF42" t="s">
        <v>13141</v>
      </c>
      <c r="AG42" t="s">
        <v>13141</v>
      </c>
      <c r="AH42" t="s">
        <v>13141</v>
      </c>
      <c r="AI42" t="s">
        <v>13141</v>
      </c>
      <c r="AJ42" t="s">
        <v>13141</v>
      </c>
      <c r="AK42" t="s">
        <v>13141</v>
      </c>
    </row>
    <row r="43" spans="1:37" ht="217.5">
      <c r="A43" s="3" t="s">
        <v>4172</v>
      </c>
      <c r="B43" s="3" t="s">
        <v>10674</v>
      </c>
      <c r="C43" s="3" t="s">
        <v>10675</v>
      </c>
      <c r="D43" t="s">
        <v>4774</v>
      </c>
      <c r="G43" s="9" t="s">
        <v>27</v>
      </c>
      <c r="H43" s="9"/>
      <c r="I43" s="9"/>
      <c r="J43" s="9"/>
      <c r="K43" s="9"/>
      <c r="L43" s="9"/>
      <c r="M43" s="9"/>
      <c r="N43" s="10"/>
      <c r="O43" s="9"/>
      <c r="P43" s="9"/>
      <c r="Q43" s="9">
        <v>-298</v>
      </c>
      <c r="R43" s="9">
        <v>399</v>
      </c>
      <c r="S43" s="9">
        <v>101</v>
      </c>
      <c r="T43" s="9"/>
      <c r="U43" s="9"/>
      <c r="V43" s="9"/>
      <c r="W43" s="9"/>
      <c r="X43" s="9"/>
      <c r="Y43" s="9"/>
      <c r="Z43" s="9"/>
      <c r="AA43" s="9"/>
      <c r="AB43" s="9"/>
      <c r="AC43" s="9"/>
      <c r="AD43" t="s">
        <v>13141</v>
      </c>
      <c r="AE43" t="s">
        <v>13141</v>
      </c>
      <c r="AF43" t="s">
        <v>13141</v>
      </c>
      <c r="AG43" t="s">
        <v>13141</v>
      </c>
      <c r="AH43" t="s">
        <v>13141</v>
      </c>
      <c r="AI43" t="s">
        <v>13141</v>
      </c>
      <c r="AJ43" t="s">
        <v>13141</v>
      </c>
      <c r="AK43" t="s">
        <v>13141</v>
      </c>
    </row>
    <row r="44" spans="1:37" ht="130.5">
      <c r="A44" s="3" t="s">
        <v>4177</v>
      </c>
      <c r="B44" s="3" t="s">
        <v>13088</v>
      </c>
      <c r="C44" s="3" t="s">
        <v>10709</v>
      </c>
      <c r="D44" t="s">
        <v>4774</v>
      </c>
      <c r="E44" t="s">
        <v>19</v>
      </c>
      <c r="G44" s="9" t="s">
        <v>27</v>
      </c>
      <c r="H44" s="9"/>
      <c r="I44" s="9"/>
      <c r="J44" s="9"/>
      <c r="K44" s="9"/>
      <c r="L44" s="9"/>
      <c r="M44" s="9"/>
      <c r="N44" s="10"/>
      <c r="O44" s="9"/>
      <c r="P44" s="9"/>
      <c r="Q44" s="9">
        <v>-1269</v>
      </c>
      <c r="R44" s="9">
        <v>1741</v>
      </c>
      <c r="S44" s="9">
        <v>472</v>
      </c>
      <c r="T44" s="9"/>
      <c r="U44" s="9"/>
      <c r="V44" s="9"/>
      <c r="W44" s="9"/>
      <c r="X44" s="9"/>
      <c r="Y44" s="9"/>
      <c r="Z44" s="9"/>
      <c r="AA44" s="9"/>
      <c r="AB44" s="9"/>
      <c r="AC44" s="9"/>
      <c r="AD44" t="s">
        <v>13141</v>
      </c>
      <c r="AE44" t="s">
        <v>13141</v>
      </c>
      <c r="AF44" t="s">
        <v>13141</v>
      </c>
      <c r="AG44" t="s">
        <v>13141</v>
      </c>
      <c r="AH44" t="s">
        <v>13141</v>
      </c>
      <c r="AI44" t="s">
        <v>13141</v>
      </c>
      <c r="AJ44" t="s">
        <v>13141</v>
      </c>
      <c r="AK44" t="s">
        <v>13141</v>
      </c>
    </row>
    <row r="45" spans="1:37" ht="290">
      <c r="A45" s="3" t="s">
        <v>4226</v>
      </c>
      <c r="B45" s="3" t="s">
        <v>12555</v>
      </c>
      <c r="C45" s="3" t="s">
        <v>13089</v>
      </c>
      <c r="D45" t="s">
        <v>4774</v>
      </c>
      <c r="G45" s="9" t="s">
        <v>27</v>
      </c>
      <c r="H45" s="9"/>
      <c r="I45" s="9"/>
      <c r="J45" s="9"/>
      <c r="K45" s="9"/>
      <c r="L45" s="9"/>
      <c r="M45" s="9"/>
      <c r="N45" s="10"/>
      <c r="O45" s="9"/>
      <c r="P45" s="9"/>
      <c r="Q45" s="9"/>
      <c r="R45" s="9" t="s">
        <v>12795</v>
      </c>
      <c r="S45" s="9" t="s">
        <v>12795</v>
      </c>
      <c r="T45" s="9"/>
      <c r="U45" s="9"/>
      <c r="V45" s="9"/>
      <c r="W45" s="9"/>
      <c r="X45" s="9"/>
      <c r="Y45" s="9"/>
      <c r="Z45" s="9"/>
      <c r="AA45" s="9"/>
      <c r="AB45" s="9"/>
      <c r="AC45" s="9"/>
      <c r="AD45" t="s">
        <v>13141</v>
      </c>
      <c r="AE45" t="s">
        <v>13141</v>
      </c>
      <c r="AF45" t="s">
        <v>13141</v>
      </c>
      <c r="AG45" t="s">
        <v>13141</v>
      </c>
      <c r="AH45" t="s">
        <v>13141</v>
      </c>
      <c r="AI45" t="s">
        <v>13141</v>
      </c>
      <c r="AJ45" t="s">
        <v>13141</v>
      </c>
      <c r="AK45" t="s">
        <v>13141</v>
      </c>
    </row>
    <row r="46" spans="1:37" ht="203">
      <c r="A46" s="3" t="s">
        <v>4488</v>
      </c>
      <c r="B46" s="3" t="s">
        <v>11378</v>
      </c>
      <c r="C46" s="3" t="s">
        <v>11379</v>
      </c>
      <c r="D46" t="s">
        <v>4774</v>
      </c>
      <c r="G46" s="15" t="s">
        <v>27</v>
      </c>
      <c r="H46" s="15"/>
      <c r="I46" s="15"/>
      <c r="J46" s="15"/>
      <c r="K46" s="15"/>
      <c r="L46" s="15"/>
      <c r="M46" s="15"/>
      <c r="N46" s="16"/>
      <c r="O46" s="15"/>
      <c r="P46" s="15"/>
      <c r="Q46" s="15"/>
      <c r="R46" s="15"/>
      <c r="S46" s="15"/>
      <c r="T46" s="15"/>
      <c r="U46" s="15"/>
      <c r="V46" s="15"/>
      <c r="W46" s="15"/>
      <c r="X46" s="15"/>
      <c r="Y46" s="15"/>
      <c r="Z46" s="15"/>
      <c r="AA46" s="15"/>
      <c r="AB46" s="15"/>
      <c r="AC46" s="15"/>
      <c r="AD46" t="s">
        <v>13141</v>
      </c>
      <c r="AE46" t="s">
        <v>13141</v>
      </c>
      <c r="AF46" t="s">
        <v>13141</v>
      </c>
      <c r="AG46" t="s">
        <v>13141</v>
      </c>
      <c r="AH46" t="s">
        <v>13141</v>
      </c>
      <c r="AI46" t="s">
        <v>13141</v>
      </c>
      <c r="AJ46" t="s">
        <v>13141</v>
      </c>
      <c r="AK46" t="s">
        <v>13141</v>
      </c>
    </row>
    <row r="47" spans="1:37" ht="130.5">
      <c r="A47" s="3" t="s">
        <v>4489</v>
      </c>
      <c r="B47" s="3" t="s">
        <v>11389</v>
      </c>
      <c r="C47" s="3" t="s">
        <v>11387</v>
      </c>
      <c r="D47" t="s">
        <v>4774</v>
      </c>
      <c r="G47" s="15" t="s">
        <v>27</v>
      </c>
      <c r="H47" s="15"/>
      <c r="I47" s="15"/>
      <c r="J47" s="15"/>
      <c r="K47" s="15"/>
      <c r="L47" s="15"/>
      <c r="M47" s="15"/>
      <c r="N47" s="16"/>
      <c r="O47" s="15"/>
      <c r="P47" s="15"/>
      <c r="Q47" s="15"/>
      <c r="R47" s="15" t="s">
        <v>12795</v>
      </c>
      <c r="S47" s="15" t="s">
        <v>12795</v>
      </c>
      <c r="T47" s="15"/>
      <c r="U47" s="15"/>
      <c r="V47" s="15"/>
      <c r="W47" s="15"/>
      <c r="X47" s="15"/>
      <c r="Y47" s="15"/>
      <c r="Z47" s="15"/>
      <c r="AA47" s="15"/>
      <c r="AB47" s="15"/>
      <c r="AC47" s="15"/>
      <c r="AD47" t="s">
        <v>20</v>
      </c>
      <c r="AE47" t="s">
        <v>20</v>
      </c>
      <c r="AF47" t="s">
        <v>20</v>
      </c>
      <c r="AG47" t="s">
        <v>20</v>
      </c>
      <c r="AH47" t="s">
        <v>20</v>
      </c>
      <c r="AI47" t="s">
        <v>20</v>
      </c>
      <c r="AJ47" t="s">
        <v>20</v>
      </c>
      <c r="AK47" t="s">
        <v>20</v>
      </c>
    </row>
    <row r="48" spans="1:37" ht="145">
      <c r="A48" s="3" t="s">
        <v>4531</v>
      </c>
      <c r="B48" s="3" t="s">
        <v>11510</v>
      </c>
      <c r="C48" s="3" t="s">
        <v>11509</v>
      </c>
      <c r="D48" t="s">
        <v>4774</v>
      </c>
      <c r="E48" t="s">
        <v>19</v>
      </c>
      <c r="G48" s="9" t="s">
        <v>27</v>
      </c>
      <c r="H48" s="9"/>
      <c r="I48" s="9">
        <v>1</v>
      </c>
      <c r="J48" s="9">
        <v>3</v>
      </c>
      <c r="K48" s="9" t="s">
        <v>12087</v>
      </c>
      <c r="L48" s="9" t="s">
        <v>12079</v>
      </c>
      <c r="M48" s="9"/>
      <c r="N48" s="10"/>
      <c r="O48" s="9"/>
      <c r="P48" s="9">
        <v>5676</v>
      </c>
      <c r="Q48" s="9"/>
      <c r="R48" s="9" t="s">
        <v>12795</v>
      </c>
      <c r="S48" s="9" t="s">
        <v>12795</v>
      </c>
      <c r="T48" s="9"/>
      <c r="U48" s="9"/>
      <c r="V48" s="9"/>
      <c r="W48" s="9"/>
      <c r="X48" s="9"/>
      <c r="Y48" s="9"/>
      <c r="Z48" s="9"/>
      <c r="AA48" s="9"/>
      <c r="AB48" s="9"/>
      <c r="AC48" s="9"/>
      <c r="AD48" t="s">
        <v>19</v>
      </c>
      <c r="AE48" t="s">
        <v>19</v>
      </c>
      <c r="AF48" t="s">
        <v>19</v>
      </c>
      <c r="AG48" t="s">
        <v>19</v>
      </c>
      <c r="AH48" t="s">
        <v>19</v>
      </c>
      <c r="AI48" t="s">
        <v>19</v>
      </c>
      <c r="AJ48" t="s">
        <v>19</v>
      </c>
      <c r="AK48" t="s">
        <v>13141</v>
      </c>
    </row>
    <row r="49" spans="1:37" ht="246.5">
      <c r="A49" s="3" t="s">
        <v>4573</v>
      </c>
      <c r="B49" s="3" t="s">
        <v>11605</v>
      </c>
      <c r="C49" s="3" t="s">
        <v>13082</v>
      </c>
      <c r="D49" t="s">
        <v>4774</v>
      </c>
      <c r="E49" t="s">
        <v>19</v>
      </c>
      <c r="G49" s="15" t="s">
        <v>27</v>
      </c>
      <c r="H49" s="15"/>
      <c r="I49" s="15"/>
      <c r="J49" s="15"/>
      <c r="K49" s="15"/>
      <c r="L49" s="15"/>
      <c r="M49" s="15"/>
      <c r="N49" s="16"/>
      <c r="O49" s="15"/>
      <c r="P49" s="15"/>
      <c r="Q49" s="15"/>
      <c r="R49" s="15" t="s">
        <v>12795</v>
      </c>
      <c r="S49" s="15" t="s">
        <v>12795</v>
      </c>
      <c r="T49" s="15"/>
      <c r="U49" s="15"/>
      <c r="V49" s="15"/>
      <c r="W49" s="15"/>
      <c r="X49" s="15"/>
      <c r="Y49" s="15"/>
      <c r="Z49" s="15"/>
      <c r="AA49" s="15"/>
      <c r="AB49" s="15"/>
      <c r="AC49" s="15"/>
      <c r="AD49" t="s">
        <v>13141</v>
      </c>
      <c r="AE49" t="s">
        <v>13141</v>
      </c>
      <c r="AF49" t="s">
        <v>13141</v>
      </c>
      <c r="AG49" t="s">
        <v>13141</v>
      </c>
      <c r="AH49" t="s">
        <v>13141</v>
      </c>
      <c r="AI49" t="s">
        <v>13141</v>
      </c>
      <c r="AJ49" t="s">
        <v>13141</v>
      </c>
      <c r="AK49" s="19" t="s">
        <v>13141</v>
      </c>
    </row>
    <row r="50" spans="1:37" ht="130.5">
      <c r="A50" s="3" t="s">
        <v>4645</v>
      </c>
      <c r="B50" s="3" t="s">
        <v>11788</v>
      </c>
      <c r="C50" s="3" t="s">
        <v>11789</v>
      </c>
      <c r="D50" t="s">
        <v>4774</v>
      </c>
      <c r="E50" t="s">
        <v>19</v>
      </c>
      <c r="G50" s="9" t="s">
        <v>27</v>
      </c>
      <c r="H50" s="9"/>
      <c r="I50" s="9"/>
      <c r="J50" s="9"/>
      <c r="K50" s="9"/>
      <c r="L50" s="9"/>
      <c r="M50" s="9"/>
      <c r="N50" s="10"/>
      <c r="O50" s="9"/>
      <c r="P50" s="9"/>
      <c r="Q50" s="9">
        <v>68</v>
      </c>
      <c r="R50" s="9">
        <v>5</v>
      </c>
      <c r="S50" s="9">
        <v>73</v>
      </c>
      <c r="T50" s="9"/>
      <c r="U50" s="9"/>
      <c r="V50" s="9"/>
      <c r="W50" s="9"/>
      <c r="X50" s="9"/>
      <c r="Y50" s="9"/>
      <c r="Z50" s="9"/>
      <c r="AA50" s="9"/>
      <c r="AB50" s="9"/>
      <c r="AC50" s="9"/>
      <c r="AD50" t="s">
        <v>13141</v>
      </c>
      <c r="AE50" t="s">
        <v>13141</v>
      </c>
      <c r="AF50" t="s">
        <v>13141</v>
      </c>
      <c r="AG50" t="s">
        <v>13141</v>
      </c>
      <c r="AH50" t="s">
        <v>13141</v>
      </c>
      <c r="AI50" t="s">
        <v>13141</v>
      </c>
      <c r="AJ50" t="s">
        <v>13141</v>
      </c>
      <c r="AK50" t="s">
        <v>13141</v>
      </c>
    </row>
    <row r="51" spans="1:37" ht="116">
      <c r="A51" s="3" t="s">
        <v>4655</v>
      </c>
      <c r="B51" s="3" t="s">
        <v>11823</v>
      </c>
      <c r="C51" s="3" t="s">
        <v>11824</v>
      </c>
      <c r="D51" t="s">
        <v>4774</v>
      </c>
      <c r="E51" t="s">
        <v>19</v>
      </c>
      <c r="G51" s="9" t="s">
        <v>27</v>
      </c>
      <c r="H51" s="9"/>
      <c r="I51" s="9"/>
      <c r="J51" s="9"/>
      <c r="K51" s="9"/>
      <c r="L51" s="9"/>
      <c r="M51" s="9"/>
      <c r="N51" s="10"/>
      <c r="O51" s="9"/>
      <c r="P51" s="9"/>
      <c r="Q51" s="9">
        <v>243</v>
      </c>
      <c r="R51" s="9">
        <v>21</v>
      </c>
      <c r="S51" s="9">
        <v>264</v>
      </c>
      <c r="T51" s="9"/>
      <c r="U51" s="9"/>
      <c r="V51" s="9"/>
      <c r="W51" s="9"/>
      <c r="X51" s="9"/>
      <c r="Y51" s="9"/>
      <c r="Z51" s="9"/>
      <c r="AA51" s="9"/>
      <c r="AB51" s="9"/>
      <c r="AC51" s="9"/>
      <c r="AD51" t="s">
        <v>13141</v>
      </c>
      <c r="AE51" t="s">
        <v>13141</v>
      </c>
      <c r="AF51" t="s">
        <v>13141</v>
      </c>
      <c r="AG51" t="s">
        <v>13141</v>
      </c>
      <c r="AH51" t="s">
        <v>13141</v>
      </c>
      <c r="AI51" t="s">
        <v>13141</v>
      </c>
      <c r="AJ51" t="s">
        <v>13141</v>
      </c>
      <c r="AK51" t="s">
        <v>13141</v>
      </c>
    </row>
    <row r="52" spans="1:37" ht="217.5">
      <c r="A52" s="3" t="s">
        <v>4672</v>
      </c>
      <c r="B52" s="3" t="s">
        <v>11868</v>
      </c>
      <c r="C52" s="3" t="s">
        <v>11867</v>
      </c>
      <c r="D52" t="s">
        <v>4774</v>
      </c>
      <c r="E52" t="s">
        <v>19</v>
      </c>
      <c r="G52" s="9" t="s">
        <v>27</v>
      </c>
      <c r="H52" s="9"/>
      <c r="I52" s="9"/>
      <c r="J52" s="9"/>
      <c r="K52" s="9"/>
      <c r="L52" s="9"/>
      <c r="M52" s="9"/>
      <c r="N52" s="10"/>
      <c r="O52" s="9"/>
      <c r="P52" s="9"/>
      <c r="Q52" s="9"/>
      <c r="R52" s="9" t="s">
        <v>12795</v>
      </c>
      <c r="S52" s="9" t="s">
        <v>12795</v>
      </c>
      <c r="T52" s="9"/>
      <c r="U52" s="9"/>
      <c r="V52" s="9"/>
      <c r="W52" s="9"/>
      <c r="X52" s="9"/>
      <c r="Y52" s="9"/>
      <c r="Z52" s="9"/>
      <c r="AA52" s="9"/>
      <c r="AB52" s="9"/>
      <c r="AC52" s="9"/>
      <c r="AD52" t="s">
        <v>19</v>
      </c>
      <c r="AE52" t="s">
        <v>13141</v>
      </c>
      <c r="AF52" t="s">
        <v>13141</v>
      </c>
      <c r="AG52" t="s">
        <v>13141</v>
      </c>
      <c r="AH52" t="s">
        <v>13141</v>
      </c>
      <c r="AI52" t="s">
        <v>13141</v>
      </c>
      <c r="AJ52" t="s">
        <v>13141</v>
      </c>
      <c r="AK52" t="s">
        <v>13141</v>
      </c>
    </row>
    <row r="53" spans="1:37" ht="145">
      <c r="A53" s="3" t="s">
        <v>4673</v>
      </c>
      <c r="B53" s="3" t="s">
        <v>11876</v>
      </c>
      <c r="C53" s="3" t="s">
        <v>11877</v>
      </c>
      <c r="D53" t="s">
        <v>4774</v>
      </c>
      <c r="G53" s="15" t="s">
        <v>27</v>
      </c>
      <c r="H53" s="15"/>
      <c r="I53" s="15"/>
      <c r="J53" s="15"/>
      <c r="K53" s="15"/>
      <c r="L53" s="15"/>
      <c r="M53" s="15"/>
      <c r="N53" s="16"/>
      <c r="O53" s="15"/>
      <c r="P53" s="15"/>
      <c r="Q53" s="15"/>
      <c r="R53" s="15" t="s">
        <v>12795</v>
      </c>
      <c r="S53" s="15" t="s">
        <v>12795</v>
      </c>
      <c r="T53" s="15"/>
      <c r="U53" s="15"/>
      <c r="V53" s="15"/>
      <c r="W53" s="15"/>
      <c r="X53" s="15"/>
      <c r="Y53" s="15"/>
      <c r="Z53" s="15"/>
      <c r="AA53" s="15"/>
      <c r="AB53" s="15"/>
      <c r="AC53" s="15"/>
      <c r="AD53" t="s">
        <v>19</v>
      </c>
      <c r="AE53" t="s">
        <v>19</v>
      </c>
      <c r="AF53" t="s">
        <v>19</v>
      </c>
      <c r="AG53" t="s">
        <v>19</v>
      </c>
      <c r="AH53" t="s">
        <v>19</v>
      </c>
      <c r="AI53" t="s">
        <v>19</v>
      </c>
      <c r="AJ53" t="s">
        <v>19</v>
      </c>
      <c r="AK53" s="19" t="s">
        <v>13141</v>
      </c>
    </row>
    <row r="54" spans="1:37" ht="174">
      <c r="A54" s="3" t="s">
        <v>4696</v>
      </c>
      <c r="B54" s="3" t="s">
        <v>11910</v>
      </c>
      <c r="C54" s="3" t="s">
        <v>11911</v>
      </c>
      <c r="D54" t="s">
        <v>4774</v>
      </c>
      <c r="G54" s="15" t="s">
        <v>27</v>
      </c>
      <c r="H54" s="15"/>
      <c r="I54" s="15">
        <v>1</v>
      </c>
      <c r="J54" s="15">
        <v>3</v>
      </c>
      <c r="K54" s="15" t="s">
        <v>12087</v>
      </c>
      <c r="L54" s="15" t="s">
        <v>12079</v>
      </c>
      <c r="M54" s="15"/>
      <c r="N54" s="16"/>
      <c r="O54" s="15"/>
      <c r="P54" s="15">
        <v>5676</v>
      </c>
      <c r="Q54" s="15"/>
      <c r="R54" s="15" t="s">
        <v>12795</v>
      </c>
      <c r="S54" s="15" t="s">
        <v>12795</v>
      </c>
      <c r="T54" s="15"/>
      <c r="U54" s="15"/>
      <c r="V54" s="15"/>
      <c r="W54" s="15"/>
      <c r="X54" s="15"/>
      <c r="Y54" s="15"/>
      <c r="Z54" s="15"/>
      <c r="AA54" s="15"/>
      <c r="AB54" s="15"/>
      <c r="AC54" s="15"/>
      <c r="AD54" t="s">
        <v>13141</v>
      </c>
      <c r="AE54" t="s">
        <v>13141</v>
      </c>
      <c r="AF54" t="s">
        <v>13141</v>
      </c>
      <c r="AG54" t="s">
        <v>13141</v>
      </c>
      <c r="AH54" t="s">
        <v>13141</v>
      </c>
      <c r="AI54" t="s">
        <v>13141</v>
      </c>
      <c r="AJ54" t="s">
        <v>13141</v>
      </c>
      <c r="AK54" t="s">
        <v>13141</v>
      </c>
    </row>
    <row r="55" spans="1:37" ht="261">
      <c r="A55" s="3" t="s">
        <v>4743</v>
      </c>
      <c r="B55" s="3" t="s">
        <v>12019</v>
      </c>
      <c r="C55" s="3" t="s">
        <v>12022</v>
      </c>
      <c r="D55" t="s">
        <v>4774</v>
      </c>
      <c r="E55" t="s">
        <v>19</v>
      </c>
      <c r="G55" s="15" t="s">
        <v>27</v>
      </c>
      <c r="H55" s="15"/>
      <c r="I55" s="15"/>
      <c r="J55" s="15"/>
      <c r="K55" s="15"/>
      <c r="L55" s="15"/>
      <c r="M55" s="15"/>
      <c r="N55" s="16"/>
      <c r="O55" s="15"/>
      <c r="P55" s="15"/>
      <c r="Q55" s="15"/>
      <c r="R55" s="15" t="s">
        <v>12795</v>
      </c>
      <c r="S55" s="15" t="s">
        <v>12795</v>
      </c>
      <c r="T55" s="15"/>
      <c r="U55" s="15"/>
      <c r="V55" s="15"/>
      <c r="W55" s="15"/>
      <c r="X55" s="15"/>
      <c r="Y55" s="15"/>
      <c r="Z55" s="15" t="s">
        <v>12744</v>
      </c>
      <c r="AA55" s="15" t="s">
        <v>19</v>
      </c>
      <c r="AB55" s="15" t="s">
        <v>12086</v>
      </c>
      <c r="AC55" s="15"/>
      <c r="AD55" s="20" t="s">
        <v>13141</v>
      </c>
      <c r="AE55" s="20" t="s">
        <v>19</v>
      </c>
      <c r="AF55" s="20" t="s">
        <v>13141</v>
      </c>
      <c r="AG55" s="20" t="s">
        <v>13141</v>
      </c>
      <c r="AH55" s="20" t="s">
        <v>13141</v>
      </c>
      <c r="AI55" s="20" t="s">
        <v>13141</v>
      </c>
      <c r="AJ55" s="20" t="s">
        <v>13141</v>
      </c>
      <c r="AK55" s="20" t="s">
        <v>13141</v>
      </c>
    </row>
    <row r="58" spans="1:37" ht="18.5">
      <c r="C58" s="21"/>
      <c r="G58" s="21" t="s">
        <v>13154</v>
      </c>
    </row>
    <row r="59" spans="1:37">
      <c r="G59" t="s">
        <v>19</v>
      </c>
      <c r="AD59">
        <f t="shared" ref="AD59:AK61" si="6">COUNTIF(AD$2:AD$55,$G59)/COUNTA(AD$2:AD$55)</f>
        <v>0.22222222222222221</v>
      </c>
      <c r="AE59">
        <f t="shared" si="6"/>
        <v>0.25925925925925924</v>
      </c>
      <c r="AF59">
        <f t="shared" si="6"/>
        <v>0.20370370370370369</v>
      </c>
      <c r="AG59">
        <f t="shared" si="6"/>
        <v>0.20370370370370369</v>
      </c>
      <c r="AH59">
        <f t="shared" si="6"/>
        <v>0.20370370370370369</v>
      </c>
      <c r="AI59">
        <f t="shared" si="6"/>
        <v>0.20370370370370369</v>
      </c>
      <c r="AJ59">
        <f t="shared" si="6"/>
        <v>0.20370370370370369</v>
      </c>
      <c r="AK59">
        <f t="shared" si="6"/>
        <v>0.1111111111111111</v>
      </c>
    </row>
    <row r="60" spans="1:37">
      <c r="G60" t="s">
        <v>20</v>
      </c>
      <c r="AD60">
        <f t="shared" si="6"/>
        <v>0.42592592592592593</v>
      </c>
      <c r="AE60">
        <f t="shared" si="6"/>
        <v>0.40740740740740738</v>
      </c>
      <c r="AF60">
        <f t="shared" si="6"/>
        <v>0.42592592592592593</v>
      </c>
      <c r="AG60">
        <f t="shared" si="6"/>
        <v>0.42592592592592593</v>
      </c>
      <c r="AH60">
        <f t="shared" si="6"/>
        <v>0.42592592592592593</v>
      </c>
      <c r="AI60">
        <f t="shared" si="6"/>
        <v>0.42592592592592593</v>
      </c>
      <c r="AJ60">
        <f t="shared" si="6"/>
        <v>0.42592592592592593</v>
      </c>
      <c r="AK60">
        <f t="shared" si="6"/>
        <v>0.48148148148148145</v>
      </c>
    </row>
    <row r="61" spans="1:37">
      <c r="G61" t="s">
        <v>13141</v>
      </c>
      <c r="AD61">
        <f t="shared" si="6"/>
        <v>0.35185185185185186</v>
      </c>
      <c r="AE61">
        <f t="shared" si="6"/>
        <v>0.33333333333333331</v>
      </c>
      <c r="AF61">
        <f t="shared" si="6"/>
        <v>0.37037037037037035</v>
      </c>
      <c r="AG61">
        <f t="shared" si="6"/>
        <v>0.37037037037037035</v>
      </c>
      <c r="AH61">
        <f t="shared" si="6"/>
        <v>0.37037037037037035</v>
      </c>
      <c r="AI61">
        <f t="shared" si="6"/>
        <v>0.37037037037037035</v>
      </c>
      <c r="AJ61">
        <f t="shared" si="6"/>
        <v>0.37037037037037035</v>
      </c>
      <c r="AK61">
        <f t="shared" si="6"/>
        <v>0.40740740740740738</v>
      </c>
    </row>
  </sheetData>
  <conditionalFormatting sqref="G2:G55">
    <cfRule type="expression" dxfId="483" priority="13">
      <formula>$I2&lt;&gt;""</formula>
    </cfRule>
    <cfRule type="expression" dxfId="482" priority="14">
      <formula>$I2=""</formula>
    </cfRule>
  </conditionalFormatting>
  <conditionalFormatting sqref="H37:L38">
    <cfRule type="expression" dxfId="481" priority="43">
      <formula>AND($I37&lt;&gt;"Addition",$I37&lt;&gt;"Omission",$I37&lt;&gt;"Substitution - Word")</formula>
    </cfRule>
  </conditionalFormatting>
  <conditionalFormatting sqref="H40:L40">
    <cfRule type="expression" dxfId="480" priority="22">
      <formula>AND($I40&lt;&gt;"Addition",$I40&lt;&gt;"Omission",$I40&lt;&gt;"Substitution - Word")</formula>
    </cfRule>
  </conditionalFormatting>
  <conditionalFormatting sqref="H2:P26 H35:P35 H39:P39 H41:P55">
    <cfRule type="expression" dxfId="479" priority="129">
      <formula>AND(OR($I2="Addition",$I2="Omission"), H2&lt;&gt;"")</formula>
    </cfRule>
  </conditionalFormatting>
  <conditionalFormatting sqref="H27:P33">
    <cfRule type="expression" dxfId="478" priority="94">
      <formula>AND(OR($I27="Addition",$I27="Omission"), H27&lt;&gt;"")</formula>
    </cfRule>
  </conditionalFormatting>
  <conditionalFormatting sqref="H34:P34">
    <cfRule type="expression" dxfId="477" priority="75">
      <formula>AND(OR($I34="Addition",$I34="Omission"), H34&lt;&gt;"")</formula>
    </cfRule>
  </conditionalFormatting>
  <conditionalFormatting sqref="H36:P36">
    <cfRule type="expression" dxfId="476" priority="58">
      <formula>AND(OR($I36="Addition",$I36="Omission"), H36&lt;&gt;"")</formula>
    </cfRule>
  </conditionalFormatting>
  <conditionalFormatting sqref="H37:P38">
    <cfRule type="expression" dxfId="475" priority="53">
      <formula>AND(OR($I37="Addition",$I37="Omission"), H37&lt;&gt;"")</formula>
    </cfRule>
  </conditionalFormatting>
  <conditionalFormatting sqref="H40:P40">
    <cfRule type="expression" dxfId="474" priority="32">
      <formula>AND(OR($I40="Addition",$I40="Omission"), H40&lt;&gt;"")</formula>
    </cfRule>
  </conditionalFormatting>
  <conditionalFormatting sqref="K2:K55">
    <cfRule type="expression" dxfId="473" priority="19">
      <formula>AND($K2&lt;&gt;"",$K2&gt;1)</formula>
    </cfRule>
  </conditionalFormatting>
  <conditionalFormatting sqref="M2:N38">
    <cfRule type="expression" dxfId="472" priority="42">
      <formula>AND($I2&lt;&gt;"Addition",$I2&lt;&gt;"Omission")</formula>
    </cfRule>
  </conditionalFormatting>
  <conditionalFormatting sqref="M2:N55">
    <cfRule type="expression" dxfId="471" priority="15">
      <formula>$N2="Absent"</formula>
    </cfRule>
    <cfRule type="expression" dxfId="470" priority="16">
      <formula>$N2="NA"</formula>
    </cfRule>
  </conditionalFormatting>
  <conditionalFormatting sqref="M39:N39 M41:N55">
    <cfRule type="expression" dxfId="469" priority="117">
      <formula>AND($I39&lt;&gt;"Addition",$I39&lt;&gt;"Omission")</formula>
    </cfRule>
  </conditionalFormatting>
  <conditionalFormatting sqref="M40:N40">
    <cfRule type="expression" dxfId="468" priority="18">
      <formula>AND($I40&lt;&gt;"Addition",$I40&lt;&gt;"Omission")</formula>
    </cfRule>
    <cfRule type="expression" dxfId="467" priority="17">
      <formula>AND(OR($I40="Addition",$I40="Omission"), M40="")</formula>
    </cfRule>
  </conditionalFormatting>
  <conditionalFormatting sqref="M2:P35 H2:L55">
    <cfRule type="expression" dxfId="466" priority="118">
      <formula>AND(OR($I2="Addition",$I2="Omission"), H2="")</formula>
    </cfRule>
  </conditionalFormatting>
  <conditionalFormatting sqref="M39:P39 M41:P55">
    <cfRule type="expression" dxfId="465" priority="116">
      <formula>AND(OR($I39="Addition",$I39="Omission"), M39="")</formula>
    </cfRule>
  </conditionalFormatting>
  <conditionalFormatting sqref="M36:Q38">
    <cfRule type="expression" dxfId="464" priority="37">
      <formula>AND(OR($I36="Addition",$I36="Omission"), M36="")</formula>
    </cfRule>
  </conditionalFormatting>
  <conditionalFormatting sqref="O2:O55">
    <cfRule type="expression" dxfId="463" priority="20">
      <formula>OR($I2="Addition",$I2="Omission",$I2 = "Substitution - Word")</formula>
    </cfRule>
  </conditionalFormatting>
  <conditionalFormatting sqref="O2:P26 H2:L36 H39:L39 H41:L55 O37:P55">
    <cfRule type="expression" dxfId="462" priority="119">
      <formula>AND($I2&lt;&gt;"Addition",$I2&lt;&gt;"Omission",$I2&lt;&gt;"Substitution - Word")</formula>
    </cfRule>
  </conditionalFormatting>
  <conditionalFormatting sqref="O28:P35">
    <cfRule type="expression" dxfId="461" priority="65">
      <formula>AND($I28&lt;&gt;"Addition",$I28&lt;&gt;"Omission",$I28&lt;&gt;"Substitution - Word")</formula>
    </cfRule>
  </conditionalFormatting>
  <conditionalFormatting sqref="O40:P40">
    <cfRule type="expression" dxfId="460" priority="21">
      <formula>AND(OR($I40="Addition",$I40="Omission"), O40="")</formula>
    </cfRule>
  </conditionalFormatting>
  <conditionalFormatting sqref="O27:Q27">
    <cfRule type="expression" dxfId="459" priority="81">
      <formula>AND($I27&lt;&gt;"Addition",$I27&lt;&gt;"Omission",$I27&lt;&gt;"Substitution - Word")</formula>
    </cfRule>
  </conditionalFormatting>
  <conditionalFormatting sqref="O36:Q36">
    <cfRule type="expression" dxfId="458" priority="57">
      <formula>AND($I36&lt;&gt;"Addition",$I36&lt;&gt;"Omission",$I36&lt;&gt;"Substitution - Word")</formula>
    </cfRule>
  </conditionalFormatting>
  <conditionalFormatting sqref="Q27">
    <cfRule type="expression" dxfId="457" priority="79">
      <formula>AND(OR($I27="Addition",$I27="Omission"), Q27&lt;&gt;"")</formula>
    </cfRule>
    <cfRule type="expression" dxfId="456" priority="80">
      <formula>AND(OR($I27="Addition",$I27="Omission"), Q27="")</formula>
    </cfRule>
  </conditionalFormatting>
  <conditionalFormatting sqref="Q34">
    <cfRule type="expression" dxfId="455" priority="61">
      <formula>AND($I34&lt;&gt;"Addition",$I34&lt;&gt;"Omission",$I34&lt;&gt;"Substitution - Word")</formula>
    </cfRule>
    <cfRule type="expression" dxfId="454" priority="60">
      <formula>AND(OR($I34="Addition",$I34="Omission"), Q34="")</formula>
    </cfRule>
    <cfRule type="expression" dxfId="453" priority="59">
      <formula>AND(OR($I34="Addition",$I34="Omission"), Q34&lt;&gt;"")</formula>
    </cfRule>
  </conditionalFormatting>
  <conditionalFormatting sqref="Q36:Q38">
    <cfRule type="expression" dxfId="452" priority="36">
      <formula>AND(OR($I36="Addition",$I36="Omission"), Q36&lt;&gt;"")</formula>
    </cfRule>
  </conditionalFormatting>
  <conditionalFormatting sqref="Q37:Q38">
    <cfRule type="expression" dxfId="451" priority="38">
      <formula>AND($I37&lt;&gt;"Addition",$I37&lt;&gt;"Omission",$I37&lt;&gt;"Substitution - Word")</formula>
    </cfRule>
  </conditionalFormatting>
  <conditionalFormatting sqref="Q40">
    <cfRule type="expression" dxfId="450" priority="7">
      <formula>AND(OR($I40="Addition",$I40="Omission"), Q40&lt;&gt;"")</formula>
    </cfRule>
    <cfRule type="expression" dxfId="449" priority="8">
      <formula>AND(OR($I40="Addition",$I40="Omission"), Q40="")</formula>
    </cfRule>
    <cfRule type="expression" dxfId="448" priority="9">
      <formula>AND($I40&lt;&gt;"Addition",$I40&lt;&gt;"Omission",$I40&lt;&gt;"Substitution - Word")</formula>
    </cfRule>
  </conditionalFormatting>
  <conditionalFormatting sqref="Q2:S26 R35:S35 R39:S39 R41:S55">
    <cfRule type="expression" dxfId="447" priority="128">
      <formula>"&lt;&gt;AND(LEFT($J2,3)=""Sub"", RIGHT($J2,4)&lt;&gt;""Form"")"</formula>
    </cfRule>
    <cfRule type="expression" dxfId="446" priority="127">
      <formula>AND(AND(LEFT($I2,3)="Sub", RIGHT($I2,4)&lt;&gt;"Form"),$S2="")</formula>
    </cfRule>
    <cfRule type="expression" dxfId="445" priority="126">
      <formula>AND(AND(LEFT($I2,3)="Sub", RIGHT($I2,4)&lt;&gt;"Form"),$S2&lt;&gt;"")</formula>
    </cfRule>
  </conditionalFormatting>
  <conditionalFormatting sqref="Q28:S33 Q35:S35 Q39:S39 Q41:S55">
    <cfRule type="expression" dxfId="444" priority="109">
      <formula>"&lt;&gt;AND(LEFT($J2,3)=""Sub"", RIGHT($J2,4)&lt;&gt;""Form"")"</formula>
    </cfRule>
    <cfRule type="expression" dxfId="443" priority="108">
      <formula>AND(AND(LEFT($I28,3)="Sub", RIGHT($I28,4)&lt;&gt;"Form"),$S28="")</formula>
    </cfRule>
    <cfRule type="expression" dxfId="442" priority="107">
      <formula>AND(AND(LEFT($I28,3)="Sub", RIGHT($I28,4)&lt;&gt;"Form"),$S28&lt;&gt;"")</formula>
    </cfRule>
  </conditionalFormatting>
  <conditionalFormatting sqref="R2:S26">
    <cfRule type="expression" dxfId="441" priority="115">
      <formula>"&lt;&gt;AND(LEFT($J2,3)=""Sub"", RIGHT($J2,4)&lt;&gt;""Form"")"</formula>
    </cfRule>
    <cfRule type="expression" dxfId="440" priority="113">
      <formula>AND(AND(LEFT($I2,3)="Sub", RIGHT($I2,4)&lt;&gt;"Form"),$S2&lt;&gt;"")</formula>
    </cfRule>
    <cfRule type="expression" dxfId="439" priority="114">
      <formula>AND(AND(LEFT($I2,3)="Sub", RIGHT($I2,4)&lt;&gt;"Form"),$S2="")</formula>
    </cfRule>
  </conditionalFormatting>
  <conditionalFormatting sqref="R28:S33">
    <cfRule type="expression" dxfId="438" priority="100">
      <formula>"&lt;&gt;AND(LEFT($J2,3)=""Sub"", RIGHT($J2,4)&lt;&gt;""Form"")"</formula>
    </cfRule>
    <cfRule type="expression" dxfId="437" priority="99">
      <formula>AND(AND(LEFT($I28,3)="Sub", RIGHT($I28,4)&lt;&gt;"Form"),$S28="")</formula>
    </cfRule>
    <cfRule type="expression" dxfId="436" priority="98">
      <formula>AND(AND(LEFT($I28,3)="Sub", RIGHT($I28,4)&lt;&gt;"Form"),$S28&lt;&gt;"")</formula>
    </cfRule>
  </conditionalFormatting>
  <conditionalFormatting sqref="R27:T27">
    <cfRule type="expression" dxfId="435" priority="93">
      <formula>"&lt;&gt;AND(LEFT($J2,3)=""Sub"", RIGHT($J2,4)&lt;&gt;""Form"")"</formula>
    </cfRule>
    <cfRule type="expression" dxfId="434" priority="92">
      <formula>AND(AND(LEFT($I27,3)="Sub", RIGHT($I27,4)&lt;&gt;"Form"),$T27="")</formula>
    </cfRule>
    <cfRule type="expression" dxfId="433" priority="91">
      <formula>AND(AND(LEFT($I27,3)="Sub", RIGHT($I27,4)&lt;&gt;"Form"),$T27&lt;&gt;"")</formula>
    </cfRule>
  </conditionalFormatting>
  <conditionalFormatting sqref="R34:T34">
    <cfRule type="expression" dxfId="432" priority="74">
      <formula>"&lt;&gt;AND(LEFT($J2,3)=""Sub"", RIGHT($J2,4)&lt;&gt;""Form"")"</formula>
    </cfRule>
    <cfRule type="expression" dxfId="431" priority="73">
      <formula>AND(AND(LEFT($I34,3)="Sub", RIGHT($I34,4)&lt;&gt;"Form"),$T34="")</formula>
    </cfRule>
    <cfRule type="expression" dxfId="430" priority="72">
      <formula>AND(AND(LEFT($I34,3)="Sub", RIGHT($I34,4)&lt;&gt;"Form"),$T34&lt;&gt;"")</formula>
    </cfRule>
  </conditionalFormatting>
  <conditionalFormatting sqref="R36:T38">
    <cfRule type="expression" dxfId="429" priority="51">
      <formula>AND(AND(LEFT($I36,3)="Sub", RIGHT($I36,4)&lt;&gt;"Form"),$T36="")</formula>
    </cfRule>
    <cfRule type="expression" dxfId="428" priority="52">
      <formula>"&lt;&gt;AND(LEFT($J2,3)=""Sub"", RIGHT($J2,4)&lt;&gt;""Form"")"</formula>
    </cfRule>
    <cfRule type="expression" dxfId="427" priority="50">
      <formula>AND(AND(LEFT($I36,3)="Sub", RIGHT($I36,4)&lt;&gt;"Form"),$T36&lt;&gt;"")</formula>
    </cfRule>
  </conditionalFormatting>
  <conditionalFormatting sqref="R40:T40">
    <cfRule type="expression" dxfId="426" priority="31">
      <formula>"&lt;&gt;AND(LEFT($J2,3)=""Sub"", RIGHT($J2,4)&lt;&gt;""Form"")"</formula>
    </cfRule>
    <cfRule type="expression" dxfId="425" priority="29">
      <formula>AND(AND(LEFT($I40,3)="Sub", RIGHT($I40,4)&lt;&gt;"Form"),$T40&lt;&gt;"")</formula>
    </cfRule>
    <cfRule type="expression" dxfId="424" priority="30">
      <formula>AND(AND(LEFT($I40,3)="Sub", RIGHT($I40,4)&lt;&gt;"Form"),$T40="")</formula>
    </cfRule>
  </conditionalFormatting>
  <conditionalFormatting sqref="S27:T27">
    <cfRule type="expression" dxfId="423" priority="83">
      <formula>AND(AND(LEFT($I27,3)="Sub", RIGHT($I27,4)&lt;&gt;"Form"),$T27="")</formula>
    </cfRule>
    <cfRule type="expression" dxfId="422" priority="82">
      <formula>AND(AND(LEFT($I27,3)="Sub", RIGHT($I27,4)&lt;&gt;"Form"),$T27&lt;&gt;"")</formula>
    </cfRule>
    <cfRule type="expression" dxfId="421" priority="84">
      <formula>"&lt;&gt;AND(LEFT($J2,3)=""Sub"", RIGHT($J2,4)&lt;&gt;""Form"")"</formula>
    </cfRule>
  </conditionalFormatting>
  <conditionalFormatting sqref="S34:T34">
    <cfRule type="expression" dxfId="420" priority="63">
      <formula>AND(AND(LEFT($I34,3)="Sub", RIGHT($I34,4)&lt;&gt;"Form"),$T34="")</formula>
    </cfRule>
    <cfRule type="expression" dxfId="419" priority="64">
      <formula>"&lt;&gt;AND(LEFT($J2,3)=""Sub"", RIGHT($J2,4)&lt;&gt;""Form"")"</formula>
    </cfRule>
    <cfRule type="expression" dxfId="418" priority="62">
      <formula>AND(AND(LEFT($I34,3)="Sub", RIGHT($I34,4)&lt;&gt;"Form"),$T34&lt;&gt;"")</formula>
    </cfRule>
  </conditionalFormatting>
  <conditionalFormatting sqref="S36:T38">
    <cfRule type="expression" dxfId="417" priority="39">
      <formula>AND(AND(LEFT($I36,3)="Sub", RIGHT($I36,4)&lt;&gt;"Form"),$T36&lt;&gt;"")</formula>
    </cfRule>
    <cfRule type="expression" dxfId="416" priority="40">
      <formula>AND(AND(LEFT($I36,3)="Sub", RIGHT($I36,4)&lt;&gt;"Form"),$T36="")</formula>
    </cfRule>
    <cfRule type="expression" dxfId="415" priority="41">
      <formula>"&lt;&gt;AND(LEFT($J2,3)=""Sub"", RIGHT($J2,4)&lt;&gt;""Form"")"</formula>
    </cfRule>
  </conditionalFormatting>
  <conditionalFormatting sqref="S40:T40">
    <cfRule type="expression" dxfId="414" priority="10">
      <formula>AND(AND(LEFT($I40,3)="Sub", RIGHT($I40,4)&lt;&gt;"Form"),$T40&lt;&gt;"")</formula>
    </cfRule>
    <cfRule type="expression" dxfId="413" priority="11">
      <formula>AND(AND(LEFT($I40,3)="Sub", RIGHT($I40,4)&lt;&gt;"Form"),$T40="")</formula>
    </cfRule>
    <cfRule type="expression" dxfId="412" priority="12">
      <formula>"&lt;&gt;AND(LEFT($J2,3)=""Sub"", RIGHT($J2,4)&lt;&gt;""Form"")"</formula>
    </cfRule>
  </conditionalFormatting>
  <conditionalFormatting sqref="T2:T26 T35 T39 T41:T55">
    <cfRule type="expression" dxfId="411" priority="122">
      <formula>OR($AC2="Yes",$AD2&lt;&gt;"")</formula>
    </cfRule>
    <cfRule type="expression" dxfId="410" priority="121">
      <formula>AND($V2&lt;&gt;"",OR($AC2="Yes",$AD2&lt;&gt;""))</formula>
    </cfRule>
    <cfRule type="expression" dxfId="409" priority="132">
      <formula>AND($AC2&lt;&gt;"Yes",$AD2="")</formula>
    </cfRule>
  </conditionalFormatting>
  <conditionalFormatting sqref="T28:T33">
    <cfRule type="expression" dxfId="408" priority="112">
      <formula>AND($AC28&lt;&gt;"Yes",$AD28="")</formula>
    </cfRule>
    <cfRule type="expression" dxfId="407" priority="102">
      <formula>AND($V28&lt;&gt;"",OR($AC28="Yes",$AD28&lt;&gt;""))</formula>
    </cfRule>
    <cfRule type="expression" dxfId="406" priority="103">
      <formula>OR($AC28="Yes",$AD28&lt;&gt;"")</formula>
    </cfRule>
  </conditionalFormatting>
  <conditionalFormatting sqref="T2:AC26 T35:AD35 T39:AC39 T41:AC55 AG34:AK34 AG36:AK37 AH40:AK40 AK41 AD55:AK55">
    <cfRule type="expression" dxfId="405" priority="130">
      <formula>AND($I2&lt;&gt;"",$I2&lt;&gt;"Unclear due to correction")</formula>
    </cfRule>
  </conditionalFormatting>
  <conditionalFormatting sqref="T2:AC26 AG34:AK34 T35:AD35 AG36:AK37 T39:AC39 AH40:AK40 AK41 T41:AC55 AD55:AK55">
    <cfRule type="expression" dxfId="404" priority="131">
      <formula>OR($I2="",$I2="Unclear due to correction")</formula>
    </cfRule>
  </conditionalFormatting>
  <conditionalFormatting sqref="T28:AD33 AF30:AK33 AG39:AK39">
    <cfRule type="expression" dxfId="403" priority="111">
      <formula>OR($I28="",$I28="Unclear due to correction")</formula>
    </cfRule>
    <cfRule type="expression" dxfId="402" priority="110">
      <formula>AND($I28&lt;&gt;"",$I28&lt;&gt;"Unclear due to correction")</formula>
    </cfRule>
  </conditionalFormatting>
  <conditionalFormatting sqref="U2:U26 U35 U39 U41:U55">
    <cfRule type="expression" dxfId="401" priority="120">
      <formula>AND($I2&lt;&gt;"",$I2&lt;&gt;"Unclear due to correction",$W2="")</formula>
    </cfRule>
  </conditionalFormatting>
  <conditionalFormatting sqref="U27">
    <cfRule type="expression" dxfId="400" priority="97">
      <formula>AND($AD27&lt;&gt;"Yes",$AE27="")</formula>
    </cfRule>
    <cfRule type="expression" dxfId="399" priority="87">
      <formula>OR($AD27="Yes",$AE27&lt;&gt;"")</formula>
    </cfRule>
    <cfRule type="expression" dxfId="398" priority="86">
      <formula>AND($W27&lt;&gt;"",OR($AD27="Yes",$AE27&lt;&gt;""))</formula>
    </cfRule>
  </conditionalFormatting>
  <conditionalFormatting sqref="U28:U33">
    <cfRule type="expression" dxfId="397" priority="101">
      <formula>AND($I28&lt;&gt;"",$I28&lt;&gt;"Unclear due to correction",$W28="")</formula>
    </cfRule>
  </conditionalFormatting>
  <conditionalFormatting sqref="U34">
    <cfRule type="expression" dxfId="396" priority="68">
      <formula>OR($AD34="Yes",$AE34&lt;&gt;"")</formula>
    </cfRule>
    <cfRule type="expression" dxfId="395" priority="67">
      <formula>AND($W34&lt;&gt;"",OR($AD34="Yes",$AE34&lt;&gt;""))</formula>
    </cfRule>
    <cfRule type="expression" dxfId="394" priority="78">
      <formula>AND($AD34&lt;&gt;"Yes",$AE34="")</formula>
    </cfRule>
  </conditionalFormatting>
  <conditionalFormatting sqref="U36:U38">
    <cfRule type="expression" dxfId="393" priority="45">
      <formula>AND($W36&lt;&gt;"",OR($AD36="Yes",$AE36&lt;&gt;""))</formula>
    </cfRule>
    <cfRule type="expression" dxfId="392" priority="46">
      <formula>OR($AD36="Yes",$AE36&lt;&gt;"")</formula>
    </cfRule>
    <cfRule type="expression" dxfId="391" priority="56">
      <formula>AND($AD36&lt;&gt;"Yes",$AE36="")</formula>
    </cfRule>
  </conditionalFormatting>
  <conditionalFormatting sqref="U40">
    <cfRule type="expression" dxfId="390" priority="25">
      <formula>OR($AD40="Yes",$AE40&lt;&gt;"")</formula>
    </cfRule>
    <cfRule type="expression" dxfId="389" priority="24">
      <formula>AND($W40&lt;&gt;"",OR($AD40="Yes",$AE40&lt;&gt;""))</formula>
    </cfRule>
    <cfRule type="expression" dxfId="388" priority="35">
      <formula>AND($AD40&lt;&gt;"Yes",$AE40="")</formula>
    </cfRule>
  </conditionalFormatting>
  <conditionalFormatting sqref="U27:AD27">
    <cfRule type="expression" dxfId="387" priority="95">
      <formula>AND($I27&lt;&gt;"",$I27&lt;&gt;"Unclear due to correction")</formula>
    </cfRule>
    <cfRule type="expression" dxfId="386" priority="96">
      <formula>OR($I27="",$I27="Unclear due to correction")</formula>
    </cfRule>
  </conditionalFormatting>
  <conditionalFormatting sqref="U34:AD34">
    <cfRule type="expression" dxfId="385" priority="77">
      <formula>OR($I34="",$I34="Unclear due to correction")</formula>
    </cfRule>
    <cfRule type="expression" dxfId="384" priority="76">
      <formula>AND($I34&lt;&gt;"",$I34&lt;&gt;"Unclear due to correction")</formula>
    </cfRule>
  </conditionalFormatting>
  <conditionalFormatting sqref="U36:AD38">
    <cfRule type="expression" dxfId="383" priority="54">
      <formula>AND($I36&lt;&gt;"",$I36&lt;&gt;"Unclear due to correction")</formula>
    </cfRule>
    <cfRule type="expression" dxfId="382" priority="55">
      <formula>OR($I36="",$I36="Unclear due to correction")</formula>
    </cfRule>
  </conditionalFormatting>
  <conditionalFormatting sqref="U40:AD40">
    <cfRule type="expression" dxfId="381" priority="33">
      <formula>AND($I40&lt;&gt;"",$I40&lt;&gt;"Unclear due to correction")</formula>
    </cfRule>
    <cfRule type="expression" dxfId="380" priority="34">
      <formula>OR($I40="",$I40="Unclear due to correction")</formula>
    </cfRule>
  </conditionalFormatting>
  <conditionalFormatting sqref="V2:V26 V35 V39 V41:V55">
    <cfRule type="expression" dxfId="379" priority="123">
      <formula>AND($W2="Yes",$X2="")</formula>
    </cfRule>
    <cfRule type="expression" dxfId="378" priority="124">
      <formula>$W2=""</formula>
    </cfRule>
  </conditionalFormatting>
  <conditionalFormatting sqref="V27">
    <cfRule type="expression" dxfId="377" priority="85">
      <formula>AND($I27&lt;&gt;"",$I27&lt;&gt;"Unclear due to correction",$X27="")</formula>
    </cfRule>
  </conditionalFormatting>
  <conditionalFormatting sqref="V28:V33">
    <cfRule type="expression" dxfId="376" priority="104">
      <formula>AND($W28="Yes",$X28="")</formula>
    </cfRule>
    <cfRule type="expression" dxfId="375" priority="105">
      <formula>$W28=""</formula>
    </cfRule>
  </conditionalFormatting>
  <conditionalFormatting sqref="V34">
    <cfRule type="expression" dxfId="374" priority="66">
      <formula>AND($I34&lt;&gt;"",$I34&lt;&gt;"Unclear due to correction",$X34="")</formula>
    </cfRule>
  </conditionalFormatting>
  <conditionalFormatting sqref="V36:V38">
    <cfRule type="expression" dxfId="373" priority="44">
      <formula>AND($I36&lt;&gt;"",$I36&lt;&gt;"Unclear due to correction",$X36="")</formula>
    </cfRule>
  </conditionalFormatting>
  <conditionalFormatting sqref="V40">
    <cfRule type="expression" dxfId="372" priority="23">
      <formula>AND($I40&lt;&gt;"",$I40&lt;&gt;"Unclear due to correction",$X40="")</formula>
    </cfRule>
  </conditionalFormatting>
  <conditionalFormatting sqref="W27">
    <cfRule type="expression" dxfId="371" priority="89">
      <formula>$X27=""</formula>
    </cfRule>
    <cfRule type="expression" dxfId="370" priority="88">
      <formula>AND($X27="Yes",$Y27="")</formula>
    </cfRule>
  </conditionalFormatting>
  <conditionalFormatting sqref="W34">
    <cfRule type="expression" dxfId="369" priority="69">
      <formula>AND($X34="Yes",$Y34="")</formula>
    </cfRule>
    <cfRule type="expression" dxfId="368" priority="70">
      <formula>$X34=""</formula>
    </cfRule>
  </conditionalFormatting>
  <conditionalFormatting sqref="W36:W38">
    <cfRule type="expression" dxfId="367" priority="47">
      <formula>AND($X36="Yes",$Y36="")</formula>
    </cfRule>
    <cfRule type="expression" dxfId="366" priority="48">
      <formula>$X36=""</formula>
    </cfRule>
  </conditionalFormatting>
  <conditionalFormatting sqref="W40">
    <cfRule type="expression" dxfId="365" priority="27">
      <formula>$X40=""</formula>
    </cfRule>
    <cfRule type="expression" dxfId="364" priority="26">
      <formula>AND($X40="Yes",$Y40="")</formula>
    </cfRule>
  </conditionalFormatting>
  <conditionalFormatting sqref="AA2:AA26 AA35 AA39 AA41:AA55">
    <cfRule type="expression" dxfId="363" priority="125">
      <formula>AND(OR($AA2&lt;&gt;"",$AB2&lt;&gt;""),$AC2="")</formula>
    </cfRule>
  </conditionalFormatting>
  <conditionalFormatting sqref="AA28:AA33">
    <cfRule type="expression" dxfId="362" priority="106">
      <formula>AND(OR($AA28&lt;&gt;"",$AB28&lt;&gt;""),$AC28="")</formula>
    </cfRule>
  </conditionalFormatting>
  <conditionalFormatting sqref="AB27">
    <cfRule type="expression" dxfId="361" priority="90">
      <formula>AND(OR($AB27&lt;&gt;"",$AC27&lt;&gt;""),$AD27="")</formula>
    </cfRule>
  </conditionalFormatting>
  <conditionalFormatting sqref="AB34">
    <cfRule type="expression" dxfId="360" priority="71">
      <formula>AND(OR($AB34&lt;&gt;"",$AC34&lt;&gt;""),$AD34="")</formula>
    </cfRule>
  </conditionalFormatting>
  <conditionalFormatting sqref="AB36:AB38">
    <cfRule type="expression" dxfId="359" priority="49">
      <formula>AND(OR($AB36&lt;&gt;"",$AC36&lt;&gt;""),$AD36="")</formula>
    </cfRule>
  </conditionalFormatting>
  <conditionalFormatting sqref="AB40">
    <cfRule type="expression" dxfId="358" priority="28">
      <formula>AND(OR($AB40&lt;&gt;"",$AC40&lt;&gt;""),$AD40="")</formula>
    </cfRule>
  </conditionalFormatting>
  <conditionalFormatting sqref="AE30:AE40">
    <cfRule type="expression" dxfId="357" priority="5">
      <formula>AND($I30&lt;&gt;"",$I30&lt;&gt;"Unclear due to correction")</formula>
    </cfRule>
    <cfRule type="expression" dxfId="356" priority="6">
      <formula>OR($I30="",$I30="Unclear due to correction")</formula>
    </cfRule>
  </conditionalFormatting>
  <conditionalFormatting sqref="AF35">
    <cfRule type="expression" dxfId="355" priority="4">
      <formula>OR($I35="",$I35="Unclear due to correction")</formula>
    </cfRule>
    <cfRule type="expression" dxfId="354" priority="3">
      <formula>AND($I35&lt;&gt;"",$I35&lt;&gt;"Unclear due to correction")</formula>
    </cfRule>
  </conditionalFormatting>
  <conditionalFormatting sqref="AF39:AF40">
    <cfRule type="expression" dxfId="353" priority="1">
      <formula>AND($I39&lt;&gt;"",$I39&lt;&gt;"Unclear due to correction")</formula>
    </cfRule>
    <cfRule type="expression" dxfId="352" priority="2">
      <formula>OR($I39="",$I39="Unclear due to correction")</formula>
    </cfRule>
  </conditionalFormatting>
  <dataValidations count="1">
    <dataValidation type="list" allowBlank="1" showInputMessage="1" showErrorMessage="1" sqref="AD2:AL55" xr:uid="{9F7E4A85-42D2-4EBC-8288-75795C550437}">
      <formula1>"Yes, No, Partial"</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S21"/>
  <sheetViews>
    <sheetView workbookViewId="0">
      <pane ySplit="1" topLeftCell="A2" activePane="bottomLeft" state="frozen"/>
      <selection pane="bottomLeft" activeCell="S5" sqref="S5"/>
    </sheetView>
  </sheetViews>
  <sheetFormatPr defaultRowHeight="14.5"/>
  <sheetData>
    <row r="1" spans="1:19">
      <c r="A1" s="1" t="s">
        <v>8</v>
      </c>
      <c r="B1" s="1" t="s">
        <v>9</v>
      </c>
      <c r="C1" s="1" t="s">
        <v>10</v>
      </c>
      <c r="D1" s="1" t="s">
        <v>3</v>
      </c>
      <c r="E1" s="1" t="s">
        <v>12065</v>
      </c>
      <c r="F1" s="1" t="s">
        <v>12066</v>
      </c>
      <c r="G1" s="1" t="s">
        <v>12067</v>
      </c>
      <c r="H1" s="1" t="s">
        <v>12112</v>
      </c>
      <c r="I1" s="1" t="s">
        <v>13129</v>
      </c>
      <c r="J1" s="1" t="s">
        <v>12113</v>
      </c>
      <c r="K1" s="1" t="s">
        <v>12114</v>
      </c>
      <c r="L1" s="1" t="s">
        <v>12068</v>
      </c>
      <c r="M1" s="1" t="s">
        <v>12830</v>
      </c>
      <c r="N1" s="1" t="s">
        <v>12069</v>
      </c>
      <c r="O1" s="1" t="s">
        <v>12070</v>
      </c>
      <c r="P1" s="1" t="s">
        <v>12115</v>
      </c>
      <c r="Q1" s="1" t="s">
        <v>12071</v>
      </c>
      <c r="R1" s="1" t="s">
        <v>12116</v>
      </c>
      <c r="S1" s="1" t="s">
        <v>13140</v>
      </c>
    </row>
    <row r="2" spans="1:19">
      <c r="A2" s="1"/>
    </row>
    <row r="3" spans="1:19">
      <c r="A3" t="s">
        <v>11</v>
      </c>
      <c r="B3" t="s">
        <v>19</v>
      </c>
      <c r="C3" t="s">
        <v>19</v>
      </c>
      <c r="D3" t="s">
        <v>24</v>
      </c>
      <c r="E3" t="s">
        <v>12072</v>
      </c>
      <c r="F3" t="s">
        <v>12073</v>
      </c>
      <c r="G3" t="s">
        <v>12074</v>
      </c>
      <c r="H3" t="s">
        <v>4</v>
      </c>
      <c r="I3" t="s">
        <v>13130</v>
      </c>
      <c r="J3" t="s">
        <v>19</v>
      </c>
      <c r="K3" t="s">
        <v>4</v>
      </c>
      <c r="L3" t="s">
        <v>12075</v>
      </c>
      <c r="M3" t="s">
        <v>12831</v>
      </c>
      <c r="N3" t="s">
        <v>19</v>
      </c>
      <c r="O3" t="s">
        <v>12076</v>
      </c>
      <c r="P3" t="s">
        <v>19</v>
      </c>
      <c r="Q3" t="s">
        <v>12077</v>
      </c>
      <c r="R3" t="s">
        <v>19</v>
      </c>
      <c r="S3" t="s">
        <v>19</v>
      </c>
    </row>
    <row r="4" spans="1:19">
      <c r="A4" t="s">
        <v>12</v>
      </c>
      <c r="B4" t="s">
        <v>21</v>
      </c>
      <c r="C4" t="s">
        <v>22</v>
      </c>
      <c r="D4" t="s">
        <v>25</v>
      </c>
      <c r="E4" t="s">
        <v>12078</v>
      </c>
      <c r="F4" t="s">
        <v>12079</v>
      </c>
      <c r="G4" t="s">
        <v>12080</v>
      </c>
      <c r="H4" t="s">
        <v>12117</v>
      </c>
      <c r="I4" t="s">
        <v>13131</v>
      </c>
      <c r="J4" t="s">
        <v>20</v>
      </c>
      <c r="K4" t="s">
        <v>12117</v>
      </c>
      <c r="L4" t="s">
        <v>12829</v>
      </c>
      <c r="M4" t="s">
        <v>12832</v>
      </c>
      <c r="N4" t="s">
        <v>20</v>
      </c>
      <c r="O4" t="s">
        <v>12082</v>
      </c>
      <c r="P4" t="s">
        <v>20</v>
      </c>
      <c r="Q4" t="s">
        <v>12083</v>
      </c>
      <c r="R4" t="s">
        <v>20</v>
      </c>
      <c r="S4" t="s">
        <v>20</v>
      </c>
    </row>
    <row r="5" spans="1:19">
      <c r="A5" t="s">
        <v>13</v>
      </c>
      <c r="B5" t="s">
        <v>20</v>
      </c>
      <c r="C5" t="s">
        <v>23</v>
      </c>
      <c r="D5" t="s">
        <v>12118</v>
      </c>
      <c r="E5" t="s">
        <v>12084</v>
      </c>
      <c r="F5" t="s">
        <v>12119</v>
      </c>
      <c r="I5" t="s">
        <v>13132</v>
      </c>
      <c r="L5" t="s">
        <v>12081</v>
      </c>
      <c r="M5" t="s">
        <v>12834</v>
      </c>
      <c r="O5" t="s">
        <v>12085</v>
      </c>
      <c r="Q5" t="s">
        <v>12086</v>
      </c>
      <c r="S5" t="s">
        <v>13141</v>
      </c>
    </row>
    <row r="6" spans="1:19">
      <c r="A6" t="s">
        <v>17</v>
      </c>
      <c r="C6" t="s">
        <v>20</v>
      </c>
      <c r="D6" t="s">
        <v>12120</v>
      </c>
      <c r="E6" t="s">
        <v>12087</v>
      </c>
      <c r="M6" t="s">
        <v>12833</v>
      </c>
      <c r="O6" t="s">
        <v>12088</v>
      </c>
      <c r="Q6" t="s">
        <v>12089</v>
      </c>
    </row>
    <row r="7" spans="1:19">
      <c r="A7" t="s">
        <v>28</v>
      </c>
      <c r="D7" t="s">
        <v>12121</v>
      </c>
      <c r="E7" t="s">
        <v>12090</v>
      </c>
      <c r="O7" t="s">
        <v>12124</v>
      </c>
    </row>
    <row r="8" spans="1:19">
      <c r="A8" t="s">
        <v>29</v>
      </c>
      <c r="D8" t="s">
        <v>26</v>
      </c>
      <c r="E8" t="s">
        <v>12092</v>
      </c>
      <c r="O8" t="s">
        <v>12091</v>
      </c>
    </row>
    <row r="9" spans="1:19">
      <c r="A9" t="s">
        <v>10</v>
      </c>
      <c r="D9" t="s">
        <v>27</v>
      </c>
      <c r="E9" t="s">
        <v>12094</v>
      </c>
      <c r="O9" t="s">
        <v>12093</v>
      </c>
    </row>
    <row r="10" spans="1:19">
      <c r="A10" t="s">
        <v>14</v>
      </c>
      <c r="D10" t="s">
        <v>30</v>
      </c>
      <c r="E10" t="s">
        <v>12096</v>
      </c>
      <c r="O10" t="s">
        <v>12095</v>
      </c>
    </row>
    <row r="11" spans="1:19">
      <c r="A11" t="s">
        <v>18</v>
      </c>
      <c r="E11" t="s">
        <v>12098</v>
      </c>
      <c r="O11" t="s">
        <v>12097</v>
      </c>
    </row>
    <row r="12" spans="1:19">
      <c r="A12" t="s">
        <v>12122</v>
      </c>
      <c r="E12" t="s">
        <v>12123</v>
      </c>
      <c r="O12" t="s">
        <v>12737</v>
      </c>
    </row>
    <row r="13" spans="1:19">
      <c r="A13" t="s">
        <v>31</v>
      </c>
      <c r="E13" t="s">
        <v>12125</v>
      </c>
      <c r="O13" t="s">
        <v>12738</v>
      </c>
    </row>
    <row r="14" spans="1:19">
      <c r="A14" t="s">
        <v>32</v>
      </c>
      <c r="E14" t="s">
        <v>12099</v>
      </c>
    </row>
    <row r="15" spans="1:19">
      <c r="A15" t="s">
        <v>33</v>
      </c>
    </row>
    <row r="16" spans="1:19">
      <c r="A16" t="s">
        <v>15</v>
      </c>
    </row>
    <row r="17" spans="1:1">
      <c r="A17" t="s">
        <v>16</v>
      </c>
    </row>
    <row r="18" spans="1:1">
      <c r="A18" t="s">
        <v>34</v>
      </c>
    </row>
    <row r="19" spans="1:1">
      <c r="A19" t="s">
        <v>35</v>
      </c>
    </row>
    <row r="20" spans="1:1">
      <c r="A20" t="s">
        <v>12761</v>
      </c>
    </row>
    <row r="21" spans="1:1">
      <c r="A21" t="s">
        <v>4774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Unfiltered Data</vt:lpstr>
      <vt:lpstr>Gen-filters</vt:lpstr>
      <vt:lpstr>AddOmits</vt:lpstr>
      <vt:lpstr>WF_AO_LM</vt:lpstr>
      <vt:lpstr>WF_AO_HM</vt:lpstr>
      <vt:lpstr>WF_SUB</vt:lpstr>
      <vt:lpstr>Harmonization</vt:lpstr>
      <vt:lpstr>Gen-Filters_2</vt:lpstr>
      <vt:lpstr>AddOmits_2</vt:lpstr>
      <vt:lpstr>WF_AO_LM_2</vt:lpstr>
      <vt:lpstr>WF_AO_HM_2</vt:lpstr>
      <vt:lpstr>WF_SUB_2</vt:lpstr>
      <vt:lpstr>Harmonization_2</vt:lpstr>
      <vt:lpstr>Gen-Error-Rates</vt:lpstr>
      <vt:lpstr>Corrections</vt:lpstr>
      <vt:lpstr>Contamination Check</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2026-05-11T02:37:36Z</dcterms:modified>
</cp:coreProperties>
</file>